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tables/table22.xml" ContentType="application/vnd.openxmlformats-officedocument.spreadsheetml.table+xml"/>
  <Override PartName="/xl/drawings/drawing6.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salvador.pena_credit\Desktop\HSBC 2026\SIMULADORES\"/>
    </mc:Choice>
  </mc:AlternateContent>
  <xr:revisionPtr revIDLastSave="0" documentId="8_{0B300964-E8C7-45CA-AB7B-1FBCB32527A9}" xr6:coauthVersionLast="47" xr6:coauthVersionMax="47" xr10:uidLastSave="{00000000-0000-0000-0000-000000000000}"/>
  <bookViews>
    <workbookView xWindow="-120" yWindow="-120" windowWidth="20730" windowHeight="11040" firstSheet="1" activeTab="1" xr2:uid="{00000000-000D-0000-FFFF-FFFF00000000}"/>
  </bookViews>
  <sheets>
    <sheet name="Control_de_Cambios" sheetId="22" state="veryHidden" r:id="rId1"/>
    <sheet name="Formulario" sheetId="16" r:id="rId2"/>
    <sheet name="Loging" sheetId="17" state="veryHidden" r:id="rId3"/>
    <sheet name="Catalogos" sheetId="6" state="veryHidden" r:id="rId4"/>
    <sheet name="Caratula" sheetId="2" state="veryHidden" r:id="rId5"/>
    <sheet name="Catalogo_Condicione_Financieras" sheetId="3" state="veryHidden" r:id="rId6"/>
    <sheet name="Tabla_Amortización_PeorEscenari" sheetId="9" state="veryHidden" r:id="rId7"/>
    <sheet name="Tabla_Amortización_Redisponible" sheetId="10" state="veryHidden" r:id="rId8"/>
    <sheet name="Días_inhábiles" sheetId="23" state="veryHidden" r:id="rId9"/>
    <sheet name="Simul_ConstruRemo" sheetId="12" state="veryHidden" r:id="rId10"/>
    <sheet name="Tabla_ConstruRemo_Peor Escenari" sheetId="14" state="veryHidden" r:id="rId11"/>
    <sheet name="Tabla_Amor_Redispon_Construcció" sheetId="15" state="veryHidden" r:id="rId12"/>
    <sheet name="Costo_Avaluos" sheetId="4" state="veryHidden" r:id="rId13"/>
    <sheet name="Catalogo_Financier_Redisponible" sheetId="11" state="veryHidden" r:id="rId14"/>
    <sheet name="Tabla_Puntual&amp;Relacionamiento" sheetId="5" state="veryHidden" r:id="rId15"/>
    <sheet name="Caratula_Patrimonial" sheetId="18" state="veryHidden" r:id="rId16"/>
    <sheet name="Condicione_Financieras_Patrimon" sheetId="19" state="veryHidden" r:id="rId17"/>
    <sheet name="Tabla_Amort_PatrimonialPeorEsce" sheetId="20" state="veryHidden" r:id="rId18"/>
    <sheet name="Tabla_Amor_Redispon_Patrimonial" sheetId="21" state="veryHidden" r:id="rId19"/>
  </sheets>
  <definedNames>
    <definedName name="_xlnm._FilterDatabase" localSheetId="5" hidden="1">Catalogo_Condicione_Financieras!$A$1:$Y$2617</definedName>
    <definedName name="_xlnm._FilterDatabase" localSheetId="13" hidden="1">Catalogo_Financier_Redisponible!$A$1:$V$14</definedName>
    <definedName name="_xlnm._FilterDatabase" localSheetId="16" hidden="1">Condicione_Financieras_Patrimon!$A$1:$X$667</definedName>
    <definedName name="_xlnm._FilterDatabase" localSheetId="9" hidden="1">Simul_ConstruRemo!$AA$58:$BL$76</definedName>
    <definedName name="_xleta.DAY" hidden="1" xlm="1">#NAME?</definedName>
    <definedName name="_xleta.IF" hidden="1" xlm="1">#NAME?</definedName>
    <definedName name="_xleta.MIN" hidden="1" xlm="1">#NAME?</definedName>
    <definedName name="_xleta.OR" hidden="1" xlm="1">#NAME?</definedName>
    <definedName name="_xleta.PMT" hidden="1" xlm="1">#NAME?</definedName>
    <definedName name="_xleta.RATE" hidden="1" xlm="1">#NAME?</definedName>
    <definedName name="_xleta.ROUND" hidden="1" xlm="1">#NAME?</definedName>
    <definedName name="_xleta.WORKDAY" hidden="1" xlm="1">#NAME?</definedName>
    <definedName name="_xlnm.Print_Area" localSheetId="4">Caratula!$B$6:$Y$373</definedName>
    <definedName name="_xlnm.Print_Area" localSheetId="15">Caratula_Patrimonial!$B$6:$Y$373</definedName>
    <definedName name="_xlnm.Print_Area" localSheetId="9">Simul_ConstruRemo!$B$3:$AA$330</definedName>
    <definedName name="_xlnm.Print_Area" localSheetId="11">Tabla_Amor_Redispon_Construcció!$A$1:$Q$203</definedName>
    <definedName name="_xlnm.Print_Area" localSheetId="18">Tabla_Amor_Redispon_Patrimonial!$A$1:$S$203</definedName>
    <definedName name="_xlnm.Print_Area" localSheetId="7">Tabla_Amortización_Redisponible!$A$6:$Q$215</definedName>
    <definedName name="Pago_Bajo_Puntual" localSheetId="15">Pago_Bajo_Puntual_[Pago_Bajo_Puntual]</definedName>
    <definedName name="Pago_Bajo_Puntual" localSheetId="16">Pago_Bajo_Puntual_[Pago_Bajo_Puntual]</definedName>
    <definedName name="Pago_Bajo_Puntual" localSheetId="9">Pago_Bajo_Puntual_[Pago_Bajo_Puntual]</definedName>
    <definedName name="Pago_Bajo_Puntual" localSheetId="11">Pago_Bajo_Puntual_[Pago_Bajo_Puntual]</definedName>
    <definedName name="Pago_Bajo_Puntual" localSheetId="18">Pago_Bajo_Puntual_[Pago_Bajo_Puntual]</definedName>
    <definedName name="Pago_Bajo_Puntual" localSheetId="17">Pago_Bajo_Puntual_[Pago_Bajo_Puntual]</definedName>
    <definedName name="Pago_Bajo_Puntual" localSheetId="10">Pago_Bajo_Puntual_[Pago_Bajo_Puntual]</definedName>
    <definedName name="Pago_Bajo_Puntual">Pago_Bajo_Puntual_[Pago_Bajo_Puntual]</definedName>
    <definedName name="Pago_Fijo" localSheetId="15">Esquema[Esquema]</definedName>
    <definedName name="Pago_Fijo" localSheetId="16">Esquema[Esquema]</definedName>
    <definedName name="Pago_Fijo" localSheetId="9">Esquema[Esquema]</definedName>
    <definedName name="Pago_Fijo" localSheetId="11">Esquema[Esquema]</definedName>
    <definedName name="Pago_Fijo" localSheetId="18">Esquema[Esquema]</definedName>
    <definedName name="Pago_Fijo" localSheetId="17">Esquema[Esquema]</definedName>
    <definedName name="Pago_Fijo" localSheetId="10">Esquema[Esquema]</definedName>
    <definedName name="Pago_Fijo">Esquema[Esquema]</definedName>
    <definedName name="Pago_Fijo_Puntual" localSheetId="15">Pago_Fijo_Puntual_[Pago_Fijo_Puntual]</definedName>
    <definedName name="Pago_Fijo_Puntual" localSheetId="16">Pago_Fijo_Puntual_[Pago_Fijo_Puntual]</definedName>
    <definedName name="Pago_Fijo_Puntual" localSheetId="9">Pago_Fijo_Puntual_[Pago_Fijo_Puntual]</definedName>
    <definedName name="Pago_Fijo_Puntual" localSheetId="11">Pago_Fijo_Puntual_[Pago_Fijo_Puntual]</definedName>
    <definedName name="Pago_Fijo_Puntual" localSheetId="18">Pago_Fijo_Puntual_[Pago_Fijo_Puntual]</definedName>
    <definedName name="Pago_Fijo_Puntual" localSheetId="17">Pago_Fijo_Puntual_[Pago_Fijo_Puntual]</definedName>
    <definedName name="Pago_Fijo_Puntual" localSheetId="10">Pago_Fijo_Puntual_[Pago_Fijo_Puntual]</definedName>
    <definedName name="Pago_Fijo_Puntual">Pago_Fijo_Puntual_[Pago_Fijo_Puntual]</definedName>
    <definedName name="_xlnm.Print_Titles" localSheetId="4">Caratula!$62:$62</definedName>
    <definedName name="_xlnm.Print_Titles" localSheetId="15">Caratula_Patrimonial!$62:$62</definedName>
    <definedName name="_xlnm.Print_Titles" localSheetId="9">Simul_ConstruRemo!$60:$60</definedName>
    <definedName name="_xlnm.Print_Titles" localSheetId="11">Tabla_Amor_Redispon_Construcció!$19:$19</definedName>
    <definedName name="_xlnm.Print_Titles" localSheetId="18">Tabla_Amor_Redispon_Patrimonial!$1:$19</definedName>
    <definedName name="_xlnm.Print_Titles" localSheetId="7">Tabla_Amortización_Redisponible!$6:$31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1" i="18" l="1"/>
  <c r="N41" i="2"/>
  <c r="O42" i="18" l="1"/>
  <c r="N42" i="18"/>
  <c r="C25" i="18"/>
  <c r="AZ65" i="18"/>
  <c r="AZ65" i="2"/>
  <c r="C25" i="2"/>
  <c r="F33" i="10" l="1"/>
  <c r="D33" i="10"/>
  <c r="S25" i="10" l="1"/>
  <c r="R25" i="10"/>
  <c r="Q25" i="10"/>
  <c r="J10" i="10"/>
  <c r="AL23" i="2" l="1"/>
  <c r="A133" i="3" l="1"/>
  <c r="B133" i="3" s="1"/>
  <c r="A132" i="3"/>
  <c r="B132" i="3" s="1"/>
  <c r="A131" i="3"/>
  <c r="B131" i="3" s="1"/>
  <c r="A130" i="3"/>
  <c r="B130" i="3" s="1"/>
  <c r="A129" i="3"/>
  <c r="B129" i="3" s="1"/>
  <c r="A128" i="3"/>
  <c r="B128" i="3" s="1"/>
  <c r="AQ34" i="18" l="1"/>
  <c r="AQ34" i="2"/>
  <c r="BM17" i="2"/>
  <c r="AH4" i="6" l="1"/>
  <c r="AH3" i="6"/>
  <c r="AH7" i="6"/>
  <c r="AH5" i="6"/>
  <c r="AH6" i="6"/>
  <c r="V23" i="12" l="1"/>
  <c r="C14" i="12"/>
  <c r="AS14" i="2"/>
  <c r="A2617" i="3"/>
  <c r="B2617" i="3" s="1"/>
  <c r="A2616" i="3"/>
  <c r="B2616" i="3" s="1"/>
  <c r="A2615" i="3"/>
  <c r="B2615" i="3" s="1"/>
  <c r="A2614" i="3"/>
  <c r="B2614" i="3" s="1"/>
  <c r="A2613" i="3"/>
  <c r="B2613" i="3" s="1"/>
  <c r="A2612" i="3"/>
  <c r="B2612" i="3" s="1"/>
  <c r="A2611" i="3"/>
  <c r="B2611" i="3" s="1"/>
  <c r="A2610" i="3"/>
  <c r="B2610" i="3" s="1"/>
  <c r="A2609" i="3"/>
  <c r="B2609" i="3" s="1"/>
  <c r="A2608" i="3"/>
  <c r="B2608" i="3" s="1"/>
  <c r="A2607" i="3"/>
  <c r="B2607" i="3" s="1"/>
  <c r="A2606" i="3"/>
  <c r="B2606" i="3" s="1"/>
  <c r="A2605" i="3"/>
  <c r="B2605" i="3" s="1"/>
  <c r="A2604" i="3"/>
  <c r="B2604" i="3" s="1"/>
  <c r="A2603" i="3"/>
  <c r="B2603" i="3" s="1"/>
  <c r="A2602" i="3"/>
  <c r="B2602" i="3" s="1"/>
  <c r="A2601" i="3"/>
  <c r="B2601" i="3" s="1"/>
  <c r="A2600" i="3"/>
  <c r="B2600" i="3" s="1"/>
  <c r="A2599" i="3"/>
  <c r="B2599" i="3" s="1"/>
  <c r="A2598" i="3"/>
  <c r="B2598" i="3" s="1"/>
  <c r="A2597" i="3"/>
  <c r="B2597" i="3" s="1"/>
  <c r="A2596" i="3"/>
  <c r="B2596" i="3" s="1"/>
  <c r="A2595" i="3"/>
  <c r="B2595" i="3" s="1"/>
  <c r="A2594" i="3"/>
  <c r="B2594" i="3" s="1"/>
  <c r="A2593" i="3"/>
  <c r="B2593" i="3" s="1"/>
  <c r="A2592" i="3"/>
  <c r="B2592" i="3" s="1"/>
  <c r="A2591" i="3"/>
  <c r="B2591" i="3" s="1"/>
  <c r="A2590" i="3"/>
  <c r="B2590" i="3" s="1"/>
  <c r="A2589" i="3"/>
  <c r="B2589" i="3" s="1"/>
  <c r="A2588" i="3"/>
  <c r="B2588" i="3" s="1"/>
  <c r="A2587" i="3"/>
  <c r="B2587" i="3" s="1"/>
  <c r="A2586" i="3"/>
  <c r="B2586" i="3" s="1"/>
  <c r="A2585" i="3"/>
  <c r="B2585" i="3" s="1"/>
  <c r="A2584" i="3"/>
  <c r="B2584" i="3" s="1"/>
  <c r="A2583" i="3"/>
  <c r="B2583" i="3" s="1"/>
  <c r="A2582" i="3"/>
  <c r="B2582" i="3" s="1"/>
  <c r="A2581" i="3"/>
  <c r="B2581" i="3" s="1"/>
  <c r="A2580" i="3"/>
  <c r="B2580" i="3" s="1"/>
  <c r="A2579" i="3"/>
  <c r="B2579" i="3" s="1"/>
  <c r="A2578" i="3"/>
  <c r="B2578" i="3" s="1"/>
  <c r="A2577" i="3"/>
  <c r="B2577" i="3" s="1"/>
  <c r="A2576" i="3"/>
  <c r="B2576" i="3" s="1"/>
  <c r="A2575" i="3"/>
  <c r="B2575" i="3" s="1"/>
  <c r="A2574" i="3"/>
  <c r="B2574" i="3" s="1"/>
  <c r="A2573" i="3"/>
  <c r="B2573" i="3" s="1"/>
  <c r="A2572" i="3"/>
  <c r="B2572" i="3" s="1"/>
  <c r="A2571" i="3"/>
  <c r="B2571" i="3" s="1"/>
  <c r="A2570" i="3"/>
  <c r="B2570" i="3" s="1"/>
  <c r="A2569" i="3"/>
  <c r="B2569" i="3" s="1"/>
  <c r="A2568" i="3"/>
  <c r="B2568" i="3" s="1"/>
  <c r="A2567" i="3"/>
  <c r="B2567" i="3" s="1"/>
  <c r="A2566" i="3"/>
  <c r="B2566" i="3" s="1"/>
  <c r="A2565" i="3"/>
  <c r="B2565" i="3" s="1"/>
  <c r="A2564" i="3"/>
  <c r="B2564" i="3" s="1"/>
  <c r="A2563" i="3"/>
  <c r="B2563" i="3" s="1"/>
  <c r="A2562" i="3"/>
  <c r="B2562" i="3" s="1"/>
  <c r="A2561" i="3"/>
  <c r="B2561" i="3" s="1"/>
  <c r="A2560" i="3"/>
  <c r="B2560" i="3" s="1"/>
  <c r="A2559" i="3"/>
  <c r="B2559" i="3" s="1"/>
  <c r="A2558" i="3"/>
  <c r="B2558" i="3" s="1"/>
  <c r="A2557" i="3"/>
  <c r="B2557" i="3" s="1"/>
  <c r="A2556" i="3"/>
  <c r="B2556" i="3" s="1"/>
  <c r="A2555" i="3"/>
  <c r="B2555" i="3" s="1"/>
  <c r="A2554" i="3"/>
  <c r="B2554" i="3" s="1"/>
  <c r="A2553" i="3"/>
  <c r="B2553" i="3" s="1"/>
  <c r="A2552" i="3"/>
  <c r="B2552" i="3" s="1"/>
  <c r="A2551" i="3"/>
  <c r="B2551" i="3" s="1"/>
  <c r="A2550" i="3"/>
  <c r="B2550" i="3" s="1"/>
  <c r="A2549" i="3"/>
  <c r="B2549" i="3" s="1"/>
  <c r="A2548" i="3"/>
  <c r="B2548" i="3" s="1"/>
  <c r="A2547" i="3"/>
  <c r="B2547" i="3" s="1"/>
  <c r="A2546" i="3"/>
  <c r="B2546" i="3" s="1"/>
  <c r="A2545" i="3"/>
  <c r="B2545" i="3" s="1"/>
  <c r="A2544" i="3"/>
  <c r="B2544" i="3" s="1"/>
  <c r="A2543" i="3"/>
  <c r="B2543" i="3" s="1"/>
  <c r="A2542" i="3"/>
  <c r="B2542" i="3" s="1"/>
  <c r="A2541" i="3"/>
  <c r="B2541" i="3" s="1"/>
  <c r="A2540" i="3"/>
  <c r="B2540" i="3" s="1"/>
  <c r="A2539" i="3"/>
  <c r="B2539" i="3" s="1"/>
  <c r="A2538" i="3"/>
  <c r="B2538" i="3" s="1"/>
  <c r="A2537" i="3"/>
  <c r="B2537" i="3" s="1"/>
  <c r="A2536" i="3"/>
  <c r="B2536" i="3" s="1"/>
  <c r="A2535" i="3"/>
  <c r="B2535" i="3" s="1"/>
  <c r="A2534" i="3"/>
  <c r="B2534" i="3" s="1"/>
  <c r="A2533" i="3"/>
  <c r="B2533" i="3" s="1"/>
  <c r="A2532" i="3"/>
  <c r="B2532" i="3" s="1"/>
  <c r="A2531" i="3"/>
  <c r="B2531" i="3" s="1"/>
  <c r="A2530" i="3"/>
  <c r="B2530" i="3" s="1"/>
  <c r="A2529" i="3"/>
  <c r="B2529" i="3" s="1"/>
  <c r="A2528" i="3"/>
  <c r="B2528" i="3" s="1"/>
  <c r="A2527" i="3"/>
  <c r="B2527" i="3" s="1"/>
  <c r="A2526" i="3"/>
  <c r="B2526" i="3" s="1"/>
  <c r="A2525" i="3"/>
  <c r="B2525" i="3" s="1"/>
  <c r="A2524" i="3"/>
  <c r="B2524" i="3" s="1"/>
  <c r="A2523" i="3"/>
  <c r="B2523" i="3" s="1"/>
  <c r="A2522" i="3"/>
  <c r="B2522" i="3" s="1"/>
  <c r="A2521" i="3"/>
  <c r="B2521" i="3" s="1"/>
  <c r="A2520" i="3"/>
  <c r="B2520" i="3" s="1"/>
  <c r="A2519" i="3"/>
  <c r="B2519" i="3" s="1"/>
  <c r="A2518" i="3"/>
  <c r="B2518" i="3" s="1"/>
  <c r="A2517" i="3"/>
  <c r="B2517" i="3" s="1"/>
  <c r="A2516" i="3"/>
  <c r="B2516" i="3" s="1"/>
  <c r="A2515" i="3"/>
  <c r="B2515" i="3" s="1"/>
  <c r="A2514" i="3"/>
  <c r="B2514" i="3" s="1"/>
  <c r="A2513" i="3"/>
  <c r="B2513" i="3" s="1"/>
  <c r="A2512" i="3"/>
  <c r="B2512" i="3" s="1"/>
  <c r="A2511" i="3"/>
  <c r="B2511" i="3" s="1"/>
  <c r="A2510" i="3"/>
  <c r="B2510" i="3" s="1"/>
  <c r="A2509" i="3"/>
  <c r="B2509" i="3" s="1"/>
  <c r="A2508" i="3"/>
  <c r="B2508" i="3" s="1"/>
  <c r="A2507" i="3"/>
  <c r="B2507" i="3" s="1"/>
  <c r="A2506" i="3"/>
  <c r="B2506" i="3" s="1"/>
  <c r="A2505" i="3"/>
  <c r="B2505" i="3" s="1"/>
  <c r="A2504" i="3"/>
  <c r="B2504" i="3" s="1"/>
  <c r="A2503" i="3"/>
  <c r="B2503" i="3" s="1"/>
  <c r="A2502" i="3"/>
  <c r="B2502" i="3" s="1"/>
  <c r="A2501" i="3"/>
  <c r="B2501" i="3" s="1"/>
  <c r="A2500" i="3"/>
  <c r="B2500" i="3" s="1"/>
  <c r="A2499" i="3"/>
  <c r="B2499" i="3" s="1"/>
  <c r="A2498" i="3"/>
  <c r="B2498" i="3" s="1"/>
  <c r="A2497" i="3"/>
  <c r="B2497" i="3" s="1"/>
  <c r="A2496" i="3"/>
  <c r="B2496" i="3" s="1"/>
  <c r="A2495" i="3"/>
  <c r="B2495" i="3" s="1"/>
  <c r="A2494" i="3"/>
  <c r="B2494" i="3" s="1"/>
  <c r="A2493" i="3"/>
  <c r="B2493" i="3" s="1"/>
  <c r="A2492" i="3"/>
  <c r="B2492" i="3" s="1"/>
  <c r="A2491" i="3"/>
  <c r="B2491" i="3" s="1"/>
  <c r="A2490" i="3"/>
  <c r="B2490" i="3" s="1"/>
  <c r="A2489" i="3"/>
  <c r="B2489" i="3" s="1"/>
  <c r="A2488" i="3"/>
  <c r="B2488" i="3" s="1"/>
  <c r="A2487" i="3"/>
  <c r="B2487" i="3" s="1"/>
  <c r="A2486" i="3"/>
  <c r="B2486" i="3" s="1"/>
  <c r="A2485" i="3"/>
  <c r="B2485" i="3" s="1"/>
  <c r="A2484" i="3"/>
  <c r="B2484" i="3" s="1"/>
  <c r="A2483" i="3"/>
  <c r="B2483" i="3" s="1"/>
  <c r="A2482" i="3"/>
  <c r="B2482" i="3" s="1"/>
  <c r="A2481" i="3"/>
  <c r="B2481" i="3" s="1"/>
  <c r="A2480" i="3"/>
  <c r="B2480" i="3" s="1"/>
  <c r="A2479" i="3"/>
  <c r="B2479" i="3" s="1"/>
  <c r="A2478" i="3"/>
  <c r="B2478" i="3" s="1"/>
  <c r="A2477" i="3"/>
  <c r="B2477" i="3" s="1"/>
  <c r="A2476" i="3"/>
  <c r="B2476" i="3" s="1"/>
  <c r="A2475" i="3"/>
  <c r="B2475" i="3" s="1"/>
  <c r="A2474" i="3"/>
  <c r="B2474" i="3" s="1"/>
  <c r="A2473" i="3"/>
  <c r="B2473" i="3" s="1"/>
  <c r="A2472" i="3"/>
  <c r="B2472" i="3" s="1"/>
  <c r="A2471" i="3"/>
  <c r="B2471" i="3" s="1"/>
  <c r="A2470" i="3"/>
  <c r="B2470" i="3" s="1"/>
  <c r="A2469" i="3"/>
  <c r="B2469" i="3" s="1"/>
  <c r="A2468" i="3"/>
  <c r="B2468" i="3" s="1"/>
  <c r="A2467" i="3"/>
  <c r="B2467" i="3" s="1"/>
  <c r="A2466" i="3"/>
  <c r="B2466" i="3" s="1"/>
  <c r="A2465" i="3"/>
  <c r="B2465" i="3" s="1"/>
  <c r="A2464" i="3"/>
  <c r="B2464" i="3" s="1"/>
  <c r="A2463" i="3"/>
  <c r="B2463" i="3" s="1"/>
  <c r="A2462" i="3"/>
  <c r="B2462" i="3" s="1"/>
  <c r="A2461" i="3"/>
  <c r="B2461" i="3" s="1"/>
  <c r="A2460" i="3"/>
  <c r="B2460" i="3" s="1"/>
  <c r="A2459" i="3"/>
  <c r="B2459" i="3" s="1"/>
  <c r="A2458" i="3"/>
  <c r="B2458" i="3" s="1"/>
  <c r="A2457" i="3"/>
  <c r="B2457" i="3" s="1"/>
  <c r="A2456" i="3"/>
  <c r="B2456" i="3" s="1"/>
  <c r="A2455" i="3"/>
  <c r="B2455" i="3" s="1"/>
  <c r="A2454" i="3"/>
  <c r="B2454" i="3" s="1"/>
  <c r="A2453" i="3"/>
  <c r="B2453" i="3" s="1"/>
  <c r="A2452" i="3"/>
  <c r="B2452" i="3" s="1"/>
  <c r="A2451" i="3"/>
  <c r="B2451" i="3" s="1"/>
  <c r="A2450" i="3"/>
  <c r="B2450" i="3" s="1"/>
  <c r="A2449" i="3"/>
  <c r="B2449" i="3" s="1"/>
  <c r="A2448" i="3"/>
  <c r="B2448" i="3" s="1"/>
  <c r="A2447" i="3"/>
  <c r="B2447" i="3" s="1"/>
  <c r="A2446" i="3"/>
  <c r="B2446" i="3" s="1"/>
  <c r="A2445" i="3"/>
  <c r="B2445" i="3" s="1"/>
  <c r="A2444" i="3"/>
  <c r="B2444" i="3" s="1"/>
  <c r="A2443" i="3"/>
  <c r="B2443" i="3" s="1"/>
  <c r="A2442" i="3"/>
  <c r="B2442" i="3" s="1"/>
  <c r="A2441" i="3"/>
  <c r="B2441" i="3" s="1"/>
  <c r="A2440" i="3"/>
  <c r="B2440" i="3" s="1"/>
  <c r="A2439" i="3"/>
  <c r="B2439" i="3" s="1"/>
  <c r="A2438" i="3"/>
  <c r="B2438" i="3" s="1"/>
  <c r="A2437" i="3"/>
  <c r="B2437" i="3" s="1"/>
  <c r="A2436" i="3"/>
  <c r="B2436" i="3" s="1"/>
  <c r="A2435" i="3"/>
  <c r="B2435" i="3" s="1"/>
  <c r="A2434" i="3"/>
  <c r="B2434" i="3" s="1"/>
  <c r="A2433" i="3"/>
  <c r="B2433" i="3" s="1"/>
  <c r="A2432" i="3"/>
  <c r="B2432" i="3" s="1"/>
  <c r="A2431" i="3"/>
  <c r="B2431" i="3" s="1"/>
  <c r="A2430" i="3"/>
  <c r="B2430" i="3" s="1"/>
  <c r="A2429" i="3"/>
  <c r="B2429" i="3" s="1"/>
  <c r="A2428" i="3"/>
  <c r="B2428" i="3" s="1"/>
  <c r="A2427" i="3"/>
  <c r="B2427" i="3" s="1"/>
  <c r="A2426" i="3"/>
  <c r="B2426" i="3" s="1"/>
  <c r="A2425" i="3"/>
  <c r="B2425" i="3" s="1"/>
  <c r="A2424" i="3"/>
  <c r="B2424" i="3" s="1"/>
  <c r="A2423" i="3"/>
  <c r="B2423" i="3" s="1"/>
  <c r="A2422" i="3"/>
  <c r="B2422" i="3" s="1"/>
  <c r="A2421" i="3"/>
  <c r="B2421" i="3" s="1"/>
  <c r="A2420" i="3"/>
  <c r="B2420" i="3" s="1"/>
  <c r="A2419" i="3"/>
  <c r="B2419" i="3" s="1"/>
  <c r="A2418" i="3"/>
  <c r="B2418" i="3" s="1"/>
  <c r="A2417" i="3"/>
  <c r="B2417" i="3" s="1"/>
  <c r="A2416" i="3"/>
  <c r="B2416" i="3" s="1"/>
  <c r="A2415" i="3"/>
  <c r="B2415" i="3" s="1"/>
  <c r="A2414" i="3"/>
  <c r="B2414" i="3" s="1"/>
  <c r="A2413" i="3"/>
  <c r="B2413" i="3" s="1"/>
  <c r="A2412" i="3"/>
  <c r="B2412" i="3" s="1"/>
  <c r="A2411" i="3"/>
  <c r="B2411" i="3" s="1"/>
  <c r="A2410" i="3"/>
  <c r="B2410" i="3" s="1"/>
  <c r="A2409" i="3"/>
  <c r="B2409" i="3" s="1"/>
  <c r="A2408" i="3"/>
  <c r="B2408" i="3" s="1"/>
  <c r="A2407" i="3"/>
  <c r="B2407" i="3" s="1"/>
  <c r="A2406" i="3"/>
  <c r="B2406" i="3" s="1"/>
  <c r="A2405" i="3"/>
  <c r="B2405" i="3" s="1"/>
  <c r="A2404" i="3"/>
  <c r="B2404" i="3" s="1"/>
  <c r="A2403" i="3"/>
  <c r="B2403" i="3" s="1"/>
  <c r="A2402" i="3"/>
  <c r="B2402" i="3" s="1"/>
  <c r="A2401" i="3"/>
  <c r="B2401" i="3" s="1"/>
  <c r="A2400" i="3"/>
  <c r="B2400" i="3" s="1"/>
  <c r="A2399" i="3"/>
  <c r="B2399" i="3" s="1"/>
  <c r="A2398" i="3"/>
  <c r="B2398" i="3" s="1"/>
  <c r="A2397" i="3"/>
  <c r="B2397" i="3" s="1"/>
  <c r="A2396" i="3"/>
  <c r="B2396" i="3" s="1"/>
  <c r="A2395" i="3"/>
  <c r="B2395" i="3" s="1"/>
  <c r="A2394" i="3"/>
  <c r="B2394" i="3" s="1"/>
  <c r="A2393" i="3"/>
  <c r="B2393" i="3" s="1"/>
  <c r="A2392" i="3"/>
  <c r="B2392" i="3" s="1"/>
  <c r="A2391" i="3"/>
  <c r="B2391" i="3" s="1"/>
  <c r="A2390" i="3"/>
  <c r="B2390" i="3" s="1"/>
  <c r="A2389" i="3"/>
  <c r="B2389" i="3" s="1"/>
  <c r="A2388" i="3"/>
  <c r="B2388" i="3" s="1"/>
  <c r="A2387" i="3"/>
  <c r="B2387" i="3" s="1"/>
  <c r="A2386" i="3"/>
  <c r="B2386" i="3" s="1"/>
  <c r="A2385" i="3"/>
  <c r="B2385" i="3" s="1"/>
  <c r="A2384" i="3"/>
  <c r="B2384" i="3" s="1"/>
  <c r="A2383" i="3"/>
  <c r="B2383" i="3" s="1"/>
  <c r="A2382" i="3"/>
  <c r="B2382" i="3" s="1"/>
  <c r="A2381" i="3"/>
  <c r="B2381" i="3" s="1"/>
  <c r="A2380" i="3"/>
  <c r="B2380" i="3" s="1"/>
  <c r="A2379" i="3"/>
  <c r="B2379" i="3" s="1"/>
  <c r="A2378" i="3"/>
  <c r="B2378" i="3" s="1"/>
  <c r="A2377" i="3"/>
  <c r="B2377" i="3" s="1"/>
  <c r="A2376" i="3"/>
  <c r="B2376" i="3" s="1"/>
  <c r="A2375" i="3"/>
  <c r="B2375" i="3" s="1"/>
  <c r="A2374" i="3"/>
  <c r="B2374" i="3" s="1"/>
  <c r="A2373" i="3"/>
  <c r="B2373" i="3" s="1"/>
  <c r="A2372" i="3"/>
  <c r="B2372" i="3" s="1"/>
  <c r="A2371" i="3"/>
  <c r="B2371" i="3" s="1"/>
  <c r="A2370" i="3"/>
  <c r="B2370" i="3" s="1"/>
  <c r="A2369" i="3"/>
  <c r="B2369" i="3" s="1"/>
  <c r="A2368" i="3"/>
  <c r="B2368" i="3" s="1"/>
  <c r="A2367" i="3"/>
  <c r="B2367" i="3" s="1"/>
  <c r="A2366" i="3"/>
  <c r="B2366" i="3" s="1"/>
  <c r="A2365" i="3"/>
  <c r="B2365" i="3" s="1"/>
  <c r="A2364" i="3"/>
  <c r="B2364" i="3" s="1"/>
  <c r="A2363" i="3"/>
  <c r="B2363" i="3" s="1"/>
  <c r="A2362" i="3"/>
  <c r="B2362" i="3" s="1"/>
  <c r="A2361" i="3"/>
  <c r="B2361" i="3" s="1"/>
  <c r="A2360" i="3"/>
  <c r="B2360" i="3" s="1"/>
  <c r="A2359" i="3"/>
  <c r="B2359" i="3" s="1"/>
  <c r="A2358" i="3"/>
  <c r="B2358" i="3" s="1"/>
  <c r="A2357" i="3"/>
  <c r="B2357" i="3" s="1"/>
  <c r="A2356" i="3"/>
  <c r="B2356" i="3" s="1"/>
  <c r="A2355" i="3"/>
  <c r="B2355" i="3" s="1"/>
  <c r="A2354" i="3"/>
  <c r="B2354" i="3" s="1"/>
  <c r="A2353" i="3"/>
  <c r="B2353" i="3" s="1"/>
  <c r="A2352" i="3"/>
  <c r="B2352" i="3" s="1"/>
  <c r="A2351" i="3"/>
  <c r="B2351" i="3" s="1"/>
  <c r="A2350" i="3"/>
  <c r="B2350" i="3" s="1"/>
  <c r="A2349" i="3"/>
  <c r="B2349" i="3" s="1"/>
  <c r="A2348" i="3"/>
  <c r="B2348" i="3" s="1"/>
  <c r="A2347" i="3"/>
  <c r="B2347" i="3" s="1"/>
  <c r="A2346" i="3"/>
  <c r="B2346" i="3" s="1"/>
  <c r="A2345" i="3"/>
  <c r="B2345" i="3" s="1"/>
  <c r="A2344" i="3"/>
  <c r="B2344" i="3" s="1"/>
  <c r="A2343" i="3"/>
  <c r="B2343" i="3" s="1"/>
  <c r="A2342" i="3"/>
  <c r="B2342" i="3" s="1"/>
  <c r="A2341" i="3"/>
  <c r="B2341" i="3" s="1"/>
  <c r="A2340" i="3"/>
  <c r="B2340" i="3" s="1"/>
  <c r="A2339" i="3"/>
  <c r="B2339" i="3" s="1"/>
  <c r="A2338" i="3"/>
  <c r="B2338" i="3" s="1"/>
  <c r="A2337" i="3"/>
  <c r="B2337" i="3" s="1"/>
  <c r="A2336" i="3"/>
  <c r="B2336" i="3" s="1"/>
  <c r="A2335" i="3"/>
  <c r="B2335" i="3" s="1"/>
  <c r="A2334" i="3"/>
  <c r="B2334" i="3" s="1"/>
  <c r="A2333" i="3"/>
  <c r="B2333" i="3" s="1"/>
  <c r="A2332" i="3"/>
  <c r="B2332" i="3" s="1"/>
  <c r="A2331" i="3"/>
  <c r="B2331" i="3" s="1"/>
  <c r="A2330" i="3"/>
  <c r="B2330" i="3" s="1"/>
  <c r="A2329" i="3"/>
  <c r="B2329" i="3" s="1"/>
  <c r="A2328" i="3"/>
  <c r="B2328" i="3" s="1"/>
  <c r="A2327" i="3"/>
  <c r="B2327" i="3" s="1"/>
  <c r="A2326" i="3"/>
  <c r="B2326" i="3" s="1"/>
  <c r="A2325" i="3"/>
  <c r="B2325" i="3" s="1"/>
  <c r="A2324" i="3"/>
  <c r="B2324" i="3" s="1"/>
  <c r="A2323" i="3"/>
  <c r="B2323" i="3" s="1"/>
  <c r="A2322" i="3"/>
  <c r="B2322" i="3" s="1"/>
  <c r="A2321" i="3"/>
  <c r="B2321" i="3" s="1"/>
  <c r="A2320" i="3"/>
  <c r="B2320" i="3" s="1"/>
  <c r="A2319" i="3"/>
  <c r="B2319" i="3" s="1"/>
  <c r="A2318" i="3"/>
  <c r="B2318" i="3" s="1"/>
  <c r="A2317" i="3"/>
  <c r="B2317" i="3" s="1"/>
  <c r="A2316" i="3"/>
  <c r="B2316" i="3" s="1"/>
  <c r="A2315" i="3"/>
  <c r="B2315" i="3" s="1"/>
  <c r="A2314" i="3"/>
  <c r="B2314" i="3" s="1"/>
  <c r="A2313" i="3"/>
  <c r="B2313" i="3" s="1"/>
  <c r="A2312" i="3"/>
  <c r="B2312" i="3" s="1"/>
  <c r="A2311" i="3"/>
  <c r="B2311" i="3" s="1"/>
  <c r="A2310" i="3"/>
  <c r="B2310" i="3" s="1"/>
  <c r="A2309" i="3"/>
  <c r="B2309" i="3" s="1"/>
  <c r="A2308" i="3"/>
  <c r="B2308" i="3" s="1"/>
  <c r="A2307" i="3"/>
  <c r="B2307" i="3" s="1"/>
  <c r="A2306" i="3"/>
  <c r="B2306" i="3" s="1"/>
  <c r="A2305" i="3"/>
  <c r="B2305" i="3" s="1"/>
  <c r="A2304" i="3"/>
  <c r="B2304" i="3" s="1"/>
  <c r="A2303" i="3"/>
  <c r="B2303" i="3" s="1"/>
  <c r="A2302" i="3"/>
  <c r="B2302" i="3" s="1"/>
  <c r="A2301" i="3"/>
  <c r="B2301" i="3" s="1"/>
  <c r="A2300" i="3"/>
  <c r="B2300" i="3" s="1"/>
  <c r="A2299" i="3"/>
  <c r="B2299" i="3" s="1"/>
  <c r="A2298" i="3"/>
  <c r="B2298" i="3" s="1"/>
  <c r="A2297" i="3"/>
  <c r="B2297" i="3" s="1"/>
  <c r="A2296" i="3"/>
  <c r="B2296" i="3" s="1"/>
  <c r="A2295" i="3"/>
  <c r="B2295" i="3" s="1"/>
  <c r="A2294" i="3"/>
  <c r="B2294" i="3" s="1"/>
  <c r="A2293" i="3"/>
  <c r="B2293" i="3" s="1"/>
  <c r="A2292" i="3"/>
  <c r="B2292" i="3" s="1"/>
  <c r="A2291" i="3"/>
  <c r="B2291" i="3" s="1"/>
  <c r="A2290" i="3"/>
  <c r="B2290" i="3" s="1"/>
  <c r="A2289" i="3"/>
  <c r="B2289" i="3" s="1"/>
  <c r="A2288" i="3"/>
  <c r="B2288" i="3" s="1"/>
  <c r="A2287" i="3"/>
  <c r="B2287" i="3" s="1"/>
  <c r="A2286" i="3"/>
  <c r="B2286" i="3" s="1"/>
  <c r="A2285" i="3"/>
  <c r="B2285" i="3" s="1"/>
  <c r="A2284" i="3"/>
  <c r="B2284" i="3" s="1"/>
  <c r="A2283" i="3"/>
  <c r="B2283" i="3" s="1"/>
  <c r="A2282" i="3"/>
  <c r="B2282" i="3" s="1"/>
  <c r="A2281" i="3"/>
  <c r="B2281" i="3" s="1"/>
  <c r="A2280" i="3"/>
  <c r="B2280" i="3" s="1"/>
  <c r="A2279" i="3"/>
  <c r="B2279" i="3" s="1"/>
  <c r="A2278" i="3"/>
  <c r="B2278" i="3" s="1"/>
  <c r="A2277" i="3"/>
  <c r="B2277" i="3" s="1"/>
  <c r="A2276" i="3"/>
  <c r="B2276" i="3" s="1"/>
  <c r="A2275" i="3"/>
  <c r="B2275" i="3" s="1"/>
  <c r="A2274" i="3"/>
  <c r="B2274" i="3" s="1"/>
  <c r="A2273" i="3"/>
  <c r="B2273" i="3" s="1"/>
  <c r="A2272" i="3"/>
  <c r="B2272" i="3" s="1"/>
  <c r="A2271" i="3"/>
  <c r="B2271" i="3" s="1"/>
  <c r="A2270" i="3"/>
  <c r="B2270" i="3" s="1"/>
  <c r="A2269" i="3"/>
  <c r="B2269" i="3" s="1"/>
  <c r="A2268" i="3"/>
  <c r="B2268" i="3" s="1"/>
  <c r="A2267" i="3"/>
  <c r="B2267" i="3" s="1"/>
  <c r="A2266" i="3"/>
  <c r="B2266" i="3" s="1"/>
  <c r="A2265" i="3"/>
  <c r="B2265" i="3" s="1"/>
  <c r="A2264" i="3"/>
  <c r="B2264" i="3" s="1"/>
  <c r="A2263" i="3"/>
  <c r="B2263" i="3" s="1"/>
  <c r="A2262" i="3"/>
  <c r="B2262" i="3" s="1"/>
  <c r="A2261" i="3"/>
  <c r="B2261" i="3" s="1"/>
  <c r="A2260" i="3"/>
  <c r="B2260" i="3" s="1"/>
  <c r="A2259" i="3"/>
  <c r="B2259" i="3" s="1"/>
  <c r="A2258" i="3"/>
  <c r="B2258" i="3" s="1"/>
  <c r="A2257" i="3"/>
  <c r="B2257" i="3" s="1"/>
  <c r="A2256" i="3"/>
  <c r="B2256" i="3" s="1"/>
  <c r="A2255" i="3"/>
  <c r="B2255" i="3" s="1"/>
  <c r="A2254" i="3"/>
  <c r="B2254" i="3" s="1"/>
  <c r="A2253" i="3"/>
  <c r="B2253" i="3" s="1"/>
  <c r="A2252" i="3"/>
  <c r="B2252" i="3" s="1"/>
  <c r="A2251" i="3"/>
  <c r="B2251" i="3" s="1"/>
  <c r="A2250" i="3"/>
  <c r="B2250" i="3" s="1"/>
  <c r="A2249" i="3"/>
  <c r="B2249" i="3" s="1"/>
  <c r="A2248" i="3"/>
  <c r="B2248" i="3" s="1"/>
  <c r="A2247" i="3"/>
  <c r="B2247" i="3" s="1"/>
  <c r="A2246" i="3"/>
  <c r="B2246" i="3" s="1"/>
  <c r="A2245" i="3"/>
  <c r="B2245" i="3" s="1"/>
  <c r="A2244" i="3"/>
  <c r="B2244" i="3" s="1"/>
  <c r="A2243" i="3"/>
  <c r="B2243" i="3" s="1"/>
  <c r="A2242" i="3"/>
  <c r="B2242" i="3" s="1"/>
  <c r="A2241" i="3"/>
  <c r="B2241" i="3" s="1"/>
  <c r="A2240" i="3"/>
  <c r="B2240" i="3" s="1"/>
  <c r="A2239" i="3"/>
  <c r="B2239" i="3" s="1"/>
  <c r="A2238" i="3"/>
  <c r="B2238" i="3" s="1"/>
  <c r="A2237" i="3"/>
  <c r="B2237" i="3" s="1"/>
  <c r="A2236" i="3"/>
  <c r="B2236" i="3" s="1"/>
  <c r="A2235" i="3"/>
  <c r="B2235" i="3" s="1"/>
  <c r="A2234" i="3"/>
  <c r="B2234" i="3" s="1"/>
  <c r="A2233" i="3"/>
  <c r="B2233" i="3" s="1"/>
  <c r="A2232" i="3"/>
  <c r="B2232" i="3" s="1"/>
  <c r="A2231" i="3"/>
  <c r="B2231" i="3" s="1"/>
  <c r="A2230" i="3"/>
  <c r="B2230" i="3" s="1"/>
  <c r="A2229" i="3"/>
  <c r="B2229" i="3" s="1"/>
  <c r="A2228" i="3"/>
  <c r="B2228" i="3" s="1"/>
  <c r="A2227" i="3"/>
  <c r="B2227" i="3" s="1"/>
  <c r="A2226" i="3"/>
  <c r="B2226" i="3" s="1"/>
  <c r="A2225" i="3"/>
  <c r="B2225" i="3" s="1"/>
  <c r="A2224" i="3"/>
  <c r="B2224" i="3" s="1"/>
  <c r="A2223" i="3"/>
  <c r="B2223" i="3" s="1"/>
  <c r="A2222" i="3"/>
  <c r="B2222" i="3" s="1"/>
  <c r="A2221" i="3"/>
  <c r="B2221" i="3" s="1"/>
  <c r="A2220" i="3"/>
  <c r="B2220" i="3" s="1"/>
  <c r="A2219" i="3"/>
  <c r="B2219" i="3" s="1"/>
  <c r="A2218" i="3"/>
  <c r="B2218" i="3" s="1"/>
  <c r="A2217" i="3"/>
  <c r="B2217" i="3" s="1"/>
  <c r="A2216" i="3"/>
  <c r="B2216" i="3" s="1"/>
  <c r="A2215" i="3"/>
  <c r="B2215" i="3" s="1"/>
  <c r="A2214" i="3"/>
  <c r="B2214" i="3" s="1"/>
  <c r="A2213" i="3"/>
  <c r="B2213" i="3" s="1"/>
  <c r="A2212" i="3"/>
  <c r="B2212" i="3" s="1"/>
  <c r="A2211" i="3"/>
  <c r="B2211" i="3" s="1"/>
  <c r="A2210" i="3"/>
  <c r="B2210" i="3" s="1"/>
  <c r="A2209" i="3"/>
  <c r="B2209" i="3" s="1"/>
  <c r="A2208" i="3"/>
  <c r="B2208" i="3" s="1"/>
  <c r="A2207" i="3"/>
  <c r="B2207" i="3" s="1"/>
  <c r="A2206" i="3"/>
  <c r="B2206" i="3" s="1"/>
  <c r="A2205" i="3"/>
  <c r="B2205" i="3" s="1"/>
  <c r="A2204" i="3"/>
  <c r="B2204" i="3" s="1"/>
  <c r="A2203" i="3"/>
  <c r="B2203" i="3" s="1"/>
  <c r="A2202" i="3"/>
  <c r="B2202" i="3" s="1"/>
  <c r="A2201" i="3"/>
  <c r="B2201" i="3" s="1"/>
  <c r="A2200" i="3"/>
  <c r="B2200" i="3" s="1"/>
  <c r="A2199" i="3"/>
  <c r="B2199" i="3" s="1"/>
  <c r="A2198" i="3"/>
  <c r="B2198" i="3" s="1"/>
  <c r="A2197" i="3"/>
  <c r="B2197" i="3" s="1"/>
  <c r="A2196" i="3"/>
  <c r="B2196" i="3" s="1"/>
  <c r="A2195" i="3"/>
  <c r="B2195" i="3" s="1"/>
  <c r="A2194" i="3"/>
  <c r="B2194" i="3" s="1"/>
  <c r="A2193" i="3"/>
  <c r="B2193" i="3" s="1"/>
  <c r="A2192" i="3"/>
  <c r="B2192" i="3" s="1"/>
  <c r="A2191" i="3"/>
  <c r="B2191" i="3" s="1"/>
  <c r="A2190" i="3"/>
  <c r="B2190" i="3" s="1"/>
  <c r="A2189" i="3"/>
  <c r="B2189" i="3" s="1"/>
  <c r="A2188" i="3"/>
  <c r="B2188" i="3" s="1"/>
  <c r="A2187" i="3"/>
  <c r="B2187" i="3" s="1"/>
  <c r="A2186" i="3"/>
  <c r="B2186" i="3" s="1"/>
  <c r="A2185" i="3"/>
  <c r="B2185" i="3" s="1"/>
  <c r="A2184" i="3"/>
  <c r="B2184" i="3" s="1"/>
  <c r="A2183" i="3"/>
  <c r="B2183" i="3" s="1"/>
  <c r="A2182" i="3"/>
  <c r="B2182" i="3" s="1"/>
  <c r="A2181" i="3"/>
  <c r="B2181" i="3" s="1"/>
  <c r="A2180" i="3"/>
  <c r="B2180" i="3" s="1"/>
  <c r="A2179" i="3"/>
  <c r="B2179" i="3" s="1"/>
  <c r="A2178" i="3"/>
  <c r="B2178" i="3" s="1"/>
  <c r="A2177" i="3"/>
  <c r="B2177" i="3" s="1"/>
  <c r="A2176" i="3"/>
  <c r="B2176" i="3" s="1"/>
  <c r="A2175" i="3"/>
  <c r="B2175" i="3" s="1"/>
  <c r="A2174" i="3"/>
  <c r="B2174" i="3" s="1"/>
  <c r="A2173" i="3"/>
  <c r="B2173" i="3" s="1"/>
  <c r="A2172" i="3"/>
  <c r="B2172" i="3" s="1"/>
  <c r="A2171" i="3"/>
  <c r="B2171" i="3" s="1"/>
  <c r="A2170" i="3"/>
  <c r="B2170" i="3" s="1"/>
  <c r="A2169" i="3"/>
  <c r="B2169" i="3" s="1"/>
  <c r="A2168" i="3"/>
  <c r="B2168" i="3" s="1"/>
  <c r="A2167" i="3"/>
  <c r="B2167" i="3" s="1"/>
  <c r="A2166" i="3"/>
  <c r="B2166" i="3" s="1"/>
  <c r="A2165" i="3"/>
  <c r="B2165" i="3" s="1"/>
  <c r="A2164" i="3"/>
  <c r="B2164" i="3" s="1"/>
  <c r="A2163" i="3"/>
  <c r="B2163" i="3" s="1"/>
  <c r="A2162" i="3"/>
  <c r="B2162" i="3" s="1"/>
  <c r="A2161" i="3"/>
  <c r="B2161" i="3" s="1"/>
  <c r="A2160" i="3"/>
  <c r="B2160" i="3" s="1"/>
  <c r="A2159" i="3"/>
  <c r="B2159" i="3" s="1"/>
  <c r="A2158" i="3"/>
  <c r="B2158" i="3" s="1"/>
  <c r="A2157" i="3"/>
  <c r="B2157" i="3" s="1"/>
  <c r="A2156" i="3"/>
  <c r="B2156" i="3" s="1"/>
  <c r="A2155" i="3"/>
  <c r="B2155" i="3" s="1"/>
  <c r="A2154" i="3"/>
  <c r="B2154" i="3" s="1"/>
  <c r="A2153" i="3"/>
  <c r="B2153" i="3" s="1"/>
  <c r="A2152" i="3"/>
  <c r="B2152" i="3" s="1"/>
  <c r="A2151" i="3"/>
  <c r="B2151" i="3" s="1"/>
  <c r="A2150" i="3"/>
  <c r="B2150" i="3" s="1"/>
  <c r="A2149" i="3"/>
  <c r="B2149" i="3" s="1"/>
  <c r="A2148" i="3"/>
  <c r="B2148" i="3" s="1"/>
  <c r="A2147" i="3"/>
  <c r="B2147" i="3" s="1"/>
  <c r="A2146" i="3"/>
  <c r="B2146" i="3" s="1"/>
  <c r="A2145" i="3"/>
  <c r="B2145" i="3" s="1"/>
  <c r="A2144" i="3"/>
  <c r="B2144" i="3" s="1"/>
  <c r="A2143" i="3"/>
  <c r="B2143" i="3" s="1"/>
  <c r="A2142" i="3"/>
  <c r="B2142" i="3" s="1"/>
  <c r="A2141" i="3"/>
  <c r="B2141" i="3" s="1"/>
  <c r="A2140" i="3"/>
  <c r="B2140" i="3" s="1"/>
  <c r="A2139" i="3"/>
  <c r="B2139" i="3" s="1"/>
  <c r="A2138" i="3"/>
  <c r="B2138" i="3" s="1"/>
  <c r="A2137" i="3"/>
  <c r="B2137" i="3" s="1"/>
  <c r="A2136" i="3"/>
  <c r="B2136" i="3" s="1"/>
  <c r="A2135" i="3"/>
  <c r="B2135" i="3" s="1"/>
  <c r="A2134" i="3"/>
  <c r="B2134" i="3" s="1"/>
  <c r="A2133" i="3"/>
  <c r="B2133" i="3" s="1"/>
  <c r="A2132" i="3"/>
  <c r="B2132" i="3" s="1"/>
  <c r="A2131" i="3"/>
  <c r="B2131" i="3" s="1"/>
  <c r="A2130" i="3"/>
  <c r="B2130" i="3" s="1"/>
  <c r="A2129" i="3"/>
  <c r="B2129" i="3" s="1"/>
  <c r="A2128" i="3"/>
  <c r="B2128" i="3" s="1"/>
  <c r="A2127" i="3"/>
  <c r="B2127" i="3" s="1"/>
  <c r="A2126" i="3"/>
  <c r="B2126" i="3" s="1"/>
  <c r="A2125" i="3"/>
  <c r="B2125" i="3" s="1"/>
  <c r="A2124" i="3"/>
  <c r="B2124" i="3" s="1"/>
  <c r="A2123" i="3"/>
  <c r="B2123" i="3" s="1"/>
  <c r="A2122" i="3"/>
  <c r="B2122" i="3" s="1"/>
  <c r="A2121" i="3"/>
  <c r="B2121" i="3" s="1"/>
  <c r="A2120" i="3"/>
  <c r="B2120" i="3" s="1"/>
  <c r="A2119" i="3"/>
  <c r="B2119" i="3" s="1"/>
  <c r="A2118" i="3"/>
  <c r="B2118" i="3" s="1"/>
  <c r="A2117" i="3"/>
  <c r="B2117" i="3" s="1"/>
  <c r="A2116" i="3"/>
  <c r="B2116" i="3" s="1"/>
  <c r="A2115" i="3"/>
  <c r="B2115" i="3" s="1"/>
  <c r="A2114" i="3"/>
  <c r="B2114" i="3" s="1"/>
  <c r="A2113" i="3"/>
  <c r="B2113" i="3" s="1"/>
  <c r="A2112" i="3"/>
  <c r="B2112" i="3" s="1"/>
  <c r="A2111" i="3"/>
  <c r="B2111" i="3" s="1"/>
  <c r="A2110" i="3"/>
  <c r="B2110" i="3" s="1"/>
  <c r="A2109" i="3"/>
  <c r="B2109" i="3" s="1"/>
  <c r="A2108" i="3"/>
  <c r="B2108" i="3" s="1"/>
  <c r="A2107" i="3"/>
  <c r="B2107" i="3" s="1"/>
  <c r="A2106" i="3"/>
  <c r="B2106" i="3" s="1"/>
  <c r="A2105" i="3"/>
  <c r="B2105" i="3" s="1"/>
  <c r="A2104" i="3"/>
  <c r="B2104" i="3" s="1"/>
  <c r="A2103" i="3"/>
  <c r="B2103" i="3" s="1"/>
  <c r="A2102" i="3"/>
  <c r="B2102" i="3" s="1"/>
  <c r="A2101" i="3"/>
  <c r="B2101" i="3" s="1"/>
  <c r="A2100" i="3"/>
  <c r="B2100" i="3" s="1"/>
  <c r="A2099" i="3"/>
  <c r="B2099" i="3" s="1"/>
  <c r="A2098" i="3"/>
  <c r="B2098" i="3" s="1"/>
  <c r="A2097" i="3"/>
  <c r="B2097" i="3" s="1"/>
  <c r="A2096" i="3"/>
  <c r="B2096" i="3" s="1"/>
  <c r="A2095" i="3"/>
  <c r="B2095" i="3" s="1"/>
  <c r="A2094" i="3"/>
  <c r="B2094" i="3" s="1"/>
  <c r="A2093" i="3"/>
  <c r="B2093" i="3" s="1"/>
  <c r="A2092" i="3"/>
  <c r="B2092" i="3" s="1"/>
  <c r="A2091" i="3"/>
  <c r="B2091" i="3" s="1"/>
  <c r="A2090" i="3"/>
  <c r="B2090" i="3" s="1"/>
  <c r="A2089" i="3"/>
  <c r="B2089" i="3" s="1"/>
  <c r="A2088" i="3"/>
  <c r="B2088" i="3" s="1"/>
  <c r="A2087" i="3"/>
  <c r="B2087" i="3" s="1"/>
  <c r="A2086" i="3"/>
  <c r="B2086" i="3" s="1"/>
  <c r="A2085" i="3"/>
  <c r="B2085" i="3" s="1"/>
  <c r="A2084" i="3"/>
  <c r="B2084" i="3" s="1"/>
  <c r="A2083" i="3"/>
  <c r="B2083" i="3" s="1"/>
  <c r="A2082" i="3"/>
  <c r="B2082" i="3" s="1"/>
  <c r="A2081" i="3"/>
  <c r="B2081" i="3" s="1"/>
  <c r="A2080" i="3"/>
  <c r="B2080" i="3" s="1"/>
  <c r="A2079" i="3"/>
  <c r="B2079" i="3" s="1"/>
  <c r="A2078" i="3"/>
  <c r="B2078" i="3" s="1"/>
  <c r="A2077" i="3"/>
  <c r="B2077" i="3" s="1"/>
  <c r="A2076" i="3"/>
  <c r="B2076" i="3" s="1"/>
  <c r="A2075" i="3"/>
  <c r="B2075" i="3" s="1"/>
  <c r="A2074" i="3"/>
  <c r="B2074" i="3" s="1"/>
  <c r="A2073" i="3"/>
  <c r="B2073" i="3" s="1"/>
  <c r="A2072" i="3"/>
  <c r="B2072" i="3" s="1"/>
  <c r="A2071" i="3"/>
  <c r="B2071" i="3" s="1"/>
  <c r="A2070" i="3"/>
  <c r="B2070" i="3" s="1"/>
  <c r="A2069" i="3"/>
  <c r="B2069" i="3" s="1"/>
  <c r="A2068" i="3"/>
  <c r="B2068" i="3" s="1"/>
  <c r="A2067" i="3"/>
  <c r="B2067" i="3" s="1"/>
  <c r="A2066" i="3"/>
  <c r="B2066" i="3" s="1"/>
  <c r="A2065" i="3"/>
  <c r="B2065" i="3" s="1"/>
  <c r="A2064" i="3"/>
  <c r="B2064" i="3" s="1"/>
  <c r="A2063" i="3"/>
  <c r="B2063" i="3" s="1"/>
  <c r="A2062" i="3"/>
  <c r="B2062" i="3" s="1"/>
  <c r="A2061" i="3"/>
  <c r="B2061" i="3" s="1"/>
  <c r="A2060" i="3"/>
  <c r="B2060" i="3" s="1"/>
  <c r="A2059" i="3"/>
  <c r="B2059" i="3" s="1"/>
  <c r="A2058" i="3"/>
  <c r="B2058" i="3" s="1"/>
  <c r="A2057" i="3"/>
  <c r="B2057" i="3" s="1"/>
  <c r="A2056" i="3"/>
  <c r="B2056" i="3" s="1"/>
  <c r="A2055" i="3"/>
  <c r="B2055" i="3" s="1"/>
  <c r="A2054" i="3"/>
  <c r="B2054" i="3" s="1"/>
  <c r="A2053" i="3"/>
  <c r="B2053" i="3" s="1"/>
  <c r="A2052" i="3"/>
  <c r="B2052" i="3" s="1"/>
  <c r="A2051" i="3"/>
  <c r="B2051" i="3" s="1"/>
  <c r="A2050" i="3"/>
  <c r="B2050" i="3" s="1"/>
  <c r="A2049" i="3"/>
  <c r="B2049" i="3" s="1"/>
  <c r="A2048" i="3"/>
  <c r="B2048" i="3" s="1"/>
  <c r="A2047" i="3"/>
  <c r="B2047" i="3" s="1"/>
  <c r="A2046" i="3"/>
  <c r="B2046" i="3" s="1"/>
  <c r="A2045" i="3"/>
  <c r="B2045" i="3" s="1"/>
  <c r="A2044" i="3"/>
  <c r="B2044" i="3" s="1"/>
  <c r="A2043" i="3"/>
  <c r="B2043" i="3" s="1"/>
  <c r="A2042" i="3"/>
  <c r="B2042" i="3" s="1"/>
  <c r="A2041" i="3"/>
  <c r="B2041" i="3" s="1"/>
  <c r="A2040" i="3"/>
  <c r="B2040" i="3" s="1"/>
  <c r="A2039" i="3"/>
  <c r="B2039" i="3" s="1"/>
  <c r="A2038" i="3"/>
  <c r="B2038" i="3" s="1"/>
  <c r="A2037" i="3"/>
  <c r="B2037" i="3" s="1"/>
  <c r="A2036" i="3"/>
  <c r="B2036" i="3" s="1"/>
  <c r="A2035" i="3"/>
  <c r="B2035" i="3" s="1"/>
  <c r="A2034" i="3"/>
  <c r="B2034" i="3" s="1"/>
  <c r="A2033" i="3"/>
  <c r="B2033" i="3" s="1"/>
  <c r="A2032" i="3"/>
  <c r="B2032" i="3" s="1"/>
  <c r="A2031" i="3"/>
  <c r="B2031" i="3" s="1"/>
  <c r="A2030" i="3"/>
  <c r="B2030" i="3" s="1"/>
  <c r="A2029" i="3"/>
  <c r="B2029" i="3" s="1"/>
  <c r="A2028" i="3"/>
  <c r="B2028" i="3" s="1"/>
  <c r="A2027" i="3"/>
  <c r="B2027" i="3" s="1"/>
  <c r="A2026" i="3"/>
  <c r="B2026" i="3" s="1"/>
  <c r="A2025" i="3"/>
  <c r="B2025" i="3" s="1"/>
  <c r="A2024" i="3"/>
  <c r="B2024" i="3" s="1"/>
  <c r="A2023" i="3"/>
  <c r="B2023" i="3" s="1"/>
  <c r="A2022" i="3"/>
  <c r="B2022" i="3" s="1"/>
  <c r="A2021" i="3"/>
  <c r="B2021" i="3" s="1"/>
  <c r="A2020" i="3"/>
  <c r="B2020" i="3" s="1"/>
  <c r="A2019" i="3"/>
  <c r="B2019" i="3" s="1"/>
  <c r="A2018" i="3"/>
  <c r="B2018" i="3" s="1"/>
  <c r="A2017" i="3"/>
  <c r="B2017" i="3" s="1"/>
  <c r="A2016" i="3"/>
  <c r="B2016" i="3" s="1"/>
  <c r="A2015" i="3"/>
  <c r="B2015" i="3" s="1"/>
  <c r="A2014" i="3"/>
  <c r="B2014" i="3" s="1"/>
  <c r="A2013" i="3"/>
  <c r="B2013" i="3" s="1"/>
  <c r="A2012" i="3"/>
  <c r="B2012" i="3" s="1"/>
  <c r="A2011" i="3"/>
  <c r="B2011" i="3" s="1"/>
  <c r="A2010" i="3"/>
  <c r="B2010" i="3" s="1"/>
  <c r="A2009" i="3"/>
  <c r="B2009" i="3" s="1"/>
  <c r="A2008" i="3"/>
  <c r="B2008" i="3" s="1"/>
  <c r="A2007" i="3"/>
  <c r="B2007" i="3" s="1"/>
  <c r="A2006" i="3"/>
  <c r="B2006" i="3" s="1"/>
  <c r="A2005" i="3"/>
  <c r="B2005" i="3" s="1"/>
  <c r="A2004" i="3"/>
  <c r="B2004" i="3" s="1"/>
  <c r="A2003" i="3"/>
  <c r="B2003" i="3" s="1"/>
  <c r="A2002" i="3"/>
  <c r="B2002" i="3" s="1"/>
  <c r="A2001" i="3"/>
  <c r="B2001" i="3" s="1"/>
  <c r="A2000" i="3"/>
  <c r="B2000" i="3" s="1"/>
  <c r="A1999" i="3"/>
  <c r="B1999" i="3" s="1"/>
  <c r="A1998" i="3"/>
  <c r="B1998" i="3" s="1"/>
  <c r="A1997" i="3"/>
  <c r="B1997" i="3" s="1"/>
  <c r="A1996" i="3"/>
  <c r="B1996" i="3" s="1"/>
  <c r="A1995" i="3"/>
  <c r="B1995" i="3" s="1"/>
  <c r="A1994" i="3"/>
  <c r="B1994" i="3" s="1"/>
  <c r="A1993" i="3"/>
  <c r="B1993" i="3" s="1"/>
  <c r="A1992" i="3"/>
  <c r="B1992" i="3" s="1"/>
  <c r="A1991" i="3"/>
  <c r="B1991" i="3" s="1"/>
  <c r="A1990" i="3"/>
  <c r="B1990" i="3" s="1"/>
  <c r="A1989" i="3"/>
  <c r="B1989" i="3" s="1"/>
  <c r="A1988" i="3"/>
  <c r="B1988" i="3" s="1"/>
  <c r="A1987" i="3"/>
  <c r="B1987" i="3" s="1"/>
  <c r="A1986" i="3"/>
  <c r="B1986" i="3" s="1"/>
  <c r="A1985" i="3"/>
  <c r="B1985" i="3" s="1"/>
  <c r="A1984" i="3"/>
  <c r="B1984" i="3" s="1"/>
  <c r="A1983" i="3"/>
  <c r="B1983" i="3" s="1"/>
  <c r="A1982" i="3"/>
  <c r="B1982" i="3" s="1"/>
  <c r="A1981" i="3"/>
  <c r="B1981" i="3" s="1"/>
  <c r="A1980" i="3"/>
  <c r="B1980" i="3" s="1"/>
  <c r="A1979" i="3"/>
  <c r="B1979" i="3" s="1"/>
  <c r="A1978" i="3"/>
  <c r="B1978" i="3" s="1"/>
  <c r="A1977" i="3"/>
  <c r="B1977" i="3" s="1"/>
  <c r="A1976" i="3"/>
  <c r="B1976" i="3" s="1"/>
  <c r="A1975" i="3"/>
  <c r="B1975" i="3" s="1"/>
  <c r="A1974" i="3"/>
  <c r="B1974" i="3" s="1"/>
  <c r="A1973" i="3"/>
  <c r="B1973" i="3" s="1"/>
  <c r="A1972" i="3"/>
  <c r="B1972" i="3" s="1"/>
  <c r="A1971" i="3"/>
  <c r="B1971" i="3" s="1"/>
  <c r="A1970" i="3"/>
  <c r="B1970" i="3" s="1"/>
  <c r="A1969" i="3"/>
  <c r="B1969" i="3" s="1"/>
  <c r="A1968" i="3"/>
  <c r="B1968" i="3" s="1"/>
  <c r="A1967" i="3"/>
  <c r="B1967" i="3" s="1"/>
  <c r="A1966" i="3"/>
  <c r="B1966" i="3" s="1"/>
  <c r="A1965" i="3"/>
  <c r="B1965" i="3" s="1"/>
  <c r="A1964" i="3"/>
  <c r="B1964" i="3" s="1"/>
  <c r="A1963" i="3"/>
  <c r="B1963" i="3" s="1"/>
  <c r="A1962" i="3"/>
  <c r="B1962" i="3" s="1"/>
  <c r="A1961" i="3"/>
  <c r="B1961" i="3" s="1"/>
  <c r="A1960" i="3"/>
  <c r="B1960" i="3" s="1"/>
  <c r="A1959" i="3"/>
  <c r="B1959" i="3" s="1"/>
  <c r="A1958" i="3"/>
  <c r="B1958" i="3" s="1"/>
  <c r="A1957" i="3"/>
  <c r="B1957" i="3" s="1"/>
  <c r="A1956" i="3"/>
  <c r="B1956" i="3" s="1"/>
  <c r="A1955" i="3"/>
  <c r="B1955" i="3" s="1"/>
  <c r="A1954" i="3"/>
  <c r="B1954" i="3" s="1"/>
  <c r="A1953" i="3"/>
  <c r="B1953" i="3" s="1"/>
  <c r="A1952" i="3"/>
  <c r="B1952" i="3" s="1"/>
  <c r="A1951" i="3"/>
  <c r="B1951" i="3" s="1"/>
  <c r="A1950" i="3"/>
  <c r="B1950" i="3" s="1"/>
  <c r="A1949" i="3"/>
  <c r="B1949" i="3" s="1"/>
  <c r="A1948" i="3"/>
  <c r="B1948" i="3" s="1"/>
  <c r="A1947" i="3"/>
  <c r="B1947" i="3" s="1"/>
  <c r="A1946" i="3"/>
  <c r="B1946" i="3" s="1"/>
  <c r="A1945" i="3"/>
  <c r="B1945" i="3" s="1"/>
  <c r="A1944" i="3"/>
  <c r="B1944" i="3" s="1"/>
  <c r="A1943" i="3"/>
  <c r="B1943" i="3" s="1"/>
  <c r="A1942" i="3"/>
  <c r="B1942" i="3" s="1"/>
  <c r="A1941" i="3"/>
  <c r="B1941" i="3" s="1"/>
  <c r="A1940" i="3"/>
  <c r="B1940" i="3" s="1"/>
  <c r="A1939" i="3"/>
  <c r="B1939" i="3" s="1"/>
  <c r="A1938" i="3"/>
  <c r="B1938" i="3" s="1"/>
  <c r="A1937" i="3"/>
  <c r="B1937" i="3" s="1"/>
  <c r="A1936" i="3"/>
  <c r="B1936" i="3" s="1"/>
  <c r="A1935" i="3"/>
  <c r="B1935" i="3" s="1"/>
  <c r="A1934" i="3"/>
  <c r="B1934" i="3" s="1"/>
  <c r="A1933" i="3"/>
  <c r="B1933" i="3" s="1"/>
  <c r="A1932" i="3"/>
  <c r="B1932" i="3" s="1"/>
  <c r="A1931" i="3"/>
  <c r="B1931" i="3" s="1"/>
  <c r="A1930" i="3"/>
  <c r="B1930" i="3" s="1"/>
  <c r="A1929" i="3"/>
  <c r="B1929" i="3" s="1"/>
  <c r="A1928" i="3"/>
  <c r="B1928" i="3" s="1"/>
  <c r="A1927" i="3"/>
  <c r="B1927" i="3" s="1"/>
  <c r="A1926" i="3"/>
  <c r="B1926" i="3" s="1"/>
  <c r="A1925" i="3"/>
  <c r="B1925" i="3" s="1"/>
  <c r="A1924" i="3"/>
  <c r="B1924" i="3" s="1"/>
  <c r="A1923" i="3"/>
  <c r="B1923" i="3" s="1"/>
  <c r="A1922" i="3"/>
  <c r="B1922" i="3" s="1"/>
  <c r="A1921" i="3"/>
  <c r="B1921" i="3" s="1"/>
  <c r="A1920" i="3"/>
  <c r="B1920" i="3" s="1"/>
  <c r="A1919" i="3"/>
  <c r="B1919" i="3" s="1"/>
  <c r="A1918" i="3"/>
  <c r="B1918" i="3" s="1"/>
  <c r="A1917" i="3"/>
  <c r="B1917" i="3" s="1"/>
  <c r="A1916" i="3"/>
  <c r="B1916" i="3" s="1"/>
  <c r="A1915" i="3"/>
  <c r="B1915" i="3" s="1"/>
  <c r="A1914" i="3"/>
  <c r="B1914" i="3" s="1"/>
  <c r="A1913" i="3"/>
  <c r="B1913" i="3" s="1"/>
  <c r="A1912" i="3"/>
  <c r="B1912" i="3" s="1"/>
  <c r="A1911" i="3"/>
  <c r="B1911" i="3" s="1"/>
  <c r="A1910" i="3"/>
  <c r="B1910" i="3" s="1"/>
  <c r="A1909" i="3"/>
  <c r="B1909" i="3" s="1"/>
  <c r="A1908" i="3"/>
  <c r="B1908" i="3" s="1"/>
  <c r="A1907" i="3"/>
  <c r="B1907" i="3" s="1"/>
  <c r="A1906" i="3"/>
  <c r="B1906" i="3" s="1"/>
  <c r="A1905" i="3"/>
  <c r="B1905" i="3" s="1"/>
  <c r="A1904" i="3"/>
  <c r="B1904" i="3" s="1"/>
  <c r="A1903" i="3"/>
  <c r="B1903" i="3" s="1"/>
  <c r="A1902" i="3"/>
  <c r="B1902" i="3" s="1"/>
  <c r="A1901" i="3"/>
  <c r="B1901" i="3" s="1"/>
  <c r="A1900" i="3"/>
  <c r="B1900" i="3" s="1"/>
  <c r="A1899" i="3"/>
  <c r="B1899" i="3" s="1"/>
  <c r="A1898" i="3"/>
  <c r="B1898" i="3" s="1"/>
  <c r="A1897" i="3"/>
  <c r="B1897" i="3" s="1"/>
  <c r="A1896" i="3"/>
  <c r="B1896" i="3" s="1"/>
  <c r="A1895" i="3"/>
  <c r="B1895" i="3" s="1"/>
  <c r="A1894" i="3"/>
  <c r="B1894" i="3" s="1"/>
  <c r="A1893" i="3"/>
  <c r="B1893" i="3" s="1"/>
  <c r="A1892" i="3"/>
  <c r="B1892" i="3" s="1"/>
  <c r="A1891" i="3"/>
  <c r="B1891" i="3" s="1"/>
  <c r="A1890" i="3"/>
  <c r="B1890" i="3" s="1"/>
  <c r="A1889" i="3"/>
  <c r="B1889" i="3" s="1"/>
  <c r="A1888" i="3"/>
  <c r="B1888" i="3" s="1"/>
  <c r="A1887" i="3"/>
  <c r="B1887" i="3" s="1"/>
  <c r="A1886" i="3"/>
  <c r="B1886" i="3" s="1"/>
  <c r="A1885" i="3"/>
  <c r="B1885" i="3" s="1"/>
  <c r="A1884" i="3"/>
  <c r="B1884" i="3" s="1"/>
  <c r="A1883" i="3"/>
  <c r="B1883" i="3" s="1"/>
  <c r="A1882" i="3"/>
  <c r="B1882" i="3" s="1"/>
  <c r="A1881" i="3"/>
  <c r="B1881" i="3" s="1"/>
  <c r="A1880" i="3"/>
  <c r="B1880" i="3" s="1"/>
  <c r="A1879" i="3"/>
  <c r="B1879" i="3" s="1"/>
  <c r="A1878" i="3"/>
  <c r="B1878" i="3" s="1"/>
  <c r="A1877" i="3"/>
  <c r="B1877" i="3" s="1"/>
  <c r="A1876" i="3"/>
  <c r="B1876" i="3" s="1"/>
  <c r="A1875" i="3"/>
  <c r="B1875" i="3" s="1"/>
  <c r="A1874" i="3"/>
  <c r="B1874" i="3" s="1"/>
  <c r="A1873" i="3"/>
  <c r="B1873" i="3" s="1"/>
  <c r="A1872" i="3"/>
  <c r="B1872" i="3" s="1"/>
  <c r="A1871" i="3"/>
  <c r="B1871" i="3" s="1"/>
  <c r="A1870" i="3"/>
  <c r="B1870" i="3" s="1"/>
  <c r="A1869" i="3"/>
  <c r="B1869" i="3" s="1"/>
  <c r="A1868" i="3"/>
  <c r="B1868" i="3" s="1"/>
  <c r="A1867" i="3"/>
  <c r="B1867" i="3" s="1"/>
  <c r="A1866" i="3"/>
  <c r="B1866" i="3" s="1"/>
  <c r="A1865" i="3"/>
  <c r="B1865" i="3" s="1"/>
  <c r="A1864" i="3"/>
  <c r="B1864" i="3" s="1"/>
  <c r="A1863" i="3"/>
  <c r="B1863" i="3" s="1"/>
  <c r="A1862" i="3"/>
  <c r="B1862" i="3" s="1"/>
  <c r="A1861" i="3"/>
  <c r="B1861" i="3" s="1"/>
  <c r="A1860" i="3"/>
  <c r="B1860" i="3" s="1"/>
  <c r="A1859" i="3"/>
  <c r="B1859" i="3" s="1"/>
  <c r="A1858" i="3"/>
  <c r="B1858" i="3" s="1"/>
  <c r="A1857" i="3"/>
  <c r="B1857" i="3" s="1"/>
  <c r="A1856" i="3"/>
  <c r="B1856" i="3" s="1"/>
  <c r="A1855" i="3"/>
  <c r="B1855" i="3" s="1"/>
  <c r="A1854" i="3"/>
  <c r="B1854" i="3" s="1"/>
  <c r="A1853" i="3"/>
  <c r="B1853" i="3" s="1"/>
  <c r="A1852" i="3"/>
  <c r="B1852" i="3" s="1"/>
  <c r="A1851" i="3"/>
  <c r="B1851" i="3" s="1"/>
  <c r="A1850" i="3"/>
  <c r="B1850" i="3" s="1"/>
  <c r="A1849" i="3"/>
  <c r="B1849" i="3" s="1"/>
  <c r="A1848" i="3"/>
  <c r="B1848" i="3" s="1"/>
  <c r="A1847" i="3"/>
  <c r="B1847" i="3" s="1"/>
  <c r="A1846" i="3"/>
  <c r="B1846" i="3" s="1"/>
  <c r="A1845" i="3"/>
  <c r="B1845" i="3" s="1"/>
  <c r="A1844" i="3"/>
  <c r="B1844" i="3" s="1"/>
  <c r="A1843" i="3"/>
  <c r="B1843" i="3" s="1"/>
  <c r="A1842" i="3"/>
  <c r="B1842" i="3" s="1"/>
  <c r="A1841" i="3"/>
  <c r="B1841" i="3" s="1"/>
  <c r="A1840" i="3"/>
  <c r="B1840" i="3" s="1"/>
  <c r="A1839" i="3"/>
  <c r="B1839" i="3" s="1"/>
  <c r="A1838" i="3"/>
  <c r="B1838" i="3" s="1"/>
  <c r="A1837" i="3"/>
  <c r="B1837" i="3" s="1"/>
  <c r="A1836" i="3"/>
  <c r="B1836" i="3" s="1"/>
  <c r="A1835" i="3"/>
  <c r="B1835" i="3" s="1"/>
  <c r="A1834" i="3"/>
  <c r="B1834" i="3" s="1"/>
  <c r="A1833" i="3"/>
  <c r="B1833" i="3" s="1"/>
  <c r="A1832" i="3"/>
  <c r="B1832" i="3" s="1"/>
  <c r="A1831" i="3"/>
  <c r="B1831" i="3" s="1"/>
  <c r="A1830" i="3"/>
  <c r="B1830" i="3" s="1"/>
  <c r="A1829" i="3"/>
  <c r="B1829" i="3" s="1"/>
  <c r="A1828" i="3"/>
  <c r="B1828" i="3" s="1"/>
  <c r="A1827" i="3"/>
  <c r="B1827" i="3" s="1"/>
  <c r="A1826" i="3"/>
  <c r="B1826" i="3" s="1"/>
  <c r="A1825" i="3"/>
  <c r="B1825" i="3" s="1"/>
  <c r="A1824" i="3"/>
  <c r="B1824" i="3" s="1"/>
  <c r="A1823" i="3"/>
  <c r="B1823" i="3" s="1"/>
  <c r="A1822" i="3"/>
  <c r="B1822" i="3" s="1"/>
  <c r="A1821" i="3"/>
  <c r="B1821" i="3" s="1"/>
  <c r="A1820" i="3"/>
  <c r="B1820" i="3" s="1"/>
  <c r="A1819" i="3"/>
  <c r="B1819" i="3" s="1"/>
  <c r="A1818" i="3"/>
  <c r="B1818" i="3" s="1"/>
  <c r="A1817" i="3"/>
  <c r="B1817" i="3" s="1"/>
  <c r="A1816" i="3"/>
  <c r="B1816" i="3" s="1"/>
  <c r="A1815" i="3"/>
  <c r="B1815" i="3" s="1"/>
  <c r="A1814" i="3"/>
  <c r="B1814" i="3" s="1"/>
  <c r="A1813" i="3"/>
  <c r="B1813" i="3" s="1"/>
  <c r="A1812" i="3"/>
  <c r="B1812" i="3" s="1"/>
  <c r="A1811" i="3"/>
  <c r="B1811" i="3" s="1"/>
  <c r="A1810" i="3"/>
  <c r="B1810" i="3" s="1"/>
  <c r="A1809" i="3"/>
  <c r="B1809" i="3" s="1"/>
  <c r="A1808" i="3"/>
  <c r="B1808" i="3" s="1"/>
  <c r="A1807" i="3"/>
  <c r="B1807" i="3" s="1"/>
  <c r="A1806" i="3"/>
  <c r="B1806" i="3" s="1"/>
  <c r="A1805" i="3"/>
  <c r="B1805" i="3" s="1"/>
  <c r="A1804" i="3"/>
  <c r="B1804" i="3" s="1"/>
  <c r="A1803" i="3"/>
  <c r="B1803" i="3" s="1"/>
  <c r="A1802" i="3"/>
  <c r="B1802" i="3" s="1"/>
  <c r="A1801" i="3"/>
  <c r="B1801" i="3" s="1"/>
  <c r="A1800" i="3"/>
  <c r="B1800" i="3" s="1"/>
  <c r="A1799" i="3"/>
  <c r="B1799" i="3" s="1"/>
  <c r="A1798" i="3"/>
  <c r="B1798" i="3" s="1"/>
  <c r="A1797" i="3"/>
  <c r="B1797" i="3" s="1"/>
  <c r="A1796" i="3"/>
  <c r="B1796" i="3" s="1"/>
  <c r="A1795" i="3"/>
  <c r="B1795" i="3" s="1"/>
  <c r="A1794" i="3"/>
  <c r="B1794" i="3" s="1"/>
  <c r="A1793" i="3"/>
  <c r="B1793" i="3" s="1"/>
  <c r="A1792" i="3"/>
  <c r="B1792" i="3" s="1"/>
  <c r="A1791" i="3"/>
  <c r="B1791" i="3" s="1"/>
  <c r="A1790" i="3"/>
  <c r="B1790" i="3" s="1"/>
  <c r="A1789" i="3"/>
  <c r="B1789" i="3" s="1"/>
  <c r="A1788" i="3"/>
  <c r="B1788" i="3" s="1"/>
  <c r="A1787" i="3"/>
  <c r="B1787" i="3" s="1"/>
  <c r="A1786" i="3"/>
  <c r="B1786" i="3" s="1"/>
  <c r="A1785" i="3"/>
  <c r="B1785" i="3" s="1"/>
  <c r="A1784" i="3"/>
  <c r="B1784" i="3" s="1"/>
  <c r="A1783" i="3"/>
  <c r="B1783" i="3" s="1"/>
  <c r="A1782" i="3"/>
  <c r="B1782" i="3" s="1"/>
  <c r="A1781" i="3"/>
  <c r="B1781" i="3" s="1"/>
  <c r="A1780" i="3"/>
  <c r="B1780" i="3" s="1"/>
  <c r="A1779" i="3"/>
  <c r="B1779" i="3" s="1"/>
  <c r="A1778" i="3"/>
  <c r="B1778" i="3" s="1"/>
  <c r="A1777" i="3"/>
  <c r="B1777" i="3" s="1"/>
  <c r="A1776" i="3"/>
  <c r="B1776" i="3" s="1"/>
  <c r="A1775" i="3"/>
  <c r="B1775" i="3" s="1"/>
  <c r="A1774" i="3"/>
  <c r="B1774" i="3" s="1"/>
  <c r="A1773" i="3"/>
  <c r="B1773" i="3" s="1"/>
  <c r="A1772" i="3"/>
  <c r="B1772" i="3" s="1"/>
  <c r="A1771" i="3"/>
  <c r="B1771" i="3" s="1"/>
  <c r="A1770" i="3"/>
  <c r="B1770" i="3" s="1"/>
  <c r="A1769" i="3"/>
  <c r="B1769" i="3" s="1"/>
  <c r="A1768" i="3"/>
  <c r="B1768" i="3" s="1"/>
  <c r="A1767" i="3"/>
  <c r="B1767" i="3" s="1"/>
  <c r="A1766" i="3"/>
  <c r="B1766" i="3" s="1"/>
  <c r="A1765" i="3"/>
  <c r="B1765" i="3" s="1"/>
  <c r="A1764" i="3"/>
  <c r="B1764" i="3" s="1"/>
  <c r="A1763" i="3"/>
  <c r="B1763" i="3" s="1"/>
  <c r="A1762" i="3"/>
  <c r="B1762" i="3" s="1"/>
  <c r="A1761" i="3"/>
  <c r="B1761" i="3" s="1"/>
  <c r="A1760" i="3"/>
  <c r="B1760" i="3" s="1"/>
  <c r="A1759" i="3"/>
  <c r="B1759" i="3" s="1"/>
  <c r="A1758" i="3"/>
  <c r="B1758" i="3" s="1"/>
  <c r="A1757" i="3"/>
  <c r="B1757" i="3" s="1"/>
  <c r="A1756" i="3"/>
  <c r="B1756" i="3" s="1"/>
  <c r="A1755" i="3"/>
  <c r="B1755" i="3" s="1"/>
  <c r="A1754" i="3"/>
  <c r="B1754" i="3" s="1"/>
  <c r="A1753" i="3"/>
  <c r="B1753" i="3" s="1"/>
  <c r="A1752" i="3"/>
  <c r="B1752" i="3" s="1"/>
  <c r="A1751" i="3"/>
  <c r="B1751" i="3" s="1"/>
  <c r="A1750" i="3"/>
  <c r="B1750" i="3" s="1"/>
  <c r="A1749" i="3"/>
  <c r="B1749" i="3" s="1"/>
  <c r="A1748" i="3"/>
  <c r="B1748" i="3" s="1"/>
  <c r="A1747" i="3"/>
  <c r="B1747" i="3" s="1"/>
  <c r="A1746" i="3"/>
  <c r="B1746" i="3" s="1"/>
  <c r="A1745" i="3"/>
  <c r="B1745" i="3" s="1"/>
  <c r="A1744" i="3"/>
  <c r="B1744" i="3" s="1"/>
  <c r="A1743" i="3"/>
  <c r="B1743" i="3" s="1"/>
  <c r="A1742" i="3"/>
  <c r="B1742" i="3" s="1"/>
  <c r="A1741" i="3"/>
  <c r="B1741" i="3" s="1"/>
  <c r="A1740" i="3"/>
  <c r="B1740" i="3" s="1"/>
  <c r="A1739" i="3"/>
  <c r="B1739" i="3" s="1"/>
  <c r="A1738" i="3"/>
  <c r="B1738" i="3" s="1"/>
  <c r="A1737" i="3"/>
  <c r="B1737" i="3" s="1"/>
  <c r="A1736" i="3"/>
  <c r="B1736" i="3" s="1"/>
  <c r="A1735" i="3"/>
  <c r="B1735" i="3" s="1"/>
  <c r="A1734" i="3"/>
  <c r="B1734" i="3" s="1"/>
  <c r="A1733" i="3"/>
  <c r="B1733" i="3" s="1"/>
  <c r="A1732" i="3"/>
  <c r="B1732" i="3" s="1"/>
  <c r="A1731" i="3"/>
  <c r="B1731" i="3" s="1"/>
  <c r="A1730" i="3"/>
  <c r="B1730" i="3" s="1"/>
  <c r="A1729" i="3"/>
  <c r="B1729" i="3" s="1"/>
  <c r="A1728" i="3"/>
  <c r="B1728" i="3" s="1"/>
  <c r="A1727" i="3"/>
  <c r="B1727" i="3" s="1"/>
  <c r="A1726" i="3"/>
  <c r="B1726" i="3" s="1"/>
  <c r="A1725" i="3"/>
  <c r="B1725" i="3" s="1"/>
  <c r="A1724" i="3"/>
  <c r="B1724" i="3" s="1"/>
  <c r="A1723" i="3"/>
  <c r="B1723" i="3" s="1"/>
  <c r="A1722" i="3"/>
  <c r="B1722" i="3" s="1"/>
  <c r="A1721" i="3"/>
  <c r="B1721" i="3" s="1"/>
  <c r="A1720" i="3"/>
  <c r="B1720" i="3" s="1"/>
  <c r="A1719" i="3"/>
  <c r="B1719" i="3" s="1"/>
  <c r="A1718" i="3"/>
  <c r="B1718" i="3" s="1"/>
  <c r="A1717" i="3"/>
  <c r="B1717" i="3" s="1"/>
  <c r="A1716" i="3"/>
  <c r="B1716" i="3" s="1"/>
  <c r="A1715" i="3"/>
  <c r="B1715" i="3" s="1"/>
  <c r="A1714" i="3"/>
  <c r="B1714" i="3" s="1"/>
  <c r="A1713" i="3"/>
  <c r="B1713" i="3" s="1"/>
  <c r="A1712" i="3"/>
  <c r="B1712" i="3" s="1"/>
  <c r="A1711" i="3"/>
  <c r="B1711" i="3" s="1"/>
  <c r="A1710" i="3"/>
  <c r="B1710" i="3" s="1"/>
  <c r="A1709" i="3"/>
  <c r="B1709" i="3" s="1"/>
  <c r="A1708" i="3"/>
  <c r="B1708" i="3" s="1"/>
  <c r="A1707" i="3"/>
  <c r="B1707" i="3" s="1"/>
  <c r="A1706" i="3"/>
  <c r="B1706" i="3" s="1"/>
  <c r="A1705" i="3"/>
  <c r="B1705" i="3" s="1"/>
  <c r="A1704" i="3"/>
  <c r="B1704" i="3" s="1"/>
  <c r="A1703" i="3"/>
  <c r="B1703" i="3" s="1"/>
  <c r="A1702" i="3"/>
  <c r="B1702" i="3" s="1"/>
  <c r="A1701" i="3"/>
  <c r="B1701" i="3" s="1"/>
  <c r="A1700" i="3"/>
  <c r="B1700" i="3" s="1"/>
  <c r="A1699" i="3"/>
  <c r="B1699" i="3" s="1"/>
  <c r="A1698" i="3"/>
  <c r="B1698" i="3" s="1"/>
  <c r="A1697" i="3"/>
  <c r="B1697" i="3" s="1"/>
  <c r="A1696" i="3"/>
  <c r="B1696" i="3" s="1"/>
  <c r="A1695" i="3"/>
  <c r="B1695" i="3" s="1"/>
  <c r="A1694" i="3"/>
  <c r="B1694" i="3" s="1"/>
  <c r="A1693" i="3"/>
  <c r="B1693" i="3" s="1"/>
  <c r="A1692" i="3"/>
  <c r="B1692" i="3" s="1"/>
  <c r="A1691" i="3"/>
  <c r="B1691" i="3" s="1"/>
  <c r="A1690" i="3"/>
  <c r="B1690" i="3" s="1"/>
  <c r="A1689" i="3"/>
  <c r="B1689" i="3" s="1"/>
  <c r="A1688" i="3"/>
  <c r="B1688" i="3" s="1"/>
  <c r="A1687" i="3"/>
  <c r="B1687" i="3" s="1"/>
  <c r="A1686" i="3"/>
  <c r="B1686" i="3" s="1"/>
  <c r="A1685" i="3"/>
  <c r="B1685" i="3" s="1"/>
  <c r="A1684" i="3"/>
  <c r="B1684" i="3" s="1"/>
  <c r="A1683" i="3"/>
  <c r="B1683" i="3" s="1"/>
  <c r="A1682" i="3"/>
  <c r="B1682" i="3" s="1"/>
  <c r="A1681" i="3"/>
  <c r="B1681" i="3" s="1"/>
  <c r="A1680" i="3"/>
  <c r="B1680" i="3" s="1"/>
  <c r="A1679" i="3"/>
  <c r="B1679" i="3" s="1"/>
  <c r="A1678" i="3"/>
  <c r="B1678" i="3" s="1"/>
  <c r="A1677" i="3"/>
  <c r="B1677" i="3" s="1"/>
  <c r="A1676" i="3"/>
  <c r="B1676" i="3" s="1"/>
  <c r="A1675" i="3"/>
  <c r="B1675" i="3" s="1"/>
  <c r="A1674" i="3"/>
  <c r="B1674" i="3" s="1"/>
  <c r="A1673" i="3"/>
  <c r="B1673" i="3" s="1"/>
  <c r="A1672" i="3"/>
  <c r="B1672" i="3" s="1"/>
  <c r="A1671" i="3"/>
  <c r="B1671" i="3" s="1"/>
  <c r="A1670" i="3"/>
  <c r="B1670" i="3" s="1"/>
  <c r="A1669" i="3"/>
  <c r="B1669" i="3" s="1"/>
  <c r="A1668" i="3"/>
  <c r="B1668" i="3" s="1"/>
  <c r="A1667" i="3"/>
  <c r="B1667" i="3" s="1"/>
  <c r="A1666" i="3"/>
  <c r="B1666" i="3" s="1"/>
  <c r="A1665" i="3"/>
  <c r="B1665" i="3" s="1"/>
  <c r="A1664" i="3"/>
  <c r="B1664" i="3" s="1"/>
  <c r="A1663" i="3"/>
  <c r="B1663" i="3" s="1"/>
  <c r="A1662" i="3"/>
  <c r="B1662" i="3" s="1"/>
  <c r="A1661" i="3"/>
  <c r="B1661" i="3" s="1"/>
  <c r="A1660" i="3"/>
  <c r="B1660" i="3" s="1"/>
  <c r="A1659" i="3"/>
  <c r="B1659" i="3" s="1"/>
  <c r="A1658" i="3"/>
  <c r="B1658" i="3" s="1"/>
  <c r="A1657" i="3"/>
  <c r="B1657" i="3" s="1"/>
  <c r="A1656" i="3"/>
  <c r="B1656" i="3" s="1"/>
  <c r="A1655" i="3"/>
  <c r="B1655" i="3" s="1"/>
  <c r="A1654" i="3"/>
  <c r="B1654" i="3" s="1"/>
  <c r="A1653" i="3"/>
  <c r="B1653" i="3" s="1"/>
  <c r="A1652" i="3"/>
  <c r="B1652" i="3" s="1"/>
  <c r="A1651" i="3"/>
  <c r="B1651" i="3" s="1"/>
  <c r="A1650" i="3"/>
  <c r="B1650" i="3" s="1"/>
  <c r="A1649" i="3"/>
  <c r="B1649" i="3" s="1"/>
  <c r="A1648" i="3"/>
  <c r="B1648" i="3" s="1"/>
  <c r="A1647" i="3"/>
  <c r="B1647" i="3" s="1"/>
  <c r="A1646" i="3"/>
  <c r="B1646" i="3" s="1"/>
  <c r="A1645" i="3"/>
  <c r="B1645" i="3" s="1"/>
  <c r="A1644" i="3"/>
  <c r="B1644" i="3" s="1"/>
  <c r="A1643" i="3"/>
  <c r="B1643" i="3" s="1"/>
  <c r="A1642" i="3"/>
  <c r="B1642" i="3" s="1"/>
  <c r="A1641" i="3"/>
  <c r="B1641" i="3" s="1"/>
  <c r="A1640" i="3"/>
  <c r="B1640" i="3" s="1"/>
  <c r="A1639" i="3"/>
  <c r="B1639" i="3" s="1"/>
  <c r="A1638" i="3"/>
  <c r="B1638" i="3" s="1"/>
  <c r="A1637" i="3"/>
  <c r="B1637" i="3" s="1"/>
  <c r="A1636" i="3"/>
  <c r="B1636" i="3" s="1"/>
  <c r="A1635" i="3"/>
  <c r="B1635" i="3" s="1"/>
  <c r="A1634" i="3"/>
  <c r="B1634" i="3" s="1"/>
  <c r="A1633" i="3"/>
  <c r="B1633" i="3" s="1"/>
  <c r="A1632" i="3"/>
  <c r="B1632" i="3" s="1"/>
  <c r="A1631" i="3"/>
  <c r="B1631" i="3" s="1"/>
  <c r="A1630" i="3"/>
  <c r="B1630" i="3" s="1"/>
  <c r="A1629" i="3"/>
  <c r="B1629" i="3" s="1"/>
  <c r="A1628" i="3"/>
  <c r="B1628" i="3" s="1"/>
  <c r="A1627" i="3"/>
  <c r="B1627" i="3" s="1"/>
  <c r="A1626" i="3"/>
  <c r="B1626" i="3" s="1"/>
  <c r="A1625" i="3"/>
  <c r="B1625" i="3" s="1"/>
  <c r="A1624" i="3"/>
  <c r="B1624" i="3" s="1"/>
  <c r="A1623" i="3"/>
  <c r="B1623" i="3" s="1"/>
  <c r="A1622" i="3"/>
  <c r="B1622" i="3" s="1"/>
  <c r="A1621" i="3"/>
  <c r="B1621" i="3" s="1"/>
  <c r="A1620" i="3"/>
  <c r="B1620" i="3" s="1"/>
  <c r="A1619" i="3"/>
  <c r="B1619" i="3" s="1"/>
  <c r="A1618" i="3"/>
  <c r="B1618" i="3" s="1"/>
  <c r="A1617" i="3"/>
  <c r="B1617" i="3" s="1"/>
  <c r="A1616" i="3"/>
  <c r="B1616" i="3" s="1"/>
  <c r="A1615" i="3"/>
  <c r="B1615" i="3" s="1"/>
  <c r="A1614" i="3"/>
  <c r="B1614" i="3" s="1"/>
  <c r="A1613" i="3"/>
  <c r="B1613" i="3" s="1"/>
  <c r="A1612" i="3"/>
  <c r="B1612" i="3" s="1"/>
  <c r="A1611" i="3"/>
  <c r="B1611" i="3" s="1"/>
  <c r="A1610" i="3"/>
  <c r="B1610" i="3" s="1"/>
  <c r="A1609" i="3"/>
  <c r="B1609" i="3" s="1"/>
  <c r="A1608" i="3"/>
  <c r="B1608" i="3" s="1"/>
  <c r="A1607" i="3"/>
  <c r="B1607" i="3" s="1"/>
  <c r="A1606" i="3"/>
  <c r="B1606" i="3" s="1"/>
  <c r="A1605" i="3"/>
  <c r="B1605" i="3" s="1"/>
  <c r="A1604" i="3"/>
  <c r="B1604" i="3" s="1"/>
  <c r="A1603" i="3"/>
  <c r="B1603" i="3" s="1"/>
  <c r="A1602" i="3"/>
  <c r="B1602" i="3" s="1"/>
  <c r="A1601" i="3"/>
  <c r="B1601" i="3" s="1"/>
  <c r="A1600" i="3"/>
  <c r="B1600" i="3" s="1"/>
  <c r="A1599" i="3"/>
  <c r="B1599" i="3" s="1"/>
  <c r="A1598" i="3"/>
  <c r="B1598" i="3" s="1"/>
  <c r="A1597" i="3"/>
  <c r="B1597" i="3" s="1"/>
  <c r="A1596" i="3"/>
  <c r="B1596" i="3" s="1"/>
  <c r="A1595" i="3"/>
  <c r="B1595" i="3" s="1"/>
  <c r="A1594" i="3"/>
  <c r="B1594" i="3" s="1"/>
  <c r="A1593" i="3"/>
  <c r="B1593" i="3" s="1"/>
  <c r="A1592" i="3"/>
  <c r="B1592" i="3" s="1"/>
  <c r="A1591" i="3"/>
  <c r="B1591" i="3" s="1"/>
  <c r="A1590" i="3"/>
  <c r="B1590" i="3" s="1"/>
  <c r="A1589" i="3"/>
  <c r="B1589" i="3" s="1"/>
  <c r="A1588" i="3"/>
  <c r="B1588" i="3" s="1"/>
  <c r="A1587" i="3"/>
  <c r="B1587" i="3" s="1"/>
  <c r="A1586" i="3"/>
  <c r="B1586" i="3" s="1"/>
  <c r="A1585" i="3"/>
  <c r="B1585" i="3" s="1"/>
  <c r="A1584" i="3"/>
  <c r="B1584" i="3" s="1"/>
  <c r="A1583" i="3"/>
  <c r="B1583" i="3" s="1"/>
  <c r="A1582" i="3"/>
  <c r="B1582" i="3" s="1"/>
  <c r="A1581" i="3"/>
  <c r="B1581" i="3" s="1"/>
  <c r="A1580" i="3"/>
  <c r="B1580" i="3" s="1"/>
  <c r="A1579" i="3"/>
  <c r="B1579" i="3" s="1"/>
  <c r="A1578" i="3"/>
  <c r="B1578" i="3" s="1"/>
  <c r="A1577" i="3"/>
  <c r="B1577" i="3" s="1"/>
  <c r="A1576" i="3"/>
  <c r="B1576" i="3" s="1"/>
  <c r="A1575" i="3"/>
  <c r="B1575" i="3" s="1"/>
  <c r="A1574" i="3"/>
  <c r="B1574" i="3" s="1"/>
  <c r="A1573" i="3"/>
  <c r="B1573" i="3" s="1"/>
  <c r="A1572" i="3"/>
  <c r="B1572" i="3" s="1"/>
  <c r="A1571" i="3"/>
  <c r="B1571" i="3" s="1"/>
  <c r="A1570" i="3"/>
  <c r="B1570" i="3" s="1"/>
  <c r="A1569" i="3"/>
  <c r="B1569" i="3" s="1"/>
  <c r="A1568" i="3"/>
  <c r="B1568" i="3" s="1"/>
  <c r="A1567" i="3"/>
  <c r="B1567" i="3" s="1"/>
  <c r="A1566" i="3"/>
  <c r="B1566" i="3" s="1"/>
  <c r="A1565" i="3"/>
  <c r="B1565" i="3" s="1"/>
  <c r="A1564" i="3"/>
  <c r="B1564" i="3" s="1"/>
  <c r="A1563" i="3"/>
  <c r="B1563" i="3" s="1"/>
  <c r="A1562" i="3"/>
  <c r="B1562" i="3" s="1"/>
  <c r="A1561" i="3"/>
  <c r="B1561" i="3" s="1"/>
  <c r="A1560" i="3"/>
  <c r="B1560" i="3" s="1"/>
  <c r="A1559" i="3"/>
  <c r="B1559" i="3" s="1"/>
  <c r="A1558" i="3"/>
  <c r="B1558" i="3" s="1"/>
  <c r="A1557" i="3"/>
  <c r="B1557" i="3" s="1"/>
  <c r="A1556" i="3"/>
  <c r="B1556" i="3" s="1"/>
  <c r="A1555" i="3"/>
  <c r="B1555" i="3" s="1"/>
  <c r="A1554" i="3"/>
  <c r="B1554" i="3" s="1"/>
  <c r="A1553" i="3"/>
  <c r="B1553" i="3" s="1"/>
  <c r="A1552" i="3"/>
  <c r="B1552" i="3" s="1"/>
  <c r="A1551" i="3"/>
  <c r="B1551" i="3" s="1"/>
  <c r="A1550" i="3"/>
  <c r="B1550" i="3" s="1"/>
  <c r="A1549" i="3"/>
  <c r="B1549" i="3" s="1"/>
  <c r="A1548" i="3"/>
  <c r="B1548" i="3" s="1"/>
  <c r="A1547" i="3"/>
  <c r="B1547" i="3" s="1"/>
  <c r="A1546" i="3"/>
  <c r="B1546" i="3" s="1"/>
  <c r="A1545" i="3"/>
  <c r="B1545" i="3" s="1"/>
  <c r="A1544" i="3"/>
  <c r="B1544" i="3" s="1"/>
  <c r="A1543" i="3"/>
  <c r="B1543" i="3" s="1"/>
  <c r="A1542" i="3"/>
  <c r="B1542" i="3" s="1"/>
  <c r="A1541" i="3"/>
  <c r="B1541" i="3" s="1"/>
  <c r="A1540" i="3"/>
  <c r="B1540" i="3" s="1"/>
  <c r="A1539" i="3"/>
  <c r="B1539" i="3" s="1"/>
  <c r="A1538" i="3"/>
  <c r="B1538" i="3" s="1"/>
  <c r="A1537" i="3"/>
  <c r="B1537" i="3" s="1"/>
  <c r="A1536" i="3"/>
  <c r="B1536" i="3" s="1"/>
  <c r="A1535" i="3"/>
  <c r="B1535" i="3" s="1"/>
  <c r="A1534" i="3"/>
  <c r="B1534" i="3" s="1"/>
  <c r="A1533" i="3"/>
  <c r="B1533" i="3" s="1"/>
  <c r="A1532" i="3"/>
  <c r="B1532" i="3" s="1"/>
  <c r="A1531" i="3"/>
  <c r="B1531" i="3" s="1"/>
  <c r="A1530" i="3"/>
  <c r="B1530" i="3" s="1"/>
  <c r="A1529" i="3"/>
  <c r="B1529" i="3" s="1"/>
  <c r="A1528" i="3"/>
  <c r="B1528" i="3" s="1"/>
  <c r="A1527" i="3"/>
  <c r="B1527" i="3" s="1"/>
  <c r="A1526" i="3"/>
  <c r="B1526" i="3" s="1"/>
  <c r="A1525" i="3"/>
  <c r="B1525" i="3" s="1"/>
  <c r="A1524" i="3"/>
  <c r="B1524" i="3" s="1"/>
  <c r="A1523" i="3"/>
  <c r="B1523" i="3" s="1"/>
  <c r="A1522" i="3"/>
  <c r="B1522" i="3" s="1"/>
  <c r="A1521" i="3"/>
  <c r="B1521" i="3" s="1"/>
  <c r="A1520" i="3"/>
  <c r="B1520" i="3" s="1"/>
  <c r="A1519" i="3"/>
  <c r="B1519" i="3" s="1"/>
  <c r="A1518" i="3"/>
  <c r="B1518" i="3" s="1"/>
  <c r="A1517" i="3"/>
  <c r="B1517" i="3" s="1"/>
  <c r="A1516" i="3"/>
  <c r="B1516" i="3" s="1"/>
  <c r="A1515" i="3"/>
  <c r="B1515" i="3" s="1"/>
  <c r="A1514" i="3"/>
  <c r="B1514" i="3" s="1"/>
  <c r="A1513" i="3"/>
  <c r="B1513" i="3" s="1"/>
  <c r="A1512" i="3"/>
  <c r="B1512" i="3" s="1"/>
  <c r="A1511" i="3"/>
  <c r="B1511" i="3" s="1"/>
  <c r="A1510" i="3"/>
  <c r="B1510" i="3" s="1"/>
  <c r="A1509" i="3"/>
  <c r="B1509" i="3" s="1"/>
  <c r="A1508" i="3"/>
  <c r="B1508" i="3" s="1"/>
  <c r="A1507" i="3"/>
  <c r="B1507" i="3" s="1"/>
  <c r="A1506" i="3"/>
  <c r="B1506" i="3" s="1"/>
  <c r="A1505" i="3"/>
  <c r="B1505" i="3" s="1"/>
  <c r="A1504" i="3"/>
  <c r="B1504" i="3" s="1"/>
  <c r="A1503" i="3"/>
  <c r="B1503" i="3" s="1"/>
  <c r="A1502" i="3"/>
  <c r="B1502" i="3" s="1"/>
  <c r="A1501" i="3"/>
  <c r="B1501" i="3" s="1"/>
  <c r="A1500" i="3"/>
  <c r="B1500" i="3" s="1"/>
  <c r="A1499" i="3"/>
  <c r="B1499" i="3" s="1"/>
  <c r="A1498" i="3"/>
  <c r="B1498" i="3" s="1"/>
  <c r="A1497" i="3"/>
  <c r="B1497" i="3" s="1"/>
  <c r="A1496" i="3"/>
  <c r="B1496" i="3" s="1"/>
  <c r="A1495" i="3"/>
  <c r="B1495" i="3" s="1"/>
  <c r="A1494" i="3"/>
  <c r="B1494" i="3" s="1"/>
  <c r="A1493" i="3"/>
  <c r="B1493" i="3" s="1"/>
  <c r="A1492" i="3"/>
  <c r="B1492" i="3" s="1"/>
  <c r="A1491" i="3"/>
  <c r="B1491" i="3" s="1"/>
  <c r="A1490" i="3"/>
  <c r="B1490" i="3" s="1"/>
  <c r="A1489" i="3"/>
  <c r="B1489" i="3" s="1"/>
  <c r="A1488" i="3"/>
  <c r="B1488" i="3" s="1"/>
  <c r="A1487" i="3"/>
  <c r="B1487" i="3" s="1"/>
  <c r="A1486" i="3"/>
  <c r="B1486" i="3" s="1"/>
  <c r="A1485" i="3"/>
  <c r="B1485" i="3" s="1"/>
  <c r="A1484" i="3"/>
  <c r="B1484" i="3" s="1"/>
  <c r="A1483" i="3"/>
  <c r="B1483" i="3" s="1"/>
  <c r="A1482" i="3"/>
  <c r="B1482" i="3" s="1"/>
  <c r="A1481" i="3"/>
  <c r="B1481" i="3" s="1"/>
  <c r="A1480" i="3"/>
  <c r="B1480" i="3" s="1"/>
  <c r="A1479" i="3"/>
  <c r="B1479" i="3" s="1"/>
  <c r="A1478" i="3"/>
  <c r="B1478" i="3" s="1"/>
  <c r="A1477" i="3"/>
  <c r="B1477" i="3" s="1"/>
  <c r="A1476" i="3"/>
  <c r="B1476" i="3" s="1"/>
  <c r="A1475" i="3"/>
  <c r="B1475" i="3" s="1"/>
  <c r="A1474" i="3"/>
  <c r="B1474" i="3" s="1"/>
  <c r="A1473" i="3"/>
  <c r="B1473" i="3" s="1"/>
  <c r="A1472" i="3"/>
  <c r="B1472" i="3" s="1"/>
  <c r="A1471" i="3"/>
  <c r="B1471" i="3" s="1"/>
  <c r="A1470" i="3"/>
  <c r="B1470" i="3" s="1"/>
  <c r="A1469" i="3"/>
  <c r="B1469" i="3" s="1"/>
  <c r="A1468" i="3"/>
  <c r="B1468" i="3" s="1"/>
  <c r="A1467" i="3"/>
  <c r="B1467" i="3" s="1"/>
  <c r="A1466" i="3"/>
  <c r="B1466" i="3" s="1"/>
  <c r="A1465" i="3"/>
  <c r="B1465" i="3" s="1"/>
  <c r="A1464" i="3"/>
  <c r="B1464" i="3" s="1"/>
  <c r="A1463" i="3"/>
  <c r="B1463" i="3" s="1"/>
  <c r="A1462" i="3"/>
  <c r="B1462" i="3" s="1"/>
  <c r="A1461" i="3"/>
  <c r="B1461" i="3" s="1"/>
  <c r="A1460" i="3"/>
  <c r="B1460" i="3" s="1"/>
  <c r="A1459" i="3"/>
  <c r="B1459" i="3" s="1"/>
  <c r="A1458" i="3"/>
  <c r="B1458" i="3" s="1"/>
  <c r="A1457" i="3"/>
  <c r="B1457" i="3" s="1"/>
  <c r="A1456" i="3"/>
  <c r="B1456" i="3" s="1"/>
  <c r="A1455" i="3"/>
  <c r="B1455" i="3" s="1"/>
  <c r="A1454" i="3"/>
  <c r="B1454" i="3" s="1"/>
  <c r="A1453" i="3"/>
  <c r="B1453" i="3" s="1"/>
  <c r="A1452" i="3"/>
  <c r="B1452" i="3" s="1"/>
  <c r="A1451" i="3"/>
  <c r="B1451" i="3" s="1"/>
  <c r="A1450" i="3"/>
  <c r="B1450" i="3" s="1"/>
  <c r="A1449" i="3"/>
  <c r="B1449" i="3" s="1"/>
  <c r="A1448" i="3"/>
  <c r="B1448" i="3" s="1"/>
  <c r="A1447" i="3"/>
  <c r="B1447" i="3" s="1"/>
  <c r="A1446" i="3"/>
  <c r="B1446" i="3" s="1"/>
  <c r="A1445" i="3"/>
  <c r="B1445" i="3" s="1"/>
  <c r="A1444" i="3"/>
  <c r="B1444" i="3" s="1"/>
  <c r="A1443" i="3"/>
  <c r="B1443" i="3" s="1"/>
  <c r="A1442" i="3"/>
  <c r="B1442" i="3" s="1"/>
  <c r="A1441" i="3"/>
  <c r="B1441" i="3" s="1"/>
  <c r="A1440" i="3"/>
  <c r="B1440" i="3" s="1"/>
  <c r="A1439" i="3"/>
  <c r="B1439" i="3" s="1"/>
  <c r="A1438" i="3"/>
  <c r="B1438" i="3" s="1"/>
  <c r="A1437" i="3"/>
  <c r="B1437" i="3" s="1"/>
  <c r="A1436" i="3"/>
  <c r="B1436" i="3" s="1"/>
  <c r="A1435" i="3"/>
  <c r="B1435" i="3" s="1"/>
  <c r="A1434" i="3"/>
  <c r="B1434" i="3" s="1"/>
  <c r="A1433" i="3"/>
  <c r="B1433" i="3" s="1"/>
  <c r="A1432" i="3"/>
  <c r="B1432" i="3" s="1"/>
  <c r="A1431" i="3"/>
  <c r="B1431" i="3" s="1"/>
  <c r="A1430" i="3"/>
  <c r="B1430" i="3" s="1"/>
  <c r="A1429" i="3"/>
  <c r="B1429" i="3" s="1"/>
  <c r="A1428" i="3"/>
  <c r="B1428" i="3" s="1"/>
  <c r="A1427" i="3"/>
  <c r="B1427" i="3" s="1"/>
  <c r="A1426" i="3"/>
  <c r="B1426" i="3" s="1"/>
  <c r="A1425" i="3"/>
  <c r="B1425" i="3" s="1"/>
  <c r="A1424" i="3"/>
  <c r="B1424" i="3" s="1"/>
  <c r="A1423" i="3"/>
  <c r="B1423" i="3" s="1"/>
  <c r="A1422" i="3"/>
  <c r="B1422" i="3" s="1"/>
  <c r="A1421" i="3"/>
  <c r="B1421" i="3" s="1"/>
  <c r="A1420" i="3"/>
  <c r="B1420" i="3" s="1"/>
  <c r="A1419" i="3"/>
  <c r="B1419" i="3" s="1"/>
  <c r="A1418" i="3"/>
  <c r="B1418" i="3" s="1"/>
  <c r="A1417" i="3"/>
  <c r="B1417" i="3" s="1"/>
  <c r="A1416" i="3"/>
  <c r="B1416" i="3" s="1"/>
  <c r="A1415" i="3"/>
  <c r="B1415" i="3" s="1"/>
  <c r="A1414" i="3"/>
  <c r="B1414" i="3" s="1"/>
  <c r="A1413" i="3"/>
  <c r="B1413" i="3" s="1"/>
  <c r="A1412" i="3"/>
  <c r="B1412" i="3" s="1"/>
  <c r="A1411" i="3"/>
  <c r="B1411" i="3" s="1"/>
  <c r="A1410" i="3"/>
  <c r="B1410" i="3" s="1"/>
  <c r="A1409" i="3"/>
  <c r="B1409" i="3" s="1"/>
  <c r="A1408" i="3"/>
  <c r="B1408" i="3" s="1"/>
  <c r="A1407" i="3"/>
  <c r="B1407" i="3" s="1"/>
  <c r="A1406" i="3"/>
  <c r="B1406" i="3" s="1"/>
  <c r="A1405" i="3"/>
  <c r="B1405" i="3" s="1"/>
  <c r="A1404" i="3"/>
  <c r="B1404" i="3" s="1"/>
  <c r="A1403" i="3"/>
  <c r="B1403" i="3" s="1"/>
  <c r="A1402" i="3"/>
  <c r="B1402" i="3" s="1"/>
  <c r="A1401" i="3"/>
  <c r="B1401" i="3" s="1"/>
  <c r="A1400" i="3"/>
  <c r="B1400" i="3" s="1"/>
  <c r="A1399" i="3"/>
  <c r="B1399" i="3" s="1"/>
  <c r="A1398" i="3"/>
  <c r="B1398" i="3" s="1"/>
  <c r="A1397" i="3"/>
  <c r="B1397" i="3" s="1"/>
  <c r="A1396" i="3"/>
  <c r="B1396" i="3" s="1"/>
  <c r="A1395" i="3"/>
  <c r="B1395" i="3" s="1"/>
  <c r="A1394" i="3"/>
  <c r="B1394" i="3" s="1"/>
  <c r="A1393" i="3"/>
  <c r="B1393" i="3" s="1"/>
  <c r="A1392" i="3"/>
  <c r="B1392" i="3" s="1"/>
  <c r="A1391" i="3"/>
  <c r="B1391" i="3" s="1"/>
  <c r="A1390" i="3"/>
  <c r="B1390" i="3" s="1"/>
  <c r="A1389" i="3"/>
  <c r="B1389" i="3" s="1"/>
  <c r="A1388" i="3"/>
  <c r="B1388" i="3" s="1"/>
  <c r="A1387" i="3"/>
  <c r="B1387" i="3" s="1"/>
  <c r="A1386" i="3"/>
  <c r="B1386" i="3" s="1"/>
  <c r="A1385" i="3"/>
  <c r="B1385" i="3" s="1"/>
  <c r="A1384" i="3"/>
  <c r="B1384" i="3" s="1"/>
  <c r="A1383" i="3"/>
  <c r="B1383" i="3" s="1"/>
  <c r="A1382" i="3"/>
  <c r="B1382" i="3" s="1"/>
  <c r="A1381" i="3"/>
  <c r="B1381" i="3" s="1"/>
  <c r="A1380" i="3"/>
  <c r="B1380" i="3" s="1"/>
  <c r="A1379" i="3"/>
  <c r="B1379" i="3" s="1"/>
  <c r="A1378" i="3"/>
  <c r="B1378" i="3" s="1"/>
  <c r="A1377" i="3"/>
  <c r="B1377" i="3" s="1"/>
  <c r="A1376" i="3"/>
  <c r="B1376" i="3" s="1"/>
  <c r="A1375" i="3"/>
  <c r="B1375" i="3" s="1"/>
  <c r="A1374" i="3"/>
  <c r="B1374" i="3" s="1"/>
  <c r="A1373" i="3"/>
  <c r="B1373" i="3" s="1"/>
  <c r="A1372" i="3"/>
  <c r="B1372" i="3" s="1"/>
  <c r="A1371" i="3"/>
  <c r="B1371" i="3" s="1"/>
  <c r="A1370" i="3"/>
  <c r="B1370" i="3" s="1"/>
  <c r="A1369" i="3"/>
  <c r="B1369" i="3" s="1"/>
  <c r="A1368" i="3"/>
  <c r="B1368" i="3" s="1"/>
  <c r="A1367" i="3"/>
  <c r="B1367" i="3" s="1"/>
  <c r="A1366" i="3"/>
  <c r="B1366" i="3" s="1"/>
  <c r="A1365" i="3"/>
  <c r="B1365" i="3" s="1"/>
  <c r="A1364" i="3"/>
  <c r="B1364" i="3" s="1"/>
  <c r="A1363" i="3"/>
  <c r="B1363" i="3" s="1"/>
  <c r="A1362" i="3"/>
  <c r="B1362" i="3" s="1"/>
  <c r="A1361" i="3"/>
  <c r="B1361" i="3" s="1"/>
  <c r="A1360" i="3"/>
  <c r="B1360" i="3" s="1"/>
  <c r="A1359" i="3"/>
  <c r="B1359" i="3" s="1"/>
  <c r="A1358" i="3"/>
  <c r="B1358" i="3" s="1"/>
  <c r="A1357" i="3"/>
  <c r="B1357" i="3" s="1"/>
  <c r="A1356" i="3"/>
  <c r="B1356" i="3" s="1"/>
  <c r="A1355" i="3"/>
  <c r="B1355" i="3" s="1"/>
  <c r="A1354" i="3"/>
  <c r="B1354" i="3" s="1"/>
  <c r="A1353" i="3"/>
  <c r="B1353" i="3" s="1"/>
  <c r="A1352" i="3"/>
  <c r="B1352" i="3" s="1"/>
  <c r="A1351" i="3"/>
  <c r="B1351" i="3" s="1"/>
  <c r="A1350" i="3"/>
  <c r="B1350" i="3" s="1"/>
  <c r="A1349" i="3"/>
  <c r="B1349" i="3" s="1"/>
  <c r="A1348" i="3"/>
  <c r="B1348" i="3" s="1"/>
  <c r="A1347" i="3"/>
  <c r="B1347" i="3" s="1"/>
  <c r="A1346" i="3"/>
  <c r="B1346" i="3" s="1"/>
  <c r="A1345" i="3"/>
  <c r="B1345" i="3" s="1"/>
  <c r="A1344" i="3"/>
  <c r="B1344" i="3" s="1"/>
  <c r="A1343" i="3"/>
  <c r="B1343" i="3" s="1"/>
  <c r="A1342" i="3"/>
  <c r="B1342" i="3" s="1"/>
  <c r="A1341" i="3"/>
  <c r="B1341" i="3" s="1"/>
  <c r="A1340" i="3"/>
  <c r="B1340" i="3" s="1"/>
  <c r="A1339" i="3"/>
  <c r="B1339" i="3" s="1"/>
  <c r="A1338" i="3"/>
  <c r="B1338" i="3" s="1"/>
  <c r="A1337" i="3"/>
  <c r="B1337" i="3" s="1"/>
  <c r="A1336" i="3"/>
  <c r="B1336" i="3" s="1"/>
  <c r="A1335" i="3"/>
  <c r="B1335" i="3" s="1"/>
  <c r="A1334" i="3"/>
  <c r="B1334" i="3" s="1"/>
  <c r="A1333" i="3"/>
  <c r="B1333" i="3" s="1"/>
  <c r="A1332" i="3"/>
  <c r="B1332" i="3" s="1"/>
  <c r="A1331" i="3"/>
  <c r="B1331" i="3" s="1"/>
  <c r="A1330" i="3"/>
  <c r="B1330" i="3" s="1"/>
  <c r="A1329" i="3"/>
  <c r="B1329" i="3" s="1"/>
  <c r="A1328" i="3"/>
  <c r="B1328" i="3" s="1"/>
  <c r="A1327" i="3"/>
  <c r="B1327" i="3" s="1"/>
  <c r="A1326" i="3"/>
  <c r="B1326" i="3" s="1"/>
  <c r="A1325" i="3"/>
  <c r="B1325" i="3" s="1"/>
  <c r="A1324" i="3"/>
  <c r="B1324" i="3" s="1"/>
  <c r="A1323" i="3"/>
  <c r="B1323" i="3" s="1"/>
  <c r="A1322" i="3"/>
  <c r="B1322" i="3" s="1"/>
  <c r="A1321" i="3"/>
  <c r="B1321" i="3" s="1"/>
  <c r="A1320" i="3"/>
  <c r="B1320" i="3" s="1"/>
  <c r="A1319" i="3"/>
  <c r="B1319" i="3" s="1"/>
  <c r="A1318" i="3"/>
  <c r="B1318" i="3" s="1"/>
  <c r="A1317" i="3"/>
  <c r="B1317" i="3" s="1"/>
  <c r="A1316" i="3"/>
  <c r="B1316" i="3" s="1"/>
  <c r="A1315" i="3"/>
  <c r="B1315" i="3" s="1"/>
  <c r="A1314" i="3"/>
  <c r="B1314" i="3" s="1"/>
  <c r="A1313" i="3"/>
  <c r="B1313" i="3" s="1"/>
  <c r="A1312" i="3"/>
  <c r="B1312" i="3" s="1"/>
  <c r="A1311" i="3"/>
  <c r="B1311" i="3" s="1"/>
  <c r="A1310" i="3"/>
  <c r="B1310" i="3" s="1"/>
  <c r="A1309" i="3"/>
  <c r="B1309" i="3" s="1"/>
  <c r="A1308" i="3"/>
  <c r="B1308" i="3" s="1"/>
  <c r="A1307" i="3"/>
  <c r="B1307" i="3" s="1"/>
  <c r="A1306" i="3"/>
  <c r="B1306" i="3" s="1"/>
  <c r="A1305" i="3"/>
  <c r="B1305" i="3" s="1"/>
  <c r="A1304" i="3"/>
  <c r="B1304" i="3" s="1"/>
  <c r="A1303" i="3"/>
  <c r="B1303" i="3" s="1"/>
  <c r="A1302" i="3"/>
  <c r="B1302" i="3" s="1"/>
  <c r="A1301" i="3"/>
  <c r="B1301" i="3" s="1"/>
  <c r="A1300" i="3"/>
  <c r="B1300" i="3" s="1"/>
  <c r="A1299" i="3"/>
  <c r="B1299" i="3" s="1"/>
  <c r="A1298" i="3"/>
  <c r="B1298" i="3" s="1"/>
  <c r="A1297" i="3"/>
  <c r="B1297" i="3" s="1"/>
  <c r="A1296" i="3"/>
  <c r="B1296" i="3" s="1"/>
  <c r="A1295" i="3"/>
  <c r="B1295" i="3" s="1"/>
  <c r="A1294" i="3"/>
  <c r="B1294" i="3" s="1"/>
  <c r="A1293" i="3"/>
  <c r="B1293" i="3" s="1"/>
  <c r="A1292" i="3"/>
  <c r="B1292" i="3" s="1"/>
  <c r="A1291" i="3"/>
  <c r="B1291" i="3" s="1"/>
  <c r="A1290" i="3"/>
  <c r="B1290" i="3" s="1"/>
  <c r="A1289" i="3"/>
  <c r="B1289" i="3" s="1"/>
  <c r="A1288" i="3"/>
  <c r="B1288" i="3" s="1"/>
  <c r="A1287" i="3"/>
  <c r="B1287" i="3" s="1"/>
  <c r="A1286" i="3"/>
  <c r="B1286" i="3" s="1"/>
  <c r="A1285" i="3"/>
  <c r="B1285" i="3" s="1"/>
  <c r="A1284" i="3"/>
  <c r="B1284" i="3" s="1"/>
  <c r="A1283" i="3"/>
  <c r="B1283" i="3" s="1"/>
  <c r="A1282" i="3"/>
  <c r="B1282" i="3" s="1"/>
  <c r="A1281" i="3"/>
  <c r="B1281" i="3" s="1"/>
  <c r="A1280" i="3"/>
  <c r="B1280" i="3" s="1"/>
  <c r="A1279" i="3"/>
  <c r="B1279" i="3" s="1"/>
  <c r="A1278" i="3"/>
  <c r="B1278" i="3" s="1"/>
  <c r="A1277" i="3"/>
  <c r="B1277" i="3" s="1"/>
  <c r="A1276" i="3"/>
  <c r="B1276" i="3" s="1"/>
  <c r="A1275" i="3"/>
  <c r="B1275" i="3" s="1"/>
  <c r="A1274" i="3"/>
  <c r="B1274" i="3" s="1"/>
  <c r="A1273" i="3"/>
  <c r="B1273" i="3" s="1"/>
  <c r="A1272" i="3"/>
  <c r="B1272" i="3" s="1"/>
  <c r="A1271" i="3"/>
  <c r="B1271" i="3" s="1"/>
  <c r="A1270" i="3"/>
  <c r="B1270" i="3" s="1"/>
  <c r="A1269" i="3"/>
  <c r="B1269" i="3" s="1"/>
  <c r="A1268" i="3"/>
  <c r="B1268" i="3" s="1"/>
  <c r="A1267" i="3"/>
  <c r="B1267" i="3" s="1"/>
  <c r="A1266" i="3"/>
  <c r="B1266" i="3" s="1"/>
  <c r="A1265" i="3"/>
  <c r="B1265" i="3" s="1"/>
  <c r="A1264" i="3"/>
  <c r="B1264" i="3" s="1"/>
  <c r="A1263" i="3"/>
  <c r="B1263" i="3" s="1"/>
  <c r="A1262" i="3"/>
  <c r="B1262" i="3" s="1"/>
  <c r="A1261" i="3"/>
  <c r="B1261" i="3" s="1"/>
  <c r="A1260" i="3"/>
  <c r="B1260" i="3" s="1"/>
  <c r="A1259" i="3"/>
  <c r="B1259" i="3" s="1"/>
  <c r="A1258" i="3"/>
  <c r="B1258" i="3" s="1"/>
  <c r="A1257" i="3"/>
  <c r="B1257" i="3" s="1"/>
  <c r="A1256" i="3"/>
  <c r="B1256" i="3" s="1"/>
  <c r="A1255" i="3"/>
  <c r="B1255" i="3" s="1"/>
  <c r="A1254" i="3"/>
  <c r="B1254" i="3" s="1"/>
  <c r="A1253" i="3"/>
  <c r="B1253" i="3" s="1"/>
  <c r="A1252" i="3"/>
  <c r="B1252" i="3" s="1"/>
  <c r="A1251" i="3"/>
  <c r="B1251" i="3" s="1"/>
  <c r="A1250" i="3"/>
  <c r="B1250" i="3" s="1"/>
  <c r="A1249" i="3"/>
  <c r="B1249" i="3" s="1"/>
  <c r="A1248" i="3"/>
  <c r="B1248" i="3" s="1"/>
  <c r="A1247" i="3"/>
  <c r="B1247" i="3" s="1"/>
  <c r="A1246" i="3"/>
  <c r="B1246" i="3" s="1"/>
  <c r="A1245" i="3"/>
  <c r="B1245" i="3" s="1"/>
  <c r="A1244" i="3"/>
  <c r="B1244" i="3" s="1"/>
  <c r="A1243" i="3"/>
  <c r="B1243" i="3" s="1"/>
  <c r="A1242" i="3"/>
  <c r="B1242" i="3" s="1"/>
  <c r="A1241" i="3"/>
  <c r="B1241" i="3" s="1"/>
  <c r="A1240" i="3"/>
  <c r="B1240" i="3" s="1"/>
  <c r="A1239" i="3"/>
  <c r="B1239" i="3" s="1"/>
  <c r="A1238" i="3"/>
  <c r="B1238" i="3" s="1"/>
  <c r="A1237" i="3"/>
  <c r="B1237" i="3" s="1"/>
  <c r="A1236" i="3"/>
  <c r="B1236" i="3" s="1"/>
  <c r="A1235" i="3"/>
  <c r="B1235" i="3" s="1"/>
  <c r="A1234" i="3"/>
  <c r="B1234" i="3" s="1"/>
  <c r="A1233" i="3"/>
  <c r="B1233" i="3" s="1"/>
  <c r="A1232" i="3"/>
  <c r="B1232" i="3" s="1"/>
  <c r="A1231" i="3"/>
  <c r="B1231" i="3" s="1"/>
  <c r="A1230" i="3"/>
  <c r="B1230" i="3" s="1"/>
  <c r="A1229" i="3"/>
  <c r="B1229" i="3" s="1"/>
  <c r="A1228" i="3"/>
  <c r="B1228" i="3" s="1"/>
  <c r="A1227" i="3"/>
  <c r="B1227" i="3" s="1"/>
  <c r="A1226" i="3"/>
  <c r="B1226" i="3" s="1"/>
  <c r="A1225" i="3"/>
  <c r="B1225" i="3" s="1"/>
  <c r="A1224" i="3"/>
  <c r="B1224" i="3" s="1"/>
  <c r="A1223" i="3"/>
  <c r="B1223" i="3" s="1"/>
  <c r="A1222" i="3"/>
  <c r="B1222" i="3" s="1"/>
  <c r="A1221" i="3"/>
  <c r="B1221" i="3" s="1"/>
  <c r="A1220" i="3"/>
  <c r="B1220" i="3" s="1"/>
  <c r="A1219" i="3"/>
  <c r="B1219" i="3" s="1"/>
  <c r="A1218" i="3"/>
  <c r="B1218" i="3" s="1"/>
  <c r="A1217" i="3"/>
  <c r="B1217" i="3" s="1"/>
  <c r="A1216" i="3"/>
  <c r="B1216" i="3" s="1"/>
  <c r="A1215" i="3"/>
  <c r="B1215" i="3" s="1"/>
  <c r="A1214" i="3"/>
  <c r="B1214" i="3" s="1"/>
  <c r="A1213" i="3"/>
  <c r="B1213" i="3" s="1"/>
  <c r="A1212" i="3"/>
  <c r="B1212" i="3" s="1"/>
  <c r="A1211" i="3"/>
  <c r="B1211" i="3" s="1"/>
  <c r="A1210" i="3"/>
  <c r="B1210" i="3" s="1"/>
  <c r="A1209" i="3"/>
  <c r="B1209" i="3" s="1"/>
  <c r="A1208" i="3"/>
  <c r="B1208" i="3" s="1"/>
  <c r="A1207" i="3"/>
  <c r="B1207" i="3" s="1"/>
  <c r="A1206" i="3"/>
  <c r="B1206" i="3" s="1"/>
  <c r="A1205" i="3"/>
  <c r="B1205" i="3" s="1"/>
  <c r="A1204" i="3"/>
  <c r="B1204" i="3" s="1"/>
  <c r="A1203" i="3"/>
  <c r="B1203" i="3" s="1"/>
  <c r="A1202" i="3"/>
  <c r="B1202" i="3" s="1"/>
  <c r="A1201" i="3"/>
  <c r="B1201" i="3" s="1"/>
  <c r="A1200" i="3"/>
  <c r="B1200" i="3" s="1"/>
  <c r="A1199" i="3"/>
  <c r="B1199" i="3" s="1"/>
  <c r="A1198" i="3"/>
  <c r="B1198" i="3" s="1"/>
  <c r="A1197" i="3"/>
  <c r="B1197" i="3" s="1"/>
  <c r="A1196" i="3"/>
  <c r="B1196" i="3" s="1"/>
  <c r="A1195" i="3"/>
  <c r="B1195" i="3" s="1"/>
  <c r="A1194" i="3"/>
  <c r="B1194" i="3" s="1"/>
  <c r="A1193" i="3"/>
  <c r="B1193" i="3" s="1"/>
  <c r="A1192" i="3"/>
  <c r="B1192" i="3" s="1"/>
  <c r="A1191" i="3"/>
  <c r="B1191" i="3" s="1"/>
  <c r="A1190" i="3"/>
  <c r="B1190" i="3" s="1"/>
  <c r="A1189" i="3"/>
  <c r="B1189" i="3" s="1"/>
  <c r="A1188" i="3"/>
  <c r="B1188" i="3" s="1"/>
  <c r="A1187" i="3"/>
  <c r="B1187" i="3" s="1"/>
  <c r="A1186" i="3"/>
  <c r="B1186" i="3" s="1"/>
  <c r="A1185" i="3"/>
  <c r="B1185" i="3" s="1"/>
  <c r="A1184" i="3"/>
  <c r="B1184" i="3" s="1"/>
  <c r="A1183" i="3"/>
  <c r="B1183" i="3" s="1"/>
  <c r="A1182" i="3"/>
  <c r="B1182" i="3" s="1"/>
  <c r="A1181" i="3"/>
  <c r="B1181" i="3" s="1"/>
  <c r="A1180" i="3"/>
  <c r="B1180" i="3" s="1"/>
  <c r="A1179" i="3"/>
  <c r="B1179" i="3" s="1"/>
  <c r="A1178" i="3"/>
  <c r="B1178" i="3" s="1"/>
  <c r="A1177" i="3"/>
  <c r="B1177" i="3" s="1"/>
  <c r="A1176" i="3"/>
  <c r="B1176" i="3" s="1"/>
  <c r="A1175" i="3"/>
  <c r="B1175" i="3" s="1"/>
  <c r="A1174" i="3"/>
  <c r="B1174" i="3" s="1"/>
  <c r="A1173" i="3"/>
  <c r="B1173" i="3" s="1"/>
  <c r="A1172" i="3"/>
  <c r="B1172" i="3" s="1"/>
  <c r="A1171" i="3"/>
  <c r="B1171" i="3" s="1"/>
  <c r="A1170" i="3"/>
  <c r="B1170" i="3" s="1"/>
  <c r="A1169" i="3"/>
  <c r="B1169" i="3" s="1"/>
  <c r="A1168" i="3"/>
  <c r="B1168" i="3" s="1"/>
  <c r="A1167" i="3"/>
  <c r="B1167" i="3" s="1"/>
  <c r="A1166" i="3"/>
  <c r="B1166" i="3" s="1"/>
  <c r="A1165" i="3"/>
  <c r="B1165" i="3" s="1"/>
  <c r="A1164" i="3"/>
  <c r="B1164" i="3" s="1"/>
  <c r="A1163" i="3"/>
  <c r="B1163" i="3" s="1"/>
  <c r="A1162" i="3"/>
  <c r="B1162" i="3" s="1"/>
  <c r="A1161" i="3"/>
  <c r="B1161" i="3" s="1"/>
  <c r="A1160" i="3"/>
  <c r="B1160" i="3" s="1"/>
  <c r="A1159" i="3"/>
  <c r="B1159" i="3" s="1"/>
  <c r="A1158" i="3"/>
  <c r="B1158" i="3" s="1"/>
  <c r="A1157" i="3"/>
  <c r="B1157" i="3" s="1"/>
  <c r="A1156" i="3"/>
  <c r="B1156" i="3" s="1"/>
  <c r="A1155" i="3"/>
  <c r="B1155" i="3" s="1"/>
  <c r="A1154" i="3"/>
  <c r="B1154" i="3" s="1"/>
  <c r="A1153" i="3"/>
  <c r="B1153" i="3" s="1"/>
  <c r="A1152" i="3"/>
  <c r="B1152" i="3" s="1"/>
  <c r="A1151" i="3"/>
  <c r="B1151" i="3" s="1"/>
  <c r="A1150" i="3"/>
  <c r="B1150" i="3" s="1"/>
  <c r="A1149" i="3"/>
  <c r="B1149" i="3" s="1"/>
  <c r="A1148" i="3"/>
  <c r="B1148" i="3" s="1"/>
  <c r="A1147" i="3"/>
  <c r="B1147" i="3" s="1"/>
  <c r="A1146" i="3"/>
  <c r="B1146" i="3" s="1"/>
  <c r="A1145" i="3"/>
  <c r="B1145" i="3" s="1"/>
  <c r="A1144" i="3"/>
  <c r="B1144" i="3" s="1"/>
  <c r="A1143" i="3"/>
  <c r="B1143" i="3" s="1"/>
  <c r="A1142" i="3"/>
  <c r="B1142" i="3" s="1"/>
  <c r="A1141" i="3"/>
  <c r="B1141" i="3" s="1"/>
  <c r="A1140" i="3"/>
  <c r="B1140" i="3" s="1"/>
  <c r="A1139" i="3"/>
  <c r="B1139" i="3" s="1"/>
  <c r="A1138" i="3"/>
  <c r="B1138" i="3" s="1"/>
  <c r="A1137" i="3"/>
  <c r="B1137" i="3" s="1"/>
  <c r="A1136" i="3"/>
  <c r="B1136" i="3" s="1"/>
  <c r="A1135" i="3"/>
  <c r="B1135" i="3" s="1"/>
  <c r="A1134" i="3"/>
  <c r="B1134" i="3" s="1"/>
  <c r="A1133" i="3"/>
  <c r="B1133" i="3" s="1"/>
  <c r="A1132" i="3"/>
  <c r="B1132" i="3" s="1"/>
  <c r="A1131" i="3"/>
  <c r="B1131" i="3" s="1"/>
  <c r="A1130" i="3"/>
  <c r="B1130" i="3" s="1"/>
  <c r="A1129" i="3"/>
  <c r="B1129" i="3" s="1"/>
  <c r="A1128" i="3"/>
  <c r="B1128" i="3" s="1"/>
  <c r="A1127" i="3"/>
  <c r="B1127" i="3" s="1"/>
  <c r="A1126" i="3"/>
  <c r="B1126" i="3" s="1"/>
  <c r="A1125" i="3"/>
  <c r="B1125" i="3" s="1"/>
  <c r="A1124" i="3"/>
  <c r="B1124" i="3" s="1"/>
  <c r="A1123" i="3"/>
  <c r="B1123" i="3" s="1"/>
  <c r="A1122" i="3"/>
  <c r="B1122" i="3" s="1"/>
  <c r="A1121" i="3"/>
  <c r="B1121" i="3" s="1"/>
  <c r="A1120" i="3"/>
  <c r="B1120" i="3" s="1"/>
  <c r="A1119" i="3"/>
  <c r="B1119" i="3" s="1"/>
  <c r="A1118" i="3"/>
  <c r="B1118" i="3" s="1"/>
  <c r="A1117" i="3"/>
  <c r="B1117" i="3" s="1"/>
  <c r="A1116" i="3"/>
  <c r="B1116" i="3" s="1"/>
  <c r="A1115" i="3"/>
  <c r="B1115" i="3" s="1"/>
  <c r="A1114" i="3"/>
  <c r="B1114" i="3" s="1"/>
  <c r="A1113" i="3"/>
  <c r="B1113" i="3" s="1"/>
  <c r="A1112" i="3"/>
  <c r="B1112" i="3" s="1"/>
  <c r="A1111" i="3"/>
  <c r="B1111" i="3" s="1"/>
  <c r="A1110" i="3"/>
  <c r="B1110" i="3" s="1"/>
  <c r="A1109" i="3"/>
  <c r="B1109" i="3" s="1"/>
  <c r="A1108" i="3"/>
  <c r="B1108" i="3" s="1"/>
  <c r="A1107" i="3"/>
  <c r="B1107" i="3" s="1"/>
  <c r="A1106" i="3"/>
  <c r="B1106" i="3" s="1"/>
  <c r="A1105" i="3"/>
  <c r="B1105" i="3" s="1"/>
  <c r="A1104" i="3"/>
  <c r="B1104" i="3" s="1"/>
  <c r="A1103" i="3"/>
  <c r="B1103" i="3" s="1"/>
  <c r="A1102" i="3"/>
  <c r="B1102" i="3" s="1"/>
  <c r="A1101" i="3"/>
  <c r="B1101" i="3" s="1"/>
  <c r="A1100" i="3"/>
  <c r="B1100" i="3" s="1"/>
  <c r="A1099" i="3"/>
  <c r="B1099" i="3" s="1"/>
  <c r="A1098" i="3"/>
  <c r="B1098" i="3" s="1"/>
  <c r="A1097" i="3"/>
  <c r="B1097" i="3" s="1"/>
  <c r="A1096" i="3"/>
  <c r="B1096" i="3" s="1"/>
  <c r="A1095" i="3"/>
  <c r="B1095" i="3" s="1"/>
  <c r="A1094" i="3"/>
  <c r="B1094" i="3" s="1"/>
  <c r="A1093" i="3"/>
  <c r="B1093" i="3" s="1"/>
  <c r="A1092" i="3"/>
  <c r="B1092" i="3" s="1"/>
  <c r="A1091" i="3"/>
  <c r="B1091" i="3" s="1"/>
  <c r="A1090" i="3"/>
  <c r="B1090" i="3" s="1"/>
  <c r="A1089" i="3"/>
  <c r="B1089" i="3" s="1"/>
  <c r="A1088" i="3"/>
  <c r="B1088" i="3" s="1"/>
  <c r="A1087" i="3"/>
  <c r="B1087" i="3" s="1"/>
  <c r="A1086" i="3"/>
  <c r="B1086" i="3" s="1"/>
  <c r="A1085" i="3"/>
  <c r="B1085" i="3" s="1"/>
  <c r="A1084" i="3"/>
  <c r="B1084" i="3" s="1"/>
  <c r="A1083" i="3"/>
  <c r="B1083" i="3" s="1"/>
  <c r="A1082" i="3"/>
  <c r="B1082" i="3" s="1"/>
  <c r="A1081" i="3"/>
  <c r="B1081" i="3" s="1"/>
  <c r="A1080" i="3"/>
  <c r="B1080" i="3" s="1"/>
  <c r="A1079" i="3"/>
  <c r="B1079" i="3" s="1"/>
  <c r="A1078" i="3"/>
  <c r="B1078" i="3" s="1"/>
  <c r="A1077" i="3"/>
  <c r="B1077" i="3" s="1"/>
  <c r="A1076" i="3"/>
  <c r="B1076" i="3" s="1"/>
  <c r="A1075" i="3"/>
  <c r="B1075" i="3" s="1"/>
  <c r="A1074" i="3"/>
  <c r="B1074" i="3" s="1"/>
  <c r="A1073" i="3"/>
  <c r="B1073" i="3" s="1"/>
  <c r="A1072" i="3"/>
  <c r="B1072" i="3" s="1"/>
  <c r="A1071" i="3"/>
  <c r="B1071" i="3" s="1"/>
  <c r="A1070" i="3"/>
  <c r="B1070" i="3" s="1"/>
  <c r="A1069" i="3"/>
  <c r="B1069" i="3" s="1"/>
  <c r="A1068" i="3"/>
  <c r="B1068" i="3" s="1"/>
  <c r="A1067" i="3"/>
  <c r="B1067" i="3" s="1"/>
  <c r="A1066" i="3"/>
  <c r="B1066" i="3" s="1"/>
  <c r="A1065" i="3"/>
  <c r="B1065" i="3" s="1"/>
  <c r="A1064" i="3"/>
  <c r="B1064" i="3" s="1"/>
  <c r="A1063" i="3"/>
  <c r="B1063" i="3" s="1"/>
  <c r="A1062" i="3"/>
  <c r="B1062" i="3" s="1"/>
  <c r="A1061" i="3"/>
  <c r="B1061" i="3" s="1"/>
  <c r="A1060" i="3"/>
  <c r="B1060" i="3" s="1"/>
  <c r="A1059" i="3"/>
  <c r="B1059" i="3" s="1"/>
  <c r="A1058" i="3"/>
  <c r="B1058" i="3" s="1"/>
  <c r="A1057" i="3"/>
  <c r="B1057" i="3" s="1"/>
  <c r="A1056" i="3"/>
  <c r="B1056" i="3" s="1"/>
  <c r="A1055" i="3"/>
  <c r="B1055" i="3" s="1"/>
  <c r="A1054" i="3"/>
  <c r="B1054" i="3" s="1"/>
  <c r="A1053" i="3"/>
  <c r="B1053" i="3" s="1"/>
  <c r="A1052" i="3"/>
  <c r="B1052" i="3" s="1"/>
  <c r="A1051" i="3"/>
  <c r="B1051" i="3" s="1"/>
  <c r="A1050" i="3"/>
  <c r="B1050" i="3" s="1"/>
  <c r="A1049" i="3"/>
  <c r="B1049" i="3" s="1"/>
  <c r="A1048" i="3"/>
  <c r="B1048" i="3" s="1"/>
  <c r="A1047" i="3"/>
  <c r="B1047" i="3" s="1"/>
  <c r="A1046" i="3"/>
  <c r="B1046" i="3" s="1"/>
  <c r="A1045" i="3"/>
  <c r="B1045" i="3" s="1"/>
  <c r="A1044" i="3"/>
  <c r="B1044" i="3" s="1"/>
  <c r="A1043" i="3"/>
  <c r="B1043" i="3" s="1"/>
  <c r="A1042" i="3"/>
  <c r="B1042" i="3" s="1"/>
  <c r="A1041" i="3"/>
  <c r="B1041" i="3" s="1"/>
  <c r="A1040" i="3"/>
  <c r="B1040" i="3" s="1"/>
  <c r="A1039" i="3"/>
  <c r="B1039" i="3" s="1"/>
  <c r="A1038" i="3"/>
  <c r="B1038" i="3" s="1"/>
  <c r="A1037" i="3"/>
  <c r="B1037" i="3" s="1"/>
  <c r="A1036" i="3"/>
  <c r="B1036" i="3" s="1"/>
  <c r="A1035" i="3"/>
  <c r="B1035" i="3" s="1"/>
  <c r="A1034" i="3"/>
  <c r="B1034" i="3" s="1"/>
  <c r="A1033" i="3"/>
  <c r="B1033" i="3" s="1"/>
  <c r="A1032" i="3"/>
  <c r="B1032" i="3" s="1"/>
  <c r="A1031" i="3"/>
  <c r="B1031" i="3" s="1"/>
  <c r="A1030" i="3"/>
  <c r="B1030" i="3" s="1"/>
  <c r="A1029" i="3"/>
  <c r="B1029" i="3" s="1"/>
  <c r="A1028" i="3"/>
  <c r="B1028" i="3" s="1"/>
  <c r="A1027" i="3"/>
  <c r="B1027" i="3" s="1"/>
  <c r="A1026" i="3"/>
  <c r="B1026" i="3" s="1"/>
  <c r="A1025" i="3"/>
  <c r="B1025" i="3" s="1"/>
  <c r="A1024" i="3"/>
  <c r="B1024" i="3" s="1"/>
  <c r="A1023" i="3"/>
  <c r="B1023" i="3" s="1"/>
  <c r="A1022" i="3"/>
  <c r="B1022" i="3" s="1"/>
  <c r="A1021" i="3"/>
  <c r="B1021" i="3" s="1"/>
  <c r="A1020" i="3"/>
  <c r="B1020" i="3" s="1"/>
  <c r="A1019" i="3"/>
  <c r="B1019" i="3" s="1"/>
  <c r="A1018" i="3"/>
  <c r="B1018" i="3" s="1"/>
  <c r="A1017" i="3"/>
  <c r="B1017" i="3" s="1"/>
  <c r="A1016" i="3"/>
  <c r="B1016" i="3" s="1"/>
  <c r="A1015" i="3"/>
  <c r="B1015" i="3" s="1"/>
  <c r="A1014" i="3"/>
  <c r="B1014" i="3" s="1"/>
  <c r="A1013" i="3"/>
  <c r="B1013" i="3" s="1"/>
  <c r="A1012" i="3"/>
  <c r="B1012" i="3" s="1"/>
  <c r="A1011" i="3"/>
  <c r="B1011" i="3" s="1"/>
  <c r="A1010" i="3"/>
  <c r="B1010" i="3" s="1"/>
  <c r="A1009" i="3"/>
  <c r="B1009" i="3" s="1"/>
  <c r="A1008" i="3"/>
  <c r="B1008" i="3" s="1"/>
  <c r="A1007" i="3"/>
  <c r="B1007" i="3" s="1"/>
  <c r="A1006" i="3"/>
  <c r="B1006" i="3" s="1"/>
  <c r="A1005" i="3"/>
  <c r="B1005" i="3" s="1"/>
  <c r="A1004" i="3"/>
  <c r="B1004" i="3" s="1"/>
  <c r="A1003" i="3"/>
  <c r="B1003" i="3" s="1"/>
  <c r="A1002" i="3"/>
  <c r="B1002" i="3" s="1"/>
  <c r="A1001" i="3"/>
  <c r="B1001" i="3" s="1"/>
  <c r="A1000" i="3"/>
  <c r="B1000" i="3" s="1"/>
  <c r="A999" i="3"/>
  <c r="B999" i="3" s="1"/>
  <c r="A998" i="3"/>
  <c r="B998" i="3" s="1"/>
  <c r="A997" i="3"/>
  <c r="B997" i="3" s="1"/>
  <c r="A996" i="3"/>
  <c r="B996" i="3" s="1"/>
  <c r="A995" i="3"/>
  <c r="B995" i="3" s="1"/>
  <c r="A994" i="3"/>
  <c r="B994" i="3" s="1"/>
  <c r="A993" i="3"/>
  <c r="B993" i="3" s="1"/>
  <c r="A992" i="3"/>
  <c r="B992" i="3" s="1"/>
  <c r="A991" i="3"/>
  <c r="B991" i="3" s="1"/>
  <c r="A990" i="3"/>
  <c r="B990" i="3" s="1"/>
  <c r="A989" i="3"/>
  <c r="B989" i="3" s="1"/>
  <c r="A988" i="3"/>
  <c r="B988" i="3" s="1"/>
  <c r="A987" i="3"/>
  <c r="B987" i="3" s="1"/>
  <c r="A986" i="3"/>
  <c r="B986" i="3" s="1"/>
  <c r="A985" i="3"/>
  <c r="B985" i="3" s="1"/>
  <c r="A984" i="3"/>
  <c r="B984" i="3" s="1"/>
  <c r="A983" i="3"/>
  <c r="B983" i="3" s="1"/>
  <c r="A982" i="3"/>
  <c r="B982" i="3" s="1"/>
  <c r="A981" i="3"/>
  <c r="B981" i="3" s="1"/>
  <c r="A980" i="3"/>
  <c r="B980" i="3" s="1"/>
  <c r="A979" i="3"/>
  <c r="B979" i="3" s="1"/>
  <c r="A978" i="3"/>
  <c r="B978" i="3" s="1"/>
  <c r="A977" i="3"/>
  <c r="B977" i="3" s="1"/>
  <c r="A976" i="3"/>
  <c r="B976" i="3" s="1"/>
  <c r="A975" i="3"/>
  <c r="B975" i="3" s="1"/>
  <c r="A974" i="3"/>
  <c r="B974" i="3" s="1"/>
  <c r="A973" i="3"/>
  <c r="B973" i="3" s="1"/>
  <c r="A972" i="3"/>
  <c r="B972" i="3" s="1"/>
  <c r="A971" i="3"/>
  <c r="B971" i="3" s="1"/>
  <c r="A970" i="3"/>
  <c r="B970" i="3" s="1"/>
  <c r="A969" i="3"/>
  <c r="B969" i="3" s="1"/>
  <c r="A968" i="3"/>
  <c r="B968" i="3" s="1"/>
  <c r="A967" i="3"/>
  <c r="B967" i="3" s="1"/>
  <c r="A966" i="3"/>
  <c r="B966" i="3" s="1"/>
  <c r="A965" i="3"/>
  <c r="B965" i="3" s="1"/>
  <c r="A964" i="3"/>
  <c r="B964" i="3" s="1"/>
  <c r="A963" i="3"/>
  <c r="B963" i="3" s="1"/>
  <c r="A962" i="3"/>
  <c r="B962" i="3" s="1"/>
  <c r="A961" i="3"/>
  <c r="B961" i="3" s="1"/>
  <c r="A960" i="3"/>
  <c r="B960" i="3" s="1"/>
  <c r="A959" i="3"/>
  <c r="B959" i="3" s="1"/>
  <c r="A958" i="3"/>
  <c r="B958" i="3" s="1"/>
  <c r="A957" i="3"/>
  <c r="B957" i="3" s="1"/>
  <c r="A956" i="3"/>
  <c r="B956" i="3" s="1"/>
  <c r="A955" i="3"/>
  <c r="B955" i="3" s="1"/>
  <c r="A954" i="3"/>
  <c r="B954" i="3" s="1"/>
  <c r="A953" i="3"/>
  <c r="B953" i="3" s="1"/>
  <c r="A952" i="3"/>
  <c r="B952" i="3" s="1"/>
  <c r="A951" i="3"/>
  <c r="B951" i="3" s="1"/>
  <c r="A950" i="3"/>
  <c r="B950" i="3" s="1"/>
  <c r="A949" i="3"/>
  <c r="B949" i="3" s="1"/>
  <c r="A948" i="3"/>
  <c r="B948" i="3" s="1"/>
  <c r="A947" i="3"/>
  <c r="B947" i="3" s="1"/>
  <c r="A946" i="3"/>
  <c r="B946" i="3" s="1"/>
  <c r="A945" i="3"/>
  <c r="B945" i="3" s="1"/>
  <c r="A944" i="3"/>
  <c r="B944" i="3" s="1"/>
  <c r="A943" i="3"/>
  <c r="B943" i="3" s="1"/>
  <c r="A942" i="3"/>
  <c r="B942" i="3" s="1"/>
  <c r="A941" i="3"/>
  <c r="B941" i="3" s="1"/>
  <c r="A940" i="3"/>
  <c r="B940" i="3" s="1"/>
  <c r="A939" i="3"/>
  <c r="B939" i="3" s="1"/>
  <c r="A938" i="3"/>
  <c r="B938" i="3" s="1"/>
  <c r="A937" i="3"/>
  <c r="B937" i="3" s="1"/>
  <c r="A936" i="3"/>
  <c r="B936" i="3" s="1"/>
  <c r="A935" i="3"/>
  <c r="B935" i="3" s="1"/>
  <c r="A934" i="3"/>
  <c r="B934" i="3" s="1"/>
  <c r="A933" i="3"/>
  <c r="B933" i="3" s="1"/>
  <c r="A932" i="3"/>
  <c r="B932" i="3" s="1"/>
  <c r="A931" i="3"/>
  <c r="B931" i="3" s="1"/>
  <c r="A930" i="3"/>
  <c r="B930" i="3" s="1"/>
  <c r="A929" i="3"/>
  <c r="B929" i="3" s="1"/>
  <c r="A928" i="3"/>
  <c r="B928" i="3" s="1"/>
  <c r="A927" i="3"/>
  <c r="B927" i="3" s="1"/>
  <c r="A926" i="3"/>
  <c r="B926" i="3" s="1"/>
  <c r="A925" i="3"/>
  <c r="B925" i="3" s="1"/>
  <c r="A924" i="3"/>
  <c r="B924" i="3" s="1"/>
  <c r="A923" i="3"/>
  <c r="B923" i="3" s="1"/>
  <c r="A922" i="3"/>
  <c r="B922" i="3" s="1"/>
  <c r="A921" i="3"/>
  <c r="B921" i="3" s="1"/>
  <c r="A920" i="3"/>
  <c r="B920" i="3" s="1"/>
  <c r="A919" i="3"/>
  <c r="B919" i="3" s="1"/>
  <c r="A918" i="3"/>
  <c r="B918" i="3" s="1"/>
  <c r="A917" i="3"/>
  <c r="B917" i="3" s="1"/>
  <c r="A916" i="3"/>
  <c r="B916" i="3" s="1"/>
  <c r="A915" i="3"/>
  <c r="B915" i="3" s="1"/>
  <c r="A914" i="3"/>
  <c r="B914" i="3" s="1"/>
  <c r="A913" i="3"/>
  <c r="B913" i="3" s="1"/>
  <c r="A912" i="3"/>
  <c r="B912" i="3" s="1"/>
  <c r="A911" i="3"/>
  <c r="B911" i="3" s="1"/>
  <c r="A910" i="3"/>
  <c r="B910" i="3" s="1"/>
  <c r="A909" i="3"/>
  <c r="B909" i="3" s="1"/>
  <c r="A908" i="3"/>
  <c r="B908" i="3" s="1"/>
  <c r="A907" i="3"/>
  <c r="B907" i="3" s="1"/>
  <c r="A906" i="3"/>
  <c r="B906" i="3" s="1"/>
  <c r="A905" i="3"/>
  <c r="B905" i="3" s="1"/>
  <c r="A904" i="3"/>
  <c r="B904" i="3" s="1"/>
  <c r="A903" i="3"/>
  <c r="B903" i="3" s="1"/>
  <c r="A902" i="3"/>
  <c r="B902" i="3" s="1"/>
  <c r="A901" i="3"/>
  <c r="B901" i="3" s="1"/>
  <c r="A900" i="3"/>
  <c r="B900" i="3" s="1"/>
  <c r="A899" i="3"/>
  <c r="B899" i="3" s="1"/>
  <c r="A898" i="3"/>
  <c r="B898" i="3" s="1"/>
  <c r="A897" i="3"/>
  <c r="B897" i="3" s="1"/>
  <c r="A896" i="3"/>
  <c r="B896" i="3" s="1"/>
  <c r="A895" i="3"/>
  <c r="B895" i="3" s="1"/>
  <c r="A894" i="3"/>
  <c r="B894" i="3" s="1"/>
  <c r="A893" i="3"/>
  <c r="B893" i="3" s="1"/>
  <c r="A892" i="3"/>
  <c r="B892" i="3" s="1"/>
  <c r="A891" i="3"/>
  <c r="B891" i="3" s="1"/>
  <c r="A890" i="3"/>
  <c r="B890" i="3" s="1"/>
  <c r="A889" i="3"/>
  <c r="B889" i="3" s="1"/>
  <c r="A888" i="3"/>
  <c r="B888" i="3" s="1"/>
  <c r="A887" i="3"/>
  <c r="B887" i="3" s="1"/>
  <c r="A886" i="3"/>
  <c r="B886" i="3" s="1"/>
  <c r="A885" i="3"/>
  <c r="B885" i="3" s="1"/>
  <c r="A884" i="3"/>
  <c r="B884" i="3" s="1"/>
  <c r="A883" i="3"/>
  <c r="B883" i="3" s="1"/>
  <c r="A882" i="3"/>
  <c r="B882" i="3" s="1"/>
  <c r="A881" i="3"/>
  <c r="B881" i="3" s="1"/>
  <c r="A880" i="3"/>
  <c r="B880" i="3" s="1"/>
  <c r="A879" i="3"/>
  <c r="B879" i="3" s="1"/>
  <c r="A878" i="3"/>
  <c r="B878" i="3" s="1"/>
  <c r="A877" i="3"/>
  <c r="B877" i="3" s="1"/>
  <c r="A876" i="3"/>
  <c r="B876" i="3" s="1"/>
  <c r="A875" i="3"/>
  <c r="B875" i="3" s="1"/>
  <c r="A874" i="3"/>
  <c r="B874" i="3" s="1"/>
  <c r="A873" i="3"/>
  <c r="B873" i="3" s="1"/>
  <c r="A872" i="3"/>
  <c r="B872" i="3" s="1"/>
  <c r="A871" i="3"/>
  <c r="B871" i="3" s="1"/>
  <c r="A870" i="3"/>
  <c r="B870" i="3" s="1"/>
  <c r="A869" i="3"/>
  <c r="B869" i="3" s="1"/>
  <c r="A868" i="3"/>
  <c r="B868" i="3" s="1"/>
  <c r="A867" i="3"/>
  <c r="B867" i="3" s="1"/>
  <c r="A866" i="3"/>
  <c r="B866" i="3" s="1"/>
  <c r="A865" i="3"/>
  <c r="B865" i="3" s="1"/>
  <c r="A864" i="3"/>
  <c r="B864" i="3" s="1"/>
  <c r="A863" i="3"/>
  <c r="B863" i="3" s="1"/>
  <c r="A862" i="3"/>
  <c r="B862" i="3" s="1"/>
  <c r="A861" i="3"/>
  <c r="B861" i="3" s="1"/>
  <c r="A860" i="3"/>
  <c r="B860" i="3" s="1"/>
  <c r="A859" i="3"/>
  <c r="B859" i="3" s="1"/>
  <c r="A858" i="3"/>
  <c r="B858" i="3" s="1"/>
  <c r="A857" i="3"/>
  <c r="B857" i="3" s="1"/>
  <c r="A856" i="3"/>
  <c r="B856" i="3" s="1"/>
  <c r="A855" i="3"/>
  <c r="B855" i="3" s="1"/>
  <c r="A854" i="3"/>
  <c r="B854" i="3" s="1"/>
  <c r="A853" i="3"/>
  <c r="B853" i="3" s="1"/>
  <c r="A852" i="3"/>
  <c r="B852" i="3" s="1"/>
  <c r="A851" i="3"/>
  <c r="B851" i="3" s="1"/>
  <c r="A850" i="3"/>
  <c r="B850" i="3" s="1"/>
  <c r="A849" i="3"/>
  <c r="B849" i="3" s="1"/>
  <c r="A848" i="3"/>
  <c r="B848" i="3" s="1"/>
  <c r="A847" i="3"/>
  <c r="B847" i="3" s="1"/>
  <c r="A846" i="3"/>
  <c r="B846" i="3" s="1"/>
  <c r="A845" i="3"/>
  <c r="B845" i="3" s="1"/>
  <c r="A844" i="3"/>
  <c r="B844" i="3" s="1"/>
  <c r="A843" i="3"/>
  <c r="B843" i="3" s="1"/>
  <c r="A842" i="3"/>
  <c r="B842" i="3" s="1"/>
  <c r="A841" i="3"/>
  <c r="B841" i="3" s="1"/>
  <c r="A840" i="3"/>
  <c r="B840" i="3" s="1"/>
  <c r="A839" i="3"/>
  <c r="B839" i="3" s="1"/>
  <c r="A838" i="3"/>
  <c r="B838" i="3" s="1"/>
  <c r="A837" i="3"/>
  <c r="B837" i="3" s="1"/>
  <c r="A836" i="3"/>
  <c r="B836" i="3" s="1"/>
  <c r="A835" i="3"/>
  <c r="B835" i="3" s="1"/>
  <c r="A834" i="3"/>
  <c r="B834" i="3" s="1"/>
  <c r="A833" i="3"/>
  <c r="B833" i="3" s="1"/>
  <c r="A832" i="3"/>
  <c r="B832" i="3" s="1"/>
  <c r="A831" i="3"/>
  <c r="B831" i="3" s="1"/>
  <c r="A830" i="3"/>
  <c r="B830" i="3" s="1"/>
  <c r="A829" i="3"/>
  <c r="B829" i="3" s="1"/>
  <c r="A828" i="3"/>
  <c r="B828" i="3" s="1"/>
  <c r="A827" i="3"/>
  <c r="B827" i="3" s="1"/>
  <c r="A826" i="3"/>
  <c r="B826" i="3" s="1"/>
  <c r="A825" i="3"/>
  <c r="B825" i="3" s="1"/>
  <c r="A824" i="3"/>
  <c r="B824" i="3" s="1"/>
  <c r="A823" i="3"/>
  <c r="B823" i="3" s="1"/>
  <c r="A822" i="3"/>
  <c r="B822" i="3" s="1"/>
  <c r="A821" i="3"/>
  <c r="B821" i="3" s="1"/>
  <c r="A820" i="3"/>
  <c r="B820" i="3" s="1"/>
  <c r="A819" i="3"/>
  <c r="B819" i="3" s="1"/>
  <c r="A818" i="3"/>
  <c r="B818" i="3" s="1"/>
  <c r="A817" i="3"/>
  <c r="B817" i="3" s="1"/>
  <c r="A816" i="3"/>
  <c r="B816" i="3" s="1"/>
  <c r="A815" i="3"/>
  <c r="B815" i="3" s="1"/>
  <c r="A814" i="3"/>
  <c r="B814" i="3" s="1"/>
  <c r="A813" i="3"/>
  <c r="B813" i="3" s="1"/>
  <c r="A812" i="3"/>
  <c r="B812" i="3" s="1"/>
  <c r="A811" i="3"/>
  <c r="B811" i="3" s="1"/>
  <c r="A810" i="3"/>
  <c r="B810" i="3" s="1"/>
  <c r="A809" i="3"/>
  <c r="B809" i="3" s="1"/>
  <c r="A808" i="3"/>
  <c r="B808" i="3" s="1"/>
  <c r="A807" i="3"/>
  <c r="B807" i="3" s="1"/>
  <c r="A806" i="3"/>
  <c r="B806" i="3" s="1"/>
  <c r="A805" i="3"/>
  <c r="B805" i="3" s="1"/>
  <c r="A804" i="3"/>
  <c r="B804" i="3" s="1"/>
  <c r="A803" i="3"/>
  <c r="B803" i="3" s="1"/>
  <c r="A802" i="3"/>
  <c r="B802" i="3" s="1"/>
  <c r="A801" i="3"/>
  <c r="B801" i="3" s="1"/>
  <c r="A800" i="3"/>
  <c r="B800" i="3" s="1"/>
  <c r="A799" i="3"/>
  <c r="B799" i="3" s="1"/>
  <c r="A798" i="3"/>
  <c r="B798" i="3" s="1"/>
  <c r="A797" i="3"/>
  <c r="B797" i="3" s="1"/>
  <c r="A796" i="3"/>
  <c r="B796" i="3" s="1"/>
  <c r="A795" i="3"/>
  <c r="B795" i="3" s="1"/>
  <c r="A794" i="3"/>
  <c r="B794" i="3" s="1"/>
  <c r="A793" i="3"/>
  <c r="B793" i="3" s="1"/>
  <c r="A792" i="3"/>
  <c r="B792" i="3" s="1"/>
  <c r="A791" i="3"/>
  <c r="B791" i="3" s="1"/>
  <c r="A790" i="3"/>
  <c r="B790" i="3" s="1"/>
  <c r="A789" i="3"/>
  <c r="B789" i="3" s="1"/>
  <c r="A788" i="3"/>
  <c r="B788" i="3" s="1"/>
  <c r="A787" i="3"/>
  <c r="B787" i="3" s="1"/>
  <c r="A786" i="3"/>
  <c r="B786" i="3" s="1"/>
  <c r="A785" i="3"/>
  <c r="B785" i="3" s="1"/>
  <c r="A784" i="3"/>
  <c r="B784" i="3" s="1"/>
  <c r="A783" i="3"/>
  <c r="B783" i="3" s="1"/>
  <c r="A782" i="3"/>
  <c r="B782" i="3" s="1"/>
  <c r="A781" i="3"/>
  <c r="B781" i="3" s="1"/>
  <c r="A780" i="3"/>
  <c r="B780" i="3" s="1"/>
  <c r="A779" i="3"/>
  <c r="B779" i="3" s="1"/>
  <c r="A778" i="3"/>
  <c r="B778" i="3" s="1"/>
  <c r="A777" i="3"/>
  <c r="B777" i="3" s="1"/>
  <c r="A776" i="3"/>
  <c r="B776" i="3" s="1"/>
  <c r="A775" i="3"/>
  <c r="B775" i="3" s="1"/>
  <c r="A774" i="3"/>
  <c r="B774" i="3" s="1"/>
  <c r="A773" i="3"/>
  <c r="B773" i="3" s="1"/>
  <c r="A772" i="3"/>
  <c r="B772" i="3" s="1"/>
  <c r="A771" i="3"/>
  <c r="B771" i="3" s="1"/>
  <c r="A770" i="3"/>
  <c r="B770" i="3" s="1"/>
  <c r="A769" i="3"/>
  <c r="B769" i="3" s="1"/>
  <c r="A768" i="3"/>
  <c r="B768" i="3" s="1"/>
  <c r="A767" i="3"/>
  <c r="B767" i="3" s="1"/>
  <c r="A766" i="3"/>
  <c r="B766" i="3" s="1"/>
  <c r="A765" i="3"/>
  <c r="B765" i="3" s="1"/>
  <c r="A764" i="3"/>
  <c r="B764" i="3" s="1"/>
  <c r="A763" i="3"/>
  <c r="B763" i="3" s="1"/>
  <c r="A762" i="3"/>
  <c r="B762" i="3" s="1"/>
  <c r="A761" i="3"/>
  <c r="B761" i="3" s="1"/>
  <c r="A760" i="3"/>
  <c r="B760" i="3" s="1"/>
  <c r="A759" i="3"/>
  <c r="B759" i="3" s="1"/>
  <c r="A758" i="3"/>
  <c r="B758" i="3" s="1"/>
  <c r="A757" i="3"/>
  <c r="B757" i="3" s="1"/>
  <c r="A756" i="3"/>
  <c r="B756" i="3" s="1"/>
  <c r="A755" i="3"/>
  <c r="B755" i="3" s="1"/>
  <c r="A754" i="3"/>
  <c r="B754" i="3" s="1"/>
  <c r="A753" i="3"/>
  <c r="B753" i="3" s="1"/>
  <c r="A752" i="3"/>
  <c r="B752" i="3" s="1"/>
  <c r="A751" i="3"/>
  <c r="B751" i="3" s="1"/>
  <c r="A750" i="3"/>
  <c r="B750" i="3" s="1"/>
  <c r="A749" i="3"/>
  <c r="B749" i="3" s="1"/>
  <c r="A748" i="3"/>
  <c r="B748" i="3" s="1"/>
  <c r="A747" i="3"/>
  <c r="B747" i="3" s="1"/>
  <c r="A746" i="3"/>
  <c r="B746" i="3" s="1"/>
  <c r="A745" i="3"/>
  <c r="B745" i="3" s="1"/>
  <c r="A744" i="3"/>
  <c r="B744" i="3" s="1"/>
  <c r="A743" i="3"/>
  <c r="B743" i="3" s="1"/>
  <c r="A742" i="3"/>
  <c r="B742" i="3" s="1"/>
  <c r="A741" i="3"/>
  <c r="B741" i="3" s="1"/>
  <c r="A740" i="3"/>
  <c r="B740" i="3" s="1"/>
  <c r="A739" i="3"/>
  <c r="B739" i="3" s="1"/>
  <c r="A738" i="3"/>
  <c r="B738" i="3" s="1"/>
  <c r="A737" i="3"/>
  <c r="B737" i="3" s="1"/>
  <c r="A736" i="3"/>
  <c r="B736" i="3" s="1"/>
  <c r="A735" i="3"/>
  <c r="B735" i="3" s="1"/>
  <c r="A734" i="3"/>
  <c r="B734" i="3" s="1"/>
  <c r="A733" i="3"/>
  <c r="B733" i="3" s="1"/>
  <c r="A732" i="3"/>
  <c r="B732" i="3" s="1"/>
  <c r="A731" i="3"/>
  <c r="B731" i="3" s="1"/>
  <c r="A730" i="3"/>
  <c r="B730" i="3" s="1"/>
  <c r="A729" i="3"/>
  <c r="B729" i="3" s="1"/>
  <c r="A728" i="3"/>
  <c r="B728" i="3" s="1"/>
  <c r="A727" i="3"/>
  <c r="B727" i="3" s="1"/>
  <c r="A726" i="3"/>
  <c r="B726" i="3" s="1"/>
  <c r="A725" i="3"/>
  <c r="B725" i="3" s="1"/>
  <c r="A724" i="3"/>
  <c r="B724" i="3" s="1"/>
  <c r="A723" i="3"/>
  <c r="B723" i="3" s="1"/>
  <c r="A722" i="3"/>
  <c r="B722" i="3" s="1"/>
  <c r="A721" i="3"/>
  <c r="B721" i="3" s="1"/>
  <c r="A720" i="3"/>
  <c r="B720" i="3" s="1"/>
  <c r="A719" i="3"/>
  <c r="B719" i="3" s="1"/>
  <c r="A718" i="3"/>
  <c r="B718" i="3" s="1"/>
  <c r="A717" i="3"/>
  <c r="B717" i="3" s="1"/>
  <c r="A716" i="3"/>
  <c r="B716" i="3" s="1"/>
  <c r="A715" i="3"/>
  <c r="B715" i="3" s="1"/>
  <c r="A714" i="3"/>
  <c r="B714" i="3" s="1"/>
  <c r="A713" i="3"/>
  <c r="B713" i="3" s="1"/>
  <c r="A712" i="3"/>
  <c r="B712" i="3" s="1"/>
  <c r="A711" i="3"/>
  <c r="B711" i="3" s="1"/>
  <c r="A710" i="3"/>
  <c r="B710" i="3" s="1"/>
  <c r="A709" i="3"/>
  <c r="B709" i="3" s="1"/>
  <c r="A708" i="3"/>
  <c r="B708" i="3" s="1"/>
  <c r="A707" i="3"/>
  <c r="B707" i="3" s="1"/>
  <c r="A706" i="3"/>
  <c r="B706" i="3" s="1"/>
  <c r="A705" i="3"/>
  <c r="B705" i="3" s="1"/>
  <c r="A704" i="3"/>
  <c r="B704" i="3" s="1"/>
  <c r="A703" i="3"/>
  <c r="B703" i="3" s="1"/>
  <c r="A702" i="3"/>
  <c r="B702" i="3" s="1"/>
  <c r="A701" i="3"/>
  <c r="B701" i="3" s="1"/>
  <c r="A700" i="3"/>
  <c r="B700" i="3" s="1"/>
  <c r="A699" i="3"/>
  <c r="B699" i="3" s="1"/>
  <c r="A698" i="3"/>
  <c r="B698" i="3" s="1"/>
  <c r="A697" i="3"/>
  <c r="B697" i="3" s="1"/>
  <c r="A696" i="3"/>
  <c r="B696" i="3" s="1"/>
  <c r="A695" i="3"/>
  <c r="B695" i="3" s="1"/>
  <c r="A694" i="3"/>
  <c r="B694" i="3" s="1"/>
  <c r="A693" i="3"/>
  <c r="B693" i="3" s="1"/>
  <c r="A692" i="3"/>
  <c r="B692" i="3" s="1"/>
  <c r="A691" i="3"/>
  <c r="B691" i="3" s="1"/>
  <c r="A690" i="3"/>
  <c r="B690" i="3" s="1"/>
  <c r="A689" i="3"/>
  <c r="B689" i="3" s="1"/>
  <c r="A688" i="3"/>
  <c r="B688" i="3" s="1"/>
  <c r="A687" i="3"/>
  <c r="B687" i="3" s="1"/>
  <c r="A686" i="3"/>
  <c r="B686" i="3" s="1"/>
  <c r="A685" i="3"/>
  <c r="B685" i="3" s="1"/>
  <c r="A684" i="3"/>
  <c r="B684" i="3" s="1"/>
  <c r="A683" i="3"/>
  <c r="B683" i="3" s="1"/>
  <c r="A682" i="3"/>
  <c r="B682" i="3" s="1"/>
  <c r="A681" i="3"/>
  <c r="B681" i="3" s="1"/>
  <c r="A680" i="3"/>
  <c r="B680" i="3" s="1"/>
  <c r="A679" i="3"/>
  <c r="B679" i="3" s="1"/>
  <c r="A678" i="3"/>
  <c r="B678" i="3" s="1"/>
  <c r="A677" i="3"/>
  <c r="B677" i="3" s="1"/>
  <c r="A676" i="3"/>
  <c r="B676" i="3" s="1"/>
  <c r="A675" i="3"/>
  <c r="B675" i="3" s="1"/>
  <c r="A674" i="3"/>
  <c r="B674" i="3" s="1"/>
  <c r="A673" i="3"/>
  <c r="B673" i="3" s="1"/>
  <c r="A672" i="3"/>
  <c r="B672" i="3" s="1"/>
  <c r="A671" i="3"/>
  <c r="B671" i="3" s="1"/>
  <c r="A670" i="3"/>
  <c r="B670" i="3" s="1"/>
  <c r="A669" i="3"/>
  <c r="B669" i="3" s="1"/>
  <c r="A668" i="3"/>
  <c r="B668" i="3" s="1"/>
  <c r="A667" i="3"/>
  <c r="B667" i="3" s="1"/>
  <c r="A666" i="3"/>
  <c r="B666" i="3" s="1"/>
  <c r="A665" i="3"/>
  <c r="B665" i="3" s="1"/>
  <c r="A664" i="3"/>
  <c r="B664" i="3" s="1"/>
  <c r="A663" i="3"/>
  <c r="B663" i="3" s="1"/>
  <c r="A662" i="3"/>
  <c r="B662" i="3" s="1"/>
  <c r="A661" i="3"/>
  <c r="B661" i="3" s="1"/>
  <c r="A660" i="3"/>
  <c r="B660" i="3" s="1"/>
  <c r="A659" i="3"/>
  <c r="B659" i="3" s="1"/>
  <c r="A658" i="3"/>
  <c r="B658" i="3" s="1"/>
  <c r="A657" i="3"/>
  <c r="B657" i="3" s="1"/>
  <c r="A656" i="3"/>
  <c r="B656" i="3" s="1"/>
  <c r="A655" i="3"/>
  <c r="B655" i="3" s="1"/>
  <c r="A654" i="3"/>
  <c r="B654" i="3" s="1"/>
  <c r="A653" i="3"/>
  <c r="B653" i="3" s="1"/>
  <c r="A652" i="3"/>
  <c r="B652" i="3" s="1"/>
  <c r="A651" i="3"/>
  <c r="B651" i="3" s="1"/>
  <c r="A650" i="3"/>
  <c r="B650" i="3" s="1"/>
  <c r="A649" i="3"/>
  <c r="B649" i="3" s="1"/>
  <c r="A648" i="3"/>
  <c r="B648" i="3" s="1"/>
  <c r="A647" i="3"/>
  <c r="B647" i="3" s="1"/>
  <c r="A646" i="3"/>
  <c r="B646" i="3" s="1"/>
  <c r="A645" i="3"/>
  <c r="B645" i="3" s="1"/>
  <c r="A644" i="3"/>
  <c r="B644" i="3" s="1"/>
  <c r="A643" i="3"/>
  <c r="B643" i="3" s="1"/>
  <c r="A642" i="3"/>
  <c r="B642" i="3" s="1"/>
  <c r="A641" i="3"/>
  <c r="B641" i="3" s="1"/>
  <c r="A640" i="3"/>
  <c r="B640" i="3" s="1"/>
  <c r="A639" i="3"/>
  <c r="B639" i="3" s="1"/>
  <c r="A638" i="3"/>
  <c r="B638" i="3" s="1"/>
  <c r="A637" i="3"/>
  <c r="B637" i="3" s="1"/>
  <c r="A636" i="3"/>
  <c r="B636" i="3" s="1"/>
  <c r="A635" i="3"/>
  <c r="B635" i="3" s="1"/>
  <c r="A634" i="3"/>
  <c r="B634" i="3" s="1"/>
  <c r="A633" i="3"/>
  <c r="B633" i="3" s="1"/>
  <c r="A632" i="3"/>
  <c r="B632" i="3" s="1"/>
  <c r="A631" i="3"/>
  <c r="B631" i="3" s="1"/>
  <c r="A630" i="3"/>
  <c r="B630" i="3" s="1"/>
  <c r="A629" i="3"/>
  <c r="B629" i="3" s="1"/>
  <c r="A628" i="3"/>
  <c r="B628" i="3" s="1"/>
  <c r="A627" i="3"/>
  <c r="B627" i="3" s="1"/>
  <c r="A626" i="3"/>
  <c r="B626" i="3" s="1"/>
  <c r="A625" i="3"/>
  <c r="B625" i="3" s="1"/>
  <c r="A624" i="3"/>
  <c r="B624" i="3" s="1"/>
  <c r="A623" i="3"/>
  <c r="B623" i="3" s="1"/>
  <c r="A622" i="3"/>
  <c r="B622" i="3" s="1"/>
  <c r="A621" i="3"/>
  <c r="B621" i="3" s="1"/>
  <c r="A620" i="3"/>
  <c r="B620" i="3" s="1"/>
  <c r="A619" i="3"/>
  <c r="B619" i="3" s="1"/>
  <c r="A618" i="3"/>
  <c r="B618" i="3" s="1"/>
  <c r="A617" i="3"/>
  <c r="B617" i="3" s="1"/>
  <c r="A616" i="3"/>
  <c r="B616" i="3" s="1"/>
  <c r="A615" i="3"/>
  <c r="B615" i="3" s="1"/>
  <c r="A614" i="3"/>
  <c r="B614" i="3" s="1"/>
  <c r="A613" i="3"/>
  <c r="B613" i="3" s="1"/>
  <c r="A612" i="3"/>
  <c r="B612" i="3" s="1"/>
  <c r="A611" i="3"/>
  <c r="B611" i="3" s="1"/>
  <c r="A610" i="3"/>
  <c r="B610" i="3" s="1"/>
  <c r="A609" i="3"/>
  <c r="B609" i="3" s="1"/>
  <c r="A608" i="3"/>
  <c r="B608" i="3" s="1"/>
  <c r="A607" i="3"/>
  <c r="B607" i="3" s="1"/>
  <c r="A606" i="3"/>
  <c r="B606" i="3" s="1"/>
  <c r="A605" i="3"/>
  <c r="B605" i="3" s="1"/>
  <c r="A604" i="3"/>
  <c r="B604" i="3" s="1"/>
  <c r="A603" i="3"/>
  <c r="B603" i="3" s="1"/>
  <c r="A602" i="3"/>
  <c r="B602" i="3" s="1"/>
  <c r="A601" i="3"/>
  <c r="B601" i="3" s="1"/>
  <c r="A600" i="3"/>
  <c r="B600" i="3" s="1"/>
  <c r="A599" i="3"/>
  <c r="B599" i="3" s="1"/>
  <c r="A598" i="3"/>
  <c r="B598" i="3" s="1"/>
  <c r="A597" i="3"/>
  <c r="B597" i="3" s="1"/>
  <c r="A596" i="3"/>
  <c r="B596" i="3" s="1"/>
  <c r="A595" i="3"/>
  <c r="B595" i="3" s="1"/>
  <c r="A594" i="3"/>
  <c r="B594" i="3" s="1"/>
  <c r="A593" i="3"/>
  <c r="B593" i="3" s="1"/>
  <c r="A592" i="3"/>
  <c r="B592" i="3" s="1"/>
  <c r="A591" i="3"/>
  <c r="B591" i="3" s="1"/>
  <c r="A590" i="3"/>
  <c r="B590" i="3" s="1"/>
  <c r="A589" i="3"/>
  <c r="B589" i="3" s="1"/>
  <c r="A588" i="3"/>
  <c r="B588" i="3" s="1"/>
  <c r="A587" i="3"/>
  <c r="B587" i="3" s="1"/>
  <c r="A586" i="3"/>
  <c r="B586" i="3" s="1"/>
  <c r="A585" i="3"/>
  <c r="B585" i="3" s="1"/>
  <c r="A584" i="3"/>
  <c r="B584" i="3" s="1"/>
  <c r="A583" i="3"/>
  <c r="B583" i="3" s="1"/>
  <c r="A582" i="3"/>
  <c r="B582" i="3" s="1"/>
  <c r="A581" i="3"/>
  <c r="B581" i="3" s="1"/>
  <c r="A580" i="3"/>
  <c r="B580" i="3" s="1"/>
  <c r="A579" i="3"/>
  <c r="B579" i="3" s="1"/>
  <c r="A578" i="3"/>
  <c r="B578" i="3" s="1"/>
  <c r="A577" i="3"/>
  <c r="B577" i="3" s="1"/>
  <c r="A576" i="3"/>
  <c r="B576" i="3" s="1"/>
  <c r="A575" i="3"/>
  <c r="B575" i="3" s="1"/>
  <c r="A574" i="3"/>
  <c r="B574" i="3" s="1"/>
  <c r="A573" i="3"/>
  <c r="B573" i="3" s="1"/>
  <c r="A572" i="3"/>
  <c r="B572" i="3" s="1"/>
  <c r="A571" i="3"/>
  <c r="B571" i="3" s="1"/>
  <c r="A570" i="3"/>
  <c r="B570" i="3" s="1"/>
  <c r="A569" i="3"/>
  <c r="B569" i="3" s="1"/>
  <c r="A568" i="3"/>
  <c r="B568" i="3" s="1"/>
  <c r="A567" i="3"/>
  <c r="B567" i="3" s="1"/>
  <c r="A566" i="3"/>
  <c r="B566" i="3" s="1"/>
  <c r="A565" i="3"/>
  <c r="B565" i="3" s="1"/>
  <c r="A564" i="3"/>
  <c r="B564" i="3" s="1"/>
  <c r="A563" i="3"/>
  <c r="B563" i="3" s="1"/>
  <c r="A562" i="3"/>
  <c r="B562" i="3" s="1"/>
  <c r="A561" i="3"/>
  <c r="B561" i="3" s="1"/>
  <c r="A560" i="3"/>
  <c r="B560" i="3" s="1"/>
  <c r="A559" i="3"/>
  <c r="B559" i="3" s="1"/>
  <c r="A558" i="3"/>
  <c r="B558" i="3" s="1"/>
  <c r="A557" i="3"/>
  <c r="B557" i="3" s="1"/>
  <c r="A556" i="3"/>
  <c r="B556" i="3" s="1"/>
  <c r="A555" i="3"/>
  <c r="B555" i="3" s="1"/>
  <c r="A554" i="3"/>
  <c r="B554" i="3" s="1"/>
  <c r="A553" i="3"/>
  <c r="B553" i="3" s="1"/>
  <c r="A552" i="3"/>
  <c r="B552" i="3" s="1"/>
  <c r="A551" i="3"/>
  <c r="B551" i="3" s="1"/>
  <c r="A550" i="3"/>
  <c r="B550" i="3" s="1"/>
  <c r="A549" i="3"/>
  <c r="B549" i="3" s="1"/>
  <c r="A548" i="3"/>
  <c r="B548" i="3" s="1"/>
  <c r="A547" i="3"/>
  <c r="B547" i="3" s="1"/>
  <c r="A546" i="3"/>
  <c r="B546" i="3" s="1"/>
  <c r="A545" i="3"/>
  <c r="B545" i="3" s="1"/>
  <c r="A544" i="3"/>
  <c r="B544" i="3" s="1"/>
  <c r="A543" i="3"/>
  <c r="B543" i="3" s="1"/>
  <c r="A542" i="3"/>
  <c r="B542" i="3" s="1"/>
  <c r="A541" i="3"/>
  <c r="B541" i="3" s="1"/>
  <c r="A540" i="3"/>
  <c r="B540" i="3" s="1"/>
  <c r="A539" i="3"/>
  <c r="B539" i="3" s="1"/>
  <c r="A538" i="3"/>
  <c r="B538" i="3" s="1"/>
  <c r="A537" i="3"/>
  <c r="B537" i="3" s="1"/>
  <c r="A536" i="3"/>
  <c r="B536" i="3" s="1"/>
  <c r="A535" i="3"/>
  <c r="B535" i="3" s="1"/>
  <c r="A534" i="3"/>
  <c r="B534" i="3" s="1"/>
  <c r="A533" i="3"/>
  <c r="B533" i="3" s="1"/>
  <c r="A532" i="3"/>
  <c r="B532" i="3" s="1"/>
  <c r="A531" i="3"/>
  <c r="B531" i="3" s="1"/>
  <c r="A530" i="3"/>
  <c r="B530" i="3" s="1"/>
  <c r="A529" i="3"/>
  <c r="B529" i="3" s="1"/>
  <c r="A528" i="3"/>
  <c r="B528" i="3" s="1"/>
  <c r="A527" i="3"/>
  <c r="B527" i="3" s="1"/>
  <c r="A526" i="3"/>
  <c r="B526" i="3" s="1"/>
  <c r="A525" i="3"/>
  <c r="B525" i="3" s="1"/>
  <c r="A524" i="3"/>
  <c r="B524" i="3" s="1"/>
  <c r="A523" i="3"/>
  <c r="B523" i="3" s="1"/>
  <c r="A522" i="3"/>
  <c r="B522" i="3" s="1"/>
  <c r="A521" i="3"/>
  <c r="B521" i="3" s="1"/>
  <c r="A520" i="3"/>
  <c r="B520" i="3" s="1"/>
  <c r="A519" i="3"/>
  <c r="B519" i="3" s="1"/>
  <c r="A518" i="3"/>
  <c r="B518" i="3" s="1"/>
  <c r="A517" i="3"/>
  <c r="B517" i="3" s="1"/>
  <c r="A516" i="3"/>
  <c r="B516" i="3" s="1"/>
  <c r="A515" i="3"/>
  <c r="B515" i="3" s="1"/>
  <c r="A514" i="3"/>
  <c r="B514" i="3" s="1"/>
  <c r="A513" i="3"/>
  <c r="B513" i="3" s="1"/>
  <c r="A512" i="3"/>
  <c r="B512" i="3" s="1"/>
  <c r="A511" i="3"/>
  <c r="B511" i="3" s="1"/>
  <c r="A510" i="3"/>
  <c r="B510" i="3" s="1"/>
  <c r="A509" i="3"/>
  <c r="B509" i="3" s="1"/>
  <c r="A508" i="3"/>
  <c r="B508" i="3" s="1"/>
  <c r="A507" i="3"/>
  <c r="B507" i="3" s="1"/>
  <c r="A506" i="3"/>
  <c r="B506" i="3" s="1"/>
  <c r="A505" i="3"/>
  <c r="B505" i="3" s="1"/>
  <c r="A504" i="3"/>
  <c r="B504" i="3" s="1"/>
  <c r="A503" i="3"/>
  <c r="B503" i="3" s="1"/>
  <c r="A502" i="3"/>
  <c r="B502" i="3" s="1"/>
  <c r="A501" i="3"/>
  <c r="B501" i="3" s="1"/>
  <c r="A500" i="3"/>
  <c r="B500" i="3" s="1"/>
  <c r="A499" i="3"/>
  <c r="B499" i="3" s="1"/>
  <c r="A498" i="3"/>
  <c r="B498" i="3" s="1"/>
  <c r="A497" i="3"/>
  <c r="B497" i="3" s="1"/>
  <c r="A496" i="3"/>
  <c r="B496" i="3" s="1"/>
  <c r="A495" i="3"/>
  <c r="B495" i="3" s="1"/>
  <c r="A494" i="3"/>
  <c r="B494" i="3" s="1"/>
  <c r="A493" i="3"/>
  <c r="B493" i="3" s="1"/>
  <c r="A492" i="3"/>
  <c r="B492" i="3" s="1"/>
  <c r="A491" i="3"/>
  <c r="B491" i="3" s="1"/>
  <c r="A490" i="3"/>
  <c r="B490" i="3" s="1"/>
  <c r="A489" i="3"/>
  <c r="B489" i="3" s="1"/>
  <c r="A488" i="3"/>
  <c r="B488" i="3" s="1"/>
  <c r="A487" i="3"/>
  <c r="B487" i="3" s="1"/>
  <c r="A486" i="3"/>
  <c r="B486" i="3" s="1"/>
  <c r="A485" i="3"/>
  <c r="B485" i="3" s="1"/>
  <c r="A484" i="3"/>
  <c r="B484" i="3" s="1"/>
  <c r="A483" i="3"/>
  <c r="B483" i="3" s="1"/>
  <c r="A482" i="3"/>
  <c r="B482" i="3" s="1"/>
  <c r="A481" i="3"/>
  <c r="B481" i="3" s="1"/>
  <c r="A480" i="3"/>
  <c r="B480" i="3" s="1"/>
  <c r="A479" i="3"/>
  <c r="B479" i="3" s="1"/>
  <c r="A478" i="3"/>
  <c r="B478" i="3" s="1"/>
  <c r="A477" i="3"/>
  <c r="B477" i="3" s="1"/>
  <c r="A476" i="3"/>
  <c r="B476" i="3" s="1"/>
  <c r="A475" i="3"/>
  <c r="B475" i="3" s="1"/>
  <c r="A474" i="3"/>
  <c r="B474" i="3" s="1"/>
  <c r="A473" i="3"/>
  <c r="B473" i="3" s="1"/>
  <c r="A472" i="3"/>
  <c r="B472" i="3" s="1"/>
  <c r="A471" i="3"/>
  <c r="B471" i="3" s="1"/>
  <c r="A470" i="3"/>
  <c r="B470" i="3" s="1"/>
  <c r="A469" i="3"/>
  <c r="B469" i="3" s="1"/>
  <c r="A468" i="3"/>
  <c r="B468" i="3" s="1"/>
  <c r="A467" i="3"/>
  <c r="B467" i="3" s="1"/>
  <c r="A466" i="3"/>
  <c r="B466" i="3" s="1"/>
  <c r="A465" i="3"/>
  <c r="B465" i="3" s="1"/>
  <c r="A464" i="3"/>
  <c r="B464" i="3" s="1"/>
  <c r="A463" i="3"/>
  <c r="B463" i="3" s="1"/>
  <c r="A462" i="3"/>
  <c r="B462" i="3" s="1"/>
  <c r="A461" i="3"/>
  <c r="B461" i="3" s="1"/>
  <c r="A460" i="3"/>
  <c r="B460" i="3" s="1"/>
  <c r="A459" i="3"/>
  <c r="B459" i="3" s="1"/>
  <c r="A458" i="3"/>
  <c r="B458" i="3" s="1"/>
  <c r="A457" i="3"/>
  <c r="B457" i="3" s="1"/>
  <c r="A456" i="3"/>
  <c r="B456" i="3" s="1"/>
  <c r="A455" i="3"/>
  <c r="B455" i="3" s="1"/>
  <c r="A454" i="3"/>
  <c r="B454" i="3" s="1"/>
  <c r="A453" i="3"/>
  <c r="B453" i="3" s="1"/>
  <c r="A452" i="3"/>
  <c r="B452" i="3" s="1"/>
  <c r="A451" i="3"/>
  <c r="B451" i="3" s="1"/>
  <c r="A450" i="3"/>
  <c r="B450" i="3" s="1"/>
  <c r="A449" i="3"/>
  <c r="B449" i="3" s="1"/>
  <c r="A448" i="3"/>
  <c r="B448" i="3" s="1"/>
  <c r="A447" i="3"/>
  <c r="B447" i="3" s="1"/>
  <c r="A446" i="3"/>
  <c r="B446" i="3" s="1"/>
  <c r="A445" i="3"/>
  <c r="B445" i="3" s="1"/>
  <c r="A444" i="3"/>
  <c r="B444" i="3" s="1"/>
  <c r="A443" i="3"/>
  <c r="B443" i="3" s="1"/>
  <c r="A442" i="3"/>
  <c r="B442" i="3" s="1"/>
  <c r="A441" i="3"/>
  <c r="B441" i="3" s="1"/>
  <c r="A440" i="3"/>
  <c r="B440" i="3" s="1"/>
  <c r="A439" i="3"/>
  <c r="B439" i="3" s="1"/>
  <c r="A438" i="3"/>
  <c r="B438" i="3" s="1"/>
  <c r="A437" i="3"/>
  <c r="B437" i="3" s="1"/>
  <c r="A436" i="3"/>
  <c r="B436" i="3" s="1"/>
  <c r="A435" i="3"/>
  <c r="B435" i="3" s="1"/>
  <c r="A434" i="3"/>
  <c r="B434" i="3" s="1"/>
  <c r="A433" i="3"/>
  <c r="B433" i="3" s="1"/>
  <c r="A432" i="3"/>
  <c r="B432" i="3" s="1"/>
  <c r="A431" i="3"/>
  <c r="B431" i="3" s="1"/>
  <c r="A430" i="3"/>
  <c r="B430" i="3" s="1"/>
  <c r="A429" i="3"/>
  <c r="B429" i="3" s="1"/>
  <c r="A428" i="3"/>
  <c r="B428" i="3" s="1"/>
  <c r="A427" i="3"/>
  <c r="B427" i="3" s="1"/>
  <c r="A426" i="3"/>
  <c r="B426" i="3" s="1"/>
  <c r="A425" i="3"/>
  <c r="B425" i="3" s="1"/>
  <c r="A424" i="3"/>
  <c r="B424" i="3" s="1"/>
  <c r="A423" i="3"/>
  <c r="B423" i="3" s="1"/>
  <c r="A422" i="3"/>
  <c r="B422" i="3" s="1"/>
  <c r="A421" i="3"/>
  <c r="B421" i="3" s="1"/>
  <c r="A420" i="3"/>
  <c r="B420" i="3" s="1"/>
  <c r="A419" i="3"/>
  <c r="B419" i="3" s="1"/>
  <c r="A418" i="3"/>
  <c r="B418" i="3" s="1"/>
  <c r="A417" i="3"/>
  <c r="B417" i="3" s="1"/>
  <c r="A416" i="3"/>
  <c r="B416" i="3" s="1"/>
  <c r="A415" i="3"/>
  <c r="B415" i="3" s="1"/>
  <c r="A414" i="3"/>
  <c r="B414" i="3" s="1"/>
  <c r="A413" i="3"/>
  <c r="B413" i="3" s="1"/>
  <c r="A412" i="3"/>
  <c r="B412" i="3" s="1"/>
  <c r="A411" i="3"/>
  <c r="B411" i="3" s="1"/>
  <c r="A410" i="3"/>
  <c r="B410" i="3" s="1"/>
  <c r="A409" i="3"/>
  <c r="B409" i="3" s="1"/>
  <c r="A408" i="3"/>
  <c r="B408" i="3" s="1"/>
  <c r="A407" i="3"/>
  <c r="B407" i="3" s="1"/>
  <c r="A406" i="3"/>
  <c r="B406" i="3" s="1"/>
  <c r="A405" i="3"/>
  <c r="B405" i="3" s="1"/>
  <c r="A404" i="3"/>
  <c r="B404" i="3" s="1"/>
  <c r="A403" i="3"/>
  <c r="B403" i="3" s="1"/>
  <c r="A402" i="3"/>
  <c r="B402" i="3" s="1"/>
  <c r="A401" i="3"/>
  <c r="B401" i="3" s="1"/>
  <c r="A400" i="3"/>
  <c r="B400" i="3" s="1"/>
  <c r="A399" i="3"/>
  <c r="B399" i="3" s="1"/>
  <c r="A398" i="3"/>
  <c r="B398" i="3" s="1"/>
  <c r="A397" i="3"/>
  <c r="B397" i="3" s="1"/>
  <c r="A396" i="3"/>
  <c r="B396" i="3" s="1"/>
  <c r="A395" i="3"/>
  <c r="B395" i="3" s="1"/>
  <c r="A394" i="3"/>
  <c r="B394" i="3" s="1"/>
  <c r="A393" i="3"/>
  <c r="B393" i="3" s="1"/>
  <c r="A392" i="3"/>
  <c r="B392" i="3" s="1"/>
  <c r="A391" i="3"/>
  <c r="B391" i="3" s="1"/>
  <c r="A390" i="3"/>
  <c r="B390" i="3" s="1"/>
  <c r="A389" i="3"/>
  <c r="B389" i="3" s="1"/>
  <c r="A388" i="3"/>
  <c r="B388" i="3" s="1"/>
  <c r="A387" i="3"/>
  <c r="B387" i="3" s="1"/>
  <c r="A386" i="3"/>
  <c r="B386" i="3" s="1"/>
  <c r="A385" i="3"/>
  <c r="B385" i="3" s="1"/>
  <c r="A384" i="3"/>
  <c r="B384" i="3" s="1"/>
  <c r="A383" i="3"/>
  <c r="B383" i="3" s="1"/>
  <c r="A382" i="3"/>
  <c r="B382" i="3" s="1"/>
  <c r="A381" i="3"/>
  <c r="B381" i="3" s="1"/>
  <c r="A380" i="3"/>
  <c r="B380" i="3" s="1"/>
  <c r="A379" i="3"/>
  <c r="B379" i="3" s="1"/>
  <c r="A378" i="3"/>
  <c r="B378" i="3" s="1"/>
  <c r="A377" i="3"/>
  <c r="B377" i="3" s="1"/>
  <c r="A376" i="3"/>
  <c r="B376" i="3" s="1"/>
  <c r="A375" i="3"/>
  <c r="B375" i="3" s="1"/>
  <c r="A374" i="3"/>
  <c r="B374" i="3" s="1"/>
  <c r="A373" i="3"/>
  <c r="B373" i="3" s="1"/>
  <c r="A372" i="3"/>
  <c r="B372" i="3" s="1"/>
  <c r="A371" i="3"/>
  <c r="B371" i="3" s="1"/>
  <c r="A370" i="3"/>
  <c r="B370" i="3" s="1"/>
  <c r="A369" i="3"/>
  <c r="B369" i="3" s="1"/>
  <c r="A368" i="3"/>
  <c r="B368" i="3" s="1"/>
  <c r="A367" i="3"/>
  <c r="B367" i="3" s="1"/>
  <c r="A366" i="3"/>
  <c r="B366" i="3" s="1"/>
  <c r="A365" i="3"/>
  <c r="B365" i="3" s="1"/>
  <c r="A364" i="3"/>
  <c r="B364" i="3" s="1"/>
  <c r="A363" i="3"/>
  <c r="B363" i="3" s="1"/>
  <c r="A362" i="3"/>
  <c r="B362" i="3" s="1"/>
  <c r="A361" i="3"/>
  <c r="B361" i="3" s="1"/>
  <c r="A360" i="3"/>
  <c r="B360" i="3" s="1"/>
  <c r="A359" i="3"/>
  <c r="B359" i="3" s="1"/>
  <c r="A358" i="3"/>
  <c r="B358" i="3" s="1"/>
  <c r="A357" i="3"/>
  <c r="B357" i="3" s="1"/>
  <c r="A356" i="3"/>
  <c r="B356" i="3" s="1"/>
  <c r="A355" i="3"/>
  <c r="B355" i="3" s="1"/>
  <c r="A354" i="3"/>
  <c r="B354" i="3" s="1"/>
  <c r="A353" i="3"/>
  <c r="B353" i="3" s="1"/>
  <c r="A352" i="3"/>
  <c r="B352" i="3" s="1"/>
  <c r="A351" i="3"/>
  <c r="B351" i="3" s="1"/>
  <c r="A350" i="3"/>
  <c r="B350" i="3" s="1"/>
  <c r="A349" i="3"/>
  <c r="B349" i="3" s="1"/>
  <c r="A348" i="3"/>
  <c r="B348" i="3" s="1"/>
  <c r="A347" i="3"/>
  <c r="B347" i="3" s="1"/>
  <c r="A346" i="3"/>
  <c r="B346" i="3" s="1"/>
  <c r="A345" i="3"/>
  <c r="B345" i="3" s="1"/>
  <c r="A344" i="3"/>
  <c r="B344" i="3" s="1"/>
  <c r="A343" i="3"/>
  <c r="B343" i="3" s="1"/>
  <c r="A342" i="3"/>
  <c r="B342" i="3" s="1"/>
  <c r="A341" i="3"/>
  <c r="B341" i="3" s="1"/>
  <c r="A340" i="3"/>
  <c r="B340" i="3" s="1"/>
  <c r="A339" i="3"/>
  <c r="B339" i="3" s="1"/>
  <c r="A338" i="3"/>
  <c r="B338" i="3" s="1"/>
  <c r="A337" i="3"/>
  <c r="B337" i="3" s="1"/>
  <c r="A336" i="3"/>
  <c r="B336" i="3" s="1"/>
  <c r="A335" i="3"/>
  <c r="B335" i="3" s="1"/>
  <c r="A334" i="3"/>
  <c r="B334" i="3" s="1"/>
  <c r="A333" i="3"/>
  <c r="B333" i="3" s="1"/>
  <c r="A332" i="3"/>
  <c r="B332" i="3" s="1"/>
  <c r="A331" i="3"/>
  <c r="B331" i="3" s="1"/>
  <c r="A330" i="3"/>
  <c r="B330" i="3" s="1"/>
  <c r="A329" i="3"/>
  <c r="B329" i="3" s="1"/>
  <c r="A328" i="3"/>
  <c r="B328" i="3" s="1"/>
  <c r="A327" i="3"/>
  <c r="B327" i="3" s="1"/>
  <c r="A326" i="3"/>
  <c r="B326" i="3" s="1"/>
  <c r="A325" i="3"/>
  <c r="B325" i="3" s="1"/>
  <c r="A324" i="3"/>
  <c r="B324" i="3" s="1"/>
  <c r="A323" i="3"/>
  <c r="B323" i="3" s="1"/>
  <c r="A322" i="3"/>
  <c r="B322" i="3" s="1"/>
  <c r="A321" i="3"/>
  <c r="B321" i="3" s="1"/>
  <c r="A320" i="3"/>
  <c r="B320" i="3" s="1"/>
  <c r="A319" i="3"/>
  <c r="B319" i="3" s="1"/>
  <c r="A318" i="3"/>
  <c r="B318" i="3" s="1"/>
  <c r="A317" i="3"/>
  <c r="B317" i="3" s="1"/>
  <c r="A316" i="3"/>
  <c r="B316" i="3" s="1"/>
  <c r="A315" i="3"/>
  <c r="B315" i="3" s="1"/>
  <c r="A314" i="3"/>
  <c r="B314" i="3" s="1"/>
  <c r="A313" i="3"/>
  <c r="B313" i="3" s="1"/>
  <c r="A312" i="3"/>
  <c r="B312" i="3" s="1"/>
  <c r="A311" i="3"/>
  <c r="B311" i="3" s="1"/>
  <c r="A310" i="3"/>
  <c r="B310" i="3" s="1"/>
  <c r="A309" i="3"/>
  <c r="B309" i="3" s="1"/>
  <c r="A308" i="3"/>
  <c r="B308" i="3" s="1"/>
  <c r="A307" i="3"/>
  <c r="B307" i="3" s="1"/>
  <c r="A306" i="3"/>
  <c r="B306" i="3" s="1"/>
  <c r="A305" i="3"/>
  <c r="B305" i="3" s="1"/>
  <c r="A304" i="3"/>
  <c r="B304" i="3" s="1"/>
  <c r="A303" i="3"/>
  <c r="B303" i="3" s="1"/>
  <c r="A302" i="3"/>
  <c r="B302" i="3" s="1"/>
  <c r="A301" i="3"/>
  <c r="B301" i="3" s="1"/>
  <c r="A300" i="3"/>
  <c r="B300" i="3" s="1"/>
  <c r="A299" i="3"/>
  <c r="B299" i="3" s="1"/>
  <c r="A298" i="3"/>
  <c r="B298" i="3" s="1"/>
  <c r="A297" i="3"/>
  <c r="B297" i="3" s="1"/>
  <c r="A296" i="3"/>
  <c r="B296" i="3" s="1"/>
  <c r="A295" i="3"/>
  <c r="B295" i="3" s="1"/>
  <c r="A294" i="3"/>
  <c r="B294" i="3" s="1"/>
  <c r="A293" i="3"/>
  <c r="B293" i="3" s="1"/>
  <c r="A292" i="3"/>
  <c r="B292" i="3" s="1"/>
  <c r="A291" i="3"/>
  <c r="B291" i="3" s="1"/>
  <c r="A290" i="3"/>
  <c r="B290" i="3" s="1"/>
  <c r="A289" i="3"/>
  <c r="B289" i="3" s="1"/>
  <c r="A288" i="3"/>
  <c r="B288" i="3" s="1"/>
  <c r="A287" i="3"/>
  <c r="B287" i="3" s="1"/>
  <c r="A286" i="3"/>
  <c r="B286" i="3" s="1"/>
  <c r="A285" i="3"/>
  <c r="B285" i="3" s="1"/>
  <c r="A284" i="3"/>
  <c r="B284" i="3" s="1"/>
  <c r="A283" i="3"/>
  <c r="B283" i="3" s="1"/>
  <c r="A282" i="3"/>
  <c r="B282" i="3" s="1"/>
  <c r="A281" i="3"/>
  <c r="B281" i="3" s="1"/>
  <c r="A280" i="3"/>
  <c r="B280" i="3" s="1"/>
  <c r="A279" i="3"/>
  <c r="B279" i="3" s="1"/>
  <c r="A278" i="3"/>
  <c r="B278" i="3" s="1"/>
  <c r="A277" i="3"/>
  <c r="B277" i="3" s="1"/>
  <c r="A276" i="3"/>
  <c r="B276" i="3" s="1"/>
  <c r="A275" i="3"/>
  <c r="B275" i="3" s="1"/>
  <c r="A274" i="3"/>
  <c r="B274" i="3" s="1"/>
  <c r="A273" i="3"/>
  <c r="B273" i="3" s="1"/>
  <c r="A272" i="3"/>
  <c r="B272" i="3" s="1"/>
  <c r="A271" i="3"/>
  <c r="B271" i="3" s="1"/>
  <c r="A270" i="3"/>
  <c r="B270" i="3" s="1"/>
  <c r="A269" i="3"/>
  <c r="B269" i="3" s="1"/>
  <c r="A268" i="3"/>
  <c r="B268" i="3" s="1"/>
  <c r="A267" i="3"/>
  <c r="B267" i="3" s="1"/>
  <c r="A266" i="3"/>
  <c r="B266" i="3" s="1"/>
  <c r="A265" i="3"/>
  <c r="B265" i="3" s="1"/>
  <c r="A264" i="3"/>
  <c r="B264" i="3" s="1"/>
  <c r="A263" i="3"/>
  <c r="B263" i="3" s="1"/>
  <c r="A262" i="3"/>
  <c r="B262" i="3" s="1"/>
  <c r="A261" i="3"/>
  <c r="B261" i="3" s="1"/>
  <c r="A260" i="3"/>
  <c r="B260" i="3" s="1"/>
  <c r="A259" i="3"/>
  <c r="B259" i="3" s="1"/>
  <c r="A258" i="3"/>
  <c r="B258" i="3" s="1"/>
  <c r="A257" i="3"/>
  <c r="B257" i="3" s="1"/>
  <c r="A256" i="3"/>
  <c r="B256" i="3" s="1"/>
  <c r="A255" i="3"/>
  <c r="B255" i="3" s="1"/>
  <c r="A254" i="3"/>
  <c r="B254" i="3" s="1"/>
  <c r="A253" i="3"/>
  <c r="B253" i="3" s="1"/>
  <c r="A252" i="3"/>
  <c r="B252" i="3" s="1"/>
  <c r="A251" i="3"/>
  <c r="B251" i="3" s="1"/>
  <c r="A250" i="3"/>
  <c r="B250" i="3" s="1"/>
  <c r="A249" i="3"/>
  <c r="B249" i="3" s="1"/>
  <c r="A248" i="3"/>
  <c r="B248" i="3" s="1"/>
  <c r="A247" i="3"/>
  <c r="B247" i="3" s="1"/>
  <c r="A246" i="3"/>
  <c r="B246" i="3" s="1"/>
  <c r="A245" i="3"/>
  <c r="B245" i="3" s="1"/>
  <c r="A244" i="3"/>
  <c r="B244" i="3" s="1"/>
  <c r="A243" i="3"/>
  <c r="B243" i="3" s="1"/>
  <c r="A242" i="3"/>
  <c r="B242" i="3" s="1"/>
  <c r="A241" i="3"/>
  <c r="B241" i="3" s="1"/>
  <c r="A240" i="3"/>
  <c r="B240" i="3" s="1"/>
  <c r="A239" i="3"/>
  <c r="B239" i="3" s="1"/>
  <c r="A238" i="3"/>
  <c r="B238" i="3" s="1"/>
  <c r="A237" i="3"/>
  <c r="B237" i="3" s="1"/>
  <c r="A236" i="3"/>
  <c r="B236" i="3" s="1"/>
  <c r="A235" i="3"/>
  <c r="B235" i="3" s="1"/>
  <c r="A234" i="3"/>
  <c r="B234" i="3" s="1"/>
  <c r="A233" i="3"/>
  <c r="B233" i="3" s="1"/>
  <c r="A232" i="3"/>
  <c r="B232" i="3" s="1"/>
  <c r="A231" i="3"/>
  <c r="B231" i="3" s="1"/>
  <c r="A230" i="3"/>
  <c r="B230" i="3" s="1"/>
  <c r="A229" i="3"/>
  <c r="B229" i="3" s="1"/>
  <c r="A228" i="3"/>
  <c r="B228" i="3" s="1"/>
  <c r="A227" i="3"/>
  <c r="B227" i="3" s="1"/>
  <c r="A226" i="3"/>
  <c r="B226" i="3" s="1"/>
  <c r="A225" i="3"/>
  <c r="B225" i="3" s="1"/>
  <c r="A224" i="3"/>
  <c r="B224" i="3" s="1"/>
  <c r="A223" i="3"/>
  <c r="B223" i="3" s="1"/>
  <c r="A222" i="3"/>
  <c r="B222" i="3" s="1"/>
  <c r="A221" i="3"/>
  <c r="B221" i="3" s="1"/>
  <c r="A220" i="3"/>
  <c r="B220" i="3" s="1"/>
  <c r="A219" i="3"/>
  <c r="B219" i="3" s="1"/>
  <c r="A218" i="3"/>
  <c r="B218" i="3" s="1"/>
  <c r="A217" i="3"/>
  <c r="B217" i="3" s="1"/>
  <c r="A216" i="3"/>
  <c r="B216" i="3" s="1"/>
  <c r="A215" i="3"/>
  <c r="B215" i="3" s="1"/>
  <c r="A214" i="3"/>
  <c r="B214" i="3" s="1"/>
  <c r="A213" i="3"/>
  <c r="B213" i="3" s="1"/>
  <c r="A212" i="3"/>
  <c r="B212" i="3" s="1"/>
  <c r="A211" i="3"/>
  <c r="B211" i="3" s="1"/>
  <c r="A210" i="3"/>
  <c r="B210" i="3" s="1"/>
  <c r="A209" i="3"/>
  <c r="B209" i="3" s="1"/>
  <c r="A208" i="3"/>
  <c r="B208" i="3" s="1"/>
  <c r="A207" i="3"/>
  <c r="B207" i="3" s="1"/>
  <c r="A206" i="3"/>
  <c r="B206" i="3" s="1"/>
  <c r="A205" i="3"/>
  <c r="B205" i="3" s="1"/>
  <c r="A204" i="3"/>
  <c r="B204" i="3" s="1"/>
  <c r="A203" i="3"/>
  <c r="B203" i="3" s="1"/>
  <c r="A202" i="3"/>
  <c r="B202" i="3" s="1"/>
  <c r="A201" i="3"/>
  <c r="B201" i="3" s="1"/>
  <c r="A200" i="3"/>
  <c r="B200" i="3" s="1"/>
  <c r="A199" i="3"/>
  <c r="B199" i="3" s="1"/>
  <c r="A198" i="3"/>
  <c r="B198" i="3" s="1"/>
  <c r="A197" i="3"/>
  <c r="B197" i="3" s="1"/>
  <c r="A196" i="3"/>
  <c r="B196" i="3" s="1"/>
  <c r="A195" i="3"/>
  <c r="B195" i="3" s="1"/>
  <c r="A194" i="3"/>
  <c r="B194" i="3" s="1"/>
  <c r="A193" i="3"/>
  <c r="B193" i="3" s="1"/>
  <c r="A192" i="3"/>
  <c r="B192" i="3" s="1"/>
  <c r="A191" i="3"/>
  <c r="B191" i="3" s="1"/>
  <c r="A190" i="3"/>
  <c r="B190" i="3" s="1"/>
  <c r="A189" i="3"/>
  <c r="B189" i="3" s="1"/>
  <c r="A188" i="3"/>
  <c r="B188" i="3" s="1"/>
  <c r="A187" i="3"/>
  <c r="B187" i="3" s="1"/>
  <c r="A186" i="3"/>
  <c r="B186" i="3" s="1"/>
  <c r="A185" i="3"/>
  <c r="B185" i="3" s="1"/>
  <c r="A184" i="3"/>
  <c r="B184" i="3" s="1"/>
  <c r="A183" i="3"/>
  <c r="B183" i="3" s="1"/>
  <c r="A182" i="3"/>
  <c r="B182" i="3" s="1"/>
  <c r="A181" i="3"/>
  <c r="B181" i="3" s="1"/>
  <c r="A180" i="3"/>
  <c r="B180" i="3" s="1"/>
  <c r="A179" i="3"/>
  <c r="B179" i="3" s="1"/>
  <c r="A178" i="3"/>
  <c r="B178" i="3" s="1"/>
  <c r="A177" i="3"/>
  <c r="B177" i="3" s="1"/>
  <c r="A176" i="3"/>
  <c r="B176" i="3" s="1"/>
  <c r="A175" i="3"/>
  <c r="B175" i="3" s="1"/>
  <c r="A174" i="3"/>
  <c r="B174" i="3" s="1"/>
  <c r="A173" i="3"/>
  <c r="B173" i="3" s="1"/>
  <c r="A172" i="3"/>
  <c r="B172" i="3" s="1"/>
  <c r="A171" i="3"/>
  <c r="B171" i="3" s="1"/>
  <c r="A170" i="3"/>
  <c r="B170" i="3" s="1"/>
  <c r="A169" i="3"/>
  <c r="B169" i="3" s="1"/>
  <c r="A168" i="3"/>
  <c r="B168" i="3" s="1"/>
  <c r="A167" i="3"/>
  <c r="B167" i="3" s="1"/>
  <c r="A166" i="3"/>
  <c r="B166" i="3" s="1"/>
  <c r="A165" i="3"/>
  <c r="B165" i="3" s="1"/>
  <c r="A164" i="3"/>
  <c r="B164" i="3" s="1"/>
  <c r="A163" i="3"/>
  <c r="B163" i="3" s="1"/>
  <c r="A162" i="3"/>
  <c r="B162" i="3" s="1"/>
  <c r="A161" i="3"/>
  <c r="B161" i="3" s="1"/>
  <c r="A160" i="3"/>
  <c r="B160" i="3" s="1"/>
  <c r="A159" i="3"/>
  <c r="B159" i="3" s="1"/>
  <c r="A158" i="3"/>
  <c r="B158" i="3" s="1"/>
  <c r="A157" i="3"/>
  <c r="B157" i="3" s="1"/>
  <c r="A156" i="3"/>
  <c r="B156" i="3" s="1"/>
  <c r="A155" i="3"/>
  <c r="B155" i="3" s="1"/>
  <c r="A154" i="3"/>
  <c r="B154" i="3" s="1"/>
  <c r="A153" i="3"/>
  <c r="B153" i="3" s="1"/>
  <c r="A152" i="3"/>
  <c r="B152" i="3" s="1"/>
  <c r="A151" i="3"/>
  <c r="B151" i="3" s="1"/>
  <c r="A150" i="3"/>
  <c r="B150" i="3" s="1"/>
  <c r="A149" i="3"/>
  <c r="B149" i="3" s="1"/>
  <c r="A148" i="3"/>
  <c r="B148" i="3" s="1"/>
  <c r="A147" i="3"/>
  <c r="B147" i="3" s="1"/>
  <c r="A146" i="3"/>
  <c r="B146" i="3" s="1"/>
  <c r="A145" i="3"/>
  <c r="B145" i="3" s="1"/>
  <c r="A144" i="3"/>
  <c r="B144" i="3" s="1"/>
  <c r="A143" i="3"/>
  <c r="B143" i="3" s="1"/>
  <c r="A142" i="3"/>
  <c r="B142" i="3" s="1"/>
  <c r="A141" i="3"/>
  <c r="B141" i="3" s="1"/>
  <c r="A140" i="3"/>
  <c r="B140" i="3" s="1"/>
  <c r="A139" i="3"/>
  <c r="B139" i="3" s="1"/>
  <c r="A138" i="3"/>
  <c r="B138" i="3" s="1"/>
  <c r="A137" i="3"/>
  <c r="B137" i="3" s="1"/>
  <c r="A136" i="3"/>
  <c r="B136" i="3" s="1"/>
  <c r="A135" i="3"/>
  <c r="B135" i="3" s="1"/>
  <c r="A134" i="3"/>
  <c r="B134" i="3" s="1"/>
  <c r="A127" i="3"/>
  <c r="B127" i="3" s="1"/>
  <c r="A126" i="3"/>
  <c r="B126" i="3" s="1"/>
  <c r="A125" i="3"/>
  <c r="B125" i="3" s="1"/>
  <c r="A124" i="3"/>
  <c r="B124" i="3" s="1"/>
  <c r="A123" i="3"/>
  <c r="B123" i="3" s="1"/>
  <c r="A122" i="3"/>
  <c r="B122" i="3" s="1"/>
  <c r="A121" i="3"/>
  <c r="B121" i="3" s="1"/>
  <c r="A120" i="3"/>
  <c r="B120" i="3" s="1"/>
  <c r="A119" i="3"/>
  <c r="B119" i="3" s="1"/>
  <c r="A118" i="3"/>
  <c r="B118" i="3" s="1"/>
  <c r="A117" i="3"/>
  <c r="B117" i="3" s="1"/>
  <c r="A116" i="3"/>
  <c r="B116" i="3" s="1"/>
  <c r="A115" i="3"/>
  <c r="B115" i="3" s="1"/>
  <c r="A114" i="3"/>
  <c r="B114" i="3" s="1"/>
  <c r="A113" i="3"/>
  <c r="B113" i="3" s="1"/>
  <c r="A112" i="3"/>
  <c r="B112" i="3" s="1"/>
  <c r="A111" i="3"/>
  <c r="B111" i="3" s="1"/>
  <c r="A110" i="3"/>
  <c r="B110" i="3" s="1"/>
  <c r="A109" i="3"/>
  <c r="B109" i="3" s="1"/>
  <c r="A108" i="3"/>
  <c r="B108" i="3" s="1"/>
  <c r="A107" i="3"/>
  <c r="B107" i="3" s="1"/>
  <c r="A106" i="3"/>
  <c r="B106" i="3" s="1"/>
  <c r="A105" i="3"/>
  <c r="B105" i="3" s="1"/>
  <c r="A104" i="3"/>
  <c r="B104" i="3" s="1"/>
  <c r="A103" i="3"/>
  <c r="B103" i="3" s="1"/>
  <c r="A102" i="3"/>
  <c r="B102" i="3" s="1"/>
  <c r="A101" i="3"/>
  <c r="B101" i="3" s="1"/>
  <c r="A100" i="3"/>
  <c r="B100" i="3" s="1"/>
  <c r="A99" i="3"/>
  <c r="B99" i="3" s="1"/>
  <c r="A98" i="3"/>
  <c r="B98" i="3" s="1"/>
  <c r="A97" i="3"/>
  <c r="B97" i="3" s="1"/>
  <c r="A96" i="3"/>
  <c r="B96" i="3" s="1"/>
  <c r="A95" i="3"/>
  <c r="B95" i="3" s="1"/>
  <c r="A94" i="3"/>
  <c r="B94" i="3" s="1"/>
  <c r="A93" i="3"/>
  <c r="B93" i="3" s="1"/>
  <c r="A92" i="3"/>
  <c r="B92" i="3" s="1"/>
  <c r="A91" i="3"/>
  <c r="B91" i="3" s="1"/>
  <c r="A90" i="3"/>
  <c r="B90" i="3" s="1"/>
  <c r="A89" i="3"/>
  <c r="B89" i="3" s="1"/>
  <c r="A88" i="3"/>
  <c r="B88" i="3" s="1"/>
  <c r="A87" i="3"/>
  <c r="B87" i="3" s="1"/>
  <c r="A86" i="3"/>
  <c r="B86" i="3" s="1"/>
  <c r="A85" i="3"/>
  <c r="B85" i="3" s="1"/>
  <c r="A84" i="3"/>
  <c r="B84" i="3" s="1"/>
  <c r="A83" i="3"/>
  <c r="B83" i="3" s="1"/>
  <c r="A82" i="3"/>
  <c r="B82" i="3" s="1"/>
  <c r="A81" i="3"/>
  <c r="B81" i="3" s="1"/>
  <c r="A80" i="3"/>
  <c r="B80" i="3" s="1"/>
  <c r="A79" i="3"/>
  <c r="B79" i="3" s="1"/>
  <c r="A78" i="3"/>
  <c r="B78" i="3" s="1"/>
  <c r="A77" i="3"/>
  <c r="B77" i="3" s="1"/>
  <c r="A76" i="3"/>
  <c r="B76" i="3" s="1"/>
  <c r="A75" i="3"/>
  <c r="B75" i="3" s="1"/>
  <c r="A74" i="3"/>
  <c r="B74" i="3" s="1"/>
  <c r="A73" i="3"/>
  <c r="B73" i="3" s="1"/>
  <c r="A72" i="3"/>
  <c r="B72" i="3" s="1"/>
  <c r="A71" i="3"/>
  <c r="B71" i="3" s="1"/>
  <c r="A70" i="3"/>
  <c r="B70" i="3" s="1"/>
  <c r="A69" i="3"/>
  <c r="B69" i="3" s="1"/>
  <c r="A68" i="3"/>
  <c r="B68" i="3" s="1"/>
  <c r="A67" i="3"/>
  <c r="B67" i="3" s="1"/>
  <c r="A66" i="3"/>
  <c r="B66" i="3" s="1"/>
  <c r="A65" i="3"/>
  <c r="B65" i="3" s="1"/>
  <c r="A64" i="3"/>
  <c r="B64" i="3" s="1"/>
  <c r="A63" i="3"/>
  <c r="B63" i="3" s="1"/>
  <c r="A62" i="3"/>
  <c r="B62" i="3" s="1"/>
  <c r="A61" i="3"/>
  <c r="B61" i="3" s="1"/>
  <c r="A60" i="3"/>
  <c r="B60" i="3" s="1"/>
  <c r="A59" i="3"/>
  <c r="B59" i="3" s="1"/>
  <c r="A58" i="3"/>
  <c r="B58" i="3" s="1"/>
  <c r="A57" i="3"/>
  <c r="B57" i="3" s="1"/>
  <c r="A56" i="3"/>
  <c r="B56" i="3" s="1"/>
  <c r="A55" i="3"/>
  <c r="B55" i="3" s="1"/>
  <c r="A54" i="3"/>
  <c r="B54" i="3" s="1"/>
  <c r="A53" i="3"/>
  <c r="B53" i="3" s="1"/>
  <c r="A52" i="3"/>
  <c r="B52" i="3" s="1"/>
  <c r="A51" i="3"/>
  <c r="B51" i="3" s="1"/>
  <c r="A50" i="3"/>
  <c r="B50" i="3" s="1"/>
  <c r="A49" i="3"/>
  <c r="B49" i="3" s="1"/>
  <c r="A48" i="3"/>
  <c r="B48" i="3" s="1"/>
  <c r="A47" i="3"/>
  <c r="B47" i="3" s="1"/>
  <c r="A46" i="3"/>
  <c r="B46" i="3" s="1"/>
  <c r="A45" i="3"/>
  <c r="B45" i="3" s="1"/>
  <c r="A44" i="3"/>
  <c r="B44" i="3" s="1"/>
  <c r="A43" i="3"/>
  <c r="B43" i="3" s="1"/>
  <c r="A42" i="3"/>
  <c r="B42" i="3" s="1"/>
  <c r="A41" i="3"/>
  <c r="B41" i="3" s="1"/>
  <c r="A40" i="3"/>
  <c r="B40" i="3" s="1"/>
  <c r="A39" i="3"/>
  <c r="B39" i="3" s="1"/>
  <c r="A38" i="3"/>
  <c r="B38" i="3" s="1"/>
  <c r="A37" i="3"/>
  <c r="B37" i="3" s="1"/>
  <c r="A36" i="3"/>
  <c r="B36" i="3" s="1"/>
  <c r="A35" i="3"/>
  <c r="B35" i="3" s="1"/>
  <c r="A34" i="3"/>
  <c r="B34" i="3" s="1"/>
  <c r="A33" i="3"/>
  <c r="B33" i="3" s="1"/>
  <c r="A32" i="3"/>
  <c r="B32" i="3" s="1"/>
  <c r="A31" i="3"/>
  <c r="B31" i="3" s="1"/>
  <c r="A30" i="3"/>
  <c r="B30" i="3" s="1"/>
  <c r="A29" i="3"/>
  <c r="B29" i="3" s="1"/>
  <c r="A28" i="3"/>
  <c r="B28" i="3" s="1"/>
  <c r="A27" i="3"/>
  <c r="B27" i="3" s="1"/>
  <c r="A26" i="3"/>
  <c r="B26" i="3" s="1"/>
  <c r="A25" i="3"/>
  <c r="B25" i="3" s="1"/>
  <c r="A24" i="3"/>
  <c r="B24" i="3" s="1"/>
  <c r="A23" i="3"/>
  <c r="B23" i="3" s="1"/>
  <c r="A22" i="3"/>
  <c r="B22" i="3" s="1"/>
  <c r="A21" i="3"/>
  <c r="B21" i="3" s="1"/>
  <c r="A20" i="3"/>
  <c r="B20" i="3" s="1"/>
  <c r="A19" i="3"/>
  <c r="B19" i="3" s="1"/>
  <c r="A18" i="3"/>
  <c r="B18" i="3" s="1"/>
  <c r="A17" i="3"/>
  <c r="B17" i="3" s="1"/>
  <c r="A16" i="3"/>
  <c r="B16" i="3" s="1"/>
  <c r="A15" i="3"/>
  <c r="B15" i="3" s="1"/>
  <c r="A14" i="3"/>
  <c r="B14" i="3" s="1"/>
  <c r="A13" i="3"/>
  <c r="B13" i="3" s="1"/>
  <c r="A12" i="3"/>
  <c r="B12" i="3" s="1"/>
  <c r="A11" i="3"/>
  <c r="B11" i="3" s="1"/>
  <c r="A10" i="3"/>
  <c r="B10" i="3" s="1"/>
  <c r="A9" i="3"/>
  <c r="B9" i="3" s="1"/>
  <c r="A8" i="3"/>
  <c r="B8" i="3" s="1"/>
  <c r="A7" i="3"/>
  <c r="B7" i="3" s="1"/>
  <c r="A6" i="3"/>
  <c r="B6" i="3" s="1"/>
  <c r="A5" i="3"/>
  <c r="B5" i="3" s="1"/>
  <c r="A4" i="3"/>
  <c r="B4" i="3" s="1"/>
  <c r="A3" i="3"/>
  <c r="B3" i="3" s="1"/>
  <c r="A2" i="3"/>
  <c r="AS12" i="18" l="1"/>
  <c r="A413" i="19"/>
  <c r="B413" i="19" s="1"/>
  <c r="A411" i="19"/>
  <c r="B411" i="19" s="1"/>
  <c r="A409" i="19"/>
  <c r="B409" i="19" s="1"/>
  <c r="A407" i="19"/>
  <c r="B407" i="19" s="1"/>
  <c r="A405" i="19"/>
  <c r="B405" i="19" s="1"/>
  <c r="A403" i="19"/>
  <c r="B403" i="19" s="1"/>
  <c r="A401" i="19"/>
  <c r="B401" i="19" s="1"/>
  <c r="A399" i="19"/>
  <c r="B399" i="19" s="1"/>
  <c r="A397" i="19"/>
  <c r="B397" i="19" s="1"/>
  <c r="A395" i="19"/>
  <c r="B395" i="19" s="1"/>
  <c r="A393" i="19"/>
  <c r="B393" i="19" s="1"/>
  <c r="A391" i="19"/>
  <c r="B391" i="19" s="1"/>
  <c r="A389" i="19"/>
  <c r="B389" i="19" s="1"/>
  <c r="A387" i="19"/>
  <c r="B387" i="19" s="1"/>
  <c r="A384" i="19"/>
  <c r="B384" i="19" s="1"/>
  <c r="A382" i="19"/>
  <c r="B382" i="19" s="1"/>
  <c r="A666" i="19"/>
  <c r="B666" i="19" s="1"/>
  <c r="A664" i="19"/>
  <c r="B664" i="19" s="1"/>
  <c r="A662" i="19"/>
  <c r="B662" i="19" s="1"/>
  <c r="A660" i="19"/>
  <c r="B660" i="19" s="1"/>
  <c r="A658" i="19"/>
  <c r="B658" i="19" s="1"/>
  <c r="A656" i="19"/>
  <c r="B656" i="19" s="1"/>
  <c r="A654" i="19"/>
  <c r="B654" i="19" s="1"/>
  <c r="A652" i="19"/>
  <c r="B652" i="19" s="1"/>
  <c r="A650" i="19"/>
  <c r="B650" i="19" s="1"/>
  <c r="A648" i="19"/>
  <c r="B648" i="19" s="1"/>
  <c r="A646" i="19"/>
  <c r="B646" i="19" s="1"/>
  <c r="A644" i="19"/>
  <c r="B644" i="19" s="1"/>
  <c r="A642" i="19"/>
  <c r="B642" i="19" s="1"/>
  <c r="A641" i="19"/>
  <c r="B641" i="19" s="1"/>
  <c r="A380" i="19"/>
  <c r="B380" i="19" s="1"/>
  <c r="A639" i="19"/>
  <c r="B639" i="19" s="1"/>
  <c r="A378" i="19"/>
  <c r="B378" i="19" s="1"/>
  <c r="A637" i="19"/>
  <c r="B637" i="19" s="1"/>
  <c r="A376" i="19"/>
  <c r="B376" i="19" s="1"/>
  <c r="A635" i="19"/>
  <c r="B635" i="19" s="1"/>
  <c r="A374" i="19"/>
  <c r="B374" i="19" s="1"/>
  <c r="A633" i="19"/>
  <c r="B633" i="19" s="1"/>
  <c r="A372" i="19"/>
  <c r="B372" i="19" s="1"/>
  <c r="A631" i="19"/>
  <c r="B631" i="19" s="1"/>
  <c r="A370" i="19"/>
  <c r="B370" i="19" s="1"/>
  <c r="A629" i="19"/>
  <c r="B629" i="19" s="1"/>
  <c r="A368" i="19"/>
  <c r="B368" i="19" s="1"/>
  <c r="A627" i="19"/>
  <c r="B627" i="19" s="1"/>
  <c r="A366" i="19"/>
  <c r="B366" i="19" s="1"/>
  <c r="A625" i="19"/>
  <c r="B625" i="19" s="1"/>
  <c r="A364" i="19"/>
  <c r="B364" i="19" s="1"/>
  <c r="A623" i="19"/>
  <c r="B623" i="19" s="1"/>
  <c r="A362" i="19"/>
  <c r="B362" i="19" s="1"/>
  <c r="A621" i="19"/>
  <c r="B621" i="19" s="1"/>
  <c r="A360" i="19"/>
  <c r="B360" i="19" s="1"/>
  <c r="A619" i="19"/>
  <c r="B619" i="19" s="1"/>
  <c r="A358" i="19"/>
  <c r="B358" i="19" s="1"/>
  <c r="A617" i="19"/>
  <c r="B617" i="19" s="1"/>
  <c r="A356" i="19"/>
  <c r="B356" i="19" s="1"/>
  <c r="A615" i="19"/>
  <c r="B615" i="19" s="1"/>
  <c r="A354" i="19"/>
  <c r="B354" i="19" s="1"/>
  <c r="A613" i="19"/>
  <c r="B613" i="19" s="1"/>
  <c r="A353" i="19"/>
  <c r="B353" i="19" s="1"/>
  <c r="A611" i="19"/>
  <c r="B611" i="19" s="1"/>
  <c r="A351" i="19"/>
  <c r="B351" i="19" s="1"/>
  <c r="A608" i="19"/>
  <c r="B608" i="19" s="1"/>
  <c r="A606" i="19"/>
  <c r="B606" i="19" s="1"/>
  <c r="A604" i="19"/>
  <c r="B604" i="19" s="1"/>
  <c r="A667" i="19"/>
  <c r="B667" i="19" s="1"/>
  <c r="A602" i="19"/>
  <c r="B602" i="19" s="1"/>
  <c r="A665" i="19"/>
  <c r="B665" i="19" s="1"/>
  <c r="A600" i="19"/>
  <c r="B600" i="19" s="1"/>
  <c r="A663" i="19"/>
  <c r="B663" i="19" s="1"/>
  <c r="A598" i="19"/>
  <c r="B598" i="19" s="1"/>
  <c r="A661" i="19"/>
  <c r="B661" i="19" s="1"/>
  <c r="A596" i="19"/>
  <c r="B596" i="19" s="1"/>
  <c r="A659" i="19"/>
  <c r="B659" i="19" s="1"/>
  <c r="A594" i="19"/>
  <c r="B594" i="19" s="1"/>
  <c r="A657" i="19"/>
  <c r="B657" i="19" s="1"/>
  <c r="A592" i="19"/>
  <c r="B592" i="19" s="1"/>
  <c r="A655" i="19"/>
  <c r="B655" i="19" s="1"/>
  <c r="A590" i="19"/>
  <c r="B590" i="19" s="1"/>
  <c r="A653" i="19"/>
  <c r="B653" i="19" s="1"/>
  <c r="A588" i="19"/>
  <c r="B588" i="19" s="1"/>
  <c r="A651" i="19"/>
  <c r="B651" i="19" s="1"/>
  <c r="A586" i="19"/>
  <c r="B586" i="19" s="1"/>
  <c r="A649" i="19"/>
  <c r="B649" i="19" s="1"/>
  <c r="A647" i="19"/>
  <c r="B647" i="19" s="1"/>
  <c r="A645" i="19"/>
  <c r="B645" i="19" s="1"/>
  <c r="A643" i="19"/>
  <c r="B643" i="19" s="1"/>
  <c r="A349" i="19"/>
  <c r="B349" i="19" s="1"/>
  <c r="A347" i="19"/>
  <c r="B347" i="19" s="1"/>
  <c r="A345" i="19"/>
  <c r="B345" i="19" s="1"/>
  <c r="A343" i="19"/>
  <c r="B343" i="19" s="1"/>
  <c r="A341" i="19"/>
  <c r="B341" i="19" s="1"/>
  <c r="A339" i="19"/>
  <c r="B339" i="19" s="1"/>
  <c r="A337" i="19"/>
  <c r="B337" i="19" s="1"/>
  <c r="A335" i="19"/>
  <c r="B335" i="19" s="1"/>
  <c r="A333" i="19"/>
  <c r="B333" i="19" s="1"/>
  <c r="A331" i="19"/>
  <c r="B331" i="19" s="1"/>
  <c r="A329" i="19"/>
  <c r="B329" i="19" s="1"/>
  <c r="A327" i="19"/>
  <c r="B327" i="19" s="1"/>
  <c r="A325" i="19"/>
  <c r="B325" i="19" s="1"/>
  <c r="A323" i="19"/>
  <c r="B323" i="19" s="1"/>
  <c r="A320" i="19"/>
  <c r="B320" i="19" s="1"/>
  <c r="A318" i="19"/>
  <c r="B318" i="19" s="1"/>
  <c r="A640" i="19"/>
  <c r="B640" i="19" s="1"/>
  <c r="A638" i="19"/>
  <c r="B638" i="19" s="1"/>
  <c r="A636" i="19"/>
  <c r="B636" i="19" s="1"/>
  <c r="A634" i="19"/>
  <c r="B634" i="19" s="1"/>
  <c r="A632" i="19"/>
  <c r="B632" i="19" s="1"/>
  <c r="A630" i="19"/>
  <c r="B630" i="19" s="1"/>
  <c r="A628" i="19"/>
  <c r="B628" i="19" s="1"/>
  <c r="A626" i="19"/>
  <c r="B626" i="19" s="1"/>
  <c r="A624" i="19"/>
  <c r="B624" i="19" s="1"/>
  <c r="A622" i="19"/>
  <c r="B622" i="19" s="1"/>
  <c r="A620" i="19"/>
  <c r="B620" i="19" s="1"/>
  <c r="A618" i="19"/>
  <c r="B618" i="19" s="1"/>
  <c r="A616" i="19"/>
  <c r="B616" i="19" s="1"/>
  <c r="A584" i="19"/>
  <c r="B584" i="19" s="1"/>
  <c r="A614" i="19"/>
  <c r="B614" i="19" s="1"/>
  <c r="A582" i="19"/>
  <c r="B582" i="19" s="1"/>
  <c r="A612" i="19"/>
  <c r="B612" i="19" s="1"/>
  <c r="A580" i="19"/>
  <c r="B580" i="19" s="1"/>
  <c r="A610" i="19"/>
  <c r="B610" i="19" s="1"/>
  <c r="A578" i="19"/>
  <c r="B578" i="19" s="1"/>
  <c r="A577" i="19"/>
  <c r="B577" i="19" s="1"/>
  <c r="A316" i="19"/>
  <c r="B316" i="19" s="1"/>
  <c r="A575" i="19"/>
  <c r="B575" i="19" s="1"/>
  <c r="A314" i="19"/>
  <c r="B314" i="19" s="1"/>
  <c r="A573" i="19"/>
  <c r="B573" i="19" s="1"/>
  <c r="A312" i="19"/>
  <c r="B312" i="19" s="1"/>
  <c r="A571" i="19"/>
  <c r="B571" i="19" s="1"/>
  <c r="A310" i="19"/>
  <c r="B310" i="19" s="1"/>
  <c r="A569" i="19"/>
  <c r="B569" i="19" s="1"/>
  <c r="A308" i="19"/>
  <c r="B308" i="19" s="1"/>
  <c r="A567" i="19"/>
  <c r="B567" i="19" s="1"/>
  <c r="A306" i="19"/>
  <c r="B306" i="19" s="1"/>
  <c r="A565" i="19"/>
  <c r="B565" i="19" s="1"/>
  <c r="A304" i="19"/>
  <c r="B304" i="19" s="1"/>
  <c r="A563" i="19"/>
  <c r="B563" i="19" s="1"/>
  <c r="A302" i="19"/>
  <c r="B302" i="19" s="1"/>
  <c r="A561" i="19"/>
  <c r="B561" i="19" s="1"/>
  <c r="A300" i="19"/>
  <c r="B300" i="19" s="1"/>
  <c r="A559" i="19"/>
  <c r="B559" i="19" s="1"/>
  <c r="A298" i="19"/>
  <c r="B298" i="19" s="1"/>
  <c r="A557" i="19"/>
  <c r="B557" i="19" s="1"/>
  <c r="A296" i="19"/>
  <c r="B296" i="19" s="1"/>
  <c r="A555" i="19"/>
  <c r="B555" i="19" s="1"/>
  <c r="A294" i="19"/>
  <c r="B294" i="19" s="1"/>
  <c r="A553" i="19"/>
  <c r="B553" i="19" s="1"/>
  <c r="A292" i="19"/>
  <c r="B292" i="19" s="1"/>
  <c r="A551" i="19"/>
  <c r="B551" i="19" s="1"/>
  <c r="A290" i="19"/>
  <c r="B290" i="19" s="1"/>
  <c r="A549" i="19"/>
  <c r="B549" i="19" s="1"/>
  <c r="A289" i="19"/>
  <c r="B289" i="19" s="1"/>
  <c r="A547" i="19"/>
  <c r="B547" i="19" s="1"/>
  <c r="A287" i="19"/>
  <c r="B287" i="19" s="1"/>
  <c r="A609" i="19"/>
  <c r="B609" i="19" s="1"/>
  <c r="A544" i="19"/>
  <c r="B544" i="19" s="1"/>
  <c r="A607" i="19"/>
  <c r="B607" i="19" s="1"/>
  <c r="A542" i="19"/>
  <c r="B542" i="19" s="1"/>
  <c r="A605" i="19"/>
  <c r="B605" i="19" s="1"/>
  <c r="A540" i="19"/>
  <c r="B540" i="19" s="1"/>
  <c r="A603" i="19"/>
  <c r="B603" i="19" s="1"/>
  <c r="A538" i="19"/>
  <c r="B538" i="19" s="1"/>
  <c r="A601" i="19"/>
  <c r="B601" i="19" s="1"/>
  <c r="A536" i="19"/>
  <c r="B536" i="19" s="1"/>
  <c r="A599" i="19"/>
  <c r="B599" i="19" s="1"/>
  <c r="A534" i="19"/>
  <c r="B534" i="19" s="1"/>
  <c r="A597" i="19"/>
  <c r="B597" i="19" s="1"/>
  <c r="A532" i="19"/>
  <c r="B532" i="19" s="1"/>
  <c r="A595" i="19"/>
  <c r="B595" i="19" s="1"/>
  <c r="A530" i="19"/>
  <c r="B530" i="19" s="1"/>
  <c r="A593" i="19"/>
  <c r="B593" i="19" s="1"/>
  <c r="A528" i="19"/>
  <c r="B528" i="19" s="1"/>
  <c r="A591" i="19"/>
  <c r="B591" i="19" s="1"/>
  <c r="A526" i="19"/>
  <c r="B526" i="19" s="1"/>
  <c r="A589" i="19"/>
  <c r="B589" i="19" s="1"/>
  <c r="A524" i="19"/>
  <c r="B524" i="19" s="1"/>
  <c r="A587" i="19"/>
  <c r="B587" i="19" s="1"/>
  <c r="A522" i="19"/>
  <c r="B522" i="19" s="1"/>
  <c r="A520" i="19"/>
  <c r="B520" i="19" s="1"/>
  <c r="A518" i="19"/>
  <c r="B518" i="19" s="1"/>
  <c r="A516" i="19"/>
  <c r="B516" i="19" s="1"/>
  <c r="A514" i="19"/>
  <c r="B514" i="19" s="1"/>
  <c r="A513" i="19"/>
  <c r="B513" i="19" s="1"/>
  <c r="A285" i="19"/>
  <c r="B285" i="19" s="1"/>
  <c r="A511" i="19"/>
  <c r="B511" i="19" s="1"/>
  <c r="A283" i="19"/>
  <c r="B283" i="19" s="1"/>
  <c r="A509" i="19"/>
  <c r="B509" i="19" s="1"/>
  <c r="A281" i="19"/>
  <c r="B281" i="19" s="1"/>
  <c r="A507" i="19"/>
  <c r="B507" i="19" s="1"/>
  <c r="A279" i="19"/>
  <c r="B279" i="19" s="1"/>
  <c r="A505" i="19"/>
  <c r="B505" i="19" s="1"/>
  <c r="A277" i="19"/>
  <c r="B277" i="19" s="1"/>
  <c r="A503" i="19"/>
  <c r="B503" i="19" s="1"/>
  <c r="A275" i="19"/>
  <c r="B275" i="19" s="1"/>
  <c r="A501" i="19"/>
  <c r="B501" i="19" s="1"/>
  <c r="A273" i="19"/>
  <c r="B273" i="19" s="1"/>
  <c r="A499" i="19"/>
  <c r="B499" i="19" s="1"/>
  <c r="A271" i="19"/>
  <c r="B271" i="19" s="1"/>
  <c r="A497" i="19"/>
  <c r="B497" i="19" s="1"/>
  <c r="A269" i="19"/>
  <c r="B269" i="19" s="1"/>
  <c r="A495" i="19"/>
  <c r="B495" i="19" s="1"/>
  <c r="A267" i="19"/>
  <c r="B267" i="19" s="1"/>
  <c r="A493" i="19"/>
  <c r="B493" i="19" s="1"/>
  <c r="A265" i="19"/>
  <c r="B265" i="19" s="1"/>
  <c r="A491" i="19"/>
  <c r="B491" i="19" s="1"/>
  <c r="A263" i="19"/>
  <c r="B263" i="19" s="1"/>
  <c r="A489" i="19"/>
  <c r="B489" i="19" s="1"/>
  <c r="A261" i="19"/>
  <c r="B261" i="19" s="1"/>
  <c r="A487" i="19"/>
  <c r="B487" i="19" s="1"/>
  <c r="A259" i="19"/>
  <c r="B259" i="19" s="1"/>
  <c r="A485" i="19"/>
  <c r="B485" i="19" s="1"/>
  <c r="A256" i="19"/>
  <c r="B256" i="19" s="1"/>
  <c r="A483" i="19"/>
  <c r="B483" i="19" s="1"/>
  <c r="A254" i="19"/>
  <c r="B254" i="19" s="1"/>
  <c r="A480" i="19"/>
  <c r="B480" i="19" s="1"/>
  <c r="A478" i="19"/>
  <c r="B478" i="19" s="1"/>
  <c r="A476" i="19"/>
  <c r="B476" i="19" s="1"/>
  <c r="A474" i="19"/>
  <c r="B474" i="19" s="1"/>
  <c r="A472" i="19"/>
  <c r="B472" i="19" s="1"/>
  <c r="A470" i="19"/>
  <c r="B470" i="19" s="1"/>
  <c r="A468" i="19"/>
  <c r="B468" i="19" s="1"/>
  <c r="A466" i="19"/>
  <c r="B466" i="19" s="1"/>
  <c r="A464" i="19"/>
  <c r="B464" i="19" s="1"/>
  <c r="A462" i="19"/>
  <c r="B462" i="19" s="1"/>
  <c r="A460" i="19"/>
  <c r="B460" i="19" s="1"/>
  <c r="A458" i="19"/>
  <c r="B458" i="19" s="1"/>
  <c r="A456" i="19"/>
  <c r="B456" i="19" s="1"/>
  <c r="A454" i="19"/>
  <c r="B454" i="19" s="1"/>
  <c r="A452" i="19"/>
  <c r="B452" i="19" s="1"/>
  <c r="A450" i="19"/>
  <c r="B450" i="19" s="1"/>
  <c r="A449" i="19"/>
  <c r="B449" i="19" s="1"/>
  <c r="A252" i="19"/>
  <c r="B252" i="19" s="1"/>
  <c r="A447" i="19"/>
  <c r="B447" i="19" s="1"/>
  <c r="A250" i="19"/>
  <c r="B250" i="19" s="1"/>
  <c r="A445" i="19"/>
  <c r="B445" i="19" s="1"/>
  <c r="A248" i="19"/>
  <c r="B248" i="19" s="1"/>
  <c r="A443" i="19"/>
  <c r="B443" i="19" s="1"/>
  <c r="A246" i="19"/>
  <c r="B246" i="19" s="1"/>
  <c r="A441" i="19"/>
  <c r="B441" i="19" s="1"/>
  <c r="A244" i="19"/>
  <c r="B244" i="19" s="1"/>
  <c r="A439" i="19"/>
  <c r="B439" i="19" s="1"/>
  <c r="A242" i="19"/>
  <c r="B242" i="19" s="1"/>
  <c r="A437" i="19"/>
  <c r="B437" i="19" s="1"/>
  <c r="A240" i="19"/>
  <c r="B240" i="19" s="1"/>
  <c r="A435" i="19"/>
  <c r="B435" i="19" s="1"/>
  <c r="A238" i="19"/>
  <c r="B238" i="19" s="1"/>
  <c r="A433" i="19"/>
  <c r="B433" i="19" s="1"/>
  <c r="A236" i="19"/>
  <c r="B236" i="19" s="1"/>
  <c r="A431" i="19"/>
  <c r="B431" i="19" s="1"/>
  <c r="A234" i="19"/>
  <c r="B234" i="19" s="1"/>
  <c r="A429" i="19"/>
  <c r="B429" i="19" s="1"/>
  <c r="A232" i="19"/>
  <c r="B232" i="19" s="1"/>
  <c r="A427" i="19"/>
  <c r="B427" i="19" s="1"/>
  <c r="A230" i="19"/>
  <c r="B230" i="19" s="1"/>
  <c r="A425" i="19"/>
  <c r="B425" i="19" s="1"/>
  <c r="A228" i="19"/>
  <c r="B228" i="19" s="1"/>
  <c r="A423" i="19"/>
  <c r="B423" i="19" s="1"/>
  <c r="A226" i="19"/>
  <c r="B226" i="19" s="1"/>
  <c r="A421" i="19"/>
  <c r="B421" i="19" s="1"/>
  <c r="A201" i="19"/>
  <c r="B201" i="19" s="1"/>
  <c r="A419" i="19"/>
  <c r="B419" i="19" s="1"/>
  <c r="A199" i="19"/>
  <c r="B199" i="19" s="1"/>
  <c r="A416" i="19"/>
  <c r="B416" i="19" s="1"/>
  <c r="A414" i="19"/>
  <c r="B414" i="19" s="1"/>
  <c r="A412" i="19"/>
  <c r="B412" i="19" s="1"/>
  <c r="A410" i="19"/>
  <c r="B410" i="19" s="1"/>
  <c r="A408" i="19"/>
  <c r="B408" i="19" s="1"/>
  <c r="A406" i="19"/>
  <c r="B406" i="19" s="1"/>
  <c r="A404" i="19"/>
  <c r="B404" i="19" s="1"/>
  <c r="A402" i="19"/>
  <c r="B402" i="19" s="1"/>
  <c r="A400" i="19"/>
  <c r="B400" i="19" s="1"/>
  <c r="A398" i="19"/>
  <c r="B398" i="19" s="1"/>
  <c r="A396" i="19"/>
  <c r="B396" i="19" s="1"/>
  <c r="A394" i="19"/>
  <c r="B394" i="19" s="1"/>
  <c r="A585" i="19"/>
  <c r="B585" i="19" s="1"/>
  <c r="A392" i="19"/>
  <c r="B392" i="19" s="1"/>
  <c r="A583" i="19"/>
  <c r="B583" i="19" s="1"/>
  <c r="A390" i="19"/>
  <c r="B390" i="19" s="1"/>
  <c r="A581" i="19"/>
  <c r="B581" i="19" s="1"/>
  <c r="A388" i="19"/>
  <c r="B388" i="19" s="1"/>
  <c r="A579" i="19"/>
  <c r="B579" i="19" s="1"/>
  <c r="A386" i="19"/>
  <c r="B386" i="19" s="1"/>
  <c r="A385" i="19"/>
  <c r="B385" i="19" s="1"/>
  <c r="A197" i="19"/>
  <c r="B197" i="19" s="1"/>
  <c r="A383" i="19"/>
  <c r="B383" i="19" s="1"/>
  <c r="A195" i="19"/>
  <c r="B195" i="19" s="1"/>
  <c r="A381" i="19"/>
  <c r="B381" i="19" s="1"/>
  <c r="A193" i="19"/>
  <c r="B193" i="19" s="1"/>
  <c r="A379" i="19"/>
  <c r="B379" i="19" s="1"/>
  <c r="A190" i="19"/>
  <c r="B190" i="19" s="1"/>
  <c r="A377" i="19"/>
  <c r="B377" i="19" s="1"/>
  <c r="A188" i="19"/>
  <c r="B188" i="19" s="1"/>
  <c r="A375" i="19"/>
  <c r="B375" i="19" s="1"/>
  <c r="A186" i="19"/>
  <c r="B186" i="19" s="1"/>
  <c r="A373" i="19"/>
  <c r="B373" i="19" s="1"/>
  <c r="A184" i="19"/>
  <c r="B184" i="19" s="1"/>
  <c r="A371" i="19"/>
  <c r="B371" i="19" s="1"/>
  <c r="A182" i="19"/>
  <c r="B182" i="19" s="1"/>
  <c r="A369" i="19"/>
  <c r="B369" i="19" s="1"/>
  <c r="A181" i="19"/>
  <c r="B181" i="19" s="1"/>
  <c r="A367" i="19"/>
  <c r="B367" i="19" s="1"/>
  <c r="A179" i="19"/>
  <c r="B179" i="19" s="1"/>
  <c r="A365" i="19"/>
  <c r="B365" i="19" s="1"/>
  <c r="A177" i="19"/>
  <c r="B177" i="19" s="1"/>
  <c r="A363" i="19"/>
  <c r="B363" i="19" s="1"/>
  <c r="A175" i="19"/>
  <c r="B175" i="19" s="1"/>
  <c r="A361" i="19"/>
  <c r="B361" i="19" s="1"/>
  <c r="A173" i="19"/>
  <c r="B173" i="19" s="1"/>
  <c r="A359" i="19"/>
  <c r="B359" i="19" s="1"/>
  <c r="A170" i="19"/>
  <c r="B170" i="19" s="1"/>
  <c r="A357" i="19"/>
  <c r="B357" i="19" s="1"/>
  <c r="A168" i="19"/>
  <c r="B168" i="19" s="1"/>
  <c r="A355" i="19"/>
  <c r="B355" i="19" s="1"/>
  <c r="A166" i="19"/>
  <c r="B166" i="19" s="1"/>
  <c r="A576" i="19"/>
  <c r="B576" i="19" s="1"/>
  <c r="A352" i="19"/>
  <c r="B352" i="19" s="1"/>
  <c r="A574" i="19"/>
  <c r="B574" i="19" s="1"/>
  <c r="A350" i="19"/>
  <c r="B350" i="19" s="1"/>
  <c r="A572" i="19"/>
  <c r="B572" i="19" s="1"/>
  <c r="A348" i="19"/>
  <c r="B348" i="19" s="1"/>
  <c r="A570" i="19"/>
  <c r="B570" i="19" s="1"/>
  <c r="A346" i="19"/>
  <c r="B346" i="19" s="1"/>
  <c r="A568" i="19"/>
  <c r="B568" i="19" s="1"/>
  <c r="A344" i="19"/>
  <c r="B344" i="19" s="1"/>
  <c r="A566" i="19"/>
  <c r="B566" i="19" s="1"/>
  <c r="A342" i="19"/>
  <c r="B342" i="19" s="1"/>
  <c r="A564" i="19"/>
  <c r="B564" i="19" s="1"/>
  <c r="A340" i="19"/>
  <c r="B340" i="19" s="1"/>
  <c r="A562" i="19"/>
  <c r="B562" i="19" s="1"/>
  <c r="A338" i="19"/>
  <c r="B338" i="19" s="1"/>
  <c r="A560" i="19"/>
  <c r="B560" i="19" s="1"/>
  <c r="A336" i="19"/>
  <c r="B336" i="19" s="1"/>
  <c r="A558" i="19"/>
  <c r="B558" i="19" s="1"/>
  <c r="A334" i="19"/>
  <c r="B334" i="19" s="1"/>
  <c r="A556" i="19"/>
  <c r="B556" i="19" s="1"/>
  <c r="A332" i="19"/>
  <c r="B332" i="19" s="1"/>
  <c r="A554" i="19"/>
  <c r="B554" i="19" s="1"/>
  <c r="A330" i="19"/>
  <c r="B330" i="19" s="1"/>
  <c r="A552" i="19"/>
  <c r="B552" i="19" s="1"/>
  <c r="A328" i="19"/>
  <c r="B328" i="19" s="1"/>
  <c r="A550" i="19"/>
  <c r="B550" i="19" s="1"/>
  <c r="A326" i="19"/>
  <c r="B326" i="19" s="1"/>
  <c r="A548" i="19"/>
  <c r="B548" i="19" s="1"/>
  <c r="A324" i="19"/>
  <c r="B324" i="19" s="1"/>
  <c r="A546" i="19"/>
  <c r="B546" i="19" s="1"/>
  <c r="A322" i="19"/>
  <c r="B322" i="19" s="1"/>
  <c r="A321" i="19"/>
  <c r="B321" i="19" s="1"/>
  <c r="A164" i="19"/>
  <c r="B164" i="19" s="1"/>
  <c r="A319" i="19"/>
  <c r="B319" i="19" s="1"/>
  <c r="A162" i="19"/>
  <c r="B162" i="19" s="1"/>
  <c r="A317" i="19"/>
  <c r="B317" i="19" s="1"/>
  <c r="A161" i="19"/>
  <c r="B161" i="19" s="1"/>
  <c r="A315" i="19"/>
  <c r="B315" i="19" s="1"/>
  <c r="A159" i="19"/>
  <c r="B159" i="19" s="1"/>
  <c r="A313" i="19"/>
  <c r="B313" i="19" s="1"/>
  <c r="A157" i="19"/>
  <c r="B157" i="19" s="1"/>
  <c r="A311" i="19"/>
  <c r="B311" i="19" s="1"/>
  <c r="A155" i="19"/>
  <c r="B155" i="19" s="1"/>
  <c r="A309" i="19"/>
  <c r="B309" i="19" s="1"/>
  <c r="A153" i="19"/>
  <c r="B153" i="19" s="1"/>
  <c r="A307" i="19"/>
  <c r="B307" i="19" s="1"/>
  <c r="A150" i="19"/>
  <c r="B150" i="19" s="1"/>
  <c r="A305" i="19"/>
  <c r="B305" i="19" s="1"/>
  <c r="A148" i="19"/>
  <c r="B148" i="19" s="1"/>
  <c r="A303" i="19"/>
  <c r="B303" i="19" s="1"/>
  <c r="A146" i="19"/>
  <c r="B146" i="19" s="1"/>
  <c r="A301" i="19"/>
  <c r="B301" i="19" s="1"/>
  <c r="A144" i="19"/>
  <c r="B144" i="19" s="1"/>
  <c r="A299" i="19"/>
  <c r="B299" i="19" s="1"/>
  <c r="A142" i="19"/>
  <c r="B142" i="19" s="1"/>
  <c r="A297" i="19"/>
  <c r="B297" i="19" s="1"/>
  <c r="A141" i="19"/>
  <c r="B141" i="19" s="1"/>
  <c r="A295" i="19"/>
  <c r="B295" i="19" s="1"/>
  <c r="A139" i="19"/>
  <c r="B139" i="19" s="1"/>
  <c r="A293" i="19"/>
  <c r="B293" i="19" s="1"/>
  <c r="A137" i="19"/>
  <c r="B137" i="19" s="1"/>
  <c r="A291" i="19"/>
  <c r="B291" i="19" s="1"/>
  <c r="A135" i="19"/>
  <c r="B135" i="19" s="1"/>
  <c r="A545" i="19"/>
  <c r="B545" i="19" s="1"/>
  <c r="A288" i="19"/>
  <c r="B288" i="19" s="1"/>
  <c r="A543" i="19"/>
  <c r="B543" i="19" s="1"/>
  <c r="A286" i="19"/>
  <c r="B286" i="19" s="1"/>
  <c r="A541" i="19"/>
  <c r="B541" i="19" s="1"/>
  <c r="A284" i="19"/>
  <c r="B284" i="19" s="1"/>
  <c r="A539" i="19"/>
  <c r="B539" i="19" s="1"/>
  <c r="A282" i="19"/>
  <c r="B282" i="19" s="1"/>
  <c r="A537" i="19"/>
  <c r="B537" i="19" s="1"/>
  <c r="A280" i="19"/>
  <c r="B280" i="19" s="1"/>
  <c r="A535" i="19"/>
  <c r="B535" i="19" s="1"/>
  <c r="A278" i="19"/>
  <c r="B278" i="19" s="1"/>
  <c r="A533" i="19"/>
  <c r="B533" i="19" s="1"/>
  <c r="A276" i="19"/>
  <c r="B276" i="19" s="1"/>
  <c r="A531" i="19"/>
  <c r="B531" i="19" s="1"/>
  <c r="A274" i="19"/>
  <c r="B274" i="19" s="1"/>
  <c r="A529" i="19"/>
  <c r="B529" i="19" s="1"/>
  <c r="A272" i="19"/>
  <c r="B272" i="19" s="1"/>
  <c r="A527" i="19"/>
  <c r="B527" i="19" s="1"/>
  <c r="A270" i="19"/>
  <c r="B270" i="19" s="1"/>
  <c r="A525" i="19"/>
  <c r="B525" i="19" s="1"/>
  <c r="A268" i="19"/>
  <c r="B268" i="19" s="1"/>
  <c r="A523" i="19"/>
  <c r="B523" i="19" s="1"/>
  <c r="A266" i="19"/>
  <c r="B266" i="19" s="1"/>
  <c r="A521" i="19"/>
  <c r="B521" i="19" s="1"/>
  <c r="A264" i="19"/>
  <c r="B264" i="19" s="1"/>
  <c r="A519" i="19"/>
  <c r="B519" i="19" s="1"/>
  <c r="A262" i="19"/>
  <c r="B262" i="19" s="1"/>
  <c r="A517" i="19"/>
  <c r="B517" i="19" s="1"/>
  <c r="A260" i="19"/>
  <c r="B260" i="19" s="1"/>
  <c r="A515" i="19"/>
  <c r="B515" i="19" s="1"/>
  <c r="A258" i="19"/>
  <c r="B258" i="19" s="1"/>
  <c r="A257" i="19"/>
  <c r="B257" i="19" s="1"/>
  <c r="A133" i="19"/>
  <c r="B133" i="19" s="1"/>
  <c r="A255" i="19"/>
  <c r="B255" i="19" s="1"/>
  <c r="A130" i="19"/>
  <c r="B130" i="19" s="1"/>
  <c r="A253" i="19"/>
  <c r="B253" i="19" s="1"/>
  <c r="A128" i="19"/>
  <c r="B128" i="19" s="1"/>
  <c r="A251" i="19"/>
  <c r="B251" i="19" s="1"/>
  <c r="A126" i="19"/>
  <c r="B126" i="19" s="1"/>
  <c r="A249" i="19"/>
  <c r="B249" i="19" s="1"/>
  <c r="A124" i="19"/>
  <c r="B124" i="19" s="1"/>
  <c r="A247" i="19"/>
  <c r="B247" i="19" s="1"/>
  <c r="A122" i="19"/>
  <c r="B122" i="19" s="1"/>
  <c r="A245" i="19"/>
  <c r="B245" i="19" s="1"/>
  <c r="A121" i="19"/>
  <c r="B121" i="19" s="1"/>
  <c r="A243" i="19"/>
  <c r="B243" i="19" s="1"/>
  <c r="A119" i="19"/>
  <c r="B119" i="19" s="1"/>
  <c r="A241" i="19"/>
  <c r="B241" i="19" s="1"/>
  <c r="A117" i="19"/>
  <c r="B117" i="19" s="1"/>
  <c r="A239" i="19"/>
  <c r="B239" i="19" s="1"/>
  <c r="A115" i="19"/>
  <c r="B115" i="19" s="1"/>
  <c r="A237" i="19"/>
  <c r="B237" i="19" s="1"/>
  <c r="A113" i="19"/>
  <c r="B113" i="19" s="1"/>
  <c r="A235" i="19"/>
  <c r="B235" i="19" s="1"/>
  <c r="A110" i="19"/>
  <c r="B110" i="19" s="1"/>
  <c r="A233" i="19"/>
  <c r="B233" i="19" s="1"/>
  <c r="A108" i="19"/>
  <c r="B108" i="19" s="1"/>
  <c r="A231" i="19"/>
  <c r="B231" i="19" s="1"/>
  <c r="A106" i="19"/>
  <c r="B106" i="19" s="1"/>
  <c r="A229" i="19"/>
  <c r="B229" i="19" s="1"/>
  <c r="A104" i="19"/>
  <c r="B104" i="19" s="1"/>
  <c r="A227" i="19"/>
  <c r="B227" i="19" s="1"/>
  <c r="A102" i="19"/>
  <c r="B102" i="19" s="1"/>
  <c r="A225" i="19"/>
  <c r="B225" i="19" s="1"/>
  <c r="A224" i="19"/>
  <c r="B224" i="19" s="1"/>
  <c r="A223" i="19"/>
  <c r="B223" i="19" s="1"/>
  <c r="A222" i="19"/>
  <c r="B222" i="19" s="1"/>
  <c r="A221" i="19"/>
  <c r="B221" i="19" s="1"/>
  <c r="A220" i="19"/>
  <c r="B220" i="19" s="1"/>
  <c r="A219" i="19"/>
  <c r="B219" i="19" s="1"/>
  <c r="A218" i="19"/>
  <c r="B218" i="19" s="1"/>
  <c r="A217" i="19"/>
  <c r="B217" i="19" s="1"/>
  <c r="A216" i="19"/>
  <c r="B216" i="19" s="1"/>
  <c r="A215" i="19"/>
  <c r="B215" i="19" s="1"/>
  <c r="A214" i="19"/>
  <c r="B214" i="19" s="1"/>
  <c r="A213" i="19"/>
  <c r="B213" i="19" s="1"/>
  <c r="A212" i="19"/>
  <c r="B212" i="19" s="1"/>
  <c r="A211" i="19"/>
  <c r="B211" i="19" s="1"/>
  <c r="A210" i="19"/>
  <c r="B210" i="19" s="1"/>
  <c r="A209" i="19"/>
  <c r="B209" i="19" s="1"/>
  <c r="A208" i="19"/>
  <c r="B208" i="19" s="1"/>
  <c r="A207" i="19"/>
  <c r="B207" i="19" s="1"/>
  <c r="A206" i="19"/>
  <c r="B206" i="19" s="1"/>
  <c r="A205" i="19"/>
  <c r="B205" i="19" s="1"/>
  <c r="A204" i="19"/>
  <c r="B204" i="19" s="1"/>
  <c r="A203" i="19"/>
  <c r="B203" i="19" s="1"/>
  <c r="A202" i="19"/>
  <c r="B202" i="19" s="1"/>
  <c r="A512" i="19"/>
  <c r="B512" i="19" s="1"/>
  <c r="A200" i="19"/>
  <c r="B200" i="19" s="1"/>
  <c r="A510" i="19"/>
  <c r="B510" i="19" s="1"/>
  <c r="A198" i="19"/>
  <c r="B198" i="19" s="1"/>
  <c r="A508" i="19"/>
  <c r="B508" i="19" s="1"/>
  <c r="A196" i="19"/>
  <c r="B196" i="19" s="1"/>
  <c r="A506" i="19"/>
  <c r="B506" i="19" s="1"/>
  <c r="A194" i="19"/>
  <c r="B194" i="19" s="1"/>
  <c r="A504" i="19"/>
  <c r="B504" i="19" s="1"/>
  <c r="A192" i="19"/>
  <c r="B192" i="19" s="1"/>
  <c r="A191" i="19"/>
  <c r="B191" i="19" s="1"/>
  <c r="A101" i="19"/>
  <c r="B101" i="19" s="1"/>
  <c r="A189" i="19"/>
  <c r="B189" i="19" s="1"/>
  <c r="A99" i="19"/>
  <c r="B99" i="19" s="1"/>
  <c r="A187" i="19"/>
  <c r="B187" i="19" s="1"/>
  <c r="A97" i="19"/>
  <c r="B97" i="19" s="1"/>
  <c r="A185" i="19"/>
  <c r="B185" i="19" s="1"/>
  <c r="A95" i="19"/>
  <c r="B95" i="19" s="1"/>
  <c r="A183" i="19"/>
  <c r="B183" i="19" s="1"/>
  <c r="A93" i="19"/>
  <c r="B93" i="19" s="1"/>
  <c r="A502" i="19"/>
  <c r="B502" i="19" s="1"/>
  <c r="A180" i="19"/>
  <c r="B180" i="19" s="1"/>
  <c r="A500" i="19"/>
  <c r="B500" i="19" s="1"/>
  <c r="A178" i="19"/>
  <c r="B178" i="19" s="1"/>
  <c r="A498" i="19"/>
  <c r="B498" i="19" s="1"/>
  <c r="A176" i="19"/>
  <c r="B176" i="19" s="1"/>
  <c r="A496" i="19"/>
  <c r="B496" i="19" s="1"/>
  <c r="A174" i="19"/>
  <c r="B174" i="19" s="1"/>
  <c r="A494" i="19"/>
  <c r="B494" i="19" s="1"/>
  <c r="A172" i="19"/>
  <c r="B172" i="19" s="1"/>
  <c r="A171" i="19"/>
  <c r="B171" i="19" s="1"/>
  <c r="A90" i="19"/>
  <c r="B90" i="19" s="1"/>
  <c r="A169" i="19"/>
  <c r="B169" i="19" s="1"/>
  <c r="A88" i="19"/>
  <c r="B88" i="19" s="1"/>
  <c r="A167" i="19"/>
  <c r="B167" i="19" s="1"/>
  <c r="A86" i="19"/>
  <c r="B86" i="19" s="1"/>
  <c r="A165" i="19"/>
  <c r="B165" i="19" s="1"/>
  <c r="A84" i="19"/>
  <c r="B84" i="19" s="1"/>
  <c r="A163" i="19"/>
  <c r="B163" i="19" s="1"/>
  <c r="A82" i="19"/>
  <c r="B82" i="19" s="1"/>
  <c r="A492" i="19"/>
  <c r="B492" i="19" s="1"/>
  <c r="A160" i="19"/>
  <c r="B160" i="19" s="1"/>
  <c r="A490" i="19"/>
  <c r="B490" i="19" s="1"/>
  <c r="A158" i="19"/>
  <c r="B158" i="19" s="1"/>
  <c r="A488" i="19"/>
  <c r="B488" i="19" s="1"/>
  <c r="A156" i="19"/>
  <c r="B156" i="19" s="1"/>
  <c r="A486" i="19"/>
  <c r="B486" i="19" s="1"/>
  <c r="A154" i="19"/>
  <c r="B154" i="19" s="1"/>
  <c r="A484" i="19"/>
  <c r="B484" i="19" s="1"/>
  <c r="A152" i="19"/>
  <c r="B152" i="19" s="1"/>
  <c r="A151" i="19"/>
  <c r="B151" i="19" s="1"/>
  <c r="A81" i="19"/>
  <c r="B81" i="19" s="1"/>
  <c r="A149" i="19"/>
  <c r="B149" i="19" s="1"/>
  <c r="A79" i="19"/>
  <c r="B79" i="19" s="1"/>
  <c r="A147" i="19"/>
  <c r="B147" i="19" s="1"/>
  <c r="A77" i="19"/>
  <c r="B77" i="19" s="1"/>
  <c r="A145" i="19"/>
  <c r="B145" i="19" s="1"/>
  <c r="A75" i="19"/>
  <c r="B75" i="19" s="1"/>
  <c r="A143" i="19"/>
  <c r="B143" i="19" s="1"/>
  <c r="A73" i="19"/>
  <c r="B73" i="19" s="1"/>
  <c r="A482" i="19"/>
  <c r="B482" i="19" s="1"/>
  <c r="A140" i="19"/>
  <c r="B140" i="19" s="1"/>
  <c r="A481" i="19"/>
  <c r="B481" i="19" s="1"/>
  <c r="A138" i="19"/>
  <c r="B138" i="19" s="1"/>
  <c r="A479" i="19"/>
  <c r="B479" i="19" s="1"/>
  <c r="A136" i="19"/>
  <c r="B136" i="19" s="1"/>
  <c r="A477" i="19"/>
  <c r="B477" i="19" s="1"/>
  <c r="A134" i="19"/>
  <c r="B134" i="19" s="1"/>
  <c r="A475" i="19"/>
  <c r="B475" i="19" s="1"/>
  <c r="A132" i="19"/>
  <c r="B132" i="19" s="1"/>
  <c r="A131" i="19"/>
  <c r="B131" i="19" s="1"/>
  <c r="A70" i="19"/>
  <c r="B70" i="19" s="1"/>
  <c r="A129" i="19"/>
  <c r="B129" i="19" s="1"/>
  <c r="A68" i="19"/>
  <c r="B68" i="19" s="1"/>
  <c r="A127" i="19"/>
  <c r="B127" i="19" s="1"/>
  <c r="A66" i="19"/>
  <c r="B66" i="19" s="1"/>
  <c r="A125" i="19"/>
  <c r="B125" i="19" s="1"/>
  <c r="A64" i="19"/>
  <c r="B64" i="19" s="1"/>
  <c r="A123" i="19"/>
  <c r="B123" i="19" s="1"/>
  <c r="A62" i="19"/>
  <c r="B62" i="19" s="1"/>
  <c r="A473" i="19"/>
  <c r="B473" i="19" s="1"/>
  <c r="A120" i="19"/>
  <c r="B120" i="19" s="1"/>
  <c r="A471" i="19"/>
  <c r="B471" i="19" s="1"/>
  <c r="A118" i="19"/>
  <c r="B118" i="19" s="1"/>
  <c r="A469" i="19"/>
  <c r="B469" i="19" s="1"/>
  <c r="A116" i="19"/>
  <c r="B116" i="19" s="1"/>
  <c r="A467" i="19"/>
  <c r="B467" i="19" s="1"/>
  <c r="A114" i="19"/>
  <c r="B114" i="19" s="1"/>
  <c r="A465" i="19"/>
  <c r="B465" i="19" s="1"/>
  <c r="A112" i="19"/>
  <c r="B112" i="19" s="1"/>
  <c r="A111" i="19"/>
  <c r="B111" i="19" s="1"/>
  <c r="A61" i="19"/>
  <c r="B61" i="19" s="1"/>
  <c r="A109" i="19"/>
  <c r="B109" i="19" s="1"/>
  <c r="A59" i="19"/>
  <c r="B59" i="19" s="1"/>
  <c r="A107" i="19"/>
  <c r="B107" i="19" s="1"/>
  <c r="A57" i="19"/>
  <c r="B57" i="19" s="1"/>
  <c r="A105" i="19"/>
  <c r="B105" i="19" s="1"/>
  <c r="A55" i="19"/>
  <c r="B55" i="19" s="1"/>
  <c r="A103" i="19"/>
  <c r="B103" i="19" s="1"/>
  <c r="A53" i="19"/>
  <c r="B53" i="19" s="1"/>
  <c r="A463" i="19"/>
  <c r="B463" i="19" s="1"/>
  <c r="A100" i="19"/>
  <c r="B100" i="19" s="1"/>
  <c r="A461" i="19"/>
  <c r="B461" i="19" s="1"/>
  <c r="A98" i="19"/>
  <c r="B98" i="19" s="1"/>
  <c r="A459" i="19"/>
  <c r="B459" i="19" s="1"/>
  <c r="A96" i="19"/>
  <c r="B96" i="19" s="1"/>
  <c r="A457" i="19"/>
  <c r="B457" i="19" s="1"/>
  <c r="A94" i="19"/>
  <c r="B94" i="19" s="1"/>
  <c r="A455" i="19"/>
  <c r="B455" i="19" s="1"/>
  <c r="A92" i="19"/>
  <c r="B92" i="19" s="1"/>
  <c r="A91" i="19"/>
  <c r="B91" i="19" s="1"/>
  <c r="A50" i="19"/>
  <c r="B50" i="19" s="1"/>
  <c r="A89" i="19"/>
  <c r="B89" i="19" s="1"/>
  <c r="A48" i="19"/>
  <c r="B48" i="19" s="1"/>
  <c r="A87" i="19"/>
  <c r="B87" i="19" s="1"/>
  <c r="A46" i="19"/>
  <c r="B46" i="19" s="1"/>
  <c r="A85" i="19"/>
  <c r="B85" i="19" s="1"/>
  <c r="A44" i="19"/>
  <c r="B44" i="19" s="1"/>
  <c r="A83" i="19"/>
  <c r="B83" i="19" s="1"/>
  <c r="A42" i="19"/>
  <c r="B42" i="19" s="1"/>
  <c r="A453" i="19"/>
  <c r="B453" i="19" s="1"/>
  <c r="A80" i="19"/>
  <c r="B80" i="19" s="1"/>
  <c r="A451" i="19"/>
  <c r="B451" i="19" s="1"/>
  <c r="A78" i="19"/>
  <c r="B78" i="19" s="1"/>
  <c r="A448" i="19"/>
  <c r="B448" i="19" s="1"/>
  <c r="A76" i="19"/>
  <c r="B76" i="19" s="1"/>
  <c r="A446" i="19"/>
  <c r="B446" i="19" s="1"/>
  <c r="A74" i="19"/>
  <c r="B74" i="19" s="1"/>
  <c r="A444" i="19"/>
  <c r="B444" i="19" s="1"/>
  <c r="A72" i="19"/>
  <c r="B72" i="19" s="1"/>
  <c r="A71" i="19"/>
  <c r="B71" i="19" s="1"/>
  <c r="A41" i="19"/>
  <c r="B41" i="19" s="1"/>
  <c r="A69" i="19"/>
  <c r="B69" i="19" s="1"/>
  <c r="A39" i="19"/>
  <c r="B39" i="19" s="1"/>
  <c r="A67" i="19"/>
  <c r="B67" i="19" s="1"/>
  <c r="A37" i="19"/>
  <c r="B37" i="19" s="1"/>
  <c r="A65" i="19"/>
  <c r="B65" i="19" s="1"/>
  <c r="A35" i="19"/>
  <c r="B35" i="19" s="1"/>
  <c r="A63" i="19"/>
  <c r="B63" i="19" s="1"/>
  <c r="A33" i="19"/>
  <c r="B33" i="19" s="1"/>
  <c r="A442" i="19"/>
  <c r="B442" i="19" s="1"/>
  <c r="A60" i="19"/>
  <c r="B60" i="19" s="1"/>
  <c r="A440" i="19"/>
  <c r="B440" i="19" s="1"/>
  <c r="A58" i="19"/>
  <c r="B58" i="19" s="1"/>
  <c r="A438" i="19"/>
  <c r="B438" i="19" s="1"/>
  <c r="A56" i="19"/>
  <c r="B56" i="19" s="1"/>
  <c r="A436" i="19"/>
  <c r="B436" i="19" s="1"/>
  <c r="A54" i="19"/>
  <c r="B54" i="19" s="1"/>
  <c r="A434" i="19"/>
  <c r="B434" i="19" s="1"/>
  <c r="A52" i="19"/>
  <c r="B52" i="19" s="1"/>
  <c r="A51" i="19"/>
  <c r="B51" i="19" s="1"/>
  <c r="A30" i="19"/>
  <c r="B30" i="19" s="1"/>
  <c r="A49" i="19"/>
  <c r="B49" i="19" s="1"/>
  <c r="A28" i="19"/>
  <c r="B28" i="19" s="1"/>
  <c r="A47" i="19"/>
  <c r="B47" i="19" s="1"/>
  <c r="A26" i="19"/>
  <c r="B26" i="19" s="1"/>
  <c r="A45" i="19"/>
  <c r="B45" i="19" s="1"/>
  <c r="A24" i="19"/>
  <c r="B24" i="19" s="1"/>
  <c r="A43" i="19"/>
  <c r="B43" i="19" s="1"/>
  <c r="A22" i="19"/>
  <c r="B22" i="19" s="1"/>
  <c r="A432" i="19"/>
  <c r="B432" i="19" s="1"/>
  <c r="A40" i="19"/>
  <c r="B40" i="19" s="1"/>
  <c r="A430" i="19"/>
  <c r="B430" i="19" s="1"/>
  <c r="A38" i="19"/>
  <c r="B38" i="19" s="1"/>
  <c r="A428" i="19"/>
  <c r="B428" i="19" s="1"/>
  <c r="A36" i="19"/>
  <c r="B36" i="19" s="1"/>
  <c r="A426" i="19"/>
  <c r="B426" i="19" s="1"/>
  <c r="A34" i="19"/>
  <c r="B34" i="19" s="1"/>
  <c r="A424" i="19"/>
  <c r="B424" i="19" s="1"/>
  <c r="A32" i="19"/>
  <c r="B32" i="19" s="1"/>
  <c r="A31" i="19"/>
  <c r="B31" i="19" s="1"/>
  <c r="A21" i="19"/>
  <c r="B21" i="19" s="1"/>
  <c r="A29" i="19"/>
  <c r="B29" i="19" s="1"/>
  <c r="A19" i="19"/>
  <c r="B19" i="19" s="1"/>
  <c r="A27" i="19"/>
  <c r="B27" i="19" s="1"/>
  <c r="A17" i="19"/>
  <c r="B17" i="19" s="1"/>
  <c r="A25" i="19"/>
  <c r="B25" i="19" s="1"/>
  <c r="A15" i="19"/>
  <c r="B15" i="19" s="1"/>
  <c r="A23" i="19"/>
  <c r="B23" i="19" s="1"/>
  <c r="A13" i="19"/>
  <c r="B13" i="19" s="1"/>
  <c r="A422" i="19"/>
  <c r="B422" i="19" s="1"/>
  <c r="A20" i="19"/>
  <c r="B20" i="19" s="1"/>
  <c r="A420" i="19"/>
  <c r="B420" i="19" s="1"/>
  <c r="A18" i="19"/>
  <c r="B18" i="19" s="1"/>
  <c r="A418" i="19"/>
  <c r="B418" i="19" s="1"/>
  <c r="A16" i="19"/>
  <c r="B16" i="19" s="1"/>
  <c r="A417" i="19"/>
  <c r="B417" i="19" s="1"/>
  <c r="A14" i="19"/>
  <c r="B14" i="19" s="1"/>
  <c r="A415" i="19"/>
  <c r="B415" i="19" s="1"/>
  <c r="A12" i="19"/>
  <c r="B12" i="19" s="1"/>
  <c r="A11" i="19"/>
  <c r="B11" i="19" s="1"/>
  <c r="A10" i="19"/>
  <c r="B10" i="19" s="1"/>
  <c r="A9" i="19"/>
  <c r="B9" i="19" s="1"/>
  <c r="A8" i="19"/>
  <c r="B8" i="19" s="1"/>
  <c r="A7" i="19"/>
  <c r="B7" i="19" s="1"/>
  <c r="A6" i="19"/>
  <c r="B6" i="19" s="1"/>
  <c r="A5" i="19"/>
  <c r="B5" i="19" s="1"/>
  <c r="A4" i="19"/>
  <c r="B4" i="19" s="1"/>
  <c r="A3" i="19"/>
  <c r="B3" i="19" s="1"/>
  <c r="A2" i="19"/>
  <c r="AQ13" i="18"/>
  <c r="S18" i="18" l="1"/>
  <c r="BM17" i="18"/>
  <c r="J9" i="15" l="1"/>
  <c r="C22" i="18"/>
  <c r="S18" i="2" l="1"/>
  <c r="AN64" i="18"/>
  <c r="S17" i="18"/>
  <c r="AN64" i="2" l="1"/>
  <c r="U54" i="12" l="1"/>
  <c r="N32" i="18" l="1"/>
  <c r="N32" i="2"/>
  <c r="U47" i="12"/>
  <c r="C27" i="12" l="1"/>
  <c r="AY55" i="12" l="1"/>
  <c r="BL78" i="12" s="1"/>
  <c r="AX55" i="12"/>
  <c r="AY54" i="12"/>
  <c r="BL77" i="12" s="1"/>
  <c r="AX54" i="12"/>
  <c r="AY53" i="12"/>
  <c r="BL76" i="12" s="1"/>
  <c r="AX53" i="12"/>
  <c r="AY52" i="12"/>
  <c r="BL75" i="12" s="1"/>
  <c r="AX52" i="12"/>
  <c r="AY51" i="12"/>
  <c r="BL74" i="12" s="1"/>
  <c r="AX51" i="12"/>
  <c r="AY50" i="12"/>
  <c r="BL73" i="12" s="1"/>
  <c r="AX50" i="12"/>
  <c r="AY49" i="12"/>
  <c r="AX49" i="12"/>
  <c r="AY48" i="12"/>
  <c r="AX48" i="12"/>
  <c r="AY47" i="12"/>
  <c r="AX47" i="12"/>
  <c r="AY46" i="12"/>
  <c r="AX46" i="12"/>
  <c r="AY45" i="12"/>
  <c r="BL68" i="12" s="1"/>
  <c r="AX45" i="12"/>
  <c r="AY44" i="12"/>
  <c r="BL67" i="12" s="1"/>
  <c r="AX44" i="12"/>
  <c r="AY43" i="12"/>
  <c r="AX43" i="12"/>
  <c r="AY42" i="12"/>
  <c r="BL65" i="12" s="1"/>
  <c r="AX42" i="12"/>
  <c r="AY41" i="12"/>
  <c r="AX41" i="12"/>
  <c r="AY40" i="12"/>
  <c r="AX40" i="12"/>
  <c r="AY39" i="12"/>
  <c r="BL62" i="12" s="1"/>
  <c r="AX39" i="12"/>
  <c r="AX38" i="12"/>
  <c r="AX37" i="12"/>
  <c r="BL61" i="12"/>
  <c r="AX64" i="12"/>
  <c r="AX63" i="12"/>
  <c r="AX62" i="12"/>
  <c r="AX61" i="12"/>
  <c r="I12" i="21"/>
  <c r="E12" i="21"/>
  <c r="C12" i="21"/>
  <c r="E10" i="21"/>
  <c r="E9" i="21"/>
  <c r="E11" i="21"/>
  <c r="J9" i="21"/>
  <c r="X20" i="21" s="1"/>
  <c r="E15" i="21"/>
  <c r="M202" i="21"/>
  <c r="Y22" i="21"/>
  <c r="Y23" i="21" s="1"/>
  <c r="Y24" i="21" s="1"/>
  <c r="Y25" i="21" s="1"/>
  <c r="Y26" i="21" s="1"/>
  <c r="Y27" i="21" s="1"/>
  <c r="Y28" i="21" s="1"/>
  <c r="Y29" i="21" s="1"/>
  <c r="Y30" i="21" s="1"/>
  <c r="Y31" i="21" s="1"/>
  <c r="Y32" i="21" s="1"/>
  <c r="Y33" i="21" s="1"/>
  <c r="Y34" i="21" s="1"/>
  <c r="Y35" i="21" s="1"/>
  <c r="Y36" i="21" s="1"/>
  <c r="Y37" i="21" s="1"/>
  <c r="Y38" i="21" s="1"/>
  <c r="Y39" i="21" s="1"/>
  <c r="Y40" i="21" s="1"/>
  <c r="Y41" i="21" s="1"/>
  <c r="Y42" i="21" s="1"/>
  <c r="Y43" i="21" s="1"/>
  <c r="Y44" i="21" s="1"/>
  <c r="Y45" i="21" s="1"/>
  <c r="Y46" i="21" s="1"/>
  <c r="Y47" i="21" s="1"/>
  <c r="Y48" i="21" s="1"/>
  <c r="Y49" i="21" s="1"/>
  <c r="Y50" i="21" s="1"/>
  <c r="Y51" i="21" s="1"/>
  <c r="Y52" i="21" s="1"/>
  <c r="Y53" i="21" s="1"/>
  <c r="Y54" i="21" s="1"/>
  <c r="Y55" i="21" s="1"/>
  <c r="Y56" i="21" s="1"/>
  <c r="Y57" i="21" s="1"/>
  <c r="Y58" i="21" s="1"/>
  <c r="Y59" i="21" s="1"/>
  <c r="Y60" i="21" s="1"/>
  <c r="Y61" i="21" s="1"/>
  <c r="Y62" i="21" s="1"/>
  <c r="Y63" i="21" s="1"/>
  <c r="Y64" i="21" s="1"/>
  <c r="Y65" i="21" s="1"/>
  <c r="Y66" i="21" s="1"/>
  <c r="Y67" i="21" s="1"/>
  <c r="Y68" i="21" s="1"/>
  <c r="Y69" i="21" s="1"/>
  <c r="Y70" i="21" s="1"/>
  <c r="Y71" i="21" s="1"/>
  <c r="Y72" i="21" s="1"/>
  <c r="Y73" i="21" s="1"/>
  <c r="Y74" i="21" s="1"/>
  <c r="Y75" i="21" s="1"/>
  <c r="Y76" i="21" s="1"/>
  <c r="Y77" i="21" s="1"/>
  <c r="Y78" i="21" s="1"/>
  <c r="Y79" i="21" s="1"/>
  <c r="Y80" i="21" s="1"/>
  <c r="Y81" i="21" s="1"/>
  <c r="Y82" i="21" s="1"/>
  <c r="Y83" i="21" s="1"/>
  <c r="Y84" i="21" s="1"/>
  <c r="Y85" i="21" s="1"/>
  <c r="Y86" i="21" s="1"/>
  <c r="Y87" i="21" s="1"/>
  <c r="Y88" i="21" s="1"/>
  <c r="Y89" i="21" s="1"/>
  <c r="Y90" i="21" s="1"/>
  <c r="Y91" i="21" s="1"/>
  <c r="Y92" i="21" s="1"/>
  <c r="Y93" i="21" s="1"/>
  <c r="Y94" i="21" s="1"/>
  <c r="Y95" i="21" s="1"/>
  <c r="Y96" i="21" s="1"/>
  <c r="Y97" i="21" s="1"/>
  <c r="Y98" i="21" s="1"/>
  <c r="Y99" i="21" s="1"/>
  <c r="Y100" i="21" s="1"/>
  <c r="Y101" i="21" s="1"/>
  <c r="Y102" i="21" s="1"/>
  <c r="Y103" i="21" s="1"/>
  <c r="Y104" i="21" s="1"/>
  <c r="Y105" i="21" s="1"/>
  <c r="Y106" i="21" s="1"/>
  <c r="Y107" i="21" s="1"/>
  <c r="Y108" i="21" s="1"/>
  <c r="Y109" i="21" s="1"/>
  <c r="Y110" i="21" s="1"/>
  <c r="Y111" i="21" s="1"/>
  <c r="Y112" i="21" s="1"/>
  <c r="Y113" i="21" s="1"/>
  <c r="Y114" i="21" s="1"/>
  <c r="Y115" i="21" s="1"/>
  <c r="Y116" i="21" s="1"/>
  <c r="Y117" i="21" s="1"/>
  <c r="Y118" i="21" s="1"/>
  <c r="Y119" i="21" s="1"/>
  <c r="Y120" i="21" s="1"/>
  <c r="Y121" i="21" s="1"/>
  <c r="Y122" i="21" s="1"/>
  <c r="Y123" i="21" s="1"/>
  <c r="Y124" i="21" s="1"/>
  <c r="Y125" i="21" s="1"/>
  <c r="Y126" i="21" s="1"/>
  <c r="Y127" i="21" s="1"/>
  <c r="Y128" i="21" s="1"/>
  <c r="Y129" i="21" s="1"/>
  <c r="Y130" i="21" s="1"/>
  <c r="Y131" i="21" s="1"/>
  <c r="Y132" i="21" s="1"/>
  <c r="Y133" i="21" s="1"/>
  <c r="Y134" i="21" s="1"/>
  <c r="Y135" i="21" s="1"/>
  <c r="Y136" i="21" s="1"/>
  <c r="Y137" i="21" s="1"/>
  <c r="Y138" i="21" s="1"/>
  <c r="Y139" i="21" s="1"/>
  <c r="Y140" i="21" s="1"/>
  <c r="Y141" i="21" s="1"/>
  <c r="Y142" i="21" s="1"/>
  <c r="Y143" i="21" s="1"/>
  <c r="Y144" i="21" s="1"/>
  <c r="Y145" i="21" s="1"/>
  <c r="Y146" i="21" s="1"/>
  <c r="Y147" i="21" s="1"/>
  <c r="Y148" i="21" s="1"/>
  <c r="Y149" i="21" s="1"/>
  <c r="Y150" i="21" s="1"/>
  <c r="Y151" i="21" s="1"/>
  <c r="Y152" i="21" s="1"/>
  <c r="Y153" i="21" s="1"/>
  <c r="Y154" i="21" s="1"/>
  <c r="Y155" i="21" s="1"/>
  <c r="Y156" i="21" s="1"/>
  <c r="Y157" i="21" s="1"/>
  <c r="Y158" i="21" s="1"/>
  <c r="Y159" i="21" s="1"/>
  <c r="Y160" i="21" s="1"/>
  <c r="Y161" i="21" s="1"/>
  <c r="Y162" i="21" s="1"/>
  <c r="Y163" i="21" s="1"/>
  <c r="Y164" i="21" s="1"/>
  <c r="Y165" i="21" s="1"/>
  <c r="Y166" i="21" s="1"/>
  <c r="Y167" i="21" s="1"/>
  <c r="Y168" i="21" s="1"/>
  <c r="Y169" i="21" s="1"/>
  <c r="Y170" i="21" s="1"/>
  <c r="Y171" i="21" s="1"/>
  <c r="Y172" i="21" s="1"/>
  <c r="Y173" i="21" s="1"/>
  <c r="Y174" i="21" s="1"/>
  <c r="Y175" i="21" s="1"/>
  <c r="Y176" i="21" s="1"/>
  <c r="Y177" i="21" s="1"/>
  <c r="Y178" i="21" s="1"/>
  <c r="Y179" i="21" s="1"/>
  <c r="Y180" i="21" s="1"/>
  <c r="Y181" i="21" s="1"/>
  <c r="Y182" i="21" s="1"/>
  <c r="Y183" i="21" s="1"/>
  <c r="Y184" i="21" s="1"/>
  <c r="Y185" i="21" s="1"/>
  <c r="Y186" i="21" s="1"/>
  <c r="Y187" i="21" s="1"/>
  <c r="Y188" i="21" s="1"/>
  <c r="Y189" i="21" s="1"/>
  <c r="Y190" i="21" s="1"/>
  <c r="Y191" i="21" s="1"/>
  <c r="Y192" i="21" s="1"/>
  <c r="Y193" i="21" s="1"/>
  <c r="Y194" i="21" s="1"/>
  <c r="Y195" i="21" s="1"/>
  <c r="Y196" i="21" s="1"/>
  <c r="Y197" i="21" s="1"/>
  <c r="Y198" i="21" s="1"/>
  <c r="Y199" i="21" s="1"/>
  <c r="Y200" i="21" s="1"/>
  <c r="T21" i="21"/>
  <c r="N21" i="21"/>
  <c r="AB21" i="21" s="1"/>
  <c r="AA20" i="21"/>
  <c r="Z41" i="21" s="1"/>
  <c r="T20" i="21"/>
  <c r="J19" i="21"/>
  <c r="M17" i="21"/>
  <c r="AC33" i="21" s="1"/>
  <c r="AC34" i="21" s="1"/>
  <c r="AC35" i="21" s="1"/>
  <c r="AC36" i="21" s="1"/>
  <c r="AC37" i="21" s="1"/>
  <c r="AC38" i="21" s="1"/>
  <c r="AC39" i="21" s="1"/>
  <c r="AC40" i="21" s="1"/>
  <c r="AC41" i="21" s="1"/>
  <c r="AC42" i="21" s="1"/>
  <c r="AC43" i="21" s="1"/>
  <c r="AC44" i="21" s="1"/>
  <c r="AC45" i="21" s="1"/>
  <c r="AC46" i="21" s="1"/>
  <c r="AC47" i="21" s="1"/>
  <c r="AC48" i="21" s="1"/>
  <c r="AC49" i="21" s="1"/>
  <c r="AC50" i="21" s="1"/>
  <c r="AC51" i="21" s="1"/>
  <c r="AC52" i="21" s="1"/>
  <c r="AC53" i="21" s="1"/>
  <c r="AC54" i="21" s="1"/>
  <c r="AC55" i="21" s="1"/>
  <c r="AC56" i="21" s="1"/>
  <c r="AC57" i="21" s="1"/>
  <c r="AC58" i="21" s="1"/>
  <c r="AC59" i="21" s="1"/>
  <c r="AC60" i="21" s="1"/>
  <c r="AC61" i="21" s="1"/>
  <c r="AC62" i="21" s="1"/>
  <c r="AC63" i="21" s="1"/>
  <c r="AC64" i="21" s="1"/>
  <c r="AC65" i="21" s="1"/>
  <c r="AC66" i="21" s="1"/>
  <c r="AC67" i="21" s="1"/>
  <c r="AC68" i="21" s="1"/>
  <c r="AC69" i="21" s="1"/>
  <c r="AC70" i="21" s="1"/>
  <c r="AC71" i="21" s="1"/>
  <c r="AC72" i="21" s="1"/>
  <c r="AC73" i="21" s="1"/>
  <c r="AC74" i="21" s="1"/>
  <c r="AC75" i="21" s="1"/>
  <c r="AC76" i="21" s="1"/>
  <c r="AC77" i="21" s="1"/>
  <c r="AC78" i="21" s="1"/>
  <c r="AC79" i="21" s="1"/>
  <c r="AC80" i="21" s="1"/>
  <c r="AC81" i="21" s="1"/>
  <c r="AC82" i="21" s="1"/>
  <c r="AC83" i="21" s="1"/>
  <c r="AC84" i="21" s="1"/>
  <c r="AC85" i="21" s="1"/>
  <c r="AC86" i="21" s="1"/>
  <c r="AC87" i="21" s="1"/>
  <c r="AC88" i="21" s="1"/>
  <c r="AC89" i="21" s="1"/>
  <c r="AC90" i="21" s="1"/>
  <c r="AC91" i="21" s="1"/>
  <c r="AC92" i="21" s="1"/>
  <c r="AC93" i="21" s="1"/>
  <c r="AC94" i="21" s="1"/>
  <c r="AC95" i="21" s="1"/>
  <c r="AC96" i="21" s="1"/>
  <c r="AC97" i="21" s="1"/>
  <c r="AC98" i="21" s="1"/>
  <c r="AC99" i="21" s="1"/>
  <c r="AC100" i="21" s="1"/>
  <c r="AC101" i="21" s="1"/>
  <c r="AC102" i="21" s="1"/>
  <c r="AC103" i="21" s="1"/>
  <c r="AC104" i="21" s="1"/>
  <c r="AC105" i="21" s="1"/>
  <c r="AC106" i="21" s="1"/>
  <c r="AC107" i="21" s="1"/>
  <c r="AC108" i="21" s="1"/>
  <c r="AC109" i="21" s="1"/>
  <c r="AC110" i="21" s="1"/>
  <c r="AC111" i="21" s="1"/>
  <c r="AC112" i="21" s="1"/>
  <c r="AC113" i="21" s="1"/>
  <c r="AC114" i="21" s="1"/>
  <c r="AC115" i="21" s="1"/>
  <c r="AC116" i="21" s="1"/>
  <c r="AC117" i="21" s="1"/>
  <c r="AC118" i="21" s="1"/>
  <c r="AC119" i="21" s="1"/>
  <c r="AC120" i="21" s="1"/>
  <c r="AC121" i="21" s="1"/>
  <c r="AC122" i="21" s="1"/>
  <c r="AC123" i="21" s="1"/>
  <c r="AC124" i="21" s="1"/>
  <c r="AC125" i="21" s="1"/>
  <c r="AC126" i="21" s="1"/>
  <c r="AC127" i="21" s="1"/>
  <c r="AC128" i="21" s="1"/>
  <c r="AC129" i="21" s="1"/>
  <c r="AC130" i="21" s="1"/>
  <c r="AC131" i="21" s="1"/>
  <c r="AC132" i="21" s="1"/>
  <c r="AC133" i="21" s="1"/>
  <c r="AC134" i="21" s="1"/>
  <c r="AC135" i="21" s="1"/>
  <c r="AC136" i="21" s="1"/>
  <c r="AC137" i="21" s="1"/>
  <c r="AC138" i="21" s="1"/>
  <c r="AC139" i="21" s="1"/>
  <c r="AC140" i="21" s="1"/>
  <c r="AC141" i="21" s="1"/>
  <c r="AC142" i="21" s="1"/>
  <c r="AC143" i="21" s="1"/>
  <c r="AC144" i="21" s="1"/>
  <c r="AC145" i="21" s="1"/>
  <c r="AC146" i="21" s="1"/>
  <c r="AC147" i="21" s="1"/>
  <c r="AC148" i="21" s="1"/>
  <c r="AC149" i="21" s="1"/>
  <c r="AC150" i="21" s="1"/>
  <c r="AC151" i="21" s="1"/>
  <c r="AC152" i="21" s="1"/>
  <c r="AC153" i="21" s="1"/>
  <c r="AC154" i="21" s="1"/>
  <c r="AC155" i="21" s="1"/>
  <c r="AC156" i="21" s="1"/>
  <c r="AC157" i="21" s="1"/>
  <c r="AC158" i="21" s="1"/>
  <c r="AC159" i="21" s="1"/>
  <c r="AC160" i="21" s="1"/>
  <c r="AC161" i="21" s="1"/>
  <c r="AC162" i="21" s="1"/>
  <c r="AC163" i="21" s="1"/>
  <c r="AC164" i="21" s="1"/>
  <c r="AC165" i="21" s="1"/>
  <c r="AC166" i="21" s="1"/>
  <c r="AC167" i="21" s="1"/>
  <c r="AC168" i="21" s="1"/>
  <c r="AC169" i="21" s="1"/>
  <c r="AC170" i="21" s="1"/>
  <c r="AC171" i="21" s="1"/>
  <c r="AC172" i="21" s="1"/>
  <c r="AC173" i="21" s="1"/>
  <c r="AC174" i="21" s="1"/>
  <c r="AC175" i="21" s="1"/>
  <c r="AC176" i="21" s="1"/>
  <c r="AC177" i="21" s="1"/>
  <c r="AC178" i="21" s="1"/>
  <c r="AC179" i="21" s="1"/>
  <c r="AC180" i="21" s="1"/>
  <c r="AC181" i="21" s="1"/>
  <c r="AC182" i="21" s="1"/>
  <c r="AC183" i="21" s="1"/>
  <c r="AC184" i="21" s="1"/>
  <c r="AC185" i="21" s="1"/>
  <c r="AC186" i="21" s="1"/>
  <c r="AC187" i="21" s="1"/>
  <c r="AC188" i="21" s="1"/>
  <c r="AC189" i="21" s="1"/>
  <c r="AC190" i="21" s="1"/>
  <c r="AC191" i="21" s="1"/>
  <c r="AC192" i="21" s="1"/>
  <c r="AC193" i="21" s="1"/>
  <c r="AC194" i="21" s="1"/>
  <c r="AC195" i="21" s="1"/>
  <c r="AC196" i="21" s="1"/>
  <c r="AC197" i="21" s="1"/>
  <c r="AC198" i="21" s="1"/>
  <c r="AC199" i="21" s="1"/>
  <c r="AC200" i="21" s="1"/>
  <c r="C17" i="21"/>
  <c r="X4" i="21"/>
  <c r="E16" i="20"/>
  <c r="C16" i="20"/>
  <c r="E15" i="20"/>
  <c r="I12" i="20"/>
  <c r="E12" i="20"/>
  <c r="C12" i="20"/>
  <c r="E10" i="20"/>
  <c r="E9" i="20"/>
  <c r="J8" i="20"/>
  <c r="E8" i="20"/>
  <c r="E14" i="20"/>
  <c r="M17" i="20" s="1"/>
  <c r="AC33" i="20" s="1"/>
  <c r="AC34" i="20" s="1"/>
  <c r="AC35" i="20" s="1"/>
  <c r="AC36" i="20" s="1"/>
  <c r="AC37" i="20" s="1"/>
  <c r="AC38" i="20" s="1"/>
  <c r="AC39" i="20" s="1"/>
  <c r="AC40" i="20" s="1"/>
  <c r="AC41" i="20" s="1"/>
  <c r="AC42" i="20" s="1"/>
  <c r="AC43" i="20" s="1"/>
  <c r="AC44" i="20" s="1"/>
  <c r="AC45" i="20" s="1"/>
  <c r="AC46" i="20" s="1"/>
  <c r="AC47" i="20" s="1"/>
  <c r="AC48" i="20" s="1"/>
  <c r="AC49" i="20" s="1"/>
  <c r="AC50" i="20" s="1"/>
  <c r="AC51" i="20" s="1"/>
  <c r="AC52" i="20" s="1"/>
  <c r="AC53" i="20" s="1"/>
  <c r="AC54" i="20" s="1"/>
  <c r="AC55" i="20" s="1"/>
  <c r="AC56" i="20" s="1"/>
  <c r="AC57" i="20" s="1"/>
  <c r="AC58" i="20" s="1"/>
  <c r="AC59" i="20" s="1"/>
  <c r="AC60" i="20" s="1"/>
  <c r="AC61" i="20" s="1"/>
  <c r="AC62" i="20" s="1"/>
  <c r="AC63" i="20" s="1"/>
  <c r="AC64" i="20" s="1"/>
  <c r="AC65" i="20" s="1"/>
  <c r="AC66" i="20" s="1"/>
  <c r="AC67" i="20" s="1"/>
  <c r="AC68" i="20" s="1"/>
  <c r="AC69" i="20" s="1"/>
  <c r="AC70" i="20" s="1"/>
  <c r="AC71" i="20" s="1"/>
  <c r="AC72" i="20" s="1"/>
  <c r="AC73" i="20" s="1"/>
  <c r="AC74" i="20" s="1"/>
  <c r="AC75" i="20" s="1"/>
  <c r="AC76" i="20" s="1"/>
  <c r="AC77" i="20" s="1"/>
  <c r="AC78" i="20" s="1"/>
  <c r="AC79" i="20" s="1"/>
  <c r="AC80" i="20" s="1"/>
  <c r="AC81" i="20" s="1"/>
  <c r="AC82" i="20" s="1"/>
  <c r="AC83" i="20" s="1"/>
  <c r="AC84" i="20" s="1"/>
  <c r="AC85" i="20" s="1"/>
  <c r="AC86" i="20" s="1"/>
  <c r="AC87" i="20" s="1"/>
  <c r="AC88" i="20" s="1"/>
  <c r="AC89" i="20" s="1"/>
  <c r="AC90" i="20" s="1"/>
  <c r="AC91" i="20" s="1"/>
  <c r="AC92" i="20" s="1"/>
  <c r="AC93" i="20" s="1"/>
  <c r="AC94" i="20" s="1"/>
  <c r="AC95" i="20" s="1"/>
  <c r="AC96" i="20" s="1"/>
  <c r="AC97" i="20" s="1"/>
  <c r="AC98" i="20" s="1"/>
  <c r="AC99" i="20" s="1"/>
  <c r="AC100" i="20" s="1"/>
  <c r="AC101" i="20" s="1"/>
  <c r="AC102" i="20" s="1"/>
  <c r="AC103" i="20" s="1"/>
  <c r="AC104" i="20" s="1"/>
  <c r="AC105" i="20" s="1"/>
  <c r="AC106" i="20" s="1"/>
  <c r="AC107" i="20" s="1"/>
  <c r="AC108" i="20" s="1"/>
  <c r="AC109" i="20" s="1"/>
  <c r="AC110" i="20" s="1"/>
  <c r="AC111" i="20" s="1"/>
  <c r="AC112" i="20" s="1"/>
  <c r="AC113" i="20" s="1"/>
  <c r="AC114" i="20" s="1"/>
  <c r="AC115" i="20" s="1"/>
  <c r="AC116" i="20" s="1"/>
  <c r="AC117" i="20" s="1"/>
  <c r="AC118" i="20" s="1"/>
  <c r="AC119" i="20" s="1"/>
  <c r="AC120" i="20" s="1"/>
  <c r="AC121" i="20" s="1"/>
  <c r="AC122" i="20" s="1"/>
  <c r="AC123" i="20" s="1"/>
  <c r="AC124" i="20" s="1"/>
  <c r="AC125" i="20" s="1"/>
  <c r="AC126" i="20" s="1"/>
  <c r="AC127" i="20" s="1"/>
  <c r="AC128" i="20" s="1"/>
  <c r="AC129" i="20" s="1"/>
  <c r="AC130" i="20" s="1"/>
  <c r="AC131" i="20" s="1"/>
  <c r="AC132" i="20" s="1"/>
  <c r="AC133" i="20" s="1"/>
  <c r="AC134" i="20" s="1"/>
  <c r="AC135" i="20" s="1"/>
  <c r="AC136" i="20" s="1"/>
  <c r="AC137" i="20" s="1"/>
  <c r="AC138" i="20" s="1"/>
  <c r="AC139" i="20" s="1"/>
  <c r="AC140" i="20" s="1"/>
  <c r="AC141" i="20" s="1"/>
  <c r="AC142" i="20" s="1"/>
  <c r="AC143" i="20" s="1"/>
  <c r="AC144" i="20" s="1"/>
  <c r="AC145" i="20" s="1"/>
  <c r="AC146" i="20" s="1"/>
  <c r="AC147" i="20" s="1"/>
  <c r="AC148" i="20" s="1"/>
  <c r="AC149" i="20" s="1"/>
  <c r="AC150" i="20" s="1"/>
  <c r="AC151" i="20" s="1"/>
  <c r="AC152" i="20" s="1"/>
  <c r="AC153" i="20" s="1"/>
  <c r="AC154" i="20" s="1"/>
  <c r="AC155" i="20" s="1"/>
  <c r="AC156" i="20" s="1"/>
  <c r="AC157" i="20" s="1"/>
  <c r="AC158" i="20" s="1"/>
  <c r="AC159" i="20" s="1"/>
  <c r="AC160" i="20" s="1"/>
  <c r="AC161" i="20" s="1"/>
  <c r="AC162" i="20" s="1"/>
  <c r="AC163" i="20" s="1"/>
  <c r="AC164" i="20" s="1"/>
  <c r="AC165" i="20" s="1"/>
  <c r="AC166" i="20" s="1"/>
  <c r="AC167" i="20" s="1"/>
  <c r="AC168" i="20" s="1"/>
  <c r="AC169" i="20" s="1"/>
  <c r="AC170" i="20" s="1"/>
  <c r="AC171" i="20" s="1"/>
  <c r="AC172" i="20" s="1"/>
  <c r="AC173" i="20" s="1"/>
  <c r="AC174" i="20" s="1"/>
  <c r="AC175" i="20" s="1"/>
  <c r="AC176" i="20" s="1"/>
  <c r="AC177" i="20" s="1"/>
  <c r="AC178" i="20" s="1"/>
  <c r="AC179" i="20" s="1"/>
  <c r="AC180" i="20" s="1"/>
  <c r="AC181" i="20" s="1"/>
  <c r="AC182" i="20" s="1"/>
  <c r="AC183" i="20" s="1"/>
  <c r="AC184" i="20" s="1"/>
  <c r="AC185" i="20" s="1"/>
  <c r="AC186" i="20" s="1"/>
  <c r="AC187" i="20" s="1"/>
  <c r="AC188" i="20" s="1"/>
  <c r="AC189" i="20" s="1"/>
  <c r="AC190" i="20" s="1"/>
  <c r="AC191" i="20" s="1"/>
  <c r="AC192" i="20" s="1"/>
  <c r="AC193" i="20" s="1"/>
  <c r="AC194" i="20" s="1"/>
  <c r="AC195" i="20" s="1"/>
  <c r="AC196" i="20" s="1"/>
  <c r="AC197" i="20" s="1"/>
  <c r="AC198" i="20" s="1"/>
  <c r="AC199" i="20" s="1"/>
  <c r="AC200" i="20" s="1"/>
  <c r="AC201" i="20" s="1"/>
  <c r="AC202" i="20" s="1"/>
  <c r="AC203" i="20" s="1"/>
  <c r="AC204" i="20" s="1"/>
  <c r="AC205" i="20" s="1"/>
  <c r="AC206" i="20" s="1"/>
  <c r="AC207" i="20" s="1"/>
  <c r="AC208" i="20" s="1"/>
  <c r="AC209" i="20" s="1"/>
  <c r="AC210" i="20" s="1"/>
  <c r="AC211" i="20" s="1"/>
  <c r="AC212" i="20" s="1"/>
  <c r="AC213" i="20" s="1"/>
  <c r="AC214" i="20" s="1"/>
  <c r="AC215" i="20" s="1"/>
  <c r="AC216" i="20" s="1"/>
  <c r="AC217" i="20" s="1"/>
  <c r="AC218" i="20" s="1"/>
  <c r="AC219" i="20" s="1"/>
  <c r="AC220" i="20" s="1"/>
  <c r="AC221" i="20" s="1"/>
  <c r="AC222" i="20" s="1"/>
  <c r="AC223" i="20" s="1"/>
  <c r="AC224" i="20" s="1"/>
  <c r="AC225" i="20" s="1"/>
  <c r="AC226" i="20" s="1"/>
  <c r="AC227" i="20" s="1"/>
  <c r="AC228" i="20" s="1"/>
  <c r="AC229" i="20" s="1"/>
  <c r="AC230" i="20" s="1"/>
  <c r="AC231" i="20" s="1"/>
  <c r="AC232" i="20" s="1"/>
  <c r="AC233" i="20" s="1"/>
  <c r="AC234" i="20" s="1"/>
  <c r="AC235" i="20" s="1"/>
  <c r="AC236" i="20" s="1"/>
  <c r="AC237" i="20" s="1"/>
  <c r="AC238" i="20" s="1"/>
  <c r="AC239" i="20" s="1"/>
  <c r="AC240" i="20" s="1"/>
  <c r="AC241" i="20" s="1"/>
  <c r="AC242" i="20" s="1"/>
  <c r="AC243" i="20" s="1"/>
  <c r="AC244" i="20" s="1"/>
  <c r="AC245" i="20" s="1"/>
  <c r="AC246" i="20" s="1"/>
  <c r="AC247" i="20" s="1"/>
  <c r="AC248" i="20" s="1"/>
  <c r="AC249" i="20" s="1"/>
  <c r="AC250" i="20" s="1"/>
  <c r="AC251" i="20" s="1"/>
  <c r="AC252" i="20" s="1"/>
  <c r="AC253" i="20" s="1"/>
  <c r="AC254" i="20" s="1"/>
  <c r="AC255" i="20" s="1"/>
  <c r="AC256" i="20" s="1"/>
  <c r="AC257" i="20" s="1"/>
  <c r="AC258" i="20" s="1"/>
  <c r="AC259" i="20" s="1"/>
  <c r="AC260" i="20" s="1"/>
  <c r="AC261" i="20" s="1"/>
  <c r="AC262" i="20" s="1"/>
  <c r="AC263" i="20" s="1"/>
  <c r="AC264" i="20" s="1"/>
  <c r="AC265" i="20" s="1"/>
  <c r="AC266" i="20" s="1"/>
  <c r="AC267" i="20" s="1"/>
  <c r="AC268" i="20" s="1"/>
  <c r="AC269" i="20" s="1"/>
  <c r="AC270" i="20" s="1"/>
  <c r="AC271" i="20" s="1"/>
  <c r="AC272" i="20" s="1"/>
  <c r="AC273" i="20" s="1"/>
  <c r="AC274" i="20" s="1"/>
  <c r="AC275" i="20" s="1"/>
  <c r="AC276" i="20" s="1"/>
  <c r="AC277" i="20" s="1"/>
  <c r="AC278" i="20" s="1"/>
  <c r="AC279" i="20" s="1"/>
  <c r="AC280" i="20" s="1"/>
  <c r="AC281" i="20" s="1"/>
  <c r="AC282" i="20" s="1"/>
  <c r="AC283" i="20" s="1"/>
  <c r="AC284" i="20" s="1"/>
  <c r="AC285" i="20" s="1"/>
  <c r="AC286" i="20" s="1"/>
  <c r="AC287" i="20" s="1"/>
  <c r="AC288" i="20" s="1"/>
  <c r="AC289" i="20" s="1"/>
  <c r="AC290" i="20" s="1"/>
  <c r="AC291" i="20" s="1"/>
  <c r="AC292" i="20" s="1"/>
  <c r="AC293" i="20" s="1"/>
  <c r="AC294" i="20" s="1"/>
  <c r="AC295" i="20" s="1"/>
  <c r="AC296" i="20" s="1"/>
  <c r="AC297" i="20" s="1"/>
  <c r="AC298" i="20" s="1"/>
  <c r="AC299" i="20" s="1"/>
  <c r="AC300" i="20" s="1"/>
  <c r="AC301" i="20" s="1"/>
  <c r="AC302" i="20" s="1"/>
  <c r="AC303" i="20" s="1"/>
  <c r="AC304" i="20" s="1"/>
  <c r="AC305" i="20" s="1"/>
  <c r="AC306" i="20" s="1"/>
  <c r="AC307" i="20" s="1"/>
  <c r="AC308" i="20" s="1"/>
  <c r="AC309" i="20" s="1"/>
  <c r="AC310" i="20" s="1"/>
  <c r="AC311" i="20" s="1"/>
  <c r="AC312" i="20" s="1"/>
  <c r="AC313" i="20" s="1"/>
  <c r="AC314" i="20" s="1"/>
  <c r="AC315" i="20" s="1"/>
  <c r="AC316" i="20" s="1"/>
  <c r="AC317" i="20" s="1"/>
  <c r="AC318" i="20" s="1"/>
  <c r="AC319" i="20" s="1"/>
  <c r="AC320" i="20" s="1"/>
  <c r="P322" i="20"/>
  <c r="L322" i="20"/>
  <c r="Y22" i="20"/>
  <c r="Y23" i="20" s="1"/>
  <c r="Y24" i="20" s="1"/>
  <c r="Y25" i="20" s="1"/>
  <c r="Y26" i="20" s="1"/>
  <c r="Y27" i="20" s="1"/>
  <c r="Y28" i="20" s="1"/>
  <c r="Y29" i="20" s="1"/>
  <c r="Y30" i="20" s="1"/>
  <c r="Y31" i="20" s="1"/>
  <c r="Y32" i="20" s="1"/>
  <c r="Y33" i="20" s="1"/>
  <c r="Y34" i="20" s="1"/>
  <c r="Y35" i="20" s="1"/>
  <c r="Y36" i="20" s="1"/>
  <c r="Y37" i="20" s="1"/>
  <c r="Y38" i="20" s="1"/>
  <c r="Y39" i="20" s="1"/>
  <c r="Y40" i="20" s="1"/>
  <c r="Y41" i="20" s="1"/>
  <c r="Y42" i="20" s="1"/>
  <c r="Y43" i="20" s="1"/>
  <c r="Y44" i="20" s="1"/>
  <c r="Y45" i="20" s="1"/>
  <c r="Y46" i="20" s="1"/>
  <c r="Y47" i="20" s="1"/>
  <c r="Y48" i="20" s="1"/>
  <c r="Y49" i="20" s="1"/>
  <c r="Y50" i="20" s="1"/>
  <c r="Y51" i="20" s="1"/>
  <c r="Y52" i="20" s="1"/>
  <c r="Y53" i="20" s="1"/>
  <c r="Y54" i="20" s="1"/>
  <c r="Y55" i="20" s="1"/>
  <c r="Y56" i="20" s="1"/>
  <c r="Y57" i="20" s="1"/>
  <c r="Y58" i="20" s="1"/>
  <c r="Y59" i="20" s="1"/>
  <c r="Y60" i="20" s="1"/>
  <c r="Y61" i="20" s="1"/>
  <c r="Y62" i="20" s="1"/>
  <c r="Y63" i="20" s="1"/>
  <c r="Y64" i="20" s="1"/>
  <c r="Y65" i="20" s="1"/>
  <c r="Y66" i="20" s="1"/>
  <c r="Y67" i="20" s="1"/>
  <c r="Y68" i="20" s="1"/>
  <c r="Y69" i="20" s="1"/>
  <c r="Y70" i="20" s="1"/>
  <c r="Y71" i="20" s="1"/>
  <c r="Y72" i="20" s="1"/>
  <c r="Y73" i="20" s="1"/>
  <c r="Y74" i="20" s="1"/>
  <c r="Y75" i="20" s="1"/>
  <c r="Y76" i="20" s="1"/>
  <c r="Y77" i="20" s="1"/>
  <c r="Y78" i="20" s="1"/>
  <c r="Y79" i="20" s="1"/>
  <c r="Y80" i="20" s="1"/>
  <c r="Y81" i="20" s="1"/>
  <c r="Y82" i="20" s="1"/>
  <c r="Y83" i="20" s="1"/>
  <c r="Y84" i="20" s="1"/>
  <c r="Y85" i="20" s="1"/>
  <c r="Y86" i="20" s="1"/>
  <c r="Y87" i="20" s="1"/>
  <c r="Y88" i="20" s="1"/>
  <c r="Y89" i="20" s="1"/>
  <c r="Y90" i="20" s="1"/>
  <c r="Y91" i="20" s="1"/>
  <c r="Y92" i="20" s="1"/>
  <c r="Y93" i="20" s="1"/>
  <c r="Y94" i="20" s="1"/>
  <c r="Y95" i="20" s="1"/>
  <c r="Y96" i="20" s="1"/>
  <c r="Y97" i="20" s="1"/>
  <c r="Y98" i="20" s="1"/>
  <c r="Y99" i="20" s="1"/>
  <c r="Y100" i="20" s="1"/>
  <c r="Y101" i="20" s="1"/>
  <c r="Y102" i="20" s="1"/>
  <c r="Y103" i="20" s="1"/>
  <c r="Y104" i="20" s="1"/>
  <c r="Y105" i="20" s="1"/>
  <c r="Y106" i="20" s="1"/>
  <c r="Y107" i="20" s="1"/>
  <c r="Y108" i="20" s="1"/>
  <c r="Y109" i="20" s="1"/>
  <c r="Y110" i="20" s="1"/>
  <c r="Y111" i="20" s="1"/>
  <c r="Y112" i="20" s="1"/>
  <c r="Y113" i="20" s="1"/>
  <c r="Y114" i="20" s="1"/>
  <c r="Y115" i="20" s="1"/>
  <c r="Y116" i="20" s="1"/>
  <c r="Y117" i="20" s="1"/>
  <c r="Y118" i="20" s="1"/>
  <c r="Y119" i="20" s="1"/>
  <c r="Y120" i="20" s="1"/>
  <c r="Y121" i="20" s="1"/>
  <c r="Y122" i="20" s="1"/>
  <c r="Y123" i="20" s="1"/>
  <c r="Y124" i="20" s="1"/>
  <c r="Y125" i="20" s="1"/>
  <c r="Y126" i="20" s="1"/>
  <c r="Y127" i="20" s="1"/>
  <c r="Y128" i="20" s="1"/>
  <c r="Y129" i="20" s="1"/>
  <c r="Y130" i="20" s="1"/>
  <c r="Y131" i="20" s="1"/>
  <c r="Y132" i="20" s="1"/>
  <c r="Y133" i="20" s="1"/>
  <c r="Y134" i="20" s="1"/>
  <c r="Y135" i="20" s="1"/>
  <c r="Y136" i="20" s="1"/>
  <c r="Y137" i="20" s="1"/>
  <c r="Y138" i="20" s="1"/>
  <c r="Y139" i="20" s="1"/>
  <c r="Y140" i="20" s="1"/>
  <c r="Y141" i="20" s="1"/>
  <c r="Y142" i="20" s="1"/>
  <c r="Y143" i="20" s="1"/>
  <c r="Y144" i="20" s="1"/>
  <c r="Y145" i="20" s="1"/>
  <c r="Y146" i="20" s="1"/>
  <c r="Y147" i="20" s="1"/>
  <c r="Y148" i="20" s="1"/>
  <c r="Y149" i="20" s="1"/>
  <c r="Y150" i="20" s="1"/>
  <c r="Y151" i="20" s="1"/>
  <c r="Y152" i="20" s="1"/>
  <c r="Y153" i="20" s="1"/>
  <c r="Y154" i="20" s="1"/>
  <c r="Y155" i="20" s="1"/>
  <c r="Y156" i="20" s="1"/>
  <c r="Y157" i="20" s="1"/>
  <c r="Y158" i="20" s="1"/>
  <c r="Y159" i="20" s="1"/>
  <c r="Y160" i="20" s="1"/>
  <c r="Y161" i="20" s="1"/>
  <c r="Y162" i="20" s="1"/>
  <c r="Y163" i="20" s="1"/>
  <c r="Y164" i="20" s="1"/>
  <c r="Y165" i="20" s="1"/>
  <c r="Y166" i="20" s="1"/>
  <c r="Y167" i="20" s="1"/>
  <c r="Y168" i="20" s="1"/>
  <c r="Y169" i="20" s="1"/>
  <c r="Y170" i="20" s="1"/>
  <c r="Y171" i="20" s="1"/>
  <c r="Y172" i="20" s="1"/>
  <c r="Y173" i="20" s="1"/>
  <c r="Y174" i="20" s="1"/>
  <c r="Y175" i="20" s="1"/>
  <c r="Y176" i="20" s="1"/>
  <c r="Y177" i="20" s="1"/>
  <c r="Y178" i="20" s="1"/>
  <c r="Y179" i="20" s="1"/>
  <c r="Y180" i="20" s="1"/>
  <c r="Y181" i="20" s="1"/>
  <c r="Y182" i="20" s="1"/>
  <c r="Y183" i="20" s="1"/>
  <c r="Y184" i="20" s="1"/>
  <c r="Y185" i="20" s="1"/>
  <c r="Y186" i="20" s="1"/>
  <c r="Y187" i="20" s="1"/>
  <c r="Y188" i="20" s="1"/>
  <c r="Y189" i="20" s="1"/>
  <c r="Y190" i="20" s="1"/>
  <c r="Y191" i="20" s="1"/>
  <c r="Y192" i="20" s="1"/>
  <c r="Y193" i="20" s="1"/>
  <c r="Y194" i="20" s="1"/>
  <c r="Y195" i="20" s="1"/>
  <c r="Y196" i="20" s="1"/>
  <c r="Y197" i="20" s="1"/>
  <c r="Y198" i="20" s="1"/>
  <c r="Y199" i="20" s="1"/>
  <c r="Y200" i="20" s="1"/>
  <c r="Y201" i="20" s="1"/>
  <c r="Y202" i="20" s="1"/>
  <c r="Y203" i="20" s="1"/>
  <c r="Y204" i="20" s="1"/>
  <c r="Y205" i="20" s="1"/>
  <c r="Y206" i="20" s="1"/>
  <c r="Y207" i="20" s="1"/>
  <c r="Y208" i="20" s="1"/>
  <c r="Y209" i="20" s="1"/>
  <c r="Y210" i="20" s="1"/>
  <c r="Y211" i="20" s="1"/>
  <c r="Y212" i="20" s="1"/>
  <c r="Y213" i="20" s="1"/>
  <c r="Y214" i="20" s="1"/>
  <c r="Y215" i="20" s="1"/>
  <c r="Y216" i="20" s="1"/>
  <c r="Y217" i="20" s="1"/>
  <c r="Y218" i="20" s="1"/>
  <c r="Y219" i="20" s="1"/>
  <c r="Y220" i="20" s="1"/>
  <c r="Y221" i="20" s="1"/>
  <c r="Y222" i="20" s="1"/>
  <c r="Y223" i="20" s="1"/>
  <c r="Y224" i="20" s="1"/>
  <c r="Y225" i="20" s="1"/>
  <c r="Y226" i="20" s="1"/>
  <c r="Y227" i="20" s="1"/>
  <c r="Y228" i="20" s="1"/>
  <c r="Y229" i="20" s="1"/>
  <c r="Y230" i="20" s="1"/>
  <c r="Y231" i="20" s="1"/>
  <c r="Y232" i="20" s="1"/>
  <c r="Y233" i="20" s="1"/>
  <c r="Y234" i="20" s="1"/>
  <c r="Y235" i="20" s="1"/>
  <c r="Y236" i="20" s="1"/>
  <c r="Y237" i="20" s="1"/>
  <c r="Y238" i="20" s="1"/>
  <c r="Y239" i="20" s="1"/>
  <c r="Y240" i="20" s="1"/>
  <c r="Y241" i="20" s="1"/>
  <c r="Y242" i="20" s="1"/>
  <c r="Y243" i="20" s="1"/>
  <c r="Y244" i="20" s="1"/>
  <c r="Y245" i="20" s="1"/>
  <c r="Y246" i="20" s="1"/>
  <c r="Y247" i="20" s="1"/>
  <c r="Y248" i="20" s="1"/>
  <c r="Y249" i="20" s="1"/>
  <c r="Y250" i="20" s="1"/>
  <c r="Y251" i="20" s="1"/>
  <c r="Y252" i="20" s="1"/>
  <c r="Y253" i="20" s="1"/>
  <c r="Y254" i="20" s="1"/>
  <c r="Y255" i="20" s="1"/>
  <c r="Y256" i="20" s="1"/>
  <c r="Y257" i="20" s="1"/>
  <c r="Y258" i="20" s="1"/>
  <c r="Y259" i="20" s="1"/>
  <c r="Y260" i="20" s="1"/>
  <c r="Y261" i="20" s="1"/>
  <c r="Y262" i="20" s="1"/>
  <c r="Y263" i="20" s="1"/>
  <c r="Y264" i="20" s="1"/>
  <c r="Y265" i="20" s="1"/>
  <c r="Y266" i="20" s="1"/>
  <c r="Y267" i="20" s="1"/>
  <c r="Y268" i="20" s="1"/>
  <c r="Y269" i="20" s="1"/>
  <c r="Y270" i="20" s="1"/>
  <c r="Y271" i="20" s="1"/>
  <c r="Y272" i="20" s="1"/>
  <c r="Y273" i="20" s="1"/>
  <c r="Y274" i="20" s="1"/>
  <c r="Y275" i="20" s="1"/>
  <c r="Y276" i="20" s="1"/>
  <c r="Y277" i="20" s="1"/>
  <c r="Y278" i="20" s="1"/>
  <c r="Y279" i="20" s="1"/>
  <c r="Y280" i="20" s="1"/>
  <c r="Y281" i="20" s="1"/>
  <c r="Y282" i="20" s="1"/>
  <c r="Y283" i="20" s="1"/>
  <c r="Y284" i="20" s="1"/>
  <c r="Y285" i="20" s="1"/>
  <c r="Y286" i="20" s="1"/>
  <c r="Y287" i="20" s="1"/>
  <c r="Y288" i="20" s="1"/>
  <c r="Y289" i="20" s="1"/>
  <c r="Y290" i="20" s="1"/>
  <c r="Y291" i="20" s="1"/>
  <c r="Y292" i="20" s="1"/>
  <c r="Y293" i="20" s="1"/>
  <c r="Y294" i="20" s="1"/>
  <c r="Y295" i="20" s="1"/>
  <c r="Y296" i="20" s="1"/>
  <c r="Y297" i="20" s="1"/>
  <c r="Y298" i="20" s="1"/>
  <c r="Y299" i="20" s="1"/>
  <c r="Y300" i="20" s="1"/>
  <c r="Y301" i="20" s="1"/>
  <c r="Y302" i="20" s="1"/>
  <c r="Y303" i="20" s="1"/>
  <c r="Y304" i="20" s="1"/>
  <c r="Y305" i="20" s="1"/>
  <c r="Y306" i="20" s="1"/>
  <c r="Y307" i="20" s="1"/>
  <c r="Y308" i="20" s="1"/>
  <c r="Y309" i="20" s="1"/>
  <c r="Y310" i="20" s="1"/>
  <c r="Y311" i="20" s="1"/>
  <c r="Y312" i="20" s="1"/>
  <c r="Y313" i="20" s="1"/>
  <c r="Y314" i="20" s="1"/>
  <c r="Y315" i="20" s="1"/>
  <c r="Y316" i="20" s="1"/>
  <c r="Y317" i="20" s="1"/>
  <c r="Y318" i="20" s="1"/>
  <c r="Y319" i="20" s="1"/>
  <c r="Y320" i="20" s="1"/>
  <c r="U21" i="20"/>
  <c r="M21" i="20"/>
  <c r="U20" i="20"/>
  <c r="BL72" i="12" l="1"/>
  <c r="BL69" i="12"/>
  <c r="BL70" i="12"/>
  <c r="BL64" i="12"/>
  <c r="BL71" i="12"/>
  <c r="BL63" i="12"/>
  <c r="BL66" i="12"/>
  <c r="V21" i="20"/>
  <c r="W20" i="21"/>
  <c r="Z23" i="21"/>
  <c r="Z27" i="21"/>
  <c r="Z81" i="21"/>
  <c r="Z88" i="21"/>
  <c r="Z31" i="21"/>
  <c r="U21" i="21"/>
  <c r="Z73" i="21"/>
  <c r="Z22" i="21"/>
  <c r="Z65" i="21"/>
  <c r="Z26" i="21"/>
  <c r="Z30" i="21"/>
  <c r="Z35" i="21"/>
  <c r="Z34" i="21"/>
  <c r="Z36" i="21"/>
  <c r="Z57" i="21"/>
  <c r="Z21" i="21"/>
  <c r="Z25" i="21"/>
  <c r="Z29" i="21"/>
  <c r="Z33" i="21"/>
  <c r="Z49" i="21"/>
  <c r="Z103" i="21"/>
  <c r="L20" i="21"/>
  <c r="D21" i="21" s="1"/>
  <c r="AA21" i="21"/>
  <c r="Z37" i="21"/>
  <c r="Z193" i="21"/>
  <c r="Z185" i="21"/>
  <c r="Z177" i="21"/>
  <c r="Z194" i="21"/>
  <c r="Z186" i="21"/>
  <c r="Z178" i="21"/>
  <c r="Z195" i="21"/>
  <c r="Z187" i="21"/>
  <c r="Z179" i="21"/>
  <c r="Z196" i="21"/>
  <c r="Z188" i="21"/>
  <c r="Z180" i="21"/>
  <c r="Z197" i="21"/>
  <c r="Z189" i="21"/>
  <c r="Z181" i="21"/>
  <c r="Z199" i="21"/>
  <c r="Z191" i="21"/>
  <c r="Z183" i="21"/>
  <c r="Z175" i="21"/>
  <c r="Z200" i="21"/>
  <c r="Z192" i="21"/>
  <c r="Z184" i="21"/>
  <c r="Z176" i="21"/>
  <c r="Z198" i="21"/>
  <c r="Z165" i="21"/>
  <c r="Z157" i="21"/>
  <c r="Z149" i="21"/>
  <c r="Z173" i="21"/>
  <c r="Z166" i="21"/>
  <c r="Z158" i="21"/>
  <c r="Z150" i="21"/>
  <c r="Z167" i="21"/>
  <c r="Z159" i="21"/>
  <c r="Z151" i="21"/>
  <c r="Z168" i="21"/>
  <c r="Z160" i="21"/>
  <c r="Z152" i="21"/>
  <c r="Z169" i="21"/>
  <c r="Z161" i="21"/>
  <c r="Z153" i="21"/>
  <c r="Z182" i="21"/>
  <c r="Z171" i="21"/>
  <c r="Z163" i="21"/>
  <c r="Z155" i="21"/>
  <c r="Z190" i="21"/>
  <c r="Z172" i="21"/>
  <c r="Z148" i="21"/>
  <c r="Z142" i="21"/>
  <c r="Z134" i="21"/>
  <c r="Z126" i="21"/>
  <c r="Z170" i="21"/>
  <c r="Z143" i="21"/>
  <c r="Z135" i="21"/>
  <c r="Z127" i="21"/>
  <c r="Z156" i="21"/>
  <c r="Z144" i="21"/>
  <c r="Z136" i="21"/>
  <c r="Z128" i="21"/>
  <c r="Z174" i="21"/>
  <c r="Z145" i="21"/>
  <c r="Z137" i="21"/>
  <c r="Z129" i="21"/>
  <c r="Z164" i="21"/>
  <c r="Z146" i="21"/>
  <c r="Z138" i="21"/>
  <c r="Z130" i="21"/>
  <c r="Z140" i="21"/>
  <c r="Z132" i="21"/>
  <c r="Z122" i="21"/>
  <c r="Z114" i="21"/>
  <c r="Z106" i="21"/>
  <c r="Z98" i="21"/>
  <c r="Z90" i="21"/>
  <c r="Z123" i="21"/>
  <c r="Z115" i="21"/>
  <c r="Z107" i="21"/>
  <c r="Z99" i="21"/>
  <c r="Z91" i="21"/>
  <c r="Z147" i="21"/>
  <c r="Z133" i="21"/>
  <c r="Z124" i="21"/>
  <c r="Z116" i="21"/>
  <c r="Z108" i="21"/>
  <c r="Z100" i="21"/>
  <c r="Z92" i="21"/>
  <c r="Z84" i="21"/>
  <c r="Z117" i="21"/>
  <c r="Z109" i="21"/>
  <c r="Z101" i="21"/>
  <c r="Z93" i="21"/>
  <c r="Z162" i="21"/>
  <c r="Z141" i="21"/>
  <c r="Z118" i="21"/>
  <c r="Z110" i="21"/>
  <c r="Z120" i="21"/>
  <c r="Z112" i="21"/>
  <c r="Z104" i="21"/>
  <c r="Z96" i="21"/>
  <c r="Z154" i="21"/>
  <c r="Z139" i="21"/>
  <c r="Z121" i="21"/>
  <c r="Z113" i="21"/>
  <c r="Z105" i="21"/>
  <c r="Z97" i="21"/>
  <c r="Z94" i="21"/>
  <c r="Z86" i="21"/>
  <c r="Z76" i="21"/>
  <c r="Z68" i="21"/>
  <c r="Z60" i="21"/>
  <c r="Z52" i="21"/>
  <c r="Z44" i="21"/>
  <c r="Z131" i="21"/>
  <c r="Z77" i="21"/>
  <c r="Z69" i="21"/>
  <c r="Z61" i="21"/>
  <c r="Z53" i="21"/>
  <c r="Z45" i="21"/>
  <c r="Z102" i="21"/>
  <c r="Z87" i="21"/>
  <c r="Z78" i="21"/>
  <c r="Z70" i="21"/>
  <c r="Z62" i="21"/>
  <c r="Z54" i="21"/>
  <c r="Z46" i="21"/>
  <c r="Z38" i="21"/>
  <c r="Z95" i="21"/>
  <c r="Z89" i="21"/>
  <c r="Z79" i="21"/>
  <c r="Z71" i="21"/>
  <c r="Z63" i="21"/>
  <c r="Z55" i="21"/>
  <c r="Z47" i="21"/>
  <c r="Z39" i="21"/>
  <c r="Z80" i="21"/>
  <c r="Z72" i="21"/>
  <c r="Z64" i="21"/>
  <c r="Z56" i="21"/>
  <c r="Z48" i="21"/>
  <c r="Z40" i="21"/>
  <c r="Z125" i="21"/>
  <c r="Z111" i="21"/>
  <c r="Z82" i="21"/>
  <c r="Z74" i="21"/>
  <c r="Z66" i="21"/>
  <c r="Z58" i="21"/>
  <c r="Z50" i="21"/>
  <c r="Z42" i="21"/>
  <c r="Z119" i="21"/>
  <c r="Z85" i="21"/>
  <c r="Z83" i="21"/>
  <c r="Z75" i="21"/>
  <c r="Z67" i="21"/>
  <c r="Z59" i="21"/>
  <c r="Z51" i="21"/>
  <c r="Z43" i="21"/>
  <c r="Z24" i="21"/>
  <c r="Z28" i="21"/>
  <c r="Z32" i="21"/>
  <c r="Q10" i="20"/>
  <c r="J13" i="20"/>
  <c r="K19" i="20"/>
  <c r="R43" i="18" l="1"/>
  <c r="C92" i="5" l="1"/>
  <c r="C91" i="5"/>
  <c r="F92" i="5" s="1"/>
  <c r="C90" i="5"/>
  <c r="C89" i="5"/>
  <c r="F90" i="5" s="1"/>
  <c r="C88" i="5"/>
  <c r="F89" i="5" s="1"/>
  <c r="C87" i="5"/>
  <c r="F88" i="5" s="1"/>
  <c r="C86" i="5"/>
  <c r="F87" i="5" s="1"/>
  <c r="C85" i="5"/>
  <c r="F86" i="5" s="1"/>
  <c r="C84" i="5"/>
  <c r="F85" i="5" s="1"/>
  <c r="C83" i="5"/>
  <c r="F84" i="5" s="1"/>
  <c r="C82" i="5"/>
  <c r="F83" i="5" s="1"/>
  <c r="C81" i="5"/>
  <c r="F82" i="5" s="1"/>
  <c r="C80" i="5"/>
  <c r="F81" i="5" s="1"/>
  <c r="C79" i="5"/>
  <c r="F80" i="5" s="1"/>
  <c r="C78" i="5"/>
  <c r="F79" i="5" s="1"/>
  <c r="C77" i="5"/>
  <c r="F78" i="5" s="1"/>
  <c r="C76" i="5"/>
  <c r="F77" i="5" s="1"/>
  <c r="C75" i="5"/>
  <c r="F76" i="5" s="1"/>
  <c r="C74" i="5"/>
  <c r="F75" i="5" s="1"/>
  <c r="C73" i="5"/>
  <c r="F74" i="5" s="1"/>
  <c r="C72" i="5"/>
  <c r="F73" i="5" s="1"/>
  <c r="C71" i="5"/>
  <c r="F72" i="5" s="1"/>
  <c r="C70" i="5"/>
  <c r="F71" i="5" s="1"/>
  <c r="C69" i="5"/>
  <c r="C68" i="5"/>
  <c r="D92" i="5"/>
  <c r="D91" i="5"/>
  <c r="D90" i="5"/>
  <c r="D89" i="5"/>
  <c r="D88" i="5"/>
  <c r="D87" i="5"/>
  <c r="D86" i="5"/>
  <c r="D85" i="5"/>
  <c r="D84" i="5"/>
  <c r="D83" i="5"/>
  <c r="D82" i="5"/>
  <c r="D81" i="5"/>
  <c r="D80" i="5"/>
  <c r="D79" i="5"/>
  <c r="D78" i="5"/>
  <c r="D77" i="5"/>
  <c r="D76" i="5"/>
  <c r="D75" i="5"/>
  <c r="D74" i="5"/>
  <c r="D73" i="5"/>
  <c r="D72" i="5"/>
  <c r="D71" i="5"/>
  <c r="D70" i="5"/>
  <c r="D69" i="5"/>
  <c r="D68" i="5"/>
  <c r="F91" i="5"/>
  <c r="B2" i="19"/>
  <c r="N64" i="18" s="1"/>
  <c r="P365" i="18"/>
  <c r="AP64" i="18"/>
  <c r="H62" i="18"/>
  <c r="AL45" i="18"/>
  <c r="CL44" i="18" a="1"/>
  <c r="CL44" i="18" s="1"/>
  <c r="CL43" i="18" a="1"/>
  <c r="CL43" i="18" s="1"/>
  <c r="Y42" i="18"/>
  <c r="V42" i="18"/>
  <c r="S42" i="18"/>
  <c r="R42" i="18"/>
  <c r="C36" i="18"/>
  <c r="C35" i="18"/>
  <c r="AL33" i="18"/>
  <c r="AL35" i="18" s="1"/>
  <c r="C34" i="18"/>
  <c r="C33" i="18"/>
  <c r="N31" i="18"/>
  <c r="B32" i="18"/>
  <c r="N30" i="18"/>
  <c r="B31" i="18"/>
  <c r="C30" i="18"/>
  <c r="N28" i="18"/>
  <c r="C29" i="18"/>
  <c r="AQ27" i="18"/>
  <c r="N27" i="18"/>
  <c r="S25" i="18"/>
  <c r="B26" i="18"/>
  <c r="AL24" i="18"/>
  <c r="BB23" i="18"/>
  <c r="BB22" i="18"/>
  <c r="BB21" i="18"/>
  <c r="C21" i="18"/>
  <c r="BB20" i="18"/>
  <c r="BB19" i="18"/>
  <c r="BB18" i="18"/>
  <c r="BB17" i="18"/>
  <c r="N16" i="18"/>
  <c r="Q10" i="18"/>
  <c r="R9" i="18"/>
  <c r="AS17" i="18" l="1"/>
  <c r="AS27" i="18"/>
  <c r="F70" i="5"/>
  <c r="AQ35" i="18"/>
  <c r="AQ36" i="18"/>
  <c r="AQ38" i="18"/>
  <c r="S19" i="18"/>
  <c r="BZ49" i="18"/>
  <c r="BL48" i="18"/>
  <c r="BM50" i="18"/>
  <c r="CD49" i="18"/>
  <c r="D26" i="5"/>
  <c r="D25" i="5"/>
  <c r="D24" i="5"/>
  <c r="D23" i="5"/>
  <c r="D22" i="5"/>
  <c r="D21" i="5"/>
  <c r="D20" i="5"/>
  <c r="D19" i="5"/>
  <c r="D18" i="5"/>
  <c r="D17" i="5"/>
  <c r="D16" i="5"/>
  <c r="D15" i="5"/>
  <c r="D14" i="5"/>
  <c r="D13" i="5"/>
  <c r="D12" i="5"/>
  <c r="D11" i="5"/>
  <c r="D10" i="5"/>
  <c r="D9" i="5"/>
  <c r="D8" i="5"/>
  <c r="D7" i="5"/>
  <c r="D6" i="5"/>
  <c r="D5" i="5"/>
  <c r="D4" i="5"/>
  <c r="D3" i="5"/>
  <c r="D2" i="5"/>
  <c r="AL38" i="18" l="1"/>
  <c r="AQ40" i="18"/>
  <c r="AQ19" i="18"/>
  <c r="AS28" i="18"/>
  <c r="AS29" i="18" s="1"/>
  <c r="AQ28" i="18" s="1"/>
  <c r="N10" i="20"/>
  <c r="L10" i="20"/>
  <c r="J10" i="20"/>
  <c r="Q15" i="20"/>
  <c r="AQ33" i="18"/>
  <c r="AQ32" i="18"/>
  <c r="J16" i="20"/>
  <c r="N12" i="20"/>
  <c r="J15" i="20"/>
  <c r="AQ31" i="18"/>
  <c r="E68" i="5" s="1"/>
  <c r="Q21" i="20" s="1"/>
  <c r="L12" i="20"/>
  <c r="J12" i="20"/>
  <c r="N21" i="20" s="1"/>
  <c r="CX7" i="12"/>
  <c r="V15" i="12"/>
  <c r="S17" i="2"/>
  <c r="O57" i="12"/>
  <c r="E15" i="15"/>
  <c r="Y57" i="12"/>
  <c r="V57" i="12"/>
  <c r="S57" i="12"/>
  <c r="R57" i="12"/>
  <c r="N57" i="12"/>
  <c r="E22" i="10"/>
  <c r="E21" i="10"/>
  <c r="Y42" i="2"/>
  <c r="V42" i="2"/>
  <c r="S42" i="2"/>
  <c r="R42" i="2"/>
  <c r="O42" i="2"/>
  <c r="N42" i="2"/>
  <c r="X6" i="12"/>
  <c r="Q10" i="2"/>
  <c r="I31" i="12"/>
  <c r="BA7" i="12"/>
  <c r="K58" i="5"/>
  <c r="D58" i="5" s="1"/>
  <c r="K57" i="5"/>
  <c r="D57" i="5" s="1"/>
  <c r="K56" i="5"/>
  <c r="D56" i="5" s="1"/>
  <c r="K55" i="5"/>
  <c r="D55" i="5" s="1"/>
  <c r="K54" i="5"/>
  <c r="D54" i="5" s="1"/>
  <c r="K53" i="5"/>
  <c r="D53" i="5" s="1"/>
  <c r="K52" i="5"/>
  <c r="D52" i="5" s="1"/>
  <c r="K51" i="5"/>
  <c r="D51" i="5" s="1"/>
  <c r="K50" i="5"/>
  <c r="D50" i="5" s="1"/>
  <c r="K49" i="5"/>
  <c r="D49" i="5" s="1"/>
  <c r="K48" i="5"/>
  <c r="D48" i="5" s="1"/>
  <c r="K47" i="5"/>
  <c r="D47" i="5" s="1"/>
  <c r="K46" i="5"/>
  <c r="D46" i="5" s="1"/>
  <c r="K45" i="5"/>
  <c r="D45" i="5" s="1"/>
  <c r="K44" i="5"/>
  <c r="D44" i="5" s="1"/>
  <c r="K43" i="5"/>
  <c r="D43" i="5" s="1"/>
  <c r="K42" i="5"/>
  <c r="D42" i="5" s="1"/>
  <c r="K41" i="5"/>
  <c r="D41" i="5" s="1"/>
  <c r="K40" i="5"/>
  <c r="D40" i="5" s="1"/>
  <c r="K39" i="5"/>
  <c r="D39" i="5" s="1"/>
  <c r="K38" i="5"/>
  <c r="D38" i="5" s="1"/>
  <c r="K37" i="5"/>
  <c r="D37" i="5" s="1"/>
  <c r="R32" i="10" l="1"/>
  <c r="E33" i="10"/>
  <c r="Q33" i="10" s="1"/>
  <c r="Q32" i="10"/>
  <c r="I39" i="12"/>
  <c r="I40" i="12" s="1"/>
  <c r="CN8" i="12"/>
  <c r="CM8" i="12"/>
  <c r="CL8" i="12"/>
  <c r="L40" i="12" s="1"/>
  <c r="L39" i="12"/>
  <c r="AL23" i="18"/>
  <c r="AQ20" i="18"/>
  <c r="AQ18" i="18"/>
  <c r="H69" i="5"/>
  <c r="J69" i="5" s="1"/>
  <c r="AQ29" i="18"/>
  <c r="AL21" i="18" s="1"/>
  <c r="AL44" i="18" s="1"/>
  <c r="AL43" i="18" s="1"/>
  <c r="AL42" i="18" s="1"/>
  <c r="U18" i="18" s="1"/>
  <c r="I68" i="5"/>
  <c r="B68" i="5" s="1"/>
  <c r="T64" i="18" s="1"/>
  <c r="E69" i="5"/>
  <c r="E70" i="5" s="1"/>
  <c r="E71" i="5" s="1"/>
  <c r="E72" i="5" s="1"/>
  <c r="E73" i="5" s="1"/>
  <c r="E74" i="5" s="1"/>
  <c r="E75" i="5" s="1"/>
  <c r="E76" i="5" s="1"/>
  <c r="E77" i="5" s="1"/>
  <c r="E78" i="5" s="1"/>
  <c r="E79" i="5" s="1"/>
  <c r="E80" i="5" s="1"/>
  <c r="E81" i="5" s="1"/>
  <c r="E82" i="5" s="1"/>
  <c r="E83" i="5" s="1"/>
  <c r="E84" i="5" s="1"/>
  <c r="E85" i="5" s="1"/>
  <c r="E86" i="5" s="1"/>
  <c r="E87" i="5" s="1"/>
  <c r="E88" i="5" s="1"/>
  <c r="E89" i="5" s="1"/>
  <c r="E90" i="5" s="1"/>
  <c r="E91" i="5" s="1"/>
  <c r="E92" i="5" s="1"/>
  <c r="O21" i="20"/>
  <c r="R3" i="20"/>
  <c r="P3" i="21"/>
  <c r="C39" i="5"/>
  <c r="C47" i="5"/>
  <c r="C55" i="5"/>
  <c r="C40" i="5"/>
  <c r="C48" i="5"/>
  <c r="C56" i="5"/>
  <c r="C41" i="5"/>
  <c r="C49" i="5"/>
  <c r="C57" i="5"/>
  <c r="C42" i="5"/>
  <c r="C50" i="5"/>
  <c r="C58" i="5"/>
  <c r="C43" i="5"/>
  <c r="C51" i="5"/>
  <c r="C44" i="5"/>
  <c r="C52" i="5"/>
  <c r="C37" i="5"/>
  <c r="C45" i="5"/>
  <c r="C53" i="5"/>
  <c r="C38" i="5"/>
  <c r="C46" i="5"/>
  <c r="C54" i="5"/>
  <c r="AQ17" i="18" l="1"/>
  <c r="AQ21" i="18"/>
  <c r="AQ22" i="18"/>
  <c r="I69" i="5"/>
  <c r="B69" i="5" s="1"/>
  <c r="C26" i="5"/>
  <c r="C25" i="5"/>
  <c r="C24" i="5"/>
  <c r="C23" i="5"/>
  <c r="C22" i="5"/>
  <c r="C21" i="5"/>
  <c r="C20" i="5"/>
  <c r="C19" i="5"/>
  <c r="C18" i="5"/>
  <c r="C17" i="5"/>
  <c r="C16" i="5"/>
  <c r="C15" i="5"/>
  <c r="C14" i="5"/>
  <c r="C13" i="5"/>
  <c r="C12" i="5"/>
  <c r="C11" i="5"/>
  <c r="C10" i="5"/>
  <c r="C9" i="5"/>
  <c r="C8" i="5"/>
  <c r="C7" i="5"/>
  <c r="C6" i="5"/>
  <c r="C5" i="5"/>
  <c r="C4" i="5"/>
  <c r="C3" i="5"/>
  <c r="C2" i="5"/>
  <c r="U39" i="12"/>
  <c r="G70" i="5" l="1"/>
  <c r="H70" i="5" s="1"/>
  <c r="J70" i="5" s="1"/>
  <c r="AN61" i="12"/>
  <c r="AY6" i="12"/>
  <c r="I70" i="5" l="1"/>
  <c r="G71" i="5" s="1"/>
  <c r="H71" i="5" s="1"/>
  <c r="I71" i="5" s="1"/>
  <c r="R9" i="2"/>
  <c r="B70" i="5" l="1"/>
  <c r="J71" i="5"/>
  <c r="G72" i="5"/>
  <c r="B71" i="5"/>
  <c r="E16" i="9"/>
  <c r="C16" i="9"/>
  <c r="S25" i="2"/>
  <c r="H72" i="5" l="1"/>
  <c r="I72" i="5" s="1"/>
  <c r="E14" i="9"/>
  <c r="G73" i="5" l="1"/>
  <c r="B72" i="5"/>
  <c r="J72" i="5"/>
  <c r="C36" i="2"/>
  <c r="C35" i="2"/>
  <c r="C34" i="2"/>
  <c r="C33" i="2"/>
  <c r="B32" i="2"/>
  <c r="B31" i="2"/>
  <c r="C30" i="2"/>
  <c r="C29" i="2"/>
  <c r="B26" i="2"/>
  <c r="C22" i="2"/>
  <c r="C21" i="2"/>
  <c r="H73" i="5" l="1"/>
  <c r="I73" i="5" s="1"/>
  <c r="G74" i="5" s="1"/>
  <c r="H62" i="2"/>
  <c r="B73" i="5" l="1"/>
  <c r="J73" i="5" l="1"/>
  <c r="H74" i="5" s="1"/>
  <c r="I74" i="5" s="1"/>
  <c r="G75" i="5" l="1"/>
  <c r="B74" i="5"/>
  <c r="AL45" i="2"/>
  <c r="AL33" i="2"/>
  <c r="AL35" i="2" s="1"/>
  <c r="AQ27" i="2"/>
  <c r="AL24" i="2"/>
  <c r="F6" i="5" l="1"/>
  <c r="J74" i="5" l="1"/>
  <c r="H75" i="5" s="1"/>
  <c r="I75" i="5" s="1"/>
  <c r="F58" i="5"/>
  <c r="G76" i="5" l="1"/>
  <c r="B75" i="5"/>
  <c r="F26" i="5"/>
  <c r="F25" i="5"/>
  <c r="F24" i="5"/>
  <c r="F23" i="5"/>
  <c r="F22" i="5"/>
  <c r="F21" i="5"/>
  <c r="F20" i="5"/>
  <c r="F19" i="5"/>
  <c r="F18" i="5"/>
  <c r="F17" i="5"/>
  <c r="F16" i="5"/>
  <c r="F15" i="5"/>
  <c r="F14" i="5"/>
  <c r="F13" i="5"/>
  <c r="F12" i="5"/>
  <c r="F11" i="5"/>
  <c r="F10" i="5"/>
  <c r="F9" i="5"/>
  <c r="F8" i="5"/>
  <c r="F7" i="5"/>
  <c r="F5" i="5"/>
  <c r="F4" i="5" l="1"/>
  <c r="N28" i="2"/>
  <c r="J75" i="5" l="1"/>
  <c r="H76" i="5" s="1"/>
  <c r="I76" i="5" s="1"/>
  <c r="N30" i="2"/>
  <c r="G77" i="5" l="1"/>
  <c r="B76" i="5"/>
  <c r="N31" i="2"/>
  <c r="G47" i="12" l="1"/>
  <c r="W37" i="12"/>
  <c r="G41" i="12"/>
  <c r="I41" i="12"/>
  <c r="BM61" i="12" s="1"/>
  <c r="C22" i="12"/>
  <c r="C19" i="12"/>
  <c r="C16" i="12"/>
  <c r="R3" i="9"/>
  <c r="P3" i="15"/>
  <c r="J4" i="10"/>
  <c r="O3" i="14"/>
  <c r="M21" i="12"/>
  <c r="M29" i="12"/>
  <c r="M202" i="15"/>
  <c r="Y22" i="15"/>
  <c r="Y23" i="15" s="1"/>
  <c r="Y24" i="15" s="1"/>
  <c r="Y25" i="15" s="1"/>
  <c r="Y26" i="15" s="1"/>
  <c r="Y27" i="15" s="1"/>
  <c r="Y28" i="15" s="1"/>
  <c r="Y29" i="15" s="1"/>
  <c r="Y30" i="15" s="1"/>
  <c r="Y31" i="15" s="1"/>
  <c r="Y32" i="15" s="1"/>
  <c r="Y33" i="15" s="1"/>
  <c r="Y34" i="15" s="1"/>
  <c r="Y35" i="15" s="1"/>
  <c r="Y36" i="15" s="1"/>
  <c r="Y37" i="15" s="1"/>
  <c r="Y38" i="15" s="1"/>
  <c r="Y39" i="15" s="1"/>
  <c r="Y40" i="15" s="1"/>
  <c r="Y41" i="15" s="1"/>
  <c r="Y42" i="15" s="1"/>
  <c r="Y43" i="15" s="1"/>
  <c r="Y44" i="15" s="1"/>
  <c r="Y45" i="15" s="1"/>
  <c r="Y46" i="15" s="1"/>
  <c r="Y47" i="15" s="1"/>
  <c r="Y48" i="15" s="1"/>
  <c r="Y49" i="15" s="1"/>
  <c r="Y50" i="15" s="1"/>
  <c r="Y51" i="15" s="1"/>
  <c r="Y52" i="15" s="1"/>
  <c r="Y53" i="15" s="1"/>
  <c r="Y54" i="15" s="1"/>
  <c r="Y55" i="15" s="1"/>
  <c r="Y56" i="15" s="1"/>
  <c r="Y57" i="15" s="1"/>
  <c r="Y58" i="15" s="1"/>
  <c r="Y59" i="15" s="1"/>
  <c r="Y60" i="15" s="1"/>
  <c r="Y61" i="15" s="1"/>
  <c r="Y62" i="15" s="1"/>
  <c r="Y63" i="15" s="1"/>
  <c r="Y64" i="15" s="1"/>
  <c r="Y65" i="15" s="1"/>
  <c r="Y66" i="15" s="1"/>
  <c r="Y67" i="15" s="1"/>
  <c r="Y68" i="15" s="1"/>
  <c r="Y69" i="15" s="1"/>
  <c r="Y70" i="15" s="1"/>
  <c r="Y71" i="15" s="1"/>
  <c r="Y72" i="15" s="1"/>
  <c r="Y73" i="15" s="1"/>
  <c r="Y74" i="15" s="1"/>
  <c r="Y75" i="15" s="1"/>
  <c r="Y76" i="15" s="1"/>
  <c r="Y77" i="15" s="1"/>
  <c r="Y78" i="15" s="1"/>
  <c r="Y79" i="15" s="1"/>
  <c r="Y80" i="15" s="1"/>
  <c r="Y81" i="15" s="1"/>
  <c r="Y82" i="15" s="1"/>
  <c r="Y83" i="15" s="1"/>
  <c r="Y84" i="15" s="1"/>
  <c r="Y85" i="15" s="1"/>
  <c r="Y86" i="15" s="1"/>
  <c r="Y87" i="15" s="1"/>
  <c r="Y88" i="15" s="1"/>
  <c r="Y89" i="15" s="1"/>
  <c r="Y90" i="15" s="1"/>
  <c r="Y91" i="15" s="1"/>
  <c r="Y92" i="15" s="1"/>
  <c r="Y93" i="15" s="1"/>
  <c r="Y94" i="15" s="1"/>
  <c r="Y95" i="15" s="1"/>
  <c r="Y96" i="15" s="1"/>
  <c r="Y97" i="15" s="1"/>
  <c r="Y98" i="15" s="1"/>
  <c r="Y99" i="15" s="1"/>
  <c r="Y100" i="15" s="1"/>
  <c r="Y101" i="15" s="1"/>
  <c r="Y102" i="15" s="1"/>
  <c r="Y103" i="15" s="1"/>
  <c r="Y104" i="15" s="1"/>
  <c r="Y105" i="15" s="1"/>
  <c r="Y106" i="15" s="1"/>
  <c r="Y107" i="15" s="1"/>
  <c r="Y108" i="15" s="1"/>
  <c r="Y109" i="15" s="1"/>
  <c r="Y110" i="15" s="1"/>
  <c r="Y111" i="15" s="1"/>
  <c r="Y112" i="15" s="1"/>
  <c r="Y113" i="15" s="1"/>
  <c r="Y114" i="15" s="1"/>
  <c r="Y115" i="15" s="1"/>
  <c r="Y116" i="15" s="1"/>
  <c r="Y117" i="15" s="1"/>
  <c r="Y118" i="15" s="1"/>
  <c r="Y119" i="15" s="1"/>
  <c r="Y120" i="15" s="1"/>
  <c r="Y121" i="15" s="1"/>
  <c r="Y122" i="15" s="1"/>
  <c r="Y123" i="15" s="1"/>
  <c r="Y124" i="15" s="1"/>
  <c r="Y125" i="15" s="1"/>
  <c r="Y126" i="15" s="1"/>
  <c r="Y127" i="15" s="1"/>
  <c r="Y128" i="15" s="1"/>
  <c r="Y129" i="15" s="1"/>
  <c r="Y130" i="15" s="1"/>
  <c r="Y131" i="15" s="1"/>
  <c r="Y132" i="15" s="1"/>
  <c r="Y133" i="15" s="1"/>
  <c r="Y134" i="15" s="1"/>
  <c r="Y135" i="15" s="1"/>
  <c r="Y136" i="15" s="1"/>
  <c r="Y137" i="15" s="1"/>
  <c r="Y138" i="15" s="1"/>
  <c r="Y139" i="15" s="1"/>
  <c r="Y140" i="15" s="1"/>
  <c r="Y141" i="15" s="1"/>
  <c r="Y142" i="15" s="1"/>
  <c r="Y143" i="15" s="1"/>
  <c r="Y144" i="15" s="1"/>
  <c r="Y145" i="15" s="1"/>
  <c r="Y146" i="15" s="1"/>
  <c r="Y147" i="15" s="1"/>
  <c r="Y148" i="15" s="1"/>
  <c r="Y149" i="15" s="1"/>
  <c r="Y150" i="15" s="1"/>
  <c r="Y151" i="15" s="1"/>
  <c r="Y152" i="15" s="1"/>
  <c r="Y153" i="15" s="1"/>
  <c r="Y154" i="15" s="1"/>
  <c r="Y155" i="15" s="1"/>
  <c r="Y156" i="15" s="1"/>
  <c r="Y157" i="15" s="1"/>
  <c r="Y158" i="15" s="1"/>
  <c r="Y159" i="15" s="1"/>
  <c r="Y160" i="15" s="1"/>
  <c r="Y161" i="15" s="1"/>
  <c r="Y162" i="15" s="1"/>
  <c r="Y163" i="15" s="1"/>
  <c r="Y164" i="15" s="1"/>
  <c r="Y165" i="15" s="1"/>
  <c r="Y166" i="15" s="1"/>
  <c r="Y167" i="15" s="1"/>
  <c r="Y168" i="15" s="1"/>
  <c r="Y169" i="15" s="1"/>
  <c r="Y170" i="15" s="1"/>
  <c r="Y171" i="15" s="1"/>
  <c r="Y172" i="15" s="1"/>
  <c r="Y173" i="15" s="1"/>
  <c r="Y174" i="15" s="1"/>
  <c r="Y175" i="15" s="1"/>
  <c r="Y176" i="15" s="1"/>
  <c r="Y177" i="15" s="1"/>
  <c r="Y178" i="15" s="1"/>
  <c r="Y179" i="15" s="1"/>
  <c r="Y180" i="15" s="1"/>
  <c r="Y181" i="15" s="1"/>
  <c r="Y182" i="15" s="1"/>
  <c r="Y183" i="15" s="1"/>
  <c r="Y184" i="15" s="1"/>
  <c r="Y185" i="15" s="1"/>
  <c r="Y186" i="15" s="1"/>
  <c r="Y187" i="15" s="1"/>
  <c r="Y188" i="15" s="1"/>
  <c r="Y189" i="15" s="1"/>
  <c r="Y190" i="15" s="1"/>
  <c r="Y191" i="15" s="1"/>
  <c r="Y192" i="15" s="1"/>
  <c r="Y193" i="15" s="1"/>
  <c r="Y194" i="15" s="1"/>
  <c r="Y195" i="15" s="1"/>
  <c r="Y196" i="15" s="1"/>
  <c r="Y197" i="15" s="1"/>
  <c r="Y198" i="15" s="1"/>
  <c r="Y199" i="15" s="1"/>
  <c r="Y200" i="15" s="1"/>
  <c r="U21" i="15"/>
  <c r="T21" i="15"/>
  <c r="N21" i="15"/>
  <c r="AA20" i="15"/>
  <c r="Z121" i="15" s="1"/>
  <c r="X20" i="15"/>
  <c r="W20" i="15"/>
  <c r="T20" i="15"/>
  <c r="L20" i="15"/>
  <c r="D21" i="15" s="1"/>
  <c r="J19" i="15"/>
  <c r="M17" i="15"/>
  <c r="AC33" i="15" s="1"/>
  <c r="AC34" i="15" s="1"/>
  <c r="AC35" i="15" s="1"/>
  <c r="AC36" i="15" s="1"/>
  <c r="AC37" i="15" s="1"/>
  <c r="AC38" i="15" s="1"/>
  <c r="AC39" i="15" s="1"/>
  <c r="AC40" i="15" s="1"/>
  <c r="AC41" i="15" s="1"/>
  <c r="AC42" i="15" s="1"/>
  <c r="AC43" i="15" s="1"/>
  <c r="AC44" i="15" s="1"/>
  <c r="AC45" i="15" s="1"/>
  <c r="AC46" i="15" s="1"/>
  <c r="AC47" i="15" s="1"/>
  <c r="AC48" i="15" s="1"/>
  <c r="AC49" i="15" s="1"/>
  <c r="AC50" i="15" s="1"/>
  <c r="AC51" i="15" s="1"/>
  <c r="AC52" i="15" s="1"/>
  <c r="AC53" i="15" s="1"/>
  <c r="AC54" i="15" s="1"/>
  <c r="AC55" i="15" s="1"/>
  <c r="AC56" i="15" s="1"/>
  <c r="AC57" i="15" s="1"/>
  <c r="AC58" i="15" s="1"/>
  <c r="AC59" i="15" s="1"/>
  <c r="AC60" i="15" s="1"/>
  <c r="AC61" i="15" s="1"/>
  <c r="AC62" i="15" s="1"/>
  <c r="AC63" i="15" s="1"/>
  <c r="AC64" i="15" s="1"/>
  <c r="AC65" i="15" s="1"/>
  <c r="AC66" i="15" s="1"/>
  <c r="AC67" i="15" s="1"/>
  <c r="AC68" i="15" s="1"/>
  <c r="AC69" i="15" s="1"/>
  <c r="AC70" i="15" s="1"/>
  <c r="AC71" i="15" s="1"/>
  <c r="AC72" i="15" s="1"/>
  <c r="AC73" i="15" s="1"/>
  <c r="AC74" i="15" s="1"/>
  <c r="AC75" i="15" s="1"/>
  <c r="AC76" i="15" s="1"/>
  <c r="AC77" i="15" s="1"/>
  <c r="AC78" i="15" s="1"/>
  <c r="AC79" i="15" s="1"/>
  <c r="AC80" i="15" s="1"/>
  <c r="AC81" i="15" s="1"/>
  <c r="AC82" i="15" s="1"/>
  <c r="AC83" i="15" s="1"/>
  <c r="AC84" i="15" s="1"/>
  <c r="AC85" i="15" s="1"/>
  <c r="AC86" i="15" s="1"/>
  <c r="AC87" i="15" s="1"/>
  <c r="AC88" i="15" s="1"/>
  <c r="AC89" i="15" s="1"/>
  <c r="AC90" i="15" s="1"/>
  <c r="AC91" i="15" s="1"/>
  <c r="AC92" i="15" s="1"/>
  <c r="AC93" i="15" s="1"/>
  <c r="AC94" i="15" s="1"/>
  <c r="AC95" i="15" s="1"/>
  <c r="AC96" i="15" s="1"/>
  <c r="AC97" i="15" s="1"/>
  <c r="AC98" i="15" s="1"/>
  <c r="AC99" i="15" s="1"/>
  <c r="AC100" i="15" s="1"/>
  <c r="AC101" i="15" s="1"/>
  <c r="AC102" i="15" s="1"/>
  <c r="AC103" i="15" s="1"/>
  <c r="AC104" i="15" s="1"/>
  <c r="AC105" i="15" s="1"/>
  <c r="AC106" i="15" s="1"/>
  <c r="AC107" i="15" s="1"/>
  <c r="AC108" i="15" s="1"/>
  <c r="AC109" i="15" s="1"/>
  <c r="AC110" i="15" s="1"/>
  <c r="AC111" i="15" s="1"/>
  <c r="AC112" i="15" s="1"/>
  <c r="AC113" i="15" s="1"/>
  <c r="AC114" i="15" s="1"/>
  <c r="AC115" i="15" s="1"/>
  <c r="AC116" i="15" s="1"/>
  <c r="AC117" i="15" s="1"/>
  <c r="AC118" i="15" s="1"/>
  <c r="AC119" i="15" s="1"/>
  <c r="AC120" i="15" s="1"/>
  <c r="AC121" i="15" s="1"/>
  <c r="AC122" i="15" s="1"/>
  <c r="AC123" i="15" s="1"/>
  <c r="AC124" i="15" s="1"/>
  <c r="AC125" i="15" s="1"/>
  <c r="AC126" i="15" s="1"/>
  <c r="AC127" i="15" s="1"/>
  <c r="AC128" i="15" s="1"/>
  <c r="AC129" i="15" s="1"/>
  <c r="AC130" i="15" s="1"/>
  <c r="AC131" i="15" s="1"/>
  <c r="AC132" i="15" s="1"/>
  <c r="AC133" i="15" s="1"/>
  <c r="AC134" i="15" s="1"/>
  <c r="AC135" i="15" s="1"/>
  <c r="AC136" i="15" s="1"/>
  <c r="AC137" i="15" s="1"/>
  <c r="AC138" i="15" s="1"/>
  <c r="AC139" i="15" s="1"/>
  <c r="AC140" i="15" s="1"/>
  <c r="AC141" i="15" s="1"/>
  <c r="AC142" i="15" s="1"/>
  <c r="AC143" i="15" s="1"/>
  <c r="AC144" i="15" s="1"/>
  <c r="AC145" i="15" s="1"/>
  <c r="AC146" i="15" s="1"/>
  <c r="AC147" i="15" s="1"/>
  <c r="AC148" i="15" s="1"/>
  <c r="AC149" i="15" s="1"/>
  <c r="AC150" i="15" s="1"/>
  <c r="AC151" i="15" s="1"/>
  <c r="AC152" i="15" s="1"/>
  <c r="AC153" i="15" s="1"/>
  <c r="AC154" i="15" s="1"/>
  <c r="AC155" i="15" s="1"/>
  <c r="AC156" i="15" s="1"/>
  <c r="AC157" i="15" s="1"/>
  <c r="AC158" i="15" s="1"/>
  <c r="AC159" i="15" s="1"/>
  <c r="AC160" i="15" s="1"/>
  <c r="AC161" i="15" s="1"/>
  <c r="AC162" i="15" s="1"/>
  <c r="AC163" i="15" s="1"/>
  <c r="AC164" i="15" s="1"/>
  <c r="AC165" i="15" s="1"/>
  <c r="AC166" i="15" s="1"/>
  <c r="AC167" i="15" s="1"/>
  <c r="AC168" i="15" s="1"/>
  <c r="AC169" i="15" s="1"/>
  <c r="AC170" i="15" s="1"/>
  <c r="AC171" i="15" s="1"/>
  <c r="AC172" i="15" s="1"/>
  <c r="AC173" i="15" s="1"/>
  <c r="AC174" i="15" s="1"/>
  <c r="AC175" i="15" s="1"/>
  <c r="AC176" i="15" s="1"/>
  <c r="AC177" i="15" s="1"/>
  <c r="AC178" i="15" s="1"/>
  <c r="AC179" i="15" s="1"/>
  <c r="AC180" i="15" s="1"/>
  <c r="AC181" i="15" s="1"/>
  <c r="AC182" i="15" s="1"/>
  <c r="AC183" i="15" s="1"/>
  <c r="AC184" i="15" s="1"/>
  <c r="AC185" i="15" s="1"/>
  <c r="AC186" i="15" s="1"/>
  <c r="AC187" i="15" s="1"/>
  <c r="AC188" i="15" s="1"/>
  <c r="AC189" i="15" s="1"/>
  <c r="AC190" i="15" s="1"/>
  <c r="AC191" i="15" s="1"/>
  <c r="AC192" i="15" s="1"/>
  <c r="AC193" i="15" s="1"/>
  <c r="AC194" i="15" s="1"/>
  <c r="AC195" i="15" s="1"/>
  <c r="AC196" i="15" s="1"/>
  <c r="AC197" i="15" s="1"/>
  <c r="AC198" i="15" s="1"/>
  <c r="AC199" i="15" s="1"/>
  <c r="AC200" i="15" s="1"/>
  <c r="C17" i="15"/>
  <c r="I12" i="15"/>
  <c r="E12" i="15"/>
  <c r="C12" i="15"/>
  <c r="E11" i="15"/>
  <c r="E10" i="15"/>
  <c r="E9" i="15"/>
  <c r="X4" i="15"/>
  <c r="CC9" i="12"/>
  <c r="S47" i="12"/>
  <c r="P47" i="12"/>
  <c r="M47" i="12"/>
  <c r="J47" i="12"/>
  <c r="J76" i="5" l="1"/>
  <c r="H77" i="5" s="1"/>
  <c r="I77" i="5" s="1"/>
  <c r="I47" i="12"/>
  <c r="I44" i="12"/>
  <c r="Z26" i="15"/>
  <c r="Z30" i="15"/>
  <c r="Z36" i="15"/>
  <c r="Z59" i="15"/>
  <c r="Z44" i="15"/>
  <c r="Z51" i="15"/>
  <c r="Z68" i="15"/>
  <c r="Z43" i="15"/>
  <c r="Z73" i="15"/>
  <c r="Z193" i="15"/>
  <c r="Z194" i="15"/>
  <c r="Z186" i="15"/>
  <c r="Z178" i="15"/>
  <c r="Z195" i="15"/>
  <c r="Z187" i="15"/>
  <c r="Z179" i="15"/>
  <c r="Z196" i="15"/>
  <c r="Z197" i="15"/>
  <c r="Z189" i="15"/>
  <c r="Z181" i="15"/>
  <c r="Z173" i="15"/>
  <c r="Z198" i="15"/>
  <c r="Z190" i="15"/>
  <c r="Z182" i="15"/>
  <c r="Z174" i="15"/>
  <c r="Z177" i="15"/>
  <c r="Z169" i="15"/>
  <c r="Z161" i="15"/>
  <c r="Z199" i="15"/>
  <c r="Z170" i="15"/>
  <c r="Z162" i="15"/>
  <c r="Z192" i="15"/>
  <c r="Z183" i="15"/>
  <c r="Z172" i="15"/>
  <c r="Z163" i="15"/>
  <c r="Z155" i="15"/>
  <c r="Z188" i="15"/>
  <c r="Z176" i="15"/>
  <c r="Z171" i="15"/>
  <c r="Z164" i="15"/>
  <c r="Z200" i="15"/>
  <c r="Z185" i="15"/>
  <c r="Z165" i="15"/>
  <c r="Z157" i="15"/>
  <c r="Z175" i="15"/>
  <c r="Z167" i="15"/>
  <c r="Z159" i="15"/>
  <c r="Z152" i="15"/>
  <c r="Z144" i="15"/>
  <c r="Z136" i="15"/>
  <c r="Z180" i="15"/>
  <c r="Z166" i="15"/>
  <c r="Z156" i="15"/>
  <c r="Z153" i="15"/>
  <c r="Z145" i="15"/>
  <c r="Z137" i="15"/>
  <c r="Z146" i="15"/>
  <c r="Z138" i="15"/>
  <c r="Z147" i="15"/>
  <c r="Z139" i="15"/>
  <c r="Z160" i="15"/>
  <c r="Z148" i="15"/>
  <c r="Z140" i="15"/>
  <c r="Z191" i="15"/>
  <c r="Z184" i="15"/>
  <c r="Z168" i="15"/>
  <c r="Z150" i="15"/>
  <c r="Z142" i="15"/>
  <c r="Z134" i="15"/>
  <c r="Z154" i="15"/>
  <c r="Z151" i="15"/>
  <c r="Z141" i="15"/>
  <c r="Z133" i="15"/>
  <c r="Z127" i="15"/>
  <c r="Z119" i="15"/>
  <c r="Z111" i="15"/>
  <c r="Z103" i="15"/>
  <c r="Z95" i="15"/>
  <c r="Z87" i="15"/>
  <c r="Z158" i="15"/>
  <c r="Z135" i="15"/>
  <c r="Z130" i="15"/>
  <c r="Z122" i="15"/>
  <c r="Z114" i="15"/>
  <c r="Z106" i="15"/>
  <c r="Z98" i="15"/>
  <c r="Z90" i="15"/>
  <c r="Z82" i="15"/>
  <c r="Z131" i="15"/>
  <c r="Z123" i="15"/>
  <c r="Z115" i="15"/>
  <c r="Z107" i="15"/>
  <c r="Z99" i="15"/>
  <c r="Z91" i="15"/>
  <c r="Z83" i="15"/>
  <c r="Z108" i="15"/>
  <c r="Z93" i="15"/>
  <c r="Z143" i="15"/>
  <c r="Z128" i="15"/>
  <c r="Z118" i="15"/>
  <c r="Z113" i="15"/>
  <c r="Z124" i="15"/>
  <c r="Z109" i="15"/>
  <c r="Z129" i="15"/>
  <c r="Z149" i="15"/>
  <c r="Z125" i="15"/>
  <c r="Z120" i="15"/>
  <c r="Z110" i="15"/>
  <c r="Z105" i="15"/>
  <c r="Z116" i="15"/>
  <c r="Z112" i="15"/>
  <c r="Z104" i="15"/>
  <c r="Z86" i="15"/>
  <c r="Z79" i="15"/>
  <c r="Z71" i="15"/>
  <c r="Z97" i="15"/>
  <c r="Z80" i="15"/>
  <c r="Z132" i="15"/>
  <c r="Z100" i="15"/>
  <c r="Z81" i="15"/>
  <c r="Z102" i="15"/>
  <c r="Z88" i="15"/>
  <c r="Z74" i="15"/>
  <c r="Z84" i="15"/>
  <c r="Z75" i="15"/>
  <c r="Z126" i="15"/>
  <c r="Z96" i="15"/>
  <c r="Z89" i="15"/>
  <c r="Z76" i="15"/>
  <c r="Z69" i="15"/>
  <c r="Z61" i="15"/>
  <c r="Z53" i="15"/>
  <c r="Z45" i="15"/>
  <c r="Z37" i="15"/>
  <c r="Z31" i="15"/>
  <c r="Z27" i="15"/>
  <c r="Z23" i="15"/>
  <c r="Z117" i="15"/>
  <c r="Z62" i="15"/>
  <c r="Z54" i="15"/>
  <c r="Z46" i="15"/>
  <c r="Z38" i="15"/>
  <c r="Z77" i="15"/>
  <c r="Z70" i="15"/>
  <c r="Z63" i="15"/>
  <c r="Z55" i="15"/>
  <c r="Z47" i="15"/>
  <c r="Z39" i="15"/>
  <c r="Z32" i="15"/>
  <c r="Z28" i="15"/>
  <c r="Z24" i="15"/>
  <c r="Z85" i="15"/>
  <c r="Z64" i="15"/>
  <c r="Z56" i="15"/>
  <c r="Z48" i="15"/>
  <c r="Z40" i="15"/>
  <c r="AA21" i="15"/>
  <c r="Z92" i="15"/>
  <c r="Z78" i="15"/>
  <c r="Z65" i="15"/>
  <c r="Z57" i="15"/>
  <c r="Z49" i="15"/>
  <c r="Z41" i="15"/>
  <c r="Z33" i="15"/>
  <c r="Z29" i="15"/>
  <c r="Z25" i="15"/>
  <c r="Z21" i="15"/>
  <c r="Z94" i="15"/>
  <c r="Z66" i="15"/>
  <c r="Z58" i="15"/>
  <c r="Z50" i="15"/>
  <c r="Z42" i="15"/>
  <c r="Z34" i="15"/>
  <c r="Z60" i="15"/>
  <c r="Z101" i="15"/>
  <c r="Z22" i="15"/>
  <c r="Z35" i="15"/>
  <c r="Z67" i="15"/>
  <c r="Z52" i="15"/>
  <c r="Z72" i="15"/>
  <c r="AB21" i="15"/>
  <c r="M27" i="12"/>
  <c r="K9" i="14"/>
  <c r="C23" i="14" s="1"/>
  <c r="O282" i="14"/>
  <c r="E16" i="14"/>
  <c r="H14" i="14"/>
  <c r="C14" i="14"/>
  <c r="E13" i="14"/>
  <c r="C13" i="14"/>
  <c r="K12" i="14"/>
  <c r="E12" i="14"/>
  <c r="K11" i="14"/>
  <c r="H9" i="14"/>
  <c r="E9" i="14"/>
  <c r="H8" i="14"/>
  <c r="E8" i="14"/>
  <c r="E10" i="14" s="1"/>
  <c r="H15" i="14" s="1"/>
  <c r="L5" i="14"/>
  <c r="G78" i="5" l="1"/>
  <c r="B77" i="5"/>
  <c r="C10" i="14"/>
  <c r="H5" i="14"/>
  <c r="C19" i="14"/>
  <c r="D23" i="14" l="1"/>
  <c r="C61" i="12"/>
  <c r="F57" i="5"/>
  <c r="F56" i="5"/>
  <c r="F55" i="5"/>
  <c r="F54" i="5"/>
  <c r="F53" i="5"/>
  <c r="F52" i="5"/>
  <c r="F51" i="5"/>
  <c r="F50" i="5"/>
  <c r="F49" i="5"/>
  <c r="F48" i="5"/>
  <c r="F47" i="5"/>
  <c r="F46" i="5"/>
  <c r="F45" i="5"/>
  <c r="F44" i="5"/>
  <c r="F43" i="5"/>
  <c r="F42" i="5"/>
  <c r="F41" i="5"/>
  <c r="F40" i="5"/>
  <c r="F39" i="5"/>
  <c r="J77" i="5" l="1"/>
  <c r="H78" i="5" s="1"/>
  <c r="I78" i="5" s="1"/>
  <c r="CY37" i="12" a="1"/>
  <c r="CY37" i="12" s="1"/>
  <c r="CY36" i="12" a="1"/>
  <c r="CY36" i="12" s="1"/>
  <c r="O12" i="12"/>
  <c r="G79" i="5" l="1"/>
  <c r="B78" i="5"/>
  <c r="CL43" i="12"/>
  <c r="CB44" i="12"/>
  <c r="CH43" i="12"/>
  <c r="CB42" i="12"/>
  <c r="M19" i="12"/>
  <c r="I36" i="12" l="1"/>
  <c r="C16" i="14"/>
  <c r="U41" i="12"/>
  <c r="U37" i="12"/>
  <c r="M35" i="12"/>
  <c r="G46" i="12"/>
  <c r="G45" i="12"/>
  <c r="G44" i="12"/>
  <c r="G42" i="12"/>
  <c r="G37" i="12"/>
  <c r="AQ17" i="6"/>
  <c r="AR17" i="6" s="1"/>
  <c r="AQ16" i="6"/>
  <c r="AR16" i="6" s="1"/>
  <c r="AQ15" i="6"/>
  <c r="AR15" i="6" s="1"/>
  <c r="AQ14" i="6"/>
  <c r="AR14" i="6" s="1"/>
  <c r="AQ13" i="6"/>
  <c r="AR13" i="6" s="1"/>
  <c r="AQ12" i="6"/>
  <c r="AR12" i="6" s="1"/>
  <c r="AQ11" i="6"/>
  <c r="AR11" i="6" s="1"/>
  <c r="AQ10" i="6"/>
  <c r="AR10" i="6" s="1"/>
  <c r="AQ9" i="6"/>
  <c r="AR9" i="6" s="1"/>
  <c r="AQ8" i="6"/>
  <c r="AR8" i="6" s="1"/>
  <c r="AQ7" i="6"/>
  <c r="AR7" i="6" s="1"/>
  <c r="AQ6" i="6"/>
  <c r="AR6" i="6" s="1"/>
  <c r="AQ5" i="6"/>
  <c r="AR5" i="6" s="1"/>
  <c r="AQ4" i="6"/>
  <c r="AR4" i="6" s="1"/>
  <c r="AQ3" i="6"/>
  <c r="AR3" i="6" s="1"/>
  <c r="AQ2" i="6"/>
  <c r="AR2" i="6" s="1"/>
  <c r="CL44" i="2" a="1"/>
  <c r="CL44" i="2" s="1"/>
  <c r="CL43" i="2" a="1"/>
  <c r="CL43" i="2" s="1"/>
  <c r="CC8" i="12"/>
  <c r="I37" i="12"/>
  <c r="AY61" i="12" s="1"/>
  <c r="J78" i="5" l="1"/>
  <c r="H79" i="5" s="1"/>
  <c r="I79" i="5" s="1"/>
  <c r="BM50" i="2"/>
  <c r="D61" i="12"/>
  <c r="R37" i="12"/>
  <c r="R42" i="12"/>
  <c r="O37" i="12"/>
  <c r="L37" i="12"/>
  <c r="BN25" i="12"/>
  <c r="O41" i="12"/>
  <c r="R41" i="12"/>
  <c r="R47" i="12" s="1"/>
  <c r="L41" i="12"/>
  <c r="BM62" i="12" s="1"/>
  <c r="N38" i="12" l="1"/>
  <c r="AY62" i="12"/>
  <c r="Q38" i="12"/>
  <c r="AY63" i="12"/>
  <c r="T38" i="12"/>
  <c r="AY64" i="12"/>
  <c r="L47" i="12"/>
  <c r="BM63" i="12"/>
  <c r="BM64" i="12" s="1"/>
  <c r="BM65" i="12" s="1"/>
  <c r="BM66" i="12" s="1"/>
  <c r="BM67" i="12" s="1"/>
  <c r="BM68" i="12" s="1"/>
  <c r="BM69" i="12" s="1"/>
  <c r="BM70" i="12" s="1"/>
  <c r="BM71" i="12" s="1"/>
  <c r="BM72" i="12" s="1"/>
  <c r="BM73" i="12" s="1"/>
  <c r="BM74" i="12" s="1"/>
  <c r="BM75" i="12" s="1"/>
  <c r="BM76" i="12" s="1"/>
  <c r="BM77" i="12" s="1"/>
  <c r="BM78" i="12" s="1"/>
  <c r="O47" i="12"/>
  <c r="G80" i="5"/>
  <c r="B79" i="5"/>
  <c r="O42" i="12"/>
  <c r="L42" i="12"/>
  <c r="O44" i="12"/>
  <c r="I42" i="12"/>
  <c r="L44" i="12"/>
  <c r="R44" i="12"/>
  <c r="BS29" i="12"/>
  <c r="BQ29" i="12"/>
  <c r="BQ45" i="12" l="1"/>
  <c r="BQ46" i="12" s="1"/>
  <c r="BQ47" i="12" s="1"/>
  <c r="BQ41" i="12"/>
  <c r="BQ42" i="12" s="1"/>
  <c r="BO40" i="12"/>
  <c r="CO27" i="12"/>
  <c r="CC26" i="12"/>
  <c r="CC27" i="12" s="1"/>
  <c r="BP21" i="12"/>
  <c r="BP20" i="12"/>
  <c r="BP19" i="12"/>
  <c r="V19" i="12"/>
  <c r="BQ15" i="12"/>
  <c r="BR15" i="12" s="1"/>
  <c r="BV14" i="12"/>
  <c r="BV15" i="12" s="1"/>
  <c r="BW15" i="12" s="1"/>
  <c r="I18" i="12"/>
  <c r="BQ13" i="12"/>
  <c r="BQ12" i="12"/>
  <c r="V12" i="12"/>
  <c r="S12" i="12"/>
  <c r="BQ11" i="12"/>
  <c r="S11" i="12"/>
  <c r="O11" i="12"/>
  <c r="BN10" i="12"/>
  <c r="BQ9" i="12"/>
  <c r="BN7" i="12"/>
  <c r="T7" i="12"/>
  <c r="J79" i="5" l="1"/>
  <c r="H80" i="5" s="1"/>
  <c r="I80" i="5" s="1"/>
  <c r="U44" i="12"/>
  <c r="E14" i="14"/>
  <c r="K13" i="14"/>
  <c r="CN28" i="12"/>
  <c r="V14" i="12"/>
  <c r="V13" i="12" s="1"/>
  <c r="C12" i="14"/>
  <c r="BL12" i="12"/>
  <c r="BT17" i="12"/>
  <c r="BQ43" i="12"/>
  <c r="BR17" i="12"/>
  <c r="BS17" i="12"/>
  <c r="G81" i="5" l="1"/>
  <c r="B80" i="5"/>
  <c r="CL26" i="12"/>
  <c r="CL27" i="12" s="1"/>
  <c r="CM26" i="12" l="1"/>
  <c r="CM27" i="12" s="1"/>
  <c r="CC28" i="12"/>
  <c r="J80" i="5" l="1"/>
  <c r="H81" i="5" s="1"/>
  <c r="I81" i="5" s="1"/>
  <c r="CN26" i="12"/>
  <c r="CN27" i="12" s="1"/>
  <c r="CM28" i="12" s="1"/>
  <c r="CL28" i="12"/>
  <c r="G82" i="5" l="1"/>
  <c r="B81" i="5"/>
  <c r="BT62" i="12" l="1"/>
  <c r="BP35" i="12"/>
  <c r="CL22" i="12" s="1"/>
  <c r="BS62" i="12"/>
  <c r="BR62" i="12"/>
  <c r="BT61" i="12"/>
  <c r="V16" i="12"/>
  <c r="BS61" i="12"/>
  <c r="BR61" i="12"/>
  <c r="BQ61" i="12"/>
  <c r="BP37" i="12"/>
  <c r="CN22" i="12" s="1"/>
  <c r="BP36" i="12"/>
  <c r="CM22" i="12" s="1"/>
  <c r="M31" i="12"/>
  <c r="BN11" i="12"/>
  <c r="J81" i="5" l="1"/>
  <c r="H82" i="5" s="1"/>
  <c r="I82" i="5" s="1"/>
  <c r="V20" i="12"/>
  <c r="AI60" i="12"/>
  <c r="K14" i="14"/>
  <c r="AA22" i="14"/>
  <c r="BU61" i="12"/>
  <c r="G83" i="5" l="1"/>
  <c r="B82" i="5"/>
  <c r="E12" i="9"/>
  <c r="C12" i="9"/>
  <c r="F25" i="10"/>
  <c r="C25" i="10"/>
  <c r="B2" i="3"/>
  <c r="AS27" i="2" l="1"/>
  <c r="AS17" i="2"/>
  <c r="N64" i="2"/>
  <c r="V10" i="12"/>
  <c r="AQ40" i="2"/>
  <c r="AL38" i="2"/>
  <c r="BP31" i="12"/>
  <c r="AQ33" i="2"/>
  <c r="AY8" i="12"/>
  <c r="AY9" i="12"/>
  <c r="AQ31" i="2"/>
  <c r="AY7" i="12"/>
  <c r="AQ32" i="2"/>
  <c r="AQ35" i="2"/>
  <c r="AQ38" i="2"/>
  <c r="AQ36" i="2"/>
  <c r="S19" i="2"/>
  <c r="E10" i="9"/>
  <c r="S10" i="12" l="1"/>
  <c r="V22" i="12" s="1"/>
  <c r="O10" i="12"/>
  <c r="E3" i="5"/>
  <c r="E4" i="5" s="1"/>
  <c r="E5" i="5" s="1"/>
  <c r="E6" i="5" s="1"/>
  <c r="E7" i="5" s="1"/>
  <c r="E8" i="5" s="1"/>
  <c r="E9" i="5" s="1"/>
  <c r="E10" i="5" s="1"/>
  <c r="E11" i="5" s="1"/>
  <c r="E12" i="5" s="1"/>
  <c r="E13" i="5" s="1"/>
  <c r="E14" i="5" s="1"/>
  <c r="E15" i="5" s="1"/>
  <c r="E16" i="5" s="1"/>
  <c r="E17" i="5" s="1"/>
  <c r="E18" i="5" s="1"/>
  <c r="E19" i="5" s="1"/>
  <c r="E20" i="5" s="1"/>
  <c r="E21" i="5" s="1"/>
  <c r="E22" i="5" s="1"/>
  <c r="E23" i="5" s="1"/>
  <c r="E24" i="5" s="1"/>
  <c r="E25" i="5" s="1"/>
  <c r="E26" i="5" s="1"/>
  <c r="E2" i="5"/>
  <c r="I2" i="5"/>
  <c r="J82" i="5"/>
  <c r="H83" i="5" s="1"/>
  <c r="I83" i="5" s="1"/>
  <c r="H3" i="5"/>
  <c r="H38" i="5"/>
  <c r="I37" i="5"/>
  <c r="E37" i="5"/>
  <c r="E38" i="5"/>
  <c r="E39" i="5" s="1"/>
  <c r="E40" i="5" s="1"/>
  <c r="E41" i="5" s="1"/>
  <c r="E42" i="5" s="1"/>
  <c r="E43" i="5" s="1"/>
  <c r="E44" i="5" s="1"/>
  <c r="E45" i="5" s="1"/>
  <c r="E46" i="5" s="1"/>
  <c r="E47" i="5" s="1"/>
  <c r="E48" i="5" s="1"/>
  <c r="E49" i="5" s="1"/>
  <c r="E50" i="5" s="1"/>
  <c r="E51" i="5" s="1"/>
  <c r="E52" i="5" s="1"/>
  <c r="E53" i="5" s="1"/>
  <c r="E54" i="5" s="1"/>
  <c r="E55" i="5" s="1"/>
  <c r="E56" i="5" s="1"/>
  <c r="E57" i="5" s="1"/>
  <c r="E58" i="5" s="1"/>
  <c r="AP64" i="2"/>
  <c r="K8" i="14" l="1"/>
  <c r="M26" i="12"/>
  <c r="G84" i="5"/>
  <c r="B83" i="5"/>
  <c r="I38" i="5"/>
  <c r="G39" i="5" s="1"/>
  <c r="I3" i="5"/>
  <c r="J83" i="5" l="1"/>
  <c r="H84" i="5" s="1"/>
  <c r="I84" i="5" s="1"/>
  <c r="G85" i="5" l="1"/>
  <c r="B84" i="5"/>
  <c r="J84" i="5" l="1"/>
  <c r="H85" i="5" s="1"/>
  <c r="I85" i="5" s="1"/>
  <c r="A14" i="11"/>
  <c r="A13" i="11"/>
  <c r="A12" i="11"/>
  <c r="A11" i="11"/>
  <c r="A10" i="11"/>
  <c r="A9" i="11"/>
  <c r="A8" i="11"/>
  <c r="A7" i="11"/>
  <c r="A6" i="11"/>
  <c r="A5" i="11"/>
  <c r="A4" i="11"/>
  <c r="A3" i="11"/>
  <c r="A2" i="11"/>
  <c r="J15" i="21" l="1"/>
  <c r="N15" i="21"/>
  <c r="I21" i="21" s="1"/>
  <c r="J10" i="21"/>
  <c r="Q21" i="21" s="1"/>
  <c r="N12" i="21"/>
  <c r="H21" i="21" s="1"/>
  <c r="L12" i="21"/>
  <c r="G21" i="21" s="1"/>
  <c r="J12" i="21"/>
  <c r="G86" i="5"/>
  <c r="B85" i="5"/>
  <c r="J12" i="15"/>
  <c r="J15" i="15"/>
  <c r="L12" i="15"/>
  <c r="G21" i="15" s="1"/>
  <c r="N15" i="15"/>
  <c r="I21" i="15" s="1"/>
  <c r="J10" i="15"/>
  <c r="R58" i="12" s="1"/>
  <c r="N12" i="15"/>
  <c r="H21" i="15" s="1"/>
  <c r="W21" i="21" l="1"/>
  <c r="X21" i="21"/>
  <c r="O21" i="21"/>
  <c r="P21" i="21"/>
  <c r="F21" i="21"/>
  <c r="J21" i="21" s="1"/>
  <c r="Q21" i="15"/>
  <c r="F21" i="15" s="1"/>
  <c r="O21" i="15"/>
  <c r="P21" i="15"/>
  <c r="E21" i="21" l="1"/>
  <c r="K21" i="21" s="1"/>
  <c r="R43" i="2"/>
  <c r="J85" i="5"/>
  <c r="H86" i="5" s="1"/>
  <c r="I86" i="5" s="1"/>
  <c r="X21" i="15"/>
  <c r="J21" i="15"/>
  <c r="E21" i="15"/>
  <c r="W21" i="15"/>
  <c r="B14" i="11"/>
  <c r="B13" i="11"/>
  <c r="B12" i="11"/>
  <c r="B11" i="11"/>
  <c r="B10" i="11"/>
  <c r="B9" i="11"/>
  <c r="B8" i="11"/>
  <c r="B7" i="11"/>
  <c r="B6" i="11"/>
  <c r="B5" i="11"/>
  <c r="B4" i="11"/>
  <c r="B3" i="11"/>
  <c r="B2" i="11"/>
  <c r="L21" i="21" l="1"/>
  <c r="C22" i="21" s="1"/>
  <c r="G87" i="5"/>
  <c r="B86" i="5"/>
  <c r="K21" i="15"/>
  <c r="L21" i="15"/>
  <c r="D22" i="15" s="1"/>
  <c r="I22" i="15" s="1"/>
  <c r="D22" i="21" l="1"/>
  <c r="I22" i="21" s="1"/>
  <c r="G22" i="21"/>
  <c r="U22" i="21"/>
  <c r="H22" i="21"/>
  <c r="O22" i="21"/>
  <c r="T22" i="21"/>
  <c r="P22" i="21"/>
  <c r="N22" i="21"/>
  <c r="Q22" i="21"/>
  <c r="F22" i="21" s="1"/>
  <c r="C22" i="15"/>
  <c r="U22" i="15" s="1"/>
  <c r="E22" i="21" l="1"/>
  <c r="J22" i="21"/>
  <c r="AB22" i="21"/>
  <c r="X22" i="21" s="1"/>
  <c r="AA22" i="21"/>
  <c r="J86" i="5"/>
  <c r="H87" i="5" s="1"/>
  <c r="I87" i="5" s="1"/>
  <c r="O22" i="15"/>
  <c r="N22" i="15" s="1"/>
  <c r="AA22" i="15" s="1"/>
  <c r="G22" i="15"/>
  <c r="H22" i="15"/>
  <c r="P22" i="15"/>
  <c r="Q22" i="15"/>
  <c r="F22" i="15" s="1"/>
  <c r="J22" i="15" s="1"/>
  <c r="T22" i="15"/>
  <c r="K22" i="21" l="1"/>
  <c r="L22" i="21"/>
  <c r="W22" i="21"/>
  <c r="G88" i="5"/>
  <c r="B87" i="5"/>
  <c r="E22" i="15"/>
  <c r="K22" i="15" s="1"/>
  <c r="AB22" i="15"/>
  <c r="W22" i="15" s="1"/>
  <c r="Y22" i="9"/>
  <c r="Y23" i="9" s="1"/>
  <c r="Y24" i="9" s="1"/>
  <c r="Y25" i="9" s="1"/>
  <c r="Y26" i="9" s="1"/>
  <c r="Y27" i="9" s="1"/>
  <c r="Y28" i="9" s="1"/>
  <c r="Y29" i="9" s="1"/>
  <c r="Y30" i="9" s="1"/>
  <c r="Y31" i="9" s="1"/>
  <c r="Y32" i="9" s="1"/>
  <c r="Y33" i="9" s="1"/>
  <c r="Y34" i="9" s="1"/>
  <c r="Y35" i="9" s="1"/>
  <c r="Y36" i="9" s="1"/>
  <c r="Y37" i="9" s="1"/>
  <c r="Y38" i="9" s="1"/>
  <c r="Y39" i="9" s="1"/>
  <c r="Y40" i="9" s="1"/>
  <c r="Y41" i="9" s="1"/>
  <c r="Y42" i="9" s="1"/>
  <c r="Y43" i="9" s="1"/>
  <c r="Y44" i="9" s="1"/>
  <c r="Y45" i="9" s="1"/>
  <c r="Y46" i="9" s="1"/>
  <c r="Y47" i="9" s="1"/>
  <c r="Y48" i="9" s="1"/>
  <c r="Y49" i="9" s="1"/>
  <c r="Y50" i="9" s="1"/>
  <c r="Y51" i="9" s="1"/>
  <c r="Y52" i="9" s="1"/>
  <c r="Y53" i="9" s="1"/>
  <c r="Y54" i="9" s="1"/>
  <c r="Y55" i="9" s="1"/>
  <c r="Y56" i="9" s="1"/>
  <c r="Y57" i="9" s="1"/>
  <c r="Y58" i="9" s="1"/>
  <c r="Y59" i="9" s="1"/>
  <c r="Y60" i="9" s="1"/>
  <c r="Y61" i="9" s="1"/>
  <c r="Y62" i="9" s="1"/>
  <c r="Y63" i="9" s="1"/>
  <c r="Y64" i="9" s="1"/>
  <c r="Y65" i="9" s="1"/>
  <c r="Y66" i="9" s="1"/>
  <c r="Y67" i="9" s="1"/>
  <c r="Y68" i="9" s="1"/>
  <c r="Y69" i="9" s="1"/>
  <c r="Y70" i="9" s="1"/>
  <c r="Y71" i="9" s="1"/>
  <c r="Y72" i="9" s="1"/>
  <c r="Y73" i="9" s="1"/>
  <c r="Y74" i="9" s="1"/>
  <c r="Y75" i="9" s="1"/>
  <c r="Y76" i="9" s="1"/>
  <c r="Y77" i="9" s="1"/>
  <c r="Y78" i="9" s="1"/>
  <c r="Y79" i="9" s="1"/>
  <c r="Y80" i="9" s="1"/>
  <c r="Y81" i="9" s="1"/>
  <c r="Y82" i="9" s="1"/>
  <c r="Y83" i="9" s="1"/>
  <c r="Y84" i="9" s="1"/>
  <c r="Y85" i="9" s="1"/>
  <c r="Y86" i="9" s="1"/>
  <c r="Y87" i="9" s="1"/>
  <c r="Y88" i="9" s="1"/>
  <c r="Y89" i="9" s="1"/>
  <c r="Y90" i="9" s="1"/>
  <c r="Y91" i="9" s="1"/>
  <c r="Y92" i="9" s="1"/>
  <c r="Y93" i="9" s="1"/>
  <c r="Y94" i="9" s="1"/>
  <c r="Y95" i="9" s="1"/>
  <c r="Y96" i="9" s="1"/>
  <c r="Y97" i="9" s="1"/>
  <c r="Y98" i="9" s="1"/>
  <c r="Y99" i="9" s="1"/>
  <c r="Y100" i="9" s="1"/>
  <c r="Y101" i="9" s="1"/>
  <c r="Y102" i="9" s="1"/>
  <c r="Y103" i="9" s="1"/>
  <c r="Y104" i="9" s="1"/>
  <c r="Y105" i="9" s="1"/>
  <c r="Y106" i="9" s="1"/>
  <c r="Y107" i="9" s="1"/>
  <c r="Y108" i="9" s="1"/>
  <c r="Y109" i="9" s="1"/>
  <c r="Y110" i="9" s="1"/>
  <c r="Y111" i="9" s="1"/>
  <c r="Y112" i="9" s="1"/>
  <c r="Y113" i="9" s="1"/>
  <c r="Y114" i="9" s="1"/>
  <c r="Y115" i="9" s="1"/>
  <c r="Y116" i="9" s="1"/>
  <c r="Y117" i="9" s="1"/>
  <c r="Y118" i="9" s="1"/>
  <c r="Y119" i="9" s="1"/>
  <c r="Y120" i="9" s="1"/>
  <c r="Y121" i="9" s="1"/>
  <c r="Y122" i="9" s="1"/>
  <c r="Y123" i="9" s="1"/>
  <c r="Y124" i="9" s="1"/>
  <c r="Y125" i="9" s="1"/>
  <c r="Y126" i="9" s="1"/>
  <c r="Y127" i="9" s="1"/>
  <c r="Y128" i="9" s="1"/>
  <c r="Y129" i="9" s="1"/>
  <c r="Y130" i="9" s="1"/>
  <c r="Y131" i="9" s="1"/>
  <c r="Y132" i="9" s="1"/>
  <c r="Y133" i="9" s="1"/>
  <c r="Y134" i="9" s="1"/>
  <c r="Y135" i="9" s="1"/>
  <c r="Y136" i="9" s="1"/>
  <c r="Y137" i="9" s="1"/>
  <c r="Y138" i="9" s="1"/>
  <c r="Y139" i="9" s="1"/>
  <c r="Y140" i="9" s="1"/>
  <c r="Y141" i="9" s="1"/>
  <c r="Y142" i="9" s="1"/>
  <c r="Y143" i="9" s="1"/>
  <c r="Y144" i="9" s="1"/>
  <c r="Y145" i="9" s="1"/>
  <c r="Y146" i="9" s="1"/>
  <c r="Y147" i="9" s="1"/>
  <c r="Y148" i="9" s="1"/>
  <c r="Y149" i="9" s="1"/>
  <c r="Y150" i="9" s="1"/>
  <c r="Y151" i="9" s="1"/>
  <c r="Y152" i="9" s="1"/>
  <c r="Y153" i="9" s="1"/>
  <c r="Y154" i="9" s="1"/>
  <c r="Y155" i="9" s="1"/>
  <c r="Y156" i="9" s="1"/>
  <c r="Y157" i="9" s="1"/>
  <c r="Y158" i="9" s="1"/>
  <c r="Y159" i="9" s="1"/>
  <c r="Y160" i="9" s="1"/>
  <c r="Y161" i="9" s="1"/>
  <c r="Y162" i="9" s="1"/>
  <c r="Y163" i="9" s="1"/>
  <c r="Y164" i="9" s="1"/>
  <c r="Y165" i="9" s="1"/>
  <c r="Y166" i="9" s="1"/>
  <c r="Y167" i="9" s="1"/>
  <c r="Y168" i="9" s="1"/>
  <c r="Y169" i="9" s="1"/>
  <c r="Y170" i="9" s="1"/>
  <c r="Y171" i="9" s="1"/>
  <c r="Y172" i="9" s="1"/>
  <c r="Y173" i="9" s="1"/>
  <c r="Y174" i="9" s="1"/>
  <c r="Y175" i="9" s="1"/>
  <c r="Y176" i="9" s="1"/>
  <c r="Y177" i="9" s="1"/>
  <c r="Y178" i="9" s="1"/>
  <c r="Y179" i="9" s="1"/>
  <c r="Y180" i="9" s="1"/>
  <c r="Y181" i="9" s="1"/>
  <c r="Y182" i="9" s="1"/>
  <c r="Y183" i="9" s="1"/>
  <c r="Y184" i="9" s="1"/>
  <c r="Y185" i="9" s="1"/>
  <c r="Y186" i="9" s="1"/>
  <c r="Y187" i="9" s="1"/>
  <c r="Y188" i="9" s="1"/>
  <c r="Y189" i="9" s="1"/>
  <c r="Y190" i="9" s="1"/>
  <c r="Y191" i="9" s="1"/>
  <c r="Y192" i="9" s="1"/>
  <c r="Y193" i="9" s="1"/>
  <c r="Y194" i="9" s="1"/>
  <c r="Y195" i="9" s="1"/>
  <c r="Y196" i="9" s="1"/>
  <c r="Y197" i="9" s="1"/>
  <c r="Y198" i="9" s="1"/>
  <c r="Y199" i="9" s="1"/>
  <c r="Y200" i="9" s="1"/>
  <c r="Y201" i="9" s="1"/>
  <c r="Y202" i="9" s="1"/>
  <c r="Y203" i="9" s="1"/>
  <c r="Y204" i="9" s="1"/>
  <c r="Y205" i="9" s="1"/>
  <c r="Y206" i="9" s="1"/>
  <c r="Y207" i="9" s="1"/>
  <c r="Y208" i="9" s="1"/>
  <c r="Y209" i="9" s="1"/>
  <c r="Y210" i="9" s="1"/>
  <c r="Y211" i="9" s="1"/>
  <c r="Y212" i="9" s="1"/>
  <c r="Y213" i="9" s="1"/>
  <c r="Y214" i="9" s="1"/>
  <c r="Y215" i="9" s="1"/>
  <c r="Y216" i="9" s="1"/>
  <c r="Y217" i="9" s="1"/>
  <c r="Y218" i="9" s="1"/>
  <c r="Y219" i="9" s="1"/>
  <c r="Y220" i="9" s="1"/>
  <c r="Y221" i="9" s="1"/>
  <c r="Y222" i="9" s="1"/>
  <c r="Y223" i="9" s="1"/>
  <c r="Y224" i="9" s="1"/>
  <c r="Y225" i="9" s="1"/>
  <c r="Y226" i="9" s="1"/>
  <c r="Y227" i="9" s="1"/>
  <c r="Y228" i="9" s="1"/>
  <c r="Y229" i="9" s="1"/>
  <c r="Y230" i="9" s="1"/>
  <c r="Y231" i="9" s="1"/>
  <c r="Y232" i="9" s="1"/>
  <c r="Y233" i="9" s="1"/>
  <c r="Y234" i="9" s="1"/>
  <c r="Y235" i="9" s="1"/>
  <c r="Y236" i="9" s="1"/>
  <c r="Y237" i="9" s="1"/>
  <c r="Y238" i="9" s="1"/>
  <c r="Y239" i="9" s="1"/>
  <c r="Y240" i="9" s="1"/>
  <c r="Y241" i="9" s="1"/>
  <c r="Y242" i="9" s="1"/>
  <c r="Y243" i="9" s="1"/>
  <c r="Y244" i="9" s="1"/>
  <c r="Y245" i="9" s="1"/>
  <c r="Y246" i="9" s="1"/>
  <c r="Y247" i="9" s="1"/>
  <c r="Y248" i="9" s="1"/>
  <c r="Y249" i="9" s="1"/>
  <c r="Y250" i="9" s="1"/>
  <c r="Y251" i="9" s="1"/>
  <c r="Y252" i="9" s="1"/>
  <c r="Y253" i="9" s="1"/>
  <c r="Y254" i="9" s="1"/>
  <c r="Y255" i="9" s="1"/>
  <c r="Y256" i="9" s="1"/>
  <c r="Y257" i="9" s="1"/>
  <c r="Y258" i="9" s="1"/>
  <c r="Y259" i="9" s="1"/>
  <c r="Y260" i="9" s="1"/>
  <c r="Y261" i="9" s="1"/>
  <c r="Y262" i="9" s="1"/>
  <c r="Y263" i="9" s="1"/>
  <c r="Y264" i="9" s="1"/>
  <c r="Y265" i="9" s="1"/>
  <c r="Y266" i="9" s="1"/>
  <c r="Y267" i="9" s="1"/>
  <c r="Y268" i="9" s="1"/>
  <c r="Y269" i="9" s="1"/>
  <c r="Y270" i="9" s="1"/>
  <c r="Y271" i="9" s="1"/>
  <c r="Y272" i="9" s="1"/>
  <c r="Y273" i="9" s="1"/>
  <c r="Y274" i="9" s="1"/>
  <c r="Y275" i="9" s="1"/>
  <c r="Y276" i="9" s="1"/>
  <c r="Y277" i="9" s="1"/>
  <c r="Y278" i="9" s="1"/>
  <c r="Y279" i="9" s="1"/>
  <c r="Y280" i="9" s="1"/>
  <c r="Y281" i="9" s="1"/>
  <c r="Y282" i="9" s="1"/>
  <c r="Y283" i="9" s="1"/>
  <c r="Y284" i="9" s="1"/>
  <c r="Y285" i="9" s="1"/>
  <c r="Y286" i="9" s="1"/>
  <c r="Y287" i="9" s="1"/>
  <c r="Y288" i="9" s="1"/>
  <c r="Y289" i="9" s="1"/>
  <c r="Y290" i="9" s="1"/>
  <c r="Y291" i="9" s="1"/>
  <c r="Y292" i="9" s="1"/>
  <c r="Y293" i="9" s="1"/>
  <c r="Y294" i="9" s="1"/>
  <c r="Y295" i="9" s="1"/>
  <c r="Y296" i="9" s="1"/>
  <c r="Y297" i="9" s="1"/>
  <c r="Y298" i="9" s="1"/>
  <c r="Y299" i="9" s="1"/>
  <c r="Y300" i="9" s="1"/>
  <c r="Y301" i="9" s="1"/>
  <c r="Y302" i="9" s="1"/>
  <c r="Y303" i="9" s="1"/>
  <c r="Y304" i="9" s="1"/>
  <c r="Y305" i="9" s="1"/>
  <c r="Y306" i="9" s="1"/>
  <c r="Y307" i="9" s="1"/>
  <c r="Y308" i="9" s="1"/>
  <c r="Y309" i="9" s="1"/>
  <c r="Y310" i="9" s="1"/>
  <c r="Y311" i="9" s="1"/>
  <c r="Y312" i="9" s="1"/>
  <c r="Y313" i="9" s="1"/>
  <c r="Y314" i="9" s="1"/>
  <c r="Y315" i="9" s="1"/>
  <c r="Y316" i="9" s="1"/>
  <c r="Y317" i="9" s="1"/>
  <c r="Y318" i="9" s="1"/>
  <c r="Y319" i="9" s="1"/>
  <c r="Y320" i="9" s="1"/>
  <c r="M21" i="9"/>
  <c r="D23" i="21" l="1"/>
  <c r="I23" i="21" s="1"/>
  <c r="C23" i="21"/>
  <c r="L22" i="15"/>
  <c r="D23" i="15" s="1"/>
  <c r="I23" i="15" s="1"/>
  <c r="X22" i="15"/>
  <c r="E11" i="9"/>
  <c r="O23" i="21" l="1"/>
  <c r="T23" i="21"/>
  <c r="N23" i="21"/>
  <c r="E23" i="21"/>
  <c r="K23" i="21" s="1"/>
  <c r="Q23" i="21"/>
  <c r="F23" i="21" s="1"/>
  <c r="J23" i="21" s="1"/>
  <c r="U23" i="21"/>
  <c r="H23" i="21"/>
  <c r="G23" i="21"/>
  <c r="P23" i="21"/>
  <c r="J87" i="5"/>
  <c r="H88" i="5" s="1"/>
  <c r="I88" i="5" s="1"/>
  <c r="C23" i="15"/>
  <c r="N23" i="15" s="1"/>
  <c r="AB23" i="21" l="1"/>
  <c r="AA23" i="21"/>
  <c r="L23" i="21"/>
  <c r="G89" i="5"/>
  <c r="B88" i="5"/>
  <c r="T23" i="15"/>
  <c r="H23" i="15"/>
  <c r="U23" i="15"/>
  <c r="O23" i="15"/>
  <c r="Q23" i="15"/>
  <c r="F23" i="15" s="1"/>
  <c r="J23" i="15" s="1"/>
  <c r="P23" i="15"/>
  <c r="G23" i="15"/>
  <c r="AB23" i="15"/>
  <c r="AA23" i="15"/>
  <c r="D24" i="21" l="1"/>
  <c r="I24" i="21" s="1"/>
  <c r="C24" i="21"/>
  <c r="W23" i="21"/>
  <c r="X23" i="21"/>
  <c r="E23" i="15"/>
  <c r="K23" i="15" s="1"/>
  <c r="W23" i="15"/>
  <c r="X23" i="15"/>
  <c r="P322" i="9"/>
  <c r="U21" i="9"/>
  <c r="U20" i="9"/>
  <c r="E15" i="9"/>
  <c r="I12" i="9"/>
  <c r="E9" i="9"/>
  <c r="J8" i="9"/>
  <c r="E8" i="9"/>
  <c r="K19" i="9" s="1"/>
  <c r="Q24" i="21" l="1"/>
  <c r="F24" i="21" s="1"/>
  <c r="J24" i="21" s="1"/>
  <c r="G24" i="21"/>
  <c r="P24" i="21"/>
  <c r="O24" i="21"/>
  <c r="H24" i="21"/>
  <c r="N24" i="21"/>
  <c r="U24" i="21"/>
  <c r="T24" i="21"/>
  <c r="L23" i="15"/>
  <c r="D24" i="15" s="1"/>
  <c r="I24" i="15" s="1"/>
  <c r="J15" i="9"/>
  <c r="V21" i="9"/>
  <c r="J16" i="9"/>
  <c r="J88" i="5"/>
  <c r="H89" i="5" s="1"/>
  <c r="I89" i="5" s="1"/>
  <c r="M17" i="9"/>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C137" i="9" s="1"/>
  <c r="AC138" i="9" s="1"/>
  <c r="AC139" i="9" s="1"/>
  <c r="AC140" i="9" s="1"/>
  <c r="AC141" i="9" s="1"/>
  <c r="AC142" i="9" s="1"/>
  <c r="AC143" i="9" s="1"/>
  <c r="AC144" i="9" s="1"/>
  <c r="AC145" i="9" s="1"/>
  <c r="AC146" i="9" s="1"/>
  <c r="AC147" i="9" s="1"/>
  <c r="AC148" i="9" s="1"/>
  <c r="AC149" i="9" s="1"/>
  <c r="AC150" i="9" s="1"/>
  <c r="AC151" i="9" s="1"/>
  <c r="AC152" i="9" s="1"/>
  <c r="AC153" i="9" s="1"/>
  <c r="AC154" i="9" s="1"/>
  <c r="AC155" i="9" s="1"/>
  <c r="AC156" i="9" s="1"/>
  <c r="AC157" i="9" s="1"/>
  <c r="AC158" i="9" s="1"/>
  <c r="AC159" i="9" s="1"/>
  <c r="AC160" i="9" s="1"/>
  <c r="AC161" i="9" s="1"/>
  <c r="AC162" i="9" s="1"/>
  <c r="AC163" i="9" s="1"/>
  <c r="AC164" i="9" s="1"/>
  <c r="AC165" i="9" s="1"/>
  <c r="AC166" i="9" s="1"/>
  <c r="AC167" i="9" s="1"/>
  <c r="AC168" i="9" s="1"/>
  <c r="AC169" i="9" s="1"/>
  <c r="AC170" i="9" s="1"/>
  <c r="AC171" i="9" s="1"/>
  <c r="AC172" i="9" s="1"/>
  <c r="AC173" i="9" s="1"/>
  <c r="AC174" i="9" s="1"/>
  <c r="AC175" i="9" s="1"/>
  <c r="AC176" i="9" s="1"/>
  <c r="AC177" i="9" s="1"/>
  <c r="AC178" i="9" s="1"/>
  <c r="AC179" i="9" s="1"/>
  <c r="AC180" i="9" s="1"/>
  <c r="AC181" i="9" s="1"/>
  <c r="AC182" i="9" s="1"/>
  <c r="AC183" i="9" s="1"/>
  <c r="AC184" i="9" s="1"/>
  <c r="AC185" i="9" s="1"/>
  <c r="AC186" i="9" s="1"/>
  <c r="AC187" i="9" s="1"/>
  <c r="AC188" i="9" s="1"/>
  <c r="AC189" i="9" s="1"/>
  <c r="AC190" i="9" s="1"/>
  <c r="AC191" i="9" s="1"/>
  <c r="AC192" i="9" s="1"/>
  <c r="AC193" i="9" s="1"/>
  <c r="AC194" i="9" s="1"/>
  <c r="AC195" i="9" s="1"/>
  <c r="AC196" i="9" s="1"/>
  <c r="AC197" i="9" s="1"/>
  <c r="AC198" i="9" s="1"/>
  <c r="AC199" i="9" s="1"/>
  <c r="AC200" i="9" s="1"/>
  <c r="AC201" i="9" s="1"/>
  <c r="AC202" i="9" s="1"/>
  <c r="AC203" i="9" s="1"/>
  <c r="AC204" i="9" s="1"/>
  <c r="AC205" i="9" s="1"/>
  <c r="AC206" i="9" s="1"/>
  <c r="AC207" i="9" s="1"/>
  <c r="AC208" i="9" s="1"/>
  <c r="AC209" i="9" s="1"/>
  <c r="AC210" i="9" s="1"/>
  <c r="AC211" i="9" s="1"/>
  <c r="AC212" i="9" s="1"/>
  <c r="AC213" i="9" s="1"/>
  <c r="AC214" i="9" s="1"/>
  <c r="AC215" i="9" s="1"/>
  <c r="AC216" i="9" s="1"/>
  <c r="AC217" i="9" s="1"/>
  <c r="AC218" i="9" s="1"/>
  <c r="AC219" i="9" s="1"/>
  <c r="AC220" i="9" s="1"/>
  <c r="AC221" i="9" s="1"/>
  <c r="AC222" i="9" s="1"/>
  <c r="AC223" i="9" s="1"/>
  <c r="AC224" i="9" s="1"/>
  <c r="AC225" i="9" s="1"/>
  <c r="AC226" i="9" s="1"/>
  <c r="AC227" i="9" s="1"/>
  <c r="AC228" i="9" s="1"/>
  <c r="AC229" i="9" s="1"/>
  <c r="AC230" i="9" s="1"/>
  <c r="AC231" i="9" s="1"/>
  <c r="AC232" i="9" s="1"/>
  <c r="AC233" i="9" s="1"/>
  <c r="AC234" i="9" s="1"/>
  <c r="AC235" i="9" s="1"/>
  <c r="AC236" i="9" s="1"/>
  <c r="AC237" i="9" s="1"/>
  <c r="AC238" i="9" s="1"/>
  <c r="AC239" i="9" s="1"/>
  <c r="AC240" i="9" s="1"/>
  <c r="AC241" i="9" s="1"/>
  <c r="AC242" i="9" s="1"/>
  <c r="AC243" i="9" s="1"/>
  <c r="AC244" i="9" s="1"/>
  <c r="AC245" i="9" s="1"/>
  <c r="AC246" i="9" s="1"/>
  <c r="AC247" i="9" s="1"/>
  <c r="AC248" i="9" s="1"/>
  <c r="AC249" i="9" s="1"/>
  <c r="AC250" i="9" s="1"/>
  <c r="AC251" i="9" s="1"/>
  <c r="AC252" i="9" s="1"/>
  <c r="AC253" i="9" s="1"/>
  <c r="AC254" i="9" s="1"/>
  <c r="AC255" i="9" s="1"/>
  <c r="AC256" i="9" s="1"/>
  <c r="AC257" i="9" s="1"/>
  <c r="AC258" i="9" s="1"/>
  <c r="AC259" i="9" s="1"/>
  <c r="AC260" i="9" s="1"/>
  <c r="AC261" i="9" s="1"/>
  <c r="AC262" i="9" s="1"/>
  <c r="AC263" i="9" s="1"/>
  <c r="AC264" i="9" s="1"/>
  <c r="AC265" i="9" s="1"/>
  <c r="AC266" i="9" s="1"/>
  <c r="AC267" i="9" s="1"/>
  <c r="AC268" i="9" s="1"/>
  <c r="AC269" i="9" s="1"/>
  <c r="AC270" i="9" s="1"/>
  <c r="AC271" i="9" s="1"/>
  <c r="AC272" i="9" s="1"/>
  <c r="AC273" i="9" s="1"/>
  <c r="AC274" i="9" s="1"/>
  <c r="AC275" i="9" s="1"/>
  <c r="AC276" i="9" s="1"/>
  <c r="AC277" i="9" s="1"/>
  <c r="AC278" i="9" s="1"/>
  <c r="AC279" i="9" s="1"/>
  <c r="AC280" i="9" s="1"/>
  <c r="AC281" i="9" s="1"/>
  <c r="AC282" i="9" s="1"/>
  <c r="AC283" i="9" s="1"/>
  <c r="AC284" i="9" s="1"/>
  <c r="AC285" i="9" s="1"/>
  <c r="AC286" i="9" s="1"/>
  <c r="AC287" i="9" s="1"/>
  <c r="AC288" i="9" s="1"/>
  <c r="AC289" i="9" s="1"/>
  <c r="AC290" i="9" s="1"/>
  <c r="AC291" i="9" s="1"/>
  <c r="AC292" i="9" s="1"/>
  <c r="AC293" i="9" s="1"/>
  <c r="AC294" i="9" s="1"/>
  <c r="AC295" i="9" s="1"/>
  <c r="AC296" i="9" s="1"/>
  <c r="AC297" i="9" s="1"/>
  <c r="AC298" i="9" s="1"/>
  <c r="AC299" i="9" s="1"/>
  <c r="AC300" i="9" s="1"/>
  <c r="AC301" i="9" s="1"/>
  <c r="AC302" i="9" s="1"/>
  <c r="AC303" i="9" s="1"/>
  <c r="AC304" i="9" s="1"/>
  <c r="AC305" i="9" s="1"/>
  <c r="AC306" i="9" s="1"/>
  <c r="AC307" i="9" s="1"/>
  <c r="AC308" i="9" s="1"/>
  <c r="AC309" i="9" s="1"/>
  <c r="AC310" i="9" s="1"/>
  <c r="AC311" i="9" s="1"/>
  <c r="AC312" i="9" s="1"/>
  <c r="AC313" i="9" s="1"/>
  <c r="AC314" i="9" s="1"/>
  <c r="AC315" i="9" s="1"/>
  <c r="AC316" i="9" s="1"/>
  <c r="AC317" i="9" s="1"/>
  <c r="AC318" i="9" s="1"/>
  <c r="AC319" i="9" s="1"/>
  <c r="AC320" i="9" s="1"/>
  <c r="E24" i="21" l="1"/>
  <c r="AA24" i="21"/>
  <c r="AB24" i="21"/>
  <c r="X24" i="21" s="1"/>
  <c r="C24" i="15"/>
  <c r="T24" i="15" s="1"/>
  <c r="G90" i="5"/>
  <c r="B89" i="5"/>
  <c r="Q24" i="15"/>
  <c r="F24" i="15" s="1"/>
  <c r="J24" i="15" s="1"/>
  <c r="H24" i="15"/>
  <c r="L24" i="21" l="1"/>
  <c r="K24" i="21"/>
  <c r="W24" i="21"/>
  <c r="G24" i="15"/>
  <c r="P24" i="15"/>
  <c r="O24" i="15"/>
  <c r="N24" i="15" s="1"/>
  <c r="AA24" i="15" s="1"/>
  <c r="U24" i="15"/>
  <c r="J89" i="5"/>
  <c r="H90" i="5" s="1"/>
  <c r="I90" i="5" s="1"/>
  <c r="E24" i="15"/>
  <c r="D25" i="21" l="1"/>
  <c r="I25" i="21" s="1"/>
  <c r="C25" i="21"/>
  <c r="AB24" i="15"/>
  <c r="G91" i="5"/>
  <c r="B90" i="5"/>
  <c r="L24" i="15"/>
  <c r="D25" i="15" s="1"/>
  <c r="I25" i="15" s="1"/>
  <c r="X24" i="15"/>
  <c r="W24" i="15"/>
  <c r="K24" i="15"/>
  <c r="K15" i="14"/>
  <c r="K10" i="14"/>
  <c r="M10" i="14"/>
  <c r="O10" i="14"/>
  <c r="N10" i="9"/>
  <c r="N12" i="9"/>
  <c r="Q15" i="9"/>
  <c r="L12" i="9"/>
  <c r="J10" i="9"/>
  <c r="L10" i="9"/>
  <c r="J12" i="9"/>
  <c r="U25" i="21" l="1"/>
  <c r="N25" i="21"/>
  <c r="O25" i="21"/>
  <c r="P25" i="21"/>
  <c r="G25" i="21"/>
  <c r="T25" i="21"/>
  <c r="E25" i="21"/>
  <c r="K25" i="21" s="1"/>
  <c r="H25" i="21"/>
  <c r="Q25" i="21"/>
  <c r="F25" i="21" s="1"/>
  <c r="J25" i="21" s="1"/>
  <c r="J90" i="5"/>
  <c r="H91" i="5" s="1"/>
  <c r="I91" i="5" s="1"/>
  <c r="J38" i="5"/>
  <c r="H39" i="5" s="1"/>
  <c r="I39" i="5" s="1"/>
  <c r="G40" i="5" s="1"/>
  <c r="AQ19" i="2"/>
  <c r="AQ20" i="2"/>
  <c r="AQ18" i="2"/>
  <c r="B37" i="5"/>
  <c r="S61" i="12" s="1"/>
  <c r="C25" i="15"/>
  <c r="U25" i="15" s="1"/>
  <c r="O21" i="9"/>
  <c r="N21" i="9"/>
  <c r="AB25" i="21" l="1"/>
  <c r="L25" i="21" s="1"/>
  <c r="AA25" i="21"/>
  <c r="G92" i="5"/>
  <c r="B91" i="5"/>
  <c r="G25" i="15"/>
  <c r="P25" i="15"/>
  <c r="H25" i="15"/>
  <c r="T25" i="15"/>
  <c r="O25" i="15"/>
  <c r="N25" i="15" s="1"/>
  <c r="AB25" i="15" s="1"/>
  <c r="Q25" i="15"/>
  <c r="F25" i="15" s="1"/>
  <c r="J25" i="15" s="1"/>
  <c r="N23" i="14"/>
  <c r="C34" i="10"/>
  <c r="D26" i="21" l="1"/>
  <c r="I26" i="21" s="1"/>
  <c r="C26" i="21"/>
  <c r="X25" i="21"/>
  <c r="W25" i="21"/>
  <c r="J34" i="10"/>
  <c r="W25" i="15"/>
  <c r="J91" i="5"/>
  <c r="H92" i="5" s="1"/>
  <c r="I92" i="5" s="1"/>
  <c r="B92" i="5" s="1"/>
  <c r="B38" i="5"/>
  <c r="J39" i="5"/>
  <c r="H40" i="5" s="1"/>
  <c r="I40" i="5" s="1"/>
  <c r="E25" i="15"/>
  <c r="K25" i="15" s="1"/>
  <c r="AA25" i="15"/>
  <c r="X25" i="15"/>
  <c r="CC39" i="12"/>
  <c r="G26" i="21" l="1"/>
  <c r="T26" i="21"/>
  <c r="Q26" i="21"/>
  <c r="F26" i="21" s="1"/>
  <c r="J26" i="21" s="1"/>
  <c r="N26" i="21"/>
  <c r="U26" i="21"/>
  <c r="P26" i="21"/>
  <c r="O26" i="21"/>
  <c r="H26" i="21"/>
  <c r="E26" i="21"/>
  <c r="L25" i="15"/>
  <c r="C26" i="15" s="1"/>
  <c r="AB26" i="21" l="1"/>
  <c r="L26" i="21" s="1"/>
  <c r="AA26" i="21"/>
  <c r="K26" i="21"/>
  <c r="J92" i="5"/>
  <c r="B39" i="5"/>
  <c r="D26" i="15"/>
  <c r="I26" i="15" s="1"/>
  <c r="U26" i="15"/>
  <c r="T26" i="15"/>
  <c r="Q26" i="15"/>
  <c r="H26" i="15"/>
  <c r="P26" i="15"/>
  <c r="G26" i="15"/>
  <c r="O26" i="15"/>
  <c r="N26" i="15"/>
  <c r="D27" i="21" l="1"/>
  <c r="I27" i="21" s="1"/>
  <c r="C27" i="21"/>
  <c r="W26" i="21"/>
  <c r="X26" i="21"/>
  <c r="J40" i="5"/>
  <c r="F26" i="15"/>
  <c r="J26" i="15" s="1"/>
  <c r="E26" i="15"/>
  <c r="AB26" i="15"/>
  <c r="X26" i="15" s="1"/>
  <c r="AA26" i="15"/>
  <c r="P27" i="21" l="1"/>
  <c r="N27" i="21"/>
  <c r="O27" i="21"/>
  <c r="Q27" i="21"/>
  <c r="G27" i="21"/>
  <c r="H27" i="21"/>
  <c r="T27" i="21"/>
  <c r="U27" i="21"/>
  <c r="G41" i="5"/>
  <c r="W26" i="15"/>
  <c r="L26" i="15"/>
  <c r="K26" i="15"/>
  <c r="BL48" i="2"/>
  <c r="BZ49" i="2"/>
  <c r="CD49" i="2"/>
  <c r="F27" i="21" l="1"/>
  <c r="J27" i="21" s="1"/>
  <c r="AB27" i="21"/>
  <c r="W27" i="21" s="1"/>
  <c r="AA27" i="21"/>
  <c r="H41" i="5"/>
  <c r="I41" i="5" s="1"/>
  <c r="B2" i="5"/>
  <c r="B40" i="5"/>
  <c r="D27" i="15"/>
  <c r="I27" i="15" s="1"/>
  <c r="C27" i="15"/>
  <c r="N16" i="2"/>
  <c r="N27" i="2"/>
  <c r="E27" i="21" l="1"/>
  <c r="X27" i="21"/>
  <c r="T64" i="2"/>
  <c r="BM46" i="18"/>
  <c r="BM46" i="2"/>
  <c r="J41" i="5"/>
  <c r="O27" i="15"/>
  <c r="Q27" i="15"/>
  <c r="F27" i="15" s="1"/>
  <c r="J27" i="15" s="1"/>
  <c r="N27" i="15"/>
  <c r="U27" i="15"/>
  <c r="T27" i="15"/>
  <c r="P27" i="15"/>
  <c r="H27" i="15"/>
  <c r="G27" i="15"/>
  <c r="K27" i="21" l="1"/>
  <c r="L27" i="21"/>
  <c r="B3" i="5"/>
  <c r="G4" i="5"/>
  <c r="G42" i="5"/>
  <c r="E27" i="15"/>
  <c r="K27" i="15" s="1"/>
  <c r="AB27" i="15"/>
  <c r="AA27" i="15"/>
  <c r="D28" i="21" l="1"/>
  <c r="I28" i="21" s="1"/>
  <c r="C28" i="21"/>
  <c r="BN46" i="2"/>
  <c r="BN46" i="18"/>
  <c r="H42" i="5"/>
  <c r="I42" i="5" s="1"/>
  <c r="B41" i="5"/>
  <c r="L27" i="15"/>
  <c r="W27" i="15"/>
  <c r="X27" i="15"/>
  <c r="E11" i="4"/>
  <c r="B11" i="4" s="1"/>
  <c r="E10" i="4"/>
  <c r="B10" i="4" s="1"/>
  <c r="E9" i="4"/>
  <c r="B9" i="4" s="1"/>
  <c r="E8" i="4"/>
  <c r="B8" i="4"/>
  <c r="E7" i="4"/>
  <c r="B7" i="4" s="1"/>
  <c r="E6" i="4"/>
  <c r="B6" i="4" s="1"/>
  <c r="E5" i="4"/>
  <c r="B5" i="4" s="1"/>
  <c r="E4" i="4"/>
  <c r="B4" i="4"/>
  <c r="E3" i="4"/>
  <c r="B3" i="4" s="1"/>
  <c r="T28" i="21" l="1"/>
  <c r="G28" i="21"/>
  <c r="N28" i="21"/>
  <c r="O28" i="21"/>
  <c r="P28" i="21"/>
  <c r="Q28" i="21"/>
  <c r="F28" i="21" s="1"/>
  <c r="J28" i="21" s="1"/>
  <c r="H28" i="21"/>
  <c r="U28" i="21"/>
  <c r="J42" i="5"/>
  <c r="J13" i="9"/>
  <c r="AS28" i="2"/>
  <c r="AT29" i="2" s="1"/>
  <c r="D28" i="15"/>
  <c r="I28" i="15" s="1"/>
  <c r="C28" i="15"/>
  <c r="E28" i="21" l="1"/>
  <c r="AB28" i="21"/>
  <c r="X28" i="21" s="1"/>
  <c r="AA28" i="21"/>
  <c r="G43" i="5"/>
  <c r="AQ29" i="2"/>
  <c r="AL21" i="2" s="1"/>
  <c r="AL44" i="2" s="1"/>
  <c r="AL43" i="2" s="1"/>
  <c r="AQ28" i="2"/>
  <c r="Q28" i="15"/>
  <c r="F28" i="15" s="1"/>
  <c r="J28" i="15" s="1"/>
  <c r="U28" i="15"/>
  <c r="H28" i="15"/>
  <c r="T28" i="15"/>
  <c r="P28" i="15"/>
  <c r="G28" i="15"/>
  <c r="O28" i="15"/>
  <c r="N28" i="15"/>
  <c r="Q21" i="9"/>
  <c r="K28" i="21" l="1"/>
  <c r="L28" i="21"/>
  <c r="W28" i="21"/>
  <c r="H43" i="5"/>
  <c r="I43" i="5" s="1"/>
  <c r="B42" i="5"/>
  <c r="AQ17" i="2"/>
  <c r="AQ21" i="2"/>
  <c r="AQ22" i="2"/>
  <c r="E28" i="15"/>
  <c r="AB28" i="15"/>
  <c r="X28" i="15" s="1"/>
  <c r="AA28" i="15"/>
  <c r="D29" i="21" l="1"/>
  <c r="I29" i="21" s="1"/>
  <c r="C29" i="21"/>
  <c r="J43" i="5"/>
  <c r="K28" i="15"/>
  <c r="L28" i="15"/>
  <c r="W28" i="15"/>
  <c r="E34" i="10"/>
  <c r="P29" i="21" l="1"/>
  <c r="G29" i="21"/>
  <c r="U29" i="21"/>
  <c r="N29" i="21"/>
  <c r="T29" i="21"/>
  <c r="O29" i="21"/>
  <c r="H29" i="21"/>
  <c r="Q29" i="21"/>
  <c r="F29" i="21" s="1"/>
  <c r="J29" i="21" s="1"/>
  <c r="G34" i="10"/>
  <c r="G44" i="5"/>
  <c r="D29" i="15"/>
  <c r="I29" i="15" s="1"/>
  <c r="C29" i="15"/>
  <c r="D34" i="10"/>
  <c r="J33" i="10" s="1"/>
  <c r="E29" i="21" l="1"/>
  <c r="AA29" i="21"/>
  <c r="AB29" i="21"/>
  <c r="W29" i="21" s="1"/>
  <c r="F34" i="10"/>
  <c r="H34" i="10"/>
  <c r="G33" i="10"/>
  <c r="H44" i="5"/>
  <c r="I44" i="5" s="1"/>
  <c r="B43" i="5"/>
  <c r="O29" i="15"/>
  <c r="N29" i="15"/>
  <c r="U29" i="15"/>
  <c r="T29" i="15"/>
  <c r="Q29" i="15"/>
  <c r="F29" i="15" s="1"/>
  <c r="J29" i="15" s="1"/>
  <c r="H29" i="15"/>
  <c r="P29" i="15"/>
  <c r="G29" i="15"/>
  <c r="L29" i="21" l="1"/>
  <c r="K29" i="21"/>
  <c r="X29" i="21"/>
  <c r="K34" i="10"/>
  <c r="Q34" i="10"/>
  <c r="E35" i="10" s="1"/>
  <c r="I33" i="10"/>
  <c r="H33" i="10"/>
  <c r="K33" i="10" s="1"/>
  <c r="I34" i="10"/>
  <c r="R34" i="10"/>
  <c r="R33" i="10"/>
  <c r="J44" i="5"/>
  <c r="E29" i="15"/>
  <c r="K29" i="15" s="1"/>
  <c r="AB29" i="15"/>
  <c r="X29" i="15" s="1"/>
  <c r="AA29" i="15"/>
  <c r="D30" i="21" l="1"/>
  <c r="I30" i="21" s="1"/>
  <c r="C30" i="21"/>
  <c r="G45" i="5"/>
  <c r="W29" i="15"/>
  <c r="L29" i="15"/>
  <c r="T30" i="21" l="1"/>
  <c r="F30" i="21"/>
  <c r="J30" i="21" s="1"/>
  <c r="O30" i="21"/>
  <c r="G30" i="21"/>
  <c r="P30" i="21"/>
  <c r="U30" i="21"/>
  <c r="N30" i="21"/>
  <c r="H30" i="21"/>
  <c r="Q30" i="21"/>
  <c r="E30" i="21" s="1"/>
  <c r="H45" i="5"/>
  <c r="I45" i="5" s="1"/>
  <c r="B44" i="5"/>
  <c r="D30" i="15"/>
  <c r="I30" i="15" s="1"/>
  <c r="C30" i="15"/>
  <c r="X30" i="21" l="1"/>
  <c r="K30" i="21"/>
  <c r="AB30" i="21"/>
  <c r="W30" i="21" s="1"/>
  <c r="AA30" i="21"/>
  <c r="C35" i="10"/>
  <c r="J45" i="5"/>
  <c r="N30" i="15"/>
  <c r="O30" i="15"/>
  <c r="G30" i="15"/>
  <c r="U30" i="15"/>
  <c r="T30" i="15"/>
  <c r="P30" i="15"/>
  <c r="Q30" i="15"/>
  <c r="F30" i="15" s="1"/>
  <c r="J30" i="15" s="1"/>
  <c r="H30" i="15"/>
  <c r="L30" i="21" l="1"/>
  <c r="G35" i="10"/>
  <c r="H35" i="10" s="1"/>
  <c r="J35" i="10"/>
  <c r="D35" i="10"/>
  <c r="G46" i="5"/>
  <c r="E30" i="15"/>
  <c r="AB30" i="15"/>
  <c r="W30" i="15" s="1"/>
  <c r="AA30" i="15"/>
  <c r="D31" i="21" l="1"/>
  <c r="I31" i="21" s="1"/>
  <c r="C31" i="21"/>
  <c r="F35" i="10"/>
  <c r="Q35" i="10" s="1"/>
  <c r="K35" i="10"/>
  <c r="H46" i="5"/>
  <c r="I46" i="5" s="1"/>
  <c r="B45" i="5"/>
  <c r="X30" i="15"/>
  <c r="K30" i="15"/>
  <c r="L30" i="15"/>
  <c r="U31" i="21" l="1"/>
  <c r="O31" i="21"/>
  <c r="H31" i="21"/>
  <c r="G31" i="21"/>
  <c r="P31" i="21"/>
  <c r="N31" i="21"/>
  <c r="Q31" i="21"/>
  <c r="F31" i="21" s="1"/>
  <c r="J31" i="21" s="1"/>
  <c r="T31" i="21"/>
  <c r="I35" i="10"/>
  <c r="R35" i="10"/>
  <c r="J46" i="5"/>
  <c r="D31" i="15"/>
  <c r="I31" i="15" s="1"/>
  <c r="C31" i="15"/>
  <c r="AB31" i="21" l="1"/>
  <c r="W31" i="21" s="1"/>
  <c r="AA31" i="21"/>
  <c r="E31" i="21"/>
  <c r="G47" i="5"/>
  <c r="P31" i="15"/>
  <c r="H31" i="15"/>
  <c r="G31" i="15"/>
  <c r="O31" i="15"/>
  <c r="N31" i="15"/>
  <c r="T31" i="15"/>
  <c r="U31" i="15"/>
  <c r="Q31" i="15"/>
  <c r="F31" i="15" s="1"/>
  <c r="J31" i="15" s="1"/>
  <c r="K31" i="21" l="1"/>
  <c r="L31" i="21"/>
  <c r="X31" i="21"/>
  <c r="E36" i="10"/>
  <c r="C36" i="10"/>
  <c r="H47" i="5"/>
  <c r="I47" i="5" s="1"/>
  <c r="B46" i="5"/>
  <c r="E31" i="15"/>
  <c r="K31" i="15" s="1"/>
  <c r="AB31" i="15"/>
  <c r="W31" i="15" s="1"/>
  <c r="AA31" i="15"/>
  <c r="D32" i="21" l="1"/>
  <c r="I32" i="21" s="1"/>
  <c r="C32" i="21"/>
  <c r="J36" i="10"/>
  <c r="G36" i="10"/>
  <c r="H36" i="10" s="1"/>
  <c r="F36" i="10"/>
  <c r="Q36" i="10" s="1"/>
  <c r="D36" i="10"/>
  <c r="J47" i="5"/>
  <c r="L31" i="15"/>
  <c r="D32" i="15" s="1"/>
  <c r="I32" i="15" s="1"/>
  <c r="X31" i="15"/>
  <c r="T32" i="21" l="1"/>
  <c r="H32" i="21"/>
  <c r="Q32" i="21"/>
  <c r="F32" i="21" s="1"/>
  <c r="J32" i="21" s="1"/>
  <c r="G32" i="21"/>
  <c r="U32" i="21"/>
  <c r="O32" i="21"/>
  <c r="N32" i="21"/>
  <c r="P32" i="21"/>
  <c r="K36" i="10"/>
  <c r="G48" i="5"/>
  <c r="C32" i="15"/>
  <c r="P32" i="15" s="1"/>
  <c r="E32" i="21" l="1"/>
  <c r="AB32" i="21"/>
  <c r="W32" i="21" s="1"/>
  <c r="AA32" i="21"/>
  <c r="E37" i="10"/>
  <c r="I36" i="10"/>
  <c r="R36" i="10"/>
  <c r="H48" i="5"/>
  <c r="I48" i="5" s="1"/>
  <c r="B47" i="5"/>
  <c r="U32" i="15"/>
  <c r="O32" i="15"/>
  <c r="T32" i="15"/>
  <c r="G32" i="15"/>
  <c r="H32" i="15"/>
  <c r="Q32" i="15"/>
  <c r="F32" i="15" s="1"/>
  <c r="J32" i="15" s="1"/>
  <c r="N32" i="15"/>
  <c r="AB32" i="15" s="1"/>
  <c r="K32" i="21" l="1"/>
  <c r="L32" i="21"/>
  <c r="X32" i="21"/>
  <c r="C37" i="10"/>
  <c r="W32" i="15"/>
  <c r="E32" i="15"/>
  <c r="L32" i="15" s="1"/>
  <c r="J48" i="5"/>
  <c r="AA32" i="15"/>
  <c r="X32" i="15"/>
  <c r="D33" i="21" l="1"/>
  <c r="I33" i="21" s="1"/>
  <c r="C33" i="21"/>
  <c r="G37" i="10"/>
  <c r="H37" i="10" s="1"/>
  <c r="J37" i="10"/>
  <c r="D37" i="10"/>
  <c r="K32" i="15"/>
  <c r="G49" i="5"/>
  <c r="D33" i="15"/>
  <c r="I33" i="15" s="1"/>
  <c r="C33" i="15"/>
  <c r="P33" i="21" l="1"/>
  <c r="T33" i="21"/>
  <c r="F33" i="21"/>
  <c r="J33" i="21" s="1"/>
  <c r="G33" i="21"/>
  <c r="U33" i="21"/>
  <c r="N33" i="21"/>
  <c r="H33" i="21"/>
  <c r="Q33" i="21"/>
  <c r="E33" i="21" s="1"/>
  <c r="O33" i="21"/>
  <c r="F37" i="10"/>
  <c r="Q37" i="10" s="1"/>
  <c r="H49" i="5"/>
  <c r="I49" i="5" s="1"/>
  <c r="B48" i="5"/>
  <c r="O33" i="15"/>
  <c r="T33" i="15"/>
  <c r="N33" i="15"/>
  <c r="U33" i="15"/>
  <c r="Q33" i="15"/>
  <c r="F33" i="15" s="1"/>
  <c r="J33" i="15" s="1"/>
  <c r="H33" i="15"/>
  <c r="P33" i="15"/>
  <c r="G33" i="15"/>
  <c r="K33" i="21" l="1"/>
  <c r="AA33" i="21"/>
  <c r="AB33" i="21"/>
  <c r="X33" i="21" s="1"/>
  <c r="K37" i="10"/>
  <c r="C38" i="10"/>
  <c r="I37" i="10"/>
  <c r="R37" i="10"/>
  <c r="J49" i="5"/>
  <c r="E33" i="15"/>
  <c r="K33" i="15" s="1"/>
  <c r="AB33" i="15"/>
  <c r="AA33" i="15"/>
  <c r="W33" i="21" l="1"/>
  <c r="L33" i="21"/>
  <c r="J38" i="10"/>
  <c r="E38" i="10"/>
  <c r="G38" i="10" s="1"/>
  <c r="H38" i="10" s="1"/>
  <c r="D38" i="10"/>
  <c r="G50" i="5"/>
  <c r="W33" i="15"/>
  <c r="X33" i="15"/>
  <c r="L33" i="15"/>
  <c r="D34" i="21" l="1"/>
  <c r="I34" i="21" s="1"/>
  <c r="C34" i="21"/>
  <c r="F38" i="10"/>
  <c r="Q38" i="10" s="1"/>
  <c r="H50" i="5"/>
  <c r="I50" i="5" s="1"/>
  <c r="B49" i="5"/>
  <c r="D34" i="15"/>
  <c r="I34" i="15" s="1"/>
  <c r="C34" i="15"/>
  <c r="H34" i="21" l="1"/>
  <c r="G34" i="21"/>
  <c r="N34" i="21"/>
  <c r="P34" i="21"/>
  <c r="Q34" i="21"/>
  <c r="F34" i="21" s="1"/>
  <c r="J34" i="21" s="1"/>
  <c r="T34" i="21"/>
  <c r="O34" i="21"/>
  <c r="E34" i="21"/>
  <c r="K34" i="21" s="1"/>
  <c r="U34" i="21"/>
  <c r="I38" i="10"/>
  <c r="K38" i="10"/>
  <c r="R38" i="10"/>
  <c r="J50" i="5"/>
  <c r="O34" i="15"/>
  <c r="N34" i="15"/>
  <c r="U34" i="15"/>
  <c r="T34" i="15"/>
  <c r="Q34" i="15"/>
  <c r="F34" i="15" s="1"/>
  <c r="H34" i="15"/>
  <c r="P34" i="15"/>
  <c r="G34" i="15"/>
  <c r="AB34" i="21" l="1"/>
  <c r="AA34" i="21"/>
  <c r="G51" i="5"/>
  <c r="J34" i="15"/>
  <c r="E34" i="15"/>
  <c r="AB34" i="15"/>
  <c r="X34" i="15" s="1"/>
  <c r="AA34" i="15"/>
  <c r="X34" i="21" l="1"/>
  <c r="W34" i="21"/>
  <c r="L34" i="21"/>
  <c r="C39" i="10"/>
  <c r="E39" i="10"/>
  <c r="H51" i="5"/>
  <c r="I51" i="5" s="1"/>
  <c r="B50" i="5"/>
  <c r="K34" i="15"/>
  <c r="L34" i="15"/>
  <c r="W34" i="15"/>
  <c r="D35" i="21" l="1"/>
  <c r="I35" i="21" s="1"/>
  <c r="C35" i="21"/>
  <c r="J39" i="10"/>
  <c r="G39" i="10"/>
  <c r="H39" i="10" s="1"/>
  <c r="D39" i="10"/>
  <c r="J51" i="5"/>
  <c r="D35" i="15"/>
  <c r="I35" i="15" s="1"/>
  <c r="C35" i="15"/>
  <c r="G35" i="21" l="1"/>
  <c r="N35" i="21"/>
  <c r="P35" i="21"/>
  <c r="T35" i="21"/>
  <c r="U35" i="21"/>
  <c r="O35" i="21"/>
  <c r="H35" i="21"/>
  <c r="Q35" i="21"/>
  <c r="F35" i="21" s="1"/>
  <c r="J35" i="21" s="1"/>
  <c r="F39" i="10"/>
  <c r="Q39" i="10" s="1"/>
  <c r="G52" i="5"/>
  <c r="P35" i="15"/>
  <c r="G35" i="15"/>
  <c r="O35" i="15"/>
  <c r="U35" i="15"/>
  <c r="N35" i="15"/>
  <c r="T35" i="15"/>
  <c r="H35" i="15"/>
  <c r="Q35" i="15"/>
  <c r="F35" i="15" s="1"/>
  <c r="J35" i="15" s="1"/>
  <c r="AB35" i="21" l="1"/>
  <c r="X35" i="21" s="1"/>
  <c r="AA35" i="21"/>
  <c r="E35" i="21"/>
  <c r="K39" i="10"/>
  <c r="I39" i="10"/>
  <c r="R39" i="10"/>
  <c r="H52" i="5"/>
  <c r="I52" i="5" s="1"/>
  <c r="B51" i="5"/>
  <c r="AB35" i="15"/>
  <c r="AA35" i="15"/>
  <c r="E35" i="15"/>
  <c r="L35" i="21" l="1"/>
  <c r="K35" i="21"/>
  <c r="W35" i="21"/>
  <c r="C40" i="10"/>
  <c r="J52" i="5"/>
  <c r="L35" i="15"/>
  <c r="K35" i="15"/>
  <c r="X35" i="15"/>
  <c r="W35" i="15"/>
  <c r="E40" i="10"/>
  <c r="D36" i="21" l="1"/>
  <c r="I36" i="21" s="1"/>
  <c r="C36" i="21"/>
  <c r="J40" i="10"/>
  <c r="G40" i="10"/>
  <c r="H40" i="10" s="1"/>
  <c r="F40" i="10"/>
  <c r="Q40" i="10" s="1"/>
  <c r="D40" i="10"/>
  <c r="G53" i="5"/>
  <c r="D36" i="15"/>
  <c r="I36" i="15" s="1"/>
  <c r="C36" i="15"/>
  <c r="G36" i="21" l="1"/>
  <c r="N36" i="21"/>
  <c r="O36" i="21"/>
  <c r="U36" i="21"/>
  <c r="T36" i="21"/>
  <c r="Q36" i="21"/>
  <c r="F36" i="21" s="1"/>
  <c r="J36" i="21" s="1"/>
  <c r="P36" i="21"/>
  <c r="H36" i="21"/>
  <c r="K40" i="10"/>
  <c r="H53" i="5"/>
  <c r="I53" i="5" s="1"/>
  <c r="B52" i="5"/>
  <c r="P36" i="15"/>
  <c r="G36" i="15"/>
  <c r="T36" i="15"/>
  <c r="Q36" i="15"/>
  <c r="F36" i="15" s="1"/>
  <c r="J36" i="15" s="1"/>
  <c r="H36" i="15"/>
  <c r="N36" i="15"/>
  <c r="O36" i="15"/>
  <c r="U36" i="15"/>
  <c r="E36" i="21" l="1"/>
  <c r="AB36" i="21"/>
  <c r="W36" i="21" s="1"/>
  <c r="AA36" i="21"/>
  <c r="C41" i="10"/>
  <c r="I40" i="10"/>
  <c r="R40" i="10"/>
  <c r="J53" i="5"/>
  <c r="AB36" i="15"/>
  <c r="X36" i="15" s="1"/>
  <c r="AA36" i="15"/>
  <c r="E36" i="15"/>
  <c r="K36" i="15" s="1"/>
  <c r="L36" i="21" l="1"/>
  <c r="K36" i="21"/>
  <c r="X36" i="21"/>
  <c r="J41" i="10"/>
  <c r="G54" i="5"/>
  <c r="W36" i="15"/>
  <c r="L36" i="15"/>
  <c r="D41" i="10"/>
  <c r="E41" i="10"/>
  <c r="G41" i="10" s="1"/>
  <c r="H41" i="10" s="1"/>
  <c r="D37" i="21" l="1"/>
  <c r="I37" i="21" s="1"/>
  <c r="C37" i="21"/>
  <c r="H54" i="5"/>
  <c r="I54" i="5" s="1"/>
  <c r="B53" i="5"/>
  <c r="D37" i="15"/>
  <c r="I37" i="15" s="1"/>
  <c r="C37" i="15"/>
  <c r="Q37" i="21" l="1"/>
  <c r="F37" i="21" s="1"/>
  <c r="J37" i="21" s="1"/>
  <c r="H37" i="21"/>
  <c r="N37" i="21"/>
  <c r="T37" i="21"/>
  <c r="O37" i="21"/>
  <c r="U37" i="21"/>
  <c r="P37" i="21"/>
  <c r="G37" i="21"/>
  <c r="E37" i="21"/>
  <c r="K37" i="21" s="1"/>
  <c r="F41" i="10"/>
  <c r="Q41" i="10" s="1"/>
  <c r="J54" i="5"/>
  <c r="U37" i="15"/>
  <c r="P37" i="15"/>
  <c r="O37" i="15"/>
  <c r="T37" i="15"/>
  <c r="Q37" i="15"/>
  <c r="F37" i="15" s="1"/>
  <c r="J37" i="15" s="1"/>
  <c r="H37" i="15"/>
  <c r="N37" i="15"/>
  <c r="G37" i="15"/>
  <c r="AB37" i="21" l="1"/>
  <c r="X37" i="21" s="1"/>
  <c r="AA37" i="21"/>
  <c r="I41" i="10"/>
  <c r="K41" i="10"/>
  <c r="C42" i="10"/>
  <c r="R41" i="10"/>
  <c r="G55" i="5"/>
  <c r="AB37" i="15"/>
  <c r="AA37" i="15"/>
  <c r="E37" i="15"/>
  <c r="L37" i="21" l="1"/>
  <c r="W37" i="21"/>
  <c r="J42" i="10"/>
  <c r="H55" i="5"/>
  <c r="I55" i="5" s="1"/>
  <c r="B54" i="5"/>
  <c r="L37" i="15"/>
  <c r="K37" i="15"/>
  <c r="W37" i="15"/>
  <c r="X37" i="15"/>
  <c r="E42" i="10"/>
  <c r="G42" i="10" s="1"/>
  <c r="H42" i="10" s="1"/>
  <c r="D42" i="10"/>
  <c r="D38" i="21" l="1"/>
  <c r="I38" i="21" s="1"/>
  <c r="C38" i="21"/>
  <c r="J55" i="5"/>
  <c r="D38" i="15"/>
  <c r="I38" i="15" s="1"/>
  <c r="C38" i="15"/>
  <c r="T38" i="21" l="1"/>
  <c r="U38" i="21"/>
  <c r="Q38" i="21"/>
  <c r="F38" i="21" s="1"/>
  <c r="J38" i="21" s="1"/>
  <c r="H38" i="21"/>
  <c r="G38" i="21"/>
  <c r="N38" i="21"/>
  <c r="P38" i="21"/>
  <c r="O38" i="21"/>
  <c r="F42" i="10"/>
  <c r="Q42" i="10" s="1"/>
  <c r="G56" i="5"/>
  <c r="U38" i="15"/>
  <c r="N38" i="15"/>
  <c r="T38" i="15"/>
  <c r="P38" i="15"/>
  <c r="Q38" i="15"/>
  <c r="F38" i="15" s="1"/>
  <c r="J38" i="15" s="1"/>
  <c r="H38" i="15"/>
  <c r="O38" i="15"/>
  <c r="G38" i="15"/>
  <c r="AB38" i="21" l="1"/>
  <c r="X38" i="21" s="1"/>
  <c r="AA38" i="21"/>
  <c r="E38" i="21"/>
  <c r="I42" i="10"/>
  <c r="K42" i="10"/>
  <c r="R42" i="10"/>
  <c r="H56" i="5"/>
  <c r="I56" i="5" s="1"/>
  <c r="B55" i="5"/>
  <c r="E38" i="15"/>
  <c r="K38" i="15" s="1"/>
  <c r="AB38" i="15"/>
  <c r="AA38" i="15"/>
  <c r="L38" i="21" l="1"/>
  <c r="K38" i="21"/>
  <c r="W38" i="21"/>
  <c r="C43" i="10"/>
  <c r="J56" i="5"/>
  <c r="W38" i="15"/>
  <c r="X38" i="15"/>
  <c r="L38" i="15"/>
  <c r="D39" i="21" l="1"/>
  <c r="I39" i="21" s="1"/>
  <c r="C39" i="21"/>
  <c r="J43" i="10"/>
  <c r="E43" i="10"/>
  <c r="G43" i="10" s="1"/>
  <c r="H43" i="10" s="1"/>
  <c r="D43" i="10"/>
  <c r="G57" i="5"/>
  <c r="D39" i="15"/>
  <c r="I39" i="15" s="1"/>
  <c r="C39" i="15"/>
  <c r="N39" i="21" l="1"/>
  <c r="U39" i="21"/>
  <c r="Q39" i="21"/>
  <c r="F39" i="21" s="1"/>
  <c r="J39" i="21" s="1"/>
  <c r="T39" i="21"/>
  <c r="G39" i="21"/>
  <c r="P39" i="21"/>
  <c r="H39" i="21"/>
  <c r="O39" i="21"/>
  <c r="H57" i="5"/>
  <c r="I57" i="5" s="1"/>
  <c r="B56" i="5"/>
  <c r="O39" i="15"/>
  <c r="U39" i="15"/>
  <c r="N39" i="15"/>
  <c r="T39" i="15"/>
  <c r="Q39" i="15"/>
  <c r="F39" i="15" s="1"/>
  <c r="J39" i="15" s="1"/>
  <c r="H39" i="15"/>
  <c r="P39" i="15"/>
  <c r="G39" i="15"/>
  <c r="E39" i="21" l="1"/>
  <c r="AB39" i="21"/>
  <c r="X39" i="21" s="1"/>
  <c r="AA39" i="21"/>
  <c r="F43" i="10"/>
  <c r="Q43" i="10" s="1"/>
  <c r="J57" i="5"/>
  <c r="AB39" i="15"/>
  <c r="X39" i="15" s="1"/>
  <c r="AA39" i="15"/>
  <c r="E39" i="15"/>
  <c r="K39" i="21" l="1"/>
  <c r="L39" i="21"/>
  <c r="W39" i="21"/>
  <c r="I43" i="10"/>
  <c r="K43" i="10"/>
  <c r="R43" i="10"/>
  <c r="C44" i="10"/>
  <c r="G58" i="5"/>
  <c r="W39" i="15"/>
  <c r="L39" i="15"/>
  <c r="K39" i="15"/>
  <c r="D40" i="21" l="1"/>
  <c r="I40" i="21" s="1"/>
  <c r="C40" i="21"/>
  <c r="J44" i="10"/>
  <c r="E44" i="10"/>
  <c r="G44" i="10" s="1"/>
  <c r="H44" i="10" s="1"/>
  <c r="D44" i="10"/>
  <c r="H58" i="5"/>
  <c r="I58" i="5" s="1"/>
  <c r="B57" i="5"/>
  <c r="D40" i="15"/>
  <c r="I40" i="15" s="1"/>
  <c r="C40" i="15"/>
  <c r="G40" i="21" l="1"/>
  <c r="P40" i="21"/>
  <c r="F40" i="21"/>
  <c r="J40" i="21" s="1"/>
  <c r="N40" i="21"/>
  <c r="T40" i="21"/>
  <c r="U40" i="21"/>
  <c r="E40" i="21"/>
  <c r="K40" i="21" s="1"/>
  <c r="Q40" i="21"/>
  <c r="H40" i="21"/>
  <c r="O40" i="21"/>
  <c r="F44" i="10"/>
  <c r="Q44" i="10" s="1"/>
  <c r="J58" i="5"/>
  <c r="O40" i="15"/>
  <c r="N40" i="15"/>
  <c r="T40" i="15"/>
  <c r="Q40" i="15"/>
  <c r="F40" i="15" s="1"/>
  <c r="J40" i="15" s="1"/>
  <c r="U40" i="15"/>
  <c r="H40" i="15"/>
  <c r="P40" i="15"/>
  <c r="G40" i="15"/>
  <c r="AB40" i="21" l="1"/>
  <c r="X40" i="21" s="1"/>
  <c r="AA40" i="21"/>
  <c r="I44" i="10"/>
  <c r="K44" i="10"/>
  <c r="B58" i="5"/>
  <c r="E40" i="15"/>
  <c r="K40" i="15" s="1"/>
  <c r="AB40" i="15"/>
  <c r="AA40" i="15"/>
  <c r="L40" i="21" l="1"/>
  <c r="W40" i="21"/>
  <c r="R44" i="10"/>
  <c r="C45" i="10"/>
  <c r="L40" i="15"/>
  <c r="W40" i="15"/>
  <c r="X40" i="15"/>
  <c r="C41" i="21" l="1"/>
  <c r="D41" i="21"/>
  <c r="I41" i="21" s="1"/>
  <c r="J45" i="10"/>
  <c r="D45" i="10"/>
  <c r="D41" i="15"/>
  <c r="I41" i="15" s="1"/>
  <c r="C41" i="15"/>
  <c r="E45" i="10"/>
  <c r="G45" i="10" s="1"/>
  <c r="H45" i="10" s="1"/>
  <c r="Q41" i="21" l="1"/>
  <c r="F41" i="21" s="1"/>
  <c r="J41" i="21" s="1"/>
  <c r="T41" i="21"/>
  <c r="O41" i="21"/>
  <c r="H41" i="21"/>
  <c r="N41" i="21"/>
  <c r="G41" i="21"/>
  <c r="U41" i="21"/>
  <c r="P41" i="21"/>
  <c r="F45" i="10"/>
  <c r="Q45" i="10" s="1"/>
  <c r="Q41" i="15"/>
  <c r="F41" i="15" s="1"/>
  <c r="J41" i="15" s="1"/>
  <c r="H41" i="15"/>
  <c r="P41" i="15"/>
  <c r="O41" i="15"/>
  <c r="G41" i="15"/>
  <c r="N41" i="15"/>
  <c r="T41" i="15"/>
  <c r="U41" i="15"/>
  <c r="E41" i="15"/>
  <c r="AB41" i="21" l="1"/>
  <c r="X41" i="21" s="1"/>
  <c r="AA41" i="21"/>
  <c r="E41" i="21"/>
  <c r="K45" i="10"/>
  <c r="I45" i="10"/>
  <c r="AB41" i="15"/>
  <c r="W41" i="15" s="1"/>
  <c r="AA41" i="15"/>
  <c r="K41" i="15"/>
  <c r="L41" i="21" l="1"/>
  <c r="K41" i="21"/>
  <c r="W41" i="21"/>
  <c r="R45" i="10"/>
  <c r="X41" i="15"/>
  <c r="L41" i="15"/>
  <c r="D42" i="21" l="1"/>
  <c r="I42" i="21" s="1"/>
  <c r="C42" i="21"/>
  <c r="C46" i="10"/>
  <c r="E46" i="10"/>
  <c r="D42" i="15"/>
  <c r="I42" i="15" s="1"/>
  <c r="C42" i="15"/>
  <c r="T42" i="21" l="1"/>
  <c r="G42" i="21"/>
  <c r="U42" i="21"/>
  <c r="H42" i="21"/>
  <c r="N42" i="21"/>
  <c r="O42" i="21"/>
  <c r="Q42" i="21"/>
  <c r="P42" i="21"/>
  <c r="J46" i="10"/>
  <c r="G46" i="10"/>
  <c r="H46" i="10" s="1"/>
  <c r="D46" i="10"/>
  <c r="H42" i="15"/>
  <c r="P42" i="15"/>
  <c r="G42" i="15"/>
  <c r="N42" i="15"/>
  <c r="U42" i="15"/>
  <c r="T42" i="15"/>
  <c r="O42" i="15"/>
  <c r="Q42" i="15"/>
  <c r="F42" i="15" s="1"/>
  <c r="J42" i="15" s="1"/>
  <c r="AB42" i="21" l="1"/>
  <c r="W42" i="21" s="1"/>
  <c r="AA42" i="21"/>
  <c r="E42" i="21"/>
  <c r="F42" i="21"/>
  <c r="J42" i="21" s="1"/>
  <c r="F46" i="10"/>
  <c r="Q46" i="10" s="1"/>
  <c r="AB42" i="15"/>
  <c r="W42" i="15" s="1"/>
  <c r="AA42" i="15"/>
  <c r="E42" i="15"/>
  <c r="X42" i="21" l="1"/>
  <c r="L42" i="21"/>
  <c r="K42" i="21"/>
  <c r="K46" i="10"/>
  <c r="I46" i="10"/>
  <c r="R46" i="10"/>
  <c r="X42" i="15"/>
  <c r="K42" i="15"/>
  <c r="L42" i="15"/>
  <c r="D43" i="21" l="1"/>
  <c r="I43" i="21" s="1"/>
  <c r="C43" i="21"/>
  <c r="E47" i="10"/>
  <c r="C47" i="10"/>
  <c r="D43" i="15"/>
  <c r="I43" i="15" s="1"/>
  <c r="C43" i="15"/>
  <c r="Q43" i="21" l="1"/>
  <c r="F43" i="21" s="1"/>
  <c r="O43" i="21"/>
  <c r="U43" i="21"/>
  <c r="P43" i="21"/>
  <c r="H43" i="21"/>
  <c r="N43" i="21"/>
  <c r="T43" i="21"/>
  <c r="G43" i="21"/>
  <c r="J47" i="10"/>
  <c r="G47" i="10"/>
  <c r="H47" i="10" s="1"/>
  <c r="D47" i="10"/>
  <c r="P43" i="15"/>
  <c r="G43" i="15"/>
  <c r="O43" i="15"/>
  <c r="N43" i="15"/>
  <c r="T43" i="15"/>
  <c r="U43" i="15"/>
  <c r="H43" i="15"/>
  <c r="Q43" i="15"/>
  <c r="F43" i="15" s="1"/>
  <c r="J43" i="15" s="1"/>
  <c r="J43" i="21" l="1"/>
  <c r="E43" i="21"/>
  <c r="AB43" i="21"/>
  <c r="X43" i="21" s="1"/>
  <c r="AA43" i="21"/>
  <c r="F47" i="10"/>
  <c r="Q47" i="10" s="1"/>
  <c r="E43" i="15"/>
  <c r="AB43" i="15"/>
  <c r="X43" i="15" s="1"/>
  <c r="AA43" i="15"/>
  <c r="W43" i="21" l="1"/>
  <c r="K43" i="21"/>
  <c r="L43" i="21"/>
  <c r="K47" i="10"/>
  <c r="I47" i="10"/>
  <c r="R47" i="10"/>
  <c r="W43" i="15"/>
  <c r="K43" i="15"/>
  <c r="L43" i="15"/>
  <c r="D44" i="21" l="1"/>
  <c r="I44" i="21" s="1"/>
  <c r="C44" i="21"/>
  <c r="E48" i="10"/>
  <c r="C48" i="10"/>
  <c r="D44" i="15"/>
  <c r="I44" i="15" s="1"/>
  <c r="C44" i="15"/>
  <c r="G44" i="21" l="1"/>
  <c r="O44" i="21"/>
  <c r="U44" i="21"/>
  <c r="N44" i="21"/>
  <c r="P44" i="21"/>
  <c r="Q44" i="21"/>
  <c r="F44" i="21" s="1"/>
  <c r="J44" i="21" s="1"/>
  <c r="H44" i="21"/>
  <c r="T44" i="21"/>
  <c r="G48" i="10"/>
  <c r="H48" i="10" s="1"/>
  <c r="J48" i="10"/>
  <c r="D48" i="10"/>
  <c r="H44" i="15"/>
  <c r="O44" i="15"/>
  <c r="G44" i="15"/>
  <c r="P44" i="15"/>
  <c r="N44" i="15"/>
  <c r="U44" i="15"/>
  <c r="Q44" i="15"/>
  <c r="F44" i="15" s="1"/>
  <c r="T44" i="15"/>
  <c r="AB44" i="21" l="1"/>
  <c r="W44" i="21" s="1"/>
  <c r="AA44" i="21"/>
  <c r="E44" i="21"/>
  <c r="F48" i="10"/>
  <c r="Q48" i="10" s="1"/>
  <c r="J44" i="15"/>
  <c r="E44" i="15"/>
  <c r="AB44" i="15"/>
  <c r="X44" i="15" s="1"/>
  <c r="AA44" i="15"/>
  <c r="X44" i="21" l="1"/>
  <c r="K44" i="21"/>
  <c r="L44" i="21"/>
  <c r="K48" i="10"/>
  <c r="I48" i="10"/>
  <c r="R48" i="10"/>
  <c r="W44" i="15"/>
  <c r="L44" i="15"/>
  <c r="K44" i="15"/>
  <c r="D45" i="21" l="1"/>
  <c r="I45" i="21" s="1"/>
  <c r="C45" i="21"/>
  <c r="C49" i="10"/>
  <c r="E49" i="10"/>
  <c r="D45" i="15"/>
  <c r="I45" i="15" s="1"/>
  <c r="C45" i="15"/>
  <c r="H45" i="21" l="1"/>
  <c r="G45" i="21"/>
  <c r="T45" i="21"/>
  <c r="N45" i="21"/>
  <c r="P45" i="21"/>
  <c r="O45" i="21"/>
  <c r="Q45" i="21"/>
  <c r="F45" i="21" s="1"/>
  <c r="J45" i="21" s="1"/>
  <c r="U45" i="21"/>
  <c r="J49" i="10"/>
  <c r="G49" i="10"/>
  <c r="H49" i="10" s="1"/>
  <c r="D49" i="10"/>
  <c r="Q45" i="15"/>
  <c r="F45" i="15" s="1"/>
  <c r="J45" i="15" s="1"/>
  <c r="P45" i="15"/>
  <c r="H45" i="15"/>
  <c r="G45" i="15"/>
  <c r="O45" i="15"/>
  <c r="N45" i="15"/>
  <c r="U45" i="15"/>
  <c r="T45" i="15"/>
  <c r="E45" i="15"/>
  <c r="K45" i="15" s="1"/>
  <c r="AB45" i="21" l="1"/>
  <c r="W45" i="21" s="1"/>
  <c r="AA45" i="21"/>
  <c r="E45" i="21"/>
  <c r="F49" i="10"/>
  <c r="Q49" i="10" s="1"/>
  <c r="AB45" i="15"/>
  <c r="W45" i="15" s="1"/>
  <c r="AA45" i="15"/>
  <c r="L45" i="21" l="1"/>
  <c r="K45" i="21"/>
  <c r="X45" i="21"/>
  <c r="I49" i="10"/>
  <c r="K49" i="10"/>
  <c r="R49" i="10"/>
  <c r="L45" i="15"/>
  <c r="D46" i="15" s="1"/>
  <c r="I46" i="15" s="1"/>
  <c r="X45" i="15"/>
  <c r="D46" i="21" l="1"/>
  <c r="I46" i="21" s="1"/>
  <c r="C46" i="21"/>
  <c r="E50" i="10"/>
  <c r="C50" i="10"/>
  <c r="C46" i="15"/>
  <c r="T46" i="15" s="1"/>
  <c r="O46" i="21" l="1"/>
  <c r="P46" i="21"/>
  <c r="U46" i="21"/>
  <c r="G46" i="21"/>
  <c r="T46" i="21"/>
  <c r="N46" i="21"/>
  <c r="Q46" i="21"/>
  <c r="F46" i="21" s="1"/>
  <c r="J46" i="21" s="1"/>
  <c r="H46" i="21"/>
  <c r="G50" i="10"/>
  <c r="H50" i="10" s="1"/>
  <c r="J50" i="10"/>
  <c r="D50" i="10"/>
  <c r="U46" i="15"/>
  <c r="O46" i="15"/>
  <c r="N46" i="15"/>
  <c r="AA46" i="15" s="1"/>
  <c r="G46" i="15"/>
  <c r="P46" i="15"/>
  <c r="H46" i="15"/>
  <c r="Q46" i="15"/>
  <c r="F46" i="15" s="1"/>
  <c r="J46" i="15" s="1"/>
  <c r="AB46" i="21" l="1"/>
  <c r="W46" i="21" s="1"/>
  <c r="AA46" i="21"/>
  <c r="E46" i="21"/>
  <c r="F50" i="10"/>
  <c r="Q50" i="10" s="1"/>
  <c r="AB46" i="15"/>
  <c r="W46" i="15" s="1"/>
  <c r="E46" i="15"/>
  <c r="L46" i="15" s="1"/>
  <c r="L46" i="21" l="1"/>
  <c r="K46" i="21"/>
  <c r="X46" i="21"/>
  <c r="I50" i="10"/>
  <c r="K50" i="10"/>
  <c r="R50" i="10"/>
  <c r="X46" i="15"/>
  <c r="K46" i="15"/>
  <c r="D47" i="15"/>
  <c r="I47" i="15" s="1"/>
  <c r="C47" i="15"/>
  <c r="D47" i="21" l="1"/>
  <c r="I47" i="21" s="1"/>
  <c r="C47" i="21"/>
  <c r="O47" i="15"/>
  <c r="N47" i="15"/>
  <c r="Q47" i="15"/>
  <c r="F47" i="15" s="1"/>
  <c r="U47" i="15"/>
  <c r="T47" i="15"/>
  <c r="H47" i="15"/>
  <c r="P47" i="15"/>
  <c r="G47" i="15"/>
  <c r="N47" i="21" l="1"/>
  <c r="P47" i="21"/>
  <c r="O47" i="21"/>
  <c r="G47" i="21"/>
  <c r="Q47" i="21"/>
  <c r="F47" i="21" s="1"/>
  <c r="J47" i="21" s="1"/>
  <c r="H47" i="21"/>
  <c r="T47" i="21"/>
  <c r="U47" i="21"/>
  <c r="E47" i="21"/>
  <c r="E51" i="10"/>
  <c r="C51" i="10"/>
  <c r="J47" i="15"/>
  <c r="E47" i="15"/>
  <c r="AB47" i="15"/>
  <c r="W47" i="15" s="1"/>
  <c r="AA47" i="15"/>
  <c r="AB47" i="21" l="1"/>
  <c r="AA47" i="21"/>
  <c r="K47" i="21"/>
  <c r="G51" i="10"/>
  <c r="H51" i="10" s="1"/>
  <c r="J51" i="10"/>
  <c r="D51" i="10"/>
  <c r="K47" i="15"/>
  <c r="L47" i="15"/>
  <c r="X47" i="15"/>
  <c r="X47" i="21" l="1"/>
  <c r="W47" i="21"/>
  <c r="L47" i="21"/>
  <c r="F51" i="10"/>
  <c r="Q51" i="10" s="1"/>
  <c r="D48" i="15"/>
  <c r="I48" i="15" s="1"/>
  <c r="C48" i="15"/>
  <c r="D48" i="21" l="1"/>
  <c r="I48" i="21" s="1"/>
  <c r="C48" i="21"/>
  <c r="I51" i="10"/>
  <c r="K51" i="10"/>
  <c r="R51" i="10"/>
  <c r="H48" i="15"/>
  <c r="P48" i="15"/>
  <c r="G48" i="15"/>
  <c r="O48" i="15"/>
  <c r="N48" i="15"/>
  <c r="T48" i="15"/>
  <c r="Q48" i="15"/>
  <c r="F48" i="15" s="1"/>
  <c r="U48" i="15"/>
  <c r="H48" i="21" l="1"/>
  <c r="N48" i="21"/>
  <c r="T48" i="21"/>
  <c r="Q48" i="21"/>
  <c r="F48" i="21" s="1"/>
  <c r="O48" i="21"/>
  <c r="U48" i="21"/>
  <c r="G48" i="21"/>
  <c r="P48" i="21"/>
  <c r="C52" i="10"/>
  <c r="J48" i="15"/>
  <c r="E48" i="15"/>
  <c r="AB48" i="15"/>
  <c r="AA48" i="15"/>
  <c r="E52" i="10"/>
  <c r="J48" i="21" l="1"/>
  <c r="E48" i="21"/>
  <c r="AB48" i="21"/>
  <c r="AA48" i="21"/>
  <c r="J52" i="10"/>
  <c r="G52" i="10"/>
  <c r="H52" i="10" s="1"/>
  <c r="D52" i="10"/>
  <c r="K48" i="15"/>
  <c r="W48" i="15"/>
  <c r="X48" i="15"/>
  <c r="L48" i="15"/>
  <c r="L48" i="21" l="1"/>
  <c r="K48" i="21"/>
  <c r="W48" i="21"/>
  <c r="X48" i="21"/>
  <c r="F52" i="10"/>
  <c r="Q52" i="10" s="1"/>
  <c r="D49" i="15"/>
  <c r="I49" i="15" s="1"/>
  <c r="C49" i="15"/>
  <c r="D49" i="21" l="1"/>
  <c r="I49" i="21" s="1"/>
  <c r="C49" i="21"/>
  <c r="K52" i="10"/>
  <c r="C53" i="10"/>
  <c r="I52" i="10"/>
  <c r="R52" i="10"/>
  <c r="P49" i="15"/>
  <c r="G49" i="15"/>
  <c r="N49" i="15"/>
  <c r="O49" i="15"/>
  <c r="U49" i="15"/>
  <c r="T49" i="15"/>
  <c r="Q49" i="15"/>
  <c r="F49" i="15" s="1"/>
  <c r="J49" i="15" s="1"/>
  <c r="H49" i="15"/>
  <c r="H49" i="21" l="1"/>
  <c r="G49" i="21"/>
  <c r="U49" i="21"/>
  <c r="N49" i="21"/>
  <c r="O49" i="21"/>
  <c r="P49" i="21"/>
  <c r="T49" i="21"/>
  <c r="Q49" i="21"/>
  <c r="F49" i="21" s="1"/>
  <c r="J49" i="21" s="1"/>
  <c r="E49" i="21"/>
  <c r="K49" i="21" s="1"/>
  <c r="J53" i="10"/>
  <c r="AB49" i="15"/>
  <c r="W49" i="15" s="1"/>
  <c r="AA49" i="15"/>
  <c r="E49" i="15"/>
  <c r="E53" i="10"/>
  <c r="G53" i="10" s="1"/>
  <c r="H53" i="10" s="1"/>
  <c r="D53" i="10"/>
  <c r="AB49" i="21" l="1"/>
  <c r="L49" i="21" s="1"/>
  <c r="AA49" i="21"/>
  <c r="W49" i="21"/>
  <c r="F53" i="10"/>
  <c r="Q53" i="10" s="1"/>
  <c r="L49" i="15"/>
  <c r="K49" i="15"/>
  <c r="X49" i="15"/>
  <c r="D50" i="21" l="1"/>
  <c r="I50" i="21" s="1"/>
  <c r="C50" i="21"/>
  <c r="X49" i="21"/>
  <c r="I53" i="10"/>
  <c r="K53" i="10"/>
  <c r="D50" i="15"/>
  <c r="I50" i="15" s="1"/>
  <c r="C50" i="15"/>
  <c r="O50" i="21" l="1"/>
  <c r="N50" i="21"/>
  <c r="P50" i="21"/>
  <c r="T50" i="21"/>
  <c r="H50" i="21"/>
  <c r="U50" i="21"/>
  <c r="Q50" i="21"/>
  <c r="F50" i="21" s="1"/>
  <c r="J50" i="21" s="1"/>
  <c r="G50" i="21"/>
  <c r="E50" i="21"/>
  <c r="K50" i="21" s="1"/>
  <c r="R53" i="10"/>
  <c r="H50" i="15"/>
  <c r="P50" i="15"/>
  <c r="G50" i="15"/>
  <c r="O50" i="15"/>
  <c r="N50" i="15"/>
  <c r="U50" i="15"/>
  <c r="T50" i="15"/>
  <c r="Q50" i="15"/>
  <c r="F50" i="15" s="1"/>
  <c r="J50" i="15" s="1"/>
  <c r="W50" i="21" l="1"/>
  <c r="AB50" i="21"/>
  <c r="X50" i="21" s="1"/>
  <c r="AA50" i="21"/>
  <c r="C54" i="10"/>
  <c r="AB50" i="15"/>
  <c r="X50" i="15" s="1"/>
  <c r="AA50" i="15"/>
  <c r="E50" i="15"/>
  <c r="L50" i="21" l="1"/>
  <c r="J54" i="10"/>
  <c r="W50" i="15"/>
  <c r="L50" i="15"/>
  <c r="K50" i="15"/>
  <c r="E54" i="10"/>
  <c r="G54" i="10" s="1"/>
  <c r="H54" i="10" s="1"/>
  <c r="D54" i="10"/>
  <c r="D51" i="21" l="1"/>
  <c r="I51" i="21" s="1"/>
  <c r="C51" i="21"/>
  <c r="F54" i="10"/>
  <c r="Q54" i="10" s="1"/>
  <c r="D51" i="15"/>
  <c r="I51" i="15" s="1"/>
  <c r="C51" i="15"/>
  <c r="T51" i="21" l="1"/>
  <c r="N51" i="21"/>
  <c r="P51" i="21"/>
  <c r="G51" i="21"/>
  <c r="O51" i="21"/>
  <c r="H51" i="21"/>
  <c r="Q51" i="21"/>
  <c r="F51" i="21" s="1"/>
  <c r="J51" i="21" s="1"/>
  <c r="U51" i="21"/>
  <c r="K54" i="10"/>
  <c r="I54" i="10"/>
  <c r="H51" i="15"/>
  <c r="P51" i="15"/>
  <c r="N51" i="15"/>
  <c r="G51" i="15"/>
  <c r="O51" i="15"/>
  <c r="U51" i="15"/>
  <c r="T51" i="15"/>
  <c r="Q51" i="15"/>
  <c r="F51" i="15" s="1"/>
  <c r="J51" i="15" s="1"/>
  <c r="W51" i="21" l="1"/>
  <c r="AB51" i="21"/>
  <c r="X51" i="21" s="1"/>
  <c r="AA51" i="21"/>
  <c r="E51" i="21"/>
  <c r="R54" i="10"/>
  <c r="AB51" i="15"/>
  <c r="W51" i="15" s="1"/>
  <c r="AA51" i="15"/>
  <c r="E51" i="15"/>
  <c r="K51" i="21" l="1"/>
  <c r="L51" i="21"/>
  <c r="C55" i="10"/>
  <c r="X51" i="15"/>
  <c r="K51" i="15"/>
  <c r="L51" i="15"/>
  <c r="E55" i="10"/>
  <c r="D52" i="21" l="1"/>
  <c r="I52" i="21" s="1"/>
  <c r="C52" i="21"/>
  <c r="J55" i="10"/>
  <c r="G55" i="10"/>
  <c r="H55" i="10" s="1"/>
  <c r="D52" i="15"/>
  <c r="I52" i="15" s="1"/>
  <c r="C52" i="15"/>
  <c r="D55" i="10"/>
  <c r="P52" i="21" l="1"/>
  <c r="G52" i="21"/>
  <c r="O52" i="21"/>
  <c r="T52" i="21"/>
  <c r="U52" i="21"/>
  <c r="N52" i="21"/>
  <c r="H52" i="21"/>
  <c r="Q52" i="21"/>
  <c r="F52" i="21" s="1"/>
  <c r="J52" i="21" s="1"/>
  <c r="E52" i="21"/>
  <c r="K52" i="21" s="1"/>
  <c r="F55" i="10"/>
  <c r="Q55" i="10" s="1"/>
  <c r="H52" i="15"/>
  <c r="P52" i="15"/>
  <c r="O52" i="15"/>
  <c r="G52" i="15"/>
  <c r="N52" i="15"/>
  <c r="U52" i="15"/>
  <c r="Q52" i="15"/>
  <c r="T52" i="15"/>
  <c r="X52" i="21" l="1"/>
  <c r="AB52" i="21"/>
  <c r="W52" i="21" s="1"/>
  <c r="AA52" i="21"/>
  <c r="K55" i="10"/>
  <c r="I55" i="10"/>
  <c r="R55" i="10"/>
  <c r="AB52" i="15"/>
  <c r="X52" i="15" s="1"/>
  <c r="AA52" i="15"/>
  <c r="F52" i="15"/>
  <c r="J52" i="15" s="1"/>
  <c r="L52" i="21" l="1"/>
  <c r="C56" i="10"/>
  <c r="E52" i="15"/>
  <c r="W52" i="15"/>
  <c r="D53" i="21" l="1"/>
  <c r="I53" i="21" s="1"/>
  <c r="C53" i="21"/>
  <c r="J56" i="10"/>
  <c r="K52" i="15"/>
  <c r="L52" i="15"/>
  <c r="E56" i="10"/>
  <c r="G56" i="10" s="1"/>
  <c r="H56" i="10" s="1"/>
  <c r="D56" i="10"/>
  <c r="H53" i="21" l="1"/>
  <c r="G53" i="21"/>
  <c r="O53" i="21"/>
  <c r="U53" i="21"/>
  <c r="T53" i="21"/>
  <c r="Q53" i="21"/>
  <c r="P53" i="21"/>
  <c r="N53" i="21"/>
  <c r="F56" i="10"/>
  <c r="Q56" i="10" s="1"/>
  <c r="D53" i="15"/>
  <c r="I53" i="15" s="1"/>
  <c r="C53" i="15"/>
  <c r="AB53" i="21" l="1"/>
  <c r="AA53" i="21"/>
  <c r="F53" i="21"/>
  <c r="J53" i="21" s="1"/>
  <c r="I56" i="10"/>
  <c r="K56" i="10"/>
  <c r="Q53" i="15"/>
  <c r="F53" i="15" s="1"/>
  <c r="J53" i="15" s="1"/>
  <c r="T53" i="15"/>
  <c r="P53" i="15"/>
  <c r="H53" i="15"/>
  <c r="O53" i="15"/>
  <c r="G53" i="15"/>
  <c r="N53" i="15"/>
  <c r="U53" i="15"/>
  <c r="W53" i="21" l="1"/>
  <c r="X53" i="21"/>
  <c r="E53" i="21"/>
  <c r="K53" i="21" s="1"/>
  <c r="R56" i="10"/>
  <c r="AB53" i="15"/>
  <c r="W53" i="15" s="1"/>
  <c r="AA53" i="15"/>
  <c r="E53" i="15"/>
  <c r="K53" i="15" s="1"/>
  <c r="L53" i="21" l="1"/>
  <c r="C57" i="10"/>
  <c r="X53" i="15"/>
  <c r="L53" i="15"/>
  <c r="D54" i="21" l="1"/>
  <c r="I54" i="21" s="1"/>
  <c r="C54" i="21"/>
  <c r="J57" i="10"/>
  <c r="D54" i="15"/>
  <c r="I54" i="15" s="1"/>
  <c r="C54" i="15"/>
  <c r="E57" i="10"/>
  <c r="G57" i="10" s="1"/>
  <c r="H57" i="10" s="1"/>
  <c r="D57" i="10"/>
  <c r="H54" i="21" l="1"/>
  <c r="T54" i="21"/>
  <c r="U54" i="21"/>
  <c r="O54" i="21"/>
  <c r="P54" i="21"/>
  <c r="G54" i="21"/>
  <c r="Q54" i="21"/>
  <c r="N54" i="21"/>
  <c r="F57" i="10"/>
  <c r="Q57" i="10" s="1"/>
  <c r="O54" i="15"/>
  <c r="H54" i="15"/>
  <c r="N54" i="15"/>
  <c r="U54" i="15"/>
  <c r="T54" i="15"/>
  <c r="Q54" i="15"/>
  <c r="F54" i="15" s="1"/>
  <c r="J54" i="15" s="1"/>
  <c r="G54" i="15"/>
  <c r="P54" i="15"/>
  <c r="AB54" i="21" l="1"/>
  <c r="W54" i="21" s="1"/>
  <c r="AA54" i="21"/>
  <c r="F54" i="21"/>
  <c r="J54" i="21" s="1"/>
  <c r="K57" i="10"/>
  <c r="I57" i="10"/>
  <c r="R57" i="10"/>
  <c r="AB54" i="15"/>
  <c r="X54" i="15" s="1"/>
  <c r="AA54" i="15"/>
  <c r="E54" i="15"/>
  <c r="E54" i="21" l="1"/>
  <c r="X54" i="21"/>
  <c r="W54" i="15"/>
  <c r="K54" i="15"/>
  <c r="L54" i="15"/>
  <c r="K54" i="21" l="1"/>
  <c r="L54" i="21"/>
  <c r="C58" i="10"/>
  <c r="D55" i="15"/>
  <c r="I55" i="15" s="1"/>
  <c r="C55" i="15"/>
  <c r="D55" i="21" l="1"/>
  <c r="I55" i="21" s="1"/>
  <c r="C55" i="21"/>
  <c r="J58" i="10"/>
  <c r="O55" i="15"/>
  <c r="N55" i="15"/>
  <c r="G55" i="15"/>
  <c r="Q55" i="15"/>
  <c r="F55" i="15" s="1"/>
  <c r="T55" i="15"/>
  <c r="H55" i="15"/>
  <c r="U55" i="15"/>
  <c r="P55" i="15"/>
  <c r="D58" i="10"/>
  <c r="E58" i="10"/>
  <c r="G58" i="10" s="1"/>
  <c r="H58" i="10" s="1"/>
  <c r="H55" i="21" l="1"/>
  <c r="O55" i="21"/>
  <c r="U55" i="21"/>
  <c r="P55" i="21"/>
  <c r="T55" i="21"/>
  <c r="G55" i="21"/>
  <c r="N55" i="21"/>
  <c r="Q55" i="21"/>
  <c r="F55" i="21" s="1"/>
  <c r="J55" i="21" s="1"/>
  <c r="F58" i="10"/>
  <c r="Q58" i="10" s="1"/>
  <c r="J55" i="15"/>
  <c r="E55" i="15"/>
  <c r="AB55" i="15"/>
  <c r="W55" i="15" s="1"/>
  <c r="AA55" i="15"/>
  <c r="AB55" i="21" l="1"/>
  <c r="X55" i="21" s="1"/>
  <c r="AA55" i="21"/>
  <c r="W55" i="21"/>
  <c r="E55" i="21"/>
  <c r="K58" i="10"/>
  <c r="I58" i="10"/>
  <c r="X55" i="15"/>
  <c r="K55" i="15"/>
  <c r="L55" i="15"/>
  <c r="K55" i="21" l="1"/>
  <c r="L55" i="21"/>
  <c r="R58" i="10"/>
  <c r="D56" i="15"/>
  <c r="I56" i="15" s="1"/>
  <c r="C56" i="15"/>
  <c r="D56" i="21" l="1"/>
  <c r="I56" i="21" s="1"/>
  <c r="C56" i="21"/>
  <c r="C59" i="10"/>
  <c r="H56" i="15"/>
  <c r="P56" i="15"/>
  <c r="G56" i="15"/>
  <c r="O56" i="15"/>
  <c r="T56" i="15"/>
  <c r="U56" i="15"/>
  <c r="N56" i="15"/>
  <c r="Q56" i="15"/>
  <c r="F56" i="15" s="1"/>
  <c r="G56" i="21" l="1"/>
  <c r="P56" i="21"/>
  <c r="U56" i="21"/>
  <c r="N56" i="21"/>
  <c r="Q56" i="21"/>
  <c r="T56" i="21"/>
  <c r="H56" i="21"/>
  <c r="O56" i="21"/>
  <c r="J59" i="10"/>
  <c r="J56" i="15"/>
  <c r="E56" i="15"/>
  <c r="AB56" i="15"/>
  <c r="W56" i="15" s="1"/>
  <c r="AA56" i="15"/>
  <c r="E59" i="10"/>
  <c r="G59" i="10" s="1"/>
  <c r="H59" i="10" s="1"/>
  <c r="D59" i="10"/>
  <c r="AB56" i="21" l="1"/>
  <c r="X56" i="21" s="1"/>
  <c r="AA56" i="21"/>
  <c r="F56" i="21"/>
  <c r="J56" i="21" s="1"/>
  <c r="F59" i="10"/>
  <c r="Q59" i="10" s="1"/>
  <c r="K56" i="15"/>
  <c r="L56" i="15"/>
  <c r="X56" i="15"/>
  <c r="W56" i="21" l="1"/>
  <c r="E56" i="21"/>
  <c r="I59" i="10"/>
  <c r="K59" i="10"/>
  <c r="D57" i="15"/>
  <c r="I57" i="15" s="1"/>
  <c r="C57" i="15"/>
  <c r="L56" i="21" l="1"/>
  <c r="K56" i="21"/>
  <c r="R59" i="10"/>
  <c r="Q57" i="15"/>
  <c r="F57" i="15" s="1"/>
  <c r="J57" i="15" s="1"/>
  <c r="G57" i="15"/>
  <c r="H57" i="15"/>
  <c r="P57" i="15"/>
  <c r="O57" i="15"/>
  <c r="U57" i="15"/>
  <c r="T57" i="15"/>
  <c r="N57" i="15"/>
  <c r="D57" i="21" l="1"/>
  <c r="I57" i="21" s="1"/>
  <c r="C57" i="21"/>
  <c r="C60" i="10"/>
  <c r="E57" i="15"/>
  <c r="K57" i="15" s="1"/>
  <c r="AB57" i="15"/>
  <c r="W57" i="15" s="1"/>
  <c r="AA57" i="15"/>
  <c r="G57" i="21" l="1"/>
  <c r="H57" i="21"/>
  <c r="P57" i="21"/>
  <c r="N57" i="21"/>
  <c r="T57" i="21"/>
  <c r="U57" i="21"/>
  <c r="Q57" i="21"/>
  <c r="F57" i="21" s="1"/>
  <c r="J57" i="21" s="1"/>
  <c r="O57" i="21"/>
  <c r="J60" i="10"/>
  <c r="L57" i="15"/>
  <c r="X57" i="15"/>
  <c r="E60" i="10"/>
  <c r="G60" i="10" s="1"/>
  <c r="H60" i="10" s="1"/>
  <c r="D60" i="10"/>
  <c r="E57" i="21" l="1"/>
  <c r="AB57" i="21"/>
  <c r="X57" i="21" s="1"/>
  <c r="AA57" i="21"/>
  <c r="F60" i="10"/>
  <c r="Q60" i="10" s="1"/>
  <c r="D58" i="15"/>
  <c r="I58" i="15" s="1"/>
  <c r="C58" i="15"/>
  <c r="K57" i="21" l="1"/>
  <c r="L57" i="21"/>
  <c r="W57" i="21"/>
  <c r="K60" i="10"/>
  <c r="I60" i="10"/>
  <c r="R60" i="10"/>
  <c r="H58" i="15"/>
  <c r="P58" i="15"/>
  <c r="G58" i="15"/>
  <c r="O58" i="15"/>
  <c r="Q58" i="15"/>
  <c r="N58" i="15"/>
  <c r="U58" i="15"/>
  <c r="T58" i="15"/>
  <c r="D58" i="21" l="1"/>
  <c r="I58" i="21" s="1"/>
  <c r="C58" i="21"/>
  <c r="F58" i="15"/>
  <c r="J58" i="15" s="1"/>
  <c r="AB58" i="15"/>
  <c r="X58" i="15" s="1"/>
  <c r="AA58" i="15"/>
  <c r="P58" i="21" l="1"/>
  <c r="G58" i="21"/>
  <c r="T58" i="21"/>
  <c r="Q58" i="21"/>
  <c r="F58" i="21" s="1"/>
  <c r="J58" i="21" s="1"/>
  <c r="N58" i="21"/>
  <c r="H58" i="21"/>
  <c r="U58" i="21"/>
  <c r="O58" i="21"/>
  <c r="C61" i="10"/>
  <c r="E58" i="15"/>
  <c r="K58" i="15" s="1"/>
  <c r="W58" i="15"/>
  <c r="AB58" i="21" l="1"/>
  <c r="X58" i="21" s="1"/>
  <c r="AA58" i="21"/>
  <c r="E58" i="21"/>
  <c r="J61" i="10"/>
  <c r="E61" i="10"/>
  <c r="G61" i="10" s="1"/>
  <c r="H61" i="10" s="1"/>
  <c r="L58" i="15"/>
  <c r="D59" i="15" s="1"/>
  <c r="I59" i="15" s="1"/>
  <c r="D61" i="10"/>
  <c r="K58" i="21" l="1"/>
  <c r="L58" i="21"/>
  <c r="W58" i="21"/>
  <c r="F61" i="10"/>
  <c r="Q61" i="10" s="1"/>
  <c r="C59" i="15"/>
  <c r="H59" i="15" s="1"/>
  <c r="D59" i="21" l="1"/>
  <c r="I59" i="21" s="1"/>
  <c r="C59" i="21"/>
  <c r="I61" i="10"/>
  <c r="K61" i="10"/>
  <c r="O59" i="15"/>
  <c r="Q59" i="15"/>
  <c r="F59" i="15" s="1"/>
  <c r="J59" i="15" s="1"/>
  <c r="N59" i="15"/>
  <c r="AA59" i="15" s="1"/>
  <c r="T59" i="15"/>
  <c r="G59" i="15"/>
  <c r="P59" i="15"/>
  <c r="U59" i="15"/>
  <c r="P59" i="21" l="1"/>
  <c r="O59" i="21"/>
  <c r="H59" i="21"/>
  <c r="U59" i="21"/>
  <c r="N59" i="21"/>
  <c r="G59" i="21"/>
  <c r="Q59" i="21"/>
  <c r="F59" i="21" s="1"/>
  <c r="J59" i="21" s="1"/>
  <c r="T59" i="21"/>
  <c r="C62" i="10"/>
  <c r="R61" i="10"/>
  <c r="E59" i="15"/>
  <c r="K59" i="15" s="1"/>
  <c r="AB59" i="15"/>
  <c r="X59" i="15" s="1"/>
  <c r="AB59" i="21" l="1"/>
  <c r="W59" i="21" s="1"/>
  <c r="AA59" i="21"/>
  <c r="E59" i="21"/>
  <c r="J62" i="10"/>
  <c r="L59" i="15"/>
  <c r="D60" i="15" s="1"/>
  <c r="I60" i="15" s="1"/>
  <c r="W59" i="15"/>
  <c r="E62" i="10"/>
  <c r="G62" i="10" s="1"/>
  <c r="H62" i="10" s="1"/>
  <c r="D62" i="10"/>
  <c r="K59" i="21" l="1"/>
  <c r="L59" i="21"/>
  <c r="X59" i="21"/>
  <c r="F62" i="10"/>
  <c r="Q62" i="10" s="1"/>
  <c r="C60" i="15"/>
  <c r="Q60" i="15" s="1"/>
  <c r="F60" i="15" s="1"/>
  <c r="J60" i="15" s="1"/>
  <c r="D60" i="21" l="1"/>
  <c r="I60" i="21" s="1"/>
  <c r="C60" i="21"/>
  <c r="I62" i="10"/>
  <c r="K62" i="10"/>
  <c r="N60" i="15"/>
  <c r="AA60" i="15" s="1"/>
  <c r="O60" i="15"/>
  <c r="G60" i="15"/>
  <c r="P60" i="15"/>
  <c r="U60" i="15"/>
  <c r="H60" i="15"/>
  <c r="T60" i="15"/>
  <c r="E60" i="15"/>
  <c r="G60" i="21" l="1"/>
  <c r="T60" i="21"/>
  <c r="O60" i="21"/>
  <c r="U60" i="21"/>
  <c r="H60" i="21"/>
  <c r="Q60" i="21"/>
  <c r="F60" i="21" s="1"/>
  <c r="J60" i="21" s="1"/>
  <c r="N60" i="21"/>
  <c r="P60" i="21"/>
  <c r="R62" i="10"/>
  <c r="AB60" i="15"/>
  <c r="L60" i="15" s="1"/>
  <c r="W60" i="15"/>
  <c r="K60" i="15"/>
  <c r="X60" i="15"/>
  <c r="AB60" i="21" l="1"/>
  <c r="X60" i="21" s="1"/>
  <c r="AA60" i="21"/>
  <c r="E60" i="21"/>
  <c r="C63" i="10"/>
  <c r="D61" i="15"/>
  <c r="I61" i="15" s="1"/>
  <c r="C61" i="15"/>
  <c r="K60" i="21" l="1"/>
  <c r="L60" i="21"/>
  <c r="W60" i="21"/>
  <c r="J63" i="10"/>
  <c r="T61" i="15"/>
  <c r="G61" i="15"/>
  <c r="H61" i="15"/>
  <c r="Q61" i="15"/>
  <c r="F61" i="15" s="1"/>
  <c r="J61" i="15" s="1"/>
  <c r="O61" i="15"/>
  <c r="P61" i="15"/>
  <c r="N61" i="15"/>
  <c r="U61" i="15"/>
  <c r="E63" i="10"/>
  <c r="G63" i="10" s="1"/>
  <c r="H63" i="10" s="1"/>
  <c r="D63" i="10"/>
  <c r="D61" i="21" l="1"/>
  <c r="I61" i="21" s="1"/>
  <c r="C61" i="21"/>
  <c r="F63" i="10"/>
  <c r="Q63" i="10" s="1"/>
  <c r="E61" i="15"/>
  <c r="K61" i="15" s="1"/>
  <c r="AB61" i="15"/>
  <c r="W61" i="15" s="1"/>
  <c r="AA61" i="15"/>
  <c r="Q61" i="21" l="1"/>
  <c r="F61" i="21" s="1"/>
  <c r="J61" i="21" s="1"/>
  <c r="O61" i="21"/>
  <c r="N61" i="21"/>
  <c r="H61" i="21"/>
  <c r="U61" i="21"/>
  <c r="P61" i="21"/>
  <c r="G61" i="21"/>
  <c r="T61" i="21"/>
  <c r="E61" i="21"/>
  <c r="K61" i="21" s="1"/>
  <c r="I63" i="10"/>
  <c r="K63" i="10"/>
  <c r="L61" i="15"/>
  <c r="X61" i="15"/>
  <c r="AB61" i="21" l="1"/>
  <c r="W61" i="21" s="1"/>
  <c r="AA61" i="21"/>
  <c r="R63" i="10"/>
  <c r="D62" i="15"/>
  <c r="I62" i="15" s="1"/>
  <c r="C62" i="15"/>
  <c r="L61" i="21" l="1"/>
  <c r="X61" i="21"/>
  <c r="C64" i="10"/>
  <c r="O62" i="15"/>
  <c r="N62" i="15"/>
  <c r="U62" i="15"/>
  <c r="Q62" i="15"/>
  <c r="F62" i="15" s="1"/>
  <c r="J62" i="15" s="1"/>
  <c r="H62" i="15"/>
  <c r="T62" i="15"/>
  <c r="P62" i="15"/>
  <c r="G62" i="15"/>
  <c r="D62" i="21" l="1"/>
  <c r="I62" i="21" s="1"/>
  <c r="C62" i="21"/>
  <c r="J64" i="10"/>
  <c r="AB62" i="15"/>
  <c r="X62" i="15" s="1"/>
  <c r="AA62" i="15"/>
  <c r="E62" i="15"/>
  <c r="E64" i="10"/>
  <c r="G64" i="10" s="1"/>
  <c r="H64" i="10" s="1"/>
  <c r="D64" i="10"/>
  <c r="O62" i="21" l="1"/>
  <c r="T62" i="21"/>
  <c r="N62" i="21"/>
  <c r="H62" i="21"/>
  <c r="U62" i="21"/>
  <c r="Q62" i="21"/>
  <c r="F62" i="21" s="1"/>
  <c r="J62" i="21" s="1"/>
  <c r="P62" i="21"/>
  <c r="G62" i="21"/>
  <c r="F64" i="10"/>
  <c r="Q64" i="10" s="1"/>
  <c r="L62" i="15"/>
  <c r="K62" i="15"/>
  <c r="W62" i="15"/>
  <c r="AB62" i="21" l="1"/>
  <c r="X62" i="21" s="1"/>
  <c r="AA62" i="21"/>
  <c r="E62" i="21"/>
  <c r="K64" i="10"/>
  <c r="I64" i="10"/>
  <c r="D63" i="15"/>
  <c r="I63" i="15" s="1"/>
  <c r="C63" i="15"/>
  <c r="K62" i="21" l="1"/>
  <c r="L62" i="21"/>
  <c r="W62" i="21"/>
  <c r="R64" i="10"/>
  <c r="P63" i="15"/>
  <c r="O63" i="15"/>
  <c r="Q63" i="15"/>
  <c r="F63" i="15" s="1"/>
  <c r="J63" i="15" s="1"/>
  <c r="H63" i="15"/>
  <c r="T63" i="15"/>
  <c r="G63" i="15"/>
  <c r="U63" i="15"/>
  <c r="N63" i="15"/>
  <c r="D63" i="21" l="1"/>
  <c r="I63" i="21" s="1"/>
  <c r="C63" i="21"/>
  <c r="C65" i="10"/>
  <c r="E63" i="15"/>
  <c r="K63" i="15" s="1"/>
  <c r="AB63" i="15"/>
  <c r="AA63" i="15"/>
  <c r="Q63" i="21" l="1"/>
  <c r="U63" i="21"/>
  <c r="P63" i="21"/>
  <c r="O63" i="21"/>
  <c r="N63" i="21"/>
  <c r="H63" i="21"/>
  <c r="G63" i="21"/>
  <c r="T63" i="21"/>
  <c r="F63" i="21"/>
  <c r="J63" i="21" s="1"/>
  <c r="E63" i="21"/>
  <c r="J65" i="10"/>
  <c r="L63" i="15"/>
  <c r="X63" i="15"/>
  <c r="W63" i="15"/>
  <c r="E65" i="10"/>
  <c r="G65" i="10" s="1"/>
  <c r="H65" i="10" s="1"/>
  <c r="D65" i="10"/>
  <c r="AB63" i="21" l="1"/>
  <c r="W63" i="21" s="1"/>
  <c r="AA63" i="21"/>
  <c r="K63" i="21"/>
  <c r="F65" i="10"/>
  <c r="Q65" i="10" s="1"/>
  <c r="D64" i="15"/>
  <c r="I64" i="15" s="1"/>
  <c r="C64" i="15"/>
  <c r="L63" i="21" l="1"/>
  <c r="X63" i="21"/>
  <c r="K65" i="10"/>
  <c r="I65" i="10"/>
  <c r="R65" i="10"/>
  <c r="N64" i="15"/>
  <c r="T64" i="15"/>
  <c r="U64" i="15"/>
  <c r="Q64" i="15"/>
  <c r="H64" i="15"/>
  <c r="P64" i="15"/>
  <c r="G64" i="15"/>
  <c r="O64" i="15"/>
  <c r="D64" i="21" l="1"/>
  <c r="I64" i="21" s="1"/>
  <c r="C64" i="21"/>
  <c r="AB64" i="15"/>
  <c r="AA64" i="15"/>
  <c r="F64" i="15"/>
  <c r="J64" i="15" s="1"/>
  <c r="G64" i="21" l="1"/>
  <c r="Q64" i="21"/>
  <c r="F64" i="21" s="1"/>
  <c r="O64" i="21"/>
  <c r="P64" i="21"/>
  <c r="U64" i="21"/>
  <c r="T64" i="21"/>
  <c r="H64" i="21"/>
  <c r="N64" i="21"/>
  <c r="C66" i="10"/>
  <c r="E64" i="15"/>
  <c r="K64" i="15" s="1"/>
  <c r="W64" i="15"/>
  <c r="X64" i="15"/>
  <c r="J64" i="21" l="1"/>
  <c r="E64" i="21"/>
  <c r="AB64" i="21"/>
  <c r="W64" i="21" s="1"/>
  <c r="AA64" i="21"/>
  <c r="J66" i="10"/>
  <c r="L64" i="15"/>
  <c r="D65" i="15" s="1"/>
  <c r="I65" i="15" s="1"/>
  <c r="E66" i="10"/>
  <c r="G66" i="10" s="1"/>
  <c r="H66" i="10" s="1"/>
  <c r="D66" i="10"/>
  <c r="L64" i="21" l="1"/>
  <c r="K64" i="21"/>
  <c r="X64" i="21"/>
  <c r="F66" i="10"/>
  <c r="Q66" i="10" s="1"/>
  <c r="C65" i="15"/>
  <c r="G65" i="15" s="1"/>
  <c r="D65" i="21" l="1"/>
  <c r="I65" i="21" s="1"/>
  <c r="C65" i="21"/>
  <c r="I66" i="10"/>
  <c r="K66" i="10"/>
  <c r="R66" i="10"/>
  <c r="P65" i="15"/>
  <c r="H65" i="15"/>
  <c r="Q65" i="15"/>
  <c r="F65" i="15" s="1"/>
  <c r="J65" i="15" s="1"/>
  <c r="U65" i="15"/>
  <c r="T65" i="15"/>
  <c r="N65" i="15"/>
  <c r="AB65" i="15" s="1"/>
  <c r="X65" i="15" s="1"/>
  <c r="O65" i="15"/>
  <c r="T65" i="21" l="1"/>
  <c r="P65" i="21"/>
  <c r="Q65" i="21"/>
  <c r="F65" i="21" s="1"/>
  <c r="J65" i="21" s="1"/>
  <c r="U65" i="21"/>
  <c r="O65" i="21"/>
  <c r="H65" i="21"/>
  <c r="N65" i="21"/>
  <c r="G65" i="21"/>
  <c r="E65" i="15"/>
  <c r="K65" i="15" s="1"/>
  <c r="W65" i="15"/>
  <c r="AA65" i="15"/>
  <c r="AB65" i="21" l="1"/>
  <c r="W65" i="21" s="1"/>
  <c r="AA65" i="21"/>
  <c r="E65" i="21"/>
  <c r="C67" i="10"/>
  <c r="L65" i="15"/>
  <c r="D66" i="15" s="1"/>
  <c r="I66" i="15" s="1"/>
  <c r="K65" i="21" l="1"/>
  <c r="L65" i="21"/>
  <c r="X65" i="21"/>
  <c r="J67" i="10"/>
  <c r="C66" i="15"/>
  <c r="G66" i="15" s="1"/>
  <c r="E67" i="10"/>
  <c r="G67" i="10" s="1"/>
  <c r="H67" i="10" s="1"/>
  <c r="D67" i="10"/>
  <c r="D66" i="21" l="1"/>
  <c r="I66" i="21" s="1"/>
  <c r="C66" i="21"/>
  <c r="F67" i="10"/>
  <c r="Q67" i="10" s="1"/>
  <c r="O66" i="15"/>
  <c r="H66" i="15"/>
  <c r="U66" i="15"/>
  <c r="Q66" i="15"/>
  <c r="F66" i="15" s="1"/>
  <c r="J66" i="15" s="1"/>
  <c r="P66" i="15"/>
  <c r="T66" i="15"/>
  <c r="N66" i="15"/>
  <c r="AB66" i="15" s="1"/>
  <c r="X66" i="15"/>
  <c r="Q66" i="21" l="1"/>
  <c r="F66" i="21" s="1"/>
  <c r="J66" i="21" s="1"/>
  <c r="T66" i="21"/>
  <c r="H66" i="21"/>
  <c r="P66" i="21"/>
  <c r="O66" i="21"/>
  <c r="U66" i="21"/>
  <c r="G66" i="21"/>
  <c r="N66" i="21"/>
  <c r="E66" i="21"/>
  <c r="K67" i="10"/>
  <c r="I67" i="10"/>
  <c r="R67" i="10"/>
  <c r="E66" i="15"/>
  <c r="L66" i="15" s="1"/>
  <c r="C67" i="15" s="1"/>
  <c r="AA66" i="15"/>
  <c r="W66" i="15"/>
  <c r="AB66" i="21" l="1"/>
  <c r="W66" i="21" s="1"/>
  <c r="AA66" i="21"/>
  <c r="X66" i="21"/>
  <c r="K66" i="21"/>
  <c r="D67" i="15"/>
  <c r="I67" i="15" s="1"/>
  <c r="K66" i="15"/>
  <c r="G67" i="15"/>
  <c r="O67" i="15"/>
  <c r="Q67" i="15"/>
  <c r="F67" i="15" s="1"/>
  <c r="J67" i="15" s="1"/>
  <c r="P67" i="15"/>
  <c r="N67" i="15"/>
  <c r="T67" i="15"/>
  <c r="H67" i="15"/>
  <c r="U67" i="15"/>
  <c r="L66" i="21" l="1"/>
  <c r="C68" i="10"/>
  <c r="E67" i="15"/>
  <c r="K67" i="15" s="1"/>
  <c r="AB67" i="15"/>
  <c r="AA67" i="15"/>
  <c r="D67" i="21" l="1"/>
  <c r="I67" i="21" s="1"/>
  <c r="C67" i="21"/>
  <c r="J68" i="10"/>
  <c r="W67" i="15"/>
  <c r="X67" i="15"/>
  <c r="L67" i="15"/>
  <c r="E68" i="10"/>
  <c r="G68" i="10" s="1"/>
  <c r="H68" i="10" s="1"/>
  <c r="U67" i="21" l="1"/>
  <c r="O67" i="21"/>
  <c r="N67" i="21"/>
  <c r="T67" i="21"/>
  <c r="Q67" i="21"/>
  <c r="F67" i="21" s="1"/>
  <c r="J67" i="21" s="1"/>
  <c r="H67" i="21"/>
  <c r="G67" i="21"/>
  <c r="P67" i="21"/>
  <c r="F68" i="10"/>
  <c r="Q68" i="10" s="1"/>
  <c r="D68" i="10"/>
  <c r="D68" i="15"/>
  <c r="I68" i="15" s="1"/>
  <c r="C68" i="15"/>
  <c r="AB67" i="21" l="1"/>
  <c r="X67" i="21" s="1"/>
  <c r="AA67" i="21"/>
  <c r="W67" i="21"/>
  <c r="E67" i="21"/>
  <c r="I68" i="10"/>
  <c r="K68" i="10"/>
  <c r="R68" i="10"/>
  <c r="H68" i="15"/>
  <c r="P68" i="15"/>
  <c r="O68" i="15"/>
  <c r="G68" i="15"/>
  <c r="N68" i="15"/>
  <c r="U68" i="15"/>
  <c r="Q68" i="15"/>
  <c r="F68" i="15" s="1"/>
  <c r="J68" i="15" s="1"/>
  <c r="T68" i="15"/>
  <c r="K67" i="21" l="1"/>
  <c r="L67" i="21"/>
  <c r="AB68" i="15"/>
  <c r="AA68" i="15"/>
  <c r="W68" i="15"/>
  <c r="E68" i="15"/>
  <c r="K68" i="15" s="1"/>
  <c r="D68" i="21" l="1"/>
  <c r="I68" i="21" s="1"/>
  <c r="C68" i="21"/>
  <c r="C69" i="10"/>
  <c r="L68" i="15"/>
  <c r="X68" i="15"/>
  <c r="P68" i="21" l="1"/>
  <c r="G68" i="21"/>
  <c r="N68" i="21"/>
  <c r="Q68" i="21"/>
  <c r="F68" i="21" s="1"/>
  <c r="J68" i="21" s="1"/>
  <c r="T68" i="21"/>
  <c r="H68" i="21"/>
  <c r="O68" i="21"/>
  <c r="U68" i="21"/>
  <c r="J69" i="10"/>
  <c r="D69" i="15"/>
  <c r="I69" i="15" s="1"/>
  <c r="C69" i="15"/>
  <c r="E69" i="10"/>
  <c r="G69" i="10" s="1"/>
  <c r="H69" i="10" s="1"/>
  <c r="D69" i="10"/>
  <c r="AB68" i="21" l="1"/>
  <c r="X68" i="21" s="1"/>
  <c r="AA68" i="21"/>
  <c r="E68" i="21"/>
  <c r="F69" i="10"/>
  <c r="Q69" i="10" s="1"/>
  <c r="T69" i="15"/>
  <c r="H69" i="15"/>
  <c r="G69" i="15"/>
  <c r="P69" i="15"/>
  <c r="Q69" i="15"/>
  <c r="F69" i="15" s="1"/>
  <c r="J69" i="15" s="1"/>
  <c r="O69" i="15"/>
  <c r="N69" i="15"/>
  <c r="U69" i="15"/>
  <c r="L68" i="21" l="1"/>
  <c r="K68" i="21"/>
  <c r="W68" i="21"/>
  <c r="K69" i="10"/>
  <c r="I69" i="10"/>
  <c r="R69" i="10"/>
  <c r="AB69" i="15"/>
  <c r="W69" i="15" s="1"/>
  <c r="AA69" i="15"/>
  <c r="E69" i="15"/>
  <c r="D69" i="21" l="1"/>
  <c r="I69" i="21" s="1"/>
  <c r="C69" i="21"/>
  <c r="K69" i="15"/>
  <c r="L69" i="15"/>
  <c r="X69" i="15"/>
  <c r="P69" i="21" l="1"/>
  <c r="U69" i="21"/>
  <c r="O69" i="21"/>
  <c r="H69" i="21"/>
  <c r="N69" i="21"/>
  <c r="Q69" i="21"/>
  <c r="F69" i="21" s="1"/>
  <c r="J69" i="21" s="1"/>
  <c r="G69" i="21"/>
  <c r="T69" i="21"/>
  <c r="C70" i="10"/>
  <c r="D70" i="15"/>
  <c r="I70" i="15" s="1"/>
  <c r="C70" i="15"/>
  <c r="AB69" i="21" l="1"/>
  <c r="W69" i="21" s="1"/>
  <c r="AA69" i="21"/>
  <c r="E69" i="21"/>
  <c r="J70" i="10"/>
  <c r="U70" i="15"/>
  <c r="T70" i="15"/>
  <c r="Q70" i="15"/>
  <c r="F70" i="15" s="1"/>
  <c r="J70" i="15" s="1"/>
  <c r="H70" i="15"/>
  <c r="P70" i="15"/>
  <c r="G70" i="15"/>
  <c r="O70" i="15"/>
  <c r="N70" i="15"/>
  <c r="E70" i="10"/>
  <c r="D70" i="10"/>
  <c r="L69" i="21" l="1"/>
  <c r="K69" i="21"/>
  <c r="X69" i="21"/>
  <c r="G70" i="10"/>
  <c r="H70" i="10" s="1"/>
  <c r="E70" i="15"/>
  <c r="K70" i="15" s="1"/>
  <c r="AB70" i="15"/>
  <c r="X70" i="15" s="1"/>
  <c r="AA70" i="15"/>
  <c r="D70" i="21" l="1"/>
  <c r="I70" i="21" s="1"/>
  <c r="C70" i="21"/>
  <c r="F70" i="10"/>
  <c r="Q70" i="10" s="1"/>
  <c r="W70" i="15"/>
  <c r="L70" i="15"/>
  <c r="D71" i="15" s="1"/>
  <c r="I71" i="15" s="1"/>
  <c r="G70" i="21" l="1"/>
  <c r="H70" i="21"/>
  <c r="U70" i="21"/>
  <c r="Q70" i="21"/>
  <c r="F70" i="21" s="1"/>
  <c r="J70" i="21" s="1"/>
  <c r="T70" i="21"/>
  <c r="N70" i="21"/>
  <c r="P70" i="21"/>
  <c r="O70" i="21"/>
  <c r="K70" i="10"/>
  <c r="R70" i="10"/>
  <c r="I70" i="10"/>
  <c r="C71" i="10"/>
  <c r="C71" i="15"/>
  <c r="P71" i="15" s="1"/>
  <c r="AB70" i="21" l="1"/>
  <c r="W70" i="21" s="1"/>
  <c r="AA70" i="21"/>
  <c r="X70" i="21"/>
  <c r="E70" i="21"/>
  <c r="J71" i="10"/>
  <c r="H71" i="15"/>
  <c r="Q71" i="15"/>
  <c r="F71" i="15" s="1"/>
  <c r="J71" i="15" s="1"/>
  <c r="O71" i="15"/>
  <c r="G71" i="15"/>
  <c r="T71" i="15"/>
  <c r="U71" i="15"/>
  <c r="N71" i="15"/>
  <c r="AA71" i="15" s="1"/>
  <c r="E71" i="15"/>
  <c r="K70" i="21" l="1"/>
  <c r="L70" i="21"/>
  <c r="AB71" i="15"/>
  <c r="X71" i="15" s="1"/>
  <c r="K71" i="15"/>
  <c r="E71" i="10"/>
  <c r="D71" i="10"/>
  <c r="D71" i="21" l="1"/>
  <c r="I71" i="21" s="1"/>
  <c r="C71" i="21"/>
  <c r="G71" i="10"/>
  <c r="W71" i="15"/>
  <c r="L71" i="15"/>
  <c r="D72" i="15" s="1"/>
  <c r="I72" i="15" s="1"/>
  <c r="T71" i="21" l="1"/>
  <c r="U71" i="21"/>
  <c r="P71" i="21"/>
  <c r="H71" i="21"/>
  <c r="Q71" i="21"/>
  <c r="O71" i="21"/>
  <c r="N71" i="21"/>
  <c r="G71" i="21"/>
  <c r="H71" i="10"/>
  <c r="F71" i="10"/>
  <c r="C72" i="15"/>
  <c r="H72" i="15" s="1"/>
  <c r="AA71" i="21" l="1"/>
  <c r="AB71" i="21"/>
  <c r="F71" i="21"/>
  <c r="J71" i="21" s="1"/>
  <c r="I71" i="10"/>
  <c r="K71" i="10"/>
  <c r="Q71" i="10"/>
  <c r="R71" i="10"/>
  <c r="G72" i="15"/>
  <c r="P72" i="15"/>
  <c r="O72" i="15"/>
  <c r="Q72" i="15"/>
  <c r="F72" i="15" s="1"/>
  <c r="J72" i="15" s="1"/>
  <c r="U72" i="15"/>
  <c r="N72" i="15"/>
  <c r="AB72" i="15" s="1"/>
  <c r="W72" i="15" s="1"/>
  <c r="T72" i="15"/>
  <c r="E72" i="15"/>
  <c r="K72" i="15" s="1"/>
  <c r="X71" i="21" l="1"/>
  <c r="W71" i="21"/>
  <c r="E71" i="21"/>
  <c r="AA72" i="15"/>
  <c r="L72" i="15"/>
  <c r="X72" i="15"/>
  <c r="C72" i="10"/>
  <c r="K71" i="21" l="1"/>
  <c r="L71" i="21"/>
  <c r="J72" i="10"/>
  <c r="D73" i="15"/>
  <c r="I73" i="15" s="1"/>
  <c r="C73" i="15"/>
  <c r="E72" i="10"/>
  <c r="D72" i="10"/>
  <c r="D72" i="21" l="1"/>
  <c r="I72" i="21" s="1"/>
  <c r="C72" i="21"/>
  <c r="G72" i="10"/>
  <c r="U73" i="15"/>
  <c r="T73" i="15"/>
  <c r="Q73" i="15"/>
  <c r="F73" i="15" s="1"/>
  <c r="P73" i="15"/>
  <c r="G73" i="15"/>
  <c r="H73" i="15"/>
  <c r="O73" i="15"/>
  <c r="N73" i="15"/>
  <c r="O72" i="21" l="1"/>
  <c r="Q72" i="21"/>
  <c r="F72" i="21" s="1"/>
  <c r="U72" i="21"/>
  <c r="H72" i="21"/>
  <c r="P72" i="21"/>
  <c r="G72" i="21"/>
  <c r="T72" i="21"/>
  <c r="N72" i="21"/>
  <c r="H72" i="10"/>
  <c r="F72" i="10"/>
  <c r="J73" i="15"/>
  <c r="E73" i="15"/>
  <c r="AB73" i="15"/>
  <c r="X73" i="15" s="1"/>
  <c r="AA73" i="15"/>
  <c r="J72" i="21" l="1"/>
  <c r="E72" i="21"/>
  <c r="AB72" i="21"/>
  <c r="W72" i="21" s="1"/>
  <c r="AA72" i="21"/>
  <c r="I72" i="10"/>
  <c r="K72" i="10"/>
  <c r="Q72" i="10"/>
  <c r="C73" i="10" s="1"/>
  <c r="R72" i="10"/>
  <c r="K73" i="15"/>
  <c r="L73" i="15"/>
  <c r="W73" i="15"/>
  <c r="K72" i="21" l="1"/>
  <c r="L72" i="21"/>
  <c r="X72" i="21"/>
  <c r="J73" i="10"/>
  <c r="D74" i="15"/>
  <c r="I74" i="15" s="1"/>
  <c r="C74" i="15"/>
  <c r="D73" i="21" l="1"/>
  <c r="I73" i="21" s="1"/>
  <c r="C73" i="21"/>
  <c r="Q74" i="15"/>
  <c r="F74" i="15" s="1"/>
  <c r="J74" i="15" s="1"/>
  <c r="U74" i="15"/>
  <c r="P74" i="15"/>
  <c r="H74" i="15"/>
  <c r="T74" i="15"/>
  <c r="O74" i="15"/>
  <c r="N74" i="15"/>
  <c r="G74" i="15"/>
  <c r="E73" i="10"/>
  <c r="D73" i="10"/>
  <c r="T73" i="21" l="1"/>
  <c r="H73" i="21"/>
  <c r="Q73" i="21"/>
  <c r="G73" i="21"/>
  <c r="P73" i="21"/>
  <c r="U73" i="21"/>
  <c r="O73" i="21"/>
  <c r="N73" i="21"/>
  <c r="G73" i="10"/>
  <c r="E74" i="15"/>
  <c r="K74" i="15" s="1"/>
  <c r="AB74" i="15"/>
  <c r="W74" i="15" s="1"/>
  <c r="AA74" i="15"/>
  <c r="X74" i="15"/>
  <c r="AB73" i="21" l="1"/>
  <c r="W73" i="21" s="1"/>
  <c r="AA73" i="21"/>
  <c r="F73" i="21"/>
  <c r="J73" i="21" s="1"/>
  <c r="H73" i="10"/>
  <c r="F73" i="10"/>
  <c r="L74" i="15"/>
  <c r="E73" i="21" l="1"/>
  <c r="K73" i="21" s="1"/>
  <c r="X73" i="21"/>
  <c r="K73" i="10"/>
  <c r="I73" i="10"/>
  <c r="Q73" i="10"/>
  <c r="C74" i="10" s="1"/>
  <c r="R73" i="10"/>
  <c r="D75" i="15"/>
  <c r="I75" i="15" s="1"/>
  <c r="C75" i="15"/>
  <c r="L73" i="21" l="1"/>
  <c r="J74" i="10"/>
  <c r="Q75" i="15"/>
  <c r="F75" i="15" s="1"/>
  <c r="J75" i="15" s="1"/>
  <c r="U75" i="15"/>
  <c r="H75" i="15"/>
  <c r="P75" i="15"/>
  <c r="T75" i="15"/>
  <c r="G75" i="15"/>
  <c r="O75" i="15"/>
  <c r="N75" i="15"/>
  <c r="D74" i="21" l="1"/>
  <c r="I74" i="21" s="1"/>
  <c r="C74" i="21"/>
  <c r="E75" i="15"/>
  <c r="K75" i="15" s="1"/>
  <c r="AB75" i="15"/>
  <c r="AA75" i="15"/>
  <c r="E74" i="10"/>
  <c r="D74" i="10"/>
  <c r="G74" i="21" l="1"/>
  <c r="H74" i="21"/>
  <c r="N74" i="21"/>
  <c r="Q74" i="21"/>
  <c r="F74" i="21" s="1"/>
  <c r="J74" i="21" s="1"/>
  <c r="O74" i="21"/>
  <c r="U74" i="21"/>
  <c r="P74" i="21"/>
  <c r="T74" i="21"/>
  <c r="G74" i="10"/>
  <c r="W75" i="15"/>
  <c r="X75" i="15"/>
  <c r="L75" i="15"/>
  <c r="AB74" i="21" l="1"/>
  <c r="X74" i="21" s="1"/>
  <c r="AA74" i="21"/>
  <c r="E74" i="21"/>
  <c r="H74" i="10"/>
  <c r="F74" i="10"/>
  <c r="D76" i="15"/>
  <c r="I76" i="15" s="1"/>
  <c r="C76" i="15"/>
  <c r="K74" i="21" l="1"/>
  <c r="L74" i="21"/>
  <c r="W74" i="21"/>
  <c r="I74" i="10"/>
  <c r="K74" i="10"/>
  <c r="Q74" i="10"/>
  <c r="C75" i="10" s="1"/>
  <c r="R74" i="10"/>
  <c r="U76" i="15"/>
  <c r="O76" i="15"/>
  <c r="N76" i="15"/>
  <c r="G76" i="15"/>
  <c r="T76" i="15"/>
  <c r="Q76" i="15"/>
  <c r="F76" i="15" s="1"/>
  <c r="J76" i="15" s="1"/>
  <c r="H76" i="15"/>
  <c r="P76" i="15"/>
  <c r="D75" i="21" l="1"/>
  <c r="I75" i="21" s="1"/>
  <c r="C75" i="21"/>
  <c r="J75" i="10"/>
  <c r="AB76" i="15"/>
  <c r="W76" i="15" s="1"/>
  <c r="AA76" i="15"/>
  <c r="E76" i="15"/>
  <c r="X76" i="15"/>
  <c r="U75" i="21" l="1"/>
  <c r="P75" i="21"/>
  <c r="T75" i="21"/>
  <c r="H75" i="21"/>
  <c r="Q75" i="21"/>
  <c r="N75" i="21"/>
  <c r="F75" i="21"/>
  <c r="J75" i="21" s="1"/>
  <c r="G75" i="21"/>
  <c r="O75" i="21"/>
  <c r="L76" i="15"/>
  <c r="K76" i="15"/>
  <c r="E75" i="10"/>
  <c r="D75" i="10"/>
  <c r="AB75" i="21" l="1"/>
  <c r="W75" i="21" s="1"/>
  <c r="AA75" i="21"/>
  <c r="E75" i="21"/>
  <c r="G75" i="10"/>
  <c r="D77" i="15"/>
  <c r="I77" i="15" s="1"/>
  <c r="C77" i="15"/>
  <c r="L75" i="21" l="1"/>
  <c r="K75" i="21"/>
  <c r="X75" i="21"/>
  <c r="H75" i="10"/>
  <c r="F75" i="10"/>
  <c r="O77" i="15"/>
  <c r="T77" i="15"/>
  <c r="P77" i="15"/>
  <c r="G77" i="15"/>
  <c r="N77" i="15"/>
  <c r="U77" i="15"/>
  <c r="Q77" i="15"/>
  <c r="F77" i="15" s="1"/>
  <c r="J77" i="15" s="1"/>
  <c r="H77" i="15"/>
  <c r="D76" i="21" l="1"/>
  <c r="I76" i="21" s="1"/>
  <c r="C76" i="21"/>
  <c r="K75" i="10"/>
  <c r="I75" i="10"/>
  <c r="Q75" i="10"/>
  <c r="C76" i="10" s="1"/>
  <c r="R75" i="10"/>
  <c r="AB77" i="15"/>
  <c r="X77" i="15" s="1"/>
  <c r="AA77" i="15"/>
  <c r="E77" i="15"/>
  <c r="T76" i="21" l="1"/>
  <c r="Q76" i="21"/>
  <c r="F76" i="21" s="1"/>
  <c r="N76" i="21"/>
  <c r="H76" i="21"/>
  <c r="O76" i="21"/>
  <c r="U76" i="21"/>
  <c r="G76" i="21"/>
  <c r="P76" i="21"/>
  <c r="J76" i="10"/>
  <c r="K77" i="15"/>
  <c r="L77" i="15"/>
  <c r="W77" i="15"/>
  <c r="J76" i="21" l="1"/>
  <c r="E76" i="21"/>
  <c r="AB76" i="21"/>
  <c r="W76" i="21" s="1"/>
  <c r="AA76" i="21"/>
  <c r="D78" i="15"/>
  <c r="I78" i="15" s="1"/>
  <c r="C78" i="15"/>
  <c r="E76" i="10"/>
  <c r="D76" i="10"/>
  <c r="K76" i="21" l="1"/>
  <c r="L76" i="21"/>
  <c r="X76" i="21"/>
  <c r="G76" i="10"/>
  <c r="H78" i="15"/>
  <c r="P78" i="15"/>
  <c r="G78" i="15"/>
  <c r="O78" i="15"/>
  <c r="N78" i="15"/>
  <c r="T78" i="15"/>
  <c r="U78" i="15"/>
  <c r="Q78" i="15"/>
  <c r="F78" i="15" s="1"/>
  <c r="J78" i="15" s="1"/>
  <c r="D77" i="21" l="1"/>
  <c r="I77" i="21" s="1"/>
  <c r="C77" i="21"/>
  <c r="H76" i="10"/>
  <c r="F76" i="10"/>
  <c r="AB78" i="15"/>
  <c r="X78" i="15" s="1"/>
  <c r="AA78" i="15"/>
  <c r="E78" i="15"/>
  <c r="N77" i="21" l="1"/>
  <c r="H77" i="21"/>
  <c r="Q77" i="21"/>
  <c r="G77" i="21"/>
  <c r="U77" i="21"/>
  <c r="O77" i="21"/>
  <c r="T77" i="21"/>
  <c r="P77" i="21"/>
  <c r="I76" i="10"/>
  <c r="K76" i="10"/>
  <c r="Q76" i="10"/>
  <c r="C77" i="10" s="1"/>
  <c r="R76" i="10"/>
  <c r="K78" i="15"/>
  <c r="L78" i="15"/>
  <c r="W78" i="15"/>
  <c r="E77" i="21" l="1"/>
  <c r="F77" i="21"/>
  <c r="J77" i="21" s="1"/>
  <c r="AB77" i="21"/>
  <c r="X77" i="21" s="1"/>
  <c r="AA77" i="21"/>
  <c r="J77" i="10"/>
  <c r="D79" i="15"/>
  <c r="I79" i="15" s="1"/>
  <c r="C79" i="15"/>
  <c r="K77" i="21" l="1"/>
  <c r="L77" i="21"/>
  <c r="W77" i="21"/>
  <c r="P79" i="15"/>
  <c r="H79" i="15"/>
  <c r="G79" i="15"/>
  <c r="U79" i="15"/>
  <c r="Q79" i="15"/>
  <c r="F79" i="15" s="1"/>
  <c r="J79" i="15" s="1"/>
  <c r="T79" i="15"/>
  <c r="O79" i="15"/>
  <c r="N79" i="15"/>
  <c r="E77" i="10"/>
  <c r="D77" i="10"/>
  <c r="D78" i="21" l="1"/>
  <c r="I78" i="21" s="1"/>
  <c r="C78" i="21"/>
  <c r="G77" i="10"/>
  <c r="AB79" i="15"/>
  <c r="W79" i="15" s="1"/>
  <c r="AA79" i="15"/>
  <c r="E79" i="15"/>
  <c r="H78" i="21" l="1"/>
  <c r="P78" i="21"/>
  <c r="G78" i="21"/>
  <c r="U78" i="21"/>
  <c r="Q78" i="21"/>
  <c r="F78" i="21" s="1"/>
  <c r="J78" i="21" s="1"/>
  <c r="T78" i="21"/>
  <c r="N78" i="21"/>
  <c r="O78" i="21"/>
  <c r="H77" i="10"/>
  <c r="F77" i="10"/>
  <c r="K79" i="15"/>
  <c r="L79" i="15"/>
  <c r="X79" i="15"/>
  <c r="AB78" i="21" l="1"/>
  <c r="W78" i="21" s="1"/>
  <c r="AA78" i="21"/>
  <c r="E78" i="21"/>
  <c r="I77" i="10"/>
  <c r="K77" i="10"/>
  <c r="Q77" i="10"/>
  <c r="R77" i="10"/>
  <c r="D80" i="15"/>
  <c r="I80" i="15" s="1"/>
  <c r="C80" i="15"/>
  <c r="K78" i="21" l="1"/>
  <c r="L78" i="21"/>
  <c r="X78" i="21"/>
  <c r="N80" i="15"/>
  <c r="U80" i="15"/>
  <c r="T80" i="15"/>
  <c r="Q80" i="15"/>
  <c r="F80" i="15" s="1"/>
  <c r="J80" i="15" s="1"/>
  <c r="H80" i="15"/>
  <c r="O80" i="15"/>
  <c r="P80" i="15"/>
  <c r="G80" i="15"/>
  <c r="C78" i="10"/>
  <c r="D79" i="21" l="1"/>
  <c r="I79" i="21" s="1"/>
  <c r="C79" i="21"/>
  <c r="J78" i="10"/>
  <c r="E80" i="15"/>
  <c r="AB80" i="15"/>
  <c r="X80" i="15" s="1"/>
  <c r="AA80" i="15"/>
  <c r="E78" i="10"/>
  <c r="D78" i="10"/>
  <c r="P79" i="21" l="1"/>
  <c r="N79" i="21"/>
  <c r="U79" i="21"/>
  <c r="G79" i="21"/>
  <c r="O79" i="21"/>
  <c r="T79" i="21"/>
  <c r="Q79" i="21"/>
  <c r="H79" i="21"/>
  <c r="G78" i="10"/>
  <c r="W80" i="15"/>
  <c r="K80" i="15"/>
  <c r="L80" i="15"/>
  <c r="F79" i="21" l="1"/>
  <c r="J79" i="21" s="1"/>
  <c r="AB79" i="21"/>
  <c r="X79" i="21" s="1"/>
  <c r="AA79" i="21"/>
  <c r="H78" i="10"/>
  <c r="F78" i="10"/>
  <c r="D81" i="15"/>
  <c r="I81" i="15" s="1"/>
  <c r="C81" i="15"/>
  <c r="W79" i="21" l="1"/>
  <c r="E79" i="21"/>
  <c r="K78" i="10"/>
  <c r="I78" i="10"/>
  <c r="Q78" i="10"/>
  <c r="C79" i="10" s="1"/>
  <c r="R78" i="10"/>
  <c r="P81" i="15"/>
  <c r="G81" i="15"/>
  <c r="O81" i="15"/>
  <c r="N81" i="15"/>
  <c r="Q81" i="15"/>
  <c r="F81" i="15" s="1"/>
  <c r="J81" i="15" s="1"/>
  <c r="U81" i="15"/>
  <c r="H81" i="15"/>
  <c r="T81" i="15"/>
  <c r="K79" i="21" l="1"/>
  <c r="L79" i="21"/>
  <c r="J79" i="10"/>
  <c r="AB81" i="15"/>
  <c r="AA81" i="15"/>
  <c r="E81" i="15"/>
  <c r="K81" i="15" s="1"/>
  <c r="D80" i="21" l="1"/>
  <c r="I80" i="21" s="1"/>
  <c r="C80" i="21"/>
  <c r="L81" i="15"/>
  <c r="X81" i="15"/>
  <c r="W81" i="15"/>
  <c r="E79" i="10"/>
  <c r="D79" i="10"/>
  <c r="Q80" i="21" l="1"/>
  <c r="G80" i="21"/>
  <c r="N80" i="21"/>
  <c r="H80" i="21"/>
  <c r="P80" i="21"/>
  <c r="U80" i="21"/>
  <c r="T80" i="21"/>
  <c r="O80" i="21"/>
  <c r="F80" i="21"/>
  <c r="J80" i="21" s="1"/>
  <c r="E80" i="21"/>
  <c r="K80" i="21" s="1"/>
  <c r="G79" i="10"/>
  <c r="D82" i="15"/>
  <c r="I82" i="15" s="1"/>
  <c r="C82" i="15"/>
  <c r="AB80" i="21" l="1"/>
  <c r="W80" i="21" s="1"/>
  <c r="AA80" i="21"/>
  <c r="X80" i="21"/>
  <c r="H79" i="10"/>
  <c r="F79" i="10"/>
  <c r="O82" i="15"/>
  <c r="N82" i="15"/>
  <c r="G82" i="15"/>
  <c r="U82" i="15"/>
  <c r="Q82" i="15"/>
  <c r="F82" i="15" s="1"/>
  <c r="J82" i="15" s="1"/>
  <c r="H82" i="15"/>
  <c r="P82" i="15"/>
  <c r="T82" i="15"/>
  <c r="L80" i="21" l="1"/>
  <c r="K79" i="10"/>
  <c r="I79" i="10"/>
  <c r="Q79" i="10"/>
  <c r="C80" i="10" s="1"/>
  <c r="R79" i="10"/>
  <c r="E82" i="15"/>
  <c r="AB82" i="15"/>
  <c r="W82" i="15" s="1"/>
  <c r="AA82" i="15"/>
  <c r="D81" i="21" l="1"/>
  <c r="I81" i="21" s="1"/>
  <c r="C81" i="21"/>
  <c r="J80" i="10"/>
  <c r="X82" i="15"/>
  <c r="L82" i="15"/>
  <c r="K82" i="15"/>
  <c r="T81" i="21" l="1"/>
  <c r="Q81" i="21"/>
  <c r="F81" i="21" s="1"/>
  <c r="P81" i="21"/>
  <c r="H81" i="21"/>
  <c r="O81" i="21"/>
  <c r="G81" i="21"/>
  <c r="N81" i="21"/>
  <c r="U81" i="21"/>
  <c r="D83" i="15"/>
  <c r="I83" i="15" s="1"/>
  <c r="C83" i="15"/>
  <c r="E80" i="10"/>
  <c r="D80" i="10"/>
  <c r="J81" i="21" l="1"/>
  <c r="E81" i="21"/>
  <c r="AB81" i="21"/>
  <c r="W81" i="21" s="1"/>
  <c r="AA81" i="21"/>
  <c r="G80" i="10"/>
  <c r="N83" i="15"/>
  <c r="H83" i="15"/>
  <c r="T83" i="15"/>
  <c r="Q83" i="15"/>
  <c r="F83" i="15" s="1"/>
  <c r="U83" i="15"/>
  <c r="P83" i="15"/>
  <c r="G83" i="15"/>
  <c r="O83" i="15"/>
  <c r="L81" i="21" l="1"/>
  <c r="K81" i="21"/>
  <c r="X81" i="21"/>
  <c r="F80" i="10"/>
  <c r="H80" i="10"/>
  <c r="J83" i="15"/>
  <c r="E83" i="15"/>
  <c r="AB83" i="15"/>
  <c r="X83" i="15" s="1"/>
  <c r="AA83" i="15"/>
  <c r="D82" i="21" l="1"/>
  <c r="I82" i="21" s="1"/>
  <c r="C82" i="21"/>
  <c r="K80" i="10"/>
  <c r="I80" i="10"/>
  <c r="Q80" i="10"/>
  <c r="C81" i="10" s="1"/>
  <c r="R80" i="10"/>
  <c r="K83" i="15"/>
  <c r="W83" i="15"/>
  <c r="L83" i="15"/>
  <c r="U82" i="21" l="1"/>
  <c r="G82" i="21"/>
  <c r="T82" i="21"/>
  <c r="O82" i="21"/>
  <c r="P82" i="21"/>
  <c r="H82" i="21"/>
  <c r="Q82" i="21"/>
  <c r="F82" i="21" s="1"/>
  <c r="J82" i="21" s="1"/>
  <c r="N82" i="21"/>
  <c r="J81" i="10"/>
  <c r="D84" i="15"/>
  <c r="I84" i="15" s="1"/>
  <c r="C84" i="15"/>
  <c r="AB82" i="21" l="1"/>
  <c r="W82" i="21" s="1"/>
  <c r="AA82" i="21"/>
  <c r="E82" i="21"/>
  <c r="X82" i="21"/>
  <c r="T84" i="15"/>
  <c r="O84" i="15"/>
  <c r="N84" i="15"/>
  <c r="U84" i="15"/>
  <c r="G84" i="15"/>
  <c r="Q84" i="15"/>
  <c r="F84" i="15" s="1"/>
  <c r="P84" i="15"/>
  <c r="H84" i="15"/>
  <c r="E81" i="10"/>
  <c r="D81" i="10"/>
  <c r="K82" i="21" l="1"/>
  <c r="L82" i="21"/>
  <c r="G81" i="10"/>
  <c r="J84" i="15"/>
  <c r="E84" i="15"/>
  <c r="AB84" i="15"/>
  <c r="X84" i="15" s="1"/>
  <c r="AA84" i="15"/>
  <c r="D83" i="21" l="1"/>
  <c r="I83" i="21" s="1"/>
  <c r="C83" i="21"/>
  <c r="H81" i="10"/>
  <c r="F81" i="10"/>
  <c r="K84" i="15"/>
  <c r="L84" i="15"/>
  <c r="D85" i="15" s="1"/>
  <c r="I85" i="15" s="1"/>
  <c r="W84" i="15"/>
  <c r="U83" i="21" l="1"/>
  <c r="T83" i="21"/>
  <c r="N83" i="21"/>
  <c r="P83" i="21"/>
  <c r="G83" i="21"/>
  <c r="O83" i="21"/>
  <c r="H83" i="21"/>
  <c r="Q83" i="21"/>
  <c r="F83" i="21" s="1"/>
  <c r="J83" i="21" s="1"/>
  <c r="K81" i="10"/>
  <c r="I81" i="10"/>
  <c r="Q81" i="10"/>
  <c r="C82" i="10" s="1"/>
  <c r="R81" i="10"/>
  <c r="C85" i="15"/>
  <c r="P85" i="15" s="1"/>
  <c r="AB83" i="21" l="1"/>
  <c r="X83" i="21" s="1"/>
  <c r="AA83" i="21"/>
  <c r="E83" i="21"/>
  <c r="W83" i="21"/>
  <c r="J82" i="10"/>
  <c r="U85" i="15"/>
  <c r="Q85" i="15"/>
  <c r="F85" i="15" s="1"/>
  <c r="J85" i="15" s="1"/>
  <c r="H85" i="15"/>
  <c r="N85" i="15"/>
  <c r="AB85" i="15" s="1"/>
  <c r="G85" i="15"/>
  <c r="T85" i="15"/>
  <c r="O85" i="15"/>
  <c r="K83" i="21" l="1"/>
  <c r="L83" i="21"/>
  <c r="X85" i="15"/>
  <c r="E85" i="15"/>
  <c r="K85" i="15" s="1"/>
  <c r="AA85" i="15"/>
  <c r="W85" i="15"/>
  <c r="E82" i="10"/>
  <c r="D82" i="10"/>
  <c r="D84" i="21" l="1"/>
  <c r="I84" i="21" s="1"/>
  <c r="C84" i="21"/>
  <c r="G82" i="10"/>
  <c r="L85" i="15"/>
  <c r="D86" i="15" s="1"/>
  <c r="I86" i="15" s="1"/>
  <c r="N84" i="21" l="1"/>
  <c r="H84" i="21"/>
  <c r="P84" i="21"/>
  <c r="T84" i="21"/>
  <c r="O84" i="21"/>
  <c r="G84" i="21"/>
  <c r="U84" i="21"/>
  <c r="Q84" i="21"/>
  <c r="F84" i="21" s="1"/>
  <c r="J84" i="21" s="1"/>
  <c r="H82" i="10"/>
  <c r="F82" i="10"/>
  <c r="C86" i="15"/>
  <c r="G86" i="15" s="1"/>
  <c r="E84" i="21" l="1"/>
  <c r="AB84" i="21"/>
  <c r="W84" i="21" s="1"/>
  <c r="AA84" i="21"/>
  <c r="I82" i="10"/>
  <c r="K82" i="10"/>
  <c r="Q82" i="10"/>
  <c r="C83" i="10" s="1"/>
  <c r="R82" i="10"/>
  <c r="U86" i="15"/>
  <c r="O86" i="15"/>
  <c r="N86" i="15"/>
  <c r="AA86" i="15" s="1"/>
  <c r="P86" i="15"/>
  <c r="H86" i="15"/>
  <c r="T86" i="15"/>
  <c r="Q86" i="15"/>
  <c r="F86" i="15" s="1"/>
  <c r="J86" i="15" s="1"/>
  <c r="K84" i="21" l="1"/>
  <c r="L84" i="21"/>
  <c r="X84" i="21"/>
  <c r="J83" i="10"/>
  <c r="AB86" i="15"/>
  <c r="X86" i="15" s="1"/>
  <c r="E86" i="15"/>
  <c r="K86" i="15" s="1"/>
  <c r="D85" i="21" l="1"/>
  <c r="I85" i="21" s="1"/>
  <c r="C85" i="21"/>
  <c r="W86" i="15"/>
  <c r="L86" i="15"/>
  <c r="D87" i="15" s="1"/>
  <c r="I87" i="15" s="1"/>
  <c r="E83" i="10"/>
  <c r="D83" i="10"/>
  <c r="G85" i="21" l="1"/>
  <c r="O85" i="21"/>
  <c r="T85" i="21"/>
  <c r="N85" i="21"/>
  <c r="H85" i="21"/>
  <c r="P85" i="21"/>
  <c r="U85" i="21"/>
  <c r="Q85" i="21"/>
  <c r="F85" i="21" s="1"/>
  <c r="J85" i="21" s="1"/>
  <c r="G83" i="10"/>
  <c r="C87" i="15"/>
  <c r="Q87" i="15" s="1"/>
  <c r="F87" i="15" s="1"/>
  <c r="J87" i="15" s="1"/>
  <c r="AB85" i="21" l="1"/>
  <c r="X85" i="21" s="1"/>
  <c r="AA85" i="21"/>
  <c r="E85" i="21"/>
  <c r="H83" i="10"/>
  <c r="F83" i="10"/>
  <c r="G87" i="15"/>
  <c r="T87" i="15"/>
  <c r="H87" i="15"/>
  <c r="U87" i="15"/>
  <c r="O87" i="15"/>
  <c r="N87" i="15"/>
  <c r="AA87" i="15" s="1"/>
  <c r="P87" i="15"/>
  <c r="E87" i="15"/>
  <c r="K85" i="21" l="1"/>
  <c r="L85" i="21"/>
  <c r="W85" i="21"/>
  <c r="K83" i="10"/>
  <c r="I83" i="10"/>
  <c r="Q83" i="10"/>
  <c r="C84" i="10" s="1"/>
  <c r="R83" i="10"/>
  <c r="K87" i="15"/>
  <c r="AB87" i="15"/>
  <c r="X87" i="15" s="1"/>
  <c r="D86" i="21" l="1"/>
  <c r="I86" i="21" s="1"/>
  <c r="C86" i="21"/>
  <c r="J84" i="10"/>
  <c r="W87" i="15"/>
  <c r="L87" i="15"/>
  <c r="D88" i="15" s="1"/>
  <c r="I88" i="15" s="1"/>
  <c r="N86" i="21" l="1"/>
  <c r="G86" i="21"/>
  <c r="O86" i="21"/>
  <c r="T86" i="21"/>
  <c r="H86" i="21"/>
  <c r="U86" i="21"/>
  <c r="P86" i="21"/>
  <c r="Q86" i="21"/>
  <c r="F86" i="21" s="1"/>
  <c r="J86" i="21" s="1"/>
  <c r="C88" i="15"/>
  <c r="N88" i="15" s="1"/>
  <c r="D84" i="10"/>
  <c r="E84" i="10"/>
  <c r="E86" i="21" l="1"/>
  <c r="AB86" i="21"/>
  <c r="W86" i="21" s="1"/>
  <c r="AA86" i="21"/>
  <c r="G84" i="10"/>
  <c r="O88" i="15"/>
  <c r="G88" i="15"/>
  <c r="Q88" i="15"/>
  <c r="F88" i="15" s="1"/>
  <c r="J88" i="15" s="1"/>
  <c r="P88" i="15"/>
  <c r="T88" i="15"/>
  <c r="H88" i="15"/>
  <c r="U88" i="15"/>
  <c r="AB88" i="15"/>
  <c r="AA88" i="15"/>
  <c r="K86" i="21" l="1"/>
  <c r="L86" i="21"/>
  <c r="X86" i="21"/>
  <c r="H84" i="10"/>
  <c r="F84" i="10"/>
  <c r="X88" i="15"/>
  <c r="E88" i="15"/>
  <c r="L88" i="15" s="1"/>
  <c r="W88" i="15"/>
  <c r="D87" i="21" l="1"/>
  <c r="I87" i="21" s="1"/>
  <c r="C87" i="21"/>
  <c r="I84" i="10"/>
  <c r="K84" i="10"/>
  <c r="Q84" i="10"/>
  <c r="C85" i="10" s="1"/>
  <c r="R84" i="10"/>
  <c r="K88" i="15"/>
  <c r="D89" i="15"/>
  <c r="I89" i="15" s="1"/>
  <c r="C89" i="15"/>
  <c r="O87" i="21" l="1"/>
  <c r="N87" i="21"/>
  <c r="P87" i="21"/>
  <c r="Q87" i="21"/>
  <c r="F87" i="21" s="1"/>
  <c r="H87" i="21"/>
  <c r="T87" i="21"/>
  <c r="G87" i="21"/>
  <c r="U87" i="21"/>
  <c r="J85" i="10"/>
  <c r="T89" i="15"/>
  <c r="P89" i="15"/>
  <c r="O89" i="15"/>
  <c r="U89" i="15"/>
  <c r="Q89" i="15"/>
  <c r="H89" i="15"/>
  <c r="G89" i="15"/>
  <c r="N89" i="15"/>
  <c r="J87" i="21" l="1"/>
  <c r="E87" i="21"/>
  <c r="AB87" i="21"/>
  <c r="X87" i="21" s="1"/>
  <c r="AA87" i="21"/>
  <c r="F89" i="15"/>
  <c r="J89" i="15" s="1"/>
  <c r="AB89" i="15"/>
  <c r="W89" i="15" s="1"/>
  <c r="AA89" i="15"/>
  <c r="E85" i="10"/>
  <c r="D85" i="10"/>
  <c r="L87" i="21" l="1"/>
  <c r="K87" i="21"/>
  <c r="W87" i="21"/>
  <c r="G85" i="10"/>
  <c r="X89" i="15"/>
  <c r="E89" i="15"/>
  <c r="K89" i="15" s="1"/>
  <c r="D88" i="21" l="1"/>
  <c r="I88" i="21" s="1"/>
  <c r="C88" i="21"/>
  <c r="H85" i="10"/>
  <c r="F85" i="10"/>
  <c r="L89" i="15"/>
  <c r="D90" i="15" s="1"/>
  <c r="I90" i="15" s="1"/>
  <c r="O88" i="21" l="1"/>
  <c r="H88" i="21"/>
  <c r="P88" i="21"/>
  <c r="N88" i="21"/>
  <c r="G88" i="21"/>
  <c r="Q88" i="21"/>
  <c r="F88" i="21" s="1"/>
  <c r="J88" i="21" s="1"/>
  <c r="U88" i="21"/>
  <c r="T88" i="21"/>
  <c r="K85" i="10"/>
  <c r="I85" i="10"/>
  <c r="Q85" i="10"/>
  <c r="C86" i="10" s="1"/>
  <c r="R85" i="10"/>
  <c r="C90" i="15"/>
  <c r="O90" i="15" s="1"/>
  <c r="AB88" i="21" l="1"/>
  <c r="W88" i="21" s="1"/>
  <c r="AA88" i="21"/>
  <c r="E88" i="21"/>
  <c r="J86" i="10"/>
  <c r="U90" i="15"/>
  <c r="G90" i="15"/>
  <c r="Q90" i="15"/>
  <c r="F90" i="15" s="1"/>
  <c r="J90" i="15" s="1"/>
  <c r="H90" i="15"/>
  <c r="N90" i="15"/>
  <c r="AB90" i="15" s="1"/>
  <c r="T90" i="15"/>
  <c r="P90" i="15"/>
  <c r="L88" i="21" l="1"/>
  <c r="K88" i="21"/>
  <c r="X88" i="21"/>
  <c r="E90" i="15"/>
  <c r="K90" i="15" s="1"/>
  <c r="AA90" i="15"/>
  <c r="X90" i="15"/>
  <c r="W90" i="15"/>
  <c r="E86" i="10"/>
  <c r="D86" i="10"/>
  <c r="D89" i="21" l="1"/>
  <c r="I89" i="21" s="1"/>
  <c r="C89" i="21"/>
  <c r="G86" i="10"/>
  <c r="L90" i="15"/>
  <c r="D91" i="15" s="1"/>
  <c r="I91" i="15" s="1"/>
  <c r="H89" i="21" l="1"/>
  <c r="G89" i="21"/>
  <c r="T89" i="21"/>
  <c r="O89" i="21"/>
  <c r="N89" i="21"/>
  <c r="P89" i="21"/>
  <c r="U89" i="21"/>
  <c r="Q89" i="21"/>
  <c r="F89" i="21" s="1"/>
  <c r="J89" i="21" s="1"/>
  <c r="H86" i="10"/>
  <c r="F86" i="10"/>
  <c r="C91" i="15"/>
  <c r="P91" i="15" s="1"/>
  <c r="AB89" i="21" l="1"/>
  <c r="W89" i="21" s="1"/>
  <c r="AA89" i="21"/>
  <c r="E89" i="21"/>
  <c r="K86" i="10"/>
  <c r="I86" i="10"/>
  <c r="Q86" i="10"/>
  <c r="C87" i="10" s="1"/>
  <c r="R86" i="10"/>
  <c r="N91" i="15"/>
  <c r="AB91" i="15" s="1"/>
  <c r="W91" i="15" s="1"/>
  <c r="U91" i="15"/>
  <c r="Q91" i="15"/>
  <c r="F91" i="15" s="1"/>
  <c r="J91" i="15" s="1"/>
  <c r="H91" i="15"/>
  <c r="T91" i="15"/>
  <c r="O91" i="15"/>
  <c r="G91" i="15"/>
  <c r="E91" i="15"/>
  <c r="K89" i="21" l="1"/>
  <c r="L89" i="21"/>
  <c r="X89" i="21"/>
  <c r="J87" i="10"/>
  <c r="AA91" i="15"/>
  <c r="L91" i="15"/>
  <c r="K91" i="15"/>
  <c r="X91" i="15"/>
  <c r="D90" i="21" l="1"/>
  <c r="I90" i="21" s="1"/>
  <c r="C90" i="21"/>
  <c r="D92" i="15"/>
  <c r="I92" i="15" s="1"/>
  <c r="C92" i="15"/>
  <c r="E87" i="10"/>
  <c r="D87" i="10"/>
  <c r="H90" i="21" l="1"/>
  <c r="T90" i="21"/>
  <c r="P90" i="21"/>
  <c r="O90" i="21"/>
  <c r="G90" i="21"/>
  <c r="Q90" i="21"/>
  <c r="F90" i="21" s="1"/>
  <c r="J90" i="21" s="1"/>
  <c r="U90" i="21"/>
  <c r="N90" i="21"/>
  <c r="G87" i="10"/>
  <c r="T92" i="15"/>
  <c r="O92" i="15"/>
  <c r="Q92" i="15"/>
  <c r="N92" i="15"/>
  <c r="H92" i="15"/>
  <c r="P92" i="15"/>
  <c r="G92" i="15"/>
  <c r="U92" i="15"/>
  <c r="E90" i="21" l="1"/>
  <c r="AB90" i="21"/>
  <c r="W90" i="21" s="1"/>
  <c r="AA90" i="21"/>
  <c r="F87" i="10"/>
  <c r="H87" i="10"/>
  <c r="AB92" i="15"/>
  <c r="AA92" i="15"/>
  <c r="F92" i="15"/>
  <c r="J92" i="15" s="1"/>
  <c r="L90" i="21" l="1"/>
  <c r="K90" i="21"/>
  <c r="X90" i="21"/>
  <c r="K87" i="10"/>
  <c r="I87" i="10"/>
  <c r="Q87" i="10"/>
  <c r="C88" i="10" s="1"/>
  <c r="R87" i="10"/>
  <c r="E92" i="15"/>
  <c r="X92" i="15"/>
  <c r="W92" i="15"/>
  <c r="D91" i="21" l="1"/>
  <c r="I91" i="21" s="1"/>
  <c r="C91" i="21"/>
  <c r="J88" i="10"/>
  <c r="K92" i="15"/>
  <c r="L92" i="15"/>
  <c r="G91" i="21" l="1"/>
  <c r="U91" i="21"/>
  <c r="N91" i="21"/>
  <c r="T91" i="21"/>
  <c r="P91" i="21"/>
  <c r="Q91" i="21"/>
  <c r="F91" i="21" s="1"/>
  <c r="J91" i="21" s="1"/>
  <c r="O91" i="21"/>
  <c r="H91" i="21"/>
  <c r="D93" i="15"/>
  <c r="I93" i="15" s="1"/>
  <c r="C93" i="15"/>
  <c r="E88" i="10"/>
  <c r="D88" i="10"/>
  <c r="AB91" i="21" l="1"/>
  <c r="W91" i="21" s="1"/>
  <c r="AA91" i="21"/>
  <c r="X91" i="21"/>
  <c r="E91" i="21"/>
  <c r="G88" i="10"/>
  <c r="P93" i="15"/>
  <c r="O93" i="15"/>
  <c r="T93" i="15"/>
  <c r="Q93" i="15"/>
  <c r="F93" i="15" s="1"/>
  <c r="J93" i="15" s="1"/>
  <c r="H93" i="15"/>
  <c r="N93" i="15"/>
  <c r="G93" i="15"/>
  <c r="U93" i="15"/>
  <c r="K91" i="21" l="1"/>
  <c r="L91" i="21"/>
  <c r="H88" i="10"/>
  <c r="F88" i="10"/>
  <c r="E93" i="15"/>
  <c r="K93" i="15" s="1"/>
  <c r="AB93" i="15"/>
  <c r="X93" i="15" s="1"/>
  <c r="AA93" i="15"/>
  <c r="D92" i="21" l="1"/>
  <c r="I92" i="21" s="1"/>
  <c r="C92" i="21"/>
  <c r="K88" i="10"/>
  <c r="I88" i="10"/>
  <c r="Q88" i="10"/>
  <c r="C89" i="10" s="1"/>
  <c r="R88" i="10"/>
  <c r="L93" i="15"/>
  <c r="W93" i="15"/>
  <c r="U92" i="21" l="1"/>
  <c r="P92" i="21"/>
  <c r="G92" i="21"/>
  <c r="H92" i="21"/>
  <c r="T92" i="21"/>
  <c r="O92" i="21"/>
  <c r="Q92" i="21"/>
  <c r="F92" i="21" s="1"/>
  <c r="J92" i="21" s="1"/>
  <c r="N92" i="21"/>
  <c r="J89" i="10"/>
  <c r="D94" i="15"/>
  <c r="I94" i="15" s="1"/>
  <c r="C94" i="15"/>
  <c r="AB92" i="21" l="1"/>
  <c r="X92" i="21" s="1"/>
  <c r="AA92" i="21"/>
  <c r="W92" i="21"/>
  <c r="E92" i="21"/>
  <c r="N94" i="15"/>
  <c r="U94" i="15"/>
  <c r="T94" i="15"/>
  <c r="O94" i="15"/>
  <c r="Q94" i="15"/>
  <c r="F94" i="15" s="1"/>
  <c r="J94" i="15" s="1"/>
  <c r="H94" i="15"/>
  <c r="G94" i="15"/>
  <c r="P94" i="15"/>
  <c r="E89" i="10"/>
  <c r="D89" i="10"/>
  <c r="L92" i="21" l="1"/>
  <c r="K92" i="21"/>
  <c r="G89" i="10"/>
  <c r="E94" i="15"/>
  <c r="AB94" i="15"/>
  <c r="X94" i="15" s="1"/>
  <c r="AA94" i="15"/>
  <c r="D93" i="21" l="1"/>
  <c r="I93" i="21" s="1"/>
  <c r="C93" i="21"/>
  <c r="H89" i="10"/>
  <c r="F89" i="10"/>
  <c r="L94" i="15"/>
  <c r="K94" i="15"/>
  <c r="W94" i="15"/>
  <c r="N93" i="21" l="1"/>
  <c r="G93" i="21"/>
  <c r="Q93" i="21"/>
  <c r="F93" i="21" s="1"/>
  <c r="J93" i="21" s="1"/>
  <c r="T93" i="21"/>
  <c r="O93" i="21"/>
  <c r="P93" i="21"/>
  <c r="U93" i="21"/>
  <c r="H93" i="21"/>
  <c r="K89" i="10"/>
  <c r="I89" i="10"/>
  <c r="Q89" i="10"/>
  <c r="C90" i="10" s="1"/>
  <c r="R89" i="10"/>
  <c r="D95" i="15"/>
  <c r="I95" i="15" s="1"/>
  <c r="C95" i="15"/>
  <c r="E93" i="21" l="1"/>
  <c r="AB93" i="21"/>
  <c r="X93" i="21" s="1"/>
  <c r="AA93" i="21"/>
  <c r="J90" i="10"/>
  <c r="Q95" i="15"/>
  <c r="N95" i="15"/>
  <c r="O95" i="15"/>
  <c r="T95" i="15"/>
  <c r="U95" i="15"/>
  <c r="P95" i="15"/>
  <c r="G95" i="15"/>
  <c r="H95" i="15"/>
  <c r="K93" i="21" l="1"/>
  <c r="L93" i="21"/>
  <c r="W93" i="21"/>
  <c r="F95" i="15"/>
  <c r="J95" i="15" s="1"/>
  <c r="AB95" i="15"/>
  <c r="X95" i="15" s="1"/>
  <c r="AA95" i="15"/>
  <c r="D90" i="10"/>
  <c r="E90" i="10"/>
  <c r="D94" i="21" l="1"/>
  <c r="I94" i="21" s="1"/>
  <c r="C94" i="21"/>
  <c r="G90" i="10"/>
  <c r="E95" i="15"/>
  <c r="K95" i="15" s="1"/>
  <c r="W95" i="15"/>
  <c r="H94" i="21" l="1"/>
  <c r="G94" i="21"/>
  <c r="U94" i="21"/>
  <c r="T94" i="21"/>
  <c r="N94" i="21"/>
  <c r="Q94" i="21"/>
  <c r="F94" i="21" s="1"/>
  <c r="J94" i="21" s="1"/>
  <c r="O94" i="21"/>
  <c r="P94" i="21"/>
  <c r="H90" i="10"/>
  <c r="F90" i="10"/>
  <c r="L95" i="15"/>
  <c r="D96" i="15" s="1"/>
  <c r="I96" i="15" s="1"/>
  <c r="AB94" i="21" l="1"/>
  <c r="W94" i="21" s="1"/>
  <c r="AA94" i="21"/>
  <c r="X94" i="21"/>
  <c r="E94" i="21"/>
  <c r="K90" i="10"/>
  <c r="I90" i="10"/>
  <c r="Q90" i="10"/>
  <c r="C91" i="10" s="1"/>
  <c r="R90" i="10"/>
  <c r="C96" i="15"/>
  <c r="T96" i="15" s="1"/>
  <c r="L94" i="21" l="1"/>
  <c r="K94" i="21"/>
  <c r="J91" i="10"/>
  <c r="G96" i="15"/>
  <c r="U96" i="15"/>
  <c r="O96" i="15"/>
  <c r="P96" i="15"/>
  <c r="H96" i="15"/>
  <c r="N96" i="15"/>
  <c r="AB96" i="15" s="1"/>
  <c r="X96" i="15" s="1"/>
  <c r="Q96" i="15"/>
  <c r="F96" i="15" s="1"/>
  <c r="J96" i="15" s="1"/>
  <c r="D95" i="21" l="1"/>
  <c r="I95" i="21" s="1"/>
  <c r="C95" i="21"/>
  <c r="E96" i="15"/>
  <c r="L96" i="15" s="1"/>
  <c r="AA96" i="15"/>
  <c r="W96" i="15"/>
  <c r="D91" i="10"/>
  <c r="E91" i="10"/>
  <c r="T95" i="21" l="1"/>
  <c r="U95" i="21"/>
  <c r="Q95" i="21"/>
  <c r="F95" i="21" s="1"/>
  <c r="J95" i="21" s="1"/>
  <c r="G95" i="21"/>
  <c r="N95" i="21"/>
  <c r="P95" i="21"/>
  <c r="O95" i="21"/>
  <c r="H95" i="21"/>
  <c r="G91" i="10"/>
  <c r="K96" i="15"/>
  <c r="D97" i="15"/>
  <c r="I97" i="15" s="1"/>
  <c r="C97" i="15"/>
  <c r="AB95" i="21" l="1"/>
  <c r="X95" i="21" s="1"/>
  <c r="AA95" i="21"/>
  <c r="E95" i="21"/>
  <c r="H91" i="10"/>
  <c r="F91" i="10"/>
  <c r="N97" i="15"/>
  <c r="G97" i="15"/>
  <c r="U97" i="15"/>
  <c r="O97" i="15"/>
  <c r="Q97" i="15"/>
  <c r="T97" i="15"/>
  <c r="P97" i="15"/>
  <c r="H97" i="15"/>
  <c r="K95" i="21" l="1"/>
  <c r="L95" i="21"/>
  <c r="W95" i="21"/>
  <c r="K91" i="10"/>
  <c r="I91" i="10"/>
  <c r="Q91" i="10"/>
  <c r="C92" i="10" s="1"/>
  <c r="R91" i="10"/>
  <c r="F97" i="15"/>
  <c r="J97" i="15" s="1"/>
  <c r="AB97" i="15"/>
  <c r="AA97" i="15"/>
  <c r="D96" i="21" l="1"/>
  <c r="I96" i="21" s="1"/>
  <c r="C96" i="21"/>
  <c r="J92" i="10"/>
  <c r="E97" i="15"/>
  <c r="K97" i="15" s="1"/>
  <c r="X97" i="15"/>
  <c r="W97" i="15"/>
  <c r="N96" i="21" l="1"/>
  <c r="H96" i="21"/>
  <c r="U96" i="21"/>
  <c r="P96" i="21"/>
  <c r="T96" i="21"/>
  <c r="Q96" i="21"/>
  <c r="F96" i="21" s="1"/>
  <c r="J96" i="21" s="1"/>
  <c r="G96" i="21"/>
  <c r="O96" i="21"/>
  <c r="L97" i="15"/>
  <c r="D98" i="15" s="1"/>
  <c r="I98" i="15" s="1"/>
  <c r="E92" i="10"/>
  <c r="D92" i="10"/>
  <c r="E96" i="21" l="1"/>
  <c r="AB96" i="21"/>
  <c r="W96" i="21" s="1"/>
  <c r="AA96" i="21"/>
  <c r="G92" i="10"/>
  <c r="C98" i="15"/>
  <c r="P98" i="15" s="1"/>
  <c r="K96" i="21" l="1"/>
  <c r="L96" i="21"/>
  <c r="X96" i="21"/>
  <c r="H92" i="10"/>
  <c r="F92" i="10"/>
  <c r="N98" i="15"/>
  <c r="AA98" i="15" s="1"/>
  <c r="O98" i="15"/>
  <c r="T98" i="15"/>
  <c r="Q98" i="15"/>
  <c r="F98" i="15" s="1"/>
  <c r="J98" i="15" s="1"/>
  <c r="U98" i="15"/>
  <c r="G98" i="15"/>
  <c r="H98" i="15"/>
  <c r="D97" i="21" l="1"/>
  <c r="I97" i="21" s="1"/>
  <c r="C97" i="21"/>
  <c r="I92" i="10"/>
  <c r="K92" i="10"/>
  <c r="Q92" i="10"/>
  <c r="C93" i="10" s="1"/>
  <c r="R92" i="10"/>
  <c r="AB98" i="15"/>
  <c r="E98" i="15"/>
  <c r="K98" i="15" s="1"/>
  <c r="X98" i="15"/>
  <c r="W98" i="15"/>
  <c r="O97" i="21" l="1"/>
  <c r="T97" i="21"/>
  <c r="N97" i="21"/>
  <c r="P97" i="21"/>
  <c r="H97" i="21"/>
  <c r="Q97" i="21"/>
  <c r="F97" i="21" s="1"/>
  <c r="J97" i="21" s="1"/>
  <c r="U97" i="21"/>
  <c r="G97" i="21"/>
  <c r="J93" i="10"/>
  <c r="L98" i="15"/>
  <c r="D99" i="15" s="1"/>
  <c r="I99" i="15" s="1"/>
  <c r="AB97" i="21" l="1"/>
  <c r="X97" i="21" s="1"/>
  <c r="AA97" i="21"/>
  <c r="E97" i="21"/>
  <c r="C99" i="15"/>
  <c r="U99" i="15" s="1"/>
  <c r="E93" i="10"/>
  <c r="D93" i="10"/>
  <c r="K97" i="21" l="1"/>
  <c r="L97" i="21"/>
  <c r="W97" i="21"/>
  <c r="G93" i="10"/>
  <c r="N99" i="15"/>
  <c r="AA99" i="15" s="1"/>
  <c r="T99" i="15"/>
  <c r="Q99" i="15"/>
  <c r="F99" i="15" s="1"/>
  <c r="J99" i="15" s="1"/>
  <c r="P99" i="15"/>
  <c r="H99" i="15"/>
  <c r="O99" i="15"/>
  <c r="G99" i="15"/>
  <c r="D98" i="21" l="1"/>
  <c r="I98" i="21" s="1"/>
  <c r="C98" i="21"/>
  <c r="H93" i="10"/>
  <c r="F93" i="10"/>
  <c r="E99" i="15"/>
  <c r="K99" i="15" s="1"/>
  <c r="AB99" i="15"/>
  <c r="X99" i="15" s="1"/>
  <c r="P98" i="21" l="1"/>
  <c r="N98" i="21"/>
  <c r="Q98" i="21"/>
  <c r="F98" i="21" s="1"/>
  <c r="J98" i="21" s="1"/>
  <c r="T98" i="21"/>
  <c r="O98" i="21"/>
  <c r="U98" i="21"/>
  <c r="H98" i="21"/>
  <c r="G98" i="21"/>
  <c r="K93" i="10"/>
  <c r="I93" i="10"/>
  <c r="Q93" i="10"/>
  <c r="R93" i="10"/>
  <c r="L99" i="15"/>
  <c r="D100" i="15" s="1"/>
  <c r="I100" i="15" s="1"/>
  <c r="W99" i="15"/>
  <c r="AB98" i="21" l="1"/>
  <c r="X98" i="21" s="1"/>
  <c r="AA98" i="21"/>
  <c r="E98" i="21"/>
  <c r="C100" i="15"/>
  <c r="U100" i="15" s="1"/>
  <c r="C94" i="10"/>
  <c r="W98" i="21" l="1"/>
  <c r="K98" i="21"/>
  <c r="L98" i="21"/>
  <c r="J94" i="10"/>
  <c r="G100" i="15"/>
  <c r="P100" i="15"/>
  <c r="O100" i="15"/>
  <c r="H100" i="15"/>
  <c r="Q100" i="15"/>
  <c r="F100" i="15" s="1"/>
  <c r="J100" i="15" s="1"/>
  <c r="T100" i="15"/>
  <c r="N100" i="15"/>
  <c r="AA100" i="15" s="1"/>
  <c r="E94" i="10"/>
  <c r="G94" i="10" s="1"/>
  <c r="D94" i="10"/>
  <c r="D99" i="21" l="1"/>
  <c r="I99" i="21" s="1"/>
  <c r="C99" i="21"/>
  <c r="H94" i="10"/>
  <c r="F94" i="10"/>
  <c r="E100" i="15"/>
  <c r="K100" i="15" s="1"/>
  <c r="AB100" i="15"/>
  <c r="W100" i="15" s="1"/>
  <c r="X100" i="15"/>
  <c r="T99" i="21" l="1"/>
  <c r="O99" i="21"/>
  <c r="G99" i="21"/>
  <c r="U99" i="21"/>
  <c r="P99" i="21"/>
  <c r="N99" i="21"/>
  <c r="Q99" i="21"/>
  <c r="F99" i="21" s="1"/>
  <c r="H99" i="21"/>
  <c r="I94" i="10"/>
  <c r="K94" i="10"/>
  <c r="Q94" i="10"/>
  <c r="L100" i="15"/>
  <c r="D101" i="15" s="1"/>
  <c r="I101" i="15" s="1"/>
  <c r="E99" i="21" l="1"/>
  <c r="J99" i="21"/>
  <c r="K99" i="21" s="1"/>
  <c r="AB99" i="21"/>
  <c r="W99" i="21" s="1"/>
  <c r="AA99" i="21"/>
  <c r="R94" i="10"/>
  <c r="C101" i="15"/>
  <c r="U101" i="15" s="1"/>
  <c r="X99" i="21" l="1"/>
  <c r="L99" i="21"/>
  <c r="N101" i="15"/>
  <c r="AB101" i="15" s="1"/>
  <c r="T101" i="15"/>
  <c r="H101" i="15"/>
  <c r="G101" i="15"/>
  <c r="O101" i="15"/>
  <c r="P101" i="15"/>
  <c r="Q101" i="15"/>
  <c r="F101" i="15" s="1"/>
  <c r="J101" i="15" s="1"/>
  <c r="AA101" i="15"/>
  <c r="C95" i="10"/>
  <c r="D100" i="21" l="1"/>
  <c r="I100" i="21" s="1"/>
  <c r="C100" i="21"/>
  <c r="J95" i="10"/>
  <c r="E101" i="15"/>
  <c r="K101" i="15" s="1"/>
  <c r="X101" i="15"/>
  <c r="W101" i="15"/>
  <c r="E95" i="10"/>
  <c r="D95" i="10"/>
  <c r="N100" i="21" l="1"/>
  <c r="Q100" i="21"/>
  <c r="F100" i="21" s="1"/>
  <c r="U100" i="21"/>
  <c r="P100" i="21"/>
  <c r="H100" i="21"/>
  <c r="T100" i="21"/>
  <c r="O100" i="21"/>
  <c r="G100" i="21"/>
  <c r="G95" i="10"/>
  <c r="L101" i="15"/>
  <c r="D102" i="15" s="1"/>
  <c r="I102" i="15" s="1"/>
  <c r="J100" i="21" l="1"/>
  <c r="E100" i="21"/>
  <c r="AB100" i="21"/>
  <c r="X100" i="21" s="1"/>
  <c r="AA100" i="21"/>
  <c r="H95" i="10"/>
  <c r="F95" i="10"/>
  <c r="C102" i="15"/>
  <c r="G102" i="15" s="1"/>
  <c r="K100" i="21" l="1"/>
  <c r="L100" i="21"/>
  <c r="W100" i="21"/>
  <c r="K95" i="10"/>
  <c r="I95" i="10"/>
  <c r="Q95" i="10"/>
  <c r="R95" i="10"/>
  <c r="N102" i="15"/>
  <c r="AB102" i="15" s="1"/>
  <c r="U102" i="15"/>
  <c r="O102" i="15"/>
  <c r="T102" i="15"/>
  <c r="P102" i="15"/>
  <c r="Q102" i="15"/>
  <c r="F102" i="15" s="1"/>
  <c r="J102" i="15" s="1"/>
  <c r="H102" i="15"/>
  <c r="D101" i="21" l="1"/>
  <c r="I101" i="21" s="1"/>
  <c r="C101" i="21"/>
  <c r="AA102" i="15"/>
  <c r="W102" i="15"/>
  <c r="X102" i="15"/>
  <c r="E102" i="15"/>
  <c r="K102" i="15" s="1"/>
  <c r="C96" i="10"/>
  <c r="T101" i="21" l="1"/>
  <c r="G101" i="21"/>
  <c r="Q101" i="21"/>
  <c r="F101" i="21" s="1"/>
  <c r="J101" i="21" s="1"/>
  <c r="U101" i="21"/>
  <c r="P101" i="21"/>
  <c r="O101" i="21"/>
  <c r="N101" i="21"/>
  <c r="H101" i="21"/>
  <c r="J96" i="10"/>
  <c r="E96" i="10"/>
  <c r="D96" i="10"/>
  <c r="L102" i="15"/>
  <c r="D103" i="15" s="1"/>
  <c r="I103" i="15" s="1"/>
  <c r="AB101" i="21" l="1"/>
  <c r="X101" i="21" s="1"/>
  <c r="AA101" i="21"/>
  <c r="E101" i="21"/>
  <c r="G96" i="10"/>
  <c r="C103" i="15"/>
  <c r="T103" i="15" s="1"/>
  <c r="K101" i="21" l="1"/>
  <c r="L101" i="21"/>
  <c r="W101" i="21"/>
  <c r="H96" i="10"/>
  <c r="F96" i="10"/>
  <c r="U103" i="15"/>
  <c r="H103" i="15"/>
  <c r="P103" i="15"/>
  <c r="O103" i="15"/>
  <c r="Q103" i="15"/>
  <c r="F103" i="15" s="1"/>
  <c r="J103" i="15" s="1"/>
  <c r="G103" i="15"/>
  <c r="N103" i="15"/>
  <c r="AA103" i="15" s="1"/>
  <c r="E103" i="15"/>
  <c r="K103" i="15" s="1"/>
  <c r="D102" i="21" l="1"/>
  <c r="I102" i="21" s="1"/>
  <c r="C102" i="21"/>
  <c r="I96" i="10"/>
  <c r="K96" i="10"/>
  <c r="Q96" i="10"/>
  <c r="C97" i="10" s="1"/>
  <c r="R96" i="10"/>
  <c r="AB103" i="15"/>
  <c r="W103" i="15" s="1"/>
  <c r="H102" i="21" l="1"/>
  <c r="G102" i="21"/>
  <c r="N102" i="21"/>
  <c r="U102" i="21"/>
  <c r="P102" i="21"/>
  <c r="Q102" i="21"/>
  <c r="F102" i="21" s="1"/>
  <c r="J102" i="21" s="1"/>
  <c r="O102" i="21"/>
  <c r="T102" i="21"/>
  <c r="J97" i="10"/>
  <c r="L103" i="15"/>
  <c r="C104" i="15" s="1"/>
  <c r="X103" i="15"/>
  <c r="E97" i="10"/>
  <c r="D97" i="10"/>
  <c r="E102" i="21" l="1"/>
  <c r="AB102" i="21"/>
  <c r="X102" i="21" s="1"/>
  <c r="AA102" i="21"/>
  <c r="G97" i="10"/>
  <c r="D104" i="15"/>
  <c r="I104" i="15" s="1"/>
  <c r="U104" i="15"/>
  <c r="Q104" i="15"/>
  <c r="T104" i="15"/>
  <c r="O104" i="15"/>
  <c r="P104" i="15"/>
  <c r="G104" i="15"/>
  <c r="N104" i="15"/>
  <c r="H104" i="15"/>
  <c r="K102" i="21" l="1"/>
  <c r="L102" i="21"/>
  <c r="W102" i="21"/>
  <c r="H97" i="10"/>
  <c r="F97" i="10"/>
  <c r="F104" i="15"/>
  <c r="J104" i="15" s="1"/>
  <c r="AB104" i="15"/>
  <c r="AA104" i="15"/>
  <c r="D103" i="21" l="1"/>
  <c r="I103" i="21" s="1"/>
  <c r="C103" i="21"/>
  <c r="K97" i="10"/>
  <c r="I97" i="10"/>
  <c r="Q97" i="10"/>
  <c r="R97" i="10"/>
  <c r="E104" i="15"/>
  <c r="K104" i="15" s="1"/>
  <c r="X104" i="15"/>
  <c r="W104" i="15"/>
  <c r="U103" i="21" l="1"/>
  <c r="H103" i="21"/>
  <c r="T103" i="21"/>
  <c r="N103" i="21"/>
  <c r="O103" i="21"/>
  <c r="P103" i="21"/>
  <c r="Q103" i="21"/>
  <c r="F103" i="21" s="1"/>
  <c r="J103" i="21" s="1"/>
  <c r="G103" i="21"/>
  <c r="L104" i="15"/>
  <c r="D105" i="15" s="1"/>
  <c r="I105" i="15" s="1"/>
  <c r="C98" i="10"/>
  <c r="AB103" i="21" l="1"/>
  <c r="X103" i="21" s="1"/>
  <c r="AA103" i="21"/>
  <c r="W103" i="21"/>
  <c r="E103" i="21"/>
  <c r="J98" i="10"/>
  <c r="C105" i="15"/>
  <c r="O105" i="15" s="1"/>
  <c r="E98" i="10"/>
  <c r="D98" i="10"/>
  <c r="L103" i="21" l="1"/>
  <c r="K103" i="21"/>
  <c r="G98" i="10"/>
  <c r="P105" i="15"/>
  <c r="N105" i="15"/>
  <c r="AA105" i="15" s="1"/>
  <c r="H105" i="15"/>
  <c r="G105" i="15"/>
  <c r="Q105" i="15"/>
  <c r="F105" i="15" s="1"/>
  <c r="J105" i="15" s="1"/>
  <c r="U105" i="15"/>
  <c r="T105" i="15"/>
  <c r="D104" i="21" l="1"/>
  <c r="I104" i="21" s="1"/>
  <c r="C104" i="21"/>
  <c r="H98" i="10"/>
  <c r="F98" i="10"/>
  <c r="AB105" i="15"/>
  <c r="X105" i="15" s="1"/>
  <c r="W105" i="15"/>
  <c r="E105" i="15"/>
  <c r="L105" i="15" s="1"/>
  <c r="U104" i="21" l="1"/>
  <c r="P104" i="21"/>
  <c r="G104" i="21"/>
  <c r="H104" i="21"/>
  <c r="N104" i="21"/>
  <c r="O104" i="21"/>
  <c r="T104" i="21"/>
  <c r="Q104" i="21"/>
  <c r="F104" i="21" s="1"/>
  <c r="J104" i="21" s="1"/>
  <c r="I98" i="10"/>
  <c r="K98" i="10"/>
  <c r="Q98" i="10"/>
  <c r="R98" i="10"/>
  <c r="K105" i="15"/>
  <c r="D106" i="15"/>
  <c r="I106" i="15" s="1"/>
  <c r="C106" i="15"/>
  <c r="AB104" i="21" l="1"/>
  <c r="W104" i="21" s="1"/>
  <c r="AA104" i="21"/>
  <c r="E104" i="21"/>
  <c r="X104" i="21"/>
  <c r="Q106" i="15"/>
  <c r="P106" i="15"/>
  <c r="G106" i="15"/>
  <c r="T106" i="15"/>
  <c r="O106" i="15"/>
  <c r="H106" i="15"/>
  <c r="N106" i="15"/>
  <c r="U106" i="15"/>
  <c r="C99" i="10"/>
  <c r="L104" i="21" l="1"/>
  <c r="K104" i="21"/>
  <c r="J99" i="10"/>
  <c r="E106" i="15"/>
  <c r="K106" i="15" s="1"/>
  <c r="F106" i="15"/>
  <c r="J106" i="15" s="1"/>
  <c r="AB106" i="15"/>
  <c r="X106" i="15" s="1"/>
  <c r="AA106" i="15"/>
  <c r="E99" i="10"/>
  <c r="D99" i="10"/>
  <c r="D105" i="21" l="1"/>
  <c r="I105" i="21" s="1"/>
  <c r="C105" i="21"/>
  <c r="G99" i="10"/>
  <c r="L106" i="15"/>
  <c r="W106" i="15"/>
  <c r="U105" i="21" l="1"/>
  <c r="T105" i="21"/>
  <c r="N105" i="21"/>
  <c r="G105" i="21"/>
  <c r="Q105" i="21"/>
  <c r="F105" i="21" s="1"/>
  <c r="J105" i="21" s="1"/>
  <c r="P105" i="21"/>
  <c r="O105" i="21"/>
  <c r="H105" i="21"/>
  <c r="H99" i="10"/>
  <c r="F99" i="10"/>
  <c r="D107" i="15"/>
  <c r="I107" i="15" s="1"/>
  <c r="C107" i="15"/>
  <c r="AB105" i="21" l="1"/>
  <c r="W105" i="21" s="1"/>
  <c r="AA105" i="21"/>
  <c r="X105" i="21"/>
  <c r="E105" i="21"/>
  <c r="K99" i="10"/>
  <c r="I99" i="10"/>
  <c r="Q99" i="10"/>
  <c r="R99" i="10"/>
  <c r="H107" i="15"/>
  <c r="Q107" i="15"/>
  <c r="N107" i="15"/>
  <c r="U107" i="15"/>
  <c r="T107" i="15"/>
  <c r="P107" i="15"/>
  <c r="G107" i="15"/>
  <c r="O107" i="15"/>
  <c r="L105" i="21" l="1"/>
  <c r="K105" i="21"/>
  <c r="AB107" i="15"/>
  <c r="AA107" i="15"/>
  <c r="E107" i="15"/>
  <c r="F107" i="15"/>
  <c r="J107" i="15" s="1"/>
  <c r="C100" i="10"/>
  <c r="D106" i="21" l="1"/>
  <c r="I106" i="21" s="1"/>
  <c r="C106" i="21"/>
  <c r="J100" i="10"/>
  <c r="K107" i="15"/>
  <c r="L107" i="15"/>
  <c r="X107" i="15"/>
  <c r="W107" i="15"/>
  <c r="E100" i="10"/>
  <c r="D100" i="10"/>
  <c r="N106" i="21" l="1"/>
  <c r="P106" i="21"/>
  <c r="G106" i="21"/>
  <c r="O106" i="21"/>
  <c r="Q106" i="21"/>
  <c r="F106" i="21" s="1"/>
  <c r="J106" i="21" s="1"/>
  <c r="U106" i="21"/>
  <c r="H106" i="21"/>
  <c r="T106" i="21"/>
  <c r="G100" i="10"/>
  <c r="D108" i="15"/>
  <c r="I108" i="15" s="1"/>
  <c r="C108" i="15"/>
  <c r="E106" i="21" l="1"/>
  <c r="AB106" i="21"/>
  <c r="X106" i="21" s="1"/>
  <c r="AA106" i="21"/>
  <c r="H100" i="10"/>
  <c r="F100" i="10"/>
  <c r="U108" i="15"/>
  <c r="T108" i="15"/>
  <c r="O108" i="15"/>
  <c r="N108" i="15"/>
  <c r="P108" i="15"/>
  <c r="G108" i="15"/>
  <c r="Q108" i="15"/>
  <c r="F108" i="15" s="1"/>
  <c r="J108" i="15" s="1"/>
  <c r="H108" i="15"/>
  <c r="K106" i="21" l="1"/>
  <c r="L106" i="21"/>
  <c r="W106" i="21"/>
  <c r="I100" i="10"/>
  <c r="K100" i="10"/>
  <c r="Q100" i="10"/>
  <c r="R100" i="10"/>
  <c r="AB108" i="15"/>
  <c r="W108" i="15" s="1"/>
  <c r="AA108" i="15"/>
  <c r="E108" i="15"/>
  <c r="D107" i="21" l="1"/>
  <c r="I107" i="21" s="1"/>
  <c r="C107" i="21"/>
  <c r="K108" i="15"/>
  <c r="L108" i="15"/>
  <c r="X108" i="15"/>
  <c r="C101" i="10"/>
  <c r="G107" i="21" l="1"/>
  <c r="Q107" i="21"/>
  <c r="F107" i="21" s="1"/>
  <c r="J107" i="21" s="1"/>
  <c r="P107" i="21"/>
  <c r="U107" i="21"/>
  <c r="T107" i="21"/>
  <c r="H107" i="21"/>
  <c r="O107" i="21"/>
  <c r="N107" i="21"/>
  <c r="J101" i="10"/>
  <c r="D109" i="15"/>
  <c r="I109" i="15" s="1"/>
  <c r="C109" i="15"/>
  <c r="E101" i="10"/>
  <c r="D101" i="10"/>
  <c r="AB107" i="21" l="1"/>
  <c r="X107" i="21" s="1"/>
  <c r="AA107" i="21"/>
  <c r="E107" i="21"/>
  <c r="G101" i="10"/>
  <c r="P109" i="15"/>
  <c r="O109" i="15"/>
  <c r="H109" i="15"/>
  <c r="G109" i="15"/>
  <c r="T109" i="15"/>
  <c r="N109" i="15"/>
  <c r="U109" i="15"/>
  <c r="Q109" i="15"/>
  <c r="F109" i="15" s="1"/>
  <c r="J109" i="15" s="1"/>
  <c r="K107" i="21" l="1"/>
  <c r="L107" i="21"/>
  <c r="W107" i="21"/>
  <c r="H101" i="10"/>
  <c r="F101" i="10"/>
  <c r="AB109" i="15"/>
  <c r="X109" i="15" s="1"/>
  <c r="AA109" i="15"/>
  <c r="E109" i="15"/>
  <c r="D108" i="21" l="1"/>
  <c r="I108" i="21" s="1"/>
  <c r="C108" i="21"/>
  <c r="K101" i="10"/>
  <c r="I101" i="10"/>
  <c r="Q101" i="10"/>
  <c r="R101" i="10"/>
  <c r="W109" i="15"/>
  <c r="K109" i="15"/>
  <c r="L109" i="15"/>
  <c r="T108" i="21" l="1"/>
  <c r="Q108" i="21"/>
  <c r="F108" i="21" s="1"/>
  <c r="O108" i="21"/>
  <c r="H108" i="21"/>
  <c r="N108" i="21"/>
  <c r="P108" i="21"/>
  <c r="U108" i="21"/>
  <c r="G108" i="21"/>
  <c r="D110" i="15"/>
  <c r="I110" i="15" s="1"/>
  <c r="C110" i="15"/>
  <c r="C102" i="10"/>
  <c r="J108" i="21" l="1"/>
  <c r="E108" i="21"/>
  <c r="AB108" i="21"/>
  <c r="X108" i="21" s="1"/>
  <c r="AA108" i="21"/>
  <c r="J102" i="10"/>
  <c r="G110" i="15"/>
  <c r="Q110" i="15"/>
  <c r="F110" i="15" s="1"/>
  <c r="J110" i="15" s="1"/>
  <c r="U110" i="15"/>
  <c r="T110" i="15"/>
  <c r="H110" i="15"/>
  <c r="N110" i="15"/>
  <c r="P110" i="15"/>
  <c r="O110" i="15"/>
  <c r="E102" i="10"/>
  <c r="D102" i="10"/>
  <c r="L108" i="21" l="1"/>
  <c r="K108" i="21"/>
  <c r="W108" i="21"/>
  <c r="G102" i="10"/>
  <c r="AB110" i="15"/>
  <c r="W110" i="15" s="1"/>
  <c r="AA110" i="15"/>
  <c r="E110" i="15"/>
  <c r="D109" i="21" l="1"/>
  <c r="I109" i="21" s="1"/>
  <c r="C109" i="21"/>
  <c r="H102" i="10"/>
  <c r="F102" i="10"/>
  <c r="L110" i="15"/>
  <c r="K110" i="15"/>
  <c r="X110" i="15"/>
  <c r="G109" i="21" l="1"/>
  <c r="H109" i="21"/>
  <c r="U109" i="21"/>
  <c r="O109" i="21"/>
  <c r="Q109" i="21"/>
  <c r="P109" i="21"/>
  <c r="N109" i="21"/>
  <c r="T109" i="21"/>
  <c r="I102" i="10"/>
  <c r="K102" i="10"/>
  <c r="Q102" i="10"/>
  <c r="R102" i="10"/>
  <c r="D111" i="15"/>
  <c r="I111" i="15" s="1"/>
  <c r="C111" i="15"/>
  <c r="AB109" i="21" l="1"/>
  <c r="W109" i="21" s="1"/>
  <c r="AA109" i="21"/>
  <c r="X109" i="21"/>
  <c r="F109" i="21"/>
  <c r="J109" i="21" s="1"/>
  <c r="P111" i="15"/>
  <c r="N111" i="15"/>
  <c r="H111" i="15"/>
  <c r="G111" i="15"/>
  <c r="O111" i="15"/>
  <c r="U111" i="15"/>
  <c r="T111" i="15"/>
  <c r="Q111" i="15"/>
  <c r="F111" i="15" s="1"/>
  <c r="J111" i="15" s="1"/>
  <c r="C103" i="10"/>
  <c r="E109" i="21" l="1"/>
  <c r="J103" i="10"/>
  <c r="AB111" i="15"/>
  <c r="X111" i="15" s="1"/>
  <c r="AA111" i="15"/>
  <c r="E111" i="15"/>
  <c r="E103" i="10"/>
  <c r="D103" i="10"/>
  <c r="K109" i="21" l="1"/>
  <c r="L109" i="21"/>
  <c r="G103" i="10"/>
  <c r="W111" i="15"/>
  <c r="K111" i="15"/>
  <c r="L111" i="15"/>
  <c r="D110" i="21" l="1"/>
  <c r="I110" i="21" s="1"/>
  <c r="C110" i="21"/>
  <c r="H103" i="10"/>
  <c r="F103" i="10"/>
  <c r="D112" i="15"/>
  <c r="I112" i="15" s="1"/>
  <c r="C112" i="15"/>
  <c r="H110" i="21" l="1"/>
  <c r="P110" i="21"/>
  <c r="N110" i="21"/>
  <c r="O110" i="21"/>
  <c r="Q110" i="21"/>
  <c r="F110" i="21" s="1"/>
  <c r="J110" i="21" s="1"/>
  <c r="G110" i="21"/>
  <c r="U110" i="21"/>
  <c r="T110" i="21"/>
  <c r="I103" i="10"/>
  <c r="K103" i="10"/>
  <c r="Q103" i="10"/>
  <c r="R103" i="10"/>
  <c r="Q112" i="15"/>
  <c r="F112" i="15" s="1"/>
  <c r="J112" i="15" s="1"/>
  <c r="O112" i="15"/>
  <c r="U112" i="15"/>
  <c r="N112" i="15"/>
  <c r="P112" i="15"/>
  <c r="G112" i="15"/>
  <c r="T112" i="15"/>
  <c r="H112" i="15"/>
  <c r="E112" i="15"/>
  <c r="AB110" i="21" l="1"/>
  <c r="X110" i="21" s="1"/>
  <c r="AA110" i="21"/>
  <c r="E110" i="21"/>
  <c r="K112" i="15"/>
  <c r="AB112" i="15"/>
  <c r="X112" i="15" s="1"/>
  <c r="AA112" i="15"/>
  <c r="C104" i="10"/>
  <c r="K110" i="21" l="1"/>
  <c r="L110" i="21"/>
  <c r="W110" i="21"/>
  <c r="J104" i="10"/>
  <c r="L112" i="15"/>
  <c r="W112" i="15"/>
  <c r="E104" i="10"/>
  <c r="D104" i="10"/>
  <c r="D111" i="21" l="1"/>
  <c r="I111" i="21" s="1"/>
  <c r="C111" i="21"/>
  <c r="G104" i="10"/>
  <c r="D113" i="15"/>
  <c r="I113" i="15" s="1"/>
  <c r="C113" i="15"/>
  <c r="P111" i="21" l="1"/>
  <c r="H111" i="21"/>
  <c r="G111" i="21"/>
  <c r="T111" i="21"/>
  <c r="N111" i="21"/>
  <c r="U111" i="21"/>
  <c r="Q111" i="21"/>
  <c r="F111" i="21" s="1"/>
  <c r="J111" i="21" s="1"/>
  <c r="O111" i="21"/>
  <c r="H104" i="10"/>
  <c r="F104" i="10"/>
  <c r="U113" i="15"/>
  <c r="T113" i="15"/>
  <c r="Q113" i="15"/>
  <c r="F113" i="15" s="1"/>
  <c r="P113" i="15"/>
  <c r="G113" i="15"/>
  <c r="H113" i="15"/>
  <c r="O113" i="15"/>
  <c r="N113" i="15"/>
  <c r="AB111" i="21" l="1"/>
  <c r="AA111" i="21"/>
  <c r="E111" i="21"/>
  <c r="K111" i="21" s="1"/>
  <c r="K104" i="10"/>
  <c r="I104" i="10"/>
  <c r="Q104" i="10"/>
  <c r="R104" i="10"/>
  <c r="J113" i="15"/>
  <c r="E113" i="15"/>
  <c r="AB113" i="15"/>
  <c r="AA113" i="15"/>
  <c r="L111" i="21" l="1"/>
  <c r="X111" i="21"/>
  <c r="W111" i="21"/>
  <c r="W113" i="15"/>
  <c r="X113" i="15"/>
  <c r="K113" i="15"/>
  <c r="L113" i="15"/>
  <c r="C105" i="10"/>
  <c r="D112" i="21" l="1"/>
  <c r="I112" i="21" s="1"/>
  <c r="C112" i="21"/>
  <c r="J105" i="10"/>
  <c r="E105" i="10"/>
  <c r="D105" i="10"/>
  <c r="D114" i="15"/>
  <c r="I114" i="15" s="1"/>
  <c r="C114" i="15"/>
  <c r="G112" i="21" l="1"/>
  <c r="U112" i="21"/>
  <c r="O112" i="21"/>
  <c r="Q112" i="21"/>
  <c r="F112" i="21" s="1"/>
  <c r="J112" i="21" s="1"/>
  <c r="N112" i="21"/>
  <c r="H112" i="21"/>
  <c r="P112" i="21"/>
  <c r="T112" i="21"/>
  <c r="G105" i="10"/>
  <c r="H114" i="15"/>
  <c r="O114" i="15"/>
  <c r="N114" i="15"/>
  <c r="G114" i="15"/>
  <c r="U114" i="15"/>
  <c r="Q114" i="15"/>
  <c r="F114" i="15" s="1"/>
  <c r="J114" i="15" s="1"/>
  <c r="P114" i="15"/>
  <c r="T114" i="15"/>
  <c r="AB112" i="21" l="1"/>
  <c r="X112" i="21" s="1"/>
  <c r="AA112" i="21"/>
  <c r="E112" i="21"/>
  <c r="W112" i="21"/>
  <c r="H105" i="10"/>
  <c r="F105" i="10"/>
  <c r="AB114" i="15"/>
  <c r="X114" i="15" s="1"/>
  <c r="AA114" i="15"/>
  <c r="E114" i="15"/>
  <c r="K112" i="21" l="1"/>
  <c r="L112" i="21"/>
  <c r="I105" i="10"/>
  <c r="K105" i="10"/>
  <c r="Q105" i="10"/>
  <c r="C106" i="10" s="1"/>
  <c r="R105" i="10"/>
  <c r="K114" i="15"/>
  <c r="L114" i="15"/>
  <c r="W114" i="15"/>
  <c r="D113" i="21" l="1"/>
  <c r="I113" i="21" s="1"/>
  <c r="C113" i="21"/>
  <c r="J106" i="10"/>
  <c r="D115" i="15"/>
  <c r="I115" i="15" s="1"/>
  <c r="C115" i="15"/>
  <c r="E106" i="10"/>
  <c r="D106" i="10"/>
  <c r="G113" i="21" l="1"/>
  <c r="P113" i="21"/>
  <c r="O113" i="21"/>
  <c r="T113" i="21"/>
  <c r="N113" i="21"/>
  <c r="U113" i="21"/>
  <c r="H113" i="21"/>
  <c r="Q113" i="21"/>
  <c r="F113" i="21" s="1"/>
  <c r="J113" i="21" s="1"/>
  <c r="G106" i="10"/>
  <c r="Q115" i="15"/>
  <c r="F115" i="15" s="1"/>
  <c r="J115" i="15" s="1"/>
  <c r="N115" i="15"/>
  <c r="T115" i="15"/>
  <c r="H115" i="15"/>
  <c r="P115" i="15"/>
  <c r="O115" i="15"/>
  <c r="U115" i="15"/>
  <c r="G115" i="15"/>
  <c r="E113" i="21" l="1"/>
  <c r="AB113" i="21"/>
  <c r="X113" i="21" s="1"/>
  <c r="AA113" i="21"/>
  <c r="H106" i="10"/>
  <c r="F106" i="10"/>
  <c r="E115" i="15"/>
  <c r="K115" i="15" s="1"/>
  <c r="AB115" i="15"/>
  <c r="X115" i="15" s="1"/>
  <c r="AA115" i="15"/>
  <c r="L113" i="21" l="1"/>
  <c r="K113" i="21"/>
  <c r="W113" i="21"/>
  <c r="K106" i="10"/>
  <c r="I106" i="10"/>
  <c r="Q106" i="10"/>
  <c r="R106" i="10"/>
  <c r="L115" i="15"/>
  <c r="W115" i="15"/>
  <c r="D114" i="21" l="1"/>
  <c r="I114" i="21" s="1"/>
  <c r="C114" i="21"/>
  <c r="D116" i="15"/>
  <c r="I116" i="15" s="1"/>
  <c r="C116" i="15"/>
  <c r="C107" i="10"/>
  <c r="Q114" i="21" l="1"/>
  <c r="F114" i="21" s="1"/>
  <c r="J114" i="21" s="1"/>
  <c r="O114" i="21"/>
  <c r="N114" i="21"/>
  <c r="H114" i="21"/>
  <c r="U114" i="21"/>
  <c r="G114" i="21"/>
  <c r="T114" i="21"/>
  <c r="P114" i="21"/>
  <c r="E114" i="21"/>
  <c r="K114" i="21" s="1"/>
  <c r="J107" i="10"/>
  <c r="T116" i="15"/>
  <c r="O116" i="15"/>
  <c r="Q116" i="15"/>
  <c r="F116" i="15" s="1"/>
  <c r="J116" i="15" s="1"/>
  <c r="N116" i="15"/>
  <c r="G116" i="15"/>
  <c r="U116" i="15"/>
  <c r="H116" i="15"/>
  <c r="P116" i="15"/>
  <c r="E107" i="10"/>
  <c r="D107" i="10"/>
  <c r="AB114" i="21" l="1"/>
  <c r="W114" i="21" s="1"/>
  <c r="AA114" i="21"/>
  <c r="G107" i="10"/>
  <c r="AB116" i="15"/>
  <c r="W116" i="15" s="1"/>
  <c r="AA116" i="15"/>
  <c r="E116" i="15"/>
  <c r="L114" i="21" l="1"/>
  <c r="X114" i="21"/>
  <c r="H107" i="10"/>
  <c r="F107" i="10"/>
  <c r="X116" i="15"/>
  <c r="K116" i="15"/>
  <c r="L116" i="15"/>
  <c r="D115" i="21" l="1"/>
  <c r="I115" i="21" s="1"/>
  <c r="C115" i="21"/>
  <c r="K107" i="10"/>
  <c r="I107" i="10"/>
  <c r="Q107" i="10"/>
  <c r="R107" i="10"/>
  <c r="D117" i="15"/>
  <c r="I117" i="15" s="1"/>
  <c r="C117" i="15"/>
  <c r="O115" i="21" l="1"/>
  <c r="U115" i="21"/>
  <c r="H115" i="21"/>
  <c r="Q115" i="21"/>
  <c r="F115" i="21" s="1"/>
  <c r="J115" i="21" s="1"/>
  <c r="P115" i="21"/>
  <c r="G115" i="21"/>
  <c r="T115" i="21"/>
  <c r="N115" i="21"/>
  <c r="P117" i="15"/>
  <c r="O117" i="15"/>
  <c r="T117" i="15"/>
  <c r="N117" i="15"/>
  <c r="Q117" i="15"/>
  <c r="G117" i="15"/>
  <c r="H117" i="15"/>
  <c r="U117" i="15"/>
  <c r="C108" i="10"/>
  <c r="E115" i="21" l="1"/>
  <c r="AB115" i="21"/>
  <c r="W115" i="21" s="1"/>
  <c r="AA115" i="21"/>
  <c r="X115" i="21"/>
  <c r="J108" i="10"/>
  <c r="E108" i="10"/>
  <c r="D108" i="10"/>
  <c r="AB117" i="15"/>
  <c r="W117" i="15" s="1"/>
  <c r="AA117" i="15"/>
  <c r="F117" i="15"/>
  <c r="J117" i="15" s="1"/>
  <c r="K115" i="21" l="1"/>
  <c r="L115" i="21"/>
  <c r="G108" i="10"/>
  <c r="E117" i="15"/>
  <c r="K117" i="15" s="1"/>
  <c r="X117" i="15"/>
  <c r="D116" i="21" l="1"/>
  <c r="I116" i="21" s="1"/>
  <c r="C116" i="21"/>
  <c r="H108" i="10"/>
  <c r="F108" i="10"/>
  <c r="L117" i="15"/>
  <c r="D118" i="15" s="1"/>
  <c r="I118" i="15" s="1"/>
  <c r="P116" i="21" l="1"/>
  <c r="T116" i="21"/>
  <c r="N116" i="21"/>
  <c r="H116" i="21"/>
  <c r="O116" i="21"/>
  <c r="U116" i="21"/>
  <c r="G116" i="21"/>
  <c r="Q116" i="21"/>
  <c r="F116" i="21" s="1"/>
  <c r="J116" i="21" s="1"/>
  <c r="I108" i="10"/>
  <c r="K108" i="10"/>
  <c r="Q108" i="10"/>
  <c r="C109" i="10" s="1"/>
  <c r="R108" i="10"/>
  <c r="C118" i="15"/>
  <c r="O118" i="15" s="1"/>
  <c r="AB116" i="21" l="1"/>
  <c r="X116" i="21" s="1"/>
  <c r="AA116" i="21"/>
  <c r="E116" i="21"/>
  <c r="J109" i="10"/>
  <c r="T118" i="15"/>
  <c r="H118" i="15"/>
  <c r="N118" i="15"/>
  <c r="AA118" i="15" s="1"/>
  <c r="Q118" i="15"/>
  <c r="F118" i="15" s="1"/>
  <c r="J118" i="15" s="1"/>
  <c r="P118" i="15"/>
  <c r="G118" i="15"/>
  <c r="U118" i="15"/>
  <c r="E109" i="10"/>
  <c r="D109" i="10"/>
  <c r="K116" i="21" l="1"/>
  <c r="L116" i="21"/>
  <c r="W116" i="21"/>
  <c r="G109" i="10"/>
  <c r="AB118" i="15"/>
  <c r="X118" i="15" s="1"/>
  <c r="E118" i="15"/>
  <c r="K118" i="15" s="1"/>
  <c r="W118" i="15"/>
  <c r="D117" i="21" l="1"/>
  <c r="I117" i="21" s="1"/>
  <c r="C117" i="21"/>
  <c r="H109" i="10"/>
  <c r="F109" i="10"/>
  <c r="L118" i="15"/>
  <c r="D119" i="15" s="1"/>
  <c r="I119" i="15" s="1"/>
  <c r="N117" i="21" l="1"/>
  <c r="T117" i="21"/>
  <c r="H117" i="21"/>
  <c r="P117" i="21"/>
  <c r="U117" i="21"/>
  <c r="O117" i="21"/>
  <c r="Q117" i="21"/>
  <c r="F117" i="21" s="1"/>
  <c r="J117" i="21" s="1"/>
  <c r="G117" i="21"/>
  <c r="K109" i="10"/>
  <c r="I109" i="10"/>
  <c r="Q109" i="10"/>
  <c r="R109" i="10"/>
  <c r="C119" i="15"/>
  <c r="P119" i="15" s="1"/>
  <c r="E117" i="21" l="1"/>
  <c r="AB117" i="21"/>
  <c r="X117" i="21" s="1"/>
  <c r="AA117" i="21"/>
  <c r="T119" i="15"/>
  <c r="G119" i="15"/>
  <c r="H119" i="15"/>
  <c r="N119" i="15"/>
  <c r="AA119" i="15" s="1"/>
  <c r="U119" i="15"/>
  <c r="O119" i="15"/>
  <c r="Q119" i="15"/>
  <c r="C110" i="10"/>
  <c r="K117" i="21" l="1"/>
  <c r="L117" i="21"/>
  <c r="W117" i="21"/>
  <c r="J110" i="10"/>
  <c r="AB119" i="15"/>
  <c r="X119" i="15" s="1"/>
  <c r="F119" i="15"/>
  <c r="J119" i="15" s="1"/>
  <c r="E119" i="15"/>
  <c r="K119" i="15" s="1"/>
  <c r="W119" i="15"/>
  <c r="E110" i="10"/>
  <c r="D110" i="10"/>
  <c r="D118" i="21" l="1"/>
  <c r="I118" i="21" s="1"/>
  <c r="C118" i="21"/>
  <c r="G110" i="10"/>
  <c r="L119" i="15"/>
  <c r="D120" i="15" s="1"/>
  <c r="I120" i="15" s="1"/>
  <c r="P118" i="21" l="1"/>
  <c r="T118" i="21"/>
  <c r="U118" i="21"/>
  <c r="H118" i="21"/>
  <c r="G118" i="21"/>
  <c r="N118" i="21"/>
  <c r="O118" i="21"/>
  <c r="Q118" i="21"/>
  <c r="F118" i="21" s="1"/>
  <c r="J118" i="21" s="1"/>
  <c r="H110" i="10"/>
  <c r="F110" i="10"/>
  <c r="C120" i="15"/>
  <c r="P120" i="15" s="1"/>
  <c r="AB118" i="21" l="1"/>
  <c r="X118" i="21" s="1"/>
  <c r="AA118" i="21"/>
  <c r="E118" i="21"/>
  <c r="K110" i="10"/>
  <c r="I110" i="10"/>
  <c r="Q110" i="10"/>
  <c r="C111" i="10" s="1"/>
  <c r="R110" i="10"/>
  <c r="H120" i="15"/>
  <c r="O120" i="15"/>
  <c r="Q120" i="15"/>
  <c r="F120" i="15" s="1"/>
  <c r="J120" i="15" s="1"/>
  <c r="U120" i="15"/>
  <c r="T120" i="15"/>
  <c r="N120" i="15"/>
  <c r="AA120" i="15" s="1"/>
  <c r="G120" i="15"/>
  <c r="K118" i="21" l="1"/>
  <c r="L118" i="21"/>
  <c r="W118" i="21"/>
  <c r="J111" i="10"/>
  <c r="AB120" i="15"/>
  <c r="X120" i="15" s="1"/>
  <c r="E120" i="15"/>
  <c r="K120" i="15" s="1"/>
  <c r="D119" i="21" l="1"/>
  <c r="I119" i="21" s="1"/>
  <c r="C119" i="21"/>
  <c r="W120" i="15"/>
  <c r="L120" i="15"/>
  <c r="D121" i="15" s="1"/>
  <c r="I121" i="15" s="1"/>
  <c r="E111" i="10"/>
  <c r="D111" i="10"/>
  <c r="G119" i="21" l="1"/>
  <c r="O119" i="21"/>
  <c r="U119" i="21"/>
  <c r="Q119" i="21"/>
  <c r="F119" i="21" s="1"/>
  <c r="J119" i="21" s="1"/>
  <c r="N119" i="21"/>
  <c r="E119" i="21"/>
  <c r="P119" i="21"/>
  <c r="H119" i="21"/>
  <c r="T119" i="21"/>
  <c r="G111" i="10"/>
  <c r="C121" i="15"/>
  <c r="N121" i="15" s="1"/>
  <c r="K119" i="21" l="1"/>
  <c r="AA119" i="21"/>
  <c r="AB119" i="21"/>
  <c r="X119" i="21" s="1"/>
  <c r="W119" i="21"/>
  <c r="H111" i="10"/>
  <c r="F111" i="10"/>
  <c r="G121" i="15"/>
  <c r="Q121" i="15"/>
  <c r="H121" i="15"/>
  <c r="O121" i="15"/>
  <c r="T121" i="15"/>
  <c r="P121" i="15"/>
  <c r="U121" i="15"/>
  <c r="F121" i="15"/>
  <c r="J121" i="15" s="1"/>
  <c r="AB121" i="15"/>
  <c r="AA121" i="15"/>
  <c r="L119" i="21" l="1"/>
  <c r="K111" i="10"/>
  <c r="I111" i="10"/>
  <c r="Q111" i="10"/>
  <c r="R111" i="10"/>
  <c r="X121" i="15"/>
  <c r="W121" i="15"/>
  <c r="E121" i="15"/>
  <c r="D120" i="21" l="1"/>
  <c r="I120" i="21" s="1"/>
  <c r="C120" i="21"/>
  <c r="K121" i="15"/>
  <c r="L121" i="15"/>
  <c r="C112" i="10"/>
  <c r="H120" i="21" l="1"/>
  <c r="O120" i="21"/>
  <c r="U120" i="21"/>
  <c r="N120" i="21"/>
  <c r="P120" i="21"/>
  <c r="G120" i="21"/>
  <c r="Q120" i="21"/>
  <c r="T120" i="21"/>
  <c r="J112" i="10"/>
  <c r="D122" i="15"/>
  <c r="I122" i="15" s="1"/>
  <c r="C122" i="15"/>
  <c r="E112" i="10"/>
  <c r="D112" i="10"/>
  <c r="AB120" i="21" l="1"/>
  <c r="W120" i="21" s="1"/>
  <c r="AA120" i="21"/>
  <c r="F120" i="21"/>
  <c r="J120" i="21" s="1"/>
  <c r="G112" i="10"/>
  <c r="N122" i="15"/>
  <c r="H122" i="15"/>
  <c r="U122" i="15"/>
  <c r="P122" i="15"/>
  <c r="G122" i="15"/>
  <c r="T122" i="15"/>
  <c r="Q122" i="15"/>
  <c r="F122" i="15" s="1"/>
  <c r="J122" i="15" s="1"/>
  <c r="O122" i="15"/>
  <c r="X120" i="21" l="1"/>
  <c r="E120" i="21"/>
  <c r="H112" i="10"/>
  <c r="F112" i="10"/>
  <c r="E122" i="15"/>
  <c r="K122" i="15" s="1"/>
  <c r="AB122" i="15"/>
  <c r="AA122" i="15"/>
  <c r="K120" i="21" l="1"/>
  <c r="L120" i="21"/>
  <c r="K112" i="10"/>
  <c r="I112" i="10"/>
  <c r="Q112" i="10"/>
  <c r="R112" i="10"/>
  <c r="X122" i="15"/>
  <c r="W122" i="15"/>
  <c r="L122" i="15"/>
  <c r="D121" i="21" l="1"/>
  <c r="I121" i="21" s="1"/>
  <c r="C121" i="21"/>
  <c r="D123" i="15"/>
  <c r="I123" i="15" s="1"/>
  <c r="C123" i="15"/>
  <c r="C113" i="10"/>
  <c r="T121" i="21" l="1"/>
  <c r="P121" i="21"/>
  <c r="Q121" i="21"/>
  <c r="F121" i="21" s="1"/>
  <c r="H121" i="21"/>
  <c r="U121" i="21"/>
  <c r="N121" i="21"/>
  <c r="O121" i="21"/>
  <c r="G121" i="21"/>
  <c r="J113" i="10"/>
  <c r="O123" i="15"/>
  <c r="H123" i="15"/>
  <c r="T123" i="15"/>
  <c r="Q123" i="15"/>
  <c r="N123" i="15"/>
  <c r="P123" i="15"/>
  <c r="U123" i="15"/>
  <c r="G123" i="15"/>
  <c r="E113" i="10"/>
  <c r="D113" i="10"/>
  <c r="J121" i="21" l="1"/>
  <c r="E121" i="21"/>
  <c r="AB121" i="21"/>
  <c r="W121" i="21" s="1"/>
  <c r="AA121" i="21"/>
  <c r="G113" i="10"/>
  <c r="AB123" i="15"/>
  <c r="X123" i="15" s="1"/>
  <c r="AA123" i="15"/>
  <c r="E123" i="15"/>
  <c r="F123" i="15"/>
  <c r="J123" i="15" s="1"/>
  <c r="L121" i="21" l="1"/>
  <c r="K121" i="21"/>
  <c r="X121" i="21"/>
  <c r="H113" i="10"/>
  <c r="F113" i="10"/>
  <c r="W123" i="15"/>
  <c r="K123" i="15"/>
  <c r="L123" i="15"/>
  <c r="D122" i="21" l="1"/>
  <c r="I122" i="21" s="1"/>
  <c r="C122" i="21"/>
  <c r="I113" i="10"/>
  <c r="K113" i="10"/>
  <c r="Q113" i="10"/>
  <c r="R113" i="10"/>
  <c r="D124" i="15"/>
  <c r="I124" i="15" s="1"/>
  <c r="C124" i="15"/>
  <c r="T122" i="21" l="1"/>
  <c r="O122" i="21"/>
  <c r="P122" i="21"/>
  <c r="H122" i="21"/>
  <c r="U122" i="21"/>
  <c r="Q122" i="21"/>
  <c r="F122" i="21" s="1"/>
  <c r="J122" i="21" s="1"/>
  <c r="N122" i="21"/>
  <c r="G122" i="21"/>
  <c r="G124" i="15"/>
  <c r="O124" i="15"/>
  <c r="Q124" i="15"/>
  <c r="F124" i="15" s="1"/>
  <c r="J124" i="15" s="1"/>
  <c r="N124" i="15"/>
  <c r="U124" i="15"/>
  <c r="P124" i="15"/>
  <c r="T124" i="15"/>
  <c r="H124" i="15"/>
  <c r="C114" i="10"/>
  <c r="AB122" i="21" l="1"/>
  <c r="W122" i="21" s="1"/>
  <c r="AA122" i="21"/>
  <c r="E122" i="21"/>
  <c r="J114" i="10"/>
  <c r="AB124" i="15"/>
  <c r="W124" i="15" s="1"/>
  <c r="AA124" i="15"/>
  <c r="E124" i="15"/>
  <c r="E114" i="10"/>
  <c r="D114" i="10"/>
  <c r="K122" i="21" l="1"/>
  <c r="L122" i="21"/>
  <c r="X122" i="21"/>
  <c r="G114" i="10"/>
  <c r="L124" i="15"/>
  <c r="K124" i="15"/>
  <c r="X124" i="15"/>
  <c r="D123" i="21" l="1"/>
  <c r="I123" i="21" s="1"/>
  <c r="C123" i="21"/>
  <c r="H114" i="10"/>
  <c r="F114" i="10"/>
  <c r="D125" i="15"/>
  <c r="I125" i="15" s="1"/>
  <c r="C125" i="15"/>
  <c r="G123" i="21" l="1"/>
  <c r="N123" i="21"/>
  <c r="Q123" i="21"/>
  <c r="F123" i="21" s="1"/>
  <c r="J123" i="21" s="1"/>
  <c r="H123" i="21"/>
  <c r="P123" i="21"/>
  <c r="U123" i="21"/>
  <c r="O123" i="21"/>
  <c r="T123" i="21"/>
  <c r="I114" i="10"/>
  <c r="K114" i="10"/>
  <c r="Q114" i="10"/>
  <c r="R114" i="10"/>
  <c r="P125" i="15"/>
  <c r="N125" i="15"/>
  <c r="G125" i="15"/>
  <c r="U125" i="15"/>
  <c r="T125" i="15"/>
  <c r="O125" i="15"/>
  <c r="Q125" i="15"/>
  <c r="F125" i="15" s="1"/>
  <c r="J125" i="15" s="1"/>
  <c r="H125" i="15"/>
  <c r="AB123" i="21" l="1"/>
  <c r="W123" i="21" s="1"/>
  <c r="AA123" i="21"/>
  <c r="E123" i="21"/>
  <c r="E125" i="15"/>
  <c r="AB125" i="15"/>
  <c r="AA125" i="15"/>
  <c r="C115" i="10"/>
  <c r="L123" i="21" l="1"/>
  <c r="K123" i="21"/>
  <c r="X123" i="21"/>
  <c r="J115" i="10"/>
  <c r="X125" i="15"/>
  <c r="W125" i="15"/>
  <c r="K125" i="15"/>
  <c r="L125" i="15"/>
  <c r="E115" i="10"/>
  <c r="D115" i="10"/>
  <c r="D124" i="21" l="1"/>
  <c r="I124" i="21" s="1"/>
  <c r="C124" i="21"/>
  <c r="G115" i="10"/>
  <c r="D126" i="15"/>
  <c r="I126" i="15" s="1"/>
  <c r="C126" i="15"/>
  <c r="P124" i="21" l="1"/>
  <c r="O124" i="21"/>
  <c r="G124" i="21"/>
  <c r="Q124" i="21"/>
  <c r="N124" i="21"/>
  <c r="U124" i="21"/>
  <c r="T124" i="21"/>
  <c r="H124" i="21"/>
  <c r="H115" i="10"/>
  <c r="F115" i="10"/>
  <c r="T126" i="15"/>
  <c r="Q126" i="15"/>
  <c r="F126" i="15" s="1"/>
  <c r="J126" i="15" s="1"/>
  <c r="N126" i="15"/>
  <c r="P126" i="15"/>
  <c r="O126" i="15"/>
  <c r="U126" i="15"/>
  <c r="G126" i="15"/>
  <c r="H126" i="15"/>
  <c r="E124" i="21" l="1"/>
  <c r="F124" i="21"/>
  <c r="J124" i="21" s="1"/>
  <c r="AB124" i="21"/>
  <c r="X124" i="21" s="1"/>
  <c r="AA124" i="21"/>
  <c r="K115" i="10"/>
  <c r="I115" i="10"/>
  <c r="Q115" i="10"/>
  <c r="R115" i="10"/>
  <c r="E126" i="15"/>
  <c r="K126" i="15" s="1"/>
  <c r="AB126" i="15"/>
  <c r="W126" i="15" s="1"/>
  <c r="AA126" i="15"/>
  <c r="L124" i="21" l="1"/>
  <c r="K124" i="21"/>
  <c r="W124" i="21"/>
  <c r="L126" i="15"/>
  <c r="X126" i="15"/>
  <c r="C116" i="10"/>
  <c r="D125" i="21" l="1"/>
  <c r="I125" i="21" s="1"/>
  <c r="C125" i="21"/>
  <c r="J116" i="10"/>
  <c r="D127" i="15"/>
  <c r="I127" i="15" s="1"/>
  <c r="C127" i="15"/>
  <c r="E116" i="10"/>
  <c r="D116" i="10"/>
  <c r="H125" i="21" l="1"/>
  <c r="P125" i="21"/>
  <c r="N125" i="21"/>
  <c r="G125" i="21"/>
  <c r="O125" i="21"/>
  <c r="U125" i="21"/>
  <c r="T125" i="21"/>
  <c r="Q125" i="21"/>
  <c r="F125" i="21" s="1"/>
  <c r="J125" i="21" s="1"/>
  <c r="G116" i="10"/>
  <c r="H127" i="15"/>
  <c r="G127" i="15"/>
  <c r="P127" i="15"/>
  <c r="T127" i="15"/>
  <c r="Q127" i="15"/>
  <c r="F127" i="15" s="1"/>
  <c r="N127" i="15"/>
  <c r="O127" i="15"/>
  <c r="U127" i="15"/>
  <c r="AB125" i="21" l="1"/>
  <c r="X125" i="21" s="1"/>
  <c r="AA125" i="21"/>
  <c r="E125" i="21"/>
  <c r="H116" i="10"/>
  <c r="F116" i="10"/>
  <c r="J127" i="15"/>
  <c r="E127" i="15"/>
  <c r="AB127" i="15"/>
  <c r="X127" i="15" s="1"/>
  <c r="AA127" i="15"/>
  <c r="L125" i="21" l="1"/>
  <c r="K125" i="21"/>
  <c r="W125" i="21"/>
  <c r="I116" i="10"/>
  <c r="K116" i="10"/>
  <c r="Q116" i="10"/>
  <c r="R116" i="10"/>
  <c r="L127" i="15"/>
  <c r="K127" i="15"/>
  <c r="W127" i="15"/>
  <c r="D126" i="21" l="1"/>
  <c r="I126" i="21" s="1"/>
  <c r="C126" i="21"/>
  <c r="D128" i="15"/>
  <c r="I128" i="15" s="1"/>
  <c r="C128" i="15"/>
  <c r="C117" i="10"/>
  <c r="O126" i="21" l="1"/>
  <c r="T126" i="21"/>
  <c r="P126" i="21"/>
  <c r="H126" i="21"/>
  <c r="N126" i="21"/>
  <c r="Q126" i="21"/>
  <c r="F126" i="21" s="1"/>
  <c r="J126" i="21" s="1"/>
  <c r="U126" i="21"/>
  <c r="G126" i="21"/>
  <c r="J117" i="10"/>
  <c r="G128" i="15"/>
  <c r="O128" i="15"/>
  <c r="H128" i="15"/>
  <c r="U128" i="15"/>
  <c r="T128" i="15"/>
  <c r="Q128" i="15"/>
  <c r="F128" i="15" s="1"/>
  <c r="J128" i="15" s="1"/>
  <c r="N128" i="15"/>
  <c r="P128" i="15"/>
  <c r="E117" i="10"/>
  <c r="D117" i="10"/>
  <c r="AB126" i="21" l="1"/>
  <c r="X126" i="21" s="1"/>
  <c r="AA126" i="21"/>
  <c r="E126" i="21"/>
  <c r="G117" i="10"/>
  <c r="AB128" i="15"/>
  <c r="W128" i="15" s="1"/>
  <c r="AA128" i="15"/>
  <c r="E128" i="15"/>
  <c r="L126" i="21" l="1"/>
  <c r="K126" i="21"/>
  <c r="W126" i="21"/>
  <c r="H117" i="10"/>
  <c r="F117" i="10"/>
  <c r="K128" i="15"/>
  <c r="L128" i="15"/>
  <c r="X128" i="15"/>
  <c r="D127" i="21" l="1"/>
  <c r="I127" i="21" s="1"/>
  <c r="C127" i="21"/>
  <c r="I117" i="10"/>
  <c r="K117" i="10"/>
  <c r="Q117" i="10"/>
  <c r="R117" i="10"/>
  <c r="D129" i="15"/>
  <c r="I129" i="15" s="1"/>
  <c r="C129" i="15"/>
  <c r="N127" i="21" l="1"/>
  <c r="H127" i="21"/>
  <c r="P127" i="21"/>
  <c r="Q127" i="21"/>
  <c r="F127" i="21" s="1"/>
  <c r="J127" i="21" s="1"/>
  <c r="G127" i="21"/>
  <c r="T127" i="21"/>
  <c r="U127" i="21"/>
  <c r="O127" i="21"/>
  <c r="O129" i="15"/>
  <c r="G129" i="15"/>
  <c r="U129" i="15"/>
  <c r="Q129" i="15"/>
  <c r="H129" i="15"/>
  <c r="N129" i="15"/>
  <c r="T129" i="15"/>
  <c r="P129" i="15"/>
  <c r="C118" i="10"/>
  <c r="E127" i="21" l="1"/>
  <c r="AB127" i="21"/>
  <c r="W127" i="21" s="1"/>
  <c r="AA127" i="21"/>
  <c r="J118" i="10"/>
  <c r="AB129" i="15"/>
  <c r="W129" i="15" s="1"/>
  <c r="AA129" i="15"/>
  <c r="F129" i="15"/>
  <c r="J129" i="15" s="1"/>
  <c r="E118" i="10"/>
  <c r="D118" i="10"/>
  <c r="K127" i="21" l="1"/>
  <c r="L127" i="21"/>
  <c r="X127" i="21"/>
  <c r="G118" i="10"/>
  <c r="X129" i="15"/>
  <c r="E129" i="15"/>
  <c r="K129" i="15" s="1"/>
  <c r="D128" i="21" l="1"/>
  <c r="I128" i="21" s="1"/>
  <c r="C128" i="21"/>
  <c r="F118" i="10"/>
  <c r="H118" i="10"/>
  <c r="L129" i="15"/>
  <c r="D130" i="15" s="1"/>
  <c r="I130" i="15" s="1"/>
  <c r="T128" i="21" l="1"/>
  <c r="N128" i="21"/>
  <c r="H128" i="21"/>
  <c r="G128" i="21"/>
  <c r="U128" i="21"/>
  <c r="P128" i="21"/>
  <c r="Q128" i="21"/>
  <c r="F128" i="21" s="1"/>
  <c r="J128" i="21" s="1"/>
  <c r="O128" i="21"/>
  <c r="I118" i="10"/>
  <c r="K118" i="10"/>
  <c r="Q118" i="10"/>
  <c r="R118" i="10"/>
  <c r="C130" i="15"/>
  <c r="Q130" i="15" s="1"/>
  <c r="F130" i="15" s="1"/>
  <c r="J130" i="15" s="1"/>
  <c r="AB128" i="21" l="1"/>
  <c r="X128" i="21" s="1"/>
  <c r="AA128" i="21"/>
  <c r="E128" i="21"/>
  <c r="O130" i="15"/>
  <c r="N130" i="15"/>
  <c r="AB130" i="15" s="1"/>
  <c r="T130" i="15"/>
  <c r="G130" i="15"/>
  <c r="U130" i="15"/>
  <c r="H130" i="15"/>
  <c r="P130" i="15"/>
  <c r="E130" i="15"/>
  <c r="C119" i="10"/>
  <c r="K128" i="21" l="1"/>
  <c r="L128" i="21"/>
  <c r="W128" i="21"/>
  <c r="J119" i="10"/>
  <c r="K130" i="15"/>
  <c r="AA130" i="15"/>
  <c r="W130" i="15"/>
  <c r="X130" i="15"/>
  <c r="L130" i="15"/>
  <c r="E119" i="10"/>
  <c r="D119" i="10"/>
  <c r="D129" i="21" l="1"/>
  <c r="I129" i="21" s="1"/>
  <c r="C129" i="21"/>
  <c r="G119" i="10"/>
  <c r="D131" i="15"/>
  <c r="I131" i="15" s="1"/>
  <c r="C131" i="15"/>
  <c r="G129" i="21" l="1"/>
  <c r="T129" i="21"/>
  <c r="P129" i="21"/>
  <c r="U129" i="21"/>
  <c r="O129" i="21"/>
  <c r="N129" i="21"/>
  <c r="Q129" i="21"/>
  <c r="F129" i="21" s="1"/>
  <c r="J129" i="21" s="1"/>
  <c r="H129" i="21"/>
  <c r="H119" i="10"/>
  <c r="F119" i="10"/>
  <c r="G131" i="15"/>
  <c r="O131" i="15"/>
  <c r="T131" i="15"/>
  <c r="Q131" i="15"/>
  <c r="N131" i="15"/>
  <c r="U131" i="15"/>
  <c r="H131" i="15"/>
  <c r="P131" i="15"/>
  <c r="AB129" i="21" l="1"/>
  <c r="W129" i="21" s="1"/>
  <c r="AA129" i="21"/>
  <c r="E129" i="21"/>
  <c r="I119" i="10"/>
  <c r="K119" i="10"/>
  <c r="Q119" i="10"/>
  <c r="R119" i="10"/>
  <c r="AB131" i="15"/>
  <c r="W131" i="15" s="1"/>
  <c r="AA131" i="15"/>
  <c r="E131" i="15"/>
  <c r="F131" i="15"/>
  <c r="J131" i="15" s="1"/>
  <c r="L129" i="21" l="1"/>
  <c r="K129" i="21"/>
  <c r="X129" i="21"/>
  <c r="K131" i="15"/>
  <c r="L131" i="15"/>
  <c r="X131" i="15"/>
  <c r="C120" i="10"/>
  <c r="D130" i="21" l="1"/>
  <c r="I130" i="21" s="1"/>
  <c r="C130" i="21"/>
  <c r="J120" i="10"/>
  <c r="D132" i="15"/>
  <c r="I132" i="15" s="1"/>
  <c r="C132" i="15"/>
  <c r="E120" i="10"/>
  <c r="D120" i="10"/>
  <c r="G130" i="21" l="1"/>
  <c r="Q130" i="21"/>
  <c r="F130" i="21" s="1"/>
  <c r="J130" i="21" s="1"/>
  <c r="N130" i="21"/>
  <c r="U130" i="21"/>
  <c r="H130" i="21"/>
  <c r="P130" i="21"/>
  <c r="T130" i="21"/>
  <c r="O130" i="21"/>
  <c r="E130" i="21"/>
  <c r="K130" i="21" s="1"/>
  <c r="G120" i="10"/>
  <c r="O132" i="15"/>
  <c r="N132" i="15"/>
  <c r="T132" i="15"/>
  <c r="U132" i="15"/>
  <c r="Q132" i="15"/>
  <c r="F132" i="15" s="1"/>
  <c r="J132" i="15" s="1"/>
  <c r="H132" i="15"/>
  <c r="P132" i="15"/>
  <c r="G132" i="15"/>
  <c r="AB130" i="21" l="1"/>
  <c r="AA130" i="21"/>
  <c r="H120" i="10"/>
  <c r="F120" i="10"/>
  <c r="E132" i="15"/>
  <c r="AB132" i="15"/>
  <c r="W132" i="15" s="1"/>
  <c r="AA132" i="15"/>
  <c r="W130" i="21" l="1"/>
  <c r="X130" i="21"/>
  <c r="L130" i="21"/>
  <c r="K120" i="10"/>
  <c r="I120" i="10"/>
  <c r="Q120" i="10"/>
  <c r="R120" i="10"/>
  <c r="L132" i="15"/>
  <c r="K132" i="15"/>
  <c r="X132" i="15"/>
  <c r="D131" i="21" l="1"/>
  <c r="I131" i="21" s="1"/>
  <c r="C131" i="21"/>
  <c r="D133" i="15"/>
  <c r="I133" i="15" s="1"/>
  <c r="C133" i="15"/>
  <c r="C121" i="10"/>
  <c r="P131" i="21" l="1"/>
  <c r="N131" i="21"/>
  <c r="U131" i="21"/>
  <c r="Q131" i="21"/>
  <c r="F131" i="21" s="1"/>
  <c r="J131" i="21" s="1"/>
  <c r="O131" i="21"/>
  <c r="T131" i="21"/>
  <c r="H131" i="21"/>
  <c r="G131" i="21"/>
  <c r="J121" i="10"/>
  <c r="O133" i="15"/>
  <c r="G133" i="15"/>
  <c r="U133" i="15"/>
  <c r="N133" i="15"/>
  <c r="T133" i="15"/>
  <c r="P133" i="15"/>
  <c r="Q133" i="15"/>
  <c r="F133" i="15" s="1"/>
  <c r="J133" i="15" s="1"/>
  <c r="H133" i="15"/>
  <c r="E121" i="10"/>
  <c r="D121" i="10"/>
  <c r="E131" i="21" l="1"/>
  <c r="AB131" i="21"/>
  <c r="X131" i="21" s="1"/>
  <c r="AA131" i="21"/>
  <c r="G121" i="10"/>
  <c r="E133" i="15"/>
  <c r="K133" i="15" s="1"/>
  <c r="AB133" i="15"/>
  <c r="X133" i="15" s="1"/>
  <c r="AA133" i="15"/>
  <c r="K131" i="21" l="1"/>
  <c r="L131" i="21"/>
  <c r="W131" i="21"/>
  <c r="H121" i="10"/>
  <c r="F121" i="10"/>
  <c r="W133" i="15"/>
  <c r="L133" i="15"/>
  <c r="D132" i="21" l="1"/>
  <c r="I132" i="21" s="1"/>
  <c r="C132" i="21"/>
  <c r="I121" i="10"/>
  <c r="K121" i="10"/>
  <c r="Q121" i="10"/>
  <c r="R121" i="10"/>
  <c r="D134" i="15"/>
  <c r="I134" i="15" s="1"/>
  <c r="C134" i="15"/>
  <c r="U132" i="21" l="1"/>
  <c r="O132" i="21"/>
  <c r="H132" i="21"/>
  <c r="P132" i="21"/>
  <c r="Q132" i="21"/>
  <c r="F132" i="21" s="1"/>
  <c r="J132" i="21" s="1"/>
  <c r="G132" i="21"/>
  <c r="T132" i="21"/>
  <c r="N132" i="21"/>
  <c r="G134" i="15"/>
  <c r="P134" i="15"/>
  <c r="U134" i="15"/>
  <c r="T134" i="15"/>
  <c r="Q134" i="15"/>
  <c r="F134" i="15" s="1"/>
  <c r="J134" i="15" s="1"/>
  <c r="H134" i="15"/>
  <c r="O134" i="15"/>
  <c r="N134" i="15"/>
  <c r="C122" i="10"/>
  <c r="AB132" i="21" l="1"/>
  <c r="X132" i="21" s="1"/>
  <c r="AA132" i="21"/>
  <c r="E132" i="21"/>
  <c r="W132" i="21"/>
  <c r="J122" i="10"/>
  <c r="AB134" i="15"/>
  <c r="W134" i="15" s="1"/>
  <c r="AA134" i="15"/>
  <c r="E134" i="15"/>
  <c r="E122" i="10"/>
  <c r="D122" i="10"/>
  <c r="K132" i="21" l="1"/>
  <c r="L132" i="21"/>
  <c r="G122" i="10"/>
  <c r="K134" i="15"/>
  <c r="L134" i="15"/>
  <c r="X134" i="15"/>
  <c r="D133" i="21" l="1"/>
  <c r="I133" i="21" s="1"/>
  <c r="C133" i="21"/>
  <c r="H122" i="10"/>
  <c r="F122" i="10"/>
  <c r="D135" i="15"/>
  <c r="I135" i="15" s="1"/>
  <c r="C135" i="15"/>
  <c r="Q133" i="21" l="1"/>
  <c r="O133" i="21"/>
  <c r="H133" i="21"/>
  <c r="U133" i="21"/>
  <c r="G133" i="21"/>
  <c r="N133" i="21"/>
  <c r="P133" i="21"/>
  <c r="T133" i="21"/>
  <c r="F133" i="21"/>
  <c r="J133" i="21" s="1"/>
  <c r="E133" i="21"/>
  <c r="I122" i="10"/>
  <c r="K122" i="10"/>
  <c r="Q122" i="10"/>
  <c r="R122" i="10"/>
  <c r="O135" i="15"/>
  <c r="H135" i="15"/>
  <c r="N135" i="15"/>
  <c r="U135" i="15"/>
  <c r="G135" i="15"/>
  <c r="Q135" i="15"/>
  <c r="F135" i="15" s="1"/>
  <c r="T135" i="15"/>
  <c r="P135" i="15"/>
  <c r="K133" i="21" l="1"/>
  <c r="AB133" i="21"/>
  <c r="X133" i="21" s="1"/>
  <c r="AA133" i="21"/>
  <c r="J135" i="15"/>
  <c r="E135" i="15"/>
  <c r="AB135" i="15"/>
  <c r="X135" i="15" s="1"/>
  <c r="AA135" i="15"/>
  <c r="C123" i="10"/>
  <c r="L133" i="21" l="1"/>
  <c r="W133" i="21"/>
  <c r="J123" i="10"/>
  <c r="W135" i="15"/>
  <c r="L135" i="15"/>
  <c r="K135" i="15"/>
  <c r="E123" i="10"/>
  <c r="D123" i="10"/>
  <c r="D134" i="21" l="1"/>
  <c r="I134" i="21" s="1"/>
  <c r="C134" i="21"/>
  <c r="G123" i="10"/>
  <c r="D136" i="15"/>
  <c r="I136" i="15" s="1"/>
  <c r="C136" i="15"/>
  <c r="T134" i="21" l="1"/>
  <c r="O134" i="21"/>
  <c r="U134" i="21"/>
  <c r="N134" i="21"/>
  <c r="P134" i="21"/>
  <c r="Q134" i="21"/>
  <c r="F134" i="21" s="1"/>
  <c r="J134" i="21" s="1"/>
  <c r="G134" i="21"/>
  <c r="H134" i="21"/>
  <c r="H123" i="10"/>
  <c r="F123" i="10"/>
  <c r="H136" i="15"/>
  <c r="G136" i="15"/>
  <c r="P136" i="15"/>
  <c r="T136" i="15"/>
  <c r="N136" i="15"/>
  <c r="Q136" i="15"/>
  <c r="F136" i="15" s="1"/>
  <c r="J136" i="15" s="1"/>
  <c r="O136" i="15"/>
  <c r="U136" i="15"/>
  <c r="AB134" i="21" l="1"/>
  <c r="W134" i="21" s="1"/>
  <c r="AA134" i="21"/>
  <c r="E134" i="21"/>
  <c r="K123" i="10"/>
  <c r="I123" i="10"/>
  <c r="Q123" i="10"/>
  <c r="R123" i="10"/>
  <c r="E136" i="15"/>
  <c r="K136" i="15" s="1"/>
  <c r="AB136" i="15"/>
  <c r="W136" i="15" s="1"/>
  <c r="AA136" i="15"/>
  <c r="L134" i="21" l="1"/>
  <c r="K134" i="21"/>
  <c r="X134" i="21"/>
  <c r="L136" i="15"/>
  <c r="X136" i="15"/>
  <c r="C124" i="10"/>
  <c r="D135" i="21" l="1"/>
  <c r="I135" i="21" s="1"/>
  <c r="C135" i="21"/>
  <c r="J124" i="10"/>
  <c r="D137" i="15"/>
  <c r="I137" i="15" s="1"/>
  <c r="C137" i="15"/>
  <c r="E124" i="10"/>
  <c r="D124" i="10"/>
  <c r="T135" i="21" l="1"/>
  <c r="N135" i="21"/>
  <c r="O135" i="21"/>
  <c r="U135" i="21"/>
  <c r="G135" i="21"/>
  <c r="H135" i="21"/>
  <c r="Q135" i="21"/>
  <c r="F135" i="21" s="1"/>
  <c r="J135" i="21" s="1"/>
  <c r="P135" i="21"/>
  <c r="G124" i="10"/>
  <c r="N137" i="15"/>
  <c r="O137" i="15"/>
  <c r="T137" i="15"/>
  <c r="U137" i="15"/>
  <c r="Q137" i="15"/>
  <c r="F137" i="15" s="1"/>
  <c r="J137" i="15" s="1"/>
  <c r="H137" i="15"/>
  <c r="G137" i="15"/>
  <c r="P137" i="15"/>
  <c r="AB135" i="21" l="1"/>
  <c r="X135" i="21" s="1"/>
  <c r="AA135" i="21"/>
  <c r="E135" i="21"/>
  <c r="H124" i="10"/>
  <c r="F124" i="10"/>
  <c r="E137" i="15"/>
  <c r="AB137" i="15"/>
  <c r="X137" i="15" s="1"/>
  <c r="AA137" i="15"/>
  <c r="K135" i="21" l="1"/>
  <c r="L135" i="21"/>
  <c r="W135" i="21"/>
  <c r="I124" i="10"/>
  <c r="K124" i="10"/>
  <c r="Q124" i="10"/>
  <c r="R124" i="10"/>
  <c r="L137" i="15"/>
  <c r="K137" i="15"/>
  <c r="W137" i="15"/>
  <c r="D136" i="21" l="1"/>
  <c r="I136" i="21" s="1"/>
  <c r="C136" i="21"/>
  <c r="D138" i="15"/>
  <c r="I138" i="15" s="1"/>
  <c r="C138" i="15"/>
  <c r="C125" i="10"/>
  <c r="N136" i="21" l="1"/>
  <c r="H136" i="21"/>
  <c r="Q136" i="21"/>
  <c r="F136" i="21" s="1"/>
  <c r="J136" i="21" s="1"/>
  <c r="P136" i="21"/>
  <c r="O136" i="21"/>
  <c r="G136" i="21"/>
  <c r="T136" i="21"/>
  <c r="U136" i="21"/>
  <c r="J125" i="10"/>
  <c r="E125" i="10"/>
  <c r="D125" i="10"/>
  <c r="P138" i="15"/>
  <c r="O138" i="15"/>
  <c r="T138" i="15"/>
  <c r="G138" i="15"/>
  <c r="U138" i="15"/>
  <c r="H138" i="15"/>
  <c r="N138" i="15"/>
  <c r="Q138" i="15"/>
  <c r="X136" i="21" l="1"/>
  <c r="E136" i="21"/>
  <c r="AB136" i="21"/>
  <c r="W136" i="21" s="1"/>
  <c r="AA136" i="21"/>
  <c r="G125" i="10"/>
  <c r="F138" i="15"/>
  <c r="J138" i="15" s="1"/>
  <c r="AB138" i="15"/>
  <c r="AA138" i="15"/>
  <c r="K136" i="21" l="1"/>
  <c r="L136" i="21"/>
  <c r="H125" i="10"/>
  <c r="F125" i="10"/>
  <c r="E138" i="15"/>
  <c r="K138" i="15" s="1"/>
  <c r="W138" i="15"/>
  <c r="X138" i="15"/>
  <c r="D137" i="21" l="1"/>
  <c r="I137" i="21" s="1"/>
  <c r="C137" i="21"/>
  <c r="K125" i="10"/>
  <c r="I125" i="10"/>
  <c r="Q125" i="10"/>
  <c r="C126" i="10" s="1"/>
  <c r="R125" i="10"/>
  <c r="L138" i="15"/>
  <c r="D139" i="15" s="1"/>
  <c r="I139" i="15" s="1"/>
  <c r="O137" i="21" l="1"/>
  <c r="T137" i="21"/>
  <c r="P137" i="21"/>
  <c r="N137" i="21"/>
  <c r="H137" i="21"/>
  <c r="G137" i="21"/>
  <c r="Q137" i="21"/>
  <c r="F137" i="21" s="1"/>
  <c r="J137" i="21" s="1"/>
  <c r="U137" i="21"/>
  <c r="J126" i="10"/>
  <c r="E126" i="10"/>
  <c r="C139" i="15"/>
  <c r="H139" i="15" s="1"/>
  <c r="AB137" i="21" l="1"/>
  <c r="X137" i="21" s="1"/>
  <c r="AA137" i="21"/>
  <c r="W137" i="21"/>
  <c r="E137" i="21"/>
  <c r="G126" i="10"/>
  <c r="D126" i="10"/>
  <c r="N139" i="15"/>
  <c r="AA139" i="15" s="1"/>
  <c r="U139" i="15"/>
  <c r="T139" i="15"/>
  <c r="Q139" i="15"/>
  <c r="F139" i="15" s="1"/>
  <c r="O139" i="15"/>
  <c r="P139" i="15"/>
  <c r="G139" i="15"/>
  <c r="K137" i="21" l="1"/>
  <c r="L137" i="21"/>
  <c r="H126" i="10"/>
  <c r="F126" i="10"/>
  <c r="AB139" i="15"/>
  <c r="W139" i="15" s="1"/>
  <c r="J139" i="15"/>
  <c r="E139" i="15"/>
  <c r="X139" i="15"/>
  <c r="D138" i="21" l="1"/>
  <c r="I138" i="21" s="1"/>
  <c r="C138" i="21"/>
  <c r="I126" i="10"/>
  <c r="K126" i="10"/>
  <c r="Q126" i="10"/>
  <c r="C127" i="10" s="1"/>
  <c r="R126" i="10"/>
  <c r="K139" i="15"/>
  <c r="L139" i="15"/>
  <c r="D140" i="15" s="1"/>
  <c r="I140" i="15" s="1"/>
  <c r="G138" i="21" l="1"/>
  <c r="O138" i="21"/>
  <c r="T138" i="21"/>
  <c r="P138" i="21"/>
  <c r="Q138" i="21"/>
  <c r="F138" i="21" s="1"/>
  <c r="J138" i="21" s="1"/>
  <c r="H138" i="21"/>
  <c r="U138" i="21"/>
  <c r="N138" i="21"/>
  <c r="J127" i="10"/>
  <c r="C140" i="15"/>
  <c r="H140" i="15" s="1"/>
  <c r="E127" i="10"/>
  <c r="D127" i="10"/>
  <c r="AB138" i="21" l="1"/>
  <c r="X138" i="21" s="1"/>
  <c r="AA138" i="21"/>
  <c r="E138" i="21"/>
  <c r="G127" i="10"/>
  <c r="N140" i="15"/>
  <c r="AB140" i="15" s="1"/>
  <c r="U140" i="15"/>
  <c r="T140" i="15"/>
  <c r="Q140" i="15"/>
  <c r="F140" i="15" s="1"/>
  <c r="J140" i="15" s="1"/>
  <c r="O140" i="15"/>
  <c r="G140" i="15"/>
  <c r="P140" i="15"/>
  <c r="L138" i="21" l="1"/>
  <c r="K138" i="21"/>
  <c r="W138" i="21"/>
  <c r="H127" i="10"/>
  <c r="F127" i="10"/>
  <c r="W140" i="15"/>
  <c r="AA140" i="15"/>
  <c r="E140" i="15"/>
  <c r="K140" i="15" s="1"/>
  <c r="X140" i="15"/>
  <c r="D139" i="21" l="1"/>
  <c r="I139" i="21" s="1"/>
  <c r="C139" i="21"/>
  <c r="K127" i="10"/>
  <c r="I127" i="10"/>
  <c r="Q127" i="10"/>
  <c r="R127" i="10"/>
  <c r="L140" i="15"/>
  <c r="D141" i="15" s="1"/>
  <c r="I141" i="15" s="1"/>
  <c r="O139" i="21" l="1"/>
  <c r="Q139" i="21"/>
  <c r="F139" i="21" s="1"/>
  <c r="J139" i="21" s="1"/>
  <c r="P139" i="21"/>
  <c r="H139" i="21"/>
  <c r="N139" i="21"/>
  <c r="T139" i="21"/>
  <c r="G139" i="21"/>
  <c r="U139" i="21"/>
  <c r="C141" i="15"/>
  <c r="U141" i="15" s="1"/>
  <c r="C128" i="10"/>
  <c r="AB139" i="21" l="1"/>
  <c r="W139" i="21" s="1"/>
  <c r="AA139" i="21"/>
  <c r="E139" i="21"/>
  <c r="J128" i="10"/>
  <c r="G141" i="15"/>
  <c r="P141" i="15"/>
  <c r="Q141" i="15"/>
  <c r="F141" i="15" s="1"/>
  <c r="J141" i="15" s="1"/>
  <c r="N141" i="15"/>
  <c r="AA141" i="15" s="1"/>
  <c r="O141" i="15"/>
  <c r="H141" i="15"/>
  <c r="T141" i="15"/>
  <c r="E128" i="10"/>
  <c r="D128" i="10"/>
  <c r="L139" i="21" l="1"/>
  <c r="K139" i="21"/>
  <c r="X139" i="21"/>
  <c r="G128" i="10"/>
  <c r="E141" i="15"/>
  <c r="K141" i="15" s="1"/>
  <c r="AB141" i="15"/>
  <c r="W141" i="15" s="1"/>
  <c r="D140" i="21" l="1"/>
  <c r="I140" i="21" s="1"/>
  <c r="C140" i="21"/>
  <c r="H128" i="10"/>
  <c r="F128" i="10"/>
  <c r="L141" i="15"/>
  <c r="D142" i="15" s="1"/>
  <c r="I142" i="15" s="1"/>
  <c r="X141" i="15"/>
  <c r="Q140" i="21" l="1"/>
  <c r="P140" i="21"/>
  <c r="N140" i="21"/>
  <c r="T140" i="21"/>
  <c r="U140" i="21"/>
  <c r="G140" i="21"/>
  <c r="O140" i="21"/>
  <c r="H140" i="21"/>
  <c r="F140" i="21"/>
  <c r="J140" i="21" s="1"/>
  <c r="E140" i="21"/>
  <c r="K140" i="21" s="1"/>
  <c r="I128" i="10"/>
  <c r="K128" i="10"/>
  <c r="Q128" i="10"/>
  <c r="R128" i="10"/>
  <c r="C142" i="15"/>
  <c r="P142" i="15" s="1"/>
  <c r="AB140" i="21" l="1"/>
  <c r="AA140" i="21"/>
  <c r="O142" i="15"/>
  <c r="N142" i="15"/>
  <c r="AB142" i="15" s="1"/>
  <c r="T142" i="15"/>
  <c r="Q142" i="15"/>
  <c r="F142" i="15" s="1"/>
  <c r="J142" i="15" s="1"/>
  <c r="H142" i="15"/>
  <c r="U142" i="15"/>
  <c r="G142" i="15"/>
  <c r="C129" i="10"/>
  <c r="X140" i="21" l="1"/>
  <c r="L140" i="21"/>
  <c r="W140" i="21"/>
  <c r="J129" i="10"/>
  <c r="E129" i="10"/>
  <c r="D129" i="10"/>
  <c r="X142" i="15"/>
  <c r="AA142" i="15"/>
  <c r="W142" i="15"/>
  <c r="E142" i="15"/>
  <c r="D141" i="21" l="1"/>
  <c r="I141" i="21" s="1"/>
  <c r="C141" i="21"/>
  <c r="G129" i="10"/>
  <c r="K142" i="15"/>
  <c r="L142" i="15"/>
  <c r="G141" i="21" l="1"/>
  <c r="P141" i="21"/>
  <c r="O141" i="21"/>
  <c r="Q141" i="21"/>
  <c r="F141" i="21" s="1"/>
  <c r="J141" i="21" s="1"/>
  <c r="H141" i="21"/>
  <c r="N141" i="21"/>
  <c r="U141" i="21"/>
  <c r="T141" i="21"/>
  <c r="H129" i="10"/>
  <c r="F129" i="10"/>
  <c r="D143" i="15"/>
  <c r="I143" i="15" s="1"/>
  <c r="C143" i="15"/>
  <c r="AB141" i="21" l="1"/>
  <c r="W141" i="21" s="1"/>
  <c r="AA141" i="21"/>
  <c r="E141" i="21"/>
  <c r="I129" i="10"/>
  <c r="K129" i="10"/>
  <c r="Q129" i="10"/>
  <c r="C130" i="10" s="1"/>
  <c r="R129" i="10"/>
  <c r="Q143" i="15"/>
  <c r="F143" i="15" s="1"/>
  <c r="H143" i="15"/>
  <c r="G143" i="15"/>
  <c r="N143" i="15"/>
  <c r="P143" i="15"/>
  <c r="T143" i="15"/>
  <c r="O143" i="15"/>
  <c r="U143" i="15"/>
  <c r="L141" i="21" l="1"/>
  <c r="K141" i="21"/>
  <c r="X141" i="21"/>
  <c r="J130" i="10"/>
  <c r="J143" i="15"/>
  <c r="E143" i="15"/>
  <c r="AB143" i="15"/>
  <c r="W143" i="15" s="1"/>
  <c r="AA143" i="15"/>
  <c r="D130" i="10"/>
  <c r="E130" i="10"/>
  <c r="D142" i="21" l="1"/>
  <c r="I142" i="21" s="1"/>
  <c r="C142" i="21"/>
  <c r="G130" i="10"/>
  <c r="K143" i="15"/>
  <c r="X143" i="15"/>
  <c r="L143" i="15"/>
  <c r="T142" i="21" l="1"/>
  <c r="U142" i="21"/>
  <c r="H142" i="21"/>
  <c r="O142" i="21"/>
  <c r="P142" i="21"/>
  <c r="Q142" i="21"/>
  <c r="F142" i="21" s="1"/>
  <c r="J142" i="21" s="1"/>
  <c r="N142" i="21"/>
  <c r="G142" i="21"/>
  <c r="H130" i="10"/>
  <c r="F130" i="10"/>
  <c r="D144" i="15"/>
  <c r="I144" i="15" s="1"/>
  <c r="C144" i="15"/>
  <c r="AB142" i="21" l="1"/>
  <c r="AA142" i="21"/>
  <c r="X142" i="21"/>
  <c r="W142" i="21"/>
  <c r="E142" i="21"/>
  <c r="K130" i="10"/>
  <c r="I130" i="10"/>
  <c r="Q130" i="10"/>
  <c r="R130" i="10"/>
  <c r="H144" i="15"/>
  <c r="T144" i="15"/>
  <c r="U144" i="15"/>
  <c r="Q144" i="15"/>
  <c r="G144" i="15"/>
  <c r="N144" i="15"/>
  <c r="O144" i="15"/>
  <c r="P144" i="15"/>
  <c r="L142" i="21" l="1"/>
  <c r="K142" i="21"/>
  <c r="AB144" i="15"/>
  <c r="W144" i="15" s="1"/>
  <c r="AA144" i="15"/>
  <c r="F144" i="15"/>
  <c r="J144" i="15" s="1"/>
  <c r="X144" i="15"/>
  <c r="C131" i="10"/>
  <c r="D143" i="21" l="1"/>
  <c r="I143" i="21" s="1"/>
  <c r="C143" i="21"/>
  <c r="J131" i="10"/>
  <c r="E144" i="15"/>
  <c r="E131" i="10"/>
  <c r="D131" i="10"/>
  <c r="P143" i="21" l="1"/>
  <c r="N143" i="21"/>
  <c r="T143" i="21"/>
  <c r="G143" i="21"/>
  <c r="O143" i="21"/>
  <c r="Q143" i="21"/>
  <c r="F143" i="21" s="1"/>
  <c r="J143" i="21" s="1"/>
  <c r="H143" i="21"/>
  <c r="U143" i="21"/>
  <c r="G131" i="10"/>
  <c r="L144" i="15"/>
  <c r="K144" i="15"/>
  <c r="AB143" i="21" l="1"/>
  <c r="W143" i="21" s="1"/>
  <c r="AA143" i="21"/>
  <c r="E143" i="21"/>
  <c r="H131" i="10"/>
  <c r="F131" i="10"/>
  <c r="D145" i="15"/>
  <c r="I145" i="15" s="1"/>
  <c r="C145" i="15"/>
  <c r="K143" i="21" l="1"/>
  <c r="L143" i="21"/>
  <c r="X143" i="21"/>
  <c r="I131" i="10"/>
  <c r="K131" i="10"/>
  <c r="Q131" i="10"/>
  <c r="R131" i="10"/>
  <c r="U145" i="15"/>
  <c r="Q145" i="15"/>
  <c r="F145" i="15" s="1"/>
  <c r="P145" i="15"/>
  <c r="H145" i="15"/>
  <c r="N145" i="15"/>
  <c r="G145" i="15"/>
  <c r="O145" i="15"/>
  <c r="T145" i="15"/>
  <c r="D144" i="21" l="1"/>
  <c r="I144" i="21" s="1"/>
  <c r="C144" i="21"/>
  <c r="J145" i="15"/>
  <c r="E145" i="15"/>
  <c r="AB145" i="15"/>
  <c r="X145" i="15" s="1"/>
  <c r="AA145" i="15"/>
  <c r="C132" i="10"/>
  <c r="U144" i="21" l="1"/>
  <c r="G144" i="21"/>
  <c r="Q144" i="21"/>
  <c r="F144" i="21"/>
  <c r="J144" i="21" s="1"/>
  <c r="H144" i="21"/>
  <c r="N144" i="21"/>
  <c r="O144" i="21"/>
  <c r="P144" i="21"/>
  <c r="T144" i="21"/>
  <c r="J132" i="10"/>
  <c r="K145" i="15"/>
  <c r="L145" i="15"/>
  <c r="W145" i="15"/>
  <c r="E132" i="10"/>
  <c r="D132" i="10"/>
  <c r="AB144" i="21" l="1"/>
  <c r="AA144" i="21"/>
  <c r="E144" i="21"/>
  <c r="G132" i="10"/>
  <c r="D146" i="15"/>
  <c r="I146" i="15" s="1"/>
  <c r="C146" i="15"/>
  <c r="K144" i="21" l="1"/>
  <c r="L144" i="21"/>
  <c r="W144" i="21"/>
  <c r="X144" i="21"/>
  <c r="H132" i="10"/>
  <c r="F132" i="10"/>
  <c r="Q146" i="15"/>
  <c r="F146" i="15" s="1"/>
  <c r="J146" i="15" s="1"/>
  <c r="U146" i="15"/>
  <c r="P146" i="15"/>
  <c r="N146" i="15"/>
  <c r="O146" i="15"/>
  <c r="H146" i="15"/>
  <c r="G146" i="15"/>
  <c r="T146" i="15"/>
  <c r="D145" i="21" l="1"/>
  <c r="I145" i="21" s="1"/>
  <c r="C145" i="21"/>
  <c r="K132" i="10"/>
  <c r="I132" i="10"/>
  <c r="Q132" i="10"/>
  <c r="R132" i="10"/>
  <c r="AB146" i="15"/>
  <c r="AA146" i="15"/>
  <c r="E146" i="15"/>
  <c r="U145" i="21" l="1"/>
  <c r="P145" i="21"/>
  <c r="Q145" i="21"/>
  <c r="F145" i="21" s="1"/>
  <c r="J145" i="21" s="1"/>
  <c r="O145" i="21"/>
  <c r="H145" i="21"/>
  <c r="N145" i="21"/>
  <c r="G145" i="21"/>
  <c r="T145" i="21"/>
  <c r="K146" i="15"/>
  <c r="L146" i="15"/>
  <c r="X146" i="15"/>
  <c r="W146" i="15"/>
  <c r="C133" i="10"/>
  <c r="AB145" i="21" l="1"/>
  <c r="W145" i="21" s="1"/>
  <c r="AA145" i="21"/>
  <c r="E145" i="21"/>
  <c r="J133" i="10"/>
  <c r="D147" i="15"/>
  <c r="I147" i="15" s="1"/>
  <c r="C147" i="15"/>
  <c r="E133" i="10"/>
  <c r="D133" i="10"/>
  <c r="L145" i="21" l="1"/>
  <c r="K145" i="21"/>
  <c r="X145" i="21"/>
  <c r="G133" i="10"/>
  <c r="H147" i="15"/>
  <c r="T147" i="15"/>
  <c r="P147" i="15"/>
  <c r="U147" i="15"/>
  <c r="G147" i="15"/>
  <c r="Q147" i="15"/>
  <c r="F147" i="15" s="1"/>
  <c r="N147" i="15"/>
  <c r="O147" i="15"/>
  <c r="D146" i="21" l="1"/>
  <c r="I146" i="21" s="1"/>
  <c r="C146" i="21"/>
  <c r="H133" i="10"/>
  <c r="F133" i="10"/>
  <c r="J147" i="15"/>
  <c r="E147" i="15"/>
  <c r="AB147" i="15"/>
  <c r="W147" i="15" s="1"/>
  <c r="AA147" i="15"/>
  <c r="O146" i="21" l="1"/>
  <c r="Q146" i="21"/>
  <c r="F146" i="21" s="1"/>
  <c r="J146" i="21" s="1"/>
  <c r="P146" i="21"/>
  <c r="T146" i="21"/>
  <c r="N146" i="21"/>
  <c r="G146" i="21"/>
  <c r="U146" i="21"/>
  <c r="H146" i="21"/>
  <c r="I133" i="10"/>
  <c r="K133" i="10"/>
  <c r="Q133" i="10"/>
  <c r="R133" i="10"/>
  <c r="X147" i="15"/>
  <c r="K147" i="15"/>
  <c r="L147" i="15"/>
  <c r="AB146" i="21" l="1"/>
  <c r="W146" i="21" s="1"/>
  <c r="AA146" i="21"/>
  <c r="E146" i="21"/>
  <c r="D148" i="15"/>
  <c r="I148" i="15" s="1"/>
  <c r="C148" i="15"/>
  <c r="C134" i="10"/>
  <c r="L146" i="21" l="1"/>
  <c r="K146" i="21"/>
  <c r="X146" i="21"/>
  <c r="J134" i="10"/>
  <c r="E134" i="10"/>
  <c r="D134" i="10"/>
  <c r="N148" i="15"/>
  <c r="U148" i="15"/>
  <c r="H148" i="15"/>
  <c r="G148" i="15"/>
  <c r="P148" i="15"/>
  <c r="O148" i="15"/>
  <c r="T148" i="15"/>
  <c r="Q148" i="15"/>
  <c r="D147" i="21" l="1"/>
  <c r="I147" i="21" s="1"/>
  <c r="C147" i="21"/>
  <c r="G134" i="10"/>
  <c r="F148" i="15"/>
  <c r="J148" i="15" s="1"/>
  <c r="AB148" i="15"/>
  <c r="W148" i="15" s="1"/>
  <c r="AA148" i="15"/>
  <c r="U147" i="21" l="1"/>
  <c r="N147" i="21"/>
  <c r="Q147" i="21"/>
  <c r="F147" i="21" s="1"/>
  <c r="J147" i="21" s="1"/>
  <c r="T147" i="21"/>
  <c r="G147" i="21"/>
  <c r="O147" i="21"/>
  <c r="P147" i="21"/>
  <c r="H147" i="21"/>
  <c r="H134" i="10"/>
  <c r="F134" i="10"/>
  <c r="E148" i="15"/>
  <c r="L148" i="15" s="1"/>
  <c r="X148" i="15"/>
  <c r="AB147" i="21" l="1"/>
  <c r="X147" i="21" s="1"/>
  <c r="AA147" i="21"/>
  <c r="E147" i="21"/>
  <c r="W147" i="21"/>
  <c r="I134" i="10"/>
  <c r="K134" i="10"/>
  <c r="Q134" i="10"/>
  <c r="R134" i="10"/>
  <c r="K148" i="15"/>
  <c r="D149" i="15"/>
  <c r="I149" i="15" s="1"/>
  <c r="C149" i="15"/>
  <c r="K147" i="21" l="1"/>
  <c r="L147" i="21"/>
  <c r="C135" i="10"/>
  <c r="O149" i="15"/>
  <c r="N149" i="15"/>
  <c r="U149" i="15"/>
  <c r="H149" i="15"/>
  <c r="P149" i="15"/>
  <c r="Q149" i="15"/>
  <c r="F149" i="15" s="1"/>
  <c r="J149" i="15" s="1"/>
  <c r="G149" i="15"/>
  <c r="T149" i="15"/>
  <c r="D148" i="21" l="1"/>
  <c r="I148" i="21" s="1"/>
  <c r="C148" i="21"/>
  <c r="J135" i="10"/>
  <c r="E135" i="10"/>
  <c r="E149" i="15"/>
  <c r="K149" i="15" s="1"/>
  <c r="AB149" i="15"/>
  <c r="W149" i="15" s="1"/>
  <c r="AA149" i="15"/>
  <c r="Q148" i="21" l="1"/>
  <c r="N148" i="21"/>
  <c r="O148" i="21"/>
  <c r="H148" i="21"/>
  <c r="U148" i="21"/>
  <c r="T148" i="21"/>
  <c r="P148" i="21"/>
  <c r="G148" i="21"/>
  <c r="F148" i="21"/>
  <c r="J148" i="21" s="1"/>
  <c r="E148" i="21"/>
  <c r="K148" i="21" s="1"/>
  <c r="G135" i="10"/>
  <c r="D135" i="10"/>
  <c r="L149" i="15"/>
  <c r="X149" i="15"/>
  <c r="AB148" i="21" l="1"/>
  <c r="W148" i="21" s="1"/>
  <c r="AA148" i="21"/>
  <c r="F135" i="10"/>
  <c r="H135" i="10"/>
  <c r="D150" i="15"/>
  <c r="I150" i="15" s="1"/>
  <c r="C150" i="15"/>
  <c r="L148" i="21" l="1"/>
  <c r="X148" i="21"/>
  <c r="K135" i="10"/>
  <c r="I135" i="10"/>
  <c r="Q135" i="10"/>
  <c r="C136" i="10" s="1"/>
  <c r="R135" i="10"/>
  <c r="O150" i="15"/>
  <c r="T150" i="15"/>
  <c r="Q150" i="15"/>
  <c r="F150" i="15" s="1"/>
  <c r="U150" i="15"/>
  <c r="G150" i="15"/>
  <c r="P150" i="15"/>
  <c r="H150" i="15"/>
  <c r="N150" i="15"/>
  <c r="D149" i="21" l="1"/>
  <c r="I149" i="21" s="1"/>
  <c r="C149" i="21"/>
  <c r="J136" i="10"/>
  <c r="J150" i="15"/>
  <c r="E150" i="15"/>
  <c r="AB150" i="15"/>
  <c r="W150" i="15" s="1"/>
  <c r="AA150" i="15"/>
  <c r="E136" i="10"/>
  <c r="D136" i="10"/>
  <c r="T149" i="21" l="1"/>
  <c r="H149" i="21"/>
  <c r="Q149" i="21"/>
  <c r="F149" i="21" s="1"/>
  <c r="J149" i="21" s="1"/>
  <c r="G149" i="21"/>
  <c r="U149" i="21"/>
  <c r="O149" i="21"/>
  <c r="P149" i="21"/>
  <c r="N149" i="21"/>
  <c r="G136" i="10"/>
  <c r="X150" i="15"/>
  <c r="K150" i="15"/>
  <c r="L150" i="15"/>
  <c r="AA149" i="21" l="1"/>
  <c r="AB149" i="21"/>
  <c r="W149" i="21" s="1"/>
  <c r="E149" i="21"/>
  <c r="H136" i="10"/>
  <c r="F136" i="10"/>
  <c r="D151" i="15"/>
  <c r="I151" i="15" s="1"/>
  <c r="C151" i="15"/>
  <c r="K149" i="21" l="1"/>
  <c r="L149" i="21"/>
  <c r="X149" i="21"/>
  <c r="K136" i="10"/>
  <c r="I136" i="10"/>
  <c r="Q136" i="10"/>
  <c r="R136" i="10"/>
  <c r="P151" i="15"/>
  <c r="G151" i="15"/>
  <c r="Q151" i="15"/>
  <c r="F151" i="15" s="1"/>
  <c r="H151" i="15"/>
  <c r="O151" i="15"/>
  <c r="U151" i="15"/>
  <c r="T151" i="15"/>
  <c r="N151" i="15"/>
  <c r="D150" i="21" l="1"/>
  <c r="I150" i="21" s="1"/>
  <c r="C150" i="21"/>
  <c r="J151" i="15"/>
  <c r="E151" i="15"/>
  <c r="AB151" i="15"/>
  <c r="W151" i="15" s="1"/>
  <c r="AA151" i="15"/>
  <c r="C137" i="10"/>
  <c r="G150" i="21" l="1"/>
  <c r="U150" i="21"/>
  <c r="P150" i="21"/>
  <c r="N150" i="21"/>
  <c r="T150" i="21"/>
  <c r="Q150" i="21"/>
  <c r="F150" i="21" s="1"/>
  <c r="J150" i="21" s="1"/>
  <c r="O150" i="21"/>
  <c r="H150" i="21"/>
  <c r="J137" i="10"/>
  <c r="X151" i="15"/>
  <c r="L151" i="15"/>
  <c r="K151" i="15"/>
  <c r="E137" i="10"/>
  <c r="D137" i="10"/>
  <c r="AB150" i="21" l="1"/>
  <c r="W150" i="21" s="1"/>
  <c r="AA150" i="21"/>
  <c r="E150" i="21"/>
  <c r="X150" i="21"/>
  <c r="G137" i="10"/>
  <c r="D152" i="15"/>
  <c r="I152" i="15" s="1"/>
  <c r="C152" i="15"/>
  <c r="L150" i="21" l="1"/>
  <c r="K150" i="21"/>
  <c r="H137" i="10"/>
  <c r="F137" i="10"/>
  <c r="Q152" i="15"/>
  <c r="H152" i="15"/>
  <c r="G152" i="15"/>
  <c r="N152" i="15"/>
  <c r="T152" i="15"/>
  <c r="U152" i="15"/>
  <c r="O152" i="15"/>
  <c r="P152" i="15"/>
  <c r="D151" i="21" l="1"/>
  <c r="I151" i="21" s="1"/>
  <c r="C151" i="21"/>
  <c r="I137" i="10"/>
  <c r="K137" i="10"/>
  <c r="Q137" i="10"/>
  <c r="R137" i="10"/>
  <c r="AB152" i="15"/>
  <c r="W152" i="15" s="1"/>
  <c r="AA152" i="15"/>
  <c r="F152" i="15"/>
  <c r="J152" i="15" s="1"/>
  <c r="Q151" i="21" l="1"/>
  <c r="U151" i="21"/>
  <c r="G151" i="21"/>
  <c r="N151" i="21"/>
  <c r="O151" i="21"/>
  <c r="H151" i="21"/>
  <c r="P151" i="21"/>
  <c r="T151" i="21"/>
  <c r="F151" i="21"/>
  <c r="J151" i="21" s="1"/>
  <c r="E151" i="21"/>
  <c r="X152" i="15"/>
  <c r="E152" i="15"/>
  <c r="C138" i="10"/>
  <c r="K151" i="21" l="1"/>
  <c r="AB151" i="21"/>
  <c r="X151" i="21" s="1"/>
  <c r="AA151" i="21"/>
  <c r="J138" i="10"/>
  <c r="K152" i="15"/>
  <c r="L152" i="15"/>
  <c r="E138" i="10"/>
  <c r="D138" i="10"/>
  <c r="L151" i="21" l="1"/>
  <c r="W151" i="21"/>
  <c r="G138" i="10"/>
  <c r="D153" i="15"/>
  <c r="I153" i="15" s="1"/>
  <c r="C153" i="15"/>
  <c r="D152" i="21" l="1"/>
  <c r="I152" i="21" s="1"/>
  <c r="C152" i="21"/>
  <c r="F138" i="10"/>
  <c r="H138" i="10"/>
  <c r="T153" i="15"/>
  <c r="H153" i="15"/>
  <c r="N153" i="15"/>
  <c r="G153" i="15"/>
  <c r="P153" i="15"/>
  <c r="O153" i="15"/>
  <c r="U153" i="15"/>
  <c r="Q153" i="15"/>
  <c r="F153" i="15" s="1"/>
  <c r="J153" i="15" s="1"/>
  <c r="T152" i="21" l="1"/>
  <c r="P152" i="21"/>
  <c r="Q152" i="21"/>
  <c r="F152" i="21" s="1"/>
  <c r="J152" i="21" s="1"/>
  <c r="O152" i="21"/>
  <c r="H152" i="21"/>
  <c r="U152" i="21"/>
  <c r="G152" i="21"/>
  <c r="N152" i="21"/>
  <c r="K138" i="10"/>
  <c r="I138" i="10"/>
  <c r="Q138" i="10"/>
  <c r="R138" i="10"/>
  <c r="E153" i="15"/>
  <c r="AB153" i="15"/>
  <c r="X153" i="15" s="1"/>
  <c r="AA153" i="15"/>
  <c r="W153" i="15"/>
  <c r="AB152" i="21" l="1"/>
  <c r="W152" i="21" s="1"/>
  <c r="AA152" i="21"/>
  <c r="E152" i="21"/>
  <c r="L153" i="15"/>
  <c r="K153" i="15"/>
  <c r="C139" i="10"/>
  <c r="L152" i="21" l="1"/>
  <c r="K152" i="21"/>
  <c r="X152" i="21"/>
  <c r="J139" i="10"/>
  <c r="D154" i="15"/>
  <c r="I154" i="15" s="1"/>
  <c r="C154" i="15"/>
  <c r="E139" i="10"/>
  <c r="D139" i="10"/>
  <c r="D153" i="21" l="1"/>
  <c r="I153" i="21" s="1"/>
  <c r="C153" i="21"/>
  <c r="G139" i="10"/>
  <c r="P154" i="15"/>
  <c r="T154" i="15"/>
  <c r="H154" i="15"/>
  <c r="Q154" i="15"/>
  <c r="F154" i="15" s="1"/>
  <c r="G154" i="15"/>
  <c r="N154" i="15"/>
  <c r="U154" i="15"/>
  <c r="O154" i="15"/>
  <c r="N153" i="21" l="1"/>
  <c r="G153" i="21"/>
  <c r="T153" i="21"/>
  <c r="U153" i="21"/>
  <c r="H153" i="21"/>
  <c r="P153" i="21"/>
  <c r="Q153" i="21"/>
  <c r="F153" i="21" s="1"/>
  <c r="J153" i="21" s="1"/>
  <c r="O153" i="21"/>
  <c r="H139" i="10"/>
  <c r="F139" i="10"/>
  <c r="J154" i="15"/>
  <c r="E154" i="15"/>
  <c r="AB154" i="15"/>
  <c r="X154" i="15" s="1"/>
  <c r="AA154" i="15"/>
  <c r="E153" i="21" l="1"/>
  <c r="AB153" i="21"/>
  <c r="X153" i="21" s="1"/>
  <c r="AA153" i="21"/>
  <c r="K139" i="10"/>
  <c r="I139" i="10"/>
  <c r="Q139" i="10"/>
  <c r="R139" i="10"/>
  <c r="L154" i="15"/>
  <c r="K154" i="15"/>
  <c r="W154" i="15"/>
  <c r="K153" i="21" l="1"/>
  <c r="L153" i="21"/>
  <c r="W153" i="21"/>
  <c r="D155" i="15"/>
  <c r="I155" i="15" s="1"/>
  <c r="C155" i="15"/>
  <c r="C140" i="10"/>
  <c r="D154" i="21" l="1"/>
  <c r="I154" i="21" s="1"/>
  <c r="C154" i="21"/>
  <c r="J140" i="10"/>
  <c r="T155" i="15"/>
  <c r="Q155" i="15"/>
  <c r="F155" i="15" s="1"/>
  <c r="J155" i="15" s="1"/>
  <c r="U155" i="15"/>
  <c r="P155" i="15"/>
  <c r="G155" i="15"/>
  <c r="O155" i="15"/>
  <c r="N155" i="15"/>
  <c r="H155" i="15"/>
  <c r="E140" i="10"/>
  <c r="D140" i="10"/>
  <c r="Q154" i="21" l="1"/>
  <c r="N154" i="21"/>
  <c r="U154" i="21"/>
  <c r="T154" i="21"/>
  <c r="H154" i="21"/>
  <c r="P154" i="21"/>
  <c r="G154" i="21"/>
  <c r="O154" i="21"/>
  <c r="F154" i="21"/>
  <c r="J154" i="21" s="1"/>
  <c r="E154" i="21"/>
  <c r="K154" i="21" s="1"/>
  <c r="G140" i="10"/>
  <c r="AB155" i="15"/>
  <c r="W155" i="15" s="1"/>
  <c r="AA155" i="15"/>
  <c r="E155" i="15"/>
  <c r="AB154" i="21" l="1"/>
  <c r="X154" i="21" s="1"/>
  <c r="AA154" i="21"/>
  <c r="H140" i="10"/>
  <c r="F140" i="10"/>
  <c r="K155" i="15"/>
  <c r="L155" i="15"/>
  <c r="X155" i="15"/>
  <c r="W154" i="21" l="1"/>
  <c r="L154" i="21"/>
  <c r="I140" i="10"/>
  <c r="K140" i="10"/>
  <c r="Q140" i="10"/>
  <c r="R140" i="10"/>
  <c r="D156" i="15"/>
  <c r="I156" i="15" s="1"/>
  <c r="C156" i="15"/>
  <c r="D155" i="21" l="1"/>
  <c r="I155" i="21" s="1"/>
  <c r="C155" i="21"/>
  <c r="N156" i="15"/>
  <c r="P156" i="15"/>
  <c r="G156" i="15"/>
  <c r="U156" i="15"/>
  <c r="Q156" i="15"/>
  <c r="F156" i="15" s="1"/>
  <c r="J156" i="15" s="1"/>
  <c r="H156" i="15"/>
  <c r="O156" i="15"/>
  <c r="T156" i="15"/>
  <c r="C141" i="10"/>
  <c r="U155" i="21" l="1"/>
  <c r="Q155" i="21"/>
  <c r="F155" i="21" s="1"/>
  <c r="J155" i="21" s="1"/>
  <c r="H155" i="21"/>
  <c r="G155" i="21"/>
  <c r="T155" i="21"/>
  <c r="O155" i="21"/>
  <c r="P155" i="21"/>
  <c r="N155" i="21"/>
  <c r="J141" i="10"/>
  <c r="E156" i="15"/>
  <c r="AB156" i="15"/>
  <c r="X156" i="15" s="1"/>
  <c r="AA156" i="15"/>
  <c r="E141" i="10"/>
  <c r="D141" i="10"/>
  <c r="AB155" i="21" l="1"/>
  <c r="AA155" i="21"/>
  <c r="E155" i="21"/>
  <c r="K155" i="21" s="1"/>
  <c r="G141" i="10"/>
  <c r="W156" i="15"/>
  <c r="L156" i="15"/>
  <c r="K156" i="15"/>
  <c r="L155" i="21" l="1"/>
  <c r="X155" i="21"/>
  <c r="W155" i="21"/>
  <c r="H141" i="10"/>
  <c r="F141" i="10"/>
  <c r="D157" i="15"/>
  <c r="I157" i="15" s="1"/>
  <c r="C157" i="15"/>
  <c r="D156" i="21" l="1"/>
  <c r="I156" i="21" s="1"/>
  <c r="C156" i="21"/>
  <c r="I141" i="10"/>
  <c r="K141" i="10"/>
  <c r="Q141" i="10"/>
  <c r="R141" i="10"/>
  <c r="O157" i="15"/>
  <c r="G157" i="15"/>
  <c r="Q157" i="15"/>
  <c r="F157" i="15" s="1"/>
  <c r="J157" i="15" s="1"/>
  <c r="P157" i="15"/>
  <c r="H157" i="15"/>
  <c r="T157" i="15"/>
  <c r="N157" i="15"/>
  <c r="U157" i="15"/>
  <c r="P156" i="21" l="1"/>
  <c r="G156" i="21"/>
  <c r="H156" i="21"/>
  <c r="Q156" i="21"/>
  <c r="O156" i="21"/>
  <c r="U156" i="21"/>
  <c r="T156" i="21"/>
  <c r="N156" i="21"/>
  <c r="E157" i="15"/>
  <c r="AB157" i="15"/>
  <c r="W157" i="15" s="1"/>
  <c r="AA157" i="15"/>
  <c r="C142" i="10"/>
  <c r="E156" i="21" l="1"/>
  <c r="AB156" i="21"/>
  <c r="W156" i="21" s="1"/>
  <c r="AA156" i="21"/>
  <c r="F156" i="21"/>
  <c r="J156" i="21" s="1"/>
  <c r="J142" i="10"/>
  <c r="X157" i="15"/>
  <c r="K157" i="15"/>
  <c r="L157" i="15"/>
  <c r="E142" i="10"/>
  <c r="G142" i="10" s="1"/>
  <c r="D142" i="10"/>
  <c r="K156" i="21" l="1"/>
  <c r="L156" i="21"/>
  <c r="X156" i="21"/>
  <c r="H142" i="10"/>
  <c r="F142" i="10"/>
  <c r="D158" i="15"/>
  <c r="I158" i="15" s="1"/>
  <c r="C158" i="15"/>
  <c r="D157" i="21" l="1"/>
  <c r="I157" i="21" s="1"/>
  <c r="C157" i="21"/>
  <c r="K142" i="10"/>
  <c r="I142" i="10"/>
  <c r="Q142" i="10"/>
  <c r="H158" i="15"/>
  <c r="O158" i="15"/>
  <c r="N158" i="15"/>
  <c r="U158" i="15"/>
  <c r="G158" i="15"/>
  <c r="P158" i="15"/>
  <c r="T158" i="15"/>
  <c r="Q158" i="15"/>
  <c r="F158" i="15" s="1"/>
  <c r="J158" i="15" s="1"/>
  <c r="P157" i="21" l="1"/>
  <c r="Q157" i="21"/>
  <c r="F157" i="21" s="1"/>
  <c r="J157" i="21" s="1"/>
  <c r="N157" i="21"/>
  <c r="H157" i="21"/>
  <c r="G157" i="21"/>
  <c r="U157" i="21"/>
  <c r="O157" i="21"/>
  <c r="T157" i="21"/>
  <c r="R142" i="10"/>
  <c r="AA158" i="15"/>
  <c r="AB158" i="15"/>
  <c r="X158" i="15" s="1"/>
  <c r="E158" i="15"/>
  <c r="W157" i="21" l="1"/>
  <c r="E157" i="21"/>
  <c r="AB157" i="21"/>
  <c r="AA157" i="21"/>
  <c r="X157" i="21"/>
  <c r="L158" i="15"/>
  <c r="K158" i="15"/>
  <c r="W158" i="15"/>
  <c r="C143" i="10"/>
  <c r="K157" i="21" l="1"/>
  <c r="L157" i="21"/>
  <c r="J143" i="10"/>
  <c r="D159" i="15"/>
  <c r="I159" i="15" s="1"/>
  <c r="C159" i="15"/>
  <c r="E143" i="10"/>
  <c r="D143" i="10"/>
  <c r="D158" i="21" l="1"/>
  <c r="I158" i="21" s="1"/>
  <c r="C158" i="21"/>
  <c r="G143" i="10"/>
  <c r="T159" i="15"/>
  <c r="N159" i="15"/>
  <c r="P159" i="15"/>
  <c r="G159" i="15"/>
  <c r="O159" i="15"/>
  <c r="U159" i="15"/>
  <c r="Q159" i="15"/>
  <c r="F159" i="15" s="1"/>
  <c r="J159" i="15" s="1"/>
  <c r="H159" i="15"/>
  <c r="H158" i="21" l="1"/>
  <c r="Q158" i="21"/>
  <c r="F158" i="21" s="1"/>
  <c r="O158" i="21"/>
  <c r="P158" i="21"/>
  <c r="N158" i="21"/>
  <c r="U158" i="21"/>
  <c r="G158" i="21"/>
  <c r="T158" i="21"/>
  <c r="H143" i="10"/>
  <c r="F143" i="10"/>
  <c r="E159" i="15"/>
  <c r="AB159" i="15"/>
  <c r="W159" i="15" s="1"/>
  <c r="AA159" i="15"/>
  <c r="J158" i="21" l="1"/>
  <c r="E158" i="21"/>
  <c r="AB158" i="21"/>
  <c r="W158" i="21" s="1"/>
  <c r="AA158" i="21"/>
  <c r="I143" i="10"/>
  <c r="K143" i="10"/>
  <c r="Q143" i="10"/>
  <c r="R143" i="10"/>
  <c r="L159" i="15"/>
  <c r="K159" i="15"/>
  <c r="X159" i="15"/>
  <c r="L158" i="21" l="1"/>
  <c r="K158" i="21"/>
  <c r="X158" i="21"/>
  <c r="D160" i="15"/>
  <c r="I160" i="15" s="1"/>
  <c r="C160" i="15"/>
  <c r="C144" i="10"/>
  <c r="D159" i="21" l="1"/>
  <c r="I159" i="21" s="1"/>
  <c r="C159" i="21"/>
  <c r="J144" i="10"/>
  <c r="E144" i="10"/>
  <c r="H160" i="15"/>
  <c r="G160" i="15"/>
  <c r="U160" i="15"/>
  <c r="T160" i="15"/>
  <c r="P160" i="15"/>
  <c r="O160" i="15"/>
  <c r="Q160" i="15"/>
  <c r="F160" i="15" s="1"/>
  <c r="N160" i="15"/>
  <c r="D144" i="10"/>
  <c r="N159" i="21" l="1"/>
  <c r="T159" i="21"/>
  <c r="H159" i="21"/>
  <c r="O159" i="21"/>
  <c r="G159" i="21"/>
  <c r="P159" i="21"/>
  <c r="Q159" i="21"/>
  <c r="F159" i="21" s="1"/>
  <c r="J159" i="21" s="1"/>
  <c r="U159" i="21"/>
  <c r="G144" i="10"/>
  <c r="J160" i="15"/>
  <c r="E160" i="15"/>
  <c r="AB160" i="15"/>
  <c r="W160" i="15" s="1"/>
  <c r="AA160" i="15"/>
  <c r="E159" i="21" l="1"/>
  <c r="AB159" i="21"/>
  <c r="X159" i="21" s="1"/>
  <c r="AA159" i="21"/>
  <c r="H144" i="10"/>
  <c r="F144" i="10"/>
  <c r="X160" i="15"/>
  <c r="L160" i="15"/>
  <c r="K160" i="15"/>
  <c r="L159" i="21" l="1"/>
  <c r="K159" i="21"/>
  <c r="W159" i="21"/>
  <c r="K144" i="10"/>
  <c r="I144" i="10"/>
  <c r="Q144" i="10"/>
  <c r="C145" i="10" s="1"/>
  <c r="R144" i="10"/>
  <c r="D161" i="15"/>
  <c r="I161" i="15" s="1"/>
  <c r="C161" i="15"/>
  <c r="D160" i="21" l="1"/>
  <c r="I160" i="21" s="1"/>
  <c r="C160" i="21"/>
  <c r="J145" i="10"/>
  <c r="E145" i="10"/>
  <c r="D145" i="10"/>
  <c r="N161" i="15"/>
  <c r="G161" i="15"/>
  <c r="Q161" i="15"/>
  <c r="F161" i="15" s="1"/>
  <c r="P161" i="15"/>
  <c r="O161" i="15"/>
  <c r="H161" i="15"/>
  <c r="U161" i="15"/>
  <c r="T161" i="15"/>
  <c r="O160" i="21" l="1"/>
  <c r="N160" i="21"/>
  <c r="G160" i="21"/>
  <c r="U160" i="21"/>
  <c r="T160" i="21"/>
  <c r="H160" i="21"/>
  <c r="P160" i="21"/>
  <c r="Q160" i="21"/>
  <c r="G145" i="10"/>
  <c r="J161" i="15"/>
  <c r="E161" i="15"/>
  <c r="AB161" i="15"/>
  <c r="W161" i="15" s="1"/>
  <c r="AA161" i="15"/>
  <c r="F160" i="21" l="1"/>
  <c r="J160" i="21" s="1"/>
  <c r="AB160" i="21"/>
  <c r="W160" i="21" s="1"/>
  <c r="AA160" i="21"/>
  <c r="H145" i="10"/>
  <c r="F145" i="10"/>
  <c r="X161" i="15"/>
  <c r="L161" i="15"/>
  <c r="K161" i="15"/>
  <c r="X160" i="21" l="1"/>
  <c r="E160" i="21"/>
  <c r="K145" i="10"/>
  <c r="I145" i="10"/>
  <c r="Q145" i="10"/>
  <c r="C146" i="10" s="1"/>
  <c r="R145" i="10"/>
  <c r="D162" i="15"/>
  <c r="I162" i="15" s="1"/>
  <c r="C162" i="15"/>
  <c r="K160" i="21" l="1"/>
  <c r="L160" i="21"/>
  <c r="J146" i="10"/>
  <c r="H162" i="15"/>
  <c r="O162" i="15"/>
  <c r="N162" i="15"/>
  <c r="T162" i="15"/>
  <c r="U162" i="15"/>
  <c r="Q162" i="15"/>
  <c r="F162" i="15" s="1"/>
  <c r="J162" i="15" s="1"/>
  <c r="P162" i="15"/>
  <c r="G162" i="15"/>
  <c r="E146" i="10"/>
  <c r="D146" i="10"/>
  <c r="D161" i="21" l="1"/>
  <c r="I161" i="21" s="1"/>
  <c r="C161" i="21"/>
  <c r="G146" i="10"/>
  <c r="AB162" i="15"/>
  <c r="W162" i="15" s="1"/>
  <c r="AA162" i="15"/>
  <c r="E162" i="15"/>
  <c r="N161" i="21" l="1"/>
  <c r="O161" i="21"/>
  <c r="U161" i="21"/>
  <c r="Q161" i="21"/>
  <c r="F161" i="21" s="1"/>
  <c r="J161" i="21" s="1"/>
  <c r="H161" i="21"/>
  <c r="G161" i="21"/>
  <c r="T161" i="21"/>
  <c r="P161" i="21"/>
  <c r="H146" i="10"/>
  <c r="F146" i="10"/>
  <c r="X162" i="15"/>
  <c r="K162" i="15"/>
  <c r="L162" i="15"/>
  <c r="E161" i="21" l="1"/>
  <c r="AB161" i="21"/>
  <c r="X161" i="21" s="1"/>
  <c r="AA161" i="21"/>
  <c r="I146" i="10"/>
  <c r="K146" i="10"/>
  <c r="Q146" i="10"/>
  <c r="R146" i="10"/>
  <c r="C163" i="15"/>
  <c r="D163" i="15"/>
  <c r="I163" i="15" s="1"/>
  <c r="L161" i="21" l="1"/>
  <c r="K161" i="21"/>
  <c r="W161" i="21"/>
  <c r="P163" i="15"/>
  <c r="U163" i="15"/>
  <c r="G163" i="15"/>
  <c r="T163" i="15"/>
  <c r="Q163" i="15"/>
  <c r="F163" i="15" s="1"/>
  <c r="O163" i="15"/>
  <c r="N163" i="15"/>
  <c r="H163" i="15"/>
  <c r="C147" i="10"/>
  <c r="D162" i="21" l="1"/>
  <c r="I162" i="21" s="1"/>
  <c r="C162" i="21"/>
  <c r="J147" i="10"/>
  <c r="J163" i="15"/>
  <c r="E163" i="15"/>
  <c r="AB163" i="15"/>
  <c r="W163" i="15" s="1"/>
  <c r="AA163" i="15"/>
  <c r="E147" i="10"/>
  <c r="D147" i="10"/>
  <c r="T162" i="21" l="1"/>
  <c r="P162" i="21"/>
  <c r="G162" i="21"/>
  <c r="Q162" i="21"/>
  <c r="F162" i="21" s="1"/>
  <c r="J162" i="21" s="1"/>
  <c r="U162" i="21"/>
  <c r="N162" i="21"/>
  <c r="H162" i="21"/>
  <c r="O162" i="21"/>
  <c r="G147" i="10"/>
  <c r="X163" i="15"/>
  <c r="L163" i="15"/>
  <c r="K163" i="15"/>
  <c r="AB162" i="21" l="1"/>
  <c r="X162" i="21" s="1"/>
  <c r="AA162" i="21"/>
  <c r="E162" i="21"/>
  <c r="H147" i="10"/>
  <c r="F147" i="10"/>
  <c r="D164" i="15"/>
  <c r="I164" i="15" s="1"/>
  <c r="C164" i="15"/>
  <c r="L162" i="21" l="1"/>
  <c r="K162" i="21"/>
  <c r="W162" i="21"/>
  <c r="I147" i="10"/>
  <c r="K147" i="10"/>
  <c r="Q147" i="10"/>
  <c r="R147" i="10"/>
  <c r="H164" i="15"/>
  <c r="T164" i="15"/>
  <c r="Q164" i="15"/>
  <c r="F164" i="15" s="1"/>
  <c r="U164" i="15"/>
  <c r="N164" i="15"/>
  <c r="G164" i="15"/>
  <c r="P164" i="15"/>
  <c r="O164" i="15"/>
  <c r="D163" i="21" l="1"/>
  <c r="I163" i="21" s="1"/>
  <c r="C163" i="21"/>
  <c r="J164" i="15"/>
  <c r="E164" i="15"/>
  <c r="AB164" i="15"/>
  <c r="W164" i="15" s="1"/>
  <c r="AA164" i="15"/>
  <c r="C148" i="10"/>
  <c r="U163" i="21" l="1"/>
  <c r="G163" i="21"/>
  <c r="H163" i="21"/>
  <c r="P163" i="21"/>
  <c r="Q163" i="21"/>
  <c r="F163" i="21" s="1"/>
  <c r="J163" i="21" s="1"/>
  <c r="N163" i="21"/>
  <c r="O163" i="21"/>
  <c r="T163" i="21"/>
  <c r="J148" i="10"/>
  <c r="L164" i="15"/>
  <c r="K164" i="15"/>
  <c r="X164" i="15"/>
  <c r="E148" i="10"/>
  <c r="D148" i="10"/>
  <c r="AB163" i="21" l="1"/>
  <c r="X163" i="21" s="1"/>
  <c r="AA163" i="21"/>
  <c r="E163" i="21"/>
  <c r="G148" i="10"/>
  <c r="D165" i="15"/>
  <c r="I165" i="15" s="1"/>
  <c r="C165" i="15"/>
  <c r="L163" i="21" l="1"/>
  <c r="K163" i="21"/>
  <c r="W163" i="21"/>
  <c r="H148" i="10"/>
  <c r="F148" i="10"/>
  <c r="T165" i="15"/>
  <c r="H165" i="15"/>
  <c r="O165" i="15"/>
  <c r="N165" i="15"/>
  <c r="G165" i="15"/>
  <c r="U165" i="15"/>
  <c r="P165" i="15"/>
  <c r="Q165" i="15"/>
  <c r="D164" i="21" l="1"/>
  <c r="I164" i="21" s="1"/>
  <c r="C164" i="21"/>
  <c r="I148" i="10"/>
  <c r="K148" i="10"/>
  <c r="Q148" i="10"/>
  <c r="R148" i="10"/>
  <c r="AB165" i="15"/>
  <c r="X165" i="15" s="1"/>
  <c r="AA165" i="15"/>
  <c r="F165" i="15"/>
  <c r="J165" i="15" s="1"/>
  <c r="G164" i="21" l="1"/>
  <c r="P164" i="21"/>
  <c r="N164" i="21"/>
  <c r="H164" i="21"/>
  <c r="Q164" i="21"/>
  <c r="F164" i="21" s="1"/>
  <c r="T164" i="21"/>
  <c r="O164" i="21"/>
  <c r="U164" i="21"/>
  <c r="W165" i="15"/>
  <c r="E165" i="15"/>
  <c r="C149" i="10"/>
  <c r="J164" i="21" l="1"/>
  <c r="E164" i="21"/>
  <c r="AB164" i="21"/>
  <c r="W164" i="21" s="1"/>
  <c r="AA164" i="21"/>
  <c r="X164" i="21"/>
  <c r="J149" i="10"/>
  <c r="L165" i="15"/>
  <c r="K165" i="15"/>
  <c r="E149" i="10"/>
  <c r="D149" i="10"/>
  <c r="K164" i="21" l="1"/>
  <c r="L164" i="21"/>
  <c r="G149" i="10"/>
  <c r="D166" i="15"/>
  <c r="I166" i="15" s="1"/>
  <c r="C166" i="15"/>
  <c r="D165" i="21" l="1"/>
  <c r="I165" i="21" s="1"/>
  <c r="C165" i="21"/>
  <c r="H149" i="10"/>
  <c r="F149" i="10"/>
  <c r="H166" i="15"/>
  <c r="G166" i="15"/>
  <c r="U166" i="15"/>
  <c r="O166" i="15"/>
  <c r="T166" i="15"/>
  <c r="Q166" i="15"/>
  <c r="F166" i="15" s="1"/>
  <c r="P166" i="15"/>
  <c r="N166" i="15"/>
  <c r="H165" i="21" l="1"/>
  <c r="Q165" i="21"/>
  <c r="F165" i="21" s="1"/>
  <c r="J165" i="21" s="1"/>
  <c r="U165" i="21"/>
  <c r="O165" i="21"/>
  <c r="G165" i="21"/>
  <c r="N165" i="21"/>
  <c r="T165" i="21"/>
  <c r="P165" i="21"/>
  <c r="E165" i="21"/>
  <c r="I149" i="10"/>
  <c r="K149" i="10"/>
  <c r="Q149" i="10"/>
  <c r="R149" i="10"/>
  <c r="J166" i="15"/>
  <c r="E166" i="15"/>
  <c r="AB166" i="15"/>
  <c r="W166" i="15" s="1"/>
  <c r="AA166" i="15"/>
  <c r="AB165" i="21" l="1"/>
  <c r="AA165" i="21"/>
  <c r="K165" i="21"/>
  <c r="K166" i="15"/>
  <c r="L166" i="15"/>
  <c r="X166" i="15"/>
  <c r="C150" i="10"/>
  <c r="W165" i="21" l="1"/>
  <c r="X165" i="21"/>
  <c r="L165" i="21"/>
  <c r="J150" i="10"/>
  <c r="D167" i="15"/>
  <c r="I167" i="15" s="1"/>
  <c r="C167" i="15"/>
  <c r="E150" i="10"/>
  <c r="D150" i="10"/>
  <c r="D166" i="21" l="1"/>
  <c r="I166" i="21" s="1"/>
  <c r="C166" i="21"/>
  <c r="G150" i="10"/>
  <c r="U167" i="15"/>
  <c r="H167" i="15"/>
  <c r="T167" i="15"/>
  <c r="N167" i="15"/>
  <c r="P167" i="15"/>
  <c r="G167" i="15"/>
  <c r="Q167" i="15"/>
  <c r="O167" i="15"/>
  <c r="Q166" i="21" l="1"/>
  <c r="F166" i="21" s="1"/>
  <c r="J166" i="21" s="1"/>
  <c r="O166" i="21"/>
  <c r="N166" i="21"/>
  <c r="H166" i="21"/>
  <c r="G166" i="21"/>
  <c r="U166" i="21"/>
  <c r="T166" i="21"/>
  <c r="P166" i="21"/>
  <c r="E166" i="21"/>
  <c r="F150" i="10"/>
  <c r="H150" i="10"/>
  <c r="F167" i="15"/>
  <c r="E167" i="15" s="1"/>
  <c r="AB167" i="15"/>
  <c r="AA167" i="15"/>
  <c r="K166" i="21" l="1"/>
  <c r="AB166" i="21"/>
  <c r="W166" i="21" s="1"/>
  <c r="AA166" i="21"/>
  <c r="K150" i="10"/>
  <c r="I150" i="10"/>
  <c r="Q150" i="10"/>
  <c r="R150" i="10"/>
  <c r="L167" i="15"/>
  <c r="C168" i="15" s="1"/>
  <c r="J167" i="15"/>
  <c r="K167" i="15" s="1"/>
  <c r="W167" i="15"/>
  <c r="X167" i="15"/>
  <c r="L166" i="21" l="1"/>
  <c r="X166" i="21"/>
  <c r="D168" i="15"/>
  <c r="I168" i="15" s="1"/>
  <c r="G168" i="15"/>
  <c r="O168" i="15"/>
  <c r="U168" i="15"/>
  <c r="T168" i="15"/>
  <c r="N168" i="15"/>
  <c r="Q168" i="15"/>
  <c r="P168" i="15"/>
  <c r="H168" i="15"/>
  <c r="C151" i="10"/>
  <c r="D167" i="21" l="1"/>
  <c r="I167" i="21" s="1"/>
  <c r="C167" i="21"/>
  <c r="J151" i="10"/>
  <c r="F168" i="15"/>
  <c r="E168" i="15" s="1"/>
  <c r="AB168" i="15"/>
  <c r="W168" i="15" s="1"/>
  <c r="AA168" i="15"/>
  <c r="E151" i="10"/>
  <c r="D151" i="10"/>
  <c r="H167" i="21" l="1"/>
  <c r="G167" i="21"/>
  <c r="O167" i="21"/>
  <c r="P167" i="21"/>
  <c r="Q167" i="21"/>
  <c r="F167" i="21" s="1"/>
  <c r="J167" i="21" s="1"/>
  <c r="T167" i="21"/>
  <c r="U167" i="21"/>
  <c r="N167" i="21"/>
  <c r="G151" i="10"/>
  <c r="J168" i="15"/>
  <c r="K168" i="15" s="1"/>
  <c r="L168" i="15"/>
  <c r="X168" i="15"/>
  <c r="AB167" i="21" l="1"/>
  <c r="X167" i="21" s="1"/>
  <c r="AA167" i="21"/>
  <c r="E167" i="21"/>
  <c r="H151" i="10"/>
  <c r="F151" i="10"/>
  <c r="D169" i="15"/>
  <c r="I169" i="15" s="1"/>
  <c r="C169" i="15"/>
  <c r="K167" i="21" l="1"/>
  <c r="L167" i="21"/>
  <c r="W167" i="21"/>
  <c r="K151" i="10"/>
  <c r="I151" i="10"/>
  <c r="Q151" i="10"/>
  <c r="R151" i="10"/>
  <c r="N169" i="15"/>
  <c r="P169" i="15"/>
  <c r="G169" i="15"/>
  <c r="U169" i="15"/>
  <c r="T169" i="15"/>
  <c r="H169" i="15"/>
  <c r="Q169" i="15"/>
  <c r="F169" i="15" s="1"/>
  <c r="O169" i="15"/>
  <c r="D168" i="21" l="1"/>
  <c r="I168" i="21" s="1"/>
  <c r="C168" i="21"/>
  <c r="J169" i="15"/>
  <c r="E169" i="15"/>
  <c r="AB169" i="15"/>
  <c r="W169" i="15" s="1"/>
  <c r="AA169" i="15"/>
  <c r="C152" i="10"/>
  <c r="Q168" i="21" l="1"/>
  <c r="F168" i="21" s="1"/>
  <c r="J168" i="21" s="1"/>
  <c r="G168" i="21"/>
  <c r="U168" i="21"/>
  <c r="T168" i="21"/>
  <c r="H168" i="21"/>
  <c r="O168" i="21"/>
  <c r="P168" i="21"/>
  <c r="N168" i="21"/>
  <c r="E168" i="21"/>
  <c r="J152" i="10"/>
  <c r="K169" i="15"/>
  <c r="L169" i="15"/>
  <c r="X169" i="15"/>
  <c r="E152" i="10"/>
  <c r="D152" i="10"/>
  <c r="K168" i="21" l="1"/>
  <c r="AB168" i="21"/>
  <c r="X168" i="21" s="1"/>
  <c r="AA168" i="21"/>
  <c r="G152" i="10"/>
  <c r="D170" i="15"/>
  <c r="I170" i="15" s="1"/>
  <c r="C170" i="15"/>
  <c r="L168" i="21" l="1"/>
  <c r="W168" i="21"/>
  <c r="H152" i="10"/>
  <c r="F152" i="10"/>
  <c r="G170" i="15"/>
  <c r="O170" i="15"/>
  <c r="Q170" i="15"/>
  <c r="T170" i="15"/>
  <c r="H170" i="15"/>
  <c r="P170" i="15"/>
  <c r="N170" i="15"/>
  <c r="U170" i="15"/>
  <c r="D169" i="21" l="1"/>
  <c r="I169" i="21" s="1"/>
  <c r="C169" i="21"/>
  <c r="K152" i="10"/>
  <c r="I152" i="10"/>
  <c r="Q152" i="10"/>
  <c r="R152" i="10"/>
  <c r="F170" i="15"/>
  <c r="J170" i="15" s="1"/>
  <c r="AB170" i="15"/>
  <c r="W170" i="15" s="1"/>
  <c r="AA170" i="15"/>
  <c r="G169" i="21" l="1"/>
  <c r="P169" i="21"/>
  <c r="H169" i="21"/>
  <c r="U169" i="21"/>
  <c r="O169" i="21"/>
  <c r="T169" i="21"/>
  <c r="Q169" i="21"/>
  <c r="F169" i="21" s="1"/>
  <c r="J169" i="21" s="1"/>
  <c r="N169" i="21"/>
  <c r="E170" i="15"/>
  <c r="K170" i="15" s="1"/>
  <c r="X170" i="15"/>
  <c r="C153" i="10"/>
  <c r="AB169" i="21" l="1"/>
  <c r="W169" i="21" s="1"/>
  <c r="AA169" i="21"/>
  <c r="E169" i="21"/>
  <c r="J153" i="10"/>
  <c r="L170" i="15"/>
  <c r="D171" i="15" s="1"/>
  <c r="I171" i="15" s="1"/>
  <c r="E153" i="10"/>
  <c r="D153" i="10"/>
  <c r="K169" i="21" l="1"/>
  <c r="L169" i="21"/>
  <c r="X169" i="21"/>
  <c r="G153" i="10"/>
  <c r="C171" i="15"/>
  <c r="N171" i="15" s="1"/>
  <c r="D170" i="21" l="1"/>
  <c r="I170" i="21" s="1"/>
  <c r="C170" i="21"/>
  <c r="H153" i="10"/>
  <c r="F153" i="10"/>
  <c r="T171" i="15"/>
  <c r="O171" i="15"/>
  <c r="G171" i="15"/>
  <c r="U171" i="15"/>
  <c r="Q171" i="15"/>
  <c r="F171" i="15" s="1"/>
  <c r="J171" i="15" s="1"/>
  <c r="P171" i="15"/>
  <c r="H171" i="15"/>
  <c r="AB171" i="15"/>
  <c r="AA171" i="15"/>
  <c r="N170" i="21" l="1"/>
  <c r="P170" i="21"/>
  <c r="T170" i="21"/>
  <c r="G170" i="21"/>
  <c r="Q170" i="21"/>
  <c r="F170" i="21" s="1"/>
  <c r="J170" i="21" s="1"/>
  <c r="U170" i="21"/>
  <c r="H170" i="21"/>
  <c r="O170" i="21"/>
  <c r="K153" i="10"/>
  <c r="I153" i="10"/>
  <c r="Q153" i="10"/>
  <c r="R153" i="10"/>
  <c r="E171" i="15"/>
  <c r="K171" i="15" s="1"/>
  <c r="X171" i="15"/>
  <c r="W171" i="15"/>
  <c r="E170" i="21" l="1"/>
  <c r="AB170" i="21"/>
  <c r="W170" i="21" s="1"/>
  <c r="AA170" i="21"/>
  <c r="L171" i="15"/>
  <c r="D172" i="15" s="1"/>
  <c r="I172" i="15" s="1"/>
  <c r="C154" i="10"/>
  <c r="K170" i="21" l="1"/>
  <c r="L170" i="21"/>
  <c r="X170" i="21"/>
  <c r="J154" i="10"/>
  <c r="C172" i="15"/>
  <c r="Q172" i="15" s="1"/>
  <c r="F172" i="15" s="1"/>
  <c r="E154" i="10"/>
  <c r="D154" i="10"/>
  <c r="D171" i="21" l="1"/>
  <c r="I171" i="21" s="1"/>
  <c r="C171" i="21"/>
  <c r="G154" i="10"/>
  <c r="N172" i="15"/>
  <c r="P172" i="15"/>
  <c r="G172" i="15"/>
  <c r="O172" i="15"/>
  <c r="U172" i="15"/>
  <c r="T172" i="15"/>
  <c r="H172" i="15"/>
  <c r="J172" i="15"/>
  <c r="E172" i="15"/>
  <c r="AB172" i="15"/>
  <c r="W172" i="15" s="1"/>
  <c r="AA172" i="15"/>
  <c r="P171" i="21" l="1"/>
  <c r="G171" i="21"/>
  <c r="N171" i="21"/>
  <c r="O171" i="21"/>
  <c r="H171" i="21"/>
  <c r="U171" i="21"/>
  <c r="T171" i="21"/>
  <c r="Q171" i="21"/>
  <c r="F171" i="21" s="1"/>
  <c r="J171" i="21" s="1"/>
  <c r="H154" i="10"/>
  <c r="F154" i="10"/>
  <c r="X172" i="15"/>
  <c r="L172" i="15"/>
  <c r="K172" i="15"/>
  <c r="AB171" i="21" l="1"/>
  <c r="X171" i="21" s="1"/>
  <c r="AA171" i="21"/>
  <c r="E171" i="21"/>
  <c r="K154" i="10"/>
  <c r="I154" i="10"/>
  <c r="Q154" i="10"/>
  <c r="R154" i="10"/>
  <c r="D173" i="15"/>
  <c r="I173" i="15" s="1"/>
  <c r="C173" i="15"/>
  <c r="K171" i="21" l="1"/>
  <c r="L171" i="21"/>
  <c r="W171" i="21"/>
  <c r="H173" i="15"/>
  <c r="T173" i="15"/>
  <c r="Q173" i="15"/>
  <c r="F173" i="15" s="1"/>
  <c r="U173" i="15"/>
  <c r="P173" i="15"/>
  <c r="O173" i="15"/>
  <c r="N173" i="15"/>
  <c r="G173" i="15"/>
  <c r="C155" i="10"/>
  <c r="D172" i="21" l="1"/>
  <c r="I172" i="21" s="1"/>
  <c r="C172" i="21"/>
  <c r="J155" i="10"/>
  <c r="J173" i="15"/>
  <c r="E173" i="15"/>
  <c r="K173" i="15" s="1"/>
  <c r="AB173" i="15"/>
  <c r="AA173" i="15"/>
  <c r="D155" i="10"/>
  <c r="E155" i="10"/>
  <c r="U172" i="21" l="1"/>
  <c r="P172" i="21"/>
  <c r="T172" i="21"/>
  <c r="N172" i="21"/>
  <c r="Q172" i="21"/>
  <c r="O172" i="21"/>
  <c r="G172" i="21"/>
  <c r="H172" i="21"/>
  <c r="G155" i="10"/>
  <c r="L173" i="15"/>
  <c r="D174" i="15" s="1"/>
  <c r="I174" i="15" s="1"/>
  <c r="X173" i="15"/>
  <c r="W173" i="15"/>
  <c r="AB172" i="21" l="1"/>
  <c r="AA172" i="21"/>
  <c r="F172" i="21"/>
  <c r="J172" i="21" s="1"/>
  <c r="H155" i="10"/>
  <c r="F155" i="10"/>
  <c r="C174" i="15"/>
  <c r="T174" i="15" s="1"/>
  <c r="X172" i="21" l="1"/>
  <c r="W172" i="21"/>
  <c r="E172" i="21"/>
  <c r="K155" i="10"/>
  <c r="I155" i="10"/>
  <c r="Q155" i="10"/>
  <c r="R155" i="10"/>
  <c r="G174" i="15"/>
  <c r="O174" i="15"/>
  <c r="Q174" i="15"/>
  <c r="F174" i="15" s="1"/>
  <c r="N174" i="15"/>
  <c r="AA174" i="15" s="1"/>
  <c r="P174" i="15"/>
  <c r="U174" i="15"/>
  <c r="H174" i="15"/>
  <c r="K172" i="21" l="1"/>
  <c r="L172" i="21"/>
  <c r="J174" i="15"/>
  <c r="E174" i="15"/>
  <c r="L174" i="15" s="1"/>
  <c r="AB174" i="15"/>
  <c r="W174" i="15" s="1"/>
  <c r="C156" i="10"/>
  <c r="D173" i="21" l="1"/>
  <c r="I173" i="21" s="1"/>
  <c r="C173" i="21"/>
  <c r="J156" i="10"/>
  <c r="K174" i="15"/>
  <c r="X174" i="15"/>
  <c r="D175" i="15"/>
  <c r="I175" i="15" s="1"/>
  <c r="C175" i="15"/>
  <c r="E156" i="10"/>
  <c r="D156" i="10"/>
  <c r="T173" i="21" l="1"/>
  <c r="U173" i="21"/>
  <c r="G173" i="21"/>
  <c r="P173" i="21"/>
  <c r="Q173" i="21"/>
  <c r="F173" i="21" s="1"/>
  <c r="H173" i="21"/>
  <c r="N173" i="21"/>
  <c r="O173" i="21"/>
  <c r="G156" i="10"/>
  <c r="H175" i="15"/>
  <c r="P175" i="15"/>
  <c r="U175" i="15"/>
  <c r="N175" i="15"/>
  <c r="G175" i="15"/>
  <c r="T175" i="15"/>
  <c r="O175" i="15"/>
  <c r="Q175" i="15"/>
  <c r="F175" i="15" s="1"/>
  <c r="J173" i="21" l="1"/>
  <c r="E173" i="21"/>
  <c r="AB173" i="21"/>
  <c r="X173" i="21" s="1"/>
  <c r="AA173" i="21"/>
  <c r="H156" i="10"/>
  <c r="F156" i="10"/>
  <c r="J175" i="15"/>
  <c r="E175" i="15"/>
  <c r="AB175" i="15"/>
  <c r="X175" i="15" s="1"/>
  <c r="AA175" i="15"/>
  <c r="K173" i="21" l="1"/>
  <c r="L173" i="21"/>
  <c r="W173" i="21"/>
  <c r="K156" i="10"/>
  <c r="I156" i="10"/>
  <c r="Q156" i="10"/>
  <c r="R156" i="10"/>
  <c r="W175" i="15"/>
  <c r="K175" i="15"/>
  <c r="L175" i="15"/>
  <c r="D174" i="21" l="1"/>
  <c r="I174" i="21" s="1"/>
  <c r="C174" i="21"/>
  <c r="D176" i="15"/>
  <c r="I176" i="15" s="1"/>
  <c r="C176" i="15"/>
  <c r="C157" i="10"/>
  <c r="Q174" i="21" l="1"/>
  <c r="U174" i="21"/>
  <c r="P174" i="21"/>
  <c r="H174" i="21"/>
  <c r="F174" i="21"/>
  <c r="J174" i="21" s="1"/>
  <c r="N174" i="21"/>
  <c r="E174" i="21"/>
  <c r="K174" i="21" s="1"/>
  <c r="T174" i="21"/>
  <c r="O174" i="21"/>
  <c r="G174" i="21"/>
  <c r="J157" i="10"/>
  <c r="E157" i="10"/>
  <c r="H176" i="15"/>
  <c r="P176" i="15"/>
  <c r="Q176" i="15"/>
  <c r="N176" i="15"/>
  <c r="G176" i="15"/>
  <c r="O176" i="15"/>
  <c r="U176" i="15"/>
  <c r="T176" i="15"/>
  <c r="D157" i="10"/>
  <c r="AB174" i="21" l="1"/>
  <c r="AA174" i="21"/>
  <c r="G157" i="10"/>
  <c r="F176" i="15"/>
  <c r="J176" i="15" s="1"/>
  <c r="AB176" i="15"/>
  <c r="W176" i="15" s="1"/>
  <c r="AA176" i="15"/>
  <c r="X174" i="21" l="1"/>
  <c r="W174" i="21"/>
  <c r="L174" i="21"/>
  <c r="H157" i="10"/>
  <c r="F157" i="10"/>
  <c r="E176" i="15"/>
  <c r="L176" i="15" s="1"/>
  <c r="X176" i="15"/>
  <c r="D175" i="21" l="1"/>
  <c r="I175" i="21" s="1"/>
  <c r="C175" i="21"/>
  <c r="I157" i="10"/>
  <c r="K157" i="10"/>
  <c r="Q157" i="10"/>
  <c r="R157" i="10"/>
  <c r="K176" i="15"/>
  <c r="D177" i="15"/>
  <c r="I177" i="15" s="1"/>
  <c r="C177" i="15"/>
  <c r="Q175" i="21" l="1"/>
  <c r="F175" i="21" s="1"/>
  <c r="J175" i="21" s="1"/>
  <c r="G175" i="21"/>
  <c r="U175" i="21"/>
  <c r="O175" i="21"/>
  <c r="H175" i="21"/>
  <c r="N175" i="21"/>
  <c r="T175" i="21"/>
  <c r="P175" i="21"/>
  <c r="E175" i="21"/>
  <c r="K175" i="21" s="1"/>
  <c r="C158" i="10"/>
  <c r="G177" i="15"/>
  <c r="N177" i="15"/>
  <c r="P177" i="15"/>
  <c r="Q177" i="15"/>
  <c r="F177" i="15" s="1"/>
  <c r="J177" i="15" s="1"/>
  <c r="O177" i="15"/>
  <c r="U177" i="15"/>
  <c r="H177" i="15"/>
  <c r="T177" i="15"/>
  <c r="AB175" i="21" l="1"/>
  <c r="X175" i="21" s="1"/>
  <c r="AA175" i="21"/>
  <c r="J158" i="10"/>
  <c r="E158" i="10"/>
  <c r="E177" i="15"/>
  <c r="AB177" i="15"/>
  <c r="W177" i="15" s="1"/>
  <c r="AA177" i="15"/>
  <c r="D158" i="10"/>
  <c r="L175" i="21" l="1"/>
  <c r="W175" i="21"/>
  <c r="G158" i="10"/>
  <c r="X177" i="15"/>
  <c r="K177" i="15"/>
  <c r="L177" i="15"/>
  <c r="D176" i="21" l="1"/>
  <c r="I176" i="21" s="1"/>
  <c r="C176" i="21"/>
  <c r="H158" i="10"/>
  <c r="F158" i="10"/>
  <c r="D178" i="15"/>
  <c r="I178" i="15" s="1"/>
  <c r="C178" i="15"/>
  <c r="P176" i="21" l="1"/>
  <c r="H176" i="21"/>
  <c r="Q176" i="21"/>
  <c r="F176" i="21" s="1"/>
  <c r="J176" i="21" s="1"/>
  <c r="G176" i="21"/>
  <c r="O176" i="21"/>
  <c r="N176" i="21"/>
  <c r="U176" i="21"/>
  <c r="T176" i="21"/>
  <c r="K158" i="10"/>
  <c r="I158" i="10"/>
  <c r="Q158" i="10"/>
  <c r="C159" i="10" s="1"/>
  <c r="R158" i="10"/>
  <c r="P178" i="15"/>
  <c r="U178" i="15"/>
  <c r="O178" i="15"/>
  <c r="H178" i="15"/>
  <c r="N178" i="15"/>
  <c r="T178" i="15"/>
  <c r="G178" i="15"/>
  <c r="Q178" i="15"/>
  <c r="AB176" i="21" l="1"/>
  <c r="X176" i="21" s="1"/>
  <c r="AA176" i="21"/>
  <c r="E176" i="21"/>
  <c r="J159" i="10"/>
  <c r="AB178" i="15"/>
  <c r="W178" i="15" s="1"/>
  <c r="AA178" i="15"/>
  <c r="F178" i="15"/>
  <c r="J178" i="15" s="1"/>
  <c r="E159" i="10"/>
  <c r="D159" i="10"/>
  <c r="K176" i="21" l="1"/>
  <c r="L176" i="21"/>
  <c r="W176" i="21"/>
  <c r="G159" i="10"/>
  <c r="X178" i="15"/>
  <c r="E178" i="15"/>
  <c r="D177" i="21" l="1"/>
  <c r="I177" i="21" s="1"/>
  <c r="C177" i="21"/>
  <c r="H159" i="10"/>
  <c r="F159" i="10"/>
  <c r="L178" i="15"/>
  <c r="K178" i="15"/>
  <c r="T177" i="21" l="1"/>
  <c r="G177" i="21"/>
  <c r="H177" i="21"/>
  <c r="Q177" i="21"/>
  <c r="F177" i="21" s="1"/>
  <c r="J177" i="21" s="1"/>
  <c r="U177" i="21"/>
  <c r="N177" i="21"/>
  <c r="P177" i="21"/>
  <c r="O177" i="21"/>
  <c r="I159" i="10"/>
  <c r="K159" i="10"/>
  <c r="Q159" i="10"/>
  <c r="R159" i="10"/>
  <c r="D179" i="15"/>
  <c r="I179" i="15" s="1"/>
  <c r="C179" i="15"/>
  <c r="AB177" i="21" l="1"/>
  <c r="W177" i="21" s="1"/>
  <c r="AA177" i="21"/>
  <c r="E177" i="21"/>
  <c r="Q179" i="15"/>
  <c r="G179" i="15"/>
  <c r="O179" i="15"/>
  <c r="N179" i="15"/>
  <c r="H179" i="15"/>
  <c r="F179" i="15"/>
  <c r="J179" i="15" s="1"/>
  <c r="U179" i="15"/>
  <c r="P179" i="15"/>
  <c r="T179" i="15"/>
  <c r="C160" i="10"/>
  <c r="K177" i="21" l="1"/>
  <c r="L177" i="21"/>
  <c r="X177" i="21"/>
  <c r="J160" i="10"/>
  <c r="E160" i="10"/>
  <c r="G160" i="10" s="1"/>
  <c r="AB179" i="15"/>
  <c r="AA179" i="15"/>
  <c r="E179" i="15"/>
  <c r="D178" i="21" l="1"/>
  <c r="I178" i="21" s="1"/>
  <c r="C178" i="21"/>
  <c r="H160" i="10"/>
  <c r="F160" i="10"/>
  <c r="Q160" i="10" s="1"/>
  <c r="D160" i="10"/>
  <c r="L179" i="15"/>
  <c r="K179" i="15"/>
  <c r="X179" i="15"/>
  <c r="W179" i="15"/>
  <c r="Q178" i="21" l="1"/>
  <c r="F178" i="21" s="1"/>
  <c r="J178" i="21" s="1"/>
  <c r="G178" i="21"/>
  <c r="T178" i="21"/>
  <c r="H178" i="21"/>
  <c r="U178" i="21"/>
  <c r="P178" i="21"/>
  <c r="N178" i="21"/>
  <c r="E178" i="21"/>
  <c r="K178" i="21" s="1"/>
  <c r="O178" i="21"/>
  <c r="I160" i="10"/>
  <c r="K160" i="10"/>
  <c r="R160" i="10"/>
  <c r="D180" i="15"/>
  <c r="I180" i="15" s="1"/>
  <c r="C180" i="15"/>
  <c r="AB178" i="21" l="1"/>
  <c r="W178" i="21" s="1"/>
  <c r="AA178" i="21"/>
  <c r="H180" i="15"/>
  <c r="O180" i="15"/>
  <c r="Q180" i="15"/>
  <c r="F180" i="15" s="1"/>
  <c r="J180" i="15" s="1"/>
  <c r="N180" i="15"/>
  <c r="G180" i="15"/>
  <c r="T180" i="15"/>
  <c r="U180" i="15"/>
  <c r="P180" i="15"/>
  <c r="C161" i="10"/>
  <c r="L178" i="21" l="1"/>
  <c r="X178" i="21"/>
  <c r="J161" i="10"/>
  <c r="AB180" i="15"/>
  <c r="AA180" i="15"/>
  <c r="E180" i="15"/>
  <c r="E161" i="10"/>
  <c r="D161" i="10"/>
  <c r="D179" i="21" l="1"/>
  <c r="I179" i="21" s="1"/>
  <c r="C179" i="21"/>
  <c r="G161" i="10"/>
  <c r="L180" i="15"/>
  <c r="K180" i="15"/>
  <c r="W180" i="15"/>
  <c r="X180" i="15"/>
  <c r="U179" i="21" l="1"/>
  <c r="T179" i="21"/>
  <c r="G179" i="21"/>
  <c r="N179" i="21"/>
  <c r="P179" i="21"/>
  <c r="O179" i="21"/>
  <c r="H179" i="21"/>
  <c r="Q179" i="21"/>
  <c r="H161" i="10"/>
  <c r="F161" i="10"/>
  <c r="D181" i="15"/>
  <c r="I181" i="15" s="1"/>
  <c r="C181" i="15"/>
  <c r="AB179" i="21" l="1"/>
  <c r="X179" i="21" s="1"/>
  <c r="AA179" i="21"/>
  <c r="W179" i="21"/>
  <c r="F179" i="21"/>
  <c r="J179" i="21" s="1"/>
  <c r="K161" i="10"/>
  <c r="I161" i="10"/>
  <c r="Q161" i="10"/>
  <c r="R161" i="10"/>
  <c r="U181" i="15"/>
  <c r="Q181" i="15"/>
  <c r="G181" i="15"/>
  <c r="N181" i="15"/>
  <c r="O181" i="15"/>
  <c r="P181" i="15"/>
  <c r="T181" i="15"/>
  <c r="H181" i="15"/>
  <c r="E179" i="21" l="1"/>
  <c r="F181" i="15"/>
  <c r="J181" i="15" s="1"/>
  <c r="AB181" i="15"/>
  <c r="X181" i="15" s="1"/>
  <c r="AA181" i="15"/>
  <c r="C162" i="10"/>
  <c r="L179" i="21" l="1"/>
  <c r="K179" i="21"/>
  <c r="J162" i="10"/>
  <c r="E181" i="15"/>
  <c r="K181" i="15" s="1"/>
  <c r="W181" i="15"/>
  <c r="E162" i="10"/>
  <c r="D180" i="21" l="1"/>
  <c r="I180" i="21" s="1"/>
  <c r="C180" i="21"/>
  <c r="G162" i="10"/>
  <c r="D162" i="10"/>
  <c r="L181" i="15"/>
  <c r="D182" i="15" s="1"/>
  <c r="I182" i="15" s="1"/>
  <c r="P180" i="21" l="1"/>
  <c r="T180" i="21"/>
  <c r="O180" i="21"/>
  <c r="Q180" i="21"/>
  <c r="F180" i="21" s="1"/>
  <c r="J180" i="21" s="1"/>
  <c r="U180" i="21"/>
  <c r="N180" i="21"/>
  <c r="H180" i="21"/>
  <c r="G180" i="21"/>
  <c r="H162" i="10"/>
  <c r="F162" i="10"/>
  <c r="C182" i="15"/>
  <c r="Q182" i="15" s="1"/>
  <c r="E180" i="21" l="1"/>
  <c r="AB180" i="21"/>
  <c r="X180" i="21" s="1"/>
  <c r="AA180" i="21"/>
  <c r="K162" i="10"/>
  <c r="I162" i="10"/>
  <c r="Q162" i="10"/>
  <c r="C163" i="10" s="1"/>
  <c r="R162" i="10"/>
  <c r="G182" i="15"/>
  <c r="U182" i="15"/>
  <c r="H182" i="15"/>
  <c r="P182" i="15"/>
  <c r="T182" i="15"/>
  <c r="N182" i="15"/>
  <c r="AB182" i="15" s="1"/>
  <c r="W182" i="15" s="1"/>
  <c r="F182" i="15"/>
  <c r="J182" i="15" s="1"/>
  <c r="O182" i="15"/>
  <c r="K180" i="21" l="1"/>
  <c r="L180" i="21"/>
  <c r="W180" i="21"/>
  <c r="J163" i="10"/>
  <c r="E163" i="10"/>
  <c r="D163" i="10"/>
  <c r="E182" i="15"/>
  <c r="K182" i="15" s="1"/>
  <c r="AA182" i="15"/>
  <c r="X182" i="15"/>
  <c r="D181" i="21" l="1"/>
  <c r="I181" i="21" s="1"/>
  <c r="C181" i="21"/>
  <c r="G163" i="10"/>
  <c r="L182" i="15"/>
  <c r="D183" i="15" s="1"/>
  <c r="I183" i="15" s="1"/>
  <c r="Q181" i="21" l="1"/>
  <c r="F181" i="21" s="1"/>
  <c r="J181" i="21" s="1"/>
  <c r="T181" i="21"/>
  <c r="G181" i="21"/>
  <c r="H181" i="21"/>
  <c r="N181" i="21"/>
  <c r="O181" i="21"/>
  <c r="U181" i="21"/>
  <c r="P181" i="21"/>
  <c r="E181" i="21"/>
  <c r="K181" i="21" s="1"/>
  <c r="H163" i="10"/>
  <c r="F163" i="10"/>
  <c r="C183" i="15"/>
  <c r="H183" i="15" s="1"/>
  <c r="AB181" i="21" l="1"/>
  <c r="W181" i="21" s="1"/>
  <c r="AA181" i="21"/>
  <c r="K163" i="10"/>
  <c r="I163" i="10"/>
  <c r="Q163" i="10"/>
  <c r="C164" i="10" s="1"/>
  <c r="R163" i="10"/>
  <c r="T183" i="15"/>
  <c r="P183" i="15"/>
  <c r="O183" i="15"/>
  <c r="Q183" i="15"/>
  <c r="F183" i="15" s="1"/>
  <c r="J183" i="15" s="1"/>
  <c r="U183" i="15"/>
  <c r="G183" i="15"/>
  <c r="N183" i="15"/>
  <c r="AA183" i="15" s="1"/>
  <c r="X181" i="21" l="1"/>
  <c r="L181" i="21"/>
  <c r="J164" i="10"/>
  <c r="AB183" i="15"/>
  <c r="X183" i="15" s="1"/>
  <c r="E183" i="15"/>
  <c r="K183" i="15" s="1"/>
  <c r="E164" i="10"/>
  <c r="D182" i="21" l="1"/>
  <c r="I182" i="21" s="1"/>
  <c r="C182" i="21"/>
  <c r="G164" i="10"/>
  <c r="D164" i="10"/>
  <c r="W183" i="15"/>
  <c r="L183" i="15"/>
  <c r="D184" i="15" s="1"/>
  <c r="I184" i="15" s="1"/>
  <c r="O182" i="21" l="1"/>
  <c r="T182" i="21"/>
  <c r="N182" i="21"/>
  <c r="Q182" i="21"/>
  <c r="F182" i="21" s="1"/>
  <c r="J182" i="21" s="1"/>
  <c r="P182" i="21"/>
  <c r="U182" i="21"/>
  <c r="G182" i="21"/>
  <c r="H182" i="21"/>
  <c r="F164" i="10"/>
  <c r="H164" i="10"/>
  <c r="C184" i="15"/>
  <c r="H184" i="15" s="1"/>
  <c r="E182" i="21" l="1"/>
  <c r="AB182" i="21"/>
  <c r="X182" i="21" s="1"/>
  <c r="AA182" i="21"/>
  <c r="K164" i="10"/>
  <c r="I164" i="10"/>
  <c r="Q164" i="10"/>
  <c r="C165" i="10" s="1"/>
  <c r="R164" i="10"/>
  <c r="U184" i="15"/>
  <c r="N184" i="15"/>
  <c r="AB184" i="15" s="1"/>
  <c r="P184" i="15"/>
  <c r="T184" i="15"/>
  <c r="Q184" i="15"/>
  <c r="F184" i="15" s="1"/>
  <c r="O184" i="15"/>
  <c r="G184" i="15"/>
  <c r="K182" i="21" l="1"/>
  <c r="L182" i="21"/>
  <c r="W182" i="21"/>
  <c r="J165" i="10"/>
  <c r="AA184" i="15"/>
  <c r="X184" i="15"/>
  <c r="J184" i="15"/>
  <c r="E184" i="15"/>
  <c r="W184" i="15"/>
  <c r="E165" i="10"/>
  <c r="D183" i="21" l="1"/>
  <c r="I183" i="21" s="1"/>
  <c r="C183" i="21"/>
  <c r="G165" i="10"/>
  <c r="D165" i="10"/>
  <c r="K184" i="15"/>
  <c r="L184" i="15"/>
  <c r="U183" i="21" l="1"/>
  <c r="O183" i="21"/>
  <c r="Q183" i="21"/>
  <c r="F183" i="21" s="1"/>
  <c r="G183" i="21"/>
  <c r="T183" i="21"/>
  <c r="P183" i="21"/>
  <c r="H183" i="21"/>
  <c r="N183" i="21"/>
  <c r="H165" i="10"/>
  <c r="F165" i="10"/>
  <c r="D185" i="15"/>
  <c r="I185" i="15" s="1"/>
  <c r="C185" i="15"/>
  <c r="J183" i="21" l="1"/>
  <c r="E183" i="21"/>
  <c r="AB183" i="21"/>
  <c r="AA183" i="21"/>
  <c r="K165" i="10"/>
  <c r="I165" i="10"/>
  <c r="Q165" i="10"/>
  <c r="C166" i="10" s="1"/>
  <c r="R165" i="10"/>
  <c r="N185" i="15"/>
  <c r="H185" i="15"/>
  <c r="O185" i="15"/>
  <c r="U185" i="15"/>
  <c r="G185" i="15"/>
  <c r="Q185" i="15"/>
  <c r="P185" i="15"/>
  <c r="T185" i="15"/>
  <c r="W183" i="21" l="1"/>
  <c r="X183" i="21"/>
  <c r="K183" i="21"/>
  <c r="L183" i="21"/>
  <c r="J166" i="10"/>
  <c r="F185" i="15"/>
  <c r="J185" i="15" s="1"/>
  <c r="AB185" i="15"/>
  <c r="X185" i="15" s="1"/>
  <c r="AA185" i="15"/>
  <c r="E166" i="10"/>
  <c r="D166" i="10"/>
  <c r="D184" i="21" l="1"/>
  <c r="I184" i="21" s="1"/>
  <c r="C184" i="21"/>
  <c r="G166" i="10"/>
  <c r="W185" i="15"/>
  <c r="E185" i="15"/>
  <c r="G184" i="21" l="1"/>
  <c r="O184" i="21"/>
  <c r="Q184" i="21"/>
  <c r="H184" i="21"/>
  <c r="U184" i="21"/>
  <c r="T184" i="21"/>
  <c r="N184" i="21"/>
  <c r="P184" i="21"/>
  <c r="E184" i="21"/>
  <c r="K184" i="21" s="1"/>
  <c r="F184" i="21"/>
  <c r="J184" i="21" s="1"/>
  <c r="H166" i="10"/>
  <c r="F166" i="10"/>
  <c r="K185" i="15"/>
  <c r="L185" i="15"/>
  <c r="AB184" i="21" l="1"/>
  <c r="W184" i="21" s="1"/>
  <c r="AA184" i="21"/>
  <c r="K166" i="10"/>
  <c r="I166" i="10"/>
  <c r="Q166" i="10"/>
  <c r="R166" i="10"/>
  <c r="D186" i="15"/>
  <c r="I186" i="15" s="1"/>
  <c r="C186" i="15"/>
  <c r="L184" i="21" l="1"/>
  <c r="X184" i="21"/>
  <c r="O186" i="15"/>
  <c r="U186" i="15"/>
  <c r="H186" i="15"/>
  <c r="N186" i="15"/>
  <c r="Q186" i="15"/>
  <c r="F186" i="15" s="1"/>
  <c r="P186" i="15"/>
  <c r="G186" i="15"/>
  <c r="T186" i="15"/>
  <c r="C167" i="10"/>
  <c r="D185" i="21" l="1"/>
  <c r="I185" i="21" s="1"/>
  <c r="C185" i="21"/>
  <c r="J167" i="10"/>
  <c r="J186" i="15"/>
  <c r="E186" i="15"/>
  <c r="AB186" i="15"/>
  <c r="W186" i="15" s="1"/>
  <c r="AA186" i="15"/>
  <c r="E167" i="10"/>
  <c r="O185" i="21" l="1"/>
  <c r="Q185" i="21"/>
  <c r="N185" i="21"/>
  <c r="G185" i="21"/>
  <c r="U185" i="21"/>
  <c r="H185" i="21"/>
  <c r="P185" i="21"/>
  <c r="T185" i="21"/>
  <c r="F185" i="21"/>
  <c r="J185" i="21" s="1"/>
  <c r="E185" i="21"/>
  <c r="K185" i="21" s="1"/>
  <c r="G167" i="10"/>
  <c r="D167" i="10"/>
  <c r="X186" i="15"/>
  <c r="L186" i="15"/>
  <c r="K186" i="15"/>
  <c r="AB185" i="21" l="1"/>
  <c r="W185" i="21" s="1"/>
  <c r="AA185" i="21"/>
  <c r="H167" i="10"/>
  <c r="F167" i="10"/>
  <c r="D187" i="15"/>
  <c r="I187" i="15" s="1"/>
  <c r="C187" i="15"/>
  <c r="L185" i="21" l="1"/>
  <c r="X185" i="21"/>
  <c r="K167" i="10"/>
  <c r="I167" i="10"/>
  <c r="Q167" i="10"/>
  <c r="C168" i="10" s="1"/>
  <c r="R167" i="10"/>
  <c r="N187" i="15"/>
  <c r="O187" i="15"/>
  <c r="T187" i="15"/>
  <c r="P187" i="15"/>
  <c r="U187" i="15"/>
  <c r="H187" i="15"/>
  <c r="Q187" i="15"/>
  <c r="F187" i="15" s="1"/>
  <c r="G187" i="15"/>
  <c r="D186" i="21" l="1"/>
  <c r="I186" i="21" s="1"/>
  <c r="C186" i="21"/>
  <c r="J168" i="10"/>
  <c r="J187" i="15"/>
  <c r="E187" i="15"/>
  <c r="K187" i="15" s="1"/>
  <c r="AB187" i="15"/>
  <c r="X187" i="15" s="1"/>
  <c r="AA187" i="15"/>
  <c r="E168" i="10"/>
  <c r="P186" i="21" l="1"/>
  <c r="T186" i="21"/>
  <c r="Q186" i="21"/>
  <c r="F186" i="21" s="1"/>
  <c r="J186" i="21" s="1"/>
  <c r="O186" i="21"/>
  <c r="H186" i="21"/>
  <c r="G186" i="21"/>
  <c r="N186" i="21"/>
  <c r="U186" i="21"/>
  <c r="E186" i="21"/>
  <c r="G168" i="10"/>
  <c r="D168" i="10"/>
  <c r="L187" i="15"/>
  <c r="W187" i="15"/>
  <c r="AB186" i="21" l="1"/>
  <c r="X186" i="21" s="1"/>
  <c r="AA186" i="21"/>
  <c r="K186" i="21"/>
  <c r="H168" i="10"/>
  <c r="F168" i="10"/>
  <c r="D188" i="15"/>
  <c r="I188" i="15" s="1"/>
  <c r="C188" i="15"/>
  <c r="L186" i="21" l="1"/>
  <c r="W186" i="21"/>
  <c r="K168" i="10"/>
  <c r="I168" i="10"/>
  <c r="Q168" i="10"/>
  <c r="C169" i="10" s="1"/>
  <c r="R168" i="10"/>
  <c r="P188" i="15"/>
  <c r="U188" i="15"/>
  <c r="N188" i="15"/>
  <c r="T188" i="15"/>
  <c r="G188" i="15"/>
  <c r="H188" i="15"/>
  <c r="O188" i="15"/>
  <c r="Q188" i="15"/>
  <c r="F188" i="15" s="1"/>
  <c r="J188" i="15" s="1"/>
  <c r="D187" i="21" l="1"/>
  <c r="I187" i="21" s="1"/>
  <c r="C187" i="21"/>
  <c r="J169" i="10"/>
  <c r="E169" i="10"/>
  <c r="E188" i="15"/>
  <c r="AB188" i="15"/>
  <c r="X188" i="15" s="1"/>
  <c r="AA188" i="15"/>
  <c r="D169" i="10"/>
  <c r="H187" i="21" l="1"/>
  <c r="T187" i="21"/>
  <c r="N187" i="21"/>
  <c r="G187" i="21"/>
  <c r="U187" i="21"/>
  <c r="Q187" i="21"/>
  <c r="E187" i="21" s="1"/>
  <c r="F187" i="21"/>
  <c r="J187" i="21" s="1"/>
  <c r="O187" i="21"/>
  <c r="P187" i="21"/>
  <c r="G169" i="10"/>
  <c r="W188" i="15"/>
  <c r="K188" i="15"/>
  <c r="L188" i="15"/>
  <c r="K187" i="21" l="1"/>
  <c r="AB187" i="21"/>
  <c r="X187" i="21" s="1"/>
  <c r="AA187" i="21"/>
  <c r="H169" i="10"/>
  <c r="F169" i="10"/>
  <c r="D189" i="15"/>
  <c r="I189" i="15" s="1"/>
  <c r="C189" i="15"/>
  <c r="W187" i="21" l="1"/>
  <c r="L187" i="21"/>
  <c r="K169" i="10"/>
  <c r="I169" i="10"/>
  <c r="Q169" i="10"/>
  <c r="C170" i="10" s="1"/>
  <c r="R169" i="10"/>
  <c r="H189" i="15"/>
  <c r="N189" i="15"/>
  <c r="T189" i="15"/>
  <c r="O189" i="15"/>
  <c r="Q189" i="15"/>
  <c r="F189" i="15" s="1"/>
  <c r="J189" i="15" s="1"/>
  <c r="G189" i="15"/>
  <c r="P189" i="15"/>
  <c r="U189" i="15"/>
  <c r="D188" i="21" l="1"/>
  <c r="I188" i="21" s="1"/>
  <c r="C188" i="21"/>
  <c r="J170" i="10"/>
  <c r="AB189" i="15"/>
  <c r="X189" i="15" s="1"/>
  <c r="AA189" i="15"/>
  <c r="E189" i="15"/>
  <c r="E170" i="10"/>
  <c r="D170" i="10"/>
  <c r="U188" i="21" l="1"/>
  <c r="G188" i="21"/>
  <c r="O188" i="21"/>
  <c r="T188" i="21"/>
  <c r="P188" i="21"/>
  <c r="N188" i="21"/>
  <c r="Q188" i="21"/>
  <c r="F188" i="21" s="1"/>
  <c r="J188" i="21" s="1"/>
  <c r="H188" i="21"/>
  <c r="G170" i="10"/>
  <c r="K189" i="15"/>
  <c r="L189" i="15"/>
  <c r="W189" i="15"/>
  <c r="AB188" i="21" l="1"/>
  <c r="AA188" i="21"/>
  <c r="X188" i="21"/>
  <c r="W188" i="21"/>
  <c r="E188" i="21"/>
  <c r="H170" i="10"/>
  <c r="F170" i="10"/>
  <c r="D190" i="15"/>
  <c r="I190" i="15" s="1"/>
  <c r="C190" i="15"/>
  <c r="L188" i="21" l="1"/>
  <c r="K188" i="21"/>
  <c r="K170" i="10"/>
  <c r="I170" i="10"/>
  <c r="Q170" i="10"/>
  <c r="R170" i="10"/>
  <c r="P190" i="15"/>
  <c r="G190" i="15"/>
  <c r="O190" i="15"/>
  <c r="Q190" i="15"/>
  <c r="F190" i="15" s="1"/>
  <c r="J190" i="15" s="1"/>
  <c r="H190" i="15"/>
  <c r="T190" i="15"/>
  <c r="N190" i="15"/>
  <c r="U190" i="15"/>
  <c r="D189" i="21" l="1"/>
  <c r="I189" i="21" s="1"/>
  <c r="C189" i="21"/>
  <c r="E190" i="15"/>
  <c r="AB190" i="15"/>
  <c r="X190" i="15" s="1"/>
  <c r="AA190" i="15"/>
  <c r="W190" i="15"/>
  <c r="C171" i="10"/>
  <c r="N189" i="21" l="1"/>
  <c r="G189" i="21"/>
  <c r="U189" i="21"/>
  <c r="T189" i="21"/>
  <c r="Q189" i="21"/>
  <c r="F189" i="21" s="1"/>
  <c r="J189" i="21" s="1"/>
  <c r="H189" i="21"/>
  <c r="P189" i="21"/>
  <c r="O189" i="21"/>
  <c r="W189" i="21"/>
  <c r="E189" i="21"/>
  <c r="K189" i="21" s="1"/>
  <c r="L189" i="21"/>
  <c r="D190" i="21" s="1"/>
  <c r="I190" i="21" s="1"/>
  <c r="J171" i="10"/>
  <c r="L190" i="15"/>
  <c r="K190" i="15"/>
  <c r="E171" i="10"/>
  <c r="C190" i="21" l="1"/>
  <c r="P190" i="21" s="1"/>
  <c r="AB189" i="21"/>
  <c r="X189" i="21" s="1"/>
  <c r="AA189" i="21"/>
  <c r="G171" i="10"/>
  <c r="D171" i="10"/>
  <c r="D191" i="15"/>
  <c r="I191" i="15" s="1"/>
  <c r="C191" i="15"/>
  <c r="K190" i="21" l="1"/>
  <c r="T190" i="21"/>
  <c r="G190" i="21"/>
  <c r="U190" i="21"/>
  <c r="N190" i="21"/>
  <c r="AB190" i="21" s="1"/>
  <c r="X190" i="21" s="1"/>
  <c r="H190" i="21"/>
  <c r="W190" i="21"/>
  <c r="Q190" i="21"/>
  <c r="F190" i="21" s="1"/>
  <c r="J190" i="21" s="1"/>
  <c r="L190" i="21"/>
  <c r="O190" i="21"/>
  <c r="E190" i="21"/>
  <c r="H171" i="10"/>
  <c r="F171" i="10"/>
  <c r="R171" i="10" s="1"/>
  <c r="P191" i="15"/>
  <c r="G191" i="15"/>
  <c r="T191" i="15"/>
  <c r="H191" i="15"/>
  <c r="N191" i="15"/>
  <c r="Q191" i="15"/>
  <c r="F191" i="15" s="1"/>
  <c r="O191" i="15"/>
  <c r="U191" i="15"/>
  <c r="AA190" i="21" l="1"/>
  <c r="D191" i="21"/>
  <c r="I191" i="21" s="1"/>
  <c r="C191" i="21"/>
  <c r="K171" i="10"/>
  <c r="I171" i="10"/>
  <c r="Q171" i="10"/>
  <c r="C172" i="10" s="1"/>
  <c r="J191" i="15"/>
  <c r="E191" i="15"/>
  <c r="AB191" i="15"/>
  <c r="W191" i="15" s="1"/>
  <c r="AA191" i="15"/>
  <c r="N191" i="21" l="1"/>
  <c r="G191" i="21"/>
  <c r="T191" i="21"/>
  <c r="F191" i="21"/>
  <c r="J191" i="21" s="1"/>
  <c r="O191" i="21"/>
  <c r="P191" i="21"/>
  <c r="E191" i="21"/>
  <c r="L191" i="21" s="1"/>
  <c r="D192" i="21" s="1"/>
  <c r="I192" i="21" s="1"/>
  <c r="K191" i="21"/>
  <c r="Q191" i="21"/>
  <c r="W191" i="21"/>
  <c r="H191" i="21"/>
  <c r="U191" i="21"/>
  <c r="J172" i="10"/>
  <c r="X191" i="15"/>
  <c r="L191" i="15"/>
  <c r="K191" i="15"/>
  <c r="E172" i="10"/>
  <c r="C192" i="21" l="1"/>
  <c r="AB191" i="21"/>
  <c r="X191" i="21" s="1"/>
  <c r="AA191" i="21"/>
  <c r="G172" i="10"/>
  <c r="D172" i="10"/>
  <c r="D192" i="15"/>
  <c r="I192" i="15" s="1"/>
  <c r="C192" i="15"/>
  <c r="P192" i="21" l="1"/>
  <c r="X192" i="21"/>
  <c r="H192" i="21"/>
  <c r="T192" i="21"/>
  <c r="L192" i="21"/>
  <c r="D193" i="21" s="1"/>
  <c r="I193" i="21" s="1"/>
  <c r="Q192" i="21"/>
  <c r="F192" i="21"/>
  <c r="J192" i="21" s="1"/>
  <c r="K192" i="21"/>
  <c r="U192" i="21"/>
  <c r="N192" i="21"/>
  <c r="AB192" i="21" s="1"/>
  <c r="W192" i="21" s="1"/>
  <c r="E192" i="21"/>
  <c r="O192" i="21"/>
  <c r="G192" i="21"/>
  <c r="H172" i="10"/>
  <c r="F172" i="10"/>
  <c r="P192" i="15"/>
  <c r="U192" i="15"/>
  <c r="G192" i="15"/>
  <c r="T192" i="15"/>
  <c r="N192" i="15"/>
  <c r="O192" i="15"/>
  <c r="H192" i="15"/>
  <c r="Q192" i="15"/>
  <c r="C193" i="21" l="1"/>
  <c r="AA192" i="21"/>
  <c r="K172" i="10"/>
  <c r="I172" i="10"/>
  <c r="Q172" i="10"/>
  <c r="C173" i="10" s="1"/>
  <c r="R172" i="10"/>
  <c r="F192" i="15"/>
  <c r="J192" i="15" s="1"/>
  <c r="AB192" i="15"/>
  <c r="AA192" i="15"/>
  <c r="U193" i="21" l="1"/>
  <c r="L193" i="21"/>
  <c r="D194" i="21" s="1"/>
  <c r="I194" i="21" s="1"/>
  <c r="N193" i="21"/>
  <c r="AB193" i="21" s="1"/>
  <c r="X193" i="21" s="1"/>
  <c r="O193" i="21"/>
  <c r="G193" i="21"/>
  <c r="T193" i="21"/>
  <c r="K193" i="21"/>
  <c r="P193" i="21"/>
  <c r="Q193" i="21"/>
  <c r="F193" i="21" s="1"/>
  <c r="J193" i="21" s="1"/>
  <c r="W193" i="21"/>
  <c r="E193" i="21"/>
  <c r="H193" i="21"/>
  <c r="C194" i="21"/>
  <c r="J173" i="10"/>
  <c r="E173" i="10"/>
  <c r="E192" i="15"/>
  <c r="L192" i="15" s="1"/>
  <c r="W192" i="15"/>
  <c r="X192" i="15"/>
  <c r="D173" i="10"/>
  <c r="O194" i="21" l="1"/>
  <c r="N194" i="21"/>
  <c r="AB194" i="21" s="1"/>
  <c r="X194" i="21" s="1"/>
  <c r="L194" i="21"/>
  <c r="D195" i="21" s="1"/>
  <c r="I195" i="21" s="1"/>
  <c r="G194" i="21"/>
  <c r="E194" i="21"/>
  <c r="K194" i="21"/>
  <c r="Q194" i="21"/>
  <c r="F194" i="21"/>
  <c r="J194" i="21" s="1"/>
  <c r="T194" i="21"/>
  <c r="P194" i="21"/>
  <c r="H194" i="21"/>
  <c r="W194" i="21"/>
  <c r="U194" i="21"/>
  <c r="AA193" i="21"/>
  <c r="AA194" i="21" s="1"/>
  <c r="G173" i="10"/>
  <c r="K192" i="15"/>
  <c r="D193" i="15"/>
  <c r="I193" i="15" s="1"/>
  <c r="C193" i="15"/>
  <c r="C195" i="21" l="1"/>
  <c r="H173" i="10"/>
  <c r="F173" i="10"/>
  <c r="R173" i="10" s="1"/>
  <c r="N193" i="15"/>
  <c r="U193" i="15"/>
  <c r="Q193" i="15"/>
  <c r="F193" i="15" s="1"/>
  <c r="J193" i="15" s="1"/>
  <c r="H193" i="15"/>
  <c r="O193" i="15"/>
  <c r="T193" i="15"/>
  <c r="P193" i="15"/>
  <c r="G193" i="15"/>
  <c r="G195" i="21" l="1"/>
  <c r="L195" i="21"/>
  <c r="D196" i="21" s="1"/>
  <c r="I196" i="21" s="1"/>
  <c r="O195" i="21"/>
  <c r="E195" i="21"/>
  <c r="H195" i="21"/>
  <c r="K195" i="21"/>
  <c r="U195" i="21"/>
  <c r="W195" i="21"/>
  <c r="N195" i="21"/>
  <c r="T195" i="21"/>
  <c r="Q195" i="21"/>
  <c r="F195" i="21" s="1"/>
  <c r="J195" i="21" s="1"/>
  <c r="P195" i="21"/>
  <c r="I173" i="10"/>
  <c r="K173" i="10"/>
  <c r="Q173" i="10"/>
  <c r="C174" i="10" s="1"/>
  <c r="E193" i="15"/>
  <c r="K193" i="15" s="1"/>
  <c r="AB193" i="15"/>
  <c r="X193" i="15" s="1"/>
  <c r="AA193" i="15"/>
  <c r="C196" i="21" l="1"/>
  <c r="U196" i="21" s="1"/>
  <c r="AB195" i="21"/>
  <c r="X195" i="21" s="1"/>
  <c r="AA195" i="21"/>
  <c r="N196" i="21"/>
  <c r="AB196" i="21" s="1"/>
  <c r="X196" i="21" s="1"/>
  <c r="E196" i="21"/>
  <c r="L196" i="21"/>
  <c r="D197" i="21" s="1"/>
  <c r="I197" i="21" s="1"/>
  <c r="Q196" i="21"/>
  <c r="F196" i="21" s="1"/>
  <c r="J196" i="21" s="1"/>
  <c r="T196" i="21"/>
  <c r="K196" i="21"/>
  <c r="O196" i="21"/>
  <c r="J174" i="10"/>
  <c r="L193" i="15"/>
  <c r="W193" i="15"/>
  <c r="E174" i="10"/>
  <c r="D174" i="10"/>
  <c r="W196" i="21" l="1"/>
  <c r="G196" i="21"/>
  <c r="P196" i="21"/>
  <c r="H196" i="21"/>
  <c r="C197" i="21"/>
  <c r="AA196" i="21"/>
  <c r="G174" i="10"/>
  <c r="F202" i="21"/>
  <c r="D194" i="15"/>
  <c r="I194" i="15" s="1"/>
  <c r="C194" i="15"/>
  <c r="T197" i="21" l="1"/>
  <c r="W197" i="21"/>
  <c r="G197" i="21"/>
  <c r="L197" i="21"/>
  <c r="D198" i="21" s="1"/>
  <c r="I198" i="21" s="1"/>
  <c r="P197" i="21"/>
  <c r="K197" i="21"/>
  <c r="O197" i="21"/>
  <c r="H197" i="21"/>
  <c r="E197" i="21"/>
  <c r="F197" i="21"/>
  <c r="J197" i="21" s="1"/>
  <c r="N197" i="21"/>
  <c r="Q197" i="21"/>
  <c r="U197" i="21"/>
  <c r="F174" i="10"/>
  <c r="H174" i="10"/>
  <c r="E202" i="21"/>
  <c r="P194" i="15"/>
  <c r="O194" i="15"/>
  <c r="G194" i="15"/>
  <c r="H194" i="15"/>
  <c r="N194" i="15"/>
  <c r="Q194" i="15"/>
  <c r="F194" i="15" s="1"/>
  <c r="U194" i="15"/>
  <c r="T194" i="15"/>
  <c r="AB197" i="21" l="1"/>
  <c r="X197" i="21" s="1"/>
  <c r="C198" i="21"/>
  <c r="AA197" i="21"/>
  <c r="K174" i="10"/>
  <c r="I174" i="10"/>
  <c r="Q174" i="10"/>
  <c r="R174" i="10"/>
  <c r="J194" i="15"/>
  <c r="E194" i="15"/>
  <c r="AB194" i="15"/>
  <c r="W194" i="15" s="1"/>
  <c r="AA194" i="15"/>
  <c r="O198" i="21" l="1"/>
  <c r="X198" i="21"/>
  <c r="H198" i="21"/>
  <c r="L198" i="21"/>
  <c r="D199" i="21" s="1"/>
  <c r="I199" i="21" s="1"/>
  <c r="P198" i="21"/>
  <c r="N198" i="21"/>
  <c r="G198" i="21"/>
  <c r="T198" i="21"/>
  <c r="U198" i="21"/>
  <c r="E198" i="21"/>
  <c r="K198" i="21" s="1"/>
  <c r="Q198" i="21"/>
  <c r="F198" i="21" s="1"/>
  <c r="J198" i="21" s="1"/>
  <c r="L194" i="15"/>
  <c r="K194" i="15"/>
  <c r="X194" i="15"/>
  <c r="C175" i="10"/>
  <c r="C199" i="21" l="1"/>
  <c r="L199" i="21" s="1"/>
  <c r="D200" i="21" s="1"/>
  <c r="I200" i="21" s="1"/>
  <c r="I202" i="21" s="1"/>
  <c r="AB198" i="21"/>
  <c r="W198" i="21" s="1"/>
  <c r="P199" i="21"/>
  <c r="Q199" i="21"/>
  <c r="H199" i="21"/>
  <c r="F199" i="21"/>
  <c r="J199" i="21" s="1"/>
  <c r="U199" i="21"/>
  <c r="T199" i="21"/>
  <c r="W199" i="21"/>
  <c r="N199" i="21"/>
  <c r="AB199" i="21" s="1"/>
  <c r="X199" i="21" s="1"/>
  <c r="O199" i="21"/>
  <c r="E199" i="21"/>
  <c r="AA198" i="21"/>
  <c r="AA199" i="21" s="1"/>
  <c r="J175" i="10"/>
  <c r="E175" i="10"/>
  <c r="D175" i="10"/>
  <c r="D195" i="15"/>
  <c r="I195" i="15" s="1"/>
  <c r="C195" i="15"/>
  <c r="K199" i="21" l="1"/>
  <c r="G199" i="21"/>
  <c r="C200" i="21"/>
  <c r="G175" i="10"/>
  <c r="T195" i="15"/>
  <c r="P195" i="15"/>
  <c r="U195" i="15"/>
  <c r="O195" i="15"/>
  <c r="N195" i="15"/>
  <c r="G195" i="15"/>
  <c r="Q195" i="15"/>
  <c r="H195" i="15"/>
  <c r="P200" i="21" l="1"/>
  <c r="P202" i="21" s="1"/>
  <c r="O200" i="21"/>
  <c r="O202" i="21" s="1"/>
  <c r="U200" i="21"/>
  <c r="Q200" i="21"/>
  <c r="T200" i="21"/>
  <c r="T202" i="21" s="1"/>
  <c r="G200" i="21"/>
  <c r="G202" i="21" s="1"/>
  <c r="H200" i="21"/>
  <c r="H202" i="21" s="1"/>
  <c r="N200" i="21"/>
  <c r="F200" i="21"/>
  <c r="J200" i="21" s="1"/>
  <c r="J202" i="21" s="1"/>
  <c r="W200" i="21"/>
  <c r="E200" i="21"/>
  <c r="K200" i="21"/>
  <c r="L200" i="21"/>
  <c r="H175" i="10"/>
  <c r="F175" i="10"/>
  <c r="F195" i="15"/>
  <c r="J195" i="15" s="1"/>
  <c r="AB195" i="15"/>
  <c r="X195" i="15" s="1"/>
  <c r="AA195" i="15"/>
  <c r="AB200" i="21" l="1"/>
  <c r="X200" i="21" s="1"/>
  <c r="J17" i="21" s="1"/>
  <c r="Y43" i="18" s="1"/>
  <c r="N202" i="21"/>
  <c r="AA200" i="21"/>
  <c r="Z20" i="21"/>
  <c r="S43" i="18"/>
  <c r="K202" i="21"/>
  <c r="V43" i="18" s="1"/>
  <c r="I175" i="10"/>
  <c r="K175" i="10"/>
  <c r="Q175" i="10"/>
  <c r="C176" i="10" s="1"/>
  <c r="R175" i="10"/>
  <c r="E195" i="15"/>
  <c r="K195" i="15" s="1"/>
  <c r="W195" i="15"/>
  <c r="J176" i="10" l="1"/>
  <c r="L195" i="15"/>
  <c r="D196" i="15" s="1"/>
  <c r="I196" i="15" s="1"/>
  <c r="E176" i="10"/>
  <c r="G176" i="10" l="1"/>
  <c r="D176" i="10"/>
  <c r="C196" i="15"/>
  <c r="H196" i="15" s="1"/>
  <c r="H176" i="10" l="1"/>
  <c r="F176" i="10"/>
  <c r="N196" i="15"/>
  <c r="AA196" i="15" s="1"/>
  <c r="T196" i="15"/>
  <c r="O196" i="15"/>
  <c r="G196" i="15"/>
  <c r="U196" i="15"/>
  <c r="Q196" i="15"/>
  <c r="F196" i="15" s="1"/>
  <c r="J196" i="15" s="1"/>
  <c r="P196" i="15"/>
  <c r="E196" i="15"/>
  <c r="AB196" i="15"/>
  <c r="I176" i="10" l="1"/>
  <c r="K176" i="10"/>
  <c r="Q176" i="10"/>
  <c r="C177" i="10" s="1"/>
  <c r="R176" i="10"/>
  <c r="W196" i="15"/>
  <c r="X196" i="15"/>
  <c r="K196" i="15"/>
  <c r="L196" i="15"/>
  <c r="J177" i="10" l="1"/>
  <c r="E177" i="10"/>
  <c r="D197" i="15"/>
  <c r="I197" i="15" s="1"/>
  <c r="C197" i="15"/>
  <c r="D177" i="10"/>
  <c r="G177" i="10" l="1"/>
  <c r="Q197" i="15"/>
  <c r="G197" i="15"/>
  <c r="O197" i="15"/>
  <c r="U197" i="15"/>
  <c r="N197" i="15"/>
  <c r="F197" i="15"/>
  <c r="J197" i="15" s="1"/>
  <c r="P197" i="15"/>
  <c r="T197" i="15"/>
  <c r="H197" i="15"/>
  <c r="H177" i="10" l="1"/>
  <c r="F177" i="10"/>
  <c r="E197" i="15"/>
  <c r="K197" i="15" s="1"/>
  <c r="AB197" i="15"/>
  <c r="AA197" i="15"/>
  <c r="I177" i="10" l="1"/>
  <c r="K177" i="10"/>
  <c r="Q177" i="10"/>
  <c r="C178" i="10" s="1"/>
  <c r="R177" i="10"/>
  <c r="W197" i="15"/>
  <c r="X197" i="15"/>
  <c r="L197" i="15"/>
  <c r="J178" i="10" l="1"/>
  <c r="D198" i="15"/>
  <c r="I198" i="15" s="1"/>
  <c r="C198" i="15"/>
  <c r="E178" i="10"/>
  <c r="D178" i="10"/>
  <c r="G178" i="10" l="1"/>
  <c r="Q198" i="15"/>
  <c r="G198" i="15"/>
  <c r="P198" i="15"/>
  <c r="T198" i="15"/>
  <c r="H198" i="15"/>
  <c r="O198" i="15"/>
  <c r="F198" i="15"/>
  <c r="J198" i="15" s="1"/>
  <c r="N198" i="15"/>
  <c r="U198" i="15"/>
  <c r="H178" i="10" l="1"/>
  <c r="F178" i="10"/>
  <c r="E198" i="15"/>
  <c r="K198" i="15" s="1"/>
  <c r="AA198" i="15"/>
  <c r="AB198" i="15"/>
  <c r="X198" i="15" s="1"/>
  <c r="I178" i="10" l="1"/>
  <c r="K178" i="10"/>
  <c r="Q178" i="10"/>
  <c r="R178" i="10"/>
  <c r="L198" i="15"/>
  <c r="W198" i="15"/>
  <c r="D199" i="15" l="1"/>
  <c r="I199" i="15" s="1"/>
  <c r="C199" i="15"/>
  <c r="C179" i="10"/>
  <c r="J179" i="10" l="1"/>
  <c r="T199" i="15"/>
  <c r="G199" i="15"/>
  <c r="O199" i="15"/>
  <c r="Q199" i="15"/>
  <c r="N199" i="15"/>
  <c r="U199" i="15"/>
  <c r="H199" i="15"/>
  <c r="P199" i="15"/>
  <c r="E179" i="10"/>
  <c r="D179" i="10"/>
  <c r="G179" i="10" l="1"/>
  <c r="F199" i="15"/>
  <c r="AB199" i="15"/>
  <c r="W199" i="15" s="1"/>
  <c r="AA199" i="15"/>
  <c r="H179" i="10" l="1"/>
  <c r="F179" i="10"/>
  <c r="J199" i="15"/>
  <c r="E199" i="15"/>
  <c r="X199" i="15"/>
  <c r="I179" i="10" l="1"/>
  <c r="K179" i="10"/>
  <c r="Q179" i="10"/>
  <c r="R179" i="10"/>
  <c r="K199" i="15"/>
  <c r="L199" i="15"/>
  <c r="D200" i="15" l="1"/>
  <c r="I200" i="15" s="1"/>
  <c r="I202" i="15" s="1"/>
  <c r="C200" i="15"/>
  <c r="C180" i="10"/>
  <c r="J180" i="10" l="1"/>
  <c r="U200" i="15"/>
  <c r="G200" i="15"/>
  <c r="G202" i="15" s="1"/>
  <c r="O200" i="15"/>
  <c r="O202" i="15" s="1"/>
  <c r="H200" i="15"/>
  <c r="H202" i="15" s="1"/>
  <c r="N200" i="15"/>
  <c r="T200" i="15"/>
  <c r="T202" i="15" s="1"/>
  <c r="Q200" i="15"/>
  <c r="P200" i="15"/>
  <c r="P202" i="15" s="1"/>
  <c r="E180" i="10"/>
  <c r="G180" i="10" l="1"/>
  <c r="D180" i="10"/>
  <c r="F200" i="15"/>
  <c r="E200" i="15" s="1"/>
  <c r="E202" i="15" s="1"/>
  <c r="F202" i="15"/>
  <c r="AB200" i="15"/>
  <c r="W200" i="15" s="1"/>
  <c r="N202" i="15"/>
  <c r="Z20" i="15"/>
  <c r="AA200" i="15"/>
  <c r="F180" i="10" l="1"/>
  <c r="H180" i="10"/>
  <c r="J200" i="15"/>
  <c r="J202" i="15" s="1"/>
  <c r="X200" i="15"/>
  <c r="J17" i="15" s="1"/>
  <c r="Y58" i="12" s="1"/>
  <c r="L200" i="15"/>
  <c r="K180" i="10" l="1"/>
  <c r="I180" i="10"/>
  <c r="Q180" i="10"/>
  <c r="C181" i="10" s="1"/>
  <c r="R180" i="10"/>
  <c r="K200" i="15"/>
  <c r="K202" i="15" s="1"/>
  <c r="V58" i="12" s="1"/>
  <c r="S58" i="12"/>
  <c r="J181" i="10" l="1"/>
  <c r="E181" i="10"/>
  <c r="G181" i="10" l="1"/>
  <c r="D181" i="10"/>
  <c r="H181" i="10" l="1"/>
  <c r="F181" i="10"/>
  <c r="R181" i="10" s="1"/>
  <c r="K181" i="10" l="1"/>
  <c r="I181" i="10"/>
  <c r="Q181" i="10"/>
  <c r="C182" i="10" s="1"/>
  <c r="J182" i="10" l="1"/>
  <c r="D182" i="10"/>
  <c r="E182" i="10"/>
  <c r="G182" i="10" l="1"/>
  <c r="F182" i="10" l="1"/>
  <c r="H182" i="10"/>
  <c r="I182" i="10" l="1"/>
  <c r="R182" i="10"/>
  <c r="K182" i="10"/>
  <c r="Q182" i="10"/>
  <c r="C183" i="10" l="1"/>
  <c r="E183" i="10"/>
  <c r="D183" i="10" l="1"/>
  <c r="J183" i="10"/>
  <c r="G183" i="10"/>
  <c r="H183" i="10" s="1"/>
  <c r="F183" i="10" l="1"/>
  <c r="Q183" i="10" l="1"/>
  <c r="R183" i="10"/>
  <c r="I183" i="10"/>
  <c r="K183" i="10"/>
  <c r="E184" i="10" l="1"/>
  <c r="C184" i="10"/>
  <c r="D184" i="10" l="1"/>
  <c r="J184" i="10"/>
  <c r="G184" i="10"/>
  <c r="F184" i="10" s="1"/>
  <c r="Q184" i="10" l="1"/>
  <c r="R184" i="10"/>
  <c r="I184" i="10"/>
  <c r="H184" i="10"/>
  <c r="K184" i="10" s="1"/>
  <c r="E185" i="10" l="1"/>
  <c r="C185" i="10"/>
  <c r="G185" i="10" l="1"/>
  <c r="H185" i="10" s="1"/>
  <c r="J185" i="10"/>
  <c r="D185" i="10"/>
  <c r="F185" i="10"/>
  <c r="K185" i="10" l="1"/>
  <c r="R185" i="10"/>
  <c r="Q185" i="10"/>
  <c r="I185" i="10"/>
  <c r="E186" i="10" l="1"/>
  <c r="C186" i="10"/>
  <c r="D186" i="10" l="1"/>
  <c r="G186" i="10"/>
  <c r="H186" i="10" s="1"/>
  <c r="J186" i="10"/>
  <c r="F186" i="10"/>
  <c r="Q186" i="10" s="1"/>
  <c r="E187" i="10" l="1"/>
  <c r="C187" i="10"/>
  <c r="I186" i="10"/>
  <c r="K186" i="10"/>
  <c r="R186" i="10"/>
  <c r="D187" i="10" l="1"/>
  <c r="G187" i="10"/>
  <c r="H187" i="10" s="1"/>
  <c r="J187" i="10"/>
  <c r="F187" i="10"/>
  <c r="Q187" i="10" s="1"/>
  <c r="E188" i="10" l="1"/>
  <c r="C188" i="10"/>
  <c r="K187" i="10"/>
  <c r="I187" i="10"/>
  <c r="R187" i="10"/>
  <c r="D188" i="10" l="1"/>
  <c r="G188" i="10"/>
  <c r="H188" i="10" s="1"/>
  <c r="J188" i="10"/>
  <c r="F188" i="10"/>
  <c r="Q188" i="10" s="1"/>
  <c r="E189" i="10" l="1"/>
  <c r="C189" i="10"/>
  <c r="I188" i="10"/>
  <c r="K188" i="10"/>
  <c r="R188" i="10"/>
  <c r="D189" i="10" l="1"/>
  <c r="G189" i="10"/>
  <c r="H189" i="10" s="1"/>
  <c r="J189" i="10"/>
  <c r="F189" i="10" l="1"/>
  <c r="Q189" i="10" s="1"/>
  <c r="E190" i="10" s="1"/>
  <c r="R189" i="10" l="1"/>
  <c r="K189" i="10"/>
  <c r="I189" i="10"/>
  <c r="C190" i="10"/>
  <c r="H190" i="10" s="1"/>
  <c r="J190" i="10" l="1"/>
  <c r="F190" i="10"/>
  <c r="Q190" i="10" s="1"/>
  <c r="C191" i="10" s="1"/>
  <c r="G190" i="10"/>
  <c r="D190" i="10"/>
  <c r="I190" i="10"/>
  <c r="K190" i="10"/>
  <c r="R190" i="10"/>
  <c r="E191" i="10" l="1"/>
  <c r="D191" i="10"/>
  <c r="J191" i="10"/>
  <c r="G191" i="10"/>
  <c r="H191" i="10" s="1"/>
  <c r="F191" i="10"/>
  <c r="Q191" i="10" s="1"/>
  <c r="E192" i="10" l="1"/>
  <c r="C192" i="10"/>
  <c r="I191" i="10"/>
  <c r="K191" i="10"/>
  <c r="R191" i="10"/>
  <c r="D192" i="10" l="1"/>
  <c r="J192" i="10"/>
  <c r="G192" i="10"/>
  <c r="F192" i="10" s="1"/>
  <c r="Q192" i="10" l="1"/>
  <c r="R192" i="10"/>
  <c r="I192" i="10"/>
  <c r="H192" i="10"/>
  <c r="K192" i="10" s="1"/>
  <c r="E193" i="10" l="1"/>
  <c r="C193" i="10"/>
  <c r="D193" i="10" l="1"/>
  <c r="G193" i="10"/>
  <c r="F193" i="10" s="1"/>
  <c r="J193" i="10"/>
  <c r="Q193" i="10" l="1"/>
  <c r="I193" i="10"/>
  <c r="R193" i="10"/>
  <c r="H193" i="10"/>
  <c r="K193" i="10" s="1"/>
  <c r="E194" i="10" l="1"/>
  <c r="C194" i="10"/>
  <c r="G194" i="10" l="1"/>
  <c r="F194" i="10" s="1"/>
  <c r="J194" i="10"/>
  <c r="D194" i="10"/>
  <c r="H194" i="10"/>
  <c r="Q194" i="10" l="1"/>
  <c r="K194" i="10"/>
  <c r="R194" i="10"/>
  <c r="I194" i="10"/>
  <c r="E195" i="10" l="1"/>
  <c r="C195" i="10"/>
  <c r="G195" i="10" l="1"/>
  <c r="H195" i="10" s="1"/>
  <c r="J195" i="10"/>
  <c r="D195" i="10"/>
  <c r="F195" i="10" l="1"/>
  <c r="L322" i="9"/>
  <c r="Q195" i="10" l="1"/>
  <c r="R195" i="10"/>
  <c r="I195" i="10"/>
  <c r="K195" i="10"/>
  <c r="E196" i="10" l="1"/>
  <c r="C196" i="10"/>
  <c r="D196" i="10" l="1"/>
  <c r="G196" i="10"/>
  <c r="H196" i="10" s="1"/>
  <c r="J196" i="10"/>
  <c r="F196" i="10"/>
  <c r="Q196" i="10" s="1"/>
  <c r="E197" i="10" l="1"/>
  <c r="C197" i="10"/>
  <c r="K196" i="10"/>
  <c r="I196" i="10"/>
  <c r="R196" i="10"/>
  <c r="D197" i="10" l="1"/>
  <c r="G197" i="10"/>
  <c r="H197" i="10" s="1"/>
  <c r="J197" i="10"/>
  <c r="F197" i="10"/>
  <c r="Q197" i="10" s="1"/>
  <c r="E198" i="10" l="1"/>
  <c r="C198" i="10"/>
  <c r="I197" i="10"/>
  <c r="K197" i="10"/>
  <c r="R197" i="10"/>
  <c r="D198" i="10" l="1"/>
  <c r="J198" i="10"/>
  <c r="G198" i="10"/>
  <c r="F198" i="10" s="1"/>
  <c r="Q198" i="10" l="1"/>
  <c r="R198" i="10"/>
  <c r="I198" i="10"/>
  <c r="H198" i="10"/>
  <c r="K198" i="10" s="1"/>
  <c r="E199" i="10" l="1"/>
  <c r="C199" i="10"/>
  <c r="J199" i="10" l="1"/>
  <c r="D199" i="10"/>
  <c r="G199" i="10"/>
  <c r="H199" i="10" s="1"/>
  <c r="F199" i="10" l="1"/>
  <c r="Q199" i="10" s="1"/>
  <c r="E200" i="10" s="1"/>
  <c r="I199" i="10" l="1"/>
  <c r="K199" i="10"/>
  <c r="R199" i="10"/>
  <c r="C200" i="10"/>
  <c r="J200" i="10" s="1"/>
  <c r="Y43" i="2"/>
  <c r="G200" i="10" l="1"/>
  <c r="F200" i="10" s="1"/>
  <c r="Q200" i="10" s="1"/>
  <c r="D200" i="10"/>
  <c r="H200" i="10"/>
  <c r="I200" i="10" l="1"/>
  <c r="R200" i="10"/>
  <c r="K200" i="10"/>
  <c r="E201" i="10"/>
  <c r="C201" i="10"/>
  <c r="CD39" i="12"/>
  <c r="G201" i="10" l="1"/>
  <c r="H201" i="10" s="1"/>
  <c r="D201" i="10"/>
  <c r="J201" i="10"/>
  <c r="CE39" i="12"/>
  <c r="F201" i="10" l="1"/>
  <c r="CF39" i="12"/>
  <c r="Q201" i="10" l="1"/>
  <c r="R201" i="10"/>
  <c r="K201" i="10"/>
  <c r="I201" i="10"/>
  <c r="CG39" i="12"/>
  <c r="E202" i="10" l="1"/>
  <c r="C202" i="10"/>
  <c r="CH39" i="12"/>
  <c r="D202" i="10" l="1"/>
  <c r="G202" i="10"/>
  <c r="H202" i="10" s="1"/>
  <c r="J202" i="10"/>
  <c r="F202" i="10"/>
  <c r="Q202" i="10" s="1"/>
  <c r="CI39" i="12"/>
  <c r="E203" i="10" l="1"/>
  <c r="C203" i="10"/>
  <c r="K202" i="10"/>
  <c r="I202" i="10"/>
  <c r="R202" i="10"/>
  <c r="CJ39" i="12"/>
  <c r="D203" i="10" l="1"/>
  <c r="G203" i="10"/>
  <c r="H203" i="10" s="1"/>
  <c r="J203" i="10"/>
  <c r="CK39" i="12"/>
  <c r="F203" i="10" l="1"/>
  <c r="CL39" i="12"/>
  <c r="Q203" i="10" l="1"/>
  <c r="R203" i="10"/>
  <c r="K203" i="10"/>
  <c r="I203" i="10"/>
  <c r="CM39" i="12"/>
  <c r="E204" i="10" l="1"/>
  <c r="C204" i="10"/>
  <c r="CN39" i="12"/>
  <c r="D204" i="10" l="1"/>
  <c r="G204" i="10"/>
  <c r="F204" i="10" s="1"/>
  <c r="J204" i="10"/>
  <c r="CO39" i="12"/>
  <c r="Q204" i="10" l="1"/>
  <c r="R204" i="10"/>
  <c r="I204" i="10"/>
  <c r="H204" i="10"/>
  <c r="K204" i="10" s="1"/>
  <c r="CP39" i="12"/>
  <c r="E205" i="10" l="1"/>
  <c r="C205" i="10"/>
  <c r="CQ39" i="12"/>
  <c r="D205" i="10" l="1"/>
  <c r="G205" i="10"/>
  <c r="H205" i="10" s="1"/>
  <c r="J205" i="10"/>
  <c r="CR39" i="12"/>
  <c r="F205" i="10" l="1"/>
  <c r="Q205" i="10" s="1"/>
  <c r="E206" i="10" s="1"/>
  <c r="CS39" i="12"/>
  <c r="I205" i="10" l="1"/>
  <c r="R205" i="10"/>
  <c r="K205" i="10"/>
  <c r="C206" i="10"/>
  <c r="J206" i="10" s="1"/>
  <c r="CT39" i="12"/>
  <c r="G206" i="10" l="1"/>
  <c r="H206" i="10" s="1"/>
  <c r="F206" i="10"/>
  <c r="Q206" i="10" s="1"/>
  <c r="E207" i="10" s="1"/>
  <c r="D206" i="10"/>
  <c r="CU39" i="12"/>
  <c r="K206" i="10" l="1"/>
  <c r="R206" i="10"/>
  <c r="C207" i="10"/>
  <c r="D207" i="10" s="1"/>
  <c r="I206" i="10"/>
  <c r="V47" i="5"/>
  <c r="J207" i="10" l="1"/>
  <c r="G207" i="10"/>
  <c r="H207" i="10" s="1"/>
  <c r="CV39" i="12"/>
  <c r="F207" i="10" l="1"/>
  <c r="CW39" i="12"/>
  <c r="Q207" i="10" l="1"/>
  <c r="K207" i="10"/>
  <c r="I207" i="10"/>
  <c r="R207" i="10"/>
  <c r="CX39" i="12"/>
  <c r="R23" i="14"/>
  <c r="AF23" i="14"/>
  <c r="E23" i="14" s="1"/>
  <c r="E208" i="10" l="1"/>
  <c r="C208" i="10"/>
  <c r="V12" i="5"/>
  <c r="D208" i="10" l="1"/>
  <c r="G208" i="10"/>
  <c r="H208" i="10" s="1"/>
  <c r="J208" i="10"/>
  <c r="J3" i="5"/>
  <c r="H4" i="5" s="1"/>
  <c r="I4" i="5" s="1"/>
  <c r="F208" i="10" l="1"/>
  <c r="B4" i="5"/>
  <c r="G5" i="5"/>
  <c r="J4" i="5"/>
  <c r="Q208" i="10" l="1"/>
  <c r="I208" i="10"/>
  <c r="R208" i="10"/>
  <c r="K208" i="10"/>
  <c r="BO46" i="2"/>
  <c r="BO46" i="18"/>
  <c r="H5" i="5"/>
  <c r="I5" i="5" s="1"/>
  <c r="B5" i="5" s="1"/>
  <c r="E209" i="10" l="1"/>
  <c r="C209" i="10"/>
  <c r="BP46" i="2"/>
  <c r="BP46" i="18"/>
  <c r="J5" i="5"/>
  <c r="G6" i="5"/>
  <c r="J209" i="10" l="1"/>
  <c r="D209" i="10"/>
  <c r="G209" i="10"/>
  <c r="F209" i="10" s="1"/>
  <c r="R209" i="10" s="1"/>
  <c r="H6" i="5"/>
  <c r="I6" i="5" s="1"/>
  <c r="H209" i="10" l="1"/>
  <c r="K209" i="10" s="1"/>
  <c r="Q209" i="10"/>
  <c r="I209" i="10"/>
  <c r="J6" i="5"/>
  <c r="G7" i="5"/>
  <c r="B6" i="5"/>
  <c r="E210" i="10" l="1"/>
  <c r="C210" i="10"/>
  <c r="H7" i="5"/>
  <c r="I7" i="5" s="1"/>
  <c r="B7" i="5" s="1"/>
  <c r="BR46" i="2" s="1"/>
  <c r="BQ46" i="2"/>
  <c r="BQ46" i="18"/>
  <c r="G210" i="10" l="1"/>
  <c r="F210" i="10" s="1"/>
  <c r="I210" i="10" s="1"/>
  <c r="J210" i="10"/>
  <c r="D210" i="10"/>
  <c r="H210" i="10"/>
  <c r="J7" i="5"/>
  <c r="G8" i="5"/>
  <c r="BR46" i="18"/>
  <c r="K210" i="10" l="1"/>
  <c r="Q210" i="10"/>
  <c r="R210" i="10"/>
  <c r="H8" i="5"/>
  <c r="J8" i="5" s="1"/>
  <c r="E211" i="10" l="1"/>
  <c r="C211" i="10"/>
  <c r="G214" i="10"/>
  <c r="I8" i="5"/>
  <c r="B8" i="5" s="1"/>
  <c r="BS46" i="2" s="1"/>
  <c r="J211" i="10" l="1"/>
  <c r="D211" i="10"/>
  <c r="G211" i="10"/>
  <c r="F211" i="10" s="1"/>
  <c r="C220" i="10"/>
  <c r="R214" i="10"/>
  <c r="BS46" i="18"/>
  <c r="G9" i="5"/>
  <c r="H9" i="5" s="1"/>
  <c r="J9" i="5" s="1"/>
  <c r="I211" i="10" l="1"/>
  <c r="Q211" i="10"/>
  <c r="R211" i="10"/>
  <c r="H211" i="10"/>
  <c r="K211" i="10" s="1"/>
  <c r="I9" i="5"/>
  <c r="B9" i="5" s="1"/>
  <c r="E212" i="10" l="1"/>
  <c r="C212" i="10"/>
  <c r="G10" i="5"/>
  <c r="H10" i="5" s="1"/>
  <c r="J10" i="5" s="1"/>
  <c r="BT46" i="2"/>
  <c r="BT46" i="18"/>
  <c r="D212" i="10" l="1"/>
  <c r="J212" i="10"/>
  <c r="J214" i="10" s="1"/>
  <c r="G212" i="10"/>
  <c r="H212" i="10" s="1"/>
  <c r="H214" i="10" s="1"/>
  <c r="F212" i="10"/>
  <c r="F214" i="10" s="1"/>
  <c r="I10" i="5"/>
  <c r="R212" i="10" l="1"/>
  <c r="I212" i="10"/>
  <c r="K212" i="10"/>
  <c r="Q212" i="10"/>
  <c r="G11" i="5"/>
  <c r="B10" i="5"/>
  <c r="K214" i="10" l="1"/>
  <c r="V43" i="2" s="1"/>
  <c r="S43" i="2"/>
  <c r="BU46" i="2"/>
  <c r="BU46" i="18"/>
  <c r="H11" i="5"/>
  <c r="J11" i="5" s="1"/>
  <c r="I11" i="5" l="1"/>
  <c r="B11" i="5" l="1"/>
  <c r="G12" i="5"/>
  <c r="BV46" i="2" l="1"/>
  <c r="BV46" i="18"/>
  <c r="H12" i="5"/>
  <c r="J12" i="5" l="1"/>
  <c r="I12" i="5"/>
  <c r="G13" i="5" s="1"/>
  <c r="H13" i="5" l="1"/>
  <c r="J13" i="5" s="1"/>
  <c r="B12" i="5"/>
  <c r="BW46" i="2" l="1"/>
  <c r="BW46" i="18"/>
  <c r="I13" i="5"/>
  <c r="G14" i="5" l="1"/>
  <c r="B13" i="5"/>
  <c r="BX46" i="2" l="1"/>
  <c r="BX46" i="18"/>
  <c r="H14" i="5"/>
  <c r="J14" i="5" s="1"/>
  <c r="I14" i="5" l="1"/>
  <c r="G15" i="5" l="1"/>
  <c r="B14" i="5"/>
  <c r="BY46" i="2" l="1"/>
  <c r="BY46" i="18"/>
  <c r="H15" i="5"/>
  <c r="J15" i="5" s="1"/>
  <c r="I15" i="5" l="1"/>
  <c r="B15" i="5" l="1"/>
  <c r="G16" i="5"/>
  <c r="BZ46" i="2" l="1"/>
  <c r="BZ46" i="18"/>
  <c r="H16" i="5"/>
  <c r="J16" i="5" s="1"/>
  <c r="I16" i="5" l="1"/>
  <c r="G17" i="5" l="1"/>
  <c r="B16" i="5"/>
  <c r="CA46" i="2" l="1"/>
  <c r="CA46" i="18"/>
  <c r="H17" i="5"/>
  <c r="J17" i="5" l="1"/>
  <c r="I17" i="5"/>
  <c r="G18" i="5" l="1"/>
  <c r="H18" i="5" s="1"/>
  <c r="J18" i="5" s="1"/>
  <c r="B17" i="5"/>
  <c r="CB46" i="2" l="1"/>
  <c r="CB46" i="18"/>
  <c r="I18" i="5"/>
  <c r="G19" i="5" l="1"/>
  <c r="H19" i="5" s="1"/>
  <c r="J19" i="5" s="1"/>
  <c r="B18" i="5"/>
  <c r="CC46" i="2" l="1"/>
  <c r="CC46" i="18"/>
  <c r="I19" i="5"/>
  <c r="G20" i="5" l="1"/>
  <c r="H20" i="5" s="1"/>
  <c r="J20" i="5" s="1"/>
  <c r="B19" i="5"/>
  <c r="CD46" i="2" l="1"/>
  <c r="CD46" i="18"/>
  <c r="I20" i="5"/>
  <c r="G21" i="5" l="1"/>
  <c r="H21" i="5" s="1"/>
  <c r="J21" i="5" s="1"/>
  <c r="B20" i="5"/>
  <c r="CE46" i="2" l="1"/>
  <c r="CE46" i="18"/>
  <c r="I21" i="5"/>
  <c r="G22" i="5" l="1"/>
  <c r="H22" i="5" s="1"/>
  <c r="J22" i="5" s="1"/>
  <c r="B21" i="5"/>
  <c r="CF46" i="2" l="1"/>
  <c r="CF46" i="18"/>
  <c r="I22" i="5"/>
  <c r="G23" i="5" l="1"/>
  <c r="H23" i="5" s="1"/>
  <c r="J23" i="5" s="1"/>
  <c r="B22" i="5"/>
  <c r="CG46" i="2" l="1"/>
  <c r="CG46" i="18"/>
  <c r="I23" i="5"/>
  <c r="G24" i="5" l="1"/>
  <c r="H24" i="5" s="1"/>
  <c r="J24" i="5" s="1"/>
  <c r="B23" i="5"/>
  <c r="CH46" i="2" l="1"/>
  <c r="CH46" i="18"/>
  <c r="I24" i="5"/>
  <c r="G25" i="5" l="1"/>
  <c r="H25" i="5" s="1"/>
  <c r="J25" i="5" s="1"/>
  <c r="B24" i="5"/>
  <c r="CI46" i="2" l="1"/>
  <c r="CI46" i="18"/>
  <c r="I25" i="5"/>
  <c r="G26" i="5" l="1"/>
  <c r="H26" i="5" s="1"/>
  <c r="J26" i="5" s="1"/>
  <c r="B25" i="5"/>
  <c r="CJ46" i="2" l="1"/>
  <c r="CJ46" i="18"/>
  <c r="I26" i="5"/>
  <c r="B26" i="5" s="1"/>
  <c r="CK46" i="2" l="1"/>
  <c r="CK46" i="18"/>
  <c r="AZ61" i="12" l="1"/>
  <c r="BA61" i="12" s="1"/>
  <c r="F23" i="14"/>
  <c r="I45" i="12"/>
  <c r="I46" i="12" s="1"/>
  <c r="E61" i="12"/>
  <c r="I49" i="12"/>
  <c r="CM24" i="12"/>
  <c r="CM25" i="12" s="1"/>
  <c r="CM29" i="12" s="1"/>
  <c r="CN24" i="12"/>
  <c r="CN25" i="12" s="1"/>
  <c r="CN29" i="12" s="1"/>
  <c r="CL24" i="12"/>
  <c r="CL25" i="12" s="1"/>
  <c r="O40" i="12"/>
  <c r="R40" i="12"/>
  <c r="CL29" i="12" l="1"/>
  <c r="G61" i="12"/>
  <c r="K61" i="12" s="1"/>
  <c r="AR61" i="12" s="1"/>
  <c r="I61" i="12" s="1"/>
  <c r="Z61" i="12"/>
  <c r="AQ62" i="12"/>
  <c r="Q23" i="14"/>
  <c r="AI24" i="14"/>
  <c r="G23" i="14"/>
  <c r="L49" i="12"/>
  <c r="R49" i="12"/>
  <c r="R39" i="12"/>
  <c r="AZ64" i="12"/>
  <c r="O39" i="12"/>
  <c r="AZ63" i="12"/>
  <c r="O49" i="12"/>
  <c r="AZ62" i="12" l="1"/>
  <c r="BA62" i="12" s="1"/>
  <c r="BA63" i="12" s="1"/>
  <c r="BA64" i="12" s="1"/>
  <c r="L45" i="12"/>
  <c r="O45" i="12" s="1"/>
  <c r="AB23" i="14"/>
  <c r="AC23" i="14" s="1"/>
  <c r="AD23" i="14" s="1"/>
  <c r="L23" i="14"/>
  <c r="C24" i="14"/>
  <c r="B62" i="12"/>
  <c r="O61" i="12"/>
  <c r="AJ61" i="12"/>
  <c r="AK61" i="12" s="1"/>
  <c r="AL61" i="12" s="1"/>
  <c r="D50" i="12"/>
  <c r="L46" i="12" l="1"/>
  <c r="G62" i="12"/>
  <c r="AN62" i="12"/>
  <c r="D62" i="12" s="1"/>
  <c r="C62" i="12"/>
  <c r="S62" i="12"/>
  <c r="N24" i="14"/>
  <c r="G24" i="14"/>
  <c r="J23" i="14"/>
  <c r="H23" i="14" s="1"/>
  <c r="D24" i="14"/>
  <c r="AF24" i="14"/>
  <c r="F24" i="14" s="1"/>
  <c r="R24" i="14"/>
  <c r="R45" i="12"/>
  <c r="O46" i="12"/>
  <c r="E62" i="12" l="1"/>
  <c r="AQ63" i="12" s="1"/>
  <c r="K62" i="12"/>
  <c r="AR62" i="12" s="1"/>
  <c r="I62" i="12" s="1"/>
  <c r="V62" i="12" s="1"/>
  <c r="E24" i="14"/>
  <c r="J24" i="14"/>
  <c r="H24" i="14" s="1"/>
  <c r="I24" i="14" s="1"/>
  <c r="Q24" i="14" s="1"/>
  <c r="AI25" i="14"/>
  <c r="I23" i="14"/>
  <c r="R46" i="12"/>
  <c r="U45" i="12"/>
  <c r="Z62" i="12" l="1"/>
  <c r="AJ62" i="12" s="1"/>
  <c r="AK62" i="12" s="1"/>
  <c r="AL62" i="12" s="1"/>
  <c r="AB24" i="14"/>
  <c r="AC24" i="14" s="1"/>
  <c r="AD24" i="14" s="1"/>
  <c r="L24" i="14"/>
  <c r="C25" i="14"/>
  <c r="O62" i="12" l="1"/>
  <c r="B63" i="12"/>
  <c r="C63" i="12" s="1"/>
  <c r="AF25" i="14"/>
  <c r="E25" i="14" s="1"/>
  <c r="N25" i="14"/>
  <c r="G25" i="14"/>
  <c r="R25" i="14"/>
  <c r="D25" i="14"/>
  <c r="AN63" i="12" l="1"/>
  <c r="D63" i="12" s="1"/>
  <c r="S63" i="12"/>
  <c r="G63" i="12"/>
  <c r="F25" i="14"/>
  <c r="AI26" i="14" s="1"/>
  <c r="J25" i="14"/>
  <c r="H25" i="14" s="1"/>
  <c r="I25" i="14" s="1"/>
  <c r="K63" i="12" l="1"/>
  <c r="AR63" i="12" s="1"/>
  <c r="I63" i="12" s="1"/>
  <c r="E63" i="12"/>
  <c r="AQ64" i="12" s="1"/>
  <c r="Q25" i="14"/>
  <c r="AB25" i="14" s="1"/>
  <c r="AC25" i="14" s="1"/>
  <c r="AD25" i="14" s="1"/>
  <c r="Z63" i="12" l="1"/>
  <c r="C26" i="14"/>
  <c r="R26" i="14" s="1"/>
  <c r="L25" i="14"/>
  <c r="AJ63" i="12" l="1"/>
  <c r="AK63" i="12" s="1"/>
  <c r="AL63" i="12" s="1"/>
  <c r="O63" i="12"/>
  <c r="B64" i="12"/>
  <c r="S64" i="12" s="1"/>
  <c r="G26" i="14"/>
  <c r="N26" i="14"/>
  <c r="D26" i="14"/>
  <c r="AF26" i="14"/>
  <c r="J26" i="14" s="1"/>
  <c r="H26" i="14" s="1"/>
  <c r="I26" i="14" s="1"/>
  <c r="AN64" i="12" l="1"/>
  <c r="D64" i="12" s="1"/>
  <c r="G64" i="12"/>
  <c r="C64" i="12"/>
  <c r="E26" i="14"/>
  <c r="F26" i="14"/>
  <c r="AI27" i="14" s="1"/>
  <c r="E64" i="12"/>
  <c r="AQ65" i="12" s="1"/>
  <c r="K64" i="12"/>
  <c r="AR64" i="12" s="1"/>
  <c r="I64" i="12" s="1"/>
  <c r="V64" i="12" s="1"/>
  <c r="Q26" i="14" l="1"/>
  <c r="L26" i="14" s="1"/>
  <c r="Z64" i="12"/>
  <c r="AJ64" i="12" s="1"/>
  <c r="AK64" i="12" s="1"/>
  <c r="AL64" i="12" s="1"/>
  <c r="C27" i="14" l="1"/>
  <c r="D27" i="14" s="1"/>
  <c r="O64" i="12"/>
  <c r="B65" i="12"/>
  <c r="S65" i="12" s="1"/>
  <c r="AB26" i="14"/>
  <c r="AC26" i="14" s="1"/>
  <c r="AD26" i="14" s="1"/>
  <c r="R27" i="14" l="1"/>
  <c r="N27" i="14"/>
  <c r="G27" i="14"/>
  <c r="AF27" i="14"/>
  <c r="J27" i="14" s="1"/>
  <c r="H27" i="14" s="1"/>
  <c r="I27" i="14" s="1"/>
  <c r="G65" i="12"/>
  <c r="AN65" i="12"/>
  <c r="D65" i="12" s="1"/>
  <c r="C65" i="12"/>
  <c r="F27" i="14" l="1"/>
  <c r="AI28" i="14" s="1"/>
  <c r="E27" i="14"/>
  <c r="E65" i="12"/>
  <c r="AQ66" i="12" s="1"/>
  <c r="K65" i="12"/>
  <c r="AR65" i="12" s="1"/>
  <c r="I65" i="12" s="1"/>
  <c r="Q27" i="14" l="1"/>
  <c r="L27" i="14" s="1"/>
  <c r="Z65" i="12"/>
  <c r="AJ65" i="12" l="1"/>
  <c r="AK65" i="12" s="1"/>
  <c r="AL65" i="12" s="1"/>
  <c r="AB27" i="14"/>
  <c r="AC27" i="14" s="1"/>
  <c r="AD27" i="14" s="1"/>
  <c r="C28" i="14"/>
  <c r="D28" i="14" s="1"/>
  <c r="B66" i="12"/>
  <c r="C66" i="12" s="1"/>
  <c r="O65" i="12"/>
  <c r="AF28" i="14"/>
  <c r="E28" i="14" s="1"/>
  <c r="G28" i="14"/>
  <c r="N28" i="14"/>
  <c r="R28" i="14"/>
  <c r="S66" i="12" l="1"/>
  <c r="AN66" i="12"/>
  <c r="D66" i="12" s="1"/>
  <c r="G66" i="12"/>
  <c r="F28" i="14"/>
  <c r="AI29" i="14" s="1"/>
  <c r="J28" i="14"/>
  <c r="H28" i="14" s="1"/>
  <c r="I28" i="14" s="1"/>
  <c r="K66" i="12" l="1"/>
  <c r="AR66" i="12" s="1"/>
  <c r="I66" i="12" s="1"/>
  <c r="V66" i="12" s="1"/>
  <c r="E66" i="12"/>
  <c r="AQ67" i="12" s="1"/>
  <c r="Q28" i="14"/>
  <c r="C29" i="14" s="1"/>
  <c r="D29" i="14" s="1"/>
  <c r="Z66" i="12" l="1"/>
  <c r="B67" i="12" s="1"/>
  <c r="C67" i="12" s="1"/>
  <c r="N29" i="14"/>
  <c r="AF29" i="14"/>
  <c r="E29" i="14" s="1"/>
  <c r="G29" i="14"/>
  <c r="R29" i="14"/>
  <c r="AB28" i="14"/>
  <c r="AC28" i="14" s="1"/>
  <c r="AD28" i="14" s="1"/>
  <c r="L28" i="14"/>
  <c r="S67" i="12" l="1"/>
  <c r="G67" i="12"/>
  <c r="AN67" i="12"/>
  <c r="O66" i="12"/>
  <c r="AJ66" i="12"/>
  <c r="AK66" i="12" s="1"/>
  <c r="AL66" i="12" s="1"/>
  <c r="F29" i="14"/>
  <c r="AI30" i="14" s="1"/>
  <c r="J29" i="14"/>
  <c r="H29" i="14" s="1"/>
  <c r="I29" i="14" s="1"/>
  <c r="K67" i="12" l="1"/>
  <c r="AR67" i="12" s="1"/>
  <c r="I67" i="12" s="1"/>
  <c r="E67" i="12"/>
  <c r="D67" i="12"/>
  <c r="Q29" i="14"/>
  <c r="C30" i="14" s="1"/>
  <c r="N30" i="14" s="1"/>
  <c r="Z67" i="12" l="1"/>
  <c r="AQ68" i="12"/>
  <c r="D30" i="14"/>
  <c r="R30" i="14"/>
  <c r="AF30" i="14"/>
  <c r="E30" i="14" s="1"/>
  <c r="G30" i="14"/>
  <c r="L29" i="14"/>
  <c r="AB29" i="14"/>
  <c r="AC29" i="14" s="1"/>
  <c r="AD29" i="14" s="1"/>
  <c r="B68" i="12" l="1"/>
  <c r="G68" i="12" s="1"/>
  <c r="O67" i="12"/>
  <c r="AJ67" i="12"/>
  <c r="AK67" i="12" s="1"/>
  <c r="AL67" i="12" s="1"/>
  <c r="J30" i="14"/>
  <c r="H30" i="14" s="1"/>
  <c r="I30" i="14" s="1"/>
  <c r="F30" i="14"/>
  <c r="AI31" i="14" s="1"/>
  <c r="S68" i="12" l="1"/>
  <c r="AN68" i="12"/>
  <c r="E68" i="12" s="1"/>
  <c r="AQ69" i="12" s="1"/>
  <c r="C68" i="12"/>
  <c r="Q30" i="14"/>
  <c r="AB30" i="14" s="1"/>
  <c r="AC30" i="14" s="1"/>
  <c r="AD30" i="14" s="1"/>
  <c r="D68" i="12" l="1"/>
  <c r="K68" i="12"/>
  <c r="AR68" i="12" s="1"/>
  <c r="I68" i="12" s="1"/>
  <c r="L30" i="14"/>
  <c r="C31" i="14"/>
  <c r="N31" i="14" s="1"/>
  <c r="V68" i="12" l="1"/>
  <c r="Z68" i="12" s="1"/>
  <c r="D31" i="14"/>
  <c r="G31" i="14"/>
  <c r="R31" i="14"/>
  <c r="AF31" i="14"/>
  <c r="J31" i="14" s="1"/>
  <c r="H31" i="14" s="1"/>
  <c r="I31" i="14" s="1"/>
  <c r="AJ68" i="12" l="1"/>
  <c r="AK68" i="12" s="1"/>
  <c r="AL68" i="12" s="1"/>
  <c r="O68" i="12"/>
  <c r="B69" i="12"/>
  <c r="F31" i="14"/>
  <c r="Q31" i="14" s="1"/>
  <c r="L31" i="14" s="1"/>
  <c r="E31" i="14"/>
  <c r="C69" i="12" l="1"/>
  <c r="G69" i="12"/>
  <c r="AN69" i="12"/>
  <c r="D69" i="12" s="1"/>
  <c r="E69" i="12"/>
  <c r="AQ70" i="12" s="1"/>
  <c r="S69" i="12"/>
  <c r="C32" i="14"/>
  <c r="G32" i="14" s="1"/>
  <c r="AI32" i="14"/>
  <c r="AB31" i="14"/>
  <c r="AC31" i="14" s="1"/>
  <c r="AD31" i="14" s="1"/>
  <c r="K69" i="12" l="1"/>
  <c r="AR69" i="12" s="1"/>
  <c r="I69" i="12" s="1"/>
  <c r="Z69" i="12" s="1"/>
  <c r="AF32" i="14"/>
  <c r="F32" i="14" s="1"/>
  <c r="AI33" i="14" s="1"/>
  <c r="R32" i="14"/>
  <c r="D32" i="14"/>
  <c r="N32" i="14"/>
  <c r="H32" i="14"/>
  <c r="AJ69" i="12" l="1"/>
  <c r="AK69" i="12" s="1"/>
  <c r="AL69" i="12" s="1"/>
  <c r="B70" i="12"/>
  <c r="O69" i="12"/>
  <c r="E32" i="14"/>
  <c r="J32" i="14"/>
  <c r="I32" i="14" s="1"/>
  <c r="Q32" i="14" s="1"/>
  <c r="C33" i="14" s="1"/>
  <c r="R33" i="14" s="1"/>
  <c r="G70" i="12" l="1"/>
  <c r="S70" i="12"/>
  <c r="AN70" i="12"/>
  <c r="C70" i="12"/>
  <c r="L32" i="14"/>
  <c r="AB32" i="14"/>
  <c r="AC32" i="14" s="1"/>
  <c r="AD32" i="14" s="1"/>
  <c r="N33" i="14"/>
  <c r="AF33" i="14"/>
  <c r="E33" i="14" s="1"/>
  <c r="D33" i="14"/>
  <c r="G33" i="14"/>
  <c r="E70" i="12" l="1"/>
  <c r="AQ71" i="12" s="1"/>
  <c r="D70" i="12"/>
  <c r="K70" i="12"/>
  <c r="AR70" i="12" s="1"/>
  <c r="I70" i="12" s="1"/>
  <c r="F33" i="14"/>
  <c r="AI34" i="14" s="1"/>
  <c r="J33" i="14"/>
  <c r="H33" i="14"/>
  <c r="V70" i="12" l="1"/>
  <c r="Z70" i="12" s="1"/>
  <c r="I33" i="14"/>
  <c r="Q33" i="14" s="1"/>
  <c r="C34" i="14" s="1"/>
  <c r="G34" i="14" s="1"/>
  <c r="B71" i="12" l="1"/>
  <c r="O70" i="12"/>
  <c r="AJ70" i="12"/>
  <c r="AK70" i="12" s="1"/>
  <c r="AL70" i="12" s="1"/>
  <c r="L33" i="14"/>
  <c r="AB33" i="14"/>
  <c r="AC33" i="14" s="1"/>
  <c r="AD33" i="14" s="1"/>
  <c r="D34" i="14"/>
  <c r="AF34" i="14"/>
  <c r="J34" i="14" s="1"/>
  <c r="H34" i="14" s="1"/>
  <c r="I34" i="14" s="1"/>
  <c r="N34" i="14"/>
  <c r="R34" i="14"/>
  <c r="AN71" i="12" l="1"/>
  <c r="E71" i="12" s="1"/>
  <c r="AQ72" i="12" s="1"/>
  <c r="S71" i="12"/>
  <c r="C71" i="12"/>
  <c r="G71" i="12"/>
  <c r="F34" i="14"/>
  <c r="AI35" i="14" s="1"/>
  <c r="E34" i="14"/>
  <c r="K71" i="12" l="1"/>
  <c r="AR71" i="12" s="1"/>
  <c r="I71" i="12" s="1"/>
  <c r="Z71" i="12" s="1"/>
  <c r="D71" i="12"/>
  <c r="Q34" i="14"/>
  <c r="C35" i="14" s="1"/>
  <c r="D35" i="14" s="1"/>
  <c r="K35" i="14" s="1"/>
  <c r="AJ71" i="12" l="1"/>
  <c r="AK71" i="12" s="1"/>
  <c r="AL71" i="12" s="1"/>
  <c r="B72" i="12"/>
  <c r="O71" i="12"/>
  <c r="N35" i="14"/>
  <c r="R35" i="14"/>
  <c r="AF35" i="14"/>
  <c r="E35" i="14" s="1"/>
  <c r="G35" i="14"/>
  <c r="AB34" i="14"/>
  <c r="AC34" i="14" s="1"/>
  <c r="AD34" i="14" s="1"/>
  <c r="L34" i="14"/>
  <c r="S72" i="12" l="1"/>
  <c r="C72" i="12"/>
  <c r="G72" i="12"/>
  <c r="AN72" i="12"/>
  <c r="E72" i="12" s="1"/>
  <c r="AQ73" i="12" s="1"/>
  <c r="F35" i="14"/>
  <c r="AI36" i="14" s="1"/>
  <c r="J35" i="14"/>
  <c r="H35" i="14" s="1"/>
  <c r="I35" i="14" s="1"/>
  <c r="K72" i="12" l="1"/>
  <c r="AR72" i="12" s="1"/>
  <c r="I72" i="12" s="1"/>
  <c r="V72" i="12" s="1"/>
  <c r="D72" i="12"/>
  <c r="Q35" i="14"/>
  <c r="AB35" i="14" s="1"/>
  <c r="AC35" i="14" s="1"/>
  <c r="AD35" i="14" s="1"/>
  <c r="Z72" i="12" l="1"/>
  <c r="M35" i="14"/>
  <c r="L35" i="14"/>
  <c r="C36" i="14"/>
  <c r="AF36" i="14" s="1"/>
  <c r="F36" i="14" s="1"/>
  <c r="AI37" i="14" s="1"/>
  <c r="N36" i="14" l="1"/>
  <c r="AJ72" i="12"/>
  <c r="AK72" i="12" s="1"/>
  <c r="AL72" i="12" s="1"/>
  <c r="O72" i="12"/>
  <c r="B73" i="12"/>
  <c r="R36" i="14"/>
  <c r="P35" i="14"/>
  <c r="AA35" i="14" s="1"/>
  <c r="E36" i="14"/>
  <c r="J36" i="14"/>
  <c r="G36" i="14"/>
  <c r="H36" i="14"/>
  <c r="AN73" i="12" l="1"/>
  <c r="G73" i="12"/>
  <c r="C73" i="12"/>
  <c r="M73" i="12" s="1"/>
  <c r="D73" i="12"/>
  <c r="S73" i="12"/>
  <c r="I36" i="14"/>
  <c r="Q36" i="14" s="1"/>
  <c r="L36" i="14" s="1"/>
  <c r="E73" i="12" l="1"/>
  <c r="AQ74" i="12" s="1"/>
  <c r="K73" i="12"/>
  <c r="AR73" i="12" s="1"/>
  <c r="I73" i="12" s="1"/>
  <c r="AB36" i="14"/>
  <c r="AC36" i="14" s="1"/>
  <c r="AD36" i="14" s="1"/>
  <c r="C37" i="14"/>
  <c r="R37" i="14" s="1"/>
  <c r="Z73" i="12" l="1"/>
  <c r="N37" i="14"/>
  <c r="G37" i="14"/>
  <c r="AF37" i="14"/>
  <c r="J37" i="14" s="1"/>
  <c r="D37" i="14"/>
  <c r="K37" i="14" s="1"/>
  <c r="H37" i="14"/>
  <c r="AJ73" i="12" l="1"/>
  <c r="AK73" i="12" s="1"/>
  <c r="AL73" i="12" s="1"/>
  <c r="B74" i="12"/>
  <c r="O73" i="12"/>
  <c r="Q73" i="12"/>
  <c r="X73" i="12" s="1"/>
  <c r="AI73" i="12" s="1"/>
  <c r="F37" i="14"/>
  <c r="AI38" i="14" s="1"/>
  <c r="E37" i="14"/>
  <c r="I37" i="14"/>
  <c r="AN74" i="12" l="1"/>
  <c r="D74" i="12" s="1"/>
  <c r="E74" i="12"/>
  <c r="C74" i="12"/>
  <c r="M74" i="12" s="1"/>
  <c r="S74" i="12"/>
  <c r="G74" i="12"/>
  <c r="K74" i="12" s="1"/>
  <c r="AR74" i="12" s="1"/>
  <c r="I74" i="12" s="1"/>
  <c r="Q37" i="14"/>
  <c r="AB37" i="14" s="1"/>
  <c r="AC37" i="14" s="1"/>
  <c r="AD37" i="14" s="1"/>
  <c r="D36" i="14" l="1"/>
  <c r="K36" i="14" s="1"/>
  <c r="M36" i="14" s="1"/>
  <c r="P36" i="14" s="1"/>
  <c r="AA36" i="14" s="1"/>
  <c r="V74" i="12"/>
  <c r="Z74" i="12" s="1"/>
  <c r="Q74" i="12" s="1"/>
  <c r="AQ75" i="12"/>
  <c r="L37" i="14"/>
  <c r="M37" i="14"/>
  <c r="C38" i="14"/>
  <c r="N38" i="14" s="1"/>
  <c r="AJ74" i="12" l="1"/>
  <c r="AK74" i="12" s="1"/>
  <c r="AL74" i="12" s="1"/>
  <c r="O74" i="12"/>
  <c r="X74" i="12" s="1"/>
  <c r="AI74" i="12" s="1"/>
  <c r="B75" i="12"/>
  <c r="P37" i="14"/>
  <c r="AA37" i="14" s="1"/>
  <c r="R38" i="14"/>
  <c r="AF38" i="14"/>
  <c r="E38" i="14" s="1"/>
  <c r="G38" i="14"/>
  <c r="D38" i="14"/>
  <c r="K38" i="14" s="1"/>
  <c r="G75" i="12" l="1"/>
  <c r="AN75" i="12"/>
  <c r="S75" i="12"/>
  <c r="C75" i="12"/>
  <c r="M75" i="12" s="1"/>
  <c r="F38" i="14"/>
  <c r="AI39" i="14" s="1"/>
  <c r="J38" i="14"/>
  <c r="H38" i="14" s="1"/>
  <c r="I38" i="14" s="1"/>
  <c r="E75" i="12" l="1"/>
  <c r="AQ76" i="12" s="1"/>
  <c r="K75" i="12"/>
  <c r="AR75" i="12" s="1"/>
  <c r="I75" i="12" s="1"/>
  <c r="D75" i="12"/>
  <c r="Q38" i="14"/>
  <c r="C39" i="14" s="1"/>
  <c r="AF39" i="14" s="1"/>
  <c r="E39" i="14" s="1"/>
  <c r="Q75" i="12" l="1"/>
  <c r="Z75" i="12"/>
  <c r="AB38" i="14"/>
  <c r="AC38" i="14" s="1"/>
  <c r="AD38" i="14" s="1"/>
  <c r="L38" i="14"/>
  <c r="J39" i="14"/>
  <c r="M38" i="14"/>
  <c r="P38" i="14" s="1"/>
  <c r="AA38" i="14" s="1"/>
  <c r="F39" i="14"/>
  <c r="AI40" i="14" s="1"/>
  <c r="R39" i="14"/>
  <c r="N39" i="14"/>
  <c r="D39" i="14"/>
  <c r="K39" i="14" s="1"/>
  <c r="G39" i="14"/>
  <c r="H39" i="14"/>
  <c r="AJ75" i="12" l="1"/>
  <c r="AK75" i="12" s="1"/>
  <c r="AL75" i="12" s="1"/>
  <c r="O75" i="12"/>
  <c r="X75" i="12" s="1"/>
  <c r="AI75" i="12" s="1"/>
  <c r="B76" i="12"/>
  <c r="I39" i="14"/>
  <c r="Q39" i="14" s="1"/>
  <c r="AN76" i="12" l="1"/>
  <c r="D76" i="12" s="1"/>
  <c r="G76" i="12"/>
  <c r="C76" i="12"/>
  <c r="M76" i="12" s="1"/>
  <c r="S76" i="12"/>
  <c r="K76" i="12" s="1"/>
  <c r="AR76" i="12" s="1"/>
  <c r="I76" i="12" s="1"/>
  <c r="V76" i="12" s="1"/>
  <c r="M39" i="14"/>
  <c r="AB39" i="14"/>
  <c r="AC39" i="14" s="1"/>
  <c r="AD39" i="14" s="1"/>
  <c r="L39" i="14"/>
  <c r="C40" i="14"/>
  <c r="N40" i="14" s="1"/>
  <c r="E76" i="12" l="1"/>
  <c r="P39" i="14"/>
  <c r="AA39" i="14" s="1"/>
  <c r="AF40" i="14"/>
  <c r="J40" i="14" s="1"/>
  <c r="R40" i="14"/>
  <c r="D40" i="14"/>
  <c r="K40" i="14" s="1"/>
  <c r="G40" i="14"/>
  <c r="H40" i="14"/>
  <c r="AQ77" i="12" l="1"/>
  <c r="Z76" i="12"/>
  <c r="F40" i="14"/>
  <c r="AI41" i="14" s="1"/>
  <c r="E40" i="14"/>
  <c r="I40" i="14"/>
  <c r="O76" i="12" l="1"/>
  <c r="B77" i="12"/>
  <c r="AJ76" i="12"/>
  <c r="AK76" i="12" s="1"/>
  <c r="AL76" i="12" s="1"/>
  <c r="Q76" i="12"/>
  <c r="X76" i="12" s="1"/>
  <c r="AI76" i="12" s="1"/>
  <c r="Q40" i="14"/>
  <c r="M40" i="14" s="1"/>
  <c r="AB40" i="14"/>
  <c r="AC40" i="14" s="1"/>
  <c r="AD40" i="14" s="1"/>
  <c r="C41" i="14"/>
  <c r="D41" i="14" s="1"/>
  <c r="L40" i="14" l="1"/>
  <c r="AN77" i="12"/>
  <c r="E77" i="12" s="1"/>
  <c r="AQ78" i="12" s="1"/>
  <c r="D77" i="12"/>
  <c r="C77" i="12"/>
  <c r="M77" i="12" s="1"/>
  <c r="S77" i="12"/>
  <c r="G77" i="12"/>
  <c r="P40" i="14"/>
  <c r="AA40" i="14" s="1"/>
  <c r="N41" i="14"/>
  <c r="G41" i="14"/>
  <c r="F41" i="14"/>
  <c r="AI42" i="14" s="1"/>
  <c r="AF41" i="14"/>
  <c r="E41" i="14" s="1"/>
  <c r="R41" i="14"/>
  <c r="K41" i="14"/>
  <c r="K77" i="12" l="1"/>
  <c r="AR77" i="12" s="1"/>
  <c r="J41" i="14"/>
  <c r="H41" i="14" s="1"/>
  <c r="I41" i="14" s="1"/>
  <c r="Q41" i="14" s="1"/>
  <c r="C42" i="14" s="1"/>
  <c r="I77" i="12" l="1"/>
  <c r="Z77" i="12" s="1"/>
  <c r="M41" i="14"/>
  <c r="AB41" i="14"/>
  <c r="AC41" i="14" s="1"/>
  <c r="AD41" i="14" s="1"/>
  <c r="L41" i="14"/>
  <c r="N42" i="14"/>
  <c r="J42" i="14" s="1"/>
  <c r="H42" i="14" s="1"/>
  <c r="I42" i="14" s="1"/>
  <c r="F42" i="14"/>
  <c r="AI43" i="14" s="1"/>
  <c r="K42" i="14"/>
  <c r="AF42" i="14"/>
  <c r="E42" i="14" s="1"/>
  <c r="G42" i="14"/>
  <c r="D42" i="14"/>
  <c r="R42" i="14"/>
  <c r="AJ77" i="12" l="1"/>
  <c r="AK77" i="12" s="1"/>
  <c r="AL77" i="12" s="1"/>
  <c r="B78" i="12"/>
  <c r="O77" i="12"/>
  <c r="Q77" i="12"/>
  <c r="P41" i="14"/>
  <c r="AA41" i="14" s="1"/>
  <c r="Q42" i="14"/>
  <c r="AB42" i="14" s="1"/>
  <c r="AC42" i="14" s="1"/>
  <c r="AD42" i="14" s="1"/>
  <c r="S78" i="12" l="1"/>
  <c r="G78" i="12"/>
  <c r="C78" i="12"/>
  <c r="M78" i="12" s="1"/>
  <c r="AN78" i="12"/>
  <c r="D78" i="12" s="1"/>
  <c r="E78" i="12"/>
  <c r="X77" i="12"/>
  <c r="AI77" i="12" s="1"/>
  <c r="M42" i="14"/>
  <c r="C43" i="14"/>
  <c r="F43" i="14" s="1"/>
  <c r="L42" i="14"/>
  <c r="K78" i="12" l="1"/>
  <c r="AR78" i="12" s="1"/>
  <c r="I78" i="12" s="1"/>
  <c r="V78" i="12" s="1"/>
  <c r="AQ79" i="12"/>
  <c r="P42" i="14"/>
  <c r="AA42" i="14" s="1"/>
  <c r="R43" i="14"/>
  <c r="K43" i="14"/>
  <c r="N43" i="14"/>
  <c r="J43" i="14" s="1"/>
  <c r="H43" i="14" s="1"/>
  <c r="I43" i="14" s="1"/>
  <c r="Q43" i="14" s="1"/>
  <c r="D43" i="14"/>
  <c r="AF43" i="14"/>
  <c r="E43" i="14" s="1"/>
  <c r="G43" i="14"/>
  <c r="AI44" i="14"/>
  <c r="Z78" i="12" l="1"/>
  <c r="AB43" i="14"/>
  <c r="AC43" i="14" s="1"/>
  <c r="AD43" i="14" s="1"/>
  <c r="C44" i="14"/>
  <c r="L43" i="14"/>
  <c r="M43" i="14"/>
  <c r="Q78" i="12" l="1"/>
  <c r="B79" i="12"/>
  <c r="O78" i="12"/>
  <c r="AJ78" i="12"/>
  <c r="AK78" i="12" s="1"/>
  <c r="AL78" i="12" s="1"/>
  <c r="P43" i="14"/>
  <c r="AA43" i="14" s="1"/>
  <c r="G44" i="14"/>
  <c r="AF44" i="14"/>
  <c r="E44" i="14" s="1"/>
  <c r="R44" i="14"/>
  <c r="N44" i="14"/>
  <c r="J44" i="14" s="1"/>
  <c r="H44" i="14" s="1"/>
  <c r="K44" i="14"/>
  <c r="F44" i="14"/>
  <c r="AI45" i="14" s="1"/>
  <c r="X78" i="12" l="1"/>
  <c r="AI78" i="12" s="1"/>
  <c r="G79" i="12"/>
  <c r="AN79" i="12"/>
  <c r="K79" i="12" s="1"/>
  <c r="I79" i="12" s="1"/>
  <c r="Z79" i="12" s="1"/>
  <c r="S79" i="12"/>
  <c r="AR79" i="12"/>
  <c r="M79" i="12"/>
  <c r="E79" i="12"/>
  <c r="AQ80" i="12" s="1"/>
  <c r="D79" i="12"/>
  <c r="I44" i="14"/>
  <c r="Q44" i="14" s="1"/>
  <c r="M44" i="14" s="1"/>
  <c r="O79" i="12" l="1"/>
  <c r="B80" i="12"/>
  <c r="AJ79" i="12"/>
  <c r="AK79" i="12" s="1"/>
  <c r="AL79" i="12" s="1"/>
  <c r="Q79" i="12"/>
  <c r="X79" i="12" s="1"/>
  <c r="AI79" i="12" s="1"/>
  <c r="C45" i="14"/>
  <c r="L44" i="14"/>
  <c r="P44" i="14" s="1"/>
  <c r="AA44" i="14" s="1"/>
  <c r="AB44" i="14"/>
  <c r="AC44" i="14" s="1"/>
  <c r="AD44" i="14" s="1"/>
  <c r="S80" i="12" l="1"/>
  <c r="AN80" i="12"/>
  <c r="D80" i="12" s="1"/>
  <c r="G80" i="12"/>
  <c r="M80" i="12"/>
  <c r="AR80" i="12"/>
  <c r="E80" i="12"/>
  <c r="AQ81" i="12" s="1"/>
  <c r="G45" i="14"/>
  <c r="N45" i="14"/>
  <c r="J45" i="14" s="1"/>
  <c r="H45" i="14" s="1"/>
  <c r="I45" i="14" s="1"/>
  <c r="AF45" i="14"/>
  <c r="E45" i="14" s="1"/>
  <c r="K45" i="14"/>
  <c r="R45" i="14"/>
  <c r="F45" i="14"/>
  <c r="K80" i="12" l="1"/>
  <c r="I80" i="12" s="1"/>
  <c r="AI46" i="14"/>
  <c r="Q45" i="14"/>
  <c r="M45" i="14" s="1"/>
  <c r="V80" i="12" l="1"/>
  <c r="Z80" i="12" s="1"/>
  <c r="L45" i="14"/>
  <c r="P45" i="14" s="1"/>
  <c r="AA45" i="14" s="1"/>
  <c r="AB45" i="14"/>
  <c r="AC45" i="14" s="1"/>
  <c r="AD45" i="14" s="1"/>
  <c r="C46" i="14"/>
  <c r="B81" i="12" l="1"/>
  <c r="AJ80" i="12"/>
  <c r="AK80" i="12" s="1"/>
  <c r="AL80" i="12" s="1"/>
  <c r="O80" i="12"/>
  <c r="Q80" i="12"/>
  <c r="F46" i="14"/>
  <c r="N46" i="14"/>
  <c r="J46" i="14" s="1"/>
  <c r="H46" i="14" s="1"/>
  <c r="I46" i="14" s="1"/>
  <c r="AF46" i="14"/>
  <c r="E46" i="14" s="1"/>
  <c r="R46" i="14"/>
  <c r="G46" i="14"/>
  <c r="K46" i="14"/>
  <c r="X80" i="12" l="1"/>
  <c r="AI80" i="12" s="1"/>
  <c r="G81" i="12"/>
  <c r="M81" i="12"/>
  <c r="AN81" i="12"/>
  <c r="D81" i="12" s="1"/>
  <c r="S81" i="12"/>
  <c r="E81" i="12"/>
  <c r="AQ82" i="12" s="1"/>
  <c r="AR81" i="12"/>
  <c r="AI47" i="14"/>
  <c r="Q46" i="14"/>
  <c r="K81" i="12" l="1"/>
  <c r="I81" i="12" s="1"/>
  <c r="Z81" i="12" s="1"/>
  <c r="M46" i="14"/>
  <c r="AB46" i="14"/>
  <c r="AC46" i="14" s="1"/>
  <c r="AD46" i="14" s="1"/>
  <c r="C47" i="14"/>
  <c r="L46" i="14"/>
  <c r="AJ81" i="12" l="1"/>
  <c r="AK81" i="12" s="1"/>
  <c r="AL81" i="12" s="1"/>
  <c r="B82" i="12"/>
  <c r="AR82" i="12" s="1"/>
  <c r="O81" i="12"/>
  <c r="Q81" i="12"/>
  <c r="X81" i="12" s="1"/>
  <c r="AI81" i="12" s="1"/>
  <c r="P46" i="14"/>
  <c r="AA46" i="14" s="1"/>
  <c r="R47" i="14"/>
  <c r="F47" i="14"/>
  <c r="AI48" i="14" s="1"/>
  <c r="K47" i="14"/>
  <c r="G47" i="14"/>
  <c r="AF47" i="14"/>
  <c r="E47" i="14" s="1"/>
  <c r="N47" i="14"/>
  <c r="J47" i="14" s="1"/>
  <c r="H47" i="14" s="1"/>
  <c r="G82" i="12" l="1"/>
  <c r="AN82" i="12"/>
  <c r="D82" i="12" s="1"/>
  <c r="S82" i="12"/>
  <c r="M82" i="12"/>
  <c r="I47" i="14"/>
  <c r="Q47" i="14" s="1"/>
  <c r="M47" i="14" s="1"/>
  <c r="D44" i="14"/>
  <c r="E82" i="12" l="1"/>
  <c r="AQ83" i="12" s="1"/>
  <c r="K82" i="12"/>
  <c r="I82" i="12" s="1"/>
  <c r="C48" i="14"/>
  <c r="L47" i="14"/>
  <c r="P47" i="14" s="1"/>
  <c r="AA47" i="14" s="1"/>
  <c r="AB47" i="14"/>
  <c r="AC47" i="14" s="1"/>
  <c r="AD47" i="14" s="1"/>
  <c r="V82" i="12" l="1"/>
  <c r="Z82" i="12" s="1"/>
  <c r="R48" i="14"/>
  <c r="F48" i="14"/>
  <c r="K48" i="14"/>
  <c r="G48" i="14"/>
  <c r="AF48" i="14"/>
  <c r="E48" i="14" s="1"/>
  <c r="N48" i="14"/>
  <c r="J48" i="14" s="1"/>
  <c r="AJ82" i="12" l="1"/>
  <c r="AK82" i="12" s="1"/>
  <c r="AL82" i="12" s="1"/>
  <c r="Q82" i="12"/>
  <c r="B83" i="12"/>
  <c r="O82" i="12"/>
  <c r="H48" i="14"/>
  <c r="I48" i="14" s="1"/>
  <c r="Q48" i="14" s="1"/>
  <c r="AI49" i="14"/>
  <c r="X82" i="12" l="1"/>
  <c r="AI82" i="12" s="1"/>
  <c r="AN83" i="12"/>
  <c r="S83" i="12"/>
  <c r="G83" i="12"/>
  <c r="D83" i="12"/>
  <c r="M83" i="12"/>
  <c r="M48" i="14"/>
  <c r="AB48" i="14"/>
  <c r="AC48" i="14" s="1"/>
  <c r="AD48" i="14" s="1"/>
  <c r="C49" i="14"/>
  <c r="L48" i="14"/>
  <c r="E83" i="12" l="1"/>
  <c r="AQ84" i="12" s="1"/>
  <c r="K83" i="12"/>
  <c r="AR83" i="12" s="1"/>
  <c r="I83" i="12" s="1"/>
  <c r="P48" i="14"/>
  <c r="AA48" i="14" s="1"/>
  <c r="K49" i="14"/>
  <c r="N49" i="14"/>
  <c r="J49" i="14" s="1"/>
  <c r="H49" i="14" s="1"/>
  <c r="I49" i="14" s="1"/>
  <c r="F49" i="14"/>
  <c r="G49" i="14"/>
  <c r="R49" i="14"/>
  <c r="AF49" i="14"/>
  <c r="E49" i="14" s="1"/>
  <c r="D45" i="14" l="1"/>
  <c r="Z83" i="12"/>
  <c r="AI50" i="14"/>
  <c r="Q49" i="14"/>
  <c r="O83" i="12" l="1"/>
  <c r="B84" i="12"/>
  <c r="Q83" i="12"/>
  <c r="X83" i="12" s="1"/>
  <c r="AI83" i="12" s="1"/>
  <c r="AJ83" i="12"/>
  <c r="AK83" i="12" s="1"/>
  <c r="AL83" i="12" s="1"/>
  <c r="M49" i="14"/>
  <c r="L49" i="14"/>
  <c r="AB49" i="14"/>
  <c r="AC49" i="14" s="1"/>
  <c r="AD49" i="14" s="1"/>
  <c r="C50" i="14"/>
  <c r="D46" i="14"/>
  <c r="AR84" i="12" l="1"/>
  <c r="AN84" i="12"/>
  <c r="E84" i="12" s="1"/>
  <c r="AQ85" i="12" s="1"/>
  <c r="G84" i="12"/>
  <c r="M84" i="12"/>
  <c r="S84" i="12"/>
  <c r="K84" i="12" s="1"/>
  <c r="I84" i="12" s="1"/>
  <c r="V84" i="12" s="1"/>
  <c r="D84" i="12"/>
  <c r="P49" i="14"/>
  <c r="AA49" i="14" s="1"/>
  <c r="AF50" i="14"/>
  <c r="E50" i="14" s="1"/>
  <c r="R50" i="14"/>
  <c r="G50" i="14"/>
  <c r="F50" i="14"/>
  <c r="N50" i="14"/>
  <c r="J50" i="14" s="1"/>
  <c r="H50" i="14" s="1"/>
  <c r="I50" i="14" s="1"/>
  <c r="K50" i="14"/>
  <c r="Z84" i="12" l="1"/>
  <c r="AI51" i="14"/>
  <c r="Q50" i="14"/>
  <c r="Q84" i="12" l="1"/>
  <c r="O84" i="12"/>
  <c r="AJ84" i="12"/>
  <c r="AK84" i="12" s="1"/>
  <c r="AL84" i="12" s="1"/>
  <c r="B85" i="12"/>
  <c r="M50" i="14"/>
  <c r="C51" i="14"/>
  <c r="L50" i="14"/>
  <c r="AB50" i="14"/>
  <c r="AC50" i="14" s="1"/>
  <c r="AD50" i="14" s="1"/>
  <c r="G85" i="12" l="1"/>
  <c r="M85" i="12"/>
  <c r="AN85" i="12"/>
  <c r="S85" i="12"/>
  <c r="X84" i="12"/>
  <c r="AI84" i="12" s="1"/>
  <c r="P50" i="14"/>
  <c r="AA50" i="14" s="1"/>
  <c r="D47" i="14"/>
  <c r="AF51" i="14"/>
  <c r="E51" i="14" s="1"/>
  <c r="K51" i="14"/>
  <c r="R51" i="14"/>
  <c r="G51" i="14"/>
  <c r="N51" i="14"/>
  <c r="J51" i="14" s="1"/>
  <c r="H51" i="14" s="1"/>
  <c r="I51" i="14" s="1"/>
  <c r="F51" i="14"/>
  <c r="K85" i="12" l="1"/>
  <c r="AR85" i="12" s="1"/>
  <c r="I85" i="12" s="1"/>
  <c r="Z85" i="12" s="1"/>
  <c r="O85" i="12" s="1"/>
  <c r="D85" i="12"/>
  <c r="E85" i="12"/>
  <c r="AQ86" i="12" s="1"/>
  <c r="Q51" i="14"/>
  <c r="C52" i="14" s="1"/>
  <c r="AI52" i="14"/>
  <c r="B86" i="12" l="1"/>
  <c r="G86" i="12" s="1"/>
  <c r="Q85" i="12"/>
  <c r="AJ85" i="12"/>
  <c r="AK85" i="12" s="1"/>
  <c r="AL85" i="12" s="1"/>
  <c r="X85" i="12"/>
  <c r="AI85" i="12" s="1"/>
  <c r="AN86" i="12"/>
  <c r="D86" i="12" s="1"/>
  <c r="S86" i="12"/>
  <c r="M86" i="12"/>
  <c r="AR86" i="12"/>
  <c r="M51" i="14"/>
  <c r="L51" i="14"/>
  <c r="AB51" i="14"/>
  <c r="AC51" i="14" s="1"/>
  <c r="AD51" i="14" s="1"/>
  <c r="R52" i="14"/>
  <c r="K52" i="14"/>
  <c r="F52" i="14"/>
  <c r="AI53" i="14" s="1"/>
  <c r="G52" i="14"/>
  <c r="AF52" i="14"/>
  <c r="E52" i="14" s="1"/>
  <c r="N52" i="14"/>
  <c r="J52" i="14" s="1"/>
  <c r="H52" i="14" s="1"/>
  <c r="I52" i="14" s="1"/>
  <c r="K86" i="12" l="1"/>
  <c r="I86" i="12" s="1"/>
  <c r="E86" i="12"/>
  <c r="AQ87" i="12" s="1"/>
  <c r="D48" i="14"/>
  <c r="P51" i="14"/>
  <c r="AA51" i="14" s="1"/>
  <c r="Q52" i="14"/>
  <c r="AB52" i="14" s="1"/>
  <c r="AC52" i="14" s="1"/>
  <c r="AD52" i="14" s="1"/>
  <c r="V86" i="12" l="1"/>
  <c r="Z86" i="12" s="1"/>
  <c r="M52" i="14"/>
  <c r="C53" i="14"/>
  <c r="AF53" i="14" s="1"/>
  <c r="E53" i="14" s="1"/>
  <c r="L52" i="14"/>
  <c r="Q86" i="12" l="1"/>
  <c r="B87" i="12"/>
  <c r="S87" i="12" s="1"/>
  <c r="O86" i="12"/>
  <c r="AJ86" i="12"/>
  <c r="AK86" i="12" s="1"/>
  <c r="AL86" i="12" s="1"/>
  <c r="G87" i="12"/>
  <c r="M87" i="12"/>
  <c r="K53" i="14"/>
  <c r="N53" i="14"/>
  <c r="J53" i="14" s="1"/>
  <c r="H53" i="14" s="1"/>
  <c r="I53" i="14" s="1"/>
  <c r="R53" i="14"/>
  <c r="G53" i="14"/>
  <c r="F53" i="14"/>
  <c r="AI54" i="14" s="1"/>
  <c r="P52" i="14"/>
  <c r="AA52" i="14" s="1"/>
  <c r="X86" i="12" l="1"/>
  <c r="AI86" i="12" s="1"/>
  <c r="AN87" i="12"/>
  <c r="D87" i="12" s="1"/>
  <c r="D49" i="14"/>
  <c r="Q53" i="14"/>
  <c r="L53" i="14" s="1"/>
  <c r="E87" i="12" l="1"/>
  <c r="AQ88" i="12" s="1"/>
  <c r="K87" i="12"/>
  <c r="AR87" i="12" s="1"/>
  <c r="I87" i="12" s="1"/>
  <c r="Z87" i="12" s="1"/>
  <c r="AJ87" i="12" s="1"/>
  <c r="AK87" i="12" s="1"/>
  <c r="AL87" i="12" s="1"/>
  <c r="Q87" i="12"/>
  <c r="M53" i="14"/>
  <c r="P53" i="14" s="1"/>
  <c r="AA53" i="14" s="1"/>
  <c r="AB53" i="14"/>
  <c r="AC53" i="14" s="1"/>
  <c r="AD53" i="14" s="1"/>
  <c r="B88" i="12"/>
  <c r="C54" i="14"/>
  <c r="O87" i="12" l="1"/>
  <c r="X87" i="12" s="1"/>
  <c r="AI87" i="12" s="1"/>
  <c r="AR88" i="12"/>
  <c r="M88" i="12"/>
  <c r="G88" i="12"/>
  <c r="S88" i="12"/>
  <c r="AN88" i="12"/>
  <c r="D88" i="12" s="1"/>
  <c r="N54" i="14"/>
  <c r="J54" i="14" s="1"/>
  <c r="H54" i="14" s="1"/>
  <c r="I54" i="14" s="1"/>
  <c r="AF54" i="14"/>
  <c r="E54" i="14" s="1"/>
  <c r="R54" i="14"/>
  <c r="F54" i="14"/>
  <c r="G54" i="14"/>
  <c r="K54" i="14"/>
  <c r="K88" i="12" l="1"/>
  <c r="I88" i="12" s="1"/>
  <c r="V88" i="12" s="1"/>
  <c r="E88" i="12"/>
  <c r="AQ89" i="12" s="1"/>
  <c r="AI55" i="14"/>
  <c r="Q54" i="14"/>
  <c r="D50" i="14" l="1"/>
  <c r="Z88" i="12"/>
  <c r="C55" i="14"/>
  <c r="AB54" i="14"/>
  <c r="AC54" i="14" s="1"/>
  <c r="AD54" i="14" s="1"/>
  <c r="L54" i="14"/>
  <c r="M54" i="14"/>
  <c r="B89" i="12" l="1"/>
  <c r="O88" i="12"/>
  <c r="AJ88" i="12"/>
  <c r="AK88" i="12" s="1"/>
  <c r="AL88" i="12" s="1"/>
  <c r="Q88" i="12"/>
  <c r="P54" i="14"/>
  <c r="AA54" i="14" s="1"/>
  <c r="K55" i="14"/>
  <c r="R55" i="14"/>
  <c r="AF55" i="14"/>
  <c r="E55" i="14" s="1"/>
  <c r="F55" i="14"/>
  <c r="N55" i="14"/>
  <c r="J55" i="14" s="1"/>
  <c r="H55" i="14" s="1"/>
  <c r="I55" i="14" s="1"/>
  <c r="G55" i="14"/>
  <c r="D51" i="14"/>
  <c r="X88" i="12" l="1"/>
  <c r="AI88" i="12" s="1"/>
  <c r="S89" i="12"/>
  <c r="G89" i="12"/>
  <c r="M89" i="12"/>
  <c r="AN89" i="12"/>
  <c r="AR89" i="12"/>
  <c r="AI56" i="14"/>
  <c r="Q55" i="14"/>
  <c r="K89" i="12" l="1"/>
  <c r="I89" i="12" s="1"/>
  <c r="Z89" i="12" s="1"/>
  <c r="D89" i="12"/>
  <c r="E89" i="12"/>
  <c r="AQ90" i="12" s="1"/>
  <c r="C56" i="14"/>
  <c r="L55" i="14"/>
  <c r="AB55" i="14"/>
  <c r="AC55" i="14" s="1"/>
  <c r="AD55" i="14" s="1"/>
  <c r="M55" i="14"/>
  <c r="AJ89" i="12" l="1"/>
  <c r="AK89" i="12" s="1"/>
  <c r="AL89" i="12" s="1"/>
  <c r="B90" i="12"/>
  <c r="O89" i="12"/>
  <c r="Q89" i="12"/>
  <c r="P55" i="14"/>
  <c r="AA55" i="14" s="1"/>
  <c r="F56" i="14"/>
  <c r="AI57" i="14" s="1"/>
  <c r="D56" i="14"/>
  <c r="AF56" i="14"/>
  <c r="E56" i="14" s="1"/>
  <c r="K56" i="14"/>
  <c r="G56" i="14"/>
  <c r="N56" i="14"/>
  <c r="J56" i="14" s="1"/>
  <c r="H56" i="14" s="1"/>
  <c r="I56" i="14" s="1"/>
  <c r="R56" i="14"/>
  <c r="Q56" i="14" l="1"/>
  <c r="AB56" i="14" s="1"/>
  <c r="AC56" i="14" s="1"/>
  <c r="AD56" i="14" s="1"/>
  <c r="X89" i="12"/>
  <c r="AI89" i="12" s="1"/>
  <c r="G90" i="12"/>
  <c r="AN90" i="12"/>
  <c r="S90" i="12"/>
  <c r="AR90" i="12"/>
  <c r="M90" i="12"/>
  <c r="D52" i="14"/>
  <c r="L56" i="14" l="1"/>
  <c r="M56" i="14"/>
  <c r="C57" i="14"/>
  <c r="R57" i="14" s="1"/>
  <c r="E90" i="12"/>
  <c r="AQ91" i="12" s="1"/>
  <c r="D90" i="12"/>
  <c r="K90" i="12"/>
  <c r="I90" i="12" s="1"/>
  <c r="V90" i="12" l="1"/>
  <c r="Z90" i="12" s="1"/>
  <c r="G57" i="14"/>
  <c r="P56" i="14"/>
  <c r="AA56" i="14" s="1"/>
  <c r="N57" i="14"/>
  <c r="J57" i="14" s="1"/>
  <c r="H57" i="14" s="1"/>
  <c r="I57" i="14" s="1"/>
  <c r="K57" i="14"/>
  <c r="D57" i="14"/>
  <c r="AF57" i="14"/>
  <c r="E57" i="14" s="1"/>
  <c r="F57" i="14"/>
  <c r="AI58" i="14" s="1"/>
  <c r="AJ90" i="12" l="1"/>
  <c r="AK90" i="12" s="1"/>
  <c r="AL90" i="12" s="1"/>
  <c r="Q90" i="12"/>
  <c r="O90" i="12"/>
  <c r="X90" i="12" s="1"/>
  <c r="AI90" i="12" s="1"/>
  <c r="B91" i="12"/>
  <c r="AN91" i="12" s="1"/>
  <c r="E91" i="12" s="1"/>
  <c r="AQ92" i="12" s="1"/>
  <c r="Q57" i="14"/>
  <c r="C58" i="14" s="1"/>
  <c r="R58" i="14" s="1"/>
  <c r="M91" i="12"/>
  <c r="G91" i="12" l="1"/>
  <c r="D91" i="12"/>
  <c r="AR91" i="12"/>
  <c r="S91" i="12"/>
  <c r="N58" i="14"/>
  <c r="J58" i="14" s="1"/>
  <c r="H58" i="14" s="1"/>
  <c r="I58" i="14" s="1"/>
  <c r="M57" i="14"/>
  <c r="AB57" i="14"/>
  <c r="AC57" i="14" s="1"/>
  <c r="AD57" i="14" s="1"/>
  <c r="L57" i="14"/>
  <c r="G58" i="14"/>
  <c r="D58" i="14"/>
  <c r="AF58" i="14"/>
  <c r="E58" i="14" s="1"/>
  <c r="F58" i="14"/>
  <c r="AI59" i="14" s="1"/>
  <c r="K58" i="14"/>
  <c r="K91" i="12"/>
  <c r="I91" i="12" s="1"/>
  <c r="Z91" i="12" s="1"/>
  <c r="D53" i="14"/>
  <c r="D54" i="14" s="1"/>
  <c r="D55" i="14" s="1"/>
  <c r="P57" i="14" l="1"/>
  <c r="AA57" i="14" s="1"/>
  <c r="Q58" i="14"/>
  <c r="AB58" i="14" s="1"/>
  <c r="AC58" i="14" s="1"/>
  <c r="AD58" i="14" s="1"/>
  <c r="B92" i="12"/>
  <c r="G92" i="12" s="1"/>
  <c r="O91" i="12"/>
  <c r="AJ91" i="12"/>
  <c r="AK91" i="12" s="1"/>
  <c r="AL91" i="12" s="1"/>
  <c r="Q91" i="12"/>
  <c r="S92" i="12" l="1"/>
  <c r="L58" i="14"/>
  <c r="C59" i="14"/>
  <c r="F59" i="14" s="1"/>
  <c r="AI60" i="14" s="1"/>
  <c r="M58" i="14"/>
  <c r="X91" i="12"/>
  <c r="AI91" i="12" s="1"/>
  <c r="M92" i="12"/>
  <c r="AN92" i="12"/>
  <c r="E92" i="12" s="1"/>
  <c r="AQ93" i="12" s="1"/>
  <c r="K59" i="14" l="1"/>
  <c r="N59" i="14"/>
  <c r="J59" i="14" s="1"/>
  <c r="H59" i="14" s="1"/>
  <c r="I59" i="14" s="1"/>
  <c r="Q59" i="14" s="1"/>
  <c r="L59" i="14" s="1"/>
  <c r="P58" i="14"/>
  <c r="AA58" i="14" s="1"/>
  <c r="G59" i="14"/>
  <c r="D59" i="14"/>
  <c r="R59" i="14"/>
  <c r="AF59" i="14"/>
  <c r="E59" i="14" s="1"/>
  <c r="K92" i="12"/>
  <c r="AR92" i="12" s="1"/>
  <c r="I92" i="12" s="1"/>
  <c r="D92" i="12"/>
  <c r="V92" i="12" l="1"/>
  <c r="Z92" i="12" s="1"/>
  <c r="M59" i="14"/>
  <c r="P59" i="14" s="1"/>
  <c r="AA59" i="14" s="1"/>
  <c r="AB59" i="14"/>
  <c r="AC59" i="14" s="1"/>
  <c r="AD59" i="14" s="1"/>
  <c r="C60" i="14"/>
  <c r="D60" i="14" s="1"/>
  <c r="B93" i="12" l="1"/>
  <c r="AJ92" i="12"/>
  <c r="AK92" i="12" s="1"/>
  <c r="AL92" i="12" s="1"/>
  <c r="O92" i="12"/>
  <c r="Q92" i="12"/>
  <c r="X92" i="12" s="1"/>
  <c r="AI92" i="12" s="1"/>
  <c r="G60" i="14"/>
  <c r="AF60" i="14"/>
  <c r="E60" i="14" s="1"/>
  <c r="K60" i="14"/>
  <c r="F60" i="14"/>
  <c r="AI61" i="14" s="1"/>
  <c r="R60" i="14"/>
  <c r="N60" i="14"/>
  <c r="J60" i="14" s="1"/>
  <c r="H60" i="14" s="1"/>
  <c r="I60" i="14" s="1"/>
  <c r="AR93" i="12"/>
  <c r="S93" i="12" l="1"/>
  <c r="AN93" i="12"/>
  <c r="M93" i="12"/>
  <c r="G93" i="12"/>
  <c r="Q60" i="14"/>
  <c r="AB60" i="14" s="1"/>
  <c r="AC60" i="14" s="1"/>
  <c r="AD60" i="14" s="1"/>
  <c r="D93" i="12" l="1"/>
  <c r="E93" i="12"/>
  <c r="AQ94" i="12" s="1"/>
  <c r="K93" i="12"/>
  <c r="I93" i="12" s="1"/>
  <c r="Z93" i="12" s="1"/>
  <c r="O93" i="12" s="1"/>
  <c r="L60" i="14"/>
  <c r="C61" i="14"/>
  <c r="AF61" i="14" s="1"/>
  <c r="E61" i="14" s="1"/>
  <c r="M60" i="14"/>
  <c r="Q93" i="12" l="1"/>
  <c r="B94" i="12"/>
  <c r="AJ93" i="12"/>
  <c r="AK93" i="12" s="1"/>
  <c r="AL93" i="12" s="1"/>
  <c r="P60" i="14"/>
  <c r="AA60" i="14" s="1"/>
  <c r="F61" i="14"/>
  <c r="AI62" i="14" s="1"/>
  <c r="R61" i="14"/>
  <c r="N61" i="14"/>
  <c r="J61" i="14" s="1"/>
  <c r="H61" i="14" s="1"/>
  <c r="I61" i="14" s="1"/>
  <c r="G61" i="14"/>
  <c r="D61" i="14"/>
  <c r="K61" i="14"/>
  <c r="S94" i="12"/>
  <c r="G94" i="12"/>
  <c r="AN94" i="12"/>
  <c r="D94" i="12" s="1"/>
  <c r="M94" i="12"/>
  <c r="X93" i="12"/>
  <c r="AI93" i="12" s="1"/>
  <c r="Q61" i="14" l="1"/>
  <c r="M61" i="14" s="1"/>
  <c r="E94" i="12"/>
  <c r="AQ95" i="12" s="1"/>
  <c r="K94" i="12"/>
  <c r="AB61" i="14" l="1"/>
  <c r="AC61" i="14" s="1"/>
  <c r="AD61" i="14" s="1"/>
  <c r="L61" i="14"/>
  <c r="P61" i="14" s="1"/>
  <c r="AA61" i="14" s="1"/>
  <c r="C62" i="14"/>
  <c r="K62" i="14" s="1"/>
  <c r="AR94" i="12"/>
  <c r="AF62" i="14" l="1"/>
  <c r="E62" i="14" s="1"/>
  <c r="F62" i="14"/>
  <c r="AI63" i="14" s="1"/>
  <c r="N62" i="14"/>
  <c r="J62" i="14" s="1"/>
  <c r="H62" i="14" s="1"/>
  <c r="I62" i="14" s="1"/>
  <c r="R62" i="14"/>
  <c r="G62" i="14"/>
  <c r="D62" i="14"/>
  <c r="I94" i="12"/>
  <c r="V94" i="12" l="1"/>
  <c r="Z94" i="12" s="1"/>
  <c r="Q62" i="14"/>
  <c r="M62" i="14" s="1"/>
  <c r="AJ94" i="12" l="1"/>
  <c r="AK94" i="12" s="1"/>
  <c r="AL94" i="12" s="1"/>
  <c r="Q94" i="12"/>
  <c r="B95" i="12"/>
  <c r="AN95" i="12" s="1"/>
  <c r="O94" i="12"/>
  <c r="L62" i="14"/>
  <c r="P62" i="14" s="1"/>
  <c r="AA62" i="14" s="1"/>
  <c r="AB62" i="14"/>
  <c r="AC62" i="14" s="1"/>
  <c r="AD62" i="14" s="1"/>
  <c r="C63" i="14"/>
  <c r="AF63" i="14" s="1"/>
  <c r="E63" i="14" s="1"/>
  <c r="G95" i="12"/>
  <c r="X94" i="12" l="1"/>
  <c r="AI94" i="12" s="1"/>
  <c r="M95" i="12"/>
  <c r="S95" i="12"/>
  <c r="K95" i="12" s="1"/>
  <c r="K63" i="14"/>
  <c r="R63" i="14"/>
  <c r="F63" i="14"/>
  <c r="AI64" i="14" s="1"/>
  <c r="G63" i="14"/>
  <c r="N63" i="14"/>
  <c r="J63" i="14" s="1"/>
  <c r="H63" i="14" s="1"/>
  <c r="I63" i="14" s="1"/>
  <c r="D63" i="14"/>
  <c r="D95" i="12"/>
  <c r="AR95" i="12"/>
  <c r="E95" i="12"/>
  <c r="AQ96" i="12" s="1"/>
  <c r="Q63" i="14" l="1"/>
  <c r="AB63" i="14" s="1"/>
  <c r="AC63" i="14" s="1"/>
  <c r="AD63" i="14" s="1"/>
  <c r="I95" i="12"/>
  <c r="Z95" i="12" s="1"/>
  <c r="O95" i="12" l="1"/>
  <c r="L63" i="14"/>
  <c r="C64" i="14"/>
  <c r="AF64" i="14" s="1"/>
  <c r="E64" i="14" s="1"/>
  <c r="M63" i="14"/>
  <c r="P63" i="14" s="1"/>
  <c r="AA63" i="14" s="1"/>
  <c r="Q95" i="12"/>
  <c r="X95" i="12" s="1"/>
  <c r="AI95" i="12" s="1"/>
  <c r="AJ95" i="12"/>
  <c r="AK95" i="12" s="1"/>
  <c r="AL95" i="12" s="1"/>
  <c r="B96" i="12"/>
  <c r="AN96" i="12" s="1"/>
  <c r="D96" i="12" s="1"/>
  <c r="F64" i="14" l="1"/>
  <c r="AI65" i="14" s="1"/>
  <c r="K64" i="14"/>
  <c r="N64" i="14"/>
  <c r="J64" i="14" s="1"/>
  <c r="H64" i="14" s="1"/>
  <c r="I64" i="14" s="1"/>
  <c r="R64" i="14"/>
  <c r="G64" i="14"/>
  <c r="D64" i="14"/>
  <c r="S96" i="12"/>
  <c r="G96" i="12"/>
  <c r="M96" i="12"/>
  <c r="E96" i="12"/>
  <c r="AQ97" i="12" s="1"/>
  <c r="Q64" i="14" l="1"/>
  <c r="M64" i="14" s="1"/>
  <c r="K96" i="12"/>
  <c r="AR96" i="12" s="1"/>
  <c r="I96" i="12" s="1"/>
  <c r="V96" i="12" l="1"/>
  <c r="Z96" i="12" s="1"/>
  <c r="C65" i="14"/>
  <c r="AF65" i="14" s="1"/>
  <c r="E65" i="14" s="1"/>
  <c r="L64" i="14"/>
  <c r="P64" i="14" s="1"/>
  <c r="AA64" i="14" s="1"/>
  <c r="AB64" i="14"/>
  <c r="AC64" i="14" s="1"/>
  <c r="AD64" i="14" s="1"/>
  <c r="R65" i="14"/>
  <c r="F65" i="14"/>
  <c r="AI66" i="14" s="1"/>
  <c r="K65" i="14"/>
  <c r="D65" i="14"/>
  <c r="N65" i="14"/>
  <c r="J65" i="14" s="1"/>
  <c r="H65" i="14" s="1"/>
  <c r="I65" i="14" s="1"/>
  <c r="Q96" i="12" l="1"/>
  <c r="AJ96" i="12"/>
  <c r="AK96" i="12" s="1"/>
  <c r="AL96" i="12" s="1"/>
  <c r="B97" i="12"/>
  <c r="S97" i="12" s="1"/>
  <c r="O96" i="12"/>
  <c r="X96" i="12" s="1"/>
  <c r="AI96" i="12" s="1"/>
  <c r="G65" i="14"/>
  <c r="Q65" i="14"/>
  <c r="M65" i="14" s="1"/>
  <c r="AN97" i="12"/>
  <c r="E97" i="12" s="1"/>
  <c r="AQ98" i="12" s="1"/>
  <c r="G97" i="12"/>
  <c r="M97" i="12" l="1"/>
  <c r="AB65" i="14"/>
  <c r="AC65" i="14" s="1"/>
  <c r="AD65" i="14" s="1"/>
  <c r="C66" i="14"/>
  <c r="N66" i="14" s="1"/>
  <c r="J66" i="14" s="1"/>
  <c r="L65" i="14"/>
  <c r="P65" i="14" s="1"/>
  <c r="AA65" i="14" s="1"/>
  <c r="D97" i="12"/>
  <c r="K97" i="12"/>
  <c r="AR97" i="12" s="1"/>
  <c r="I97" i="12" s="1"/>
  <c r="Z97" i="12" s="1"/>
  <c r="B98" i="12" l="1"/>
  <c r="R66" i="14"/>
  <c r="F66" i="14"/>
  <c r="K66" i="14"/>
  <c r="D66" i="14"/>
  <c r="G66" i="14"/>
  <c r="AF66" i="14"/>
  <c r="E66" i="14" s="1"/>
  <c r="Q97" i="12"/>
  <c r="O97" i="12"/>
  <c r="AJ97" i="12"/>
  <c r="AK97" i="12" s="1"/>
  <c r="AL97" i="12" s="1"/>
  <c r="H66" i="14"/>
  <c r="I66" i="14" s="1"/>
  <c r="Q66" i="14" s="1"/>
  <c r="M98" i="12"/>
  <c r="S98" i="12"/>
  <c r="AN98" i="12"/>
  <c r="E98" i="12" s="1"/>
  <c r="AQ99" i="12" s="1"/>
  <c r="G98" i="12"/>
  <c r="AI67" i="14"/>
  <c r="M66" i="14" l="1"/>
  <c r="X97" i="12"/>
  <c r="AI97" i="12" s="1"/>
  <c r="D98" i="12"/>
  <c r="K98" i="12"/>
  <c r="L66" i="14"/>
  <c r="C67" i="14"/>
  <c r="AB66" i="14"/>
  <c r="AC66" i="14" s="1"/>
  <c r="P66" i="14" l="1"/>
  <c r="AA66" i="14" s="1"/>
  <c r="AR98" i="12"/>
  <c r="I98" i="12" s="1"/>
  <c r="AD66" i="14"/>
  <c r="F67" i="14"/>
  <c r="N67" i="14"/>
  <c r="J67" i="14" s="1"/>
  <c r="H67" i="14" s="1"/>
  <c r="AF67" i="14"/>
  <c r="E67" i="14" s="1"/>
  <c r="K67" i="14"/>
  <c r="R67" i="14"/>
  <c r="D67" i="14"/>
  <c r="G67" i="14"/>
  <c r="V98" i="12" l="1"/>
  <c r="Z98" i="12" s="1"/>
  <c r="I67" i="14"/>
  <c r="Q67" i="14" s="1"/>
  <c r="M67" i="14" s="1"/>
  <c r="AI68" i="14"/>
  <c r="AJ98" i="12" l="1"/>
  <c r="AK98" i="12" s="1"/>
  <c r="AL98" i="12" s="1"/>
  <c r="O98" i="12"/>
  <c r="B99" i="12"/>
  <c r="Q98" i="12"/>
  <c r="X98" i="12" s="1"/>
  <c r="AI98" i="12" s="1"/>
  <c r="M99" i="12"/>
  <c r="AN99" i="12"/>
  <c r="E99" i="12" s="1"/>
  <c r="AQ100" i="12" s="1"/>
  <c r="G99" i="12"/>
  <c r="S99" i="12"/>
  <c r="C68" i="14"/>
  <c r="L67" i="14"/>
  <c r="P67" i="14" s="1"/>
  <c r="AA67" i="14" s="1"/>
  <c r="AB67" i="14"/>
  <c r="AC67" i="14" s="1"/>
  <c r="K99" i="12" l="1"/>
  <c r="AR99" i="12"/>
  <c r="D99" i="12"/>
  <c r="AD67" i="14"/>
  <c r="AF68" i="14"/>
  <c r="E68" i="14" s="1"/>
  <c r="K68" i="14"/>
  <c r="F68" i="14"/>
  <c r="N68" i="14"/>
  <c r="J68" i="14" s="1"/>
  <c r="H68" i="14" s="1"/>
  <c r="R68" i="14"/>
  <c r="D68" i="14"/>
  <c r="G68" i="14"/>
  <c r="I99" i="12" l="1"/>
  <c r="Z99" i="12" s="1"/>
  <c r="I68" i="14"/>
  <c r="Q68" i="14" s="1"/>
  <c r="M68" i="14" s="1"/>
  <c r="AI69" i="14"/>
  <c r="O99" i="12" l="1"/>
  <c r="Q99" i="12"/>
  <c r="X99" i="12" s="1"/>
  <c r="AI99" i="12" s="1"/>
  <c r="B100" i="12"/>
  <c r="M100" i="12" s="1"/>
  <c r="AJ99" i="12"/>
  <c r="AK99" i="12" s="1"/>
  <c r="AL99" i="12" s="1"/>
  <c r="L68" i="14"/>
  <c r="P68" i="14" s="1"/>
  <c r="AA68" i="14" s="1"/>
  <c r="C69" i="14"/>
  <c r="AB68" i="14"/>
  <c r="AC68" i="14" s="1"/>
  <c r="AN100" i="12" l="1"/>
  <c r="D100" i="12" s="1"/>
  <c r="G100" i="12"/>
  <c r="S100" i="12"/>
  <c r="AD68" i="14"/>
  <c r="AF69" i="14"/>
  <c r="E69" i="14" s="1"/>
  <c r="K69" i="14"/>
  <c r="F69" i="14"/>
  <c r="N69" i="14"/>
  <c r="J69" i="14" s="1"/>
  <c r="R69" i="14"/>
  <c r="G69" i="14"/>
  <c r="D69" i="14"/>
  <c r="E100" i="12" l="1"/>
  <c r="AQ101" i="12" s="1"/>
  <c r="K100" i="12"/>
  <c r="AR100" i="12" s="1"/>
  <c r="I100" i="12" s="1"/>
  <c r="H69" i="14"/>
  <c r="I69" i="14" s="1"/>
  <c r="Q69" i="14" s="1"/>
  <c r="M69" i="14" s="1"/>
  <c r="AI70" i="14"/>
  <c r="V100" i="12" l="1"/>
  <c r="Z100" i="12" s="1"/>
  <c r="L69" i="14"/>
  <c r="P69" i="14" s="1"/>
  <c r="AA69" i="14" s="1"/>
  <c r="C70" i="14"/>
  <c r="AB69" i="14"/>
  <c r="AC69" i="14" s="1"/>
  <c r="B101" i="12" l="1"/>
  <c r="AJ100" i="12"/>
  <c r="AK100" i="12" s="1"/>
  <c r="AL100" i="12" s="1"/>
  <c r="O100" i="12"/>
  <c r="Q100" i="12"/>
  <c r="AN101" i="12"/>
  <c r="E101" i="12" s="1"/>
  <c r="AQ102" i="12" s="1"/>
  <c r="S101" i="12"/>
  <c r="G101" i="12"/>
  <c r="M101" i="12"/>
  <c r="AD69" i="14"/>
  <c r="K70" i="14"/>
  <c r="F70" i="14"/>
  <c r="N70" i="14"/>
  <c r="J70" i="14" s="1"/>
  <c r="H70" i="14" s="1"/>
  <c r="AF70" i="14"/>
  <c r="E70" i="14" s="1"/>
  <c r="R70" i="14"/>
  <c r="G70" i="14"/>
  <c r="X100" i="12" l="1"/>
  <c r="AI100" i="12" s="1"/>
  <c r="D101" i="12"/>
  <c r="K101" i="12"/>
  <c r="AR101" i="12" s="1"/>
  <c r="I101" i="12" s="1"/>
  <c r="Z101" i="12" s="1"/>
  <c r="I70" i="14"/>
  <c r="Q70" i="14" s="1"/>
  <c r="M70" i="14" s="1"/>
  <c r="AI71" i="14"/>
  <c r="B102" i="12" l="1"/>
  <c r="AJ101" i="12"/>
  <c r="AK101" i="12" s="1"/>
  <c r="AL101" i="12" s="1"/>
  <c r="Q101" i="12"/>
  <c r="O101" i="12"/>
  <c r="AN102" i="12"/>
  <c r="E102" i="12" s="1"/>
  <c r="AQ103" i="12" s="1"/>
  <c r="S102" i="12"/>
  <c r="G102" i="12"/>
  <c r="M102" i="12"/>
  <c r="L70" i="14"/>
  <c r="P70" i="14" s="1"/>
  <c r="AA70" i="14" s="1"/>
  <c r="C71" i="14"/>
  <c r="AB70" i="14"/>
  <c r="AC70" i="14" s="1"/>
  <c r="D102" i="12" l="1"/>
  <c r="X101" i="12"/>
  <c r="AI101" i="12" s="1"/>
  <c r="K102" i="12"/>
  <c r="AD70" i="14"/>
  <c r="F71" i="14"/>
  <c r="N71" i="14"/>
  <c r="J71" i="14" s="1"/>
  <c r="H71" i="14" s="1"/>
  <c r="AF71" i="14"/>
  <c r="E71" i="14" s="1"/>
  <c r="K71" i="14"/>
  <c r="R71" i="14"/>
  <c r="D71" i="14"/>
  <c r="G71" i="14"/>
  <c r="AR102" i="12" l="1"/>
  <c r="I71" i="14"/>
  <c r="Q71" i="14" s="1"/>
  <c r="M71" i="14" s="1"/>
  <c r="AI72" i="14"/>
  <c r="I102" i="12" l="1"/>
  <c r="C72" i="14"/>
  <c r="L71" i="14"/>
  <c r="P71" i="14" s="1"/>
  <c r="AA71" i="14" s="1"/>
  <c r="AB71" i="14"/>
  <c r="AC71" i="14" s="1"/>
  <c r="V102" i="12" l="1"/>
  <c r="Z102" i="12" s="1"/>
  <c r="AF72" i="14"/>
  <c r="E72" i="14" s="1"/>
  <c r="K72" i="14"/>
  <c r="F72" i="14"/>
  <c r="N72" i="14"/>
  <c r="J72" i="14" s="1"/>
  <c r="H72" i="14" s="1"/>
  <c r="R72" i="14"/>
  <c r="G72" i="14"/>
  <c r="AD71" i="14"/>
  <c r="O102" i="12" l="1"/>
  <c r="AJ102" i="12"/>
  <c r="AK102" i="12" s="1"/>
  <c r="AL102" i="12" s="1"/>
  <c r="B103" i="12"/>
  <c r="G103" i="12" s="1"/>
  <c r="Q102" i="12"/>
  <c r="X102" i="12" s="1"/>
  <c r="AI102" i="12" s="1"/>
  <c r="M103" i="12"/>
  <c r="I72" i="14"/>
  <c r="Q72" i="14" s="1"/>
  <c r="M72" i="14" s="1"/>
  <c r="AI73" i="14"/>
  <c r="AN103" i="12" l="1"/>
  <c r="E103" i="12" s="1"/>
  <c r="AQ104" i="12" s="1"/>
  <c r="S103" i="12"/>
  <c r="L72" i="14"/>
  <c r="P72" i="14" s="1"/>
  <c r="AA72" i="14" s="1"/>
  <c r="C73" i="14"/>
  <c r="AB72" i="14"/>
  <c r="AC72" i="14" s="1"/>
  <c r="K103" i="12" l="1"/>
  <c r="AR103" i="12" s="1"/>
  <c r="I103" i="12" s="1"/>
  <c r="Z103" i="12" s="1"/>
  <c r="AJ103" i="12" s="1"/>
  <c r="AK103" i="12" s="1"/>
  <c r="AL103" i="12" s="1"/>
  <c r="D103" i="12"/>
  <c r="Q103" i="12" s="1"/>
  <c r="B104" i="12"/>
  <c r="O103" i="12"/>
  <c r="AF73" i="14"/>
  <c r="E73" i="14" s="1"/>
  <c r="K73" i="14"/>
  <c r="F73" i="14"/>
  <c r="N73" i="14"/>
  <c r="J73" i="14" s="1"/>
  <c r="R73" i="14"/>
  <c r="G73" i="14"/>
  <c r="AD72" i="14"/>
  <c r="X103" i="12" l="1"/>
  <c r="AI103" i="12" s="1"/>
  <c r="H73" i="14"/>
  <c r="I73" i="14" s="1"/>
  <c r="Q73" i="14" s="1"/>
  <c r="M73" i="14" s="1"/>
  <c r="M104" i="12"/>
  <c r="G104" i="12"/>
  <c r="S104" i="12"/>
  <c r="AN104" i="12"/>
  <c r="E104" i="12" s="1"/>
  <c r="AQ105" i="12" s="1"/>
  <c r="AI74" i="14"/>
  <c r="K104" i="12" l="1"/>
  <c r="AR104" i="12"/>
  <c r="D104" i="12"/>
  <c r="L73" i="14"/>
  <c r="P73" i="14" s="1"/>
  <c r="AA73" i="14" s="1"/>
  <c r="C74" i="14"/>
  <c r="AB73" i="14"/>
  <c r="AC73" i="14" s="1"/>
  <c r="I104" i="12" l="1"/>
  <c r="AD73" i="14"/>
  <c r="K74" i="14"/>
  <c r="F74" i="14"/>
  <c r="N74" i="14"/>
  <c r="J74" i="14" s="1"/>
  <c r="H74" i="14" s="1"/>
  <c r="AF74" i="14"/>
  <c r="E74" i="14" s="1"/>
  <c r="R74" i="14"/>
  <c r="G74" i="14"/>
  <c r="V104" i="12" l="1"/>
  <c r="Z104" i="12" s="1"/>
  <c r="I74" i="14"/>
  <c r="Q74" i="14" s="1"/>
  <c r="M74" i="14" s="1"/>
  <c r="AI75" i="14"/>
  <c r="O104" i="12" l="1"/>
  <c r="Q104" i="12"/>
  <c r="AJ104" i="12"/>
  <c r="AK104" i="12" s="1"/>
  <c r="AL104" i="12" s="1"/>
  <c r="B105" i="12"/>
  <c r="G105" i="12" s="1"/>
  <c r="X104" i="12"/>
  <c r="AI104" i="12" s="1"/>
  <c r="M105" i="12"/>
  <c r="AN105" i="12"/>
  <c r="D105" i="12" s="1"/>
  <c r="S105" i="12"/>
  <c r="L74" i="14"/>
  <c r="P74" i="14" s="1"/>
  <c r="AA74" i="14" s="1"/>
  <c r="C75" i="14"/>
  <c r="AB74" i="14"/>
  <c r="AC74" i="14" s="1"/>
  <c r="E105" i="12" l="1"/>
  <c r="AQ106" i="12" s="1"/>
  <c r="K105" i="12"/>
  <c r="AD74" i="14"/>
  <c r="F75" i="14"/>
  <c r="N75" i="14"/>
  <c r="J75" i="14" s="1"/>
  <c r="H75" i="14" s="1"/>
  <c r="AF75" i="14"/>
  <c r="E75" i="14" s="1"/>
  <c r="K75" i="14"/>
  <c r="R75" i="14"/>
  <c r="G75" i="14"/>
  <c r="AR105" i="12" l="1"/>
  <c r="I75" i="14"/>
  <c r="Q75" i="14" s="1"/>
  <c r="M75" i="14" s="1"/>
  <c r="AI76" i="14"/>
  <c r="I105" i="12" l="1"/>
  <c r="Z105" i="12" s="1"/>
  <c r="C76" i="14"/>
  <c r="L75" i="14"/>
  <c r="P75" i="14" s="1"/>
  <c r="AA75" i="14" s="1"/>
  <c r="AB75" i="14"/>
  <c r="AC75" i="14" s="1"/>
  <c r="B106" i="12" l="1"/>
  <c r="O105" i="12"/>
  <c r="AJ105" i="12"/>
  <c r="AK105" i="12" s="1"/>
  <c r="AL105" i="12" s="1"/>
  <c r="Q105" i="12"/>
  <c r="AD75" i="14"/>
  <c r="AF76" i="14"/>
  <c r="E76" i="14" s="1"/>
  <c r="K76" i="14"/>
  <c r="F76" i="14"/>
  <c r="N76" i="14"/>
  <c r="J76" i="14" s="1"/>
  <c r="H76" i="14" s="1"/>
  <c r="R76" i="14"/>
  <c r="G76" i="14"/>
  <c r="X105" i="12" l="1"/>
  <c r="AI105" i="12" s="1"/>
  <c r="G106" i="12"/>
  <c r="S106" i="12"/>
  <c r="M106" i="12"/>
  <c r="AN106" i="12"/>
  <c r="I76" i="14"/>
  <c r="Q76" i="14" s="1"/>
  <c r="M76" i="14" s="1"/>
  <c r="AI77" i="14"/>
  <c r="K106" i="12" l="1"/>
  <c r="AR106" i="12"/>
  <c r="D106" i="12"/>
  <c r="E106" i="12"/>
  <c r="AQ107" i="12" s="1"/>
  <c r="L76" i="14"/>
  <c r="P76" i="14" s="1"/>
  <c r="AA76" i="14" s="1"/>
  <c r="C77" i="14"/>
  <c r="AB76" i="14"/>
  <c r="AC76" i="14" s="1"/>
  <c r="I106" i="12" l="1"/>
  <c r="AD76" i="14"/>
  <c r="AF77" i="14"/>
  <c r="E77" i="14" s="1"/>
  <c r="K77" i="14"/>
  <c r="F77" i="14"/>
  <c r="N77" i="14"/>
  <c r="J77" i="14" s="1"/>
  <c r="R77" i="14"/>
  <c r="G77" i="14"/>
  <c r="V106" i="12" l="1"/>
  <c r="Z106" i="12" s="1"/>
  <c r="H77" i="14"/>
  <c r="I77" i="14" s="1"/>
  <c r="Q77" i="14" s="1"/>
  <c r="M77" i="14" s="1"/>
  <c r="AI78" i="14"/>
  <c r="AJ106" i="12" l="1"/>
  <c r="AK106" i="12" s="1"/>
  <c r="AL106" i="12" s="1"/>
  <c r="O106" i="12"/>
  <c r="B107" i="12"/>
  <c r="G107" i="12" s="1"/>
  <c r="Q106" i="12"/>
  <c r="X106" i="12" s="1"/>
  <c r="AI106" i="12" s="1"/>
  <c r="M107" i="12"/>
  <c r="S107" i="12"/>
  <c r="L77" i="14"/>
  <c r="P77" i="14" s="1"/>
  <c r="AA77" i="14" s="1"/>
  <c r="C78" i="14"/>
  <c r="AB77" i="14"/>
  <c r="AC77" i="14" s="1"/>
  <c r="AN107" i="12" l="1"/>
  <c r="D107" i="12" s="1"/>
  <c r="AR107" i="12"/>
  <c r="E107" i="12"/>
  <c r="AQ108" i="12" s="1"/>
  <c r="AD77" i="14"/>
  <c r="K78" i="14"/>
  <c r="F78" i="14"/>
  <c r="N78" i="14"/>
  <c r="J78" i="14" s="1"/>
  <c r="H78" i="14" s="1"/>
  <c r="AF78" i="14"/>
  <c r="E78" i="14" s="1"/>
  <c r="G78" i="14"/>
  <c r="R78" i="14"/>
  <c r="K107" i="12" l="1"/>
  <c r="I107" i="12" s="1"/>
  <c r="Z107" i="12" s="1"/>
  <c r="I78" i="14"/>
  <c r="Q78" i="14" s="1"/>
  <c r="M78" i="14" s="1"/>
  <c r="AI79" i="14"/>
  <c r="AJ107" i="12" l="1"/>
  <c r="AK107" i="12" s="1"/>
  <c r="AL107" i="12" s="1"/>
  <c r="Q107" i="12"/>
  <c r="O107" i="12"/>
  <c r="B108" i="12"/>
  <c r="M108" i="12" s="1"/>
  <c r="L78" i="14"/>
  <c r="P78" i="14" s="1"/>
  <c r="AA78" i="14" s="1"/>
  <c r="C79" i="14"/>
  <c r="AB78" i="14"/>
  <c r="AC78" i="14" s="1"/>
  <c r="X107" i="12" l="1"/>
  <c r="AI107" i="12" s="1"/>
  <c r="S108" i="12"/>
  <c r="G108" i="12"/>
  <c r="AN108" i="12"/>
  <c r="E108" i="12" s="1"/>
  <c r="AQ109" i="12" s="1"/>
  <c r="F79" i="14"/>
  <c r="N79" i="14"/>
  <c r="J79" i="14" s="1"/>
  <c r="H79" i="14" s="1"/>
  <c r="AF79" i="14"/>
  <c r="E79" i="14" s="1"/>
  <c r="K79" i="14"/>
  <c r="R79" i="14"/>
  <c r="G79" i="14"/>
  <c r="AD78" i="14"/>
  <c r="D108" i="12" l="1"/>
  <c r="K108" i="12"/>
  <c r="AR108" i="12" s="1"/>
  <c r="I108" i="12" s="1"/>
  <c r="I79" i="14"/>
  <c r="Q79" i="14" s="1"/>
  <c r="M79" i="14" s="1"/>
  <c r="AI80" i="14"/>
  <c r="V108" i="12" l="1"/>
  <c r="Z108" i="12" s="1"/>
  <c r="C80" i="14"/>
  <c r="L79" i="14"/>
  <c r="P79" i="14" s="1"/>
  <c r="AA79" i="14" s="1"/>
  <c r="AB79" i="14"/>
  <c r="AC79" i="14" s="1"/>
  <c r="O108" i="12" l="1"/>
  <c r="Q108" i="12"/>
  <c r="X108" i="12" s="1"/>
  <c r="AI108" i="12" s="1"/>
  <c r="B109" i="12"/>
  <c r="S109" i="12" s="1"/>
  <c r="AJ108" i="12"/>
  <c r="AK108" i="12" s="1"/>
  <c r="AL108" i="12" s="1"/>
  <c r="AN109" i="12"/>
  <c r="E109" i="12" s="1"/>
  <c r="AQ110" i="12" s="1"/>
  <c r="G109" i="12"/>
  <c r="M109" i="12"/>
  <c r="AD79" i="14"/>
  <c r="AF80" i="14"/>
  <c r="E80" i="14" s="1"/>
  <c r="K80" i="14"/>
  <c r="F80" i="14"/>
  <c r="N80" i="14"/>
  <c r="J80" i="14" s="1"/>
  <c r="H80" i="14" s="1"/>
  <c r="R80" i="14"/>
  <c r="G80" i="14"/>
  <c r="K109" i="12" l="1"/>
  <c r="D109" i="12"/>
  <c r="AR109" i="12"/>
  <c r="I80" i="14"/>
  <c r="Q80" i="14" s="1"/>
  <c r="M80" i="14" s="1"/>
  <c r="AI81" i="14"/>
  <c r="I109" i="12" l="1"/>
  <c r="Z109" i="12" s="1"/>
  <c r="L80" i="14"/>
  <c r="P80" i="14" s="1"/>
  <c r="AA80" i="14" s="1"/>
  <c r="C81" i="14"/>
  <c r="AB80" i="14"/>
  <c r="AC80" i="14" s="1"/>
  <c r="O109" i="12" l="1"/>
  <c r="AJ109" i="12"/>
  <c r="AK109" i="12" s="1"/>
  <c r="AL109" i="12" s="1"/>
  <c r="B110" i="12"/>
  <c r="Q109" i="12"/>
  <c r="AF81" i="14"/>
  <c r="E81" i="14" s="1"/>
  <c r="K81" i="14"/>
  <c r="F81" i="14"/>
  <c r="N81" i="14"/>
  <c r="J81" i="14" s="1"/>
  <c r="H81" i="14" s="1"/>
  <c r="R81" i="14"/>
  <c r="G81" i="14"/>
  <c r="AD80" i="14"/>
  <c r="S110" i="12" l="1"/>
  <c r="M110" i="12"/>
  <c r="G110" i="12"/>
  <c r="AN110" i="12"/>
  <c r="E110" i="12" s="1"/>
  <c r="AQ111" i="12" s="1"/>
  <c r="X109" i="12"/>
  <c r="AI109" i="12" s="1"/>
  <c r="I81" i="14"/>
  <c r="Q81" i="14" s="1"/>
  <c r="M81" i="14" s="1"/>
  <c r="AI82" i="14"/>
  <c r="K110" i="12" l="1"/>
  <c r="D110" i="12"/>
  <c r="L81" i="14"/>
  <c r="P81" i="14" s="1"/>
  <c r="AA81" i="14" s="1"/>
  <c r="C82" i="14"/>
  <c r="AB81" i="14"/>
  <c r="AC81" i="14" s="1"/>
  <c r="AR110" i="12" l="1"/>
  <c r="AD81" i="14"/>
  <c r="K82" i="14"/>
  <c r="F82" i="14"/>
  <c r="N82" i="14"/>
  <c r="J82" i="14" s="1"/>
  <c r="H82" i="14" s="1"/>
  <c r="AF82" i="14"/>
  <c r="E82" i="14" s="1"/>
  <c r="R82" i="14"/>
  <c r="G82" i="14"/>
  <c r="I110" i="12" l="1"/>
  <c r="I82" i="14"/>
  <c r="Q82" i="14" s="1"/>
  <c r="M82" i="14" s="1"/>
  <c r="AI83" i="14"/>
  <c r="V110" i="12" l="1"/>
  <c r="Z110" i="12" s="1"/>
  <c r="L82" i="14"/>
  <c r="P82" i="14" s="1"/>
  <c r="AA82" i="14" s="1"/>
  <c r="C83" i="14"/>
  <c r="AB82" i="14"/>
  <c r="AC82" i="14" s="1"/>
  <c r="AJ110" i="12" l="1"/>
  <c r="AK110" i="12" s="1"/>
  <c r="AL110" i="12" s="1"/>
  <c r="O110" i="12"/>
  <c r="B111" i="12"/>
  <c r="Q110" i="12"/>
  <c r="X110" i="12" s="1"/>
  <c r="AI110" i="12" s="1"/>
  <c r="AN111" i="12"/>
  <c r="D111" i="12" s="1"/>
  <c r="M111" i="12"/>
  <c r="S111" i="12"/>
  <c r="G111" i="12"/>
  <c r="F83" i="14"/>
  <c r="N83" i="14"/>
  <c r="J83" i="14" s="1"/>
  <c r="H83" i="14" s="1"/>
  <c r="AF83" i="14"/>
  <c r="E83" i="14" s="1"/>
  <c r="K83" i="14"/>
  <c r="R83" i="14"/>
  <c r="G83" i="14"/>
  <c r="AD82" i="14"/>
  <c r="K111" i="12" l="1"/>
  <c r="AR111" i="12"/>
  <c r="E111" i="12"/>
  <c r="AQ112" i="12" s="1"/>
  <c r="I83" i="14"/>
  <c r="Q83" i="14" s="1"/>
  <c r="M83" i="14" s="1"/>
  <c r="AI84" i="14"/>
  <c r="I111" i="12" l="1"/>
  <c r="Z111" i="12" s="1"/>
  <c r="C84" i="14"/>
  <c r="L83" i="14"/>
  <c r="P83" i="14" s="1"/>
  <c r="AA83" i="14" s="1"/>
  <c r="AB83" i="14"/>
  <c r="AC83" i="14" s="1"/>
  <c r="O111" i="12" l="1"/>
  <c r="Q111" i="12"/>
  <c r="X111" i="12" s="1"/>
  <c r="AI111" i="12" s="1"/>
  <c r="B112" i="12"/>
  <c r="M112" i="12" s="1"/>
  <c r="AJ111" i="12"/>
  <c r="AK111" i="12" s="1"/>
  <c r="AL111" i="12" s="1"/>
  <c r="AF84" i="14"/>
  <c r="E84" i="14" s="1"/>
  <c r="K84" i="14"/>
  <c r="F84" i="14"/>
  <c r="N84" i="14"/>
  <c r="J84" i="14" s="1"/>
  <c r="H84" i="14" s="1"/>
  <c r="R84" i="14"/>
  <c r="G84" i="14"/>
  <c r="AD83" i="14"/>
  <c r="AN112" i="12" l="1"/>
  <c r="E112" i="12" s="1"/>
  <c r="AQ113" i="12" s="1"/>
  <c r="S112" i="12"/>
  <c r="G112" i="12"/>
  <c r="I84" i="14"/>
  <c r="Q84" i="14" s="1"/>
  <c r="M84" i="14" s="1"/>
  <c r="AI85" i="14"/>
  <c r="K112" i="12" l="1"/>
  <c r="D112" i="12"/>
  <c r="AR112" i="12"/>
  <c r="L84" i="14"/>
  <c r="P84" i="14" s="1"/>
  <c r="AA84" i="14" s="1"/>
  <c r="C85" i="14"/>
  <c r="AB84" i="14"/>
  <c r="AC84" i="14" s="1"/>
  <c r="I112" i="12" l="1"/>
  <c r="AD84" i="14"/>
  <c r="AF85" i="14"/>
  <c r="E85" i="14" s="1"/>
  <c r="K85" i="14"/>
  <c r="F85" i="14"/>
  <c r="N85" i="14"/>
  <c r="J85" i="14" s="1"/>
  <c r="H85" i="14" s="1"/>
  <c r="R85" i="14"/>
  <c r="G85" i="14"/>
  <c r="V112" i="12" l="1"/>
  <c r="Z112" i="12" s="1"/>
  <c r="I85" i="14"/>
  <c r="Q85" i="14" s="1"/>
  <c r="M85" i="14" s="1"/>
  <c r="AI86" i="14"/>
  <c r="AJ112" i="12" l="1"/>
  <c r="AK112" i="12" s="1"/>
  <c r="AL112" i="12" s="1"/>
  <c r="O112" i="12"/>
  <c r="Q112" i="12"/>
  <c r="B113" i="12"/>
  <c r="S113" i="12" s="1"/>
  <c r="X112" i="12"/>
  <c r="AI112" i="12" s="1"/>
  <c r="G113" i="12"/>
  <c r="AN113" i="12"/>
  <c r="D113" i="12" s="1"/>
  <c r="M113" i="12"/>
  <c r="L85" i="14"/>
  <c r="P85" i="14" s="1"/>
  <c r="AA85" i="14" s="1"/>
  <c r="C86" i="14"/>
  <c r="AB85" i="14"/>
  <c r="AC85" i="14" s="1"/>
  <c r="E113" i="12" l="1"/>
  <c r="AQ114" i="12" s="1"/>
  <c r="K113" i="12"/>
  <c r="AR113" i="12" s="1"/>
  <c r="I113" i="12" s="1"/>
  <c r="Z113" i="12" s="1"/>
  <c r="K86" i="14"/>
  <c r="F86" i="14"/>
  <c r="N86" i="14"/>
  <c r="J86" i="14" s="1"/>
  <c r="H86" i="14" s="1"/>
  <c r="AF86" i="14"/>
  <c r="E86" i="14" s="1"/>
  <c r="R86" i="14"/>
  <c r="G86" i="14"/>
  <c r="AD85" i="14"/>
  <c r="AJ113" i="12" l="1"/>
  <c r="AK113" i="12" s="1"/>
  <c r="AL113" i="12" s="1"/>
  <c r="Q113" i="12"/>
  <c r="B114" i="12"/>
  <c r="G114" i="12" s="1"/>
  <c r="O113" i="12"/>
  <c r="I86" i="14"/>
  <c r="Q86" i="14" s="1"/>
  <c r="M86" i="14" s="1"/>
  <c r="AI87" i="14"/>
  <c r="M114" i="12" l="1"/>
  <c r="S114" i="12"/>
  <c r="AN114" i="12"/>
  <c r="D114" i="12" s="1"/>
  <c r="X113" i="12"/>
  <c r="AI113" i="12" s="1"/>
  <c r="AR114" i="12"/>
  <c r="L86" i="14"/>
  <c r="P86" i="14" s="1"/>
  <c r="AA86" i="14" s="1"/>
  <c r="C87" i="14"/>
  <c r="AB86" i="14"/>
  <c r="AC86" i="14" s="1"/>
  <c r="E114" i="12" l="1"/>
  <c r="AQ115" i="12" s="1"/>
  <c r="K114" i="12"/>
  <c r="I114" i="12" s="1"/>
  <c r="AD86" i="14"/>
  <c r="F87" i="14"/>
  <c r="N87" i="14"/>
  <c r="J87" i="14" s="1"/>
  <c r="H87" i="14" s="1"/>
  <c r="AF87" i="14"/>
  <c r="E87" i="14" s="1"/>
  <c r="K87" i="14"/>
  <c r="R87" i="14"/>
  <c r="G87" i="14"/>
  <c r="V114" i="12" l="1"/>
  <c r="Z114" i="12" s="1"/>
  <c r="I87" i="14"/>
  <c r="Q87" i="14" s="1"/>
  <c r="M87" i="14" s="1"/>
  <c r="AI88" i="14"/>
  <c r="O114" i="12" l="1"/>
  <c r="B115" i="12"/>
  <c r="AJ114" i="12"/>
  <c r="AK114" i="12" s="1"/>
  <c r="AL114" i="12" s="1"/>
  <c r="Q114" i="12"/>
  <c r="G115" i="12"/>
  <c r="M115" i="12"/>
  <c r="AN115" i="12"/>
  <c r="D115" i="12" s="1"/>
  <c r="S115" i="12"/>
  <c r="C88" i="14"/>
  <c r="L87" i="14"/>
  <c r="P87" i="14" s="1"/>
  <c r="AA87" i="14" s="1"/>
  <c r="AB87" i="14"/>
  <c r="AC87" i="14" s="1"/>
  <c r="X114" i="12" l="1"/>
  <c r="AI114" i="12" s="1"/>
  <c r="E115" i="12"/>
  <c r="AQ116" i="12" s="1"/>
  <c r="K115" i="12"/>
  <c r="AR115" i="12" s="1"/>
  <c r="I115" i="12" s="1"/>
  <c r="Z115" i="12" s="1"/>
  <c r="AF88" i="14"/>
  <c r="E88" i="14" s="1"/>
  <c r="K88" i="14"/>
  <c r="F88" i="14"/>
  <c r="N88" i="14"/>
  <c r="J88" i="14" s="1"/>
  <c r="H88" i="14" s="1"/>
  <c r="R88" i="14"/>
  <c r="G88" i="14"/>
  <c r="AD87" i="14"/>
  <c r="B116" i="12" l="1"/>
  <c r="G116" i="12" s="1"/>
  <c r="Q115" i="12"/>
  <c r="O115" i="12"/>
  <c r="AJ115" i="12"/>
  <c r="AK115" i="12" s="1"/>
  <c r="AL115" i="12" s="1"/>
  <c r="I88" i="14"/>
  <c r="Q88" i="14" s="1"/>
  <c r="M88" i="14" s="1"/>
  <c r="AI89" i="14"/>
  <c r="M116" i="12" l="1"/>
  <c r="S116" i="12"/>
  <c r="AN116" i="12"/>
  <c r="D116" i="12" s="1"/>
  <c r="X115" i="12"/>
  <c r="AI115" i="12" s="1"/>
  <c r="E116" i="12"/>
  <c r="AQ117" i="12" s="1"/>
  <c r="L88" i="14"/>
  <c r="P88" i="14" s="1"/>
  <c r="AA88" i="14" s="1"/>
  <c r="C89" i="14"/>
  <c r="AB88" i="14"/>
  <c r="AC88" i="14" s="1"/>
  <c r="K116" i="12" l="1"/>
  <c r="AR116" i="12" s="1"/>
  <c r="I116" i="12" s="1"/>
  <c r="AD88" i="14"/>
  <c r="AF89" i="14"/>
  <c r="E89" i="14" s="1"/>
  <c r="K89" i="14"/>
  <c r="F89" i="14"/>
  <c r="N89" i="14"/>
  <c r="J89" i="14" s="1"/>
  <c r="H89" i="14" s="1"/>
  <c r="R89" i="14"/>
  <c r="G89" i="14"/>
  <c r="V116" i="12" l="1"/>
  <c r="Z116" i="12" s="1"/>
  <c r="I89" i="14"/>
  <c r="Q89" i="14" s="1"/>
  <c r="M89" i="14" s="1"/>
  <c r="AI90" i="14"/>
  <c r="AJ116" i="12" l="1"/>
  <c r="AK116" i="12" s="1"/>
  <c r="AL116" i="12" s="1"/>
  <c r="O116" i="12"/>
  <c r="Q116" i="12"/>
  <c r="B117" i="12"/>
  <c r="AR117" i="12" s="1"/>
  <c r="L89" i="14"/>
  <c r="P89" i="14" s="1"/>
  <c r="AA89" i="14" s="1"/>
  <c r="C90" i="14"/>
  <c r="AB89" i="14"/>
  <c r="AC89" i="14" s="1"/>
  <c r="G117" i="12" l="1"/>
  <c r="AN117" i="12"/>
  <c r="M117" i="12"/>
  <c r="S117" i="12"/>
  <c r="X116" i="12"/>
  <c r="AI116" i="12" s="1"/>
  <c r="AD89" i="14"/>
  <c r="K90" i="14"/>
  <c r="F90" i="14"/>
  <c r="N90" i="14"/>
  <c r="J90" i="14" s="1"/>
  <c r="H90" i="14" s="1"/>
  <c r="AF90" i="14"/>
  <c r="E90" i="14" s="1"/>
  <c r="R90" i="14"/>
  <c r="G90" i="14"/>
  <c r="E117" i="12" l="1"/>
  <c r="AQ118" i="12" s="1"/>
  <c r="D117" i="12"/>
  <c r="K117" i="12"/>
  <c r="I117" i="12" s="1"/>
  <c r="Z117" i="12" s="1"/>
  <c r="B118" i="12" s="1"/>
  <c r="G118" i="12" s="1"/>
  <c r="I90" i="14"/>
  <c r="Q90" i="14" s="1"/>
  <c r="M90" i="14" s="1"/>
  <c r="AI91" i="14"/>
  <c r="Q117" i="12" l="1"/>
  <c r="O117" i="12"/>
  <c r="AJ117" i="12"/>
  <c r="AK117" i="12" s="1"/>
  <c r="AL117" i="12" s="1"/>
  <c r="X117" i="12"/>
  <c r="AI117" i="12" s="1"/>
  <c r="M118" i="12"/>
  <c r="AN118" i="12"/>
  <c r="E118" i="12" s="1"/>
  <c r="AQ119" i="12" s="1"/>
  <c r="S118" i="12"/>
  <c r="AR118" i="12"/>
  <c r="L90" i="14"/>
  <c r="P90" i="14" s="1"/>
  <c r="AA90" i="14" s="1"/>
  <c r="C91" i="14"/>
  <c r="AB90" i="14"/>
  <c r="AC90" i="14" s="1"/>
  <c r="D118" i="12" l="1"/>
  <c r="K118" i="12"/>
  <c r="I118" i="12" s="1"/>
  <c r="AD90" i="14"/>
  <c r="F91" i="14"/>
  <c r="N91" i="14"/>
  <c r="J91" i="14" s="1"/>
  <c r="H91" i="14" s="1"/>
  <c r="AF91" i="14"/>
  <c r="E91" i="14" s="1"/>
  <c r="K91" i="14"/>
  <c r="R91" i="14"/>
  <c r="G91" i="14"/>
  <c r="V118" i="12" l="1"/>
  <c r="Z118" i="12" s="1"/>
  <c r="I91" i="14"/>
  <c r="Q91" i="14" s="1"/>
  <c r="M91" i="14" s="1"/>
  <c r="AI92" i="14"/>
  <c r="O118" i="12" l="1"/>
  <c r="Q118" i="12"/>
  <c r="B119" i="12"/>
  <c r="G119" i="12" s="1"/>
  <c r="AJ118" i="12"/>
  <c r="AK118" i="12" s="1"/>
  <c r="AL118" i="12" s="1"/>
  <c r="C92" i="14"/>
  <c r="L91" i="14"/>
  <c r="P91" i="14" s="1"/>
  <c r="AA91" i="14" s="1"/>
  <c r="AB91" i="14"/>
  <c r="AC91" i="14" s="1"/>
  <c r="X118" i="12" l="1"/>
  <c r="AI118" i="12" s="1"/>
  <c r="M119" i="12"/>
  <c r="S119" i="12"/>
  <c r="AN119" i="12"/>
  <c r="E119" i="12" s="1"/>
  <c r="AQ120" i="12" s="1"/>
  <c r="AD91" i="14"/>
  <c r="AF92" i="14"/>
  <c r="E92" i="14" s="1"/>
  <c r="K92" i="14"/>
  <c r="F92" i="14"/>
  <c r="N92" i="14"/>
  <c r="J92" i="14" s="1"/>
  <c r="H92" i="14" s="1"/>
  <c r="R92" i="14"/>
  <c r="G92" i="14"/>
  <c r="D119" i="12" l="1"/>
  <c r="K119" i="12"/>
  <c r="AR119" i="12" s="1"/>
  <c r="I119" i="12" s="1"/>
  <c r="Z119" i="12" s="1"/>
  <c r="AJ119" i="12" s="1"/>
  <c r="AK119" i="12" s="1"/>
  <c r="AL119" i="12" s="1"/>
  <c r="I92" i="14"/>
  <c r="Q92" i="14" s="1"/>
  <c r="M92" i="14" s="1"/>
  <c r="AI93" i="14"/>
  <c r="Q119" i="12" l="1"/>
  <c r="B120" i="12"/>
  <c r="G120" i="12" s="1"/>
  <c r="O119" i="12"/>
  <c r="X119" i="12" s="1"/>
  <c r="AI119" i="12" s="1"/>
  <c r="AN120" i="12"/>
  <c r="E120" i="12" s="1"/>
  <c r="AQ121" i="12" s="1"/>
  <c r="M120" i="12"/>
  <c r="S120" i="12"/>
  <c r="L92" i="14"/>
  <c r="P92" i="14" s="1"/>
  <c r="AA92" i="14" s="1"/>
  <c r="C93" i="14"/>
  <c r="AB92" i="14"/>
  <c r="AC92" i="14" s="1"/>
  <c r="D120" i="12" l="1"/>
  <c r="K120" i="12"/>
  <c r="AR120" i="12" s="1"/>
  <c r="I120" i="12" s="1"/>
  <c r="AD92" i="14"/>
  <c r="AF93" i="14"/>
  <c r="E93" i="14" s="1"/>
  <c r="K93" i="14"/>
  <c r="F93" i="14"/>
  <c r="N93" i="14"/>
  <c r="J93" i="14" s="1"/>
  <c r="H93" i="14" s="1"/>
  <c r="R93" i="14"/>
  <c r="G93" i="14"/>
  <c r="V120" i="12" l="1"/>
  <c r="Z120" i="12" s="1"/>
  <c r="I93" i="14"/>
  <c r="Q93" i="14" s="1"/>
  <c r="M93" i="14" s="1"/>
  <c r="AI94" i="14"/>
  <c r="AJ120" i="12" l="1"/>
  <c r="AK120" i="12" s="1"/>
  <c r="AL120" i="12" s="1"/>
  <c r="B121" i="12"/>
  <c r="M121" i="12" s="1"/>
  <c r="Q120" i="12"/>
  <c r="O120" i="12"/>
  <c r="S121" i="12"/>
  <c r="AN121" i="12"/>
  <c r="D121" i="12" s="1"/>
  <c r="AR121" i="12"/>
  <c r="G121" i="12"/>
  <c r="L93" i="14"/>
  <c r="P93" i="14" s="1"/>
  <c r="AA93" i="14" s="1"/>
  <c r="C94" i="14"/>
  <c r="AB93" i="14"/>
  <c r="AC93" i="14" s="1"/>
  <c r="X120" i="12" l="1"/>
  <c r="AI120" i="12" s="1"/>
  <c r="K121" i="12"/>
  <c r="I121" i="12" s="1"/>
  <c r="Z121" i="12" s="1"/>
  <c r="E121" i="12"/>
  <c r="AQ122" i="12" s="1"/>
  <c r="K94" i="14"/>
  <c r="F94" i="14"/>
  <c r="N94" i="14"/>
  <c r="J94" i="14" s="1"/>
  <c r="H94" i="14" s="1"/>
  <c r="AF94" i="14"/>
  <c r="E94" i="14" s="1"/>
  <c r="G94" i="14"/>
  <c r="R94" i="14"/>
  <c r="AD93" i="14"/>
  <c r="B122" i="12" l="1"/>
  <c r="S122" i="12" s="1"/>
  <c r="M122" i="12"/>
  <c r="AJ121" i="12"/>
  <c r="AK121" i="12" s="1"/>
  <c r="AL121" i="12" s="1"/>
  <c r="AR122" i="12"/>
  <c r="O121" i="12"/>
  <c r="Q121" i="12"/>
  <c r="I94" i="14"/>
  <c r="Q94" i="14" s="1"/>
  <c r="M94" i="14" s="1"/>
  <c r="AI95" i="14"/>
  <c r="AN122" i="12" l="1"/>
  <c r="K122" i="12" s="1"/>
  <c r="I122" i="12" s="1"/>
  <c r="G122" i="12"/>
  <c r="X121" i="12"/>
  <c r="AI121" i="12" s="1"/>
  <c r="D122" i="12"/>
  <c r="E122" i="12"/>
  <c r="AQ123" i="12" s="1"/>
  <c r="L94" i="14"/>
  <c r="P94" i="14" s="1"/>
  <c r="AA94" i="14" s="1"/>
  <c r="C95" i="14"/>
  <c r="AB94" i="14"/>
  <c r="AC94" i="14" s="1"/>
  <c r="V122" i="12" l="1"/>
  <c r="Z122" i="12" s="1"/>
  <c r="AD94" i="14"/>
  <c r="F95" i="14"/>
  <c r="N95" i="14"/>
  <c r="J95" i="14" s="1"/>
  <c r="H95" i="14" s="1"/>
  <c r="AF95" i="14"/>
  <c r="E95" i="14" s="1"/>
  <c r="K95" i="14"/>
  <c r="R95" i="14"/>
  <c r="G95" i="14"/>
  <c r="B123" i="12" l="1"/>
  <c r="Q122" i="12"/>
  <c r="AJ122" i="12"/>
  <c r="AK122" i="12" s="1"/>
  <c r="AL122" i="12" s="1"/>
  <c r="O122" i="12"/>
  <c r="I95" i="14"/>
  <c r="Q95" i="14" s="1"/>
  <c r="M95" i="14" s="1"/>
  <c r="AI96" i="14"/>
  <c r="X122" i="12" l="1"/>
  <c r="AI122" i="12" s="1"/>
  <c r="AN123" i="12"/>
  <c r="G123" i="12"/>
  <c r="M123" i="12"/>
  <c r="S123" i="12"/>
  <c r="C96" i="14"/>
  <c r="L95" i="14"/>
  <c r="P95" i="14" s="1"/>
  <c r="AA95" i="14" s="1"/>
  <c r="AB95" i="14"/>
  <c r="AC95" i="14" s="1"/>
  <c r="E123" i="12" l="1"/>
  <c r="AQ124" i="12" s="1"/>
  <c r="K123" i="12"/>
  <c r="AR123" i="12" s="1"/>
  <c r="I123" i="12" s="1"/>
  <c r="Z123" i="12" s="1"/>
  <c r="D123" i="12"/>
  <c r="AD95" i="14"/>
  <c r="AF96" i="14"/>
  <c r="E96" i="14" s="1"/>
  <c r="K96" i="14"/>
  <c r="F96" i="14"/>
  <c r="N96" i="14"/>
  <c r="J96" i="14" s="1"/>
  <c r="H96" i="14" s="1"/>
  <c r="R96" i="14"/>
  <c r="G96" i="14"/>
  <c r="Q123" i="12" l="1"/>
  <c r="AJ123" i="12"/>
  <c r="AK123" i="12" s="1"/>
  <c r="AL123" i="12" s="1"/>
  <c r="O123" i="12"/>
  <c r="X123" i="12" s="1"/>
  <c r="AI123" i="12" s="1"/>
  <c r="B124" i="12"/>
  <c r="I96" i="14"/>
  <c r="Q96" i="14" s="1"/>
  <c r="M96" i="14" s="1"/>
  <c r="AI97" i="14"/>
  <c r="S124" i="12" l="1"/>
  <c r="M124" i="12"/>
  <c r="AN124" i="12"/>
  <c r="E124" i="12" s="1"/>
  <c r="AQ125" i="12" s="1"/>
  <c r="G124" i="12"/>
  <c r="AR124" i="12"/>
  <c r="L96" i="14"/>
  <c r="P96" i="14" s="1"/>
  <c r="AA96" i="14" s="1"/>
  <c r="C97" i="14"/>
  <c r="AB96" i="14"/>
  <c r="AC96" i="14" s="1"/>
  <c r="D124" i="12" l="1"/>
  <c r="K124" i="12"/>
  <c r="I124" i="12" s="1"/>
  <c r="AF97" i="14"/>
  <c r="E97" i="14" s="1"/>
  <c r="K97" i="14"/>
  <c r="F97" i="14"/>
  <c r="N97" i="14"/>
  <c r="J97" i="14" s="1"/>
  <c r="H97" i="14" s="1"/>
  <c r="R97" i="14"/>
  <c r="G97" i="14"/>
  <c r="AD96" i="14"/>
  <c r="V124" i="12" l="1"/>
  <c r="Z124" i="12" s="1"/>
  <c r="I97" i="14"/>
  <c r="Q97" i="14" s="1"/>
  <c r="M97" i="14" s="1"/>
  <c r="AI98" i="14"/>
  <c r="B125" i="12" l="1"/>
  <c r="O124" i="12"/>
  <c r="AJ124" i="12"/>
  <c r="AK124" i="12" s="1"/>
  <c r="AL124" i="12" s="1"/>
  <c r="Q124" i="12"/>
  <c r="L97" i="14"/>
  <c r="P97" i="14" s="1"/>
  <c r="AA97" i="14" s="1"/>
  <c r="C98" i="14"/>
  <c r="AB97" i="14"/>
  <c r="AC97" i="14" s="1"/>
  <c r="X124" i="12" l="1"/>
  <c r="AI124" i="12" s="1"/>
  <c r="M125" i="12"/>
  <c r="S125" i="12"/>
  <c r="G125" i="12"/>
  <c r="AN125" i="12"/>
  <c r="K125" i="12" s="1"/>
  <c r="AR125" i="12" s="1"/>
  <c r="I125" i="12" s="1"/>
  <c r="Z125" i="12" s="1"/>
  <c r="K98" i="14"/>
  <c r="F98" i="14"/>
  <c r="N98" i="14"/>
  <c r="J98" i="14" s="1"/>
  <c r="H98" i="14" s="1"/>
  <c r="AF98" i="14"/>
  <c r="E98" i="14" s="1"/>
  <c r="R98" i="14"/>
  <c r="G98" i="14"/>
  <c r="AD97" i="14"/>
  <c r="B126" i="12" l="1"/>
  <c r="O125" i="12"/>
  <c r="D125" i="12"/>
  <c r="Q125" i="12" s="1"/>
  <c r="E125" i="12"/>
  <c r="AQ126" i="12" s="1"/>
  <c r="I98" i="14"/>
  <c r="Q98" i="14" s="1"/>
  <c r="M98" i="14" s="1"/>
  <c r="AI99" i="14"/>
  <c r="AJ125" i="12" l="1"/>
  <c r="AK125" i="12" s="1"/>
  <c r="AL125" i="12" s="1"/>
  <c r="X125" i="12"/>
  <c r="AI125" i="12" s="1"/>
  <c r="S126" i="12"/>
  <c r="G126" i="12"/>
  <c r="AN126" i="12"/>
  <c r="E126" i="12" s="1"/>
  <c r="AQ127" i="12" s="1"/>
  <c r="M126" i="12"/>
  <c r="L98" i="14"/>
  <c r="P98" i="14" s="1"/>
  <c r="AA98" i="14" s="1"/>
  <c r="C99" i="14"/>
  <c r="AB98" i="14"/>
  <c r="AC98" i="14" s="1"/>
  <c r="D126" i="12" l="1"/>
  <c r="K126" i="12"/>
  <c r="AR126" i="12" s="1"/>
  <c r="I126" i="12" s="1"/>
  <c r="AD98" i="14"/>
  <c r="F99" i="14"/>
  <c r="N99" i="14"/>
  <c r="J99" i="14" s="1"/>
  <c r="H99" i="14" s="1"/>
  <c r="AF99" i="14"/>
  <c r="E99" i="14" s="1"/>
  <c r="K99" i="14"/>
  <c r="R99" i="14"/>
  <c r="G99" i="14"/>
  <c r="V126" i="12" l="1"/>
  <c r="Z126" i="12" s="1"/>
  <c r="I99" i="14"/>
  <c r="Q99" i="14" s="1"/>
  <c r="M99" i="14" s="1"/>
  <c r="AI100" i="14"/>
  <c r="B127" i="12" l="1"/>
  <c r="AJ126" i="12"/>
  <c r="AK126" i="12" s="1"/>
  <c r="AL126" i="12" s="1"/>
  <c r="O126" i="12"/>
  <c r="Q126" i="12"/>
  <c r="AR127" i="12"/>
  <c r="C100" i="14"/>
  <c r="L99" i="14"/>
  <c r="P99" i="14" s="1"/>
  <c r="AA99" i="14" s="1"/>
  <c r="AB99" i="14"/>
  <c r="AC99" i="14" s="1"/>
  <c r="X126" i="12" l="1"/>
  <c r="AI126" i="12" s="1"/>
  <c r="G127" i="12"/>
  <c r="AN127" i="12"/>
  <c r="E127" i="12" s="1"/>
  <c r="AQ128" i="12" s="1"/>
  <c r="M127" i="12"/>
  <c r="S127" i="12"/>
  <c r="AF100" i="14"/>
  <c r="E100" i="14" s="1"/>
  <c r="K100" i="14"/>
  <c r="F100" i="14"/>
  <c r="N100" i="14"/>
  <c r="J100" i="14" s="1"/>
  <c r="H100" i="14" s="1"/>
  <c r="R100" i="14"/>
  <c r="G100" i="14"/>
  <c r="AD99" i="14"/>
  <c r="D127" i="12" l="1"/>
  <c r="K127" i="12"/>
  <c r="I127" i="12" s="1"/>
  <c r="Z127" i="12" s="1"/>
  <c r="AJ127" i="12" s="1"/>
  <c r="AK127" i="12" s="1"/>
  <c r="AL127" i="12" s="1"/>
  <c r="I100" i="14"/>
  <c r="Q100" i="14" s="1"/>
  <c r="M100" i="14" s="1"/>
  <c r="AI101" i="14"/>
  <c r="Q127" i="12" l="1"/>
  <c r="X127" i="12" s="1"/>
  <c r="AI127" i="12" s="1"/>
  <c r="O127" i="12"/>
  <c r="B128" i="12"/>
  <c r="L100" i="14"/>
  <c r="P100" i="14" s="1"/>
  <c r="AA100" i="14" s="1"/>
  <c r="C101" i="14"/>
  <c r="AB100" i="14"/>
  <c r="AC100" i="14" s="1"/>
  <c r="M128" i="12" l="1"/>
  <c r="G128" i="12"/>
  <c r="S128" i="12"/>
  <c r="AN128" i="12"/>
  <c r="AD100" i="14"/>
  <c r="AF101" i="14"/>
  <c r="E101" i="14" s="1"/>
  <c r="K101" i="14"/>
  <c r="F101" i="14"/>
  <c r="N101" i="14"/>
  <c r="J101" i="14" s="1"/>
  <c r="H101" i="14" s="1"/>
  <c r="R101" i="14"/>
  <c r="G101" i="14"/>
  <c r="D128" i="12" l="1"/>
  <c r="K128" i="12"/>
  <c r="AR128" i="12" s="1"/>
  <c r="I128" i="12" s="1"/>
  <c r="E128" i="12"/>
  <c r="AQ129" i="12" s="1"/>
  <c r="I101" i="14"/>
  <c r="Q101" i="14" s="1"/>
  <c r="M101" i="14" s="1"/>
  <c r="AI102" i="14"/>
  <c r="V128" i="12" l="1"/>
  <c r="Z128" i="12" s="1"/>
  <c r="L101" i="14"/>
  <c r="P101" i="14" s="1"/>
  <c r="AA101" i="14" s="1"/>
  <c r="C102" i="14"/>
  <c r="AB101" i="14"/>
  <c r="AC101" i="14" s="1"/>
  <c r="O128" i="12" l="1"/>
  <c r="AJ128" i="12"/>
  <c r="AK128" i="12" s="1"/>
  <c r="AL128" i="12" s="1"/>
  <c r="B129" i="12"/>
  <c r="Q128" i="12"/>
  <c r="AD101" i="14"/>
  <c r="K102" i="14"/>
  <c r="F102" i="14"/>
  <c r="N102" i="14"/>
  <c r="J102" i="14" s="1"/>
  <c r="H102" i="14" s="1"/>
  <c r="AF102" i="14"/>
  <c r="E102" i="14" s="1"/>
  <c r="G102" i="14"/>
  <c r="R102" i="14"/>
  <c r="AN129" i="12" l="1"/>
  <c r="D129" i="12" s="1"/>
  <c r="M129" i="12"/>
  <c r="G129" i="12"/>
  <c r="S129" i="12"/>
  <c r="AR129" i="12"/>
  <c r="E129" i="12"/>
  <c r="AQ130" i="12" s="1"/>
  <c r="K129" i="12"/>
  <c r="X128" i="12"/>
  <c r="AI128" i="12" s="1"/>
  <c r="I102" i="14"/>
  <c r="Q102" i="14" s="1"/>
  <c r="M102" i="14" s="1"/>
  <c r="AI103" i="14"/>
  <c r="I129" i="12" l="1"/>
  <c r="Z129" i="12" s="1"/>
  <c r="O129" i="12" s="1"/>
  <c r="L102" i="14"/>
  <c r="P102" i="14" s="1"/>
  <c r="AA102" i="14" s="1"/>
  <c r="C103" i="14"/>
  <c r="AB102" i="14"/>
  <c r="AC102" i="14" s="1"/>
  <c r="Q129" i="12" l="1"/>
  <c r="X129" i="12" s="1"/>
  <c r="AI129" i="12" s="1"/>
  <c r="AJ129" i="12"/>
  <c r="AK129" i="12" s="1"/>
  <c r="AL129" i="12" s="1"/>
  <c r="B130" i="12"/>
  <c r="S130" i="12"/>
  <c r="G130" i="12"/>
  <c r="M130" i="12"/>
  <c r="AR130" i="12"/>
  <c r="AN130" i="12"/>
  <c r="AD102" i="14"/>
  <c r="F103" i="14"/>
  <c r="N103" i="14"/>
  <c r="J103" i="14" s="1"/>
  <c r="H103" i="14" s="1"/>
  <c r="AF103" i="14"/>
  <c r="E103" i="14" s="1"/>
  <c r="K103" i="14"/>
  <c r="R103" i="14"/>
  <c r="G103" i="14"/>
  <c r="E130" i="12" l="1"/>
  <c r="AQ131" i="12" s="1"/>
  <c r="D130" i="12"/>
  <c r="K130" i="12"/>
  <c r="I130" i="12" s="1"/>
  <c r="I103" i="14"/>
  <c r="Q103" i="14" s="1"/>
  <c r="M103" i="14" s="1"/>
  <c r="AI104" i="14"/>
  <c r="V130" i="12" l="1"/>
  <c r="Z130" i="12" s="1"/>
  <c r="C104" i="14"/>
  <c r="L103" i="14"/>
  <c r="P103" i="14" s="1"/>
  <c r="AA103" i="14" s="1"/>
  <c r="AB103" i="14"/>
  <c r="AC103" i="14" s="1"/>
  <c r="B131" i="12" l="1"/>
  <c r="O130" i="12"/>
  <c r="AJ130" i="12"/>
  <c r="AK130" i="12" s="1"/>
  <c r="AL130" i="12" s="1"/>
  <c r="Q130" i="12"/>
  <c r="AF104" i="14"/>
  <c r="E104" i="14" s="1"/>
  <c r="K104" i="14"/>
  <c r="F104" i="14"/>
  <c r="N104" i="14"/>
  <c r="J104" i="14" s="1"/>
  <c r="H104" i="14" s="1"/>
  <c r="R104" i="14"/>
  <c r="G104" i="14"/>
  <c r="AD103" i="14"/>
  <c r="X130" i="12" l="1"/>
  <c r="AI130" i="12" s="1"/>
  <c r="AN131" i="12"/>
  <c r="E131" i="12" s="1"/>
  <c r="AQ132" i="12" s="1"/>
  <c r="S131" i="12"/>
  <c r="M131" i="12"/>
  <c r="G131" i="12"/>
  <c r="AR131" i="12"/>
  <c r="I104" i="14"/>
  <c r="Q104" i="14" s="1"/>
  <c r="M104" i="14" s="1"/>
  <c r="AI105" i="14"/>
  <c r="K131" i="12" l="1"/>
  <c r="D131" i="12"/>
  <c r="L104" i="14"/>
  <c r="P104" i="14" s="1"/>
  <c r="AA104" i="14" s="1"/>
  <c r="C105" i="14"/>
  <c r="AB104" i="14"/>
  <c r="AC104" i="14" s="1"/>
  <c r="I131" i="12" l="1"/>
  <c r="Z131" i="12" s="1"/>
  <c r="AD104" i="14"/>
  <c r="AF105" i="14"/>
  <c r="E105" i="14" s="1"/>
  <c r="K105" i="14"/>
  <c r="F105" i="14"/>
  <c r="N105" i="14"/>
  <c r="J105" i="14" s="1"/>
  <c r="R105" i="14"/>
  <c r="G105" i="14"/>
  <c r="AJ131" i="12" l="1"/>
  <c r="AK131" i="12" s="1"/>
  <c r="AL131" i="12" s="1"/>
  <c r="B132" i="12"/>
  <c r="O131" i="12"/>
  <c r="Q131" i="12"/>
  <c r="H105" i="14"/>
  <c r="I105" i="14" s="1"/>
  <c r="Q105" i="14" s="1"/>
  <c r="M105" i="14" s="1"/>
  <c r="AI106" i="14"/>
  <c r="AN132" i="12" l="1"/>
  <c r="D132" i="12" s="1"/>
  <c r="M132" i="12"/>
  <c r="S132" i="12"/>
  <c r="G132" i="12"/>
  <c r="X131" i="12"/>
  <c r="AI131" i="12" s="1"/>
  <c r="L105" i="14"/>
  <c r="P105" i="14" s="1"/>
  <c r="AA105" i="14" s="1"/>
  <c r="C106" i="14"/>
  <c r="AB105" i="14"/>
  <c r="AC105" i="14" s="1"/>
  <c r="E132" i="12" l="1"/>
  <c r="AQ133" i="12" s="1"/>
  <c r="K132" i="12"/>
  <c r="AR132" i="12" s="1"/>
  <c r="AD105" i="14"/>
  <c r="K106" i="14"/>
  <c r="F106" i="14"/>
  <c r="N106" i="14"/>
  <c r="J106" i="14" s="1"/>
  <c r="H106" i="14" s="1"/>
  <c r="AF106" i="14"/>
  <c r="E106" i="14" s="1"/>
  <c r="R106" i="14"/>
  <c r="G106" i="14"/>
  <c r="I132" i="12" l="1"/>
  <c r="I106" i="14"/>
  <c r="Q106" i="14" s="1"/>
  <c r="M106" i="14" s="1"/>
  <c r="AI107" i="14"/>
  <c r="V132" i="12" l="1"/>
  <c r="Z132" i="12" s="1"/>
  <c r="L106" i="14"/>
  <c r="P106" i="14" s="1"/>
  <c r="AA106" i="14" s="1"/>
  <c r="C107" i="14"/>
  <c r="AB106" i="14"/>
  <c r="AC106" i="14" s="1"/>
  <c r="O132" i="12" l="1"/>
  <c r="B133" i="12"/>
  <c r="AJ132" i="12"/>
  <c r="AK132" i="12" s="1"/>
  <c r="AL132" i="12" s="1"/>
  <c r="Q132" i="12"/>
  <c r="AD106" i="14"/>
  <c r="F107" i="14"/>
  <c r="N107" i="14"/>
  <c r="J107" i="14" s="1"/>
  <c r="H107" i="14" s="1"/>
  <c r="AF107" i="14"/>
  <c r="E107" i="14" s="1"/>
  <c r="K107" i="14"/>
  <c r="R107" i="14"/>
  <c r="G107" i="14"/>
  <c r="S133" i="12" l="1"/>
  <c r="M133" i="12"/>
  <c r="G133" i="12"/>
  <c r="AN133" i="12"/>
  <c r="E133" i="12" s="1"/>
  <c r="AQ134" i="12" s="1"/>
  <c r="D133" i="12"/>
  <c r="AR133" i="12"/>
  <c r="X132" i="12"/>
  <c r="AI132" i="12" s="1"/>
  <c r="I107" i="14"/>
  <c r="Q107" i="14" s="1"/>
  <c r="M107" i="14" s="1"/>
  <c r="AI108" i="14"/>
  <c r="K133" i="12" l="1"/>
  <c r="I133" i="12" s="1"/>
  <c r="Z133" i="12" s="1"/>
  <c r="C108" i="14"/>
  <c r="L107" i="14"/>
  <c r="P107" i="14" s="1"/>
  <c r="AA107" i="14" s="1"/>
  <c r="AB107" i="14"/>
  <c r="AC107" i="14" s="1"/>
  <c r="AJ133" i="12" l="1"/>
  <c r="AK133" i="12" s="1"/>
  <c r="AL133" i="12" s="1"/>
  <c r="O133" i="12"/>
  <c r="B134" i="12"/>
  <c r="Q133" i="12"/>
  <c r="AD107" i="14"/>
  <c r="AF108" i="14"/>
  <c r="E108" i="14" s="1"/>
  <c r="K108" i="14"/>
  <c r="F108" i="14"/>
  <c r="N108" i="14"/>
  <c r="J108" i="14" s="1"/>
  <c r="H108" i="14" s="1"/>
  <c r="G108" i="14"/>
  <c r="R108" i="14"/>
  <c r="X133" i="12" l="1"/>
  <c r="AI133" i="12" s="1"/>
  <c r="G134" i="12"/>
  <c r="AR134" i="12"/>
  <c r="S134" i="12"/>
  <c r="AN134" i="12"/>
  <c r="K134" i="12" s="1"/>
  <c r="I134" i="12" s="1"/>
  <c r="M134" i="12"/>
  <c r="E134" i="12"/>
  <c r="AQ135" i="12" s="1"/>
  <c r="D134" i="12"/>
  <c r="I108" i="14"/>
  <c r="Q108" i="14" s="1"/>
  <c r="M108" i="14" s="1"/>
  <c r="AI109" i="14"/>
  <c r="V134" i="12" l="1"/>
  <c r="Z134" i="12" s="1"/>
  <c r="L108" i="14"/>
  <c r="P108" i="14" s="1"/>
  <c r="AA108" i="14" s="1"/>
  <c r="C109" i="14"/>
  <c r="AB108" i="14"/>
  <c r="AC108" i="14" s="1"/>
  <c r="O134" i="12" l="1"/>
  <c r="AJ134" i="12"/>
  <c r="AK134" i="12" s="1"/>
  <c r="AL134" i="12" s="1"/>
  <c r="B135" i="12"/>
  <c r="Q134" i="12"/>
  <c r="X134" i="12" s="1"/>
  <c r="AI134" i="12" s="1"/>
  <c r="AD108" i="14"/>
  <c r="AF109" i="14"/>
  <c r="E109" i="14" s="1"/>
  <c r="K109" i="14"/>
  <c r="F109" i="14"/>
  <c r="N109" i="14"/>
  <c r="J109" i="14" s="1"/>
  <c r="H109" i="14" s="1"/>
  <c r="R109" i="14"/>
  <c r="G109" i="14"/>
  <c r="AN135" i="12" l="1"/>
  <c r="D135" i="12"/>
  <c r="M135" i="12"/>
  <c r="S135" i="12"/>
  <c r="E135" i="12"/>
  <c r="AQ136" i="12" s="1"/>
  <c r="G135" i="12"/>
  <c r="I109" i="14"/>
  <c r="Q109" i="14" s="1"/>
  <c r="M109" i="14" s="1"/>
  <c r="AI110" i="14"/>
  <c r="K135" i="12" l="1"/>
  <c r="AR135" i="12" s="1"/>
  <c r="I135" i="12" s="1"/>
  <c r="Z135" i="12" s="1"/>
  <c r="O135" i="12" s="1"/>
  <c r="L109" i="14"/>
  <c r="P109" i="14" s="1"/>
  <c r="AA109" i="14" s="1"/>
  <c r="C110" i="14"/>
  <c r="AB109" i="14"/>
  <c r="AC109" i="14" s="1"/>
  <c r="Q135" i="12" l="1"/>
  <c r="X135" i="12" s="1"/>
  <c r="AI135" i="12" s="1"/>
  <c r="AJ135" i="12"/>
  <c r="AK135" i="12" s="1"/>
  <c r="AL135" i="12" s="1"/>
  <c r="B136" i="12"/>
  <c r="S136" i="12"/>
  <c r="M136" i="12"/>
  <c r="G136" i="12"/>
  <c r="AR136" i="12"/>
  <c r="AD109" i="14"/>
  <c r="K110" i="14"/>
  <c r="F110" i="14"/>
  <c r="N110" i="14"/>
  <c r="J110" i="14" s="1"/>
  <c r="H110" i="14" s="1"/>
  <c r="AF110" i="14"/>
  <c r="E110" i="14" s="1"/>
  <c r="G110" i="14"/>
  <c r="R110" i="14"/>
  <c r="AN136" i="12" l="1"/>
  <c r="I110" i="14"/>
  <c r="Q110" i="14" s="1"/>
  <c r="M110" i="14" s="1"/>
  <c r="AI111" i="14"/>
  <c r="D136" i="12" l="1"/>
  <c r="E136" i="12"/>
  <c r="AQ137" i="12" s="1"/>
  <c r="K136" i="12"/>
  <c r="I136" i="12" s="1"/>
  <c r="V136" i="12" s="1"/>
  <c r="Z136" i="12" s="1"/>
  <c r="L110" i="14"/>
  <c r="P110" i="14" s="1"/>
  <c r="AA110" i="14" s="1"/>
  <c r="C111" i="14"/>
  <c r="AB110" i="14"/>
  <c r="AC110" i="14" s="1"/>
  <c r="B137" i="12" l="1"/>
  <c r="AR137" i="12" s="1"/>
  <c r="AJ136" i="12"/>
  <c r="AK136" i="12" s="1"/>
  <c r="AL136" i="12" s="1"/>
  <c r="O136" i="12"/>
  <c r="Q136" i="12"/>
  <c r="AD110" i="14"/>
  <c r="F111" i="14"/>
  <c r="N111" i="14"/>
  <c r="J111" i="14" s="1"/>
  <c r="AF111" i="14"/>
  <c r="E111" i="14" s="1"/>
  <c r="K111" i="14"/>
  <c r="R111" i="14"/>
  <c r="G111" i="14"/>
  <c r="S137" i="12" l="1"/>
  <c r="AN137" i="12"/>
  <c r="E137" i="12" s="1"/>
  <c r="AQ138" i="12" s="1"/>
  <c r="M137" i="12"/>
  <c r="G137" i="12"/>
  <c r="D137" i="12"/>
  <c r="X136" i="12"/>
  <c r="AI136" i="12" s="1"/>
  <c r="H111" i="14"/>
  <c r="I111" i="14" s="1"/>
  <c r="Q111" i="14" s="1"/>
  <c r="M111" i="14" s="1"/>
  <c r="AI112" i="14"/>
  <c r="K137" i="12" l="1"/>
  <c r="I137" i="12" s="1"/>
  <c r="Z137" i="12" s="1"/>
  <c r="O137" i="12" s="1"/>
  <c r="C112" i="14"/>
  <c r="L111" i="14"/>
  <c r="P111" i="14" s="1"/>
  <c r="AA111" i="14" s="1"/>
  <c r="AB111" i="14"/>
  <c r="AC111" i="14" s="1"/>
  <c r="Q137" i="12" l="1"/>
  <c r="X137" i="12" s="1"/>
  <c r="AI137" i="12" s="1"/>
  <c r="AJ137" i="12"/>
  <c r="AK137" i="12" s="1"/>
  <c r="AL137" i="12" s="1"/>
  <c r="B138" i="12"/>
  <c r="AN138" i="12" s="1"/>
  <c r="D138" i="12" s="1"/>
  <c r="AF112" i="14"/>
  <c r="E112" i="14" s="1"/>
  <c r="K112" i="14"/>
  <c r="F112" i="14"/>
  <c r="N112" i="14"/>
  <c r="J112" i="14" s="1"/>
  <c r="H112" i="14" s="1"/>
  <c r="R112" i="14"/>
  <c r="G112" i="14"/>
  <c r="AD111" i="14"/>
  <c r="M138" i="12" l="1"/>
  <c r="G138" i="12"/>
  <c r="S138" i="12"/>
  <c r="K138" i="12" s="1"/>
  <c r="AR138" i="12" s="1"/>
  <c r="I138" i="12" s="1"/>
  <c r="E138" i="12"/>
  <c r="AQ139" i="12" s="1"/>
  <c r="I112" i="14"/>
  <c r="Q112" i="14" s="1"/>
  <c r="M112" i="14" s="1"/>
  <c r="AI113" i="14"/>
  <c r="V138" i="12" l="1"/>
  <c r="Z138" i="12" s="1"/>
  <c r="L112" i="14"/>
  <c r="P112" i="14" s="1"/>
  <c r="AA112" i="14" s="1"/>
  <c r="C113" i="14"/>
  <c r="AB112" i="14"/>
  <c r="AC112" i="14" s="1"/>
  <c r="O138" i="12" l="1"/>
  <c r="Q138" i="12"/>
  <c r="X138" i="12" s="1"/>
  <c r="AI138" i="12" s="1"/>
  <c r="B139" i="12"/>
  <c r="G139" i="12" s="1"/>
  <c r="AJ138" i="12"/>
  <c r="AK138" i="12" s="1"/>
  <c r="AL138" i="12" s="1"/>
  <c r="AF113" i="14"/>
  <c r="E113" i="14" s="1"/>
  <c r="K113" i="14"/>
  <c r="F113" i="14"/>
  <c r="N113" i="14"/>
  <c r="J113" i="14" s="1"/>
  <c r="H113" i="14" s="1"/>
  <c r="I113" i="14" s="1"/>
  <c r="R113" i="14"/>
  <c r="G113" i="14"/>
  <c r="AD112" i="14"/>
  <c r="AN139" i="12" l="1"/>
  <c r="D139" i="12" s="1"/>
  <c r="M139" i="12"/>
  <c r="S139" i="12"/>
  <c r="E139" i="12"/>
  <c r="AQ140" i="12" s="1"/>
  <c r="AI114" i="14"/>
  <c r="Q113" i="14"/>
  <c r="M113" i="14" s="1"/>
  <c r="K139" i="12" l="1"/>
  <c r="AR139" i="12" s="1"/>
  <c r="I139" i="12" s="1"/>
  <c r="Z139" i="12" s="1"/>
  <c r="O139" i="12" s="1"/>
  <c r="L113" i="14"/>
  <c r="P113" i="14" s="1"/>
  <c r="AA113" i="14" s="1"/>
  <c r="C114" i="14"/>
  <c r="AB113" i="14"/>
  <c r="AC113" i="14" s="1"/>
  <c r="Q139" i="12" l="1"/>
  <c r="AJ139" i="12"/>
  <c r="AK139" i="12" s="1"/>
  <c r="AL139" i="12" s="1"/>
  <c r="B140" i="12"/>
  <c r="S140" i="12" s="1"/>
  <c r="X139" i="12"/>
  <c r="AI139" i="12" s="1"/>
  <c r="K114" i="14"/>
  <c r="F114" i="14"/>
  <c r="AF114" i="14"/>
  <c r="E114" i="14" s="1"/>
  <c r="N114" i="14"/>
  <c r="J114" i="14" s="1"/>
  <c r="H114" i="14" s="1"/>
  <c r="R114" i="14"/>
  <c r="G114" i="14"/>
  <c r="AD113" i="14"/>
  <c r="G140" i="12" l="1"/>
  <c r="AN140" i="12"/>
  <c r="E140" i="12" s="1"/>
  <c r="AQ141" i="12" s="1"/>
  <c r="M140" i="12"/>
  <c r="AR140" i="12"/>
  <c r="I114" i="14"/>
  <c r="Q114" i="14" s="1"/>
  <c r="M114" i="14" s="1"/>
  <c r="AI115" i="14"/>
  <c r="K140" i="12" l="1"/>
  <c r="I140" i="12" s="1"/>
  <c r="D140" i="12"/>
  <c r="L114" i="14"/>
  <c r="P114" i="14" s="1"/>
  <c r="AA114" i="14" s="1"/>
  <c r="C115" i="14"/>
  <c r="AB114" i="14"/>
  <c r="AC114" i="14" s="1"/>
  <c r="V140" i="12" l="1"/>
  <c r="Z140" i="12" s="1"/>
  <c r="K115" i="14"/>
  <c r="F115" i="14"/>
  <c r="N115" i="14"/>
  <c r="J115" i="14" s="1"/>
  <c r="H115" i="14" s="1"/>
  <c r="AF115" i="14"/>
  <c r="E115" i="14" s="1"/>
  <c r="R115" i="14"/>
  <c r="G115" i="14"/>
  <c r="AD114" i="14"/>
  <c r="B141" i="12" l="1"/>
  <c r="AJ140" i="12"/>
  <c r="AK140" i="12" s="1"/>
  <c r="AL140" i="12" s="1"/>
  <c r="O140" i="12"/>
  <c r="Q140" i="12"/>
  <c r="AN141" i="12"/>
  <c r="D141" i="12" s="1"/>
  <c r="S141" i="12"/>
  <c r="M141" i="12"/>
  <c r="G141" i="12"/>
  <c r="I115" i="14"/>
  <c r="Q115" i="14" s="1"/>
  <c r="M115" i="14" s="1"/>
  <c r="AI116" i="14"/>
  <c r="X140" i="12" l="1"/>
  <c r="AI140" i="12" s="1"/>
  <c r="K141" i="12"/>
  <c r="AR141" i="12" s="1"/>
  <c r="I141" i="12" s="1"/>
  <c r="Z141" i="12" s="1"/>
  <c r="E141" i="12"/>
  <c r="AQ142" i="12" s="1"/>
  <c r="L115" i="14"/>
  <c r="P115" i="14" s="1"/>
  <c r="AA115" i="14" s="1"/>
  <c r="C116" i="14"/>
  <c r="AB115" i="14"/>
  <c r="AC115" i="14" s="1"/>
  <c r="O141" i="12" l="1"/>
  <c r="AJ141" i="12"/>
  <c r="AK141" i="12" s="1"/>
  <c r="AL141" i="12" s="1"/>
  <c r="B142" i="12"/>
  <c r="Q141" i="12"/>
  <c r="AD115" i="14"/>
  <c r="F116" i="14"/>
  <c r="N116" i="14"/>
  <c r="J116" i="14" s="1"/>
  <c r="H116" i="14" s="1"/>
  <c r="AF116" i="14"/>
  <c r="E116" i="14" s="1"/>
  <c r="K116" i="14"/>
  <c r="R116" i="14"/>
  <c r="G116" i="14"/>
  <c r="I116" i="14" l="1"/>
  <c r="Q116" i="14" s="1"/>
  <c r="M116" i="14" s="1"/>
  <c r="G142" i="12"/>
  <c r="AN142" i="12"/>
  <c r="D142" i="12" s="1"/>
  <c r="M142" i="12"/>
  <c r="S142" i="12"/>
  <c r="X141" i="12"/>
  <c r="AI141" i="12" s="1"/>
  <c r="AI117" i="14"/>
  <c r="E142" i="12" l="1"/>
  <c r="AQ143" i="12" s="1"/>
  <c r="K142" i="12"/>
  <c r="AR142" i="12"/>
  <c r="C117" i="14"/>
  <c r="L116" i="14"/>
  <c r="P116" i="14" s="1"/>
  <c r="AA116" i="14" s="1"/>
  <c r="AB116" i="14"/>
  <c r="AC116" i="14" s="1"/>
  <c r="I142" i="12" l="1"/>
  <c r="AF117" i="14"/>
  <c r="E117" i="14" s="1"/>
  <c r="K117" i="14"/>
  <c r="F117" i="14"/>
  <c r="N117" i="14"/>
  <c r="J117" i="14" s="1"/>
  <c r="H117" i="14" s="1"/>
  <c r="I117" i="14" s="1"/>
  <c r="R117" i="14"/>
  <c r="G117" i="14"/>
  <c r="AD116" i="14"/>
  <c r="V142" i="12" l="1"/>
  <c r="Z142" i="12" s="1"/>
  <c r="AI118" i="14"/>
  <c r="Q117" i="14"/>
  <c r="M117" i="14" s="1"/>
  <c r="B143" i="12" l="1"/>
  <c r="O142" i="12"/>
  <c r="Q142" i="12"/>
  <c r="X142" i="12" s="1"/>
  <c r="AI142" i="12" s="1"/>
  <c r="AJ142" i="12"/>
  <c r="AK142" i="12" s="1"/>
  <c r="AL142" i="12" s="1"/>
  <c r="AR143" i="12"/>
  <c r="L117" i="14"/>
  <c r="P117" i="14" s="1"/>
  <c r="AA117" i="14" s="1"/>
  <c r="C118" i="14"/>
  <c r="AB117" i="14"/>
  <c r="AC117" i="14" s="1"/>
  <c r="AN143" i="12" l="1"/>
  <c r="G143" i="12"/>
  <c r="M143" i="12"/>
  <c r="S143" i="12"/>
  <c r="AD117" i="14"/>
  <c r="AF118" i="14"/>
  <c r="E118" i="14" s="1"/>
  <c r="K118" i="14"/>
  <c r="F118" i="14"/>
  <c r="N118" i="14"/>
  <c r="J118" i="14" s="1"/>
  <c r="G118" i="14"/>
  <c r="R118" i="14"/>
  <c r="E143" i="12" l="1"/>
  <c r="AQ144" i="12" s="1"/>
  <c r="K143" i="12"/>
  <c r="I143" i="12" s="1"/>
  <c r="Z143" i="12" s="1"/>
  <c r="O143" i="12" s="1"/>
  <c r="D143" i="12"/>
  <c r="Q143" i="12" s="1"/>
  <c r="H118" i="14"/>
  <c r="I118" i="14" s="1"/>
  <c r="Q118" i="14" s="1"/>
  <c r="M118" i="14" s="1"/>
  <c r="AI119" i="14"/>
  <c r="AJ143" i="12" l="1"/>
  <c r="AK143" i="12" s="1"/>
  <c r="AL143" i="12" s="1"/>
  <c r="B144" i="12"/>
  <c r="X143" i="12"/>
  <c r="AI143" i="12" s="1"/>
  <c r="L118" i="14"/>
  <c r="P118" i="14" s="1"/>
  <c r="AA118" i="14" s="1"/>
  <c r="C119" i="14"/>
  <c r="AB118" i="14"/>
  <c r="AC118" i="14" s="1"/>
  <c r="AN144" i="12" l="1"/>
  <c r="M144" i="12"/>
  <c r="G144" i="12"/>
  <c r="S144" i="12"/>
  <c r="K119" i="14"/>
  <c r="F119" i="14"/>
  <c r="N119" i="14"/>
  <c r="J119" i="14" s="1"/>
  <c r="H119" i="14" s="1"/>
  <c r="AF119" i="14"/>
  <c r="E119" i="14" s="1"/>
  <c r="R119" i="14"/>
  <c r="G119" i="14"/>
  <c r="AD118" i="14"/>
  <c r="E144" i="12" l="1"/>
  <c r="AQ145" i="12" s="1"/>
  <c r="K144" i="12"/>
  <c r="AR144" i="12" s="1"/>
  <c r="I144" i="12" s="1"/>
  <c r="D144" i="12"/>
  <c r="I119" i="14"/>
  <c r="Q119" i="14" s="1"/>
  <c r="M119" i="14" s="1"/>
  <c r="AI120" i="14"/>
  <c r="V144" i="12" l="1"/>
  <c r="Z144" i="12" s="1"/>
  <c r="L119" i="14"/>
  <c r="P119" i="14" s="1"/>
  <c r="AA119" i="14" s="1"/>
  <c r="C120" i="14"/>
  <c r="AB119" i="14"/>
  <c r="AC119" i="14" s="1"/>
  <c r="O144" i="12" l="1"/>
  <c r="AJ144" i="12"/>
  <c r="AK144" i="12" s="1"/>
  <c r="AL144" i="12" s="1"/>
  <c r="B145" i="12"/>
  <c r="Q144" i="12"/>
  <c r="AD119" i="14"/>
  <c r="F120" i="14"/>
  <c r="N120" i="14"/>
  <c r="J120" i="14" s="1"/>
  <c r="H120" i="14" s="1"/>
  <c r="AF120" i="14"/>
  <c r="E120" i="14" s="1"/>
  <c r="K120" i="14"/>
  <c r="R120" i="14"/>
  <c r="G120" i="14"/>
  <c r="AN145" i="12" l="1"/>
  <c r="D145" i="12" s="1"/>
  <c r="S145" i="12"/>
  <c r="G145" i="12"/>
  <c r="M145" i="12"/>
  <c r="X144" i="12"/>
  <c r="AI144" i="12" s="1"/>
  <c r="I120" i="14"/>
  <c r="Q120" i="14" s="1"/>
  <c r="M120" i="14" s="1"/>
  <c r="AI121" i="14"/>
  <c r="E145" i="12" l="1"/>
  <c r="AQ146" i="12" s="1"/>
  <c r="K145" i="12"/>
  <c r="AR145" i="12" s="1"/>
  <c r="I145" i="12" s="1"/>
  <c r="Z145" i="12" s="1"/>
  <c r="C121" i="14"/>
  <c r="L120" i="14"/>
  <c r="P120" i="14" s="1"/>
  <c r="AA120" i="14" s="1"/>
  <c r="AB120" i="14"/>
  <c r="AC120" i="14" s="1"/>
  <c r="B146" i="12" l="1"/>
  <c r="AJ145" i="12"/>
  <c r="AK145" i="12" s="1"/>
  <c r="AL145" i="12" s="1"/>
  <c r="O145" i="12"/>
  <c r="Q145" i="12"/>
  <c r="AF121" i="14"/>
  <c r="E121" i="14" s="1"/>
  <c r="K121" i="14"/>
  <c r="F121" i="14"/>
  <c r="N121" i="14"/>
  <c r="J121" i="14" s="1"/>
  <c r="H121" i="14" s="1"/>
  <c r="R121" i="14"/>
  <c r="G121" i="14"/>
  <c r="AD120" i="14"/>
  <c r="X145" i="12" l="1"/>
  <c r="AI145" i="12" s="1"/>
  <c r="M146" i="12"/>
  <c r="AN146" i="12"/>
  <c r="S146" i="12"/>
  <c r="G146" i="12"/>
  <c r="I121" i="14"/>
  <c r="Q121" i="14" s="1"/>
  <c r="M121" i="14" s="1"/>
  <c r="AI122" i="14"/>
  <c r="D146" i="12" l="1"/>
  <c r="E146" i="12"/>
  <c r="AQ147" i="12" s="1"/>
  <c r="K146" i="12"/>
  <c r="AR146" i="12" s="1"/>
  <c r="I146" i="12" s="1"/>
  <c r="L121" i="14"/>
  <c r="P121" i="14" s="1"/>
  <c r="AA121" i="14" s="1"/>
  <c r="C122" i="14"/>
  <c r="AB121" i="14"/>
  <c r="AC121" i="14" s="1"/>
  <c r="V146" i="12" l="1"/>
  <c r="Z146" i="12" s="1"/>
  <c r="AD121" i="14"/>
  <c r="AF122" i="14"/>
  <c r="E122" i="14" s="1"/>
  <c r="K122" i="14"/>
  <c r="F122" i="14"/>
  <c r="N122" i="14"/>
  <c r="J122" i="14" s="1"/>
  <c r="H122" i="14" s="1"/>
  <c r="R122" i="14"/>
  <c r="G122" i="14"/>
  <c r="O146" i="12" l="1"/>
  <c r="AJ146" i="12"/>
  <c r="AK146" i="12" s="1"/>
  <c r="AL146" i="12" s="1"/>
  <c r="B147" i="12"/>
  <c r="Q146" i="12"/>
  <c r="I122" i="14"/>
  <c r="Q122" i="14" s="1"/>
  <c r="M122" i="14" s="1"/>
  <c r="AI123" i="14"/>
  <c r="M147" i="12" l="1"/>
  <c r="AN147" i="12"/>
  <c r="D147" i="12" s="1"/>
  <c r="S147" i="12"/>
  <c r="G147" i="12"/>
  <c r="E147" i="12"/>
  <c r="AQ148" i="12" s="1"/>
  <c r="X146" i="12"/>
  <c r="AI146" i="12" s="1"/>
  <c r="L122" i="14"/>
  <c r="P122" i="14" s="1"/>
  <c r="AA122" i="14" s="1"/>
  <c r="C123" i="14"/>
  <c r="AB122" i="14"/>
  <c r="AC122" i="14" s="1"/>
  <c r="K147" i="12" l="1"/>
  <c r="AR147" i="12" s="1"/>
  <c r="AD122" i="14"/>
  <c r="K123" i="14"/>
  <c r="F123" i="14"/>
  <c r="N123" i="14"/>
  <c r="J123" i="14" s="1"/>
  <c r="H123" i="14" s="1"/>
  <c r="AF123" i="14"/>
  <c r="E123" i="14" s="1"/>
  <c r="R123" i="14"/>
  <c r="G123" i="14"/>
  <c r="I147" i="12" l="1"/>
  <c r="Z147" i="12" s="1"/>
  <c r="I123" i="14"/>
  <c r="Q123" i="14" s="1"/>
  <c r="M123" i="14" s="1"/>
  <c r="AI124" i="14"/>
  <c r="O147" i="12" l="1"/>
  <c r="B148" i="12"/>
  <c r="AJ147" i="12"/>
  <c r="AK147" i="12" s="1"/>
  <c r="AL147" i="12" s="1"/>
  <c r="Q147" i="12"/>
  <c r="L123" i="14"/>
  <c r="P123" i="14" s="1"/>
  <c r="AA123" i="14" s="1"/>
  <c r="C124" i="14"/>
  <c r="AB123" i="14"/>
  <c r="AC123" i="14" s="1"/>
  <c r="X147" i="12" l="1"/>
  <c r="AI147" i="12" s="1"/>
  <c r="G148" i="12"/>
  <c r="M148" i="12"/>
  <c r="AN148" i="12"/>
  <c r="D148" i="12" s="1"/>
  <c r="S148" i="12"/>
  <c r="AR148" i="12"/>
  <c r="F124" i="14"/>
  <c r="N124" i="14"/>
  <c r="J124" i="14" s="1"/>
  <c r="H124" i="14" s="1"/>
  <c r="AF124" i="14"/>
  <c r="E124" i="14" s="1"/>
  <c r="K124" i="14"/>
  <c r="R124" i="14"/>
  <c r="G124" i="14"/>
  <c r="AD123" i="14"/>
  <c r="E148" i="12" l="1"/>
  <c r="AQ149" i="12" s="1"/>
  <c r="K148" i="12"/>
  <c r="I124" i="14"/>
  <c r="Q124" i="14" s="1"/>
  <c r="M124" i="14" s="1"/>
  <c r="AI125" i="14"/>
  <c r="I148" i="12" l="1"/>
  <c r="C125" i="14"/>
  <c r="L124" i="14"/>
  <c r="P124" i="14" s="1"/>
  <c r="AA124" i="14" s="1"/>
  <c r="AB124" i="14"/>
  <c r="AC124" i="14" s="1"/>
  <c r="V148" i="12" l="1"/>
  <c r="Z148" i="12" s="1"/>
  <c r="AD124" i="14"/>
  <c r="AF125" i="14"/>
  <c r="E125" i="14" s="1"/>
  <c r="K125" i="14"/>
  <c r="F125" i="14"/>
  <c r="N125" i="14"/>
  <c r="J125" i="14" s="1"/>
  <c r="H125" i="14" s="1"/>
  <c r="R125" i="14"/>
  <c r="G125" i="14"/>
  <c r="AJ148" i="12" l="1"/>
  <c r="AK148" i="12" s="1"/>
  <c r="AL148" i="12" s="1"/>
  <c r="O148" i="12"/>
  <c r="B149" i="12"/>
  <c r="Q148" i="12"/>
  <c r="I125" i="14"/>
  <c r="Q125" i="14" s="1"/>
  <c r="M125" i="14" s="1"/>
  <c r="AI126" i="14"/>
  <c r="AN149" i="12" l="1"/>
  <c r="D149" i="12" s="1"/>
  <c r="M149" i="12"/>
  <c r="S149" i="12"/>
  <c r="G149" i="12"/>
  <c r="E149" i="12"/>
  <c r="AQ150" i="12" s="1"/>
  <c r="X148" i="12"/>
  <c r="AI148" i="12" s="1"/>
  <c r="L125" i="14"/>
  <c r="P125" i="14" s="1"/>
  <c r="AA125" i="14" s="1"/>
  <c r="C126" i="14"/>
  <c r="AB125" i="14"/>
  <c r="AC125" i="14" s="1"/>
  <c r="K149" i="12" l="1"/>
  <c r="AR149" i="12" s="1"/>
  <c r="I149" i="12" s="1"/>
  <c r="Z149" i="12" s="1"/>
  <c r="Q149" i="12" s="1"/>
  <c r="AD125" i="14"/>
  <c r="AF126" i="14"/>
  <c r="E126" i="14" s="1"/>
  <c r="K126" i="14"/>
  <c r="F126" i="14"/>
  <c r="N126" i="14"/>
  <c r="J126" i="14" s="1"/>
  <c r="H126" i="14" s="1"/>
  <c r="R126" i="14"/>
  <c r="G126" i="14"/>
  <c r="B150" i="12" l="1"/>
  <c r="O149" i="12"/>
  <c r="X149" i="12" s="1"/>
  <c r="AI149" i="12" s="1"/>
  <c r="AJ149" i="12"/>
  <c r="AK149" i="12" s="1"/>
  <c r="AL149" i="12" s="1"/>
  <c r="I126" i="14"/>
  <c r="Q126" i="14" s="1"/>
  <c r="M126" i="14" s="1"/>
  <c r="AI127" i="14"/>
  <c r="S150" i="12" l="1"/>
  <c r="M150" i="12"/>
  <c r="AN150" i="12"/>
  <c r="D150" i="12" s="1"/>
  <c r="G150" i="12"/>
  <c r="L126" i="14"/>
  <c r="P126" i="14" s="1"/>
  <c r="AA126" i="14" s="1"/>
  <c r="C127" i="14"/>
  <c r="AB126" i="14"/>
  <c r="AC126" i="14" s="1"/>
  <c r="E150" i="12" l="1"/>
  <c r="AQ151" i="12" s="1"/>
  <c r="K150" i="12"/>
  <c r="AR150" i="12" s="1"/>
  <c r="I150" i="12" s="1"/>
  <c r="K127" i="14"/>
  <c r="F127" i="14"/>
  <c r="N127" i="14"/>
  <c r="J127" i="14" s="1"/>
  <c r="H127" i="14" s="1"/>
  <c r="AF127" i="14"/>
  <c r="E127" i="14" s="1"/>
  <c r="R127" i="14"/>
  <c r="G127" i="14"/>
  <c r="AD126" i="14"/>
  <c r="V150" i="12" l="1"/>
  <c r="Z150" i="12" s="1"/>
  <c r="I127" i="14"/>
  <c r="Q127" i="14" s="1"/>
  <c r="M127" i="14" s="1"/>
  <c r="AI128" i="14"/>
  <c r="B151" i="12" l="1"/>
  <c r="AJ150" i="12"/>
  <c r="AK150" i="12" s="1"/>
  <c r="AL150" i="12" s="1"/>
  <c r="O150" i="12"/>
  <c r="Q150" i="12"/>
  <c r="L127" i="14"/>
  <c r="P127" i="14" s="1"/>
  <c r="AA127" i="14" s="1"/>
  <c r="C128" i="14"/>
  <c r="AB127" i="14"/>
  <c r="AC127" i="14" s="1"/>
  <c r="X150" i="12" l="1"/>
  <c r="AI150" i="12" s="1"/>
  <c r="S151" i="12"/>
  <c r="AR151" i="12"/>
  <c r="AN151" i="12"/>
  <c r="D151" i="12" s="1"/>
  <c r="G151" i="12"/>
  <c r="M151" i="12"/>
  <c r="E151" i="12"/>
  <c r="AQ152" i="12" s="1"/>
  <c r="AD127" i="14"/>
  <c r="F128" i="14"/>
  <c r="N128" i="14"/>
  <c r="J128" i="14" s="1"/>
  <c r="H128" i="14" s="1"/>
  <c r="AF128" i="14"/>
  <c r="E128" i="14" s="1"/>
  <c r="K128" i="14"/>
  <c r="R128" i="14"/>
  <c r="G128" i="14"/>
  <c r="K151" i="12" l="1"/>
  <c r="I151" i="12" s="1"/>
  <c r="Z151" i="12" s="1"/>
  <c r="Q151" i="12" s="1"/>
  <c r="I128" i="14"/>
  <c r="Q128" i="14" s="1"/>
  <c r="M128" i="14" s="1"/>
  <c r="AI129" i="14"/>
  <c r="O151" i="12" l="1"/>
  <c r="X151" i="12" s="1"/>
  <c r="AI151" i="12" s="1"/>
  <c r="B152" i="12"/>
  <c r="AJ151" i="12"/>
  <c r="AK151" i="12" s="1"/>
  <c r="AL151" i="12" s="1"/>
  <c r="C129" i="14"/>
  <c r="L128" i="14"/>
  <c r="P128" i="14" s="1"/>
  <c r="AA128" i="14" s="1"/>
  <c r="AB128" i="14"/>
  <c r="AC128" i="14" s="1"/>
  <c r="S152" i="12" l="1"/>
  <c r="M152" i="12"/>
  <c r="AN152" i="12"/>
  <c r="D152" i="12" s="1"/>
  <c r="G152" i="12"/>
  <c r="E152" i="12"/>
  <c r="AQ153" i="12" s="1"/>
  <c r="AR152" i="12"/>
  <c r="AF129" i="14"/>
  <c r="E129" i="14" s="1"/>
  <c r="K129" i="14"/>
  <c r="F129" i="14"/>
  <c r="N129" i="14"/>
  <c r="J129" i="14" s="1"/>
  <c r="H129" i="14" s="1"/>
  <c r="R129" i="14"/>
  <c r="G129" i="14"/>
  <c r="AD128" i="14"/>
  <c r="K152" i="12" l="1"/>
  <c r="I152" i="12" s="1"/>
  <c r="I129" i="14"/>
  <c r="Q129" i="14" s="1"/>
  <c r="M129" i="14" s="1"/>
  <c r="AI130" i="14"/>
  <c r="V152" i="12" l="1"/>
  <c r="Z152" i="12" s="1"/>
  <c r="L129" i="14"/>
  <c r="P129" i="14" s="1"/>
  <c r="AA129" i="14" s="1"/>
  <c r="C130" i="14"/>
  <c r="AB129" i="14"/>
  <c r="AC129" i="14" s="1"/>
  <c r="B153" i="12" l="1"/>
  <c r="AJ152" i="12"/>
  <c r="AK152" i="12" s="1"/>
  <c r="AL152" i="12" s="1"/>
  <c r="O152" i="12"/>
  <c r="Q152" i="12"/>
  <c r="AD129" i="14"/>
  <c r="AF130" i="14"/>
  <c r="E130" i="14" s="1"/>
  <c r="K130" i="14"/>
  <c r="F130" i="14"/>
  <c r="N130" i="14"/>
  <c r="J130" i="14" s="1"/>
  <c r="H130" i="14" s="1"/>
  <c r="R130" i="14"/>
  <c r="G130" i="14"/>
  <c r="X152" i="12" l="1"/>
  <c r="AI152" i="12" s="1"/>
  <c r="S153" i="12"/>
  <c r="AN153" i="12"/>
  <c r="D153" i="12" s="1"/>
  <c r="G153" i="12"/>
  <c r="M153" i="12"/>
  <c r="AR153" i="12"/>
  <c r="I130" i="14"/>
  <c r="Q130" i="14" s="1"/>
  <c r="M130" i="14" s="1"/>
  <c r="AI131" i="14"/>
  <c r="E153" i="12" l="1"/>
  <c r="AQ154" i="12" s="1"/>
  <c r="K153" i="12"/>
  <c r="L130" i="14"/>
  <c r="P130" i="14" s="1"/>
  <c r="AA130" i="14" s="1"/>
  <c r="C131" i="14"/>
  <c r="AB130" i="14"/>
  <c r="AC130" i="14" s="1"/>
  <c r="I153" i="12" l="1"/>
  <c r="Z153" i="12" s="1"/>
  <c r="K131" i="14"/>
  <c r="F131" i="14"/>
  <c r="N131" i="14"/>
  <c r="J131" i="14" s="1"/>
  <c r="H131" i="14" s="1"/>
  <c r="AF131" i="14"/>
  <c r="E131" i="14" s="1"/>
  <c r="R131" i="14"/>
  <c r="G131" i="14"/>
  <c r="AD130" i="14"/>
  <c r="AJ153" i="12" l="1"/>
  <c r="AK153" i="12" s="1"/>
  <c r="AL153" i="12" s="1"/>
  <c r="B154" i="12"/>
  <c r="O153" i="12"/>
  <c r="Q153" i="12"/>
  <c r="I131" i="14"/>
  <c r="Q131" i="14" s="1"/>
  <c r="M131" i="14" s="1"/>
  <c r="AI132" i="14"/>
  <c r="X153" i="12" l="1"/>
  <c r="AI153" i="12" s="1"/>
  <c r="G154" i="12"/>
  <c r="AN154" i="12"/>
  <c r="E154" i="12" s="1"/>
  <c r="AQ155" i="12" s="1"/>
  <c r="AR154" i="12"/>
  <c r="S154" i="12"/>
  <c r="M154" i="12"/>
  <c r="D154" i="12"/>
  <c r="L131" i="14"/>
  <c r="P131" i="14" s="1"/>
  <c r="AA131" i="14" s="1"/>
  <c r="C132" i="14"/>
  <c r="AB131" i="14"/>
  <c r="AC131" i="14" s="1"/>
  <c r="K154" i="12" l="1"/>
  <c r="I154" i="12" s="1"/>
  <c r="F132" i="14"/>
  <c r="N132" i="14"/>
  <c r="J132" i="14" s="1"/>
  <c r="H132" i="14" s="1"/>
  <c r="AF132" i="14"/>
  <c r="E132" i="14" s="1"/>
  <c r="K132" i="14"/>
  <c r="R132" i="14"/>
  <c r="G132" i="14"/>
  <c r="AD131" i="14"/>
  <c r="V154" i="12" l="1"/>
  <c r="Z154" i="12" s="1"/>
  <c r="I132" i="14"/>
  <c r="Q132" i="14" s="1"/>
  <c r="M132" i="14" s="1"/>
  <c r="AI133" i="14"/>
  <c r="AJ154" i="12" l="1"/>
  <c r="AK154" i="12" s="1"/>
  <c r="AL154" i="12" s="1"/>
  <c r="O154" i="12"/>
  <c r="B155" i="12"/>
  <c r="Q154" i="12"/>
  <c r="C133" i="14"/>
  <c r="L132" i="14"/>
  <c r="P132" i="14" s="1"/>
  <c r="AA132" i="14" s="1"/>
  <c r="AB132" i="14"/>
  <c r="AC132" i="14" s="1"/>
  <c r="AN155" i="12" l="1"/>
  <c r="S155" i="12"/>
  <c r="D155" i="12"/>
  <c r="E155" i="12"/>
  <c r="AQ156" i="12" s="1"/>
  <c r="M155" i="12"/>
  <c r="G155" i="12"/>
  <c r="K155" i="12"/>
  <c r="AR155" i="12" s="1"/>
  <c r="I155" i="12" s="1"/>
  <c r="Z155" i="12" s="1"/>
  <c r="X154" i="12"/>
  <c r="AI154" i="12" s="1"/>
  <c r="AF133" i="14"/>
  <c r="E133" i="14" s="1"/>
  <c r="K133" i="14"/>
  <c r="F133" i="14"/>
  <c r="N133" i="14"/>
  <c r="J133" i="14" s="1"/>
  <c r="H133" i="14" s="1"/>
  <c r="R133" i="14"/>
  <c r="G133" i="14"/>
  <c r="AD132" i="14"/>
  <c r="Q155" i="12" l="1"/>
  <c r="X155" i="12" s="1"/>
  <c r="AI155" i="12" s="1"/>
  <c r="O155" i="12"/>
  <c r="AJ155" i="12"/>
  <c r="AK155" i="12" s="1"/>
  <c r="AL155" i="12" s="1"/>
  <c r="B156" i="12"/>
  <c r="I133" i="14"/>
  <c r="Q133" i="14" s="1"/>
  <c r="M133" i="14" s="1"/>
  <c r="AI134" i="14"/>
  <c r="S156" i="12" l="1"/>
  <c r="G156" i="12"/>
  <c r="M156" i="12"/>
  <c r="AN156" i="12"/>
  <c r="D156" i="12" s="1"/>
  <c r="E156" i="12"/>
  <c r="AQ157" i="12" s="1"/>
  <c r="K156" i="12"/>
  <c r="AR156" i="12" s="1"/>
  <c r="I156" i="12" s="1"/>
  <c r="L133" i="14"/>
  <c r="P133" i="14" s="1"/>
  <c r="AA133" i="14" s="1"/>
  <c r="C134" i="14"/>
  <c r="AB133" i="14"/>
  <c r="AC133" i="14" s="1"/>
  <c r="V156" i="12" l="1"/>
  <c r="Z156" i="12" s="1"/>
  <c r="AF134" i="14"/>
  <c r="E134" i="14" s="1"/>
  <c r="K134" i="14"/>
  <c r="F134" i="14"/>
  <c r="N134" i="14"/>
  <c r="J134" i="14" s="1"/>
  <c r="H134" i="14" s="1"/>
  <c r="G134" i="14"/>
  <c r="R134" i="14"/>
  <c r="AD133" i="14"/>
  <c r="AJ156" i="12" l="1"/>
  <c r="AK156" i="12" s="1"/>
  <c r="AL156" i="12" s="1"/>
  <c r="O156" i="12"/>
  <c r="B157" i="12"/>
  <c r="Q156" i="12"/>
  <c r="I134" i="14"/>
  <c r="Q134" i="14" s="1"/>
  <c r="M134" i="14" s="1"/>
  <c r="AI135" i="14"/>
  <c r="AN157" i="12" l="1"/>
  <c r="E157" i="12" s="1"/>
  <c r="AQ158" i="12" s="1"/>
  <c r="G157" i="12"/>
  <c r="S157" i="12"/>
  <c r="M157" i="12"/>
  <c r="D157" i="12"/>
  <c r="K157" i="12"/>
  <c r="AR157" i="12"/>
  <c r="X156" i="12"/>
  <c r="AI156" i="12" s="1"/>
  <c r="L134" i="14"/>
  <c r="P134" i="14" s="1"/>
  <c r="AA134" i="14" s="1"/>
  <c r="C135" i="14"/>
  <c r="AB134" i="14"/>
  <c r="AC134" i="14" s="1"/>
  <c r="I157" i="12" l="1"/>
  <c r="Z157" i="12" s="1"/>
  <c r="O157" i="12" s="1"/>
  <c r="AJ157" i="12"/>
  <c r="AK157" i="12" s="1"/>
  <c r="AL157" i="12" s="1"/>
  <c r="B158" i="12"/>
  <c r="Q157" i="12"/>
  <c r="AD134" i="14"/>
  <c r="K135" i="14"/>
  <c r="F135" i="14"/>
  <c r="N135" i="14"/>
  <c r="J135" i="14" s="1"/>
  <c r="H135" i="14" s="1"/>
  <c r="AF135" i="14"/>
  <c r="E135" i="14" s="1"/>
  <c r="R135" i="14"/>
  <c r="G135" i="14"/>
  <c r="X157" i="12" l="1"/>
  <c r="AI157" i="12" s="1"/>
  <c r="AN158" i="12"/>
  <c r="G158" i="12"/>
  <c r="S158" i="12"/>
  <c r="M158" i="12"/>
  <c r="I135" i="14"/>
  <c r="Q135" i="14" s="1"/>
  <c r="M135" i="14" s="1"/>
  <c r="AI136" i="14"/>
  <c r="E158" i="12" l="1"/>
  <c r="AQ159" i="12" s="1"/>
  <c r="K158" i="12"/>
  <c r="AR158" i="12" s="1"/>
  <c r="I158" i="12" s="1"/>
  <c r="D158" i="12"/>
  <c r="L135" i="14"/>
  <c r="P135" i="14" s="1"/>
  <c r="AA135" i="14" s="1"/>
  <c r="C136" i="14"/>
  <c r="AB135" i="14"/>
  <c r="AC135" i="14" s="1"/>
  <c r="V158" i="12" l="1"/>
  <c r="Z158" i="12" s="1"/>
  <c r="F136" i="14"/>
  <c r="N136" i="14"/>
  <c r="J136" i="14" s="1"/>
  <c r="H136" i="14" s="1"/>
  <c r="AF136" i="14"/>
  <c r="E136" i="14" s="1"/>
  <c r="K136" i="14"/>
  <c r="R136" i="14"/>
  <c r="G136" i="14"/>
  <c r="AD135" i="14"/>
  <c r="AJ158" i="12" l="1"/>
  <c r="AK158" i="12" s="1"/>
  <c r="AL158" i="12" s="1"/>
  <c r="B159" i="12"/>
  <c r="O158" i="12"/>
  <c r="Q158" i="12"/>
  <c r="I136" i="14"/>
  <c r="Q136" i="14" s="1"/>
  <c r="M136" i="14" s="1"/>
  <c r="AI137" i="14"/>
  <c r="X158" i="12" l="1"/>
  <c r="AI158" i="12" s="1"/>
  <c r="G159" i="12"/>
  <c r="M159" i="12"/>
  <c r="S159" i="12"/>
  <c r="AN159" i="12"/>
  <c r="E159" i="12" s="1"/>
  <c r="AQ160" i="12" s="1"/>
  <c r="D159" i="12"/>
  <c r="AR159" i="12"/>
  <c r="C137" i="14"/>
  <c r="L136" i="14"/>
  <c r="P136" i="14" s="1"/>
  <c r="AA136" i="14" s="1"/>
  <c r="AB136" i="14"/>
  <c r="AC136" i="14" s="1"/>
  <c r="K159" i="12" l="1"/>
  <c r="I159" i="12" s="1"/>
  <c r="Z159" i="12" s="1"/>
  <c r="AF137" i="14"/>
  <c r="E137" i="14" s="1"/>
  <c r="K137" i="14"/>
  <c r="F137" i="14"/>
  <c r="N137" i="14"/>
  <c r="J137" i="14" s="1"/>
  <c r="R137" i="14"/>
  <c r="G137" i="14"/>
  <c r="AD136" i="14"/>
  <c r="B160" i="12" l="1"/>
  <c r="AJ159" i="12"/>
  <c r="AK159" i="12" s="1"/>
  <c r="AL159" i="12" s="1"/>
  <c r="O159" i="12"/>
  <c r="Q159" i="12"/>
  <c r="X159" i="12" s="1"/>
  <c r="AI159" i="12" s="1"/>
  <c r="H137" i="14"/>
  <c r="I137" i="14" s="1"/>
  <c r="Q137" i="14" s="1"/>
  <c r="M137" i="14" s="1"/>
  <c r="AI138" i="14"/>
  <c r="S160" i="12" l="1"/>
  <c r="M160" i="12"/>
  <c r="G160" i="12"/>
  <c r="AN160" i="12"/>
  <c r="L137" i="14"/>
  <c r="P137" i="14" s="1"/>
  <c r="AA137" i="14" s="1"/>
  <c r="C138" i="14"/>
  <c r="AB137" i="14"/>
  <c r="AC137" i="14" s="1"/>
  <c r="D160" i="12" l="1"/>
  <c r="E160" i="12"/>
  <c r="AQ161" i="12" s="1"/>
  <c r="K160" i="12"/>
  <c r="AR160" i="12" s="1"/>
  <c r="I160" i="12" s="1"/>
  <c r="AD137" i="14"/>
  <c r="AF138" i="14"/>
  <c r="E138" i="14" s="1"/>
  <c r="K138" i="14"/>
  <c r="F138" i="14"/>
  <c r="N138" i="14"/>
  <c r="J138" i="14" s="1"/>
  <c r="H138" i="14" s="1"/>
  <c r="R138" i="14"/>
  <c r="G138" i="14"/>
  <c r="V160" i="12" l="1"/>
  <c r="Z160" i="12" s="1"/>
  <c r="I138" i="14"/>
  <c r="Q138" i="14" s="1"/>
  <c r="M138" i="14" s="1"/>
  <c r="AI139" i="14"/>
  <c r="AJ160" i="12" l="1"/>
  <c r="AK160" i="12" s="1"/>
  <c r="AL160" i="12" s="1"/>
  <c r="B161" i="12"/>
  <c r="AR161" i="12" s="1"/>
  <c r="O160" i="12"/>
  <c r="Q160" i="12"/>
  <c r="L138" i="14"/>
  <c r="P138" i="14" s="1"/>
  <c r="AA138" i="14" s="1"/>
  <c r="C139" i="14"/>
  <c r="AB138" i="14"/>
  <c r="AC138" i="14" s="1"/>
  <c r="X160" i="12" l="1"/>
  <c r="AI160" i="12" s="1"/>
  <c r="M161" i="12"/>
  <c r="AN161" i="12"/>
  <c r="E161" i="12" s="1"/>
  <c r="AQ162" i="12" s="1"/>
  <c r="G161" i="12"/>
  <c r="S161" i="12"/>
  <c r="D161" i="12"/>
  <c r="K139" i="14"/>
  <c r="F139" i="14"/>
  <c r="N139" i="14"/>
  <c r="J139" i="14" s="1"/>
  <c r="H139" i="14" s="1"/>
  <c r="AF139" i="14"/>
  <c r="E139" i="14" s="1"/>
  <c r="R139" i="14"/>
  <c r="G139" i="14"/>
  <c r="AD138" i="14"/>
  <c r="K161" i="12" l="1"/>
  <c r="I161" i="12" s="1"/>
  <c r="Z161" i="12" s="1"/>
  <c r="O161" i="12" s="1"/>
  <c r="I139" i="14"/>
  <c r="Q139" i="14" s="1"/>
  <c r="M139" i="14" s="1"/>
  <c r="AI140" i="14"/>
  <c r="Q161" i="12" l="1"/>
  <c r="AJ161" i="12"/>
  <c r="AK161" i="12" s="1"/>
  <c r="AL161" i="12" s="1"/>
  <c r="B162" i="12"/>
  <c r="S162" i="12" s="1"/>
  <c r="X161" i="12"/>
  <c r="AI161" i="12" s="1"/>
  <c r="AN162" i="12"/>
  <c r="E162" i="12" s="1"/>
  <c r="AQ163" i="12" s="1"/>
  <c r="L139" i="14"/>
  <c r="P139" i="14" s="1"/>
  <c r="AA139" i="14" s="1"/>
  <c r="C140" i="14"/>
  <c r="AB139" i="14"/>
  <c r="AC139" i="14" s="1"/>
  <c r="M162" i="12" l="1"/>
  <c r="G162" i="12"/>
  <c r="K162" i="12"/>
  <c r="D162" i="12"/>
  <c r="AR162" i="12"/>
  <c r="F140" i="14"/>
  <c r="N140" i="14"/>
  <c r="J140" i="14" s="1"/>
  <c r="H140" i="14" s="1"/>
  <c r="AF140" i="14"/>
  <c r="E140" i="14" s="1"/>
  <c r="K140" i="14"/>
  <c r="R140" i="14"/>
  <c r="G140" i="14"/>
  <c r="AD139" i="14"/>
  <c r="I162" i="12" l="1"/>
  <c r="I140" i="14"/>
  <c r="Q140" i="14" s="1"/>
  <c r="M140" i="14" s="1"/>
  <c r="AI141" i="14"/>
  <c r="V162" i="12" l="1"/>
  <c r="Z162" i="12" s="1"/>
  <c r="C141" i="14"/>
  <c r="L140" i="14"/>
  <c r="P140" i="14" s="1"/>
  <c r="AA140" i="14" s="1"/>
  <c r="AB140" i="14"/>
  <c r="AC140" i="14" s="1"/>
  <c r="AJ162" i="12" l="1"/>
  <c r="AK162" i="12" s="1"/>
  <c r="AL162" i="12" s="1"/>
  <c r="Q162" i="12"/>
  <c r="B163" i="12"/>
  <c r="M163" i="12" s="1"/>
  <c r="O162" i="12"/>
  <c r="AF141" i="14"/>
  <c r="E141" i="14" s="1"/>
  <c r="K141" i="14"/>
  <c r="F141" i="14"/>
  <c r="N141" i="14"/>
  <c r="J141" i="14" s="1"/>
  <c r="H141" i="14" s="1"/>
  <c r="R141" i="14"/>
  <c r="G141" i="14"/>
  <c r="AD140" i="14"/>
  <c r="X162" i="12" l="1"/>
  <c r="AI162" i="12" s="1"/>
  <c r="AN163" i="12"/>
  <c r="E163" i="12" s="1"/>
  <c r="AQ164" i="12" s="1"/>
  <c r="S163" i="12"/>
  <c r="G163" i="12"/>
  <c r="I141" i="14"/>
  <c r="Q141" i="14" s="1"/>
  <c r="M141" i="14" s="1"/>
  <c r="AI142" i="14"/>
  <c r="D163" i="12" l="1"/>
  <c r="K163" i="12"/>
  <c r="AR163" i="12" s="1"/>
  <c r="I163" i="12" s="1"/>
  <c r="Z163" i="12" s="1"/>
  <c r="B164" i="12" s="1"/>
  <c r="S164" i="12" s="1"/>
  <c r="L141" i="14"/>
  <c r="P141" i="14" s="1"/>
  <c r="AA141" i="14" s="1"/>
  <c r="C142" i="14"/>
  <c r="AB141" i="14"/>
  <c r="AC141" i="14" s="1"/>
  <c r="Q163" i="12" l="1"/>
  <c r="AJ163" i="12"/>
  <c r="AK163" i="12" s="1"/>
  <c r="AL163" i="12" s="1"/>
  <c r="O163" i="12"/>
  <c r="X163" i="12" s="1"/>
  <c r="AI163" i="12" s="1"/>
  <c r="AN164" i="12"/>
  <c r="D164" i="12" s="1"/>
  <c r="M164" i="12"/>
  <c r="G164" i="12"/>
  <c r="AR164" i="12"/>
  <c r="AF142" i="14"/>
  <c r="E142" i="14" s="1"/>
  <c r="K142" i="14"/>
  <c r="F142" i="14"/>
  <c r="N142" i="14"/>
  <c r="J142" i="14" s="1"/>
  <c r="H142" i="14" s="1"/>
  <c r="G142" i="14"/>
  <c r="R142" i="14"/>
  <c r="AD141" i="14"/>
  <c r="E164" i="12" l="1"/>
  <c r="AQ165" i="12" s="1"/>
  <c r="K164" i="12"/>
  <c r="I164" i="12" s="1"/>
  <c r="I142" i="14"/>
  <c r="Q142" i="14" s="1"/>
  <c r="M142" i="14" s="1"/>
  <c r="AI143" i="14"/>
  <c r="V164" i="12" l="1"/>
  <c r="Z164" i="12" s="1"/>
  <c r="L142" i="14"/>
  <c r="P142" i="14" s="1"/>
  <c r="AA142" i="14" s="1"/>
  <c r="C143" i="14"/>
  <c r="AB142" i="14"/>
  <c r="AC142" i="14" s="1"/>
  <c r="AJ164" i="12" l="1"/>
  <c r="AK164" i="12" s="1"/>
  <c r="AL164" i="12" s="1"/>
  <c r="Q164" i="12"/>
  <c r="O164" i="12"/>
  <c r="B165" i="12"/>
  <c r="M165" i="12" s="1"/>
  <c r="X164" i="12"/>
  <c r="AI164" i="12" s="1"/>
  <c r="S165" i="12"/>
  <c r="AD142" i="14"/>
  <c r="K143" i="14"/>
  <c r="F143" i="14"/>
  <c r="N143" i="14"/>
  <c r="J143" i="14" s="1"/>
  <c r="H143" i="14" s="1"/>
  <c r="AF143" i="14"/>
  <c r="E143" i="14" s="1"/>
  <c r="R143" i="14"/>
  <c r="G143" i="14"/>
  <c r="AN165" i="12" l="1"/>
  <c r="D165" i="12" s="1"/>
  <c r="G165" i="12"/>
  <c r="E165" i="12"/>
  <c r="AQ166" i="12" s="1"/>
  <c r="K165" i="12"/>
  <c r="AR165" i="12" s="1"/>
  <c r="I165" i="12" s="1"/>
  <c r="Z165" i="12" s="1"/>
  <c r="I143" i="14"/>
  <c r="Q143" i="14" s="1"/>
  <c r="M143" i="14" s="1"/>
  <c r="AI144" i="14"/>
  <c r="O165" i="12" l="1"/>
  <c r="Q165" i="12"/>
  <c r="X165" i="12" s="1"/>
  <c r="AI165" i="12" s="1"/>
  <c r="AJ165" i="12"/>
  <c r="AK165" i="12" s="1"/>
  <c r="AL165" i="12" s="1"/>
  <c r="B166" i="12"/>
  <c r="M166" i="12" s="1"/>
  <c r="L143" i="14"/>
  <c r="P143" i="14" s="1"/>
  <c r="AA143" i="14" s="1"/>
  <c r="C144" i="14"/>
  <c r="AB143" i="14"/>
  <c r="AC143" i="14" s="1"/>
  <c r="G166" i="12" l="1"/>
  <c r="AN166" i="12"/>
  <c r="E166" i="12" s="1"/>
  <c r="AQ167" i="12" s="1"/>
  <c r="S166" i="12"/>
  <c r="AR166" i="12"/>
  <c r="F144" i="14"/>
  <c r="N144" i="14"/>
  <c r="J144" i="14" s="1"/>
  <c r="H144" i="14" s="1"/>
  <c r="AF144" i="14"/>
  <c r="E144" i="14" s="1"/>
  <c r="K144" i="14"/>
  <c r="R144" i="14"/>
  <c r="G144" i="14"/>
  <c r="AD143" i="14"/>
  <c r="D166" i="12" l="1"/>
  <c r="K166" i="12"/>
  <c r="I166" i="12" s="1"/>
  <c r="I144" i="14"/>
  <c r="Q144" i="14" s="1"/>
  <c r="M144" i="14" s="1"/>
  <c r="AI145" i="14"/>
  <c r="V166" i="12" l="1"/>
  <c r="Z166" i="12" s="1"/>
  <c r="C145" i="14"/>
  <c r="L144" i="14"/>
  <c r="P144" i="14" s="1"/>
  <c r="AA144" i="14" s="1"/>
  <c r="AB144" i="14"/>
  <c r="AC144" i="14" s="1"/>
  <c r="O166" i="12" l="1"/>
  <c r="AJ166" i="12"/>
  <c r="AK166" i="12" s="1"/>
  <c r="AL166" i="12" s="1"/>
  <c r="B167" i="12"/>
  <c r="AN167" i="12" s="1"/>
  <c r="E167" i="12" s="1"/>
  <c r="AQ168" i="12" s="1"/>
  <c r="Q166" i="12"/>
  <c r="X166" i="12" s="1"/>
  <c r="AI166" i="12" s="1"/>
  <c r="S167" i="12"/>
  <c r="G167" i="12"/>
  <c r="M167" i="12"/>
  <c r="AD144" i="14"/>
  <c r="AF145" i="14"/>
  <c r="E145" i="14" s="1"/>
  <c r="K145" i="14"/>
  <c r="F145" i="14"/>
  <c r="N145" i="14"/>
  <c r="J145" i="14" s="1"/>
  <c r="H145" i="14" s="1"/>
  <c r="R145" i="14"/>
  <c r="G145" i="14"/>
  <c r="K167" i="12" l="1"/>
  <c r="AR167" i="12" s="1"/>
  <c r="I167" i="12" s="1"/>
  <c r="Z167" i="12" s="1"/>
  <c r="D167" i="12"/>
  <c r="I145" i="14"/>
  <c r="Q145" i="14" s="1"/>
  <c r="M145" i="14" s="1"/>
  <c r="AI146" i="14"/>
  <c r="Q167" i="12" l="1"/>
  <c r="AJ167" i="12"/>
  <c r="AK167" i="12" s="1"/>
  <c r="AL167" i="12" s="1"/>
  <c r="O167" i="12"/>
  <c r="B168" i="12"/>
  <c r="L145" i="14"/>
  <c r="P145" i="14" s="1"/>
  <c r="AA145" i="14" s="1"/>
  <c r="C146" i="14"/>
  <c r="AB145" i="14"/>
  <c r="AC145" i="14" s="1"/>
  <c r="X167" i="12" l="1"/>
  <c r="AI167" i="12" s="1"/>
  <c r="M168" i="12"/>
  <c r="S168" i="12"/>
  <c r="AN168" i="12"/>
  <c r="D168" i="12" s="1"/>
  <c r="G168" i="12"/>
  <c r="AF146" i="14"/>
  <c r="E146" i="14" s="1"/>
  <c r="K146" i="14"/>
  <c r="F146" i="14"/>
  <c r="N146" i="14"/>
  <c r="J146" i="14" s="1"/>
  <c r="H146" i="14" s="1"/>
  <c r="R146" i="14"/>
  <c r="G146" i="14"/>
  <c r="AD145" i="14"/>
  <c r="E168" i="12" l="1"/>
  <c r="AQ169" i="12" s="1"/>
  <c r="K168" i="12"/>
  <c r="AR168" i="12" s="1"/>
  <c r="I168" i="12" s="1"/>
  <c r="I146" i="14"/>
  <c r="Q146" i="14" s="1"/>
  <c r="M146" i="14" s="1"/>
  <c r="AI147" i="14"/>
  <c r="V168" i="12" l="1"/>
  <c r="Z168" i="12" s="1"/>
  <c r="L146" i="14"/>
  <c r="P146" i="14" s="1"/>
  <c r="AA146" i="14" s="1"/>
  <c r="C147" i="14"/>
  <c r="AB146" i="14"/>
  <c r="AC146" i="14" s="1"/>
  <c r="B169" i="12" l="1"/>
  <c r="Q168" i="12"/>
  <c r="AJ168" i="12"/>
  <c r="AK168" i="12" s="1"/>
  <c r="AL168" i="12" s="1"/>
  <c r="O168" i="12"/>
  <c r="X168" i="12" s="1"/>
  <c r="AI168" i="12" s="1"/>
  <c r="AD146" i="14"/>
  <c r="K147" i="14"/>
  <c r="F147" i="14"/>
  <c r="N147" i="14"/>
  <c r="J147" i="14" s="1"/>
  <c r="H147" i="14" s="1"/>
  <c r="AF147" i="14"/>
  <c r="E147" i="14" s="1"/>
  <c r="R147" i="14"/>
  <c r="G147" i="14"/>
  <c r="M169" i="12" l="1"/>
  <c r="AN169" i="12"/>
  <c r="G169" i="12"/>
  <c r="S169" i="12"/>
  <c r="I147" i="14"/>
  <c r="Q147" i="14" s="1"/>
  <c r="M147" i="14" s="1"/>
  <c r="AI148" i="14"/>
  <c r="E169" i="12" l="1"/>
  <c r="AQ170" i="12" s="1"/>
  <c r="D169" i="12"/>
  <c r="K169" i="12"/>
  <c r="AR169" i="12" s="1"/>
  <c r="I169" i="12" s="1"/>
  <c r="Z169" i="12" s="1"/>
  <c r="L147" i="14"/>
  <c r="P147" i="14" s="1"/>
  <c r="AA147" i="14" s="1"/>
  <c r="C148" i="14"/>
  <c r="AB147" i="14"/>
  <c r="AC147" i="14" s="1"/>
  <c r="B170" i="12" l="1"/>
  <c r="AJ169" i="12"/>
  <c r="AK169" i="12" s="1"/>
  <c r="AL169" i="12" s="1"/>
  <c r="O169" i="12"/>
  <c r="Q169" i="12"/>
  <c r="AR170" i="12"/>
  <c r="AD147" i="14"/>
  <c r="F148" i="14"/>
  <c r="N148" i="14"/>
  <c r="J148" i="14" s="1"/>
  <c r="H148" i="14" s="1"/>
  <c r="AF148" i="14"/>
  <c r="E148" i="14" s="1"/>
  <c r="K148" i="14"/>
  <c r="R148" i="14"/>
  <c r="G148" i="14"/>
  <c r="X169" i="12" l="1"/>
  <c r="AI169" i="12" s="1"/>
  <c r="AN170" i="12"/>
  <c r="D170" i="12" s="1"/>
  <c r="S170" i="12"/>
  <c r="G170" i="12"/>
  <c r="M170" i="12"/>
  <c r="E170" i="12"/>
  <c r="AQ171" i="12" s="1"/>
  <c r="K170" i="12"/>
  <c r="I170" i="12" s="1"/>
  <c r="I148" i="14"/>
  <c r="Q148" i="14" s="1"/>
  <c r="M148" i="14" s="1"/>
  <c r="AI149" i="14"/>
  <c r="V170" i="12" l="1"/>
  <c r="Z170" i="12" s="1"/>
  <c r="C149" i="14"/>
  <c r="L148" i="14"/>
  <c r="P148" i="14" s="1"/>
  <c r="AA148" i="14" s="1"/>
  <c r="AB148" i="14"/>
  <c r="AC148" i="14" s="1"/>
  <c r="O170" i="12" l="1"/>
  <c r="B171" i="12"/>
  <c r="Q170" i="12"/>
  <c r="X170" i="12" s="1"/>
  <c r="AI170" i="12" s="1"/>
  <c r="AJ170" i="12"/>
  <c r="AK170" i="12" s="1"/>
  <c r="AL170" i="12" s="1"/>
  <c r="S171" i="12"/>
  <c r="AN171" i="12"/>
  <c r="E171" i="12" s="1"/>
  <c r="AQ172" i="12" s="1"/>
  <c r="G171" i="12"/>
  <c r="M171" i="12"/>
  <c r="AD148" i="14"/>
  <c r="AF149" i="14"/>
  <c r="E149" i="14" s="1"/>
  <c r="K149" i="14"/>
  <c r="F149" i="14"/>
  <c r="N149" i="14"/>
  <c r="J149" i="14" s="1"/>
  <c r="H149" i="14" s="1"/>
  <c r="R149" i="14"/>
  <c r="G149" i="14"/>
  <c r="D171" i="12" l="1"/>
  <c r="K171" i="12"/>
  <c r="AR171" i="12" s="1"/>
  <c r="I171" i="12" s="1"/>
  <c r="Z171" i="12" s="1"/>
  <c r="I149" i="14"/>
  <c r="Q149" i="14" s="1"/>
  <c r="M149" i="14" s="1"/>
  <c r="AI150" i="14"/>
  <c r="O171" i="12" l="1"/>
  <c r="AJ171" i="12"/>
  <c r="AK171" i="12" s="1"/>
  <c r="AL171" i="12" s="1"/>
  <c r="B172" i="12"/>
  <c r="Q171" i="12"/>
  <c r="L149" i="14"/>
  <c r="P149" i="14" s="1"/>
  <c r="AA149" i="14" s="1"/>
  <c r="C150" i="14"/>
  <c r="AB149" i="14"/>
  <c r="AC149" i="14" s="1"/>
  <c r="X171" i="12" l="1"/>
  <c r="AI171" i="12" s="1"/>
  <c r="G172" i="12"/>
  <c r="AN172" i="12"/>
  <c r="E172" i="12" s="1"/>
  <c r="AQ173" i="12" s="1"/>
  <c r="M172" i="12"/>
  <c r="AR172" i="12"/>
  <c r="S172" i="12"/>
  <c r="AD149" i="14"/>
  <c r="AF150" i="14"/>
  <c r="E150" i="14" s="1"/>
  <c r="K150" i="14"/>
  <c r="F150" i="14"/>
  <c r="N150" i="14"/>
  <c r="J150" i="14" s="1"/>
  <c r="H150" i="14" s="1"/>
  <c r="R150" i="14"/>
  <c r="G150" i="14"/>
  <c r="K172" i="12" l="1"/>
  <c r="I172" i="12" s="1"/>
  <c r="D172" i="12"/>
  <c r="I150" i="14"/>
  <c r="Q150" i="14" s="1"/>
  <c r="M150" i="14" s="1"/>
  <c r="AI151" i="14"/>
  <c r="V172" i="12" l="1"/>
  <c r="Z172" i="12" s="1"/>
  <c r="L150" i="14"/>
  <c r="P150" i="14" s="1"/>
  <c r="AA150" i="14" s="1"/>
  <c r="C151" i="14"/>
  <c r="AB150" i="14"/>
  <c r="AC150" i="14" s="1"/>
  <c r="Q172" i="12" l="1"/>
  <c r="O172" i="12"/>
  <c r="B173" i="12"/>
  <c r="S173" i="12" s="1"/>
  <c r="AJ172" i="12"/>
  <c r="AK172" i="12" s="1"/>
  <c r="AL172" i="12" s="1"/>
  <c r="G173" i="12"/>
  <c r="K151" i="14"/>
  <c r="F151" i="14"/>
  <c r="N151" i="14"/>
  <c r="J151" i="14" s="1"/>
  <c r="H151" i="14" s="1"/>
  <c r="AF151" i="14"/>
  <c r="E151" i="14" s="1"/>
  <c r="R151" i="14"/>
  <c r="G151" i="14"/>
  <c r="AD150" i="14"/>
  <c r="X172" i="12" l="1"/>
  <c r="AI172" i="12" s="1"/>
  <c r="AN173" i="12"/>
  <c r="D173" i="12" s="1"/>
  <c r="M173" i="12"/>
  <c r="E173" i="12"/>
  <c r="AQ174" i="12" s="1"/>
  <c r="I151" i="14"/>
  <c r="Q151" i="14" s="1"/>
  <c r="M151" i="14" s="1"/>
  <c r="AI152" i="14"/>
  <c r="K173" i="12" l="1"/>
  <c r="AR173" i="12" s="1"/>
  <c r="I173" i="12" s="1"/>
  <c r="Z173" i="12" s="1"/>
  <c r="B174" i="12" s="1"/>
  <c r="L151" i="14"/>
  <c r="P151" i="14" s="1"/>
  <c r="AA151" i="14" s="1"/>
  <c r="C152" i="14"/>
  <c r="AB151" i="14"/>
  <c r="AC151" i="14" s="1"/>
  <c r="Q173" i="12" l="1"/>
  <c r="AJ173" i="12"/>
  <c r="AK173" i="12" s="1"/>
  <c r="AL173" i="12" s="1"/>
  <c r="O173" i="12"/>
  <c r="X173" i="12" s="1"/>
  <c r="AI173" i="12" s="1"/>
  <c r="AN174" i="12"/>
  <c r="E174" i="12" s="1"/>
  <c r="AQ175" i="12" s="1"/>
  <c r="G174" i="12"/>
  <c r="M174" i="12"/>
  <c r="S174" i="12"/>
  <c r="AD151" i="14"/>
  <c r="F152" i="14"/>
  <c r="N152" i="14"/>
  <c r="J152" i="14" s="1"/>
  <c r="H152" i="14" s="1"/>
  <c r="AF152" i="14"/>
  <c r="E152" i="14" s="1"/>
  <c r="K152" i="14"/>
  <c r="R152" i="14"/>
  <c r="G152" i="14"/>
  <c r="D174" i="12" l="1"/>
  <c r="K174" i="12"/>
  <c r="AR174" i="12"/>
  <c r="I152" i="14"/>
  <c r="Q152" i="14" s="1"/>
  <c r="M152" i="14" s="1"/>
  <c r="AI153" i="14"/>
  <c r="I174" i="12" l="1"/>
  <c r="C153" i="14"/>
  <c r="L152" i="14"/>
  <c r="P152" i="14" s="1"/>
  <c r="AA152" i="14" s="1"/>
  <c r="AB152" i="14"/>
  <c r="AC152" i="14" s="1"/>
  <c r="V174" i="12" l="1"/>
  <c r="Z174" i="12" s="1"/>
  <c r="AD152" i="14"/>
  <c r="AF153" i="14"/>
  <c r="E153" i="14" s="1"/>
  <c r="K153" i="14"/>
  <c r="F153" i="14"/>
  <c r="N153" i="14"/>
  <c r="J153" i="14" s="1"/>
  <c r="H153" i="14" s="1"/>
  <c r="R153" i="14"/>
  <c r="G153" i="14"/>
  <c r="Q174" i="12" l="1"/>
  <c r="B175" i="12"/>
  <c r="M175" i="12" s="1"/>
  <c r="O174" i="12"/>
  <c r="X174" i="12" s="1"/>
  <c r="AI174" i="12" s="1"/>
  <c r="AJ174" i="12"/>
  <c r="AK174" i="12" s="1"/>
  <c r="AL174" i="12" s="1"/>
  <c r="S175" i="12"/>
  <c r="AN175" i="12"/>
  <c r="E175" i="12" s="1"/>
  <c r="AQ176" i="12" s="1"/>
  <c r="G175" i="12"/>
  <c r="I153" i="14"/>
  <c r="Q153" i="14" s="1"/>
  <c r="M153" i="14" s="1"/>
  <c r="AI154" i="14"/>
  <c r="D175" i="12" l="1"/>
  <c r="K175" i="12"/>
  <c r="AR175" i="12" s="1"/>
  <c r="I175" i="12" s="1"/>
  <c r="Z175" i="12" s="1"/>
  <c r="L153" i="14"/>
  <c r="P153" i="14" s="1"/>
  <c r="AA153" i="14" s="1"/>
  <c r="C154" i="14"/>
  <c r="AB153" i="14"/>
  <c r="AC153" i="14" s="1"/>
  <c r="O175" i="12" l="1"/>
  <c r="Q175" i="12"/>
  <c r="X175" i="12" s="1"/>
  <c r="AI175" i="12" s="1"/>
  <c r="AJ175" i="12"/>
  <c r="AK175" i="12" s="1"/>
  <c r="AL175" i="12" s="1"/>
  <c r="B176" i="12"/>
  <c r="S176" i="12" s="1"/>
  <c r="AD153" i="14"/>
  <c r="AF154" i="14"/>
  <c r="E154" i="14" s="1"/>
  <c r="K154" i="14"/>
  <c r="F154" i="14"/>
  <c r="N154" i="14"/>
  <c r="J154" i="14" s="1"/>
  <c r="H154" i="14" s="1"/>
  <c r="R154" i="14"/>
  <c r="G154" i="14"/>
  <c r="M176" i="12" l="1"/>
  <c r="G176" i="12"/>
  <c r="AN176" i="12"/>
  <c r="E176" i="12" s="1"/>
  <c r="AQ177" i="12" s="1"/>
  <c r="AR176" i="12"/>
  <c r="I154" i="14"/>
  <c r="Q154" i="14" s="1"/>
  <c r="M154" i="14" s="1"/>
  <c r="AI155" i="14"/>
  <c r="D176" i="12" l="1"/>
  <c r="K176" i="12"/>
  <c r="I176" i="12" s="1"/>
  <c r="L154" i="14"/>
  <c r="P154" i="14" s="1"/>
  <c r="AA154" i="14" s="1"/>
  <c r="C155" i="14"/>
  <c r="AB154" i="14"/>
  <c r="AC154" i="14" s="1"/>
  <c r="V176" i="12" l="1"/>
  <c r="Z176" i="12" s="1"/>
  <c r="K155" i="14"/>
  <c r="F155" i="14"/>
  <c r="N155" i="14"/>
  <c r="J155" i="14" s="1"/>
  <c r="H155" i="14" s="1"/>
  <c r="AF155" i="14"/>
  <c r="E155" i="14" s="1"/>
  <c r="R155" i="14"/>
  <c r="G155" i="14"/>
  <c r="AD154" i="14"/>
  <c r="O176" i="12" l="1"/>
  <c r="AJ176" i="12"/>
  <c r="AK176" i="12" s="1"/>
  <c r="AL176" i="12" s="1"/>
  <c r="B177" i="12"/>
  <c r="AN177" i="12" s="1"/>
  <c r="D177" i="12" s="1"/>
  <c r="Q176" i="12"/>
  <c r="X176" i="12" s="1"/>
  <c r="AI176" i="12" s="1"/>
  <c r="I155" i="14"/>
  <c r="Q155" i="14" s="1"/>
  <c r="M155" i="14" s="1"/>
  <c r="AI156" i="14"/>
  <c r="E177" i="12" l="1"/>
  <c r="AQ178" i="12" s="1"/>
  <c r="M177" i="12"/>
  <c r="G177" i="12"/>
  <c r="S177" i="12"/>
  <c r="K177" i="12" s="1"/>
  <c r="I177" i="12" s="1"/>
  <c r="Z177" i="12" s="1"/>
  <c r="AR177" i="12"/>
  <c r="L155" i="14"/>
  <c r="P155" i="14" s="1"/>
  <c r="AA155" i="14" s="1"/>
  <c r="C156" i="14"/>
  <c r="AB155" i="14"/>
  <c r="AC155" i="14" s="1"/>
  <c r="B178" i="12" l="1"/>
  <c r="Q177" i="12"/>
  <c r="O177" i="12"/>
  <c r="AJ177" i="12"/>
  <c r="AK177" i="12" s="1"/>
  <c r="AL177" i="12" s="1"/>
  <c r="S178" i="12"/>
  <c r="AN178" i="12"/>
  <c r="D178" i="12" s="1"/>
  <c r="G178" i="12"/>
  <c r="M178" i="12"/>
  <c r="AD155" i="14"/>
  <c r="F156" i="14"/>
  <c r="N156" i="14"/>
  <c r="J156" i="14" s="1"/>
  <c r="H156" i="14" s="1"/>
  <c r="AF156" i="14"/>
  <c r="E156" i="14" s="1"/>
  <c r="K156" i="14"/>
  <c r="R156" i="14"/>
  <c r="G156" i="14"/>
  <c r="X177" i="12" l="1"/>
  <c r="AI177" i="12" s="1"/>
  <c r="E178" i="12"/>
  <c r="AQ179" i="12" s="1"/>
  <c r="K178" i="12"/>
  <c r="AR178" i="12" s="1"/>
  <c r="I178" i="12" s="1"/>
  <c r="I156" i="14"/>
  <c r="Q156" i="14" s="1"/>
  <c r="M156" i="14" s="1"/>
  <c r="AI157" i="14"/>
  <c r="V178" i="12" l="1"/>
  <c r="Z178" i="12" s="1"/>
  <c r="C157" i="14"/>
  <c r="L156" i="14"/>
  <c r="P156" i="14" s="1"/>
  <c r="AA156" i="14" s="1"/>
  <c r="AB156" i="14"/>
  <c r="AC156" i="14" s="1"/>
  <c r="AJ178" i="12" l="1"/>
  <c r="AK178" i="12" s="1"/>
  <c r="AL178" i="12" s="1"/>
  <c r="O178" i="12"/>
  <c r="B179" i="12"/>
  <c r="M179" i="12" s="1"/>
  <c r="Q178" i="12"/>
  <c r="X178" i="12" s="1"/>
  <c r="AI178" i="12" s="1"/>
  <c r="G179" i="12"/>
  <c r="AN179" i="12"/>
  <c r="E179" i="12" s="1"/>
  <c r="AQ180" i="12" s="1"/>
  <c r="S179" i="12"/>
  <c r="AD156" i="14"/>
  <c r="F157" i="14"/>
  <c r="AF157" i="14"/>
  <c r="E157" i="14" s="1"/>
  <c r="K157" i="14"/>
  <c r="N157" i="14"/>
  <c r="J157" i="14" s="1"/>
  <c r="H157" i="14" s="1"/>
  <c r="R157" i="14"/>
  <c r="G157" i="14"/>
  <c r="D179" i="12" l="1"/>
  <c r="K179" i="12"/>
  <c r="AR179" i="12" s="1"/>
  <c r="I179" i="12" s="1"/>
  <c r="Z179" i="12" s="1"/>
  <c r="I157" i="14"/>
  <c r="Q157" i="14" s="1"/>
  <c r="M157" i="14" s="1"/>
  <c r="AI158" i="14"/>
  <c r="Q179" i="12" l="1"/>
  <c r="AJ179" i="12"/>
  <c r="AK179" i="12" s="1"/>
  <c r="AL179" i="12" s="1"/>
  <c r="B180" i="12"/>
  <c r="O179" i="12"/>
  <c r="L157" i="14"/>
  <c r="P157" i="14" s="1"/>
  <c r="AA157" i="14" s="1"/>
  <c r="C158" i="14"/>
  <c r="AB157" i="14"/>
  <c r="AC157" i="14" s="1"/>
  <c r="X179" i="12" l="1"/>
  <c r="AI179" i="12" s="1"/>
  <c r="G180" i="12"/>
  <c r="AN180" i="12"/>
  <c r="E180" i="12" s="1"/>
  <c r="AQ181" i="12" s="1"/>
  <c r="S180" i="12"/>
  <c r="M180" i="12"/>
  <c r="AD157" i="14"/>
  <c r="AF158" i="14"/>
  <c r="E158" i="14" s="1"/>
  <c r="K158" i="14"/>
  <c r="F158" i="14"/>
  <c r="N158" i="14"/>
  <c r="J158" i="14" s="1"/>
  <c r="H158" i="14" s="1"/>
  <c r="R158" i="14"/>
  <c r="G158" i="14"/>
  <c r="K180" i="12" l="1"/>
  <c r="D180" i="12"/>
  <c r="AR180" i="12"/>
  <c r="I158" i="14"/>
  <c r="Q158" i="14" s="1"/>
  <c r="M158" i="14" s="1"/>
  <c r="AI159" i="14"/>
  <c r="I180" i="12" l="1"/>
  <c r="L158" i="14"/>
  <c r="P158" i="14" s="1"/>
  <c r="AA158" i="14" s="1"/>
  <c r="C159" i="14"/>
  <c r="AB158" i="14"/>
  <c r="AC158" i="14" s="1"/>
  <c r="V180" i="12" l="1"/>
  <c r="Z180" i="12" s="1"/>
  <c r="AD158" i="14"/>
  <c r="K159" i="14"/>
  <c r="F159" i="14"/>
  <c r="N159" i="14"/>
  <c r="J159" i="14" s="1"/>
  <c r="H159" i="14" s="1"/>
  <c r="R159" i="14"/>
  <c r="AF159" i="14"/>
  <c r="E159" i="14" s="1"/>
  <c r="G159" i="14"/>
  <c r="O180" i="12" l="1"/>
  <c r="B181" i="12"/>
  <c r="S181" i="12" s="1"/>
  <c r="AJ180" i="12"/>
  <c r="AK180" i="12" s="1"/>
  <c r="AL180" i="12" s="1"/>
  <c r="Q180" i="12"/>
  <c r="X180" i="12" s="1"/>
  <c r="AI180" i="12" s="1"/>
  <c r="M181" i="12"/>
  <c r="AN181" i="12"/>
  <c r="E181" i="12" s="1"/>
  <c r="AQ182" i="12" s="1"/>
  <c r="G181" i="12"/>
  <c r="AR181" i="12"/>
  <c r="I159" i="14"/>
  <c r="Q159" i="14" s="1"/>
  <c r="M159" i="14" s="1"/>
  <c r="AI160" i="14"/>
  <c r="K181" i="12" l="1"/>
  <c r="I181" i="12" s="1"/>
  <c r="Z181" i="12" s="1"/>
  <c r="D181" i="12"/>
  <c r="L159" i="14"/>
  <c r="P159" i="14" s="1"/>
  <c r="AA159" i="14" s="1"/>
  <c r="C160" i="14"/>
  <c r="AB159" i="14"/>
  <c r="AC159" i="14" s="1"/>
  <c r="AJ181" i="12" l="1"/>
  <c r="AK181" i="12" s="1"/>
  <c r="AL181" i="12" s="1"/>
  <c r="Q181" i="12"/>
  <c r="O181" i="12"/>
  <c r="B182" i="12"/>
  <c r="M182" i="12" s="1"/>
  <c r="F160" i="14"/>
  <c r="N160" i="14"/>
  <c r="J160" i="14" s="1"/>
  <c r="H160" i="14" s="1"/>
  <c r="AF160" i="14"/>
  <c r="E160" i="14" s="1"/>
  <c r="R160" i="14"/>
  <c r="K160" i="14"/>
  <c r="G160" i="14"/>
  <c r="AD159" i="14"/>
  <c r="X181" i="12" l="1"/>
  <c r="AI181" i="12" s="1"/>
  <c r="S182" i="12"/>
  <c r="G182" i="12"/>
  <c r="AN182" i="12"/>
  <c r="D182" i="12" s="1"/>
  <c r="I160" i="14"/>
  <c r="Q160" i="14" s="1"/>
  <c r="M160" i="14" s="1"/>
  <c r="AI161" i="14"/>
  <c r="K182" i="12" l="1"/>
  <c r="AR182" i="12" s="1"/>
  <c r="I182" i="12" s="1"/>
  <c r="E182" i="12"/>
  <c r="AQ183" i="12" s="1"/>
  <c r="C161" i="14"/>
  <c r="L160" i="14"/>
  <c r="P160" i="14" s="1"/>
  <c r="AA160" i="14" s="1"/>
  <c r="AB160" i="14"/>
  <c r="AC160" i="14" s="1"/>
  <c r="V182" i="12" l="1"/>
  <c r="Z182" i="12" s="1"/>
  <c r="AD160" i="14"/>
  <c r="AF161" i="14"/>
  <c r="E161" i="14" s="1"/>
  <c r="K161" i="14"/>
  <c r="F161" i="14"/>
  <c r="N161" i="14"/>
  <c r="J161" i="14" s="1"/>
  <c r="H161" i="14" s="1"/>
  <c r="R161" i="14"/>
  <c r="G161" i="14"/>
  <c r="O182" i="12" l="1"/>
  <c r="AJ182" i="12"/>
  <c r="AK182" i="12" s="1"/>
  <c r="AL182" i="12" s="1"/>
  <c r="Q182" i="12"/>
  <c r="X182" i="12" s="1"/>
  <c r="AI182" i="12" s="1"/>
  <c r="B183" i="12"/>
  <c r="S183" i="12" s="1"/>
  <c r="I161" i="14"/>
  <c r="Q161" i="14" s="1"/>
  <c r="M161" i="14" s="1"/>
  <c r="AI162" i="14"/>
  <c r="AR183" i="12" l="1"/>
  <c r="G183" i="12"/>
  <c r="M183" i="12"/>
  <c r="AN183" i="12"/>
  <c r="D183" i="12" s="1"/>
  <c r="E183" i="12"/>
  <c r="AQ184" i="12" s="1"/>
  <c r="L161" i="14"/>
  <c r="P161" i="14" s="1"/>
  <c r="AA161" i="14" s="1"/>
  <c r="C162" i="14"/>
  <c r="AB161" i="14"/>
  <c r="AC161" i="14" s="1"/>
  <c r="K183" i="12" l="1"/>
  <c r="I183" i="12" s="1"/>
  <c r="Z183" i="12" s="1"/>
  <c r="Q183" i="12" s="1"/>
  <c r="AD161" i="14"/>
  <c r="AF162" i="14"/>
  <c r="E162" i="14" s="1"/>
  <c r="K162" i="14"/>
  <c r="F162" i="14"/>
  <c r="N162" i="14"/>
  <c r="J162" i="14" s="1"/>
  <c r="H162" i="14" s="1"/>
  <c r="R162" i="14"/>
  <c r="G162" i="14"/>
  <c r="AJ183" i="12" l="1"/>
  <c r="AK183" i="12" s="1"/>
  <c r="AL183" i="12" s="1"/>
  <c r="B184" i="12"/>
  <c r="S184" i="12" s="1"/>
  <c r="O183" i="12"/>
  <c r="X183" i="12" s="1"/>
  <c r="AI183" i="12" s="1"/>
  <c r="M184" i="12"/>
  <c r="AN184" i="12"/>
  <c r="D184" i="12" s="1"/>
  <c r="G184" i="12"/>
  <c r="I162" i="14"/>
  <c r="Q162" i="14" s="1"/>
  <c r="M162" i="14" s="1"/>
  <c r="AI163" i="14"/>
  <c r="AR184" i="12" l="1"/>
  <c r="E184" i="12"/>
  <c r="AQ185" i="12" s="1"/>
  <c r="K184" i="12"/>
  <c r="I184" i="12" s="1"/>
  <c r="L162" i="14"/>
  <c r="P162" i="14" s="1"/>
  <c r="AA162" i="14" s="1"/>
  <c r="C163" i="14"/>
  <c r="AB162" i="14"/>
  <c r="AC162" i="14" s="1"/>
  <c r="V184" i="12" l="1"/>
  <c r="Z184" i="12" s="1"/>
  <c r="AD162" i="14"/>
  <c r="K163" i="14"/>
  <c r="F163" i="14"/>
  <c r="N163" i="14"/>
  <c r="J163" i="14" s="1"/>
  <c r="H163" i="14" s="1"/>
  <c r="AF163" i="14"/>
  <c r="E163" i="14" s="1"/>
  <c r="R163" i="14"/>
  <c r="G163" i="14"/>
  <c r="B185" i="12" l="1"/>
  <c r="AJ184" i="12"/>
  <c r="AK184" i="12" s="1"/>
  <c r="AL184" i="12" s="1"/>
  <c r="Q184" i="12"/>
  <c r="X184" i="12" s="1"/>
  <c r="AI184" i="12" s="1"/>
  <c r="O184" i="12"/>
  <c r="AR185" i="12"/>
  <c r="I163" i="14"/>
  <c r="Q163" i="14" s="1"/>
  <c r="M163" i="14" s="1"/>
  <c r="AI164" i="14"/>
  <c r="S185" i="12" l="1"/>
  <c r="AN185" i="12"/>
  <c r="G185" i="12"/>
  <c r="M185" i="12"/>
  <c r="L163" i="14"/>
  <c r="P163" i="14" s="1"/>
  <c r="AA163" i="14" s="1"/>
  <c r="C164" i="14"/>
  <c r="AB163" i="14"/>
  <c r="AC163" i="14" s="1"/>
  <c r="D185" i="12" l="1"/>
  <c r="K185" i="12"/>
  <c r="I185" i="12" s="1"/>
  <c r="Z185" i="12" s="1"/>
  <c r="E185" i="12"/>
  <c r="AQ186" i="12" s="1"/>
  <c r="AD163" i="14"/>
  <c r="F164" i="14"/>
  <c r="N164" i="14"/>
  <c r="J164" i="14" s="1"/>
  <c r="H164" i="14" s="1"/>
  <c r="AF164" i="14"/>
  <c r="E164" i="14" s="1"/>
  <c r="K164" i="14"/>
  <c r="R164" i="14"/>
  <c r="G164" i="14"/>
  <c r="AJ185" i="12" l="1"/>
  <c r="AK185" i="12" s="1"/>
  <c r="AL185" i="12" s="1"/>
  <c r="O185" i="12"/>
  <c r="B186" i="12"/>
  <c r="Q185" i="12"/>
  <c r="X185" i="12" s="1"/>
  <c r="AI185" i="12" s="1"/>
  <c r="S186" i="12"/>
  <c r="G186" i="12"/>
  <c r="AN186" i="12"/>
  <c r="E186" i="12" s="1"/>
  <c r="AQ187" i="12" s="1"/>
  <c r="M186" i="12"/>
  <c r="I164" i="14"/>
  <c r="Q164" i="14" s="1"/>
  <c r="M164" i="14" s="1"/>
  <c r="AI165" i="14"/>
  <c r="D186" i="12" l="1"/>
  <c r="K186" i="12"/>
  <c r="AR186" i="12" s="1"/>
  <c r="I186" i="12" s="1"/>
  <c r="C165" i="14"/>
  <c r="L164" i="14"/>
  <c r="P164" i="14" s="1"/>
  <c r="AA164" i="14" s="1"/>
  <c r="AB164" i="14"/>
  <c r="AC164" i="14" s="1"/>
  <c r="V186" i="12" l="1"/>
  <c r="Z186" i="12" s="1"/>
  <c r="AF165" i="14"/>
  <c r="E165" i="14" s="1"/>
  <c r="K165" i="14"/>
  <c r="F165" i="14"/>
  <c r="N165" i="14"/>
  <c r="J165" i="14" s="1"/>
  <c r="H165" i="14" s="1"/>
  <c r="R165" i="14"/>
  <c r="G165" i="14"/>
  <c r="AD164" i="14"/>
  <c r="Q186" i="12" l="1"/>
  <c r="O186" i="12"/>
  <c r="AJ186" i="12"/>
  <c r="AK186" i="12" s="1"/>
  <c r="AL186" i="12" s="1"/>
  <c r="B187" i="12"/>
  <c r="G187" i="12" s="1"/>
  <c r="S187" i="12"/>
  <c r="AN187" i="12"/>
  <c r="D187" i="12" s="1"/>
  <c r="M187" i="12"/>
  <c r="X186" i="12"/>
  <c r="AI186" i="12" s="1"/>
  <c r="I165" i="14"/>
  <c r="Q165" i="14" s="1"/>
  <c r="M165" i="14" s="1"/>
  <c r="AI166" i="14"/>
  <c r="E187" i="12" l="1"/>
  <c r="AQ188" i="12" s="1"/>
  <c r="K187" i="12"/>
  <c r="AR187" i="12" s="1"/>
  <c r="I187" i="12" s="1"/>
  <c r="Z187" i="12" s="1"/>
  <c r="L165" i="14"/>
  <c r="P165" i="14" s="1"/>
  <c r="AA165" i="14" s="1"/>
  <c r="C166" i="14"/>
  <c r="AB165" i="14"/>
  <c r="AC165" i="14" s="1"/>
  <c r="Q187" i="12" l="1"/>
  <c r="AJ187" i="12"/>
  <c r="AK187" i="12" s="1"/>
  <c r="AL187" i="12" s="1"/>
  <c r="B188" i="12"/>
  <c r="O187" i="12"/>
  <c r="X187" i="12" s="1"/>
  <c r="AI187" i="12" s="1"/>
  <c r="AF166" i="14"/>
  <c r="E166" i="14" s="1"/>
  <c r="K166" i="14"/>
  <c r="F166" i="14"/>
  <c r="N166" i="14"/>
  <c r="J166" i="14" s="1"/>
  <c r="H166" i="14" s="1"/>
  <c r="G166" i="14"/>
  <c r="R166" i="14"/>
  <c r="AD165" i="14"/>
  <c r="G188" i="12" l="1"/>
  <c r="M188" i="12"/>
  <c r="S188" i="12"/>
  <c r="AN188" i="12"/>
  <c r="E188" i="12" s="1"/>
  <c r="AQ189" i="12" s="1"/>
  <c r="I166" i="14"/>
  <c r="Q166" i="14" s="1"/>
  <c r="M166" i="14" s="1"/>
  <c r="AI167" i="14"/>
  <c r="D188" i="12" l="1"/>
  <c r="K188" i="12"/>
  <c r="AR188" i="12"/>
  <c r="L166" i="14"/>
  <c r="P166" i="14" s="1"/>
  <c r="AA166" i="14" s="1"/>
  <c r="C167" i="14"/>
  <c r="AB166" i="14"/>
  <c r="AC166" i="14" s="1"/>
  <c r="I188" i="12" l="1"/>
  <c r="AD166" i="14"/>
  <c r="K167" i="14"/>
  <c r="F167" i="14"/>
  <c r="N167" i="14"/>
  <c r="J167" i="14" s="1"/>
  <c r="H167" i="14" s="1"/>
  <c r="AF167" i="14"/>
  <c r="E167" i="14" s="1"/>
  <c r="R167" i="14"/>
  <c r="G167" i="14"/>
  <c r="V188" i="12" l="1"/>
  <c r="Z188" i="12" s="1"/>
  <c r="I167" i="14"/>
  <c r="Q167" i="14" s="1"/>
  <c r="M167" i="14" s="1"/>
  <c r="AI168" i="14"/>
  <c r="O188" i="12" l="1"/>
  <c r="Q188" i="12"/>
  <c r="X188" i="12" s="1"/>
  <c r="AI188" i="12" s="1"/>
  <c r="AJ188" i="12"/>
  <c r="AK188" i="12" s="1"/>
  <c r="AL188" i="12" s="1"/>
  <c r="B189" i="12"/>
  <c r="M189" i="12" s="1"/>
  <c r="S189" i="12"/>
  <c r="L167" i="14"/>
  <c r="P167" i="14" s="1"/>
  <c r="AA167" i="14" s="1"/>
  <c r="C168" i="14"/>
  <c r="AB167" i="14"/>
  <c r="AC167" i="14" s="1"/>
  <c r="AN189" i="12" l="1"/>
  <c r="D189" i="12" s="1"/>
  <c r="G189" i="12"/>
  <c r="E189" i="12"/>
  <c r="AQ190" i="12" s="1"/>
  <c r="K189" i="12"/>
  <c r="AR189" i="12"/>
  <c r="AD167" i="14"/>
  <c r="F168" i="14"/>
  <c r="N168" i="14"/>
  <c r="J168" i="14" s="1"/>
  <c r="H168" i="14" s="1"/>
  <c r="AF168" i="14"/>
  <c r="E168" i="14" s="1"/>
  <c r="R168" i="14"/>
  <c r="K168" i="14"/>
  <c r="G168" i="14"/>
  <c r="I189" i="12" l="1"/>
  <c r="Z189" i="12" s="1"/>
  <c r="I168" i="14"/>
  <c r="Q168" i="14" s="1"/>
  <c r="M168" i="14" s="1"/>
  <c r="AI169" i="14"/>
  <c r="B190" i="12" l="1"/>
  <c r="Q189" i="12"/>
  <c r="AJ189" i="12"/>
  <c r="AK189" i="12" s="1"/>
  <c r="AL189" i="12" s="1"/>
  <c r="O189" i="12"/>
  <c r="C169" i="14"/>
  <c r="L168" i="14"/>
  <c r="P168" i="14" s="1"/>
  <c r="AA168" i="14" s="1"/>
  <c r="AB168" i="14"/>
  <c r="AC168" i="14" s="1"/>
  <c r="X189" i="12" l="1"/>
  <c r="AI189" i="12" s="1"/>
  <c r="AN190" i="12"/>
  <c r="D190" i="12" s="1"/>
  <c r="G190" i="12"/>
  <c r="S190" i="12"/>
  <c r="M190" i="12"/>
  <c r="AD168" i="14"/>
  <c r="AF169" i="14"/>
  <c r="E169" i="14" s="1"/>
  <c r="K169" i="14"/>
  <c r="F169" i="14"/>
  <c r="R169" i="14"/>
  <c r="G169" i="14"/>
  <c r="N169" i="14"/>
  <c r="J169" i="14" s="1"/>
  <c r="H169" i="14" s="1"/>
  <c r="E190" i="12" l="1"/>
  <c r="AQ191" i="12" s="1"/>
  <c r="K190" i="12"/>
  <c r="AR190" i="12" s="1"/>
  <c r="I190" i="12" s="1"/>
  <c r="I169" i="14"/>
  <c r="Q169" i="14" s="1"/>
  <c r="M169" i="14" s="1"/>
  <c r="AI170" i="14"/>
  <c r="V190" i="12" l="1"/>
  <c r="Z190" i="12" s="1"/>
  <c r="L169" i="14"/>
  <c r="P169" i="14" s="1"/>
  <c r="AA169" i="14" s="1"/>
  <c r="C170" i="14"/>
  <c r="AB169" i="14"/>
  <c r="AC169" i="14" s="1"/>
  <c r="AJ190" i="12" l="1"/>
  <c r="AK190" i="12" s="1"/>
  <c r="AL190" i="12" s="1"/>
  <c r="B191" i="12"/>
  <c r="AN191" i="12" s="1"/>
  <c r="E191" i="12" s="1"/>
  <c r="AQ192" i="12" s="1"/>
  <c r="O190" i="12"/>
  <c r="Q190" i="12"/>
  <c r="M191" i="12"/>
  <c r="S191" i="12"/>
  <c r="G191" i="12"/>
  <c r="D191" i="12"/>
  <c r="AR191" i="12"/>
  <c r="AD169" i="14"/>
  <c r="AF170" i="14"/>
  <c r="E170" i="14" s="1"/>
  <c r="K170" i="14"/>
  <c r="F170" i="14"/>
  <c r="N170" i="14"/>
  <c r="J170" i="14" s="1"/>
  <c r="H170" i="14" s="1"/>
  <c r="R170" i="14"/>
  <c r="G170" i="14"/>
  <c r="X190" i="12" l="1"/>
  <c r="AI190" i="12" s="1"/>
  <c r="K191" i="12"/>
  <c r="I191" i="12" s="1"/>
  <c r="Z191" i="12" s="1"/>
  <c r="I170" i="14"/>
  <c r="Q170" i="14" s="1"/>
  <c r="M170" i="14" s="1"/>
  <c r="AI171" i="14"/>
  <c r="AJ191" i="12" l="1"/>
  <c r="AK191" i="12" s="1"/>
  <c r="AL191" i="12" s="1"/>
  <c r="Q191" i="12"/>
  <c r="B192" i="12"/>
  <c r="M192" i="12" s="1"/>
  <c r="O191" i="12"/>
  <c r="L170" i="14"/>
  <c r="P170" i="14" s="1"/>
  <c r="AA170" i="14" s="1"/>
  <c r="C171" i="14"/>
  <c r="AB170" i="14"/>
  <c r="AC170" i="14" s="1"/>
  <c r="X191" i="12" l="1"/>
  <c r="AI191" i="12" s="1"/>
  <c r="G192" i="12"/>
  <c r="S192" i="12"/>
  <c r="AN192" i="12"/>
  <c r="AD170" i="14"/>
  <c r="K171" i="14"/>
  <c r="F171" i="14"/>
  <c r="N171" i="14"/>
  <c r="J171" i="14" s="1"/>
  <c r="H171" i="14" s="1"/>
  <c r="AF171" i="14"/>
  <c r="E171" i="14" s="1"/>
  <c r="R171" i="14"/>
  <c r="G171" i="14"/>
  <c r="K192" i="12" l="1"/>
  <c r="AR192" i="12" s="1"/>
  <c r="I192" i="12" s="1"/>
  <c r="D192" i="12"/>
  <c r="E192" i="12"/>
  <c r="AQ193" i="12" s="1"/>
  <c r="I171" i="14"/>
  <c r="Q171" i="14" s="1"/>
  <c r="M171" i="14" s="1"/>
  <c r="AI172" i="14"/>
  <c r="V192" i="12" l="1"/>
  <c r="Z192" i="12" s="1"/>
  <c r="L171" i="14"/>
  <c r="P171" i="14" s="1"/>
  <c r="AA171" i="14" s="1"/>
  <c r="C172" i="14"/>
  <c r="AB171" i="14"/>
  <c r="AC171" i="14" s="1"/>
  <c r="B193" i="12" l="1"/>
  <c r="O192" i="12"/>
  <c r="Q192" i="12"/>
  <c r="AJ192" i="12"/>
  <c r="AK192" i="12" s="1"/>
  <c r="AL192" i="12" s="1"/>
  <c r="AD171" i="14"/>
  <c r="F172" i="14"/>
  <c r="N172" i="14"/>
  <c r="J172" i="14" s="1"/>
  <c r="H172" i="14" s="1"/>
  <c r="AF172" i="14"/>
  <c r="E172" i="14" s="1"/>
  <c r="K172" i="14"/>
  <c r="R172" i="14"/>
  <c r="G172" i="14"/>
  <c r="X192" i="12" l="1"/>
  <c r="AI192" i="12" s="1"/>
  <c r="G193" i="12"/>
  <c r="AN193" i="12"/>
  <c r="E193" i="12" s="1"/>
  <c r="AQ194" i="12" s="1"/>
  <c r="M193" i="12"/>
  <c r="S193" i="12"/>
  <c r="AR193" i="12"/>
  <c r="I172" i="14"/>
  <c r="Q172" i="14" s="1"/>
  <c r="M172" i="14" s="1"/>
  <c r="AI173" i="14"/>
  <c r="D193" i="12" l="1"/>
  <c r="K193" i="12"/>
  <c r="I193" i="12" s="1"/>
  <c r="Z193" i="12" s="1"/>
  <c r="C173" i="14"/>
  <c r="L172" i="14"/>
  <c r="P172" i="14" s="1"/>
  <c r="AA172" i="14" s="1"/>
  <c r="AB172" i="14"/>
  <c r="AC172" i="14" s="1"/>
  <c r="AJ193" i="12" l="1"/>
  <c r="AK193" i="12" s="1"/>
  <c r="AL193" i="12" s="1"/>
  <c r="O193" i="12"/>
  <c r="Q193" i="12"/>
  <c r="X193" i="12" s="1"/>
  <c r="AI193" i="12" s="1"/>
  <c r="B194" i="12"/>
  <c r="AN194" i="12" s="1"/>
  <c r="D194" i="12" s="1"/>
  <c r="S194" i="12"/>
  <c r="AF173" i="14"/>
  <c r="E173" i="14" s="1"/>
  <c r="K173" i="14"/>
  <c r="F173" i="14"/>
  <c r="N173" i="14"/>
  <c r="J173" i="14" s="1"/>
  <c r="H173" i="14" s="1"/>
  <c r="R173" i="14"/>
  <c r="G173" i="14"/>
  <c r="AD172" i="14"/>
  <c r="M194" i="12" l="1"/>
  <c r="G194" i="12"/>
  <c r="K194" i="12" s="1"/>
  <c r="E194" i="12"/>
  <c r="AQ195" i="12" s="1"/>
  <c r="AR194" i="12"/>
  <c r="I173" i="14"/>
  <c r="Q173" i="14" s="1"/>
  <c r="M173" i="14" s="1"/>
  <c r="AI174" i="14"/>
  <c r="I194" i="12" l="1"/>
  <c r="L173" i="14"/>
  <c r="P173" i="14" s="1"/>
  <c r="AA173" i="14" s="1"/>
  <c r="C174" i="14"/>
  <c r="AB173" i="14"/>
  <c r="AC173" i="14" s="1"/>
  <c r="V194" i="12" l="1"/>
  <c r="Z194" i="12" s="1"/>
  <c r="AD173" i="14"/>
  <c r="AF174" i="14"/>
  <c r="E174" i="14" s="1"/>
  <c r="K174" i="14"/>
  <c r="F174" i="14"/>
  <c r="N174" i="14"/>
  <c r="J174" i="14" s="1"/>
  <c r="H174" i="14" s="1"/>
  <c r="G174" i="14"/>
  <c r="R174" i="14"/>
  <c r="AJ194" i="12" l="1"/>
  <c r="AK194" i="12" s="1"/>
  <c r="AL194" i="12" s="1"/>
  <c r="B195" i="12"/>
  <c r="S195" i="12" s="1"/>
  <c r="O194" i="12"/>
  <c r="Q194" i="12"/>
  <c r="M195" i="12"/>
  <c r="AN195" i="12"/>
  <c r="E195" i="12" s="1"/>
  <c r="AQ196" i="12" s="1"/>
  <c r="G195" i="12"/>
  <c r="I174" i="14"/>
  <c r="Q174" i="14" s="1"/>
  <c r="M174" i="14" s="1"/>
  <c r="AI175" i="14"/>
  <c r="X194" i="12" l="1"/>
  <c r="AI194" i="12" s="1"/>
  <c r="D195" i="12"/>
  <c r="K195" i="12"/>
  <c r="AR195" i="12" s="1"/>
  <c r="I195" i="12" s="1"/>
  <c r="Z195" i="12" s="1"/>
  <c r="L174" i="14"/>
  <c r="P174" i="14" s="1"/>
  <c r="AA174" i="14" s="1"/>
  <c r="C175" i="14"/>
  <c r="AB174" i="14"/>
  <c r="AC174" i="14" s="1"/>
  <c r="B196" i="12" l="1"/>
  <c r="M196" i="12" s="1"/>
  <c r="AJ195" i="12"/>
  <c r="AK195" i="12" s="1"/>
  <c r="AL195" i="12" s="1"/>
  <c r="Q195" i="12"/>
  <c r="O195" i="12"/>
  <c r="AN196" i="12"/>
  <c r="E196" i="12" s="1"/>
  <c r="AQ197" i="12" s="1"/>
  <c r="S196" i="12"/>
  <c r="G196" i="12"/>
  <c r="AD174" i="14"/>
  <c r="K175" i="14"/>
  <c r="F175" i="14"/>
  <c r="N175" i="14"/>
  <c r="J175" i="14" s="1"/>
  <c r="H175" i="14" s="1"/>
  <c r="AF175" i="14"/>
  <c r="E175" i="14" s="1"/>
  <c r="R175" i="14"/>
  <c r="G175" i="14"/>
  <c r="D196" i="12" l="1"/>
  <c r="X195" i="12"/>
  <c r="AI195" i="12" s="1"/>
  <c r="K196" i="12"/>
  <c r="AR196" i="12" s="1"/>
  <c r="I196" i="12" s="1"/>
  <c r="I175" i="14"/>
  <c r="Q175" i="14" s="1"/>
  <c r="M175" i="14" s="1"/>
  <c r="AI176" i="14"/>
  <c r="V196" i="12" l="1"/>
  <c r="Z196" i="12" s="1"/>
  <c r="L175" i="14"/>
  <c r="P175" i="14" s="1"/>
  <c r="AA175" i="14" s="1"/>
  <c r="C176" i="14"/>
  <c r="AB175" i="14"/>
  <c r="AC175" i="14" s="1"/>
  <c r="AJ196" i="12" l="1"/>
  <c r="AK196" i="12" s="1"/>
  <c r="AL196" i="12" s="1"/>
  <c r="O196" i="12"/>
  <c r="B197" i="12"/>
  <c r="Q196" i="12"/>
  <c r="X196" i="12" s="1"/>
  <c r="AI196" i="12" s="1"/>
  <c r="M197" i="12"/>
  <c r="G197" i="12"/>
  <c r="AN197" i="12"/>
  <c r="S197" i="12"/>
  <c r="F176" i="14"/>
  <c r="N176" i="14"/>
  <c r="J176" i="14" s="1"/>
  <c r="H176" i="14" s="1"/>
  <c r="AF176" i="14"/>
  <c r="E176" i="14" s="1"/>
  <c r="K176" i="14"/>
  <c r="R176" i="14"/>
  <c r="G176" i="14"/>
  <c r="AD175" i="14"/>
  <c r="K197" i="12" l="1"/>
  <c r="AR197" i="12" s="1"/>
  <c r="I197" i="12" s="1"/>
  <c r="I176" i="14"/>
  <c r="Q176" i="14" s="1"/>
  <c r="M176" i="14" s="1"/>
  <c r="E197" i="12"/>
  <c r="AQ198" i="12" s="1"/>
  <c r="D197" i="12"/>
  <c r="AI177" i="14"/>
  <c r="Z197" i="12" l="1"/>
  <c r="C177" i="14"/>
  <c r="L176" i="14"/>
  <c r="P176" i="14" s="1"/>
  <c r="AA176" i="14" s="1"/>
  <c r="AB176" i="14"/>
  <c r="AC176" i="14" s="1"/>
  <c r="O197" i="12" l="1"/>
  <c r="V198" i="12"/>
  <c r="B198" i="12"/>
  <c r="M198" i="12" s="1"/>
  <c r="AJ197" i="12"/>
  <c r="AK197" i="12" s="1"/>
  <c r="AL197" i="12" s="1"/>
  <c r="Q197" i="12"/>
  <c r="X197" i="12" s="1"/>
  <c r="AI197" i="12" s="1"/>
  <c r="AD176" i="14"/>
  <c r="AF177" i="14"/>
  <c r="E177" i="14" s="1"/>
  <c r="K177" i="14"/>
  <c r="F177" i="14"/>
  <c r="N177" i="14"/>
  <c r="J177" i="14" s="1"/>
  <c r="H177" i="14" s="1"/>
  <c r="R177" i="14"/>
  <c r="G177" i="14"/>
  <c r="AN198" i="12" l="1"/>
  <c r="E198" i="12" s="1"/>
  <c r="AQ199" i="12" s="1"/>
  <c r="S198" i="12"/>
  <c r="G198" i="12"/>
  <c r="I177" i="14"/>
  <c r="Q177" i="14" s="1"/>
  <c r="M177" i="14" s="1"/>
  <c r="AI178" i="14"/>
  <c r="D198" i="12" l="1"/>
  <c r="K198" i="12"/>
  <c r="AR198" i="12" s="1"/>
  <c r="I198" i="12" s="1"/>
  <c r="Z198" i="12" s="1"/>
  <c r="L177" i="14"/>
  <c r="P177" i="14" s="1"/>
  <c r="AA177" i="14" s="1"/>
  <c r="C178" i="14"/>
  <c r="AB177" i="14"/>
  <c r="AC177" i="14" s="1"/>
  <c r="Q198" i="12" l="1"/>
  <c r="O198" i="12"/>
  <c r="B199" i="12"/>
  <c r="AJ198" i="12"/>
  <c r="AK198" i="12" s="1"/>
  <c r="AL198" i="12" s="1"/>
  <c r="AF178" i="14"/>
  <c r="E178" i="14" s="1"/>
  <c r="K178" i="14"/>
  <c r="F178" i="14"/>
  <c r="N178" i="14"/>
  <c r="J178" i="14" s="1"/>
  <c r="H178" i="14" s="1"/>
  <c r="R178" i="14"/>
  <c r="G178" i="14"/>
  <c r="AD177" i="14"/>
  <c r="X198" i="12" l="1"/>
  <c r="AI198" i="12" s="1"/>
  <c r="I178" i="14"/>
  <c r="Q178" i="14" s="1"/>
  <c r="M178" i="14" s="1"/>
  <c r="G199" i="12"/>
  <c r="S199" i="12"/>
  <c r="M199" i="12"/>
  <c r="AN199" i="12"/>
  <c r="D199" i="12" s="1"/>
  <c r="AI179" i="14"/>
  <c r="K199" i="12" l="1"/>
  <c r="E199" i="12"/>
  <c r="AQ200" i="12" s="1"/>
  <c r="L178" i="14"/>
  <c r="P178" i="14" s="1"/>
  <c r="AA178" i="14" s="1"/>
  <c r="C179" i="14"/>
  <c r="AB178" i="14"/>
  <c r="AC178" i="14" s="1"/>
  <c r="AR199" i="12" l="1"/>
  <c r="I199" i="12" s="1"/>
  <c r="Z199" i="12" s="1"/>
  <c r="V200" i="12" s="1"/>
  <c r="AD178" i="14"/>
  <c r="K179" i="14"/>
  <c r="F179" i="14"/>
  <c r="N179" i="14"/>
  <c r="J179" i="14" s="1"/>
  <c r="H179" i="14" s="1"/>
  <c r="AF179" i="14"/>
  <c r="E179" i="14" s="1"/>
  <c r="R179" i="14"/>
  <c r="G179" i="14"/>
  <c r="AJ199" i="12" l="1"/>
  <c r="AK199" i="12" s="1"/>
  <c r="AL199" i="12" s="1"/>
  <c r="Q199" i="12"/>
  <c r="O199" i="12"/>
  <c r="B200" i="12"/>
  <c r="S200" i="12" s="1"/>
  <c r="I179" i="14"/>
  <c r="Q179" i="14" s="1"/>
  <c r="M179" i="14" s="1"/>
  <c r="AI180" i="14"/>
  <c r="M200" i="12" l="1"/>
  <c r="G200" i="12"/>
  <c r="AN200" i="12"/>
  <c r="X199" i="12"/>
  <c r="AI199" i="12" s="1"/>
  <c r="L179" i="14"/>
  <c r="P179" i="14" s="1"/>
  <c r="AA179" i="14" s="1"/>
  <c r="C180" i="14"/>
  <c r="AB179" i="14"/>
  <c r="AC179" i="14" s="1"/>
  <c r="K200" i="12" l="1"/>
  <c r="E200" i="12"/>
  <c r="AQ201" i="12" s="1"/>
  <c r="D200" i="12"/>
  <c r="AR200" i="12"/>
  <c r="F180" i="14"/>
  <c r="N180" i="14"/>
  <c r="J180" i="14" s="1"/>
  <c r="H180" i="14" s="1"/>
  <c r="AF180" i="14"/>
  <c r="E180" i="14" s="1"/>
  <c r="K180" i="14"/>
  <c r="R180" i="14"/>
  <c r="G180" i="14"/>
  <c r="AD179" i="14"/>
  <c r="I200" i="12" l="1"/>
  <c r="Z200" i="12" s="1"/>
  <c r="O200" i="12" s="1"/>
  <c r="I180" i="14"/>
  <c r="Q180" i="14" s="1"/>
  <c r="M180" i="14" s="1"/>
  <c r="AI181" i="14"/>
  <c r="Q200" i="12" l="1"/>
  <c r="X200" i="12" s="1"/>
  <c r="AI200" i="12" s="1"/>
  <c r="B201" i="12"/>
  <c r="S201" i="12" s="1"/>
  <c r="AJ200" i="12"/>
  <c r="AK200" i="12" s="1"/>
  <c r="AL200" i="12" s="1"/>
  <c r="C181" i="14"/>
  <c r="L180" i="14"/>
  <c r="P180" i="14" s="1"/>
  <c r="AA180" i="14" s="1"/>
  <c r="AB180" i="14"/>
  <c r="AC180" i="14" s="1"/>
  <c r="AN201" i="12" l="1"/>
  <c r="D201" i="12" s="1"/>
  <c r="M201" i="12"/>
  <c r="G201" i="12"/>
  <c r="AF181" i="14"/>
  <c r="E181" i="14" s="1"/>
  <c r="K181" i="14"/>
  <c r="F181" i="14"/>
  <c r="N181" i="14"/>
  <c r="J181" i="14" s="1"/>
  <c r="R181" i="14"/>
  <c r="G181" i="14"/>
  <c r="AD180" i="14"/>
  <c r="K201" i="12" l="1"/>
  <c r="E201" i="12"/>
  <c r="AQ202" i="12" s="1"/>
  <c r="H181" i="14"/>
  <c r="I181" i="14" s="1"/>
  <c r="Q181" i="14" s="1"/>
  <c r="M181" i="14" s="1"/>
  <c r="AR201" i="12"/>
  <c r="AI182" i="14"/>
  <c r="I201" i="12" l="1"/>
  <c r="Z201" i="12" s="1"/>
  <c r="L181" i="14"/>
  <c r="P181" i="14" s="1"/>
  <c r="AA181" i="14" s="1"/>
  <c r="C182" i="14"/>
  <c r="AB181" i="14"/>
  <c r="AC181" i="14" s="1"/>
  <c r="Q201" i="12" l="1"/>
  <c r="V202" i="12"/>
  <c r="AJ201" i="12"/>
  <c r="AK201" i="12" s="1"/>
  <c r="AL201" i="12" s="1"/>
  <c r="B202" i="12"/>
  <c r="S202" i="12" s="1"/>
  <c r="O201" i="12"/>
  <c r="X201" i="12" s="1"/>
  <c r="AI201" i="12" s="1"/>
  <c r="AF182" i="14"/>
  <c r="E182" i="14" s="1"/>
  <c r="K182" i="14"/>
  <c r="F182" i="14"/>
  <c r="N182" i="14"/>
  <c r="J182" i="14" s="1"/>
  <c r="H182" i="14" s="1"/>
  <c r="R182" i="14"/>
  <c r="G182" i="14"/>
  <c r="AD181" i="14"/>
  <c r="M202" i="12" l="1"/>
  <c r="G202" i="12"/>
  <c r="AN202" i="12"/>
  <c r="I182" i="14"/>
  <c r="Q182" i="14" s="1"/>
  <c r="M182" i="14" s="1"/>
  <c r="AI183" i="14"/>
  <c r="K202" i="12" l="1"/>
  <c r="AR202" i="12" s="1"/>
  <c r="I202" i="12" s="1"/>
  <c r="Z202" i="12" s="1"/>
  <c r="E202" i="12"/>
  <c r="AQ203" i="12" s="1"/>
  <c r="D202" i="12"/>
  <c r="L182" i="14"/>
  <c r="P182" i="14" s="1"/>
  <c r="AA182" i="14" s="1"/>
  <c r="C183" i="14"/>
  <c r="AB182" i="14"/>
  <c r="AC182" i="14" s="1"/>
  <c r="O202" i="12" l="1"/>
  <c r="B203" i="12"/>
  <c r="AJ202" i="12"/>
  <c r="AK202" i="12" s="1"/>
  <c r="AL202" i="12" s="1"/>
  <c r="Q202" i="12"/>
  <c r="AD182" i="14"/>
  <c r="K183" i="14"/>
  <c r="F183" i="14"/>
  <c r="N183" i="14"/>
  <c r="J183" i="14" s="1"/>
  <c r="H183" i="14" s="1"/>
  <c r="R183" i="14"/>
  <c r="AF183" i="14"/>
  <c r="E183" i="14" s="1"/>
  <c r="G183" i="14"/>
  <c r="I183" i="14" l="1"/>
  <c r="Q183" i="14" s="1"/>
  <c r="M183" i="14" s="1"/>
  <c r="S203" i="12"/>
  <c r="M203" i="12"/>
  <c r="AN203" i="12"/>
  <c r="G203" i="12"/>
  <c r="X202" i="12"/>
  <c r="AI202" i="12" s="1"/>
  <c r="AI184" i="14"/>
  <c r="K203" i="12" l="1"/>
  <c r="AR203" i="12" s="1"/>
  <c r="I203" i="12" s="1"/>
  <c r="Z203" i="12" s="1"/>
  <c r="V204" i="12" s="1"/>
  <c r="E203" i="12"/>
  <c r="AQ204" i="12" s="1"/>
  <c r="D203" i="12"/>
  <c r="L183" i="14"/>
  <c r="P183" i="14" s="1"/>
  <c r="AA183" i="14" s="1"/>
  <c r="C184" i="14"/>
  <c r="AB183" i="14"/>
  <c r="AC183" i="14" s="1"/>
  <c r="Q203" i="12" l="1"/>
  <c r="AJ203" i="12"/>
  <c r="AK203" i="12" s="1"/>
  <c r="AL203" i="12" s="1"/>
  <c r="B204" i="12"/>
  <c r="O203" i="12"/>
  <c r="AD183" i="14"/>
  <c r="F184" i="14"/>
  <c r="N184" i="14"/>
  <c r="J184" i="14" s="1"/>
  <c r="H184" i="14" s="1"/>
  <c r="AF184" i="14"/>
  <c r="E184" i="14" s="1"/>
  <c r="K184" i="14"/>
  <c r="R184" i="14"/>
  <c r="G184" i="14"/>
  <c r="X203" i="12" l="1"/>
  <c r="AI203" i="12" s="1"/>
  <c r="I184" i="14"/>
  <c r="Q184" i="14" s="1"/>
  <c r="M184" i="14" s="1"/>
  <c r="S204" i="12"/>
  <c r="AN204" i="12"/>
  <c r="D204" i="12" s="1"/>
  <c r="G204" i="12"/>
  <c r="M204" i="12"/>
  <c r="AI185" i="14"/>
  <c r="E204" i="12" l="1"/>
  <c r="AQ205" i="12" s="1"/>
  <c r="K204" i="12"/>
  <c r="C185" i="14"/>
  <c r="L184" i="14"/>
  <c r="P184" i="14" s="1"/>
  <c r="AA184" i="14" s="1"/>
  <c r="AB184" i="14"/>
  <c r="AC184" i="14" s="1"/>
  <c r="AR204" i="12" l="1"/>
  <c r="I204" i="12" s="1"/>
  <c r="Z204" i="12" s="1"/>
  <c r="AD184" i="14"/>
  <c r="AF185" i="14"/>
  <c r="E185" i="14" s="1"/>
  <c r="K185" i="14"/>
  <c r="F185" i="14"/>
  <c r="N185" i="14"/>
  <c r="J185" i="14" s="1"/>
  <c r="H185" i="14" s="1"/>
  <c r="R185" i="14"/>
  <c r="G185" i="14"/>
  <c r="I185" i="14" l="1"/>
  <c r="Q185" i="14" s="1"/>
  <c r="M185" i="14" s="1"/>
  <c r="O204" i="12"/>
  <c r="AJ204" i="12"/>
  <c r="AK204" i="12" s="1"/>
  <c r="AL204" i="12" s="1"/>
  <c r="B205" i="12"/>
  <c r="Q204" i="12"/>
  <c r="AI186" i="14"/>
  <c r="AN205" i="12" l="1"/>
  <c r="D205" i="12" s="1"/>
  <c r="G205" i="12"/>
  <c r="S205" i="12"/>
  <c r="M205" i="12"/>
  <c r="X204" i="12"/>
  <c r="AI204" i="12" s="1"/>
  <c r="L185" i="14"/>
  <c r="P185" i="14" s="1"/>
  <c r="AA185" i="14" s="1"/>
  <c r="C186" i="14"/>
  <c r="AB185" i="14"/>
  <c r="AC185" i="14" s="1"/>
  <c r="E205" i="12" l="1"/>
  <c r="AQ206" i="12" s="1"/>
  <c r="K205" i="12"/>
  <c r="AR205" i="12"/>
  <c r="AD185" i="14"/>
  <c r="AF186" i="14"/>
  <c r="E186" i="14" s="1"/>
  <c r="K186" i="14"/>
  <c r="F186" i="14"/>
  <c r="N186" i="14"/>
  <c r="J186" i="14" s="1"/>
  <c r="H186" i="14" s="1"/>
  <c r="R186" i="14"/>
  <c r="G186" i="14"/>
  <c r="I205" i="12" l="1"/>
  <c r="Z205" i="12" s="1"/>
  <c r="I186" i="14"/>
  <c r="Q186" i="14" s="1"/>
  <c r="M186" i="14" s="1"/>
  <c r="AI187" i="14"/>
  <c r="AJ205" i="12" l="1"/>
  <c r="AK205" i="12" s="1"/>
  <c r="AL205" i="12" s="1"/>
  <c r="V206" i="12"/>
  <c r="Q205" i="12"/>
  <c r="B206" i="12"/>
  <c r="M206" i="12" s="1"/>
  <c r="O205" i="12"/>
  <c r="L186" i="14"/>
  <c r="P186" i="14" s="1"/>
  <c r="AA186" i="14" s="1"/>
  <c r="C187" i="14"/>
  <c r="AB186" i="14"/>
  <c r="AC186" i="14" s="1"/>
  <c r="X205" i="12" l="1"/>
  <c r="AI205" i="12" s="1"/>
  <c r="G206" i="12"/>
  <c r="AN206" i="12"/>
  <c r="D206" i="12" s="1"/>
  <c r="S206" i="12"/>
  <c r="AD186" i="14"/>
  <c r="K187" i="14"/>
  <c r="F187" i="14"/>
  <c r="N187" i="14"/>
  <c r="J187" i="14" s="1"/>
  <c r="H187" i="14" s="1"/>
  <c r="AF187" i="14"/>
  <c r="E187" i="14" s="1"/>
  <c r="R187" i="14"/>
  <c r="G187" i="14"/>
  <c r="E206" i="12" l="1"/>
  <c r="AQ207" i="12" s="1"/>
  <c r="K206" i="12"/>
  <c r="AR206" i="12" s="1"/>
  <c r="I206" i="12" s="1"/>
  <c r="Z206" i="12" s="1"/>
  <c r="O206" i="12" s="1"/>
  <c r="I187" i="14"/>
  <c r="Q187" i="14" s="1"/>
  <c r="M187" i="14" s="1"/>
  <c r="AI188" i="14"/>
  <c r="AJ206" i="12" l="1"/>
  <c r="AK206" i="12" s="1"/>
  <c r="AL206" i="12" s="1"/>
  <c r="B207" i="12"/>
  <c r="S207" i="12" s="1"/>
  <c r="Q206" i="12"/>
  <c r="X206" i="12" s="1"/>
  <c r="AI206" i="12" s="1"/>
  <c r="L187" i="14"/>
  <c r="P187" i="14" s="1"/>
  <c r="AA187" i="14" s="1"/>
  <c r="C188" i="14"/>
  <c r="AB187" i="14"/>
  <c r="AC187" i="14" s="1"/>
  <c r="AN207" i="12" l="1"/>
  <c r="D207" i="12" s="1"/>
  <c r="G207" i="12"/>
  <c r="M207" i="12"/>
  <c r="F188" i="14"/>
  <c r="N188" i="14"/>
  <c r="J188" i="14" s="1"/>
  <c r="H188" i="14" s="1"/>
  <c r="AF188" i="14"/>
  <c r="E188" i="14" s="1"/>
  <c r="K188" i="14"/>
  <c r="G188" i="14"/>
  <c r="R188" i="14"/>
  <c r="AD187" i="14"/>
  <c r="E207" i="12" l="1"/>
  <c r="AQ208" i="12" s="1"/>
  <c r="K207" i="12"/>
  <c r="AR207" i="12"/>
  <c r="I188" i="14"/>
  <c r="Q188" i="14" s="1"/>
  <c r="M188" i="14" s="1"/>
  <c r="AI189" i="14"/>
  <c r="I207" i="12" l="1"/>
  <c r="Z207" i="12" s="1"/>
  <c r="C189" i="14"/>
  <c r="L188" i="14"/>
  <c r="P188" i="14" s="1"/>
  <c r="AA188" i="14" s="1"/>
  <c r="AB188" i="14"/>
  <c r="AC188" i="14" s="1"/>
  <c r="B208" i="12" l="1"/>
  <c r="M208" i="12" s="1"/>
  <c r="V208" i="12"/>
  <c r="Q207" i="12"/>
  <c r="O207" i="12"/>
  <c r="AJ207" i="12"/>
  <c r="AK207" i="12" s="1"/>
  <c r="AL207" i="12" s="1"/>
  <c r="AF189" i="14"/>
  <c r="E189" i="14" s="1"/>
  <c r="K189" i="14"/>
  <c r="F189" i="14"/>
  <c r="N189" i="14"/>
  <c r="J189" i="14" s="1"/>
  <c r="H189" i="14" s="1"/>
  <c r="R189" i="14"/>
  <c r="G189" i="14"/>
  <c r="AD188" i="14"/>
  <c r="G208" i="12" l="1"/>
  <c r="AN208" i="12"/>
  <c r="D208" i="12" s="1"/>
  <c r="AR208" i="12"/>
  <c r="S208" i="12"/>
  <c r="X207" i="12"/>
  <c r="AI207" i="12" s="1"/>
  <c r="E208" i="12"/>
  <c r="AQ209" i="12" s="1"/>
  <c r="K208" i="12"/>
  <c r="I208" i="12" s="1"/>
  <c r="Z208" i="12" s="1"/>
  <c r="Q208" i="12" s="1"/>
  <c r="I189" i="14"/>
  <c r="Q189" i="14" s="1"/>
  <c r="M189" i="14" s="1"/>
  <c r="AI190" i="14"/>
  <c r="AJ208" i="12" l="1"/>
  <c r="AK208" i="12" s="1"/>
  <c r="AL208" i="12" s="1"/>
  <c r="B209" i="12"/>
  <c r="M209" i="12" s="1"/>
  <c r="O208" i="12"/>
  <c r="X208" i="12" s="1"/>
  <c r="AI208" i="12" s="1"/>
  <c r="L189" i="14"/>
  <c r="P189" i="14" s="1"/>
  <c r="AA189" i="14" s="1"/>
  <c r="C190" i="14"/>
  <c r="AB189" i="14"/>
  <c r="AC189" i="14" s="1"/>
  <c r="G209" i="12" l="1"/>
  <c r="S209" i="12"/>
  <c r="AN209" i="12"/>
  <c r="D209" i="12" s="1"/>
  <c r="AR209" i="12"/>
  <c r="AF190" i="14"/>
  <c r="E190" i="14" s="1"/>
  <c r="K190" i="14"/>
  <c r="F190" i="14"/>
  <c r="N190" i="14"/>
  <c r="J190" i="14" s="1"/>
  <c r="H190" i="14" s="1"/>
  <c r="G190" i="14"/>
  <c r="R190" i="14"/>
  <c r="AD189" i="14"/>
  <c r="K209" i="12" l="1"/>
  <c r="I209" i="12" s="1"/>
  <c r="Z209" i="12" s="1"/>
  <c r="E209" i="12"/>
  <c r="AQ210" i="12" s="1"/>
  <c r="I190" i="14"/>
  <c r="Q190" i="14" s="1"/>
  <c r="M190" i="14" s="1"/>
  <c r="AI191" i="14"/>
  <c r="O209" i="12" l="1"/>
  <c r="V210" i="12"/>
  <c r="Q209" i="12"/>
  <c r="X209" i="12" s="1"/>
  <c r="AI209" i="12" s="1"/>
  <c r="AJ209" i="12"/>
  <c r="AK209" i="12" s="1"/>
  <c r="AL209" i="12" s="1"/>
  <c r="B210" i="12"/>
  <c r="M210" i="12" s="1"/>
  <c r="L190" i="14"/>
  <c r="P190" i="14" s="1"/>
  <c r="AA190" i="14" s="1"/>
  <c r="C191" i="14"/>
  <c r="AB190" i="14"/>
  <c r="AC190" i="14" s="1"/>
  <c r="AN210" i="12" l="1"/>
  <c r="D210" i="12" s="1"/>
  <c r="G210" i="12"/>
  <c r="S210" i="12"/>
  <c r="AD190" i="14"/>
  <c r="K191" i="14"/>
  <c r="F191" i="14"/>
  <c r="N191" i="14"/>
  <c r="J191" i="14" s="1"/>
  <c r="H191" i="14" s="1"/>
  <c r="AF191" i="14"/>
  <c r="E191" i="14" s="1"/>
  <c r="R191" i="14"/>
  <c r="G191" i="14"/>
  <c r="E210" i="12" l="1"/>
  <c r="AQ211" i="12" s="1"/>
  <c r="K210" i="12"/>
  <c r="AR210" i="12" s="1"/>
  <c r="I210" i="12" s="1"/>
  <c r="Z210" i="12" s="1"/>
  <c r="I191" i="14"/>
  <c r="Q191" i="14" s="1"/>
  <c r="M191" i="14" s="1"/>
  <c r="AI192" i="14"/>
  <c r="AJ210" i="12" l="1"/>
  <c r="AK210" i="12" s="1"/>
  <c r="AL210" i="12" s="1"/>
  <c r="O210" i="12"/>
  <c r="B211" i="12"/>
  <c r="Q210" i="12"/>
  <c r="L191" i="14"/>
  <c r="P191" i="14" s="1"/>
  <c r="AA191" i="14" s="1"/>
  <c r="C192" i="14"/>
  <c r="AB191" i="14"/>
  <c r="AC191" i="14" s="1"/>
  <c r="M211" i="12" l="1"/>
  <c r="AN211" i="12"/>
  <c r="E211" i="12" s="1"/>
  <c r="AQ212" i="12" s="1"/>
  <c r="S211" i="12"/>
  <c r="G211" i="12"/>
  <c r="X210" i="12"/>
  <c r="AI210" i="12" s="1"/>
  <c r="AD191" i="14"/>
  <c r="F192" i="14"/>
  <c r="N192" i="14"/>
  <c r="J192" i="14" s="1"/>
  <c r="H192" i="14" s="1"/>
  <c r="I192" i="14" s="1"/>
  <c r="AF192" i="14"/>
  <c r="E192" i="14" s="1"/>
  <c r="K192" i="14"/>
  <c r="R192" i="14"/>
  <c r="G192" i="14"/>
  <c r="K211" i="12" l="1"/>
  <c r="D211" i="12"/>
  <c r="AI193" i="14"/>
  <c r="Q192" i="14"/>
  <c r="M192" i="14" s="1"/>
  <c r="AR211" i="12" l="1"/>
  <c r="I211" i="12" s="1"/>
  <c r="Z211" i="12" s="1"/>
  <c r="V212" i="12" s="1"/>
  <c r="C193" i="14"/>
  <c r="L192" i="14"/>
  <c r="P192" i="14" s="1"/>
  <c r="AA192" i="14" s="1"/>
  <c r="AB192" i="14"/>
  <c r="AC192" i="14" s="1"/>
  <c r="AJ211" i="12" l="1"/>
  <c r="AK211" i="12" s="1"/>
  <c r="AL211" i="12" s="1"/>
  <c r="Q211" i="12"/>
  <c r="B212" i="12"/>
  <c r="M212" i="12" s="1"/>
  <c r="O211" i="12"/>
  <c r="AD192" i="14"/>
  <c r="AF193" i="14"/>
  <c r="E193" i="14" s="1"/>
  <c r="K193" i="14"/>
  <c r="F193" i="14"/>
  <c r="N193" i="14"/>
  <c r="J193" i="14" s="1"/>
  <c r="H193" i="14" s="1"/>
  <c r="R193" i="14"/>
  <c r="G193" i="14"/>
  <c r="X211" i="12" l="1"/>
  <c r="AI211" i="12" s="1"/>
  <c r="S212" i="12"/>
  <c r="G212" i="12"/>
  <c r="AN212" i="12"/>
  <c r="D212" i="12" s="1"/>
  <c r="I193" i="14"/>
  <c r="Q193" i="14" s="1"/>
  <c r="M193" i="14" s="1"/>
  <c r="AI194" i="14"/>
  <c r="E212" i="12" l="1"/>
  <c r="AQ213" i="12" s="1"/>
  <c r="K212" i="12"/>
  <c r="AR212" i="12" s="1"/>
  <c r="I212" i="12" s="1"/>
  <c r="L193" i="14"/>
  <c r="P193" i="14" s="1"/>
  <c r="AA193" i="14" s="1"/>
  <c r="C194" i="14"/>
  <c r="AB193" i="14"/>
  <c r="AC193" i="14" s="1"/>
  <c r="Z212" i="12" l="1"/>
  <c r="AF194" i="14"/>
  <c r="E194" i="14" s="1"/>
  <c r="K194" i="14"/>
  <c r="F194" i="14"/>
  <c r="N194" i="14"/>
  <c r="J194" i="14" s="1"/>
  <c r="H194" i="14" s="1"/>
  <c r="R194" i="14"/>
  <c r="G194" i="14"/>
  <c r="AD193" i="14"/>
  <c r="I194" i="14" l="1"/>
  <c r="Q194" i="14" s="1"/>
  <c r="M194" i="14" s="1"/>
  <c r="B213" i="12"/>
  <c r="AJ212" i="12"/>
  <c r="AK212" i="12" s="1"/>
  <c r="AL212" i="12" s="1"/>
  <c r="O212" i="12"/>
  <c r="Q212" i="12"/>
  <c r="AI195" i="14"/>
  <c r="X212" i="12" l="1"/>
  <c r="AI212" i="12" s="1"/>
  <c r="AN213" i="12"/>
  <c r="E213" i="12" s="1"/>
  <c r="AQ214" i="12" s="1"/>
  <c r="S213" i="12"/>
  <c r="G213" i="12"/>
  <c r="M213" i="12"/>
  <c r="L194" i="14"/>
  <c r="P194" i="14" s="1"/>
  <c r="AA194" i="14" s="1"/>
  <c r="C195" i="14"/>
  <c r="AB194" i="14"/>
  <c r="AC194" i="14" s="1"/>
  <c r="D213" i="12" l="1"/>
  <c r="K213" i="12"/>
  <c r="AD194" i="14"/>
  <c r="K195" i="14"/>
  <c r="F195" i="14"/>
  <c r="N195" i="14"/>
  <c r="J195" i="14" s="1"/>
  <c r="H195" i="14" s="1"/>
  <c r="AF195" i="14"/>
  <c r="E195" i="14" s="1"/>
  <c r="R195" i="14"/>
  <c r="G195" i="14"/>
  <c r="AR213" i="12" l="1"/>
  <c r="I213" i="12" s="1"/>
  <c r="Z213" i="12" s="1"/>
  <c r="V214" i="12" s="1"/>
  <c r="I195" i="14"/>
  <c r="Q195" i="14" s="1"/>
  <c r="M195" i="14" s="1"/>
  <c r="AI196" i="14"/>
  <c r="O213" i="12" l="1"/>
  <c r="B214" i="12"/>
  <c r="AJ213" i="12"/>
  <c r="AK213" i="12" s="1"/>
  <c r="AL213" i="12" s="1"/>
  <c r="Q213" i="12"/>
  <c r="L195" i="14"/>
  <c r="P195" i="14" s="1"/>
  <c r="AA195" i="14" s="1"/>
  <c r="C196" i="14"/>
  <c r="AB195" i="14"/>
  <c r="AC195" i="14" s="1"/>
  <c r="X213" i="12" l="1"/>
  <c r="AI213" i="12" s="1"/>
  <c r="S214" i="12"/>
  <c r="G214" i="12"/>
  <c r="M214" i="12"/>
  <c r="AN214" i="12"/>
  <c r="D214" i="12" s="1"/>
  <c r="AD195" i="14"/>
  <c r="F196" i="14"/>
  <c r="N196" i="14"/>
  <c r="J196" i="14" s="1"/>
  <c r="H196" i="14" s="1"/>
  <c r="AF196" i="14"/>
  <c r="E196" i="14" s="1"/>
  <c r="K196" i="14"/>
  <c r="G196" i="14"/>
  <c r="R196" i="14"/>
  <c r="K214" i="12" l="1"/>
  <c r="AR214" i="12" s="1"/>
  <c r="I214" i="12" s="1"/>
  <c r="E214" i="12"/>
  <c r="AQ215" i="12" s="1"/>
  <c r="I196" i="14"/>
  <c r="Q196" i="14" s="1"/>
  <c r="M196" i="14" s="1"/>
  <c r="AI197" i="14"/>
  <c r="Z214" i="12" l="1"/>
  <c r="C197" i="14"/>
  <c r="L196" i="14"/>
  <c r="P196" i="14" s="1"/>
  <c r="AA196" i="14" s="1"/>
  <c r="AB196" i="14"/>
  <c r="AC196" i="14" s="1"/>
  <c r="B215" i="12" l="1"/>
  <c r="O214" i="12"/>
  <c r="AJ214" i="12"/>
  <c r="AK214" i="12" s="1"/>
  <c r="AL214" i="12" s="1"/>
  <c r="Q214" i="12"/>
  <c r="AD196" i="14"/>
  <c r="AF197" i="14"/>
  <c r="E197" i="14" s="1"/>
  <c r="K197" i="14"/>
  <c r="F197" i="14"/>
  <c r="N197" i="14"/>
  <c r="J197" i="14" s="1"/>
  <c r="H197" i="14" s="1"/>
  <c r="R197" i="14"/>
  <c r="G197" i="14"/>
  <c r="I197" i="14" l="1"/>
  <c r="Q197" i="14" s="1"/>
  <c r="M197" i="14" s="1"/>
  <c r="X214" i="12"/>
  <c r="AI214" i="12" s="1"/>
  <c r="AN215" i="12"/>
  <c r="D215" i="12" s="1"/>
  <c r="M215" i="12"/>
  <c r="S215" i="12"/>
  <c r="G215" i="12"/>
  <c r="AI198" i="14"/>
  <c r="E215" i="12" l="1"/>
  <c r="AQ216" i="12" s="1"/>
  <c r="K215" i="12"/>
  <c r="AR215" i="12" s="1"/>
  <c r="I215" i="12" s="1"/>
  <c r="L197" i="14"/>
  <c r="P197" i="14" s="1"/>
  <c r="AA197" i="14" s="1"/>
  <c r="C198" i="14"/>
  <c r="AB197" i="14"/>
  <c r="AC197" i="14" s="1"/>
  <c r="Z215" i="12" l="1"/>
  <c r="AF198" i="14"/>
  <c r="E198" i="14" s="1"/>
  <c r="K198" i="14"/>
  <c r="F198" i="14"/>
  <c r="N198" i="14"/>
  <c r="J198" i="14" s="1"/>
  <c r="H198" i="14" s="1"/>
  <c r="G198" i="14"/>
  <c r="R198" i="14"/>
  <c r="AD197" i="14"/>
  <c r="AJ215" i="12" l="1"/>
  <c r="AK215" i="12" s="1"/>
  <c r="AL215" i="12" s="1"/>
  <c r="V216" i="12"/>
  <c r="Q215" i="12"/>
  <c r="B216" i="12"/>
  <c r="AN216" i="12" s="1"/>
  <c r="O215" i="12"/>
  <c r="I198" i="14"/>
  <c r="Q198" i="14" s="1"/>
  <c r="M198" i="14" s="1"/>
  <c r="AI199" i="14"/>
  <c r="X215" i="12" l="1"/>
  <c r="AI215" i="12" s="1"/>
  <c r="G216" i="12"/>
  <c r="E216" i="12"/>
  <c r="AQ217" i="12" s="1"/>
  <c r="S216" i="12"/>
  <c r="M216" i="12"/>
  <c r="D216" i="12"/>
  <c r="L198" i="14"/>
  <c r="P198" i="14" s="1"/>
  <c r="AA198" i="14" s="1"/>
  <c r="C199" i="14"/>
  <c r="AB198" i="14"/>
  <c r="AC198" i="14" s="1"/>
  <c r="K216" i="12" l="1"/>
  <c r="AR216" i="12"/>
  <c r="K199" i="14"/>
  <c r="F199" i="14"/>
  <c r="N199" i="14"/>
  <c r="J199" i="14" s="1"/>
  <c r="H199" i="14" s="1"/>
  <c r="AF199" i="14"/>
  <c r="E199" i="14" s="1"/>
  <c r="R199" i="14"/>
  <c r="G199" i="14"/>
  <c r="AD198" i="14"/>
  <c r="I216" i="12" l="1"/>
  <c r="Z216" i="12" s="1"/>
  <c r="AJ216" i="12" s="1"/>
  <c r="AK216" i="12" s="1"/>
  <c r="AL216" i="12" s="1"/>
  <c r="I199" i="14"/>
  <c r="Q199" i="14" s="1"/>
  <c r="M199" i="14" s="1"/>
  <c r="AI200" i="14"/>
  <c r="Q216" i="12" l="1"/>
  <c r="O216" i="12"/>
  <c r="B217" i="12"/>
  <c r="S217" i="12" s="1"/>
  <c r="L199" i="14"/>
  <c r="P199" i="14" s="1"/>
  <c r="AA199" i="14" s="1"/>
  <c r="C200" i="14"/>
  <c r="AB199" i="14"/>
  <c r="AC199" i="14" s="1"/>
  <c r="X216" i="12" l="1"/>
  <c r="AI216" i="12" s="1"/>
  <c r="M217" i="12"/>
  <c r="AN217" i="12"/>
  <c r="D217" i="12" s="1"/>
  <c r="G217" i="12"/>
  <c r="AD199" i="14"/>
  <c r="F200" i="14"/>
  <c r="N200" i="14"/>
  <c r="J200" i="14" s="1"/>
  <c r="H200" i="14" s="1"/>
  <c r="AF200" i="14"/>
  <c r="E200" i="14" s="1"/>
  <c r="R200" i="14"/>
  <c r="K200" i="14"/>
  <c r="G200" i="14"/>
  <c r="E217" i="12" l="1"/>
  <c r="AQ218" i="12" s="1"/>
  <c r="K217" i="12"/>
  <c r="AR217" i="12" s="1"/>
  <c r="I217" i="12" s="1"/>
  <c r="I200" i="14"/>
  <c r="Q200" i="14" s="1"/>
  <c r="M200" i="14" s="1"/>
  <c r="AI201" i="14"/>
  <c r="Z217" i="12" l="1"/>
  <c r="C201" i="14"/>
  <c r="L200" i="14"/>
  <c r="P200" i="14" s="1"/>
  <c r="AA200" i="14" s="1"/>
  <c r="AB200" i="14"/>
  <c r="AC200" i="14" s="1"/>
  <c r="O217" i="12" l="1"/>
  <c r="V218" i="12"/>
  <c r="Q217" i="12"/>
  <c r="X217" i="12" s="1"/>
  <c r="AI217" i="12" s="1"/>
  <c r="AJ217" i="12"/>
  <c r="AK217" i="12" s="1"/>
  <c r="AL217" i="12" s="1"/>
  <c r="B218" i="12"/>
  <c r="AF201" i="14"/>
  <c r="E201" i="14" s="1"/>
  <c r="K201" i="14"/>
  <c r="F201" i="14"/>
  <c r="R201" i="14"/>
  <c r="N201" i="14"/>
  <c r="J201" i="14" s="1"/>
  <c r="H201" i="14" s="1"/>
  <c r="G201" i="14"/>
  <c r="AD200" i="14"/>
  <c r="G218" i="12" l="1"/>
  <c r="M218" i="12"/>
  <c r="AN218" i="12"/>
  <c r="D218" i="12" s="1"/>
  <c r="S218" i="12"/>
  <c r="I201" i="14"/>
  <c r="Q201" i="14" s="1"/>
  <c r="M201" i="14" s="1"/>
  <c r="AI202" i="14"/>
  <c r="E218" i="12" l="1"/>
  <c r="AQ219" i="12" s="1"/>
  <c r="K218" i="12"/>
  <c r="AR218" i="12"/>
  <c r="L201" i="14"/>
  <c r="P201" i="14" s="1"/>
  <c r="AA201" i="14" s="1"/>
  <c r="C202" i="14"/>
  <c r="AB201" i="14"/>
  <c r="AC201" i="14" s="1"/>
  <c r="I218" i="12" l="1"/>
  <c r="Z218" i="12" s="1"/>
  <c r="Q218" i="12" s="1"/>
  <c r="AF202" i="14"/>
  <c r="E202" i="14" s="1"/>
  <c r="K202" i="14"/>
  <c r="F202" i="14"/>
  <c r="N202" i="14"/>
  <c r="J202" i="14" s="1"/>
  <c r="H202" i="14" s="1"/>
  <c r="R202" i="14"/>
  <c r="G202" i="14"/>
  <c r="AD201" i="14"/>
  <c r="AJ218" i="12" l="1"/>
  <c r="AK218" i="12" s="1"/>
  <c r="AL218" i="12" s="1"/>
  <c r="O218" i="12"/>
  <c r="X218" i="12" s="1"/>
  <c r="AI218" i="12" s="1"/>
  <c r="B219" i="12"/>
  <c r="AN219" i="12" s="1"/>
  <c r="I202" i="14"/>
  <c r="Q202" i="14" s="1"/>
  <c r="M202" i="14" s="1"/>
  <c r="AI203" i="14"/>
  <c r="M219" i="12" l="1"/>
  <c r="G219" i="12"/>
  <c r="S219" i="12"/>
  <c r="D219" i="12"/>
  <c r="E219" i="12"/>
  <c r="AQ220" i="12" s="1"/>
  <c r="L202" i="14"/>
  <c r="P202" i="14" s="1"/>
  <c r="AA202" i="14" s="1"/>
  <c r="C203" i="14"/>
  <c r="AB202" i="14"/>
  <c r="AC202" i="14" s="1"/>
  <c r="K219" i="12" l="1"/>
  <c r="AR219" i="12" s="1"/>
  <c r="I219" i="12" s="1"/>
  <c r="Z219" i="12" s="1"/>
  <c r="AD202" i="14"/>
  <c r="K203" i="14"/>
  <c r="F203" i="14"/>
  <c r="N203" i="14"/>
  <c r="J203" i="14" s="1"/>
  <c r="H203" i="14" s="1"/>
  <c r="AF203" i="14"/>
  <c r="E203" i="14" s="1"/>
  <c r="R203" i="14"/>
  <c r="G203" i="14"/>
  <c r="Q219" i="12" l="1"/>
  <c r="V220" i="12"/>
  <c r="B220" i="12"/>
  <c r="S220" i="12" s="1"/>
  <c r="AJ219" i="12"/>
  <c r="AK219" i="12" s="1"/>
  <c r="AL219" i="12" s="1"/>
  <c r="O219" i="12"/>
  <c r="X219" i="12" s="1"/>
  <c r="AI219" i="12" s="1"/>
  <c r="I203" i="14"/>
  <c r="Q203" i="14" s="1"/>
  <c r="M203" i="14" s="1"/>
  <c r="AI204" i="14"/>
  <c r="G220" i="12" l="1"/>
  <c r="M220" i="12"/>
  <c r="AN220" i="12"/>
  <c r="D220" i="12" s="1"/>
  <c r="L203" i="14"/>
  <c r="P203" i="14" s="1"/>
  <c r="AA203" i="14" s="1"/>
  <c r="C204" i="14"/>
  <c r="AB203" i="14"/>
  <c r="AC203" i="14" s="1"/>
  <c r="E220" i="12" l="1"/>
  <c r="AQ221" i="12" s="1"/>
  <c r="K220" i="12"/>
  <c r="AR220" i="12" s="1"/>
  <c r="I220" i="12" s="1"/>
  <c r="AD203" i="14"/>
  <c r="F204" i="14"/>
  <c r="N204" i="14"/>
  <c r="J204" i="14" s="1"/>
  <c r="H204" i="14" s="1"/>
  <c r="AF204" i="14"/>
  <c r="E204" i="14" s="1"/>
  <c r="K204" i="14"/>
  <c r="R204" i="14"/>
  <c r="G204" i="14"/>
  <c r="I204" i="14" l="1"/>
  <c r="Q204" i="14" s="1"/>
  <c r="M204" i="14" s="1"/>
  <c r="Z220" i="12"/>
  <c r="AI205" i="14"/>
  <c r="AJ220" i="12" l="1"/>
  <c r="AK220" i="12" s="1"/>
  <c r="AL220" i="12" s="1"/>
  <c r="O220" i="12"/>
  <c r="B221" i="12"/>
  <c r="Q220" i="12"/>
  <c r="C205" i="14"/>
  <c r="L204" i="14"/>
  <c r="P204" i="14" s="1"/>
  <c r="AA204" i="14" s="1"/>
  <c r="AB204" i="14"/>
  <c r="AC204" i="14" s="1"/>
  <c r="M221" i="12" l="1"/>
  <c r="G221" i="12"/>
  <c r="AN221" i="12"/>
  <c r="D221" i="12" s="1"/>
  <c r="S221" i="12"/>
  <c r="X220" i="12"/>
  <c r="AF205" i="14"/>
  <c r="E205" i="14" s="1"/>
  <c r="K205" i="14"/>
  <c r="F205" i="14"/>
  <c r="N205" i="14"/>
  <c r="J205" i="14" s="1"/>
  <c r="H205" i="14" s="1"/>
  <c r="I205" i="14" s="1"/>
  <c r="R205" i="14"/>
  <c r="G205" i="14"/>
  <c r="AD204" i="14"/>
  <c r="K221" i="12" l="1"/>
  <c r="AR221" i="12"/>
  <c r="AI220" i="12"/>
  <c r="E221" i="12"/>
  <c r="AQ222" i="12" s="1"/>
  <c r="AI206" i="14"/>
  <c r="Q205" i="14"/>
  <c r="M205" i="14" s="1"/>
  <c r="I221" i="12" l="1"/>
  <c r="Z221" i="12" s="1"/>
  <c r="L205" i="14"/>
  <c r="P205" i="14" s="1"/>
  <c r="AA205" i="14" s="1"/>
  <c r="C206" i="14"/>
  <c r="AB205" i="14"/>
  <c r="AC205" i="14" s="1"/>
  <c r="B222" i="12" l="1"/>
  <c r="V222" i="12"/>
  <c r="Q221" i="12"/>
  <c r="O221" i="12"/>
  <c r="AJ221" i="12"/>
  <c r="AK221" i="12" s="1"/>
  <c r="AL221" i="12" s="1"/>
  <c r="AN222" i="12"/>
  <c r="E222" i="12" s="1"/>
  <c r="AQ223" i="12" s="1"/>
  <c r="S222" i="12"/>
  <c r="M222" i="12"/>
  <c r="G222" i="12"/>
  <c r="AD205" i="14"/>
  <c r="AF206" i="14"/>
  <c r="E206" i="14" s="1"/>
  <c r="K206" i="14"/>
  <c r="F206" i="14"/>
  <c r="N206" i="14"/>
  <c r="J206" i="14" s="1"/>
  <c r="G206" i="14"/>
  <c r="R206" i="14"/>
  <c r="D222" i="12" l="1"/>
  <c r="X221" i="12"/>
  <c r="AI221" i="12" s="1"/>
  <c r="H206" i="14"/>
  <c r="I206" i="14" s="1"/>
  <c r="Q206" i="14" s="1"/>
  <c r="M206" i="14" s="1"/>
  <c r="K222" i="12"/>
  <c r="AI207" i="14"/>
  <c r="AR222" i="12" l="1"/>
  <c r="I222" i="12" s="1"/>
  <c r="Z222" i="12" s="1"/>
  <c r="Q222" i="12" s="1"/>
  <c r="L206" i="14"/>
  <c r="P206" i="14" s="1"/>
  <c r="AA206" i="14" s="1"/>
  <c r="C207" i="14"/>
  <c r="AB206" i="14"/>
  <c r="AC206" i="14" s="1"/>
  <c r="AJ222" i="12" l="1"/>
  <c r="AK222" i="12" s="1"/>
  <c r="AL222" i="12" s="1"/>
  <c r="O222" i="12"/>
  <c r="X222" i="12" s="1"/>
  <c r="AI222" i="12" s="1"/>
  <c r="B223" i="12"/>
  <c r="AD206" i="14"/>
  <c r="K207" i="14"/>
  <c r="F207" i="14"/>
  <c r="N207" i="14"/>
  <c r="J207" i="14" s="1"/>
  <c r="H207" i="14" s="1"/>
  <c r="AF207" i="14"/>
  <c r="E207" i="14" s="1"/>
  <c r="R207" i="14"/>
  <c r="G207" i="14"/>
  <c r="I207" i="14" l="1"/>
  <c r="Q207" i="14" s="1"/>
  <c r="M207" i="14" s="1"/>
  <c r="AN223" i="12"/>
  <c r="D223" i="12" s="1"/>
  <c r="S223" i="12"/>
  <c r="G223" i="12"/>
  <c r="M223" i="12"/>
  <c r="AI208" i="14"/>
  <c r="E223" i="12" l="1"/>
  <c r="AQ224" i="12" s="1"/>
  <c r="K223" i="12"/>
  <c r="AR223" i="12"/>
  <c r="L207" i="14"/>
  <c r="P207" i="14" s="1"/>
  <c r="AA207" i="14" s="1"/>
  <c r="C208" i="14"/>
  <c r="AB207" i="14"/>
  <c r="AC207" i="14" s="1"/>
  <c r="I223" i="12" l="1"/>
  <c r="Z223" i="12" s="1"/>
  <c r="AD207" i="14"/>
  <c r="F208" i="14"/>
  <c r="N208" i="14"/>
  <c r="J208" i="14" s="1"/>
  <c r="H208" i="14" s="1"/>
  <c r="AF208" i="14"/>
  <c r="E208" i="14" s="1"/>
  <c r="K208" i="14"/>
  <c r="R208" i="14"/>
  <c r="G208" i="14"/>
  <c r="B224" i="12" l="1"/>
  <c r="AN224" i="12" s="1"/>
  <c r="D224" i="12" s="1"/>
  <c r="V224" i="12"/>
  <c r="AJ223" i="12"/>
  <c r="AK223" i="12" s="1"/>
  <c r="AL223" i="12" s="1"/>
  <c r="O223" i="12"/>
  <c r="Q223" i="12"/>
  <c r="I208" i="14"/>
  <c r="Q208" i="14" s="1"/>
  <c r="M208" i="14" s="1"/>
  <c r="AI209" i="14"/>
  <c r="M224" i="12" l="1"/>
  <c r="E224" i="12"/>
  <c r="AQ225" i="12" s="1"/>
  <c r="S224" i="12"/>
  <c r="G224" i="12"/>
  <c r="X223" i="12"/>
  <c r="AI223" i="12" s="1"/>
  <c r="K224" i="12"/>
  <c r="AR224" i="12"/>
  <c r="C209" i="14"/>
  <c r="L208" i="14"/>
  <c r="P208" i="14" s="1"/>
  <c r="AA208" i="14" s="1"/>
  <c r="AB208" i="14"/>
  <c r="AC208" i="14" s="1"/>
  <c r="I224" i="12" l="1"/>
  <c r="Z224" i="12" s="1"/>
  <c r="O224" i="12" s="1"/>
  <c r="AD208" i="14"/>
  <c r="AF209" i="14"/>
  <c r="E209" i="14" s="1"/>
  <c r="K209" i="14"/>
  <c r="F209" i="14"/>
  <c r="N209" i="14"/>
  <c r="J209" i="14" s="1"/>
  <c r="H209" i="14" s="1"/>
  <c r="R209" i="14"/>
  <c r="G209" i="14"/>
  <c r="Q224" i="12" l="1"/>
  <c r="X224" i="12" s="1"/>
  <c r="AI224" i="12" s="1"/>
  <c r="AJ224" i="12"/>
  <c r="AK224" i="12" s="1"/>
  <c r="AL224" i="12" s="1"/>
  <c r="B225" i="12"/>
  <c r="M225" i="12" s="1"/>
  <c r="I209" i="14"/>
  <c r="Q209" i="14" s="1"/>
  <c r="M209" i="14" s="1"/>
  <c r="AI210" i="14"/>
  <c r="S225" i="12" l="1"/>
  <c r="G225" i="12"/>
  <c r="AN225" i="12"/>
  <c r="D225" i="12" s="1"/>
  <c r="L209" i="14"/>
  <c r="P209" i="14" s="1"/>
  <c r="AA209" i="14" s="1"/>
  <c r="C210" i="14"/>
  <c r="AB209" i="14"/>
  <c r="AC209" i="14" s="1"/>
  <c r="K225" i="12" l="1"/>
  <c r="E225" i="12"/>
  <c r="AQ226" i="12" s="1"/>
  <c r="AR225" i="12"/>
  <c r="AD209" i="14"/>
  <c r="AF210" i="14"/>
  <c r="E210" i="14" s="1"/>
  <c r="K210" i="14"/>
  <c r="F210" i="14"/>
  <c r="N210" i="14"/>
  <c r="J210" i="14" s="1"/>
  <c r="H210" i="14" s="1"/>
  <c r="R210" i="14"/>
  <c r="G210" i="14"/>
  <c r="I225" i="12" l="1"/>
  <c r="Z225" i="12" s="1"/>
  <c r="I210" i="14"/>
  <c r="Q210" i="14" s="1"/>
  <c r="M210" i="14" s="1"/>
  <c r="AI211" i="14"/>
  <c r="B226" i="12" l="1"/>
  <c r="M226" i="12" s="1"/>
  <c r="V226" i="12"/>
  <c r="AJ225" i="12"/>
  <c r="AK225" i="12" s="1"/>
  <c r="AL225" i="12" s="1"/>
  <c r="O225" i="12"/>
  <c r="Q225" i="12"/>
  <c r="L210" i="14"/>
  <c r="P210" i="14" s="1"/>
  <c r="AA210" i="14" s="1"/>
  <c r="C211" i="14"/>
  <c r="AB210" i="14"/>
  <c r="AC210" i="14" s="1"/>
  <c r="S226" i="12" l="1"/>
  <c r="G226" i="12"/>
  <c r="AN226" i="12"/>
  <c r="D226" i="12" s="1"/>
  <c r="X225" i="12"/>
  <c r="AI225" i="12" s="1"/>
  <c r="E226" i="12"/>
  <c r="AQ227" i="12" s="1"/>
  <c r="K226" i="12"/>
  <c r="AR226" i="12"/>
  <c r="AD210" i="14"/>
  <c r="K211" i="14"/>
  <c r="F211" i="14"/>
  <c r="N211" i="14"/>
  <c r="J211" i="14" s="1"/>
  <c r="H211" i="14" s="1"/>
  <c r="AF211" i="14"/>
  <c r="E211" i="14" s="1"/>
  <c r="R211" i="14"/>
  <c r="G211" i="14"/>
  <c r="I226" i="12" l="1"/>
  <c r="Z226" i="12" s="1"/>
  <c r="AJ226" i="12" s="1"/>
  <c r="AK226" i="12" s="1"/>
  <c r="AL226" i="12" s="1"/>
  <c r="I211" i="14"/>
  <c r="Q211" i="14" s="1"/>
  <c r="M211" i="14" s="1"/>
  <c r="AI212" i="14"/>
  <c r="Q226" i="12" l="1"/>
  <c r="O226" i="12"/>
  <c r="B227" i="12"/>
  <c r="L211" i="14"/>
  <c r="P211" i="14" s="1"/>
  <c r="AA211" i="14" s="1"/>
  <c r="C212" i="14"/>
  <c r="AB211" i="14"/>
  <c r="AC211" i="14" s="1"/>
  <c r="X226" i="12" l="1"/>
  <c r="AI226" i="12" s="1"/>
  <c r="S227" i="12"/>
  <c r="M227" i="12"/>
  <c r="G227" i="12"/>
  <c r="AN227" i="12"/>
  <c r="E227" i="12" s="1"/>
  <c r="AQ228" i="12" s="1"/>
  <c r="AD211" i="14"/>
  <c r="F212" i="14"/>
  <c r="N212" i="14"/>
  <c r="J212" i="14" s="1"/>
  <c r="H212" i="14" s="1"/>
  <c r="AF212" i="14"/>
  <c r="E212" i="14" s="1"/>
  <c r="K212" i="14"/>
  <c r="R212" i="14"/>
  <c r="G212" i="14"/>
  <c r="K227" i="12" l="1"/>
  <c r="D227" i="12"/>
  <c r="AR227" i="12"/>
  <c r="I212" i="14"/>
  <c r="Q212" i="14" s="1"/>
  <c r="M212" i="14" s="1"/>
  <c r="AI213" i="14"/>
  <c r="I227" i="12" l="1"/>
  <c r="Z227" i="12" s="1"/>
  <c r="C213" i="14"/>
  <c r="L212" i="14"/>
  <c r="P212" i="14" s="1"/>
  <c r="AA212" i="14" s="1"/>
  <c r="AB212" i="14"/>
  <c r="AC212" i="14" s="1"/>
  <c r="Q227" i="12" l="1"/>
  <c r="V228" i="12"/>
  <c r="AJ227" i="12"/>
  <c r="AK227" i="12" s="1"/>
  <c r="AL227" i="12" s="1"/>
  <c r="B228" i="12"/>
  <c r="G228" i="12" s="1"/>
  <c r="O227" i="12"/>
  <c r="X227" i="12" s="1"/>
  <c r="AI227" i="12" s="1"/>
  <c r="AD212" i="14"/>
  <c r="AF213" i="14"/>
  <c r="E213" i="14" s="1"/>
  <c r="K213" i="14"/>
  <c r="F213" i="14"/>
  <c r="N213" i="14"/>
  <c r="J213" i="14" s="1"/>
  <c r="H213" i="14" s="1"/>
  <c r="R213" i="14"/>
  <c r="G213" i="14"/>
  <c r="S228" i="12" l="1"/>
  <c r="M228" i="12"/>
  <c r="AN228" i="12"/>
  <c r="D228" i="12" s="1"/>
  <c r="AR228" i="12"/>
  <c r="I213" i="14"/>
  <c r="Q213" i="14" s="1"/>
  <c r="M213" i="14" s="1"/>
  <c r="AI214" i="14"/>
  <c r="E228" i="12" l="1"/>
  <c r="AQ229" i="12" s="1"/>
  <c r="K228" i="12"/>
  <c r="I228" i="12" s="1"/>
  <c r="Z228" i="12" s="1"/>
  <c r="L213" i="14"/>
  <c r="P213" i="14" s="1"/>
  <c r="AA213" i="14" s="1"/>
  <c r="C214" i="14"/>
  <c r="AB213" i="14"/>
  <c r="AC213" i="14" s="1"/>
  <c r="AJ228" i="12" l="1"/>
  <c r="AK228" i="12" s="1"/>
  <c r="AL228" i="12" s="1"/>
  <c r="Q228" i="12"/>
  <c r="B229" i="12"/>
  <c r="M229" i="12" s="1"/>
  <c r="O228" i="12"/>
  <c r="AD213" i="14"/>
  <c r="AF214" i="14"/>
  <c r="E214" i="14" s="1"/>
  <c r="K214" i="14"/>
  <c r="F214" i="14"/>
  <c r="N214" i="14"/>
  <c r="J214" i="14" s="1"/>
  <c r="H214" i="14" s="1"/>
  <c r="G214" i="14"/>
  <c r="R214" i="14"/>
  <c r="X228" i="12" l="1"/>
  <c r="AI228" i="12" s="1"/>
  <c r="G229" i="12"/>
  <c r="S229" i="12"/>
  <c r="AN229" i="12"/>
  <c r="D229" i="12" s="1"/>
  <c r="I214" i="14"/>
  <c r="Q214" i="14" s="1"/>
  <c r="M214" i="14" s="1"/>
  <c r="AI215" i="14"/>
  <c r="E229" i="12" l="1"/>
  <c r="AQ230" i="12" s="1"/>
  <c r="K229" i="12"/>
  <c r="AR229" i="12" s="1"/>
  <c r="I229" i="12" s="1"/>
  <c r="L214" i="14"/>
  <c r="P214" i="14" s="1"/>
  <c r="AA214" i="14" s="1"/>
  <c r="C215" i="14"/>
  <c r="AB214" i="14"/>
  <c r="AC214" i="14" s="1"/>
  <c r="Z229" i="12" l="1"/>
  <c r="AD214" i="14"/>
  <c r="K215" i="14"/>
  <c r="F215" i="14"/>
  <c r="N215" i="14"/>
  <c r="J215" i="14" s="1"/>
  <c r="H215" i="14" s="1"/>
  <c r="R215" i="14"/>
  <c r="AF215" i="14"/>
  <c r="E215" i="14" s="1"/>
  <c r="G215" i="14"/>
  <c r="B230" i="12" l="1"/>
  <c r="G230" i="12" s="1"/>
  <c r="V230" i="12"/>
  <c r="Q229" i="12"/>
  <c r="AJ229" i="12"/>
  <c r="AK229" i="12" s="1"/>
  <c r="AL229" i="12" s="1"/>
  <c r="O229" i="12"/>
  <c r="I215" i="14"/>
  <c r="Q215" i="14" s="1"/>
  <c r="M215" i="14" s="1"/>
  <c r="AI216" i="14"/>
  <c r="S230" i="12" l="1"/>
  <c r="M230" i="12"/>
  <c r="AN230" i="12"/>
  <c r="E230" i="12" s="1"/>
  <c r="AQ231" i="12" s="1"/>
  <c r="X229" i="12"/>
  <c r="AI229" i="12" s="1"/>
  <c r="K230" i="12"/>
  <c r="AR230" i="12" s="1"/>
  <c r="I230" i="12" s="1"/>
  <c r="D230" i="12"/>
  <c r="L215" i="14"/>
  <c r="P215" i="14" s="1"/>
  <c r="AA215" i="14" s="1"/>
  <c r="C216" i="14"/>
  <c r="AB215" i="14"/>
  <c r="AC215" i="14" s="1"/>
  <c r="Z230" i="12" l="1"/>
  <c r="AJ230" i="12" s="1"/>
  <c r="AK230" i="12" s="1"/>
  <c r="AL230" i="12" s="1"/>
  <c r="AD215" i="14"/>
  <c r="F216" i="14"/>
  <c r="N216" i="14"/>
  <c r="J216" i="14" s="1"/>
  <c r="H216" i="14" s="1"/>
  <c r="AF216" i="14"/>
  <c r="E216" i="14" s="1"/>
  <c r="K216" i="14"/>
  <c r="R216" i="14"/>
  <c r="G216" i="14"/>
  <c r="Q230" i="12" l="1"/>
  <c r="I216" i="14"/>
  <c r="Q216" i="14" s="1"/>
  <c r="M216" i="14" s="1"/>
  <c r="O230" i="12"/>
  <c r="B231" i="12"/>
  <c r="G231" i="12" s="1"/>
  <c r="AI217" i="14"/>
  <c r="X230" i="12" l="1"/>
  <c r="AI230" i="12" s="1"/>
  <c r="AN231" i="12"/>
  <c r="E231" i="12" s="1"/>
  <c r="AQ232" i="12" s="1"/>
  <c r="S231" i="12"/>
  <c r="M231" i="12"/>
  <c r="C217" i="14"/>
  <c r="L216" i="14"/>
  <c r="P216" i="14" s="1"/>
  <c r="AA216" i="14" s="1"/>
  <c r="AB216" i="14"/>
  <c r="AC216" i="14" s="1"/>
  <c r="D231" i="12" l="1"/>
  <c r="K231" i="12"/>
  <c r="AR231" i="12"/>
  <c r="AD216" i="14"/>
  <c r="AF217" i="14"/>
  <c r="E217" i="14" s="1"/>
  <c r="K217" i="14"/>
  <c r="F217" i="14"/>
  <c r="N217" i="14"/>
  <c r="J217" i="14" s="1"/>
  <c r="H217" i="14" s="1"/>
  <c r="R217" i="14"/>
  <c r="G217" i="14"/>
  <c r="I231" i="12" l="1"/>
  <c r="Z231" i="12" s="1"/>
  <c r="I217" i="14"/>
  <c r="Q217" i="14" s="1"/>
  <c r="M217" i="14" s="1"/>
  <c r="AI218" i="14"/>
  <c r="AJ231" i="12" l="1"/>
  <c r="AK231" i="12" s="1"/>
  <c r="AL231" i="12" s="1"/>
  <c r="V232" i="12"/>
  <c r="Q231" i="12"/>
  <c r="B232" i="12"/>
  <c r="AN232" i="12" s="1"/>
  <c r="D232" i="12" s="1"/>
  <c r="O231" i="12"/>
  <c r="L217" i="14"/>
  <c r="P217" i="14" s="1"/>
  <c r="AA217" i="14" s="1"/>
  <c r="C218" i="14"/>
  <c r="AB217" i="14"/>
  <c r="AC217" i="14" s="1"/>
  <c r="X231" i="12" l="1"/>
  <c r="AI231" i="12" s="1"/>
  <c r="M232" i="12"/>
  <c r="S232" i="12"/>
  <c r="G232" i="12"/>
  <c r="E232" i="12"/>
  <c r="AQ233" i="12" s="1"/>
  <c r="AD217" i="14"/>
  <c r="AF218" i="14"/>
  <c r="E218" i="14" s="1"/>
  <c r="K218" i="14"/>
  <c r="F218" i="14"/>
  <c r="N218" i="14"/>
  <c r="J218" i="14" s="1"/>
  <c r="H218" i="14" s="1"/>
  <c r="R218" i="14"/>
  <c r="G218" i="14"/>
  <c r="K232" i="12" l="1"/>
  <c r="AR232" i="12" s="1"/>
  <c r="I232" i="12" s="1"/>
  <c r="Z232" i="12" s="1"/>
  <c r="B233" i="12" s="1"/>
  <c r="M233" i="12" s="1"/>
  <c r="I218" i="14"/>
  <c r="Q218" i="14" s="1"/>
  <c r="M218" i="14" s="1"/>
  <c r="AI219" i="14"/>
  <c r="S233" i="12" l="1"/>
  <c r="AN233" i="12"/>
  <c r="E233" i="12" s="1"/>
  <c r="AQ234" i="12" s="1"/>
  <c r="G233" i="12"/>
  <c r="O232" i="12"/>
  <c r="AJ232" i="12"/>
  <c r="AK232" i="12" s="1"/>
  <c r="AL232" i="12" s="1"/>
  <c r="Q232" i="12"/>
  <c r="L218" i="14"/>
  <c r="P218" i="14" s="1"/>
  <c r="AA218" i="14" s="1"/>
  <c r="C219" i="14"/>
  <c r="AB218" i="14"/>
  <c r="AC218" i="14" s="1"/>
  <c r="X232" i="12" l="1"/>
  <c r="AI232" i="12" s="1"/>
  <c r="D233" i="12"/>
  <c r="K233" i="12"/>
  <c r="AR233" i="12" s="1"/>
  <c r="I233" i="12" s="1"/>
  <c r="Z233" i="12" s="1"/>
  <c r="V234" i="12" s="1"/>
  <c r="AD218" i="14"/>
  <c r="K219" i="14"/>
  <c r="F219" i="14"/>
  <c r="N219" i="14"/>
  <c r="J219" i="14" s="1"/>
  <c r="H219" i="14" s="1"/>
  <c r="AF219" i="14"/>
  <c r="E219" i="14" s="1"/>
  <c r="R219" i="14"/>
  <c r="G219" i="14"/>
  <c r="Q233" i="12" l="1"/>
  <c r="B234" i="12"/>
  <c r="G234" i="12" s="1"/>
  <c r="O233" i="12"/>
  <c r="AJ233" i="12"/>
  <c r="AK233" i="12" s="1"/>
  <c r="AL233" i="12" s="1"/>
  <c r="I219" i="14"/>
  <c r="Q219" i="14" s="1"/>
  <c r="M219" i="14" s="1"/>
  <c r="AI220" i="14"/>
  <c r="X233" i="12" l="1"/>
  <c r="AI233" i="12" s="1"/>
  <c r="M234" i="12"/>
  <c r="S234" i="12"/>
  <c r="AN234" i="12"/>
  <c r="E234" i="12" s="1"/>
  <c r="AQ235" i="12" s="1"/>
  <c r="L219" i="14"/>
  <c r="P219" i="14" s="1"/>
  <c r="AA219" i="14" s="1"/>
  <c r="C220" i="14"/>
  <c r="AB219" i="14"/>
  <c r="AC219" i="14" s="1"/>
  <c r="K234" i="12" l="1"/>
  <c r="D234" i="12"/>
  <c r="AR234" i="12"/>
  <c r="AD219" i="14"/>
  <c r="F220" i="14"/>
  <c r="N220" i="14"/>
  <c r="J220" i="14" s="1"/>
  <c r="H220" i="14" s="1"/>
  <c r="AF220" i="14"/>
  <c r="E220" i="14" s="1"/>
  <c r="K220" i="14"/>
  <c r="R220" i="14"/>
  <c r="G220" i="14"/>
  <c r="I234" i="12" l="1"/>
  <c r="Z234" i="12" s="1"/>
  <c r="B235" i="12" s="1"/>
  <c r="I220" i="14"/>
  <c r="Q220" i="14" s="1"/>
  <c r="M220" i="14" s="1"/>
  <c r="AI221" i="14"/>
  <c r="Q234" i="12" l="1"/>
  <c r="AJ234" i="12"/>
  <c r="AK234" i="12" s="1"/>
  <c r="AL234" i="12" s="1"/>
  <c r="O234" i="12"/>
  <c r="AN235" i="12"/>
  <c r="D235" i="12" s="1"/>
  <c r="M235" i="12"/>
  <c r="G235" i="12"/>
  <c r="S235" i="12"/>
  <c r="C221" i="14"/>
  <c r="L220" i="14"/>
  <c r="P220" i="14" s="1"/>
  <c r="AA220" i="14" s="1"/>
  <c r="AB220" i="14"/>
  <c r="AC220" i="14" s="1"/>
  <c r="X234" i="12" l="1"/>
  <c r="AI234" i="12" s="1"/>
  <c r="K235" i="12"/>
  <c r="E235" i="12"/>
  <c r="AQ236" i="12" s="1"/>
  <c r="AD220" i="14"/>
  <c r="AF221" i="14"/>
  <c r="E221" i="14" s="1"/>
  <c r="K221" i="14"/>
  <c r="F221" i="14"/>
  <c r="N221" i="14"/>
  <c r="J221" i="14" s="1"/>
  <c r="H221" i="14" s="1"/>
  <c r="R221" i="14"/>
  <c r="G221" i="14"/>
  <c r="AR235" i="12" l="1"/>
  <c r="I235" i="12" s="1"/>
  <c r="Z235" i="12" s="1"/>
  <c r="I221" i="14"/>
  <c r="Q221" i="14" s="1"/>
  <c r="M221" i="14" s="1"/>
  <c r="AI222" i="14"/>
  <c r="Q235" i="12" l="1"/>
  <c r="V236" i="12"/>
  <c r="O235" i="12"/>
  <c r="X235" i="12" s="1"/>
  <c r="AI235" i="12" s="1"/>
  <c r="AJ235" i="12"/>
  <c r="AK235" i="12" s="1"/>
  <c r="AL235" i="12" s="1"/>
  <c r="B236" i="12"/>
  <c r="S236" i="12" s="1"/>
  <c r="L221" i="14"/>
  <c r="P221" i="14" s="1"/>
  <c r="AA221" i="14" s="1"/>
  <c r="C222" i="14"/>
  <c r="AB221" i="14"/>
  <c r="AC221" i="14" s="1"/>
  <c r="AN236" i="12" l="1"/>
  <c r="M236" i="12"/>
  <c r="G236" i="12"/>
  <c r="AD221" i="14"/>
  <c r="AF222" i="14"/>
  <c r="E222" i="14" s="1"/>
  <c r="K222" i="14"/>
  <c r="F222" i="14"/>
  <c r="N222" i="14"/>
  <c r="J222" i="14" s="1"/>
  <c r="H222" i="14" s="1"/>
  <c r="R222" i="14"/>
  <c r="G222" i="14"/>
  <c r="K236" i="12" l="1"/>
  <c r="E236" i="12"/>
  <c r="AQ237" i="12" s="1"/>
  <c r="D236" i="12"/>
  <c r="AR236" i="12"/>
  <c r="I222" i="14"/>
  <c r="Q222" i="14" s="1"/>
  <c r="M222" i="14" s="1"/>
  <c r="AI223" i="14"/>
  <c r="I236" i="12" l="1"/>
  <c r="Z236" i="12" s="1"/>
  <c r="L222" i="14"/>
  <c r="P222" i="14" s="1"/>
  <c r="AA222" i="14" s="1"/>
  <c r="C223" i="14"/>
  <c r="AB222" i="14"/>
  <c r="AC222" i="14" s="1"/>
  <c r="Q236" i="12" l="1"/>
  <c r="O236" i="12"/>
  <c r="B237" i="12"/>
  <c r="AJ236" i="12"/>
  <c r="AK236" i="12" s="1"/>
  <c r="AL236" i="12" s="1"/>
  <c r="AD222" i="14"/>
  <c r="K223" i="14"/>
  <c r="F223" i="14"/>
  <c r="N223" i="14"/>
  <c r="J223" i="14" s="1"/>
  <c r="R223" i="14"/>
  <c r="AF223" i="14"/>
  <c r="E223" i="14" s="1"/>
  <c r="G223" i="14"/>
  <c r="X236" i="12" l="1"/>
  <c r="AI236" i="12" s="1"/>
  <c r="M237" i="12"/>
  <c r="G237" i="12"/>
  <c r="S237" i="12"/>
  <c r="AN237" i="12"/>
  <c r="H223" i="14"/>
  <c r="I223" i="14" s="1"/>
  <c r="Q223" i="14" s="1"/>
  <c r="M223" i="14" s="1"/>
  <c r="AI224" i="14"/>
  <c r="E237" i="12" l="1"/>
  <c r="AQ238" i="12" s="1"/>
  <c r="D237" i="12"/>
  <c r="K237" i="12"/>
  <c r="AR237" i="12" s="1"/>
  <c r="I237" i="12" s="1"/>
  <c r="Z237" i="12" s="1"/>
  <c r="V238" i="12" s="1"/>
  <c r="L223" i="14"/>
  <c r="P223" i="14" s="1"/>
  <c r="AA223" i="14" s="1"/>
  <c r="C224" i="14"/>
  <c r="AB223" i="14"/>
  <c r="AC223" i="14" s="1"/>
  <c r="B238" i="12" l="1"/>
  <c r="AJ237" i="12"/>
  <c r="AK237" i="12" s="1"/>
  <c r="AL237" i="12" s="1"/>
  <c r="O237" i="12"/>
  <c r="Q237" i="12"/>
  <c r="AD223" i="14"/>
  <c r="F224" i="14"/>
  <c r="N224" i="14"/>
  <c r="J224" i="14" s="1"/>
  <c r="H224" i="14" s="1"/>
  <c r="AF224" i="14"/>
  <c r="E224" i="14" s="1"/>
  <c r="R224" i="14"/>
  <c r="K224" i="14"/>
  <c r="G224" i="14"/>
  <c r="X237" i="12" l="1"/>
  <c r="AI237" i="12" s="1"/>
  <c r="I224" i="14"/>
  <c r="Q224" i="14" s="1"/>
  <c r="M224" i="14" s="1"/>
  <c r="G238" i="12"/>
  <c r="AN238" i="12"/>
  <c r="M238" i="12"/>
  <c r="S238" i="12"/>
  <c r="AI225" i="14"/>
  <c r="K238" i="12" l="1"/>
  <c r="E238" i="12"/>
  <c r="AQ239" i="12" s="1"/>
  <c r="D238" i="12"/>
  <c r="C225" i="14"/>
  <c r="L224" i="14"/>
  <c r="P224" i="14" s="1"/>
  <c r="AA224" i="14" s="1"/>
  <c r="AB224" i="14"/>
  <c r="AC224" i="14" s="1"/>
  <c r="AR238" i="12" l="1"/>
  <c r="I238" i="12" s="1"/>
  <c r="Z238" i="12" s="1"/>
  <c r="AD224" i="14"/>
  <c r="AF225" i="14"/>
  <c r="E225" i="14" s="1"/>
  <c r="K225" i="14"/>
  <c r="F225" i="14"/>
  <c r="N225" i="14"/>
  <c r="J225" i="14" s="1"/>
  <c r="H225" i="14" s="1"/>
  <c r="R225" i="14"/>
  <c r="G225" i="14"/>
  <c r="AJ238" i="12" l="1"/>
  <c r="AK238" i="12" s="1"/>
  <c r="AL238" i="12" s="1"/>
  <c r="B239" i="12"/>
  <c r="O238" i="12"/>
  <c r="Q238" i="12"/>
  <c r="I225" i="14"/>
  <c r="Q225" i="14" s="1"/>
  <c r="M225" i="14" s="1"/>
  <c r="AI226" i="14"/>
  <c r="X238" i="12" l="1"/>
  <c r="AI238" i="12" s="1"/>
  <c r="G239" i="12"/>
  <c r="S239" i="12"/>
  <c r="AN239" i="12"/>
  <c r="D239" i="12" s="1"/>
  <c r="M239" i="12"/>
  <c r="L225" i="14"/>
  <c r="P225" i="14" s="1"/>
  <c r="AA225" i="14" s="1"/>
  <c r="C226" i="14"/>
  <c r="AB225" i="14"/>
  <c r="AC225" i="14" s="1"/>
  <c r="E239" i="12" l="1"/>
  <c r="AQ240" i="12" s="1"/>
  <c r="K239" i="12"/>
  <c r="AR239" i="12" s="1"/>
  <c r="AF226" i="14"/>
  <c r="E226" i="14" s="1"/>
  <c r="K226" i="14"/>
  <c r="F226" i="14"/>
  <c r="N226" i="14"/>
  <c r="J226" i="14" s="1"/>
  <c r="H226" i="14" s="1"/>
  <c r="R226" i="14"/>
  <c r="G226" i="14"/>
  <c r="AD225" i="14"/>
  <c r="I239" i="12" l="1"/>
  <c r="Z239" i="12" s="1"/>
  <c r="V240" i="12" s="1"/>
  <c r="I226" i="14"/>
  <c r="Q226" i="14" s="1"/>
  <c r="M226" i="14" s="1"/>
  <c r="AI227" i="14"/>
  <c r="B240" i="12" l="1"/>
  <c r="O239" i="12"/>
  <c r="AJ239" i="12"/>
  <c r="AK239" i="12" s="1"/>
  <c r="AL239" i="12" s="1"/>
  <c r="Q239" i="12"/>
  <c r="L226" i="14"/>
  <c r="P226" i="14" s="1"/>
  <c r="AA226" i="14" s="1"/>
  <c r="C227" i="14"/>
  <c r="AB226" i="14"/>
  <c r="AC226" i="14" s="1"/>
  <c r="X239" i="12" l="1"/>
  <c r="AI239" i="12" s="1"/>
  <c r="AN240" i="12"/>
  <c r="E240" i="12" s="1"/>
  <c r="AQ241" i="12" s="1"/>
  <c r="M240" i="12"/>
  <c r="S240" i="12"/>
  <c r="G240" i="12"/>
  <c r="AD226" i="14"/>
  <c r="K227" i="14"/>
  <c r="F227" i="14"/>
  <c r="N227" i="14"/>
  <c r="J227" i="14" s="1"/>
  <c r="H227" i="14" s="1"/>
  <c r="AF227" i="14"/>
  <c r="E227" i="14" s="1"/>
  <c r="R227" i="14"/>
  <c r="G227" i="14"/>
  <c r="D240" i="12" l="1"/>
  <c r="K240" i="12"/>
  <c r="I227" i="14"/>
  <c r="Q227" i="14" s="1"/>
  <c r="M227" i="14" s="1"/>
  <c r="AI228" i="14"/>
  <c r="AR240" i="12" l="1"/>
  <c r="L227" i="14"/>
  <c r="P227" i="14" s="1"/>
  <c r="AA227" i="14" s="1"/>
  <c r="C228" i="14"/>
  <c r="AB227" i="14"/>
  <c r="AC227" i="14" s="1"/>
  <c r="I240" i="12" l="1"/>
  <c r="Z240" i="12" s="1"/>
  <c r="AD227" i="14"/>
  <c r="F228" i="14"/>
  <c r="N228" i="14"/>
  <c r="J228" i="14" s="1"/>
  <c r="H228" i="14" s="1"/>
  <c r="AF228" i="14"/>
  <c r="E228" i="14" s="1"/>
  <c r="K228" i="14"/>
  <c r="G228" i="14"/>
  <c r="R228" i="14"/>
  <c r="AJ240" i="12" l="1"/>
  <c r="AK240" i="12" s="1"/>
  <c r="AL240" i="12" s="1"/>
  <c r="B241" i="12"/>
  <c r="O240" i="12"/>
  <c r="Q240" i="12"/>
  <c r="I228" i="14"/>
  <c r="Q228" i="14" s="1"/>
  <c r="M228" i="14" s="1"/>
  <c r="AI229" i="14"/>
  <c r="X240" i="12" l="1"/>
  <c r="AI240" i="12" s="1"/>
  <c r="AN241" i="12"/>
  <c r="E241" i="12" s="1"/>
  <c r="AQ242" i="12" s="1"/>
  <c r="S241" i="12"/>
  <c r="G241" i="12"/>
  <c r="M241" i="12"/>
  <c r="C229" i="14"/>
  <c r="L228" i="14"/>
  <c r="P228" i="14" s="1"/>
  <c r="AA228" i="14" s="1"/>
  <c r="AB228" i="14"/>
  <c r="AC228" i="14" s="1"/>
  <c r="D241" i="12" l="1"/>
  <c r="K241" i="12"/>
  <c r="AR241" i="12" s="1"/>
  <c r="I241" i="12" s="1"/>
  <c r="Z241" i="12" s="1"/>
  <c r="V242" i="12" s="1"/>
  <c r="AD228" i="14"/>
  <c r="AF229" i="14"/>
  <c r="E229" i="14" s="1"/>
  <c r="K229" i="14"/>
  <c r="F229" i="14"/>
  <c r="N229" i="14"/>
  <c r="J229" i="14" s="1"/>
  <c r="H229" i="14" s="1"/>
  <c r="R229" i="14"/>
  <c r="G229" i="14"/>
  <c r="Q241" i="12" l="1"/>
  <c r="AJ241" i="12"/>
  <c r="AK241" i="12" s="1"/>
  <c r="AL241" i="12" s="1"/>
  <c r="B242" i="12"/>
  <c r="O241" i="12"/>
  <c r="I229" i="14"/>
  <c r="Q229" i="14" s="1"/>
  <c r="M229" i="14" s="1"/>
  <c r="AI230" i="14"/>
  <c r="X241" i="12" l="1"/>
  <c r="AI241" i="12" s="1"/>
  <c r="M242" i="12"/>
  <c r="S242" i="12"/>
  <c r="G242" i="12"/>
  <c r="AN242" i="12"/>
  <c r="E242" i="12" s="1"/>
  <c r="AQ243" i="12" s="1"/>
  <c r="L229" i="14"/>
  <c r="P229" i="14" s="1"/>
  <c r="AA229" i="14" s="1"/>
  <c r="C230" i="14"/>
  <c r="AB229" i="14"/>
  <c r="AC229" i="14" s="1"/>
  <c r="K242" i="12" l="1"/>
  <c r="D242" i="12"/>
  <c r="AF230" i="14"/>
  <c r="E230" i="14" s="1"/>
  <c r="K230" i="14"/>
  <c r="F230" i="14"/>
  <c r="N230" i="14"/>
  <c r="J230" i="14" s="1"/>
  <c r="H230" i="14" s="1"/>
  <c r="G230" i="14"/>
  <c r="R230" i="14"/>
  <c r="AD229" i="14"/>
  <c r="AR242" i="12" l="1"/>
  <c r="I230" i="14"/>
  <c r="Q230" i="14" s="1"/>
  <c r="M230" i="14" s="1"/>
  <c r="AI231" i="14"/>
  <c r="I242" i="12" l="1"/>
  <c r="Z242" i="12" s="1"/>
  <c r="L230" i="14"/>
  <c r="P230" i="14" s="1"/>
  <c r="AA230" i="14" s="1"/>
  <c r="C231" i="14"/>
  <c r="AB230" i="14"/>
  <c r="AC230" i="14" s="1"/>
  <c r="O242" i="12" l="1"/>
  <c r="B243" i="12"/>
  <c r="AJ242" i="12"/>
  <c r="AK242" i="12" s="1"/>
  <c r="AL242" i="12" s="1"/>
  <c r="Q242" i="12"/>
  <c r="AD230" i="14"/>
  <c r="K231" i="14"/>
  <c r="F231" i="14"/>
  <c r="N231" i="14"/>
  <c r="J231" i="14" s="1"/>
  <c r="H231" i="14" s="1"/>
  <c r="AF231" i="14"/>
  <c r="E231" i="14" s="1"/>
  <c r="R231" i="14"/>
  <c r="G231" i="14"/>
  <c r="S243" i="12" l="1"/>
  <c r="G243" i="12"/>
  <c r="AN243" i="12"/>
  <c r="E243" i="12" s="1"/>
  <c r="AQ244" i="12" s="1"/>
  <c r="M243" i="12"/>
  <c r="X242" i="12"/>
  <c r="AI242" i="12" s="1"/>
  <c r="I231" i="14"/>
  <c r="Q231" i="14" s="1"/>
  <c r="M231" i="14" s="1"/>
  <c r="AI232" i="14"/>
  <c r="D243" i="12" l="1"/>
  <c r="K243" i="12"/>
  <c r="AR243" i="12"/>
  <c r="L231" i="14"/>
  <c r="P231" i="14" s="1"/>
  <c r="AA231" i="14" s="1"/>
  <c r="C232" i="14"/>
  <c r="AB231" i="14"/>
  <c r="AC231" i="14" s="1"/>
  <c r="I243" i="12" l="1"/>
  <c r="Z243" i="12" s="1"/>
  <c r="AD231" i="14"/>
  <c r="F232" i="14"/>
  <c r="N232" i="14"/>
  <c r="J232" i="14" s="1"/>
  <c r="H232" i="14" s="1"/>
  <c r="AF232" i="14"/>
  <c r="E232" i="14" s="1"/>
  <c r="R232" i="14"/>
  <c r="K232" i="14"/>
  <c r="G232" i="14"/>
  <c r="AJ243" i="12" l="1"/>
  <c r="AK243" i="12" s="1"/>
  <c r="AL243" i="12" s="1"/>
  <c r="V244" i="12"/>
  <c r="Q243" i="12"/>
  <c r="B244" i="12"/>
  <c r="G244" i="12" s="1"/>
  <c r="O243" i="12"/>
  <c r="I232" i="14"/>
  <c r="Q232" i="14" s="1"/>
  <c r="M232" i="14" s="1"/>
  <c r="AI233" i="14"/>
  <c r="X243" i="12" l="1"/>
  <c r="AI243" i="12" s="1"/>
  <c r="S244" i="12"/>
  <c r="AN244" i="12"/>
  <c r="D244" i="12" s="1"/>
  <c r="M244" i="12"/>
  <c r="C233" i="14"/>
  <c r="L232" i="14"/>
  <c r="P232" i="14" s="1"/>
  <c r="AA232" i="14" s="1"/>
  <c r="AB232" i="14"/>
  <c r="AC232" i="14" s="1"/>
  <c r="E244" i="12" l="1"/>
  <c r="AQ245" i="12" s="1"/>
  <c r="K244" i="12"/>
  <c r="AR244" i="12" s="1"/>
  <c r="I244" i="12" s="1"/>
  <c r="Z244" i="12" s="1"/>
  <c r="B245" i="12" s="1"/>
  <c r="AN245" i="12" s="1"/>
  <c r="D245" i="12" s="1"/>
  <c r="AD232" i="14"/>
  <c r="AF233" i="14"/>
  <c r="E233" i="14" s="1"/>
  <c r="K233" i="14"/>
  <c r="F233" i="14"/>
  <c r="R233" i="14"/>
  <c r="N233" i="14"/>
  <c r="J233" i="14" s="1"/>
  <c r="H233" i="14" s="1"/>
  <c r="G233" i="14"/>
  <c r="AR245" i="12" l="1"/>
  <c r="E245" i="12"/>
  <c r="AQ246" i="12" s="1"/>
  <c r="G245" i="12"/>
  <c r="Q244" i="12"/>
  <c r="S245" i="12"/>
  <c r="AJ244" i="12"/>
  <c r="AK244" i="12" s="1"/>
  <c r="AL244" i="12" s="1"/>
  <c r="M245" i="12"/>
  <c r="O244" i="12"/>
  <c r="I233" i="14"/>
  <c r="Q233" i="14" s="1"/>
  <c r="M233" i="14" s="1"/>
  <c r="AI234" i="14"/>
  <c r="X244" i="12" l="1"/>
  <c r="AI244" i="12" s="1"/>
  <c r="K245" i="12"/>
  <c r="I245" i="12" s="1"/>
  <c r="Z245" i="12" s="1"/>
  <c r="L233" i="14"/>
  <c r="P233" i="14" s="1"/>
  <c r="AA233" i="14" s="1"/>
  <c r="C234" i="14"/>
  <c r="AB233" i="14"/>
  <c r="AC233" i="14" s="1"/>
  <c r="Q245" i="12" l="1"/>
  <c r="V246" i="12"/>
  <c r="AJ245" i="12"/>
  <c r="AK245" i="12" s="1"/>
  <c r="AL245" i="12" s="1"/>
  <c r="B246" i="12"/>
  <c r="S246" i="12" s="1"/>
  <c r="O245" i="12"/>
  <c r="X245" i="12" s="1"/>
  <c r="AI245" i="12" s="1"/>
  <c r="AF234" i="14"/>
  <c r="E234" i="14" s="1"/>
  <c r="K234" i="14"/>
  <c r="F234" i="14"/>
  <c r="N234" i="14"/>
  <c r="J234" i="14" s="1"/>
  <c r="H234" i="14" s="1"/>
  <c r="I234" i="14" s="1"/>
  <c r="R234" i="14"/>
  <c r="G234" i="14"/>
  <c r="AD233" i="14"/>
  <c r="G246" i="12" l="1"/>
  <c r="M246" i="12"/>
  <c r="AN246" i="12"/>
  <c r="D246" i="12" s="1"/>
  <c r="AI235" i="14"/>
  <c r="Q234" i="14"/>
  <c r="M234" i="14" s="1"/>
  <c r="E246" i="12" l="1"/>
  <c r="AQ247" i="12" s="1"/>
  <c r="K246" i="12"/>
  <c r="AR246" i="12" s="1"/>
  <c r="I246" i="12" s="1"/>
  <c r="Z246" i="12" s="1"/>
  <c r="O246" i="12" s="1"/>
  <c r="L234" i="14"/>
  <c r="P234" i="14" s="1"/>
  <c r="AA234" i="14" s="1"/>
  <c r="C235" i="14"/>
  <c r="AB234" i="14"/>
  <c r="AC234" i="14" s="1"/>
  <c r="B247" i="12" l="1"/>
  <c r="M247" i="12" s="1"/>
  <c r="Q246" i="12"/>
  <c r="X246" i="12" s="1"/>
  <c r="AI246" i="12" s="1"/>
  <c r="AJ246" i="12"/>
  <c r="AK246" i="12" s="1"/>
  <c r="AL246" i="12" s="1"/>
  <c r="K235" i="14"/>
  <c r="F235" i="14"/>
  <c r="N235" i="14"/>
  <c r="J235" i="14" s="1"/>
  <c r="H235" i="14" s="1"/>
  <c r="AF235" i="14"/>
  <c r="E235" i="14" s="1"/>
  <c r="R235" i="14"/>
  <c r="G235" i="14"/>
  <c r="AD234" i="14"/>
  <c r="G247" i="12" l="1"/>
  <c r="AN247" i="12"/>
  <c r="E247" i="12" s="1"/>
  <c r="AQ248" i="12" s="1"/>
  <c r="S247" i="12"/>
  <c r="I235" i="14"/>
  <c r="Q235" i="14" s="1"/>
  <c r="M235" i="14" s="1"/>
  <c r="AR247" i="12"/>
  <c r="AI236" i="14"/>
  <c r="K247" i="12" l="1"/>
  <c r="I247" i="12" s="1"/>
  <c r="Z247" i="12" s="1"/>
  <c r="D247" i="12"/>
  <c r="L235" i="14"/>
  <c r="P235" i="14" s="1"/>
  <c r="AA235" i="14" s="1"/>
  <c r="C236" i="14"/>
  <c r="AB235" i="14"/>
  <c r="AC235" i="14" s="1"/>
  <c r="O247" i="12" l="1"/>
  <c r="V248" i="12"/>
  <c r="Q247" i="12"/>
  <c r="X247" i="12" s="1"/>
  <c r="AI247" i="12" s="1"/>
  <c r="AJ247" i="12"/>
  <c r="AK247" i="12" s="1"/>
  <c r="AL247" i="12" s="1"/>
  <c r="B248" i="12"/>
  <c r="AN248" i="12" s="1"/>
  <c r="D248" i="12" s="1"/>
  <c r="F236" i="14"/>
  <c r="N236" i="14"/>
  <c r="J236" i="14" s="1"/>
  <c r="H236" i="14" s="1"/>
  <c r="AF236" i="14"/>
  <c r="E236" i="14" s="1"/>
  <c r="K236" i="14"/>
  <c r="R236" i="14"/>
  <c r="G236" i="14"/>
  <c r="AD235" i="14"/>
  <c r="M248" i="12" l="1"/>
  <c r="G248" i="12"/>
  <c r="S248" i="12"/>
  <c r="E248" i="12"/>
  <c r="AQ249" i="12" s="1"/>
  <c r="AR248" i="12"/>
  <c r="I236" i="14"/>
  <c r="Q236" i="14" s="1"/>
  <c r="M236" i="14" s="1"/>
  <c r="AI237" i="14"/>
  <c r="K248" i="12" l="1"/>
  <c r="I248" i="12" s="1"/>
  <c r="Z248" i="12" s="1"/>
  <c r="O248" i="12" s="1"/>
  <c r="C237" i="14"/>
  <c r="L236" i="14"/>
  <c r="P236" i="14" s="1"/>
  <c r="AA236" i="14" s="1"/>
  <c r="AB236" i="14"/>
  <c r="AC236" i="14" s="1"/>
  <c r="AJ248" i="12" l="1"/>
  <c r="AK248" i="12" s="1"/>
  <c r="AL248" i="12" s="1"/>
  <c r="Q248" i="12"/>
  <c r="X248" i="12" s="1"/>
  <c r="AI248" i="12" s="1"/>
  <c r="B249" i="12"/>
  <c r="G249" i="12" s="1"/>
  <c r="AF237" i="14"/>
  <c r="E237" i="14" s="1"/>
  <c r="K237" i="14"/>
  <c r="F237" i="14"/>
  <c r="N237" i="14"/>
  <c r="J237" i="14" s="1"/>
  <c r="H237" i="14" s="1"/>
  <c r="R237" i="14"/>
  <c r="G237" i="14"/>
  <c r="AD236" i="14"/>
  <c r="M249" i="12" l="1"/>
  <c r="S249" i="12"/>
  <c r="AN249" i="12"/>
  <c r="I237" i="14"/>
  <c r="Q237" i="14" s="1"/>
  <c r="M237" i="14" s="1"/>
  <c r="AI238" i="14"/>
  <c r="K249" i="12" l="1"/>
  <c r="AR249" i="12" s="1"/>
  <c r="I249" i="12" s="1"/>
  <c r="Z249" i="12" s="1"/>
  <c r="E249" i="12"/>
  <c r="AQ250" i="12" s="1"/>
  <c r="D249" i="12"/>
  <c r="L237" i="14"/>
  <c r="P237" i="14" s="1"/>
  <c r="AA237" i="14" s="1"/>
  <c r="C238" i="14"/>
  <c r="AB237" i="14"/>
  <c r="AC237" i="14" s="1"/>
  <c r="B250" i="12" l="1"/>
  <c r="G250" i="12" s="1"/>
  <c r="V250" i="12"/>
  <c r="O249" i="12"/>
  <c r="Q249" i="12"/>
  <c r="AJ249" i="12"/>
  <c r="AK249" i="12" s="1"/>
  <c r="AL249" i="12" s="1"/>
  <c r="AF238" i="14"/>
  <c r="E238" i="14" s="1"/>
  <c r="K238" i="14"/>
  <c r="F238" i="14"/>
  <c r="N238" i="14"/>
  <c r="J238" i="14" s="1"/>
  <c r="H238" i="14" s="1"/>
  <c r="G238" i="14"/>
  <c r="R238" i="14"/>
  <c r="AD237" i="14"/>
  <c r="M250" i="12" l="1"/>
  <c r="S250" i="12"/>
  <c r="AR250" i="12"/>
  <c r="AN250" i="12"/>
  <c r="D250" i="12" s="1"/>
  <c r="E250" i="12"/>
  <c r="AQ251" i="12" s="1"/>
  <c r="X249" i="12"/>
  <c r="AI249" i="12" s="1"/>
  <c r="K250" i="12"/>
  <c r="I250" i="12" s="1"/>
  <c r="Z250" i="12" s="1"/>
  <c r="B251" i="12" s="1"/>
  <c r="I238" i="14"/>
  <c r="Q238" i="14" s="1"/>
  <c r="M238" i="14" s="1"/>
  <c r="AI239" i="14"/>
  <c r="AJ250" i="12" l="1"/>
  <c r="AK250" i="12" s="1"/>
  <c r="AL250" i="12" s="1"/>
  <c r="Q250" i="12"/>
  <c r="O250" i="12"/>
  <c r="G251" i="12"/>
  <c r="M251" i="12"/>
  <c r="S251" i="12"/>
  <c r="AN251" i="12"/>
  <c r="L238" i="14"/>
  <c r="P238" i="14" s="1"/>
  <c r="AA238" i="14" s="1"/>
  <c r="C239" i="14"/>
  <c r="AB238" i="14"/>
  <c r="AC238" i="14" s="1"/>
  <c r="X250" i="12" l="1"/>
  <c r="AI250" i="12" s="1"/>
  <c r="K251" i="12"/>
  <c r="AR251" i="12" s="1"/>
  <c r="I251" i="12" s="1"/>
  <c r="Z251" i="12" s="1"/>
  <c r="V252" i="12" s="1"/>
  <c r="D251" i="12"/>
  <c r="E251" i="12"/>
  <c r="AQ252" i="12" s="1"/>
  <c r="AD238" i="14"/>
  <c r="K239" i="14"/>
  <c r="F239" i="14"/>
  <c r="N239" i="14"/>
  <c r="J239" i="14" s="1"/>
  <c r="H239" i="14" s="1"/>
  <c r="AF239" i="14"/>
  <c r="E239" i="14" s="1"/>
  <c r="R239" i="14"/>
  <c r="G239" i="14"/>
  <c r="I239" i="14" l="1"/>
  <c r="Q239" i="14" s="1"/>
  <c r="M239" i="14" s="1"/>
  <c r="AJ251" i="12"/>
  <c r="AK251" i="12" s="1"/>
  <c r="AL251" i="12" s="1"/>
  <c r="B252" i="12"/>
  <c r="O251" i="12"/>
  <c r="Q251" i="12"/>
  <c r="AI240" i="14"/>
  <c r="G252" i="12" l="1"/>
  <c r="S252" i="12"/>
  <c r="AN252" i="12"/>
  <c r="M252" i="12"/>
  <c r="X251" i="12"/>
  <c r="AI251" i="12" s="1"/>
  <c r="L239" i="14"/>
  <c r="P239" i="14" s="1"/>
  <c r="AA239" i="14" s="1"/>
  <c r="C240" i="14"/>
  <c r="AB239" i="14"/>
  <c r="AC239" i="14" s="1"/>
  <c r="E252" i="12" l="1"/>
  <c r="AQ253" i="12" s="1"/>
  <c r="K252" i="12"/>
  <c r="D252" i="12"/>
  <c r="AD239" i="14"/>
  <c r="F240" i="14"/>
  <c r="N240" i="14"/>
  <c r="J240" i="14" s="1"/>
  <c r="H240" i="14" s="1"/>
  <c r="AF240" i="14"/>
  <c r="E240" i="14" s="1"/>
  <c r="K240" i="14"/>
  <c r="R240" i="14"/>
  <c r="G240" i="14"/>
  <c r="AR252" i="12" l="1"/>
  <c r="I252" i="12" s="1"/>
  <c r="Z252" i="12" s="1"/>
  <c r="I240" i="14"/>
  <c r="Q240" i="14" s="1"/>
  <c r="M240" i="14" s="1"/>
  <c r="AI241" i="14"/>
  <c r="AJ252" i="12" l="1"/>
  <c r="AK252" i="12" s="1"/>
  <c r="AL252" i="12" s="1"/>
  <c r="O252" i="12"/>
  <c r="B253" i="12"/>
  <c r="Q252" i="12"/>
  <c r="C241" i="14"/>
  <c r="L240" i="14"/>
  <c r="P240" i="14" s="1"/>
  <c r="AA240" i="14" s="1"/>
  <c r="AB240" i="14"/>
  <c r="AC240" i="14" s="1"/>
  <c r="X252" i="12" l="1"/>
  <c r="AI252" i="12" s="1"/>
  <c r="AN253" i="12"/>
  <c r="E253" i="12" s="1"/>
  <c r="AQ254" i="12" s="1"/>
  <c r="M253" i="12"/>
  <c r="G253" i="12"/>
  <c r="S253" i="12"/>
  <c r="AF241" i="14"/>
  <c r="E241" i="14" s="1"/>
  <c r="K241" i="14"/>
  <c r="F241" i="14"/>
  <c r="R241" i="14"/>
  <c r="N241" i="14"/>
  <c r="J241" i="14" s="1"/>
  <c r="H241" i="14" s="1"/>
  <c r="G241" i="14"/>
  <c r="AD240" i="14"/>
  <c r="D253" i="12" l="1"/>
  <c r="K253" i="12"/>
  <c r="I241" i="14"/>
  <c r="Q241" i="14" s="1"/>
  <c r="M241" i="14" s="1"/>
  <c r="AI242" i="14"/>
  <c r="AR253" i="12" l="1"/>
  <c r="L241" i="14"/>
  <c r="P241" i="14" s="1"/>
  <c r="AA241" i="14" s="1"/>
  <c r="C242" i="14"/>
  <c r="AB241" i="14"/>
  <c r="AC241" i="14" s="1"/>
  <c r="I253" i="12" l="1"/>
  <c r="Z253" i="12" s="1"/>
  <c r="V254" i="12" s="1"/>
  <c r="AF242" i="14"/>
  <c r="E242" i="14" s="1"/>
  <c r="K242" i="14"/>
  <c r="F242" i="14"/>
  <c r="N242" i="14"/>
  <c r="J242" i="14" s="1"/>
  <c r="R242" i="14"/>
  <c r="G242" i="14"/>
  <c r="AD241" i="14"/>
  <c r="H242" i="14" l="1"/>
  <c r="I242" i="14" s="1"/>
  <c r="Q242" i="14" s="1"/>
  <c r="M242" i="14" s="1"/>
  <c r="O253" i="12"/>
  <c r="AJ253" i="12"/>
  <c r="AK253" i="12" s="1"/>
  <c r="AL253" i="12" s="1"/>
  <c r="B254" i="12"/>
  <c r="Q253" i="12"/>
  <c r="AI243" i="14"/>
  <c r="G254" i="12" l="1"/>
  <c r="AN254" i="12"/>
  <c r="D254" i="12" s="1"/>
  <c r="M254" i="12"/>
  <c r="S254" i="12"/>
  <c r="X253" i="12"/>
  <c r="AI253" i="12" s="1"/>
  <c r="L242" i="14"/>
  <c r="P242" i="14" s="1"/>
  <c r="AA242" i="14" s="1"/>
  <c r="C243" i="14"/>
  <c r="AB242" i="14"/>
  <c r="AC242" i="14" s="1"/>
  <c r="E254" i="12" l="1"/>
  <c r="AQ255" i="12" s="1"/>
  <c r="K254" i="12"/>
  <c r="AR254" i="12"/>
  <c r="AD242" i="14"/>
  <c r="K243" i="14"/>
  <c r="F243" i="14"/>
  <c r="N243" i="14"/>
  <c r="J243" i="14" s="1"/>
  <c r="H243" i="14" s="1"/>
  <c r="AF243" i="14"/>
  <c r="E243" i="14" s="1"/>
  <c r="R243" i="14"/>
  <c r="G243" i="14"/>
  <c r="I254" i="12" l="1"/>
  <c r="Z254" i="12" s="1"/>
  <c r="I243" i="14"/>
  <c r="Q243" i="14" s="1"/>
  <c r="M243" i="14" s="1"/>
  <c r="AI244" i="14"/>
  <c r="O254" i="12" l="1"/>
  <c r="AJ254" i="12"/>
  <c r="AK254" i="12" s="1"/>
  <c r="AL254" i="12" s="1"/>
  <c r="B255" i="12"/>
  <c r="Q254" i="12"/>
  <c r="L243" i="14"/>
  <c r="P243" i="14" s="1"/>
  <c r="AA243" i="14" s="1"/>
  <c r="C244" i="14"/>
  <c r="AB243" i="14"/>
  <c r="AC243" i="14" s="1"/>
  <c r="G255" i="12" l="1"/>
  <c r="M255" i="12"/>
  <c r="AN255" i="12"/>
  <c r="D255" i="12" s="1"/>
  <c r="S255" i="12"/>
  <c r="X254" i="12"/>
  <c r="AI254" i="12" s="1"/>
  <c r="AD243" i="14"/>
  <c r="F244" i="14"/>
  <c r="N244" i="14"/>
  <c r="J244" i="14" s="1"/>
  <c r="H244" i="14" s="1"/>
  <c r="AF244" i="14"/>
  <c r="E244" i="14" s="1"/>
  <c r="K244" i="14"/>
  <c r="R244" i="14"/>
  <c r="G244" i="14"/>
  <c r="E255" i="12" l="1"/>
  <c r="AQ256" i="12" s="1"/>
  <c r="K255" i="12"/>
  <c r="AR255" i="12" s="1"/>
  <c r="I255" i="12" s="1"/>
  <c r="Z255" i="12" s="1"/>
  <c r="V256" i="12" s="1"/>
  <c r="I244" i="14"/>
  <c r="Q244" i="14" s="1"/>
  <c r="M244" i="14" s="1"/>
  <c r="AI245" i="14"/>
  <c r="B256" i="12" l="1"/>
  <c r="O255" i="12"/>
  <c r="AJ255" i="12"/>
  <c r="AK255" i="12" s="1"/>
  <c r="AL255" i="12" s="1"/>
  <c r="Q255" i="12"/>
  <c r="C245" i="14"/>
  <c r="L244" i="14"/>
  <c r="P244" i="14" s="1"/>
  <c r="AA244" i="14" s="1"/>
  <c r="AB244" i="14"/>
  <c r="AC244" i="14" s="1"/>
  <c r="X255" i="12" l="1"/>
  <c r="AI255" i="12" s="1"/>
  <c r="S256" i="12"/>
  <c r="AN256" i="12"/>
  <c r="D256" i="12" s="1"/>
  <c r="M256" i="12"/>
  <c r="G256" i="12"/>
  <c r="AD244" i="14"/>
  <c r="AF245" i="14"/>
  <c r="E245" i="14" s="1"/>
  <c r="K245" i="14"/>
  <c r="F245" i="14"/>
  <c r="N245" i="14"/>
  <c r="J245" i="14" s="1"/>
  <c r="H245" i="14" s="1"/>
  <c r="R245" i="14"/>
  <c r="G245" i="14"/>
  <c r="E256" i="12" l="1"/>
  <c r="AQ257" i="12" s="1"/>
  <c r="K256" i="12"/>
  <c r="AR256" i="12"/>
  <c r="I245" i="14"/>
  <c r="Q245" i="14" s="1"/>
  <c r="M245" i="14" s="1"/>
  <c r="AI246" i="14"/>
  <c r="I256" i="12" l="1"/>
  <c r="Z256" i="12" s="1"/>
  <c r="L245" i="14"/>
  <c r="P245" i="14" s="1"/>
  <c r="AA245" i="14" s="1"/>
  <c r="C246" i="14"/>
  <c r="AB245" i="14"/>
  <c r="AC245" i="14" s="1"/>
  <c r="O256" i="12" l="1"/>
  <c r="AJ256" i="12"/>
  <c r="AK256" i="12" s="1"/>
  <c r="AL256" i="12" s="1"/>
  <c r="B257" i="12"/>
  <c r="Q256" i="12"/>
  <c r="AD245" i="14"/>
  <c r="AF246" i="14"/>
  <c r="E246" i="14" s="1"/>
  <c r="K246" i="14"/>
  <c r="F246" i="14"/>
  <c r="N246" i="14"/>
  <c r="J246" i="14" s="1"/>
  <c r="H246" i="14" s="1"/>
  <c r="R246" i="14"/>
  <c r="G246" i="14"/>
  <c r="S257" i="12" l="1"/>
  <c r="G257" i="12"/>
  <c r="M257" i="12"/>
  <c r="AN257" i="12"/>
  <c r="D257" i="12" s="1"/>
  <c r="X256" i="12"/>
  <c r="AI256" i="12" s="1"/>
  <c r="I246" i="14"/>
  <c r="Q246" i="14" s="1"/>
  <c r="M246" i="14" s="1"/>
  <c r="AI247" i="14"/>
  <c r="E257" i="12" l="1"/>
  <c r="AQ258" i="12" s="1"/>
  <c r="K257" i="12"/>
  <c r="AR257" i="12" s="1"/>
  <c r="I257" i="12" s="1"/>
  <c r="Z257" i="12" s="1"/>
  <c r="V258" i="12" s="1"/>
  <c r="L246" i="14"/>
  <c r="P246" i="14" s="1"/>
  <c r="AA246" i="14" s="1"/>
  <c r="C247" i="14"/>
  <c r="AB246" i="14"/>
  <c r="AC246" i="14" s="1"/>
  <c r="O257" i="12" l="1"/>
  <c r="B258" i="12"/>
  <c r="AJ257" i="12"/>
  <c r="AK257" i="12" s="1"/>
  <c r="AL257" i="12" s="1"/>
  <c r="Q257" i="12"/>
  <c r="AD246" i="14"/>
  <c r="K247" i="14"/>
  <c r="F247" i="14"/>
  <c r="N247" i="14"/>
  <c r="J247" i="14" s="1"/>
  <c r="H247" i="14" s="1"/>
  <c r="R247" i="14"/>
  <c r="AF247" i="14"/>
  <c r="E247" i="14" s="1"/>
  <c r="G247" i="14"/>
  <c r="X257" i="12" l="1"/>
  <c r="AI257" i="12" s="1"/>
  <c r="M258" i="12"/>
  <c r="AN258" i="12"/>
  <c r="E258" i="12" s="1"/>
  <c r="AQ259" i="12" s="1"/>
  <c r="G258" i="12"/>
  <c r="S258" i="12"/>
  <c r="I247" i="14"/>
  <c r="Q247" i="14" s="1"/>
  <c r="M247" i="14" s="1"/>
  <c r="AI248" i="14"/>
  <c r="D258" i="12" l="1"/>
  <c r="K258" i="12"/>
  <c r="AR258" i="12"/>
  <c r="L247" i="14"/>
  <c r="P247" i="14" s="1"/>
  <c r="AA247" i="14" s="1"/>
  <c r="C248" i="14"/>
  <c r="AB247" i="14"/>
  <c r="AC247" i="14" s="1"/>
  <c r="I258" i="12" l="1"/>
  <c r="Z258" i="12" s="1"/>
  <c r="AD247" i="14"/>
  <c r="AF248" i="14"/>
  <c r="E248" i="14" s="1"/>
  <c r="K248" i="14"/>
  <c r="F248" i="14"/>
  <c r="N248" i="14"/>
  <c r="J248" i="14" s="1"/>
  <c r="H248" i="14" s="1"/>
  <c r="I248" i="14" s="1"/>
  <c r="R248" i="14"/>
  <c r="G248" i="14"/>
  <c r="B259" i="12" l="1"/>
  <c r="O258" i="12"/>
  <c r="AJ258" i="12"/>
  <c r="AK258" i="12" s="1"/>
  <c r="AL258" i="12" s="1"/>
  <c r="Q258" i="12"/>
  <c r="AI249" i="14"/>
  <c r="Q248" i="14"/>
  <c r="M248" i="14" s="1"/>
  <c r="X258" i="12" l="1"/>
  <c r="AI258" i="12" s="1"/>
  <c r="AN259" i="12"/>
  <c r="E259" i="12" s="1"/>
  <c r="AQ260" i="12" s="1"/>
  <c r="G259" i="12"/>
  <c r="S259" i="12"/>
  <c r="M259" i="12"/>
  <c r="L248" i="14"/>
  <c r="P248" i="14" s="1"/>
  <c r="AA248" i="14" s="1"/>
  <c r="C249" i="14"/>
  <c r="AB248" i="14"/>
  <c r="AC248" i="14" s="1"/>
  <c r="D259" i="12" l="1"/>
  <c r="K259" i="12"/>
  <c r="AR259" i="12"/>
  <c r="AD248" i="14"/>
  <c r="K249" i="14"/>
  <c r="F249" i="14"/>
  <c r="N249" i="14"/>
  <c r="J249" i="14" s="1"/>
  <c r="H249" i="14" s="1"/>
  <c r="AF249" i="14"/>
  <c r="E249" i="14" s="1"/>
  <c r="R249" i="14"/>
  <c r="G249" i="14"/>
  <c r="I259" i="12" l="1"/>
  <c r="Z259" i="12" s="1"/>
  <c r="I249" i="14"/>
  <c r="Q249" i="14" s="1"/>
  <c r="M249" i="14" s="1"/>
  <c r="AI250" i="14"/>
  <c r="AJ259" i="12" l="1"/>
  <c r="AK259" i="12" s="1"/>
  <c r="AL259" i="12" s="1"/>
  <c r="V260" i="12"/>
  <c r="Q259" i="12"/>
  <c r="O259" i="12"/>
  <c r="B260" i="12"/>
  <c r="S260" i="12" s="1"/>
  <c r="C250" i="14"/>
  <c r="L249" i="14"/>
  <c r="P249" i="14" s="1"/>
  <c r="AA249" i="14" s="1"/>
  <c r="AB249" i="14"/>
  <c r="AC249" i="14" s="1"/>
  <c r="X259" i="12" l="1"/>
  <c r="AI259" i="12" s="1"/>
  <c r="M260" i="12"/>
  <c r="AN260" i="12"/>
  <c r="E260" i="12" s="1"/>
  <c r="AQ261" i="12" s="1"/>
  <c r="G260" i="12"/>
  <c r="AD249" i="14"/>
  <c r="N250" i="14"/>
  <c r="J250" i="14" s="1"/>
  <c r="H250" i="14" s="1"/>
  <c r="AF250" i="14"/>
  <c r="E250" i="14" s="1"/>
  <c r="K250" i="14"/>
  <c r="F250" i="14"/>
  <c r="R250" i="14"/>
  <c r="G250" i="14"/>
  <c r="D260" i="12" l="1"/>
  <c r="K260" i="12"/>
  <c r="AR260" i="12" s="1"/>
  <c r="I260" i="12" s="1"/>
  <c r="Z260" i="12" s="1"/>
  <c r="I250" i="14"/>
  <c r="Q250" i="14" s="1"/>
  <c r="M250" i="14" s="1"/>
  <c r="AI251" i="14"/>
  <c r="O260" i="12" l="1"/>
  <c r="AJ260" i="12"/>
  <c r="AK260" i="12" s="1"/>
  <c r="AL260" i="12" s="1"/>
  <c r="Q260" i="12"/>
  <c r="B261" i="12"/>
  <c r="S261" i="12" s="1"/>
  <c r="L250" i="14"/>
  <c r="P250" i="14" s="1"/>
  <c r="AA250" i="14" s="1"/>
  <c r="C251" i="14"/>
  <c r="AB250" i="14"/>
  <c r="AC250" i="14" s="1"/>
  <c r="X260" i="12" l="1"/>
  <c r="AI260" i="12" s="1"/>
  <c r="M261" i="12"/>
  <c r="AN261" i="12"/>
  <c r="D261" i="12" s="1"/>
  <c r="G261" i="12"/>
  <c r="AD250" i="14"/>
  <c r="AF251" i="14"/>
  <c r="E251" i="14" s="1"/>
  <c r="K251" i="14"/>
  <c r="N251" i="14"/>
  <c r="J251" i="14" s="1"/>
  <c r="H251" i="14" s="1"/>
  <c r="F251" i="14"/>
  <c r="R251" i="14"/>
  <c r="G251" i="14"/>
  <c r="E261" i="12" l="1"/>
  <c r="AQ262" i="12" s="1"/>
  <c r="K261" i="12"/>
  <c r="AR261" i="12" s="1"/>
  <c r="I261" i="12" s="1"/>
  <c r="Z261" i="12" s="1"/>
  <c r="I251" i="14"/>
  <c r="Q251" i="14" s="1"/>
  <c r="M251" i="14" s="1"/>
  <c r="AI252" i="14"/>
  <c r="O261" i="12" l="1"/>
  <c r="V262" i="12"/>
  <c r="Q261" i="12"/>
  <c r="X261" i="12" s="1"/>
  <c r="AI261" i="12" s="1"/>
  <c r="AJ261" i="12"/>
  <c r="AK261" i="12" s="1"/>
  <c r="AL261" i="12" s="1"/>
  <c r="B262" i="12"/>
  <c r="AN262" i="12" s="1"/>
  <c r="D262" i="12" s="1"/>
  <c r="L251" i="14"/>
  <c r="P251" i="14" s="1"/>
  <c r="AA251" i="14" s="1"/>
  <c r="C252" i="14"/>
  <c r="AB251" i="14"/>
  <c r="AC251" i="14" s="1"/>
  <c r="M262" i="12" l="1"/>
  <c r="S262" i="12"/>
  <c r="E262" i="12"/>
  <c r="AQ263" i="12" s="1"/>
  <c r="G262" i="12"/>
  <c r="AR262" i="12"/>
  <c r="AF252" i="14"/>
  <c r="E252" i="14" s="1"/>
  <c r="K252" i="14"/>
  <c r="F252" i="14"/>
  <c r="N252" i="14"/>
  <c r="J252" i="14" s="1"/>
  <c r="H252" i="14" s="1"/>
  <c r="R252" i="14"/>
  <c r="G252" i="14"/>
  <c r="AD251" i="14"/>
  <c r="K262" i="12" l="1"/>
  <c r="I262" i="12" s="1"/>
  <c r="Z262" i="12" s="1"/>
  <c r="O262" i="12" s="1"/>
  <c r="I252" i="14"/>
  <c r="Q252" i="14" s="1"/>
  <c r="M252" i="14" s="1"/>
  <c r="AI253" i="14"/>
  <c r="Q262" i="12" l="1"/>
  <c r="X262" i="12" s="1"/>
  <c r="AI262" i="12" s="1"/>
  <c r="B263" i="12"/>
  <c r="G263" i="12" s="1"/>
  <c r="AJ262" i="12"/>
  <c r="AK262" i="12" s="1"/>
  <c r="AL262" i="12" s="1"/>
  <c r="L252" i="14"/>
  <c r="P252" i="14" s="1"/>
  <c r="AA252" i="14" s="1"/>
  <c r="C253" i="14"/>
  <c r="AB252" i="14"/>
  <c r="AC252" i="14" s="1"/>
  <c r="AN263" i="12" l="1"/>
  <c r="D263" i="12" s="1"/>
  <c r="M263" i="12"/>
  <c r="S263" i="12"/>
  <c r="AR263" i="12"/>
  <c r="AD252" i="14"/>
  <c r="K253" i="14"/>
  <c r="F253" i="14"/>
  <c r="N253" i="14"/>
  <c r="J253" i="14" s="1"/>
  <c r="H253" i="14" s="1"/>
  <c r="AF253" i="14"/>
  <c r="E253" i="14" s="1"/>
  <c r="R253" i="14"/>
  <c r="G253" i="14"/>
  <c r="E263" i="12" l="1"/>
  <c r="AQ264" i="12" s="1"/>
  <c r="K263" i="12"/>
  <c r="I263" i="12" s="1"/>
  <c r="Z263" i="12" s="1"/>
  <c r="I253" i="14"/>
  <c r="Q253" i="14" s="1"/>
  <c r="M253" i="14" s="1"/>
  <c r="AI254" i="14"/>
  <c r="AJ263" i="12" l="1"/>
  <c r="AK263" i="12" s="1"/>
  <c r="AL263" i="12" s="1"/>
  <c r="V264" i="12"/>
  <c r="Q263" i="12"/>
  <c r="O263" i="12"/>
  <c r="B264" i="12"/>
  <c r="G264" i="12" s="1"/>
  <c r="C254" i="14"/>
  <c r="AB253" i="14"/>
  <c r="AC253" i="14" s="1"/>
  <c r="L253" i="14"/>
  <c r="P253" i="14" s="1"/>
  <c r="AA253" i="14" s="1"/>
  <c r="X263" i="12" l="1"/>
  <c r="AI263" i="12" s="1"/>
  <c r="M264" i="12"/>
  <c r="S264" i="12"/>
  <c r="AN264" i="12"/>
  <c r="AD253" i="14"/>
  <c r="N254" i="14"/>
  <c r="J254" i="14" s="1"/>
  <c r="H254" i="14" s="1"/>
  <c r="AF254" i="14"/>
  <c r="E254" i="14" s="1"/>
  <c r="K254" i="14"/>
  <c r="R254" i="14"/>
  <c r="G254" i="14"/>
  <c r="F254" i="14"/>
  <c r="K264" i="12" l="1"/>
  <c r="AR264" i="12" s="1"/>
  <c r="I264" i="12" s="1"/>
  <c r="Z264" i="12" s="1"/>
  <c r="E264" i="12"/>
  <c r="AQ265" i="12" s="1"/>
  <c r="D264" i="12"/>
  <c r="I254" i="14"/>
  <c r="Q254" i="14" s="1"/>
  <c r="M254" i="14" s="1"/>
  <c r="AI255" i="14"/>
  <c r="AJ264" i="12" l="1"/>
  <c r="AK264" i="12" s="1"/>
  <c r="AL264" i="12" s="1"/>
  <c r="B265" i="12"/>
  <c r="M265" i="12" s="1"/>
  <c r="O264" i="12"/>
  <c r="Q264" i="12"/>
  <c r="L254" i="14"/>
  <c r="P254" i="14" s="1"/>
  <c r="AA254" i="14" s="1"/>
  <c r="C255" i="14"/>
  <c r="AB254" i="14"/>
  <c r="AC254" i="14" s="1"/>
  <c r="X264" i="12" l="1"/>
  <c r="AI264" i="12" s="1"/>
  <c r="S265" i="12"/>
  <c r="AN265" i="12"/>
  <c r="D265" i="12" s="1"/>
  <c r="G265" i="12"/>
  <c r="AR265" i="12"/>
  <c r="AD254" i="14"/>
  <c r="AF255" i="14"/>
  <c r="E255" i="14" s="1"/>
  <c r="K255" i="14"/>
  <c r="N255" i="14"/>
  <c r="J255" i="14" s="1"/>
  <c r="H255" i="14" s="1"/>
  <c r="R255" i="14"/>
  <c r="F255" i="14"/>
  <c r="G255" i="14"/>
  <c r="E265" i="12" l="1"/>
  <c r="AQ266" i="12" s="1"/>
  <c r="K265" i="12"/>
  <c r="I265" i="12" s="1"/>
  <c r="Z265" i="12" s="1"/>
  <c r="I255" i="14"/>
  <c r="Q255" i="14" s="1"/>
  <c r="M255" i="14" s="1"/>
  <c r="AI256" i="14"/>
  <c r="O265" i="12" l="1"/>
  <c r="V266" i="12"/>
  <c r="Q265" i="12"/>
  <c r="X265" i="12" s="1"/>
  <c r="AI265" i="12" s="1"/>
  <c r="B266" i="12"/>
  <c r="M266" i="12" s="1"/>
  <c r="AJ265" i="12"/>
  <c r="AK265" i="12" s="1"/>
  <c r="AL265" i="12" s="1"/>
  <c r="L255" i="14"/>
  <c r="P255" i="14" s="1"/>
  <c r="AA255" i="14" s="1"/>
  <c r="C256" i="14"/>
  <c r="AB255" i="14"/>
  <c r="AC255" i="14" s="1"/>
  <c r="G266" i="12" l="1"/>
  <c r="AN266" i="12"/>
  <c r="D266" i="12" s="1"/>
  <c r="S266" i="12"/>
  <c r="AD255" i="14"/>
  <c r="AF256" i="14"/>
  <c r="E256" i="14" s="1"/>
  <c r="K256" i="14"/>
  <c r="F256" i="14"/>
  <c r="N256" i="14"/>
  <c r="J256" i="14" s="1"/>
  <c r="H256" i="14" s="1"/>
  <c r="R256" i="14"/>
  <c r="G256" i="14"/>
  <c r="E266" i="12" l="1"/>
  <c r="AQ267" i="12" s="1"/>
  <c r="K266" i="12"/>
  <c r="AR266" i="12"/>
  <c r="I256" i="14"/>
  <c r="Q256" i="14" s="1"/>
  <c r="M256" i="14" s="1"/>
  <c r="AI257" i="14"/>
  <c r="I266" i="12" l="1"/>
  <c r="Z266" i="12" s="1"/>
  <c r="Q266" i="12" s="1"/>
  <c r="L256" i="14"/>
  <c r="P256" i="14" s="1"/>
  <c r="AA256" i="14" s="1"/>
  <c r="C257" i="14"/>
  <c r="AB256" i="14"/>
  <c r="AC256" i="14" s="1"/>
  <c r="O266" i="12" l="1"/>
  <c r="X266" i="12" s="1"/>
  <c r="AI266" i="12" s="1"/>
  <c r="AJ266" i="12"/>
  <c r="AK266" i="12" s="1"/>
  <c r="AL266" i="12" s="1"/>
  <c r="B267" i="12"/>
  <c r="G267" i="12" s="1"/>
  <c r="AD256" i="14"/>
  <c r="K257" i="14"/>
  <c r="F257" i="14"/>
  <c r="N257" i="14"/>
  <c r="J257" i="14" s="1"/>
  <c r="H257" i="14" s="1"/>
  <c r="AF257" i="14"/>
  <c r="E257" i="14" s="1"/>
  <c r="R257" i="14"/>
  <c r="G257" i="14"/>
  <c r="AN267" i="12" l="1"/>
  <c r="E267" i="12" s="1"/>
  <c r="AQ268" i="12" s="1"/>
  <c r="S267" i="12"/>
  <c r="M267" i="12"/>
  <c r="I257" i="14"/>
  <c r="Q257" i="14" s="1"/>
  <c r="M257" i="14" s="1"/>
  <c r="AI258" i="14"/>
  <c r="K267" i="12" l="1"/>
  <c r="AR267" i="12" s="1"/>
  <c r="I267" i="12" s="1"/>
  <c r="Z267" i="12" s="1"/>
  <c r="V268" i="12" s="1"/>
  <c r="D267" i="12"/>
  <c r="C258" i="14"/>
  <c r="L257" i="14"/>
  <c r="P257" i="14" s="1"/>
  <c r="AA257" i="14" s="1"/>
  <c r="AB257" i="14"/>
  <c r="AC257" i="14" s="1"/>
  <c r="Q267" i="12" l="1"/>
  <c r="O267" i="12"/>
  <c r="B268" i="12"/>
  <c r="S268" i="12" s="1"/>
  <c r="AJ267" i="12"/>
  <c r="AK267" i="12" s="1"/>
  <c r="AL267" i="12" s="1"/>
  <c r="AD257" i="14"/>
  <c r="N258" i="14"/>
  <c r="J258" i="14" s="1"/>
  <c r="H258" i="14" s="1"/>
  <c r="AF258" i="14"/>
  <c r="E258" i="14" s="1"/>
  <c r="K258" i="14"/>
  <c r="R258" i="14"/>
  <c r="G258" i="14"/>
  <c r="F258" i="14"/>
  <c r="X267" i="12" l="1"/>
  <c r="AI267" i="12" s="1"/>
  <c r="M268" i="12"/>
  <c r="AN268" i="12"/>
  <c r="E268" i="12" s="1"/>
  <c r="AQ269" i="12" s="1"/>
  <c r="G268" i="12"/>
  <c r="I258" i="14"/>
  <c r="Q258" i="14" s="1"/>
  <c r="M258" i="14" s="1"/>
  <c r="AI259" i="14"/>
  <c r="D268" i="12" l="1"/>
  <c r="K268" i="12"/>
  <c r="AR268" i="12"/>
  <c r="L258" i="14"/>
  <c r="P258" i="14" s="1"/>
  <c r="AA258" i="14" s="1"/>
  <c r="C259" i="14"/>
  <c r="AB258" i="14"/>
  <c r="AC258" i="14" s="1"/>
  <c r="I268" i="12" l="1"/>
  <c r="Z268" i="12" s="1"/>
  <c r="O268" i="12" s="1"/>
  <c r="AD258" i="14"/>
  <c r="AF259" i="14"/>
  <c r="E259" i="14" s="1"/>
  <c r="K259" i="14"/>
  <c r="N259" i="14"/>
  <c r="J259" i="14" s="1"/>
  <c r="H259" i="14" s="1"/>
  <c r="F259" i="14"/>
  <c r="R259" i="14"/>
  <c r="G259" i="14"/>
  <c r="Q268" i="12" l="1"/>
  <c r="X268" i="12" s="1"/>
  <c r="AI268" i="12" s="1"/>
  <c r="AJ268" i="12"/>
  <c r="AK268" i="12" s="1"/>
  <c r="AL268" i="12" s="1"/>
  <c r="B269" i="12"/>
  <c r="I259" i="14"/>
  <c r="Q259" i="14" s="1"/>
  <c r="M259" i="14" s="1"/>
  <c r="AI260" i="14"/>
  <c r="S269" i="12" l="1"/>
  <c r="G269" i="12"/>
  <c r="AN269" i="12"/>
  <c r="D269" i="12" s="1"/>
  <c r="M269" i="12"/>
  <c r="L259" i="14"/>
  <c r="P259" i="14" s="1"/>
  <c r="AA259" i="14" s="1"/>
  <c r="C260" i="14"/>
  <c r="AB259" i="14"/>
  <c r="AC259" i="14" s="1"/>
  <c r="K269" i="12" l="1"/>
  <c r="AR269" i="12" s="1"/>
  <c r="I269" i="12" s="1"/>
  <c r="E269" i="12"/>
  <c r="AQ270" i="12" s="1"/>
  <c r="AD259" i="14"/>
  <c r="AF260" i="14"/>
  <c r="E260" i="14" s="1"/>
  <c r="K260" i="14"/>
  <c r="F260" i="14"/>
  <c r="N260" i="14"/>
  <c r="J260" i="14" s="1"/>
  <c r="H260" i="14" s="1"/>
  <c r="G260" i="14"/>
  <c r="R260" i="14"/>
  <c r="Z269" i="12" l="1"/>
  <c r="I260" i="14"/>
  <c r="Q260" i="14" s="1"/>
  <c r="M260" i="14" s="1"/>
  <c r="AI261" i="14"/>
  <c r="AJ269" i="12" l="1"/>
  <c r="AK269" i="12" s="1"/>
  <c r="AL269" i="12" s="1"/>
  <c r="V270" i="12"/>
  <c r="Q269" i="12"/>
  <c r="O269" i="12"/>
  <c r="B270" i="12"/>
  <c r="AN270" i="12" s="1"/>
  <c r="E270" i="12" s="1"/>
  <c r="AQ271" i="12" s="1"/>
  <c r="L260" i="14"/>
  <c r="P260" i="14" s="1"/>
  <c r="AA260" i="14" s="1"/>
  <c r="C261" i="14"/>
  <c r="AB260" i="14"/>
  <c r="AC260" i="14" s="1"/>
  <c r="X269" i="12" l="1"/>
  <c r="AI269" i="12" s="1"/>
  <c r="M270" i="12"/>
  <c r="G270" i="12"/>
  <c r="S270" i="12"/>
  <c r="D270" i="12"/>
  <c r="AD260" i="14"/>
  <c r="K261" i="14"/>
  <c r="F261" i="14"/>
  <c r="N261" i="14"/>
  <c r="J261" i="14" s="1"/>
  <c r="H261" i="14" s="1"/>
  <c r="AF261" i="14"/>
  <c r="E261" i="14" s="1"/>
  <c r="R261" i="14"/>
  <c r="G261" i="14"/>
  <c r="K270" i="12" l="1"/>
  <c r="AR270" i="12"/>
  <c r="I261" i="14"/>
  <c r="Q261" i="14" s="1"/>
  <c r="M261" i="14" s="1"/>
  <c r="AI262" i="14"/>
  <c r="I270" i="12" l="1"/>
  <c r="Z270" i="12" s="1"/>
  <c r="Q270" i="12" s="1"/>
  <c r="C262" i="14"/>
  <c r="L261" i="14"/>
  <c r="P261" i="14" s="1"/>
  <c r="AA261" i="14" s="1"/>
  <c r="AB261" i="14"/>
  <c r="AC261" i="14" s="1"/>
  <c r="O270" i="12" l="1"/>
  <c r="X270" i="12" s="1"/>
  <c r="AI270" i="12" s="1"/>
  <c r="AJ270" i="12"/>
  <c r="AK270" i="12" s="1"/>
  <c r="AL270" i="12" s="1"/>
  <c r="B271" i="12"/>
  <c r="M271" i="12" s="1"/>
  <c r="AD261" i="14"/>
  <c r="N262" i="14"/>
  <c r="J262" i="14" s="1"/>
  <c r="H262" i="14" s="1"/>
  <c r="AF262" i="14"/>
  <c r="E262" i="14" s="1"/>
  <c r="K262" i="14"/>
  <c r="F262" i="14"/>
  <c r="G262" i="14"/>
  <c r="R262" i="14"/>
  <c r="G271" i="12" l="1"/>
  <c r="S271" i="12"/>
  <c r="AN271" i="12"/>
  <c r="AR271" i="12"/>
  <c r="I262" i="14"/>
  <c r="Q262" i="14" s="1"/>
  <c r="M262" i="14" s="1"/>
  <c r="AI263" i="14"/>
  <c r="D271" i="12" l="1"/>
  <c r="K271" i="12"/>
  <c r="I271" i="12" s="1"/>
  <c r="Z271" i="12" s="1"/>
  <c r="V272" i="12" s="1"/>
  <c r="E271" i="12"/>
  <c r="AQ272" i="12" s="1"/>
  <c r="L262" i="14"/>
  <c r="P262" i="14" s="1"/>
  <c r="AA262" i="14" s="1"/>
  <c r="C263" i="14"/>
  <c r="AB262" i="14"/>
  <c r="AC262" i="14" s="1"/>
  <c r="B272" i="12" l="1"/>
  <c r="G272" i="12" s="1"/>
  <c r="O271" i="12"/>
  <c r="Q271" i="12"/>
  <c r="AJ271" i="12"/>
  <c r="AK271" i="12" s="1"/>
  <c r="AL271" i="12" s="1"/>
  <c r="AF263" i="14"/>
  <c r="E263" i="14" s="1"/>
  <c r="K263" i="14"/>
  <c r="N263" i="14"/>
  <c r="J263" i="14" s="1"/>
  <c r="H263" i="14" s="1"/>
  <c r="R263" i="14"/>
  <c r="F263" i="14"/>
  <c r="G263" i="14"/>
  <c r="AD262" i="14"/>
  <c r="M272" i="12" l="1"/>
  <c r="S272" i="12"/>
  <c r="X271" i="12"/>
  <c r="AI271" i="12" s="1"/>
  <c r="AN272" i="12"/>
  <c r="E272" i="12" s="1"/>
  <c r="AQ273" i="12" s="1"/>
  <c r="I263" i="14"/>
  <c r="Q263" i="14" s="1"/>
  <c r="M263" i="14" s="1"/>
  <c r="AI264" i="14"/>
  <c r="K272" i="12" l="1"/>
  <c r="AR272" i="12" s="1"/>
  <c r="I272" i="12" s="1"/>
  <c r="Z272" i="12" s="1"/>
  <c r="O272" i="12" s="1"/>
  <c r="D272" i="12"/>
  <c r="L263" i="14"/>
  <c r="P263" i="14" s="1"/>
  <c r="AA263" i="14" s="1"/>
  <c r="C264" i="14"/>
  <c r="AB263" i="14"/>
  <c r="AC263" i="14" s="1"/>
  <c r="Q272" i="12" l="1"/>
  <c r="X272" i="12" s="1"/>
  <c r="AI272" i="12" s="1"/>
  <c r="B273" i="12"/>
  <c r="M273" i="12" s="1"/>
  <c r="AJ272" i="12"/>
  <c r="AK272" i="12" s="1"/>
  <c r="AL272" i="12" s="1"/>
  <c r="AD263" i="14"/>
  <c r="AF264" i="14"/>
  <c r="E264" i="14" s="1"/>
  <c r="K264" i="14"/>
  <c r="F264" i="14"/>
  <c r="N264" i="14"/>
  <c r="J264" i="14" s="1"/>
  <c r="H264" i="14" s="1"/>
  <c r="R264" i="14"/>
  <c r="G264" i="14"/>
  <c r="G273" i="12" l="1"/>
  <c r="S273" i="12"/>
  <c r="AN273" i="12"/>
  <c r="D273" i="12" s="1"/>
  <c r="I264" i="14"/>
  <c r="Q264" i="14" s="1"/>
  <c r="M264" i="14" s="1"/>
  <c r="AI265" i="14"/>
  <c r="E273" i="12" l="1"/>
  <c r="AQ274" i="12" s="1"/>
  <c r="K273" i="12"/>
  <c r="AR273" i="12"/>
  <c r="L264" i="14"/>
  <c r="P264" i="14" s="1"/>
  <c r="AA264" i="14" s="1"/>
  <c r="C265" i="14"/>
  <c r="AB264" i="14"/>
  <c r="AC264" i="14" s="1"/>
  <c r="I273" i="12" l="1"/>
  <c r="Z273" i="12" s="1"/>
  <c r="AD264" i="14"/>
  <c r="K265" i="14"/>
  <c r="F265" i="14"/>
  <c r="N265" i="14"/>
  <c r="J265" i="14" s="1"/>
  <c r="H265" i="14" s="1"/>
  <c r="AF265" i="14"/>
  <c r="E265" i="14" s="1"/>
  <c r="R265" i="14"/>
  <c r="G265" i="14"/>
  <c r="B274" i="12" l="1"/>
  <c r="M274" i="12" s="1"/>
  <c r="V274" i="12"/>
  <c r="O273" i="12"/>
  <c r="Q273" i="12"/>
  <c r="AJ273" i="12"/>
  <c r="AK273" i="12" s="1"/>
  <c r="AL273" i="12" s="1"/>
  <c r="I265" i="14"/>
  <c r="Q265" i="14" s="1"/>
  <c r="M265" i="14" s="1"/>
  <c r="AI266" i="14"/>
  <c r="S274" i="12" l="1"/>
  <c r="G274" i="12"/>
  <c r="AN274" i="12"/>
  <c r="D274" i="12" s="1"/>
  <c r="X273" i="12"/>
  <c r="AI273" i="12" s="1"/>
  <c r="E274" i="12"/>
  <c r="AQ275" i="12" s="1"/>
  <c r="K274" i="12"/>
  <c r="AR274" i="12" s="1"/>
  <c r="I274" i="12" s="1"/>
  <c r="Z274" i="12" s="1"/>
  <c r="Q274" i="12" s="1"/>
  <c r="C266" i="14"/>
  <c r="L265" i="14"/>
  <c r="P265" i="14" s="1"/>
  <c r="AA265" i="14" s="1"/>
  <c r="AB265" i="14"/>
  <c r="AC265" i="14" s="1"/>
  <c r="B275" i="12" l="1"/>
  <c r="O274" i="12"/>
  <c r="X274" i="12" s="1"/>
  <c r="AI274" i="12" s="1"/>
  <c r="AJ274" i="12"/>
  <c r="AK274" i="12" s="1"/>
  <c r="AL274" i="12" s="1"/>
  <c r="AD265" i="14"/>
  <c r="N266" i="14"/>
  <c r="J266" i="14" s="1"/>
  <c r="H266" i="14" s="1"/>
  <c r="AF266" i="14"/>
  <c r="E266" i="14" s="1"/>
  <c r="K266" i="14"/>
  <c r="F266" i="14"/>
  <c r="R266" i="14"/>
  <c r="G266" i="14"/>
  <c r="I266" i="14" l="1"/>
  <c r="Q266" i="14" s="1"/>
  <c r="M266" i="14" s="1"/>
  <c r="G275" i="12"/>
  <c r="AN275" i="12"/>
  <c r="M275" i="12"/>
  <c r="S275" i="12"/>
  <c r="AI267" i="14"/>
  <c r="K275" i="12" l="1"/>
  <c r="AR275" i="12" s="1"/>
  <c r="I275" i="12" s="1"/>
  <c r="E275" i="12"/>
  <c r="AQ276" i="12" s="1"/>
  <c r="D275" i="12"/>
  <c r="L266" i="14"/>
  <c r="P266" i="14" s="1"/>
  <c r="AA266" i="14" s="1"/>
  <c r="C267" i="14"/>
  <c r="AB266" i="14"/>
  <c r="AC266" i="14" s="1"/>
  <c r="Z275" i="12" l="1"/>
  <c r="AF267" i="14"/>
  <c r="E267" i="14" s="1"/>
  <c r="K267" i="14"/>
  <c r="N267" i="14"/>
  <c r="J267" i="14" s="1"/>
  <c r="H267" i="14" s="1"/>
  <c r="F267" i="14"/>
  <c r="R267" i="14"/>
  <c r="G267" i="14"/>
  <c r="AD266" i="14"/>
  <c r="O275" i="12" l="1"/>
  <c r="V276" i="12"/>
  <c r="Q275" i="12"/>
  <c r="X275" i="12" s="1"/>
  <c r="AI275" i="12" s="1"/>
  <c r="B276" i="12"/>
  <c r="S276" i="12" s="1"/>
  <c r="AJ275" i="12"/>
  <c r="AK275" i="12" s="1"/>
  <c r="AL275" i="12" s="1"/>
  <c r="I267" i="14"/>
  <c r="Q267" i="14" s="1"/>
  <c r="M267" i="14" s="1"/>
  <c r="AI268" i="14"/>
  <c r="AN276" i="12" l="1"/>
  <c r="E276" i="12" s="1"/>
  <c r="AQ277" i="12" s="1"/>
  <c r="M276" i="12"/>
  <c r="G276" i="12"/>
  <c r="L267" i="14"/>
  <c r="P267" i="14" s="1"/>
  <c r="AA267" i="14" s="1"/>
  <c r="C268" i="14"/>
  <c r="AB267" i="14"/>
  <c r="AC267" i="14" s="1"/>
  <c r="D276" i="12" l="1"/>
  <c r="K276" i="12"/>
  <c r="AR276" i="12" s="1"/>
  <c r="I276" i="12" s="1"/>
  <c r="Z276" i="12" s="1"/>
  <c r="AD267" i="14"/>
  <c r="AF268" i="14"/>
  <c r="E268" i="14" s="1"/>
  <c r="K268" i="14"/>
  <c r="F268" i="14"/>
  <c r="N268" i="14"/>
  <c r="J268" i="14" s="1"/>
  <c r="H268" i="14" s="1"/>
  <c r="G268" i="14"/>
  <c r="R268" i="14"/>
  <c r="Q276" i="12" l="1"/>
  <c r="I268" i="14"/>
  <c r="Q268" i="14" s="1"/>
  <c r="M268" i="14" s="1"/>
  <c r="AJ276" i="12"/>
  <c r="AK276" i="12" s="1"/>
  <c r="AL276" i="12" s="1"/>
  <c r="B277" i="12"/>
  <c r="O276" i="12"/>
  <c r="AI269" i="14"/>
  <c r="X276" i="12" l="1"/>
  <c r="AI276" i="12" s="1"/>
  <c r="AN277" i="12"/>
  <c r="E277" i="12" s="1"/>
  <c r="AQ278" i="12" s="1"/>
  <c r="S277" i="12"/>
  <c r="M277" i="12"/>
  <c r="G277" i="12"/>
  <c r="L268" i="14"/>
  <c r="P268" i="14" s="1"/>
  <c r="AA268" i="14" s="1"/>
  <c r="C269" i="14"/>
  <c r="AB268" i="14"/>
  <c r="AC268" i="14" s="1"/>
  <c r="D277" i="12" l="1"/>
  <c r="K277" i="12"/>
  <c r="AR277" i="12" s="1"/>
  <c r="I277" i="12" s="1"/>
  <c r="Z277" i="12" s="1"/>
  <c r="V278" i="12" s="1"/>
  <c r="AD268" i="14"/>
  <c r="K269" i="14"/>
  <c r="F269" i="14"/>
  <c r="N269" i="14"/>
  <c r="J269" i="14" s="1"/>
  <c r="H269" i="14" s="1"/>
  <c r="I269" i="14" s="1"/>
  <c r="AF269" i="14"/>
  <c r="E269" i="14" s="1"/>
  <c r="R269" i="14"/>
  <c r="G269" i="14"/>
  <c r="Q277" i="12" l="1"/>
  <c r="B278" i="12"/>
  <c r="AN278" i="12" s="1"/>
  <c r="D278" i="12" s="1"/>
  <c r="O277" i="12"/>
  <c r="AJ277" i="12"/>
  <c r="AK277" i="12" s="1"/>
  <c r="AL277" i="12" s="1"/>
  <c r="AI270" i="14"/>
  <c r="Q269" i="14"/>
  <c r="M269" i="14" s="1"/>
  <c r="X277" i="12" l="1"/>
  <c r="AI277" i="12" s="1"/>
  <c r="S278" i="12"/>
  <c r="M278" i="12"/>
  <c r="G278" i="12"/>
  <c r="E278" i="12"/>
  <c r="AQ279" i="12" s="1"/>
  <c r="C270" i="14"/>
  <c r="L269" i="14"/>
  <c r="P269" i="14" s="1"/>
  <c r="AA269" i="14" s="1"/>
  <c r="AB269" i="14"/>
  <c r="AC269" i="14" s="1"/>
  <c r="K278" i="12" l="1"/>
  <c r="AR278" i="12" s="1"/>
  <c r="I278" i="12" s="1"/>
  <c r="Z278" i="12" s="1"/>
  <c r="AD269" i="14"/>
  <c r="N270" i="14"/>
  <c r="J270" i="14" s="1"/>
  <c r="H270" i="14" s="1"/>
  <c r="I270" i="14" s="1"/>
  <c r="AF270" i="14"/>
  <c r="E270" i="14" s="1"/>
  <c r="K270" i="14"/>
  <c r="R270" i="14"/>
  <c r="F270" i="14"/>
  <c r="G270" i="14"/>
  <c r="B279" i="12" l="1"/>
  <c r="AJ278" i="12"/>
  <c r="AK278" i="12" s="1"/>
  <c r="AL278" i="12" s="1"/>
  <c r="O278" i="12"/>
  <c r="Q278" i="12"/>
  <c r="AI271" i="14"/>
  <c r="Q270" i="14"/>
  <c r="M270" i="14" s="1"/>
  <c r="X278" i="12" l="1"/>
  <c r="AI278" i="12" s="1"/>
  <c r="G279" i="12"/>
  <c r="M279" i="12"/>
  <c r="AN279" i="12"/>
  <c r="S279" i="12"/>
  <c r="L270" i="14"/>
  <c r="P270" i="14" s="1"/>
  <c r="AA270" i="14" s="1"/>
  <c r="C271" i="14"/>
  <c r="AB270" i="14"/>
  <c r="AC270" i="14" s="1"/>
  <c r="K279" i="12" l="1"/>
  <c r="AR279" i="12" s="1"/>
  <c r="I279" i="12" s="1"/>
  <c r="Z279" i="12" s="1"/>
  <c r="D279" i="12"/>
  <c r="Q279" i="12" s="1"/>
  <c r="E279" i="12"/>
  <c r="AQ280" i="12" s="1"/>
  <c r="AF271" i="14"/>
  <c r="E271" i="14" s="1"/>
  <c r="K271" i="14"/>
  <c r="N271" i="14"/>
  <c r="J271" i="14" s="1"/>
  <c r="H271" i="14" s="1"/>
  <c r="R271" i="14"/>
  <c r="F271" i="14"/>
  <c r="G271" i="14"/>
  <c r="AD270" i="14"/>
  <c r="B280" i="12" l="1"/>
  <c r="G280" i="12" s="1"/>
  <c r="V280" i="12"/>
  <c r="O279" i="12"/>
  <c r="AJ279" i="12"/>
  <c r="AK279" i="12" s="1"/>
  <c r="AL279" i="12" s="1"/>
  <c r="X279" i="12"/>
  <c r="AI279" i="12" s="1"/>
  <c r="AN280" i="12"/>
  <c r="D280" i="12" s="1"/>
  <c r="S280" i="12"/>
  <c r="M280" i="12"/>
  <c r="E280" i="12"/>
  <c r="AQ281" i="12" s="1"/>
  <c r="I271" i="14"/>
  <c r="Q271" i="14" s="1"/>
  <c r="M271" i="14" s="1"/>
  <c r="AI272" i="14"/>
  <c r="K280" i="12" l="1"/>
  <c r="AR280" i="12" s="1"/>
  <c r="I280" i="12" s="1"/>
  <c r="L271" i="14"/>
  <c r="P271" i="14" s="1"/>
  <c r="AA271" i="14" s="1"/>
  <c r="C272" i="14"/>
  <c r="AB271" i="14"/>
  <c r="AC271" i="14" s="1"/>
  <c r="Z280" i="12" l="1"/>
  <c r="AD271" i="14"/>
  <c r="AF272" i="14"/>
  <c r="E272" i="14" s="1"/>
  <c r="K272" i="14"/>
  <c r="F272" i="14"/>
  <c r="N272" i="14"/>
  <c r="J272" i="14" s="1"/>
  <c r="H272" i="14" s="1"/>
  <c r="R272" i="14"/>
  <c r="G272" i="14"/>
  <c r="B281" i="12" l="1"/>
  <c r="O280" i="12"/>
  <c r="AJ280" i="12"/>
  <c r="AK280" i="12" s="1"/>
  <c r="AL280" i="12" s="1"/>
  <c r="Q280" i="12"/>
  <c r="I272" i="14"/>
  <c r="Q272" i="14" s="1"/>
  <c r="M272" i="14" s="1"/>
  <c r="AI273" i="14"/>
  <c r="X280" i="12" l="1"/>
  <c r="AI280" i="12" s="1"/>
  <c r="AN281" i="12"/>
  <c r="E281" i="12"/>
  <c r="AQ282" i="12" s="1"/>
  <c r="G281" i="12"/>
  <c r="D281" i="12"/>
  <c r="S281" i="12"/>
  <c r="M281" i="12"/>
  <c r="L272" i="14"/>
  <c r="P272" i="14" s="1"/>
  <c r="AA272" i="14" s="1"/>
  <c r="C273" i="14"/>
  <c r="AB272" i="14"/>
  <c r="AC272" i="14" s="1"/>
  <c r="K281" i="12" l="1"/>
  <c r="AR281" i="12" s="1"/>
  <c r="AD272" i="14"/>
  <c r="K273" i="14"/>
  <c r="F273" i="14"/>
  <c r="N273" i="14"/>
  <c r="J273" i="14" s="1"/>
  <c r="H273" i="14" s="1"/>
  <c r="I273" i="14" s="1"/>
  <c r="AF273" i="14"/>
  <c r="E273" i="14" s="1"/>
  <c r="R273" i="14"/>
  <c r="G273" i="14"/>
  <c r="I281" i="12" l="1"/>
  <c r="Z281" i="12" s="1"/>
  <c r="V282" i="12" s="1"/>
  <c r="AI274" i="14"/>
  <c r="Q273" i="14"/>
  <c r="M273" i="14" s="1"/>
  <c r="O281" i="12" l="1"/>
  <c r="B282" i="12"/>
  <c r="AJ281" i="12"/>
  <c r="AK281" i="12" s="1"/>
  <c r="AL281" i="12" s="1"/>
  <c r="Q281" i="12"/>
  <c r="C274" i="14"/>
  <c r="L273" i="14"/>
  <c r="P273" i="14" s="1"/>
  <c r="AA273" i="14" s="1"/>
  <c r="AB273" i="14"/>
  <c r="AC273" i="14" s="1"/>
  <c r="S282" i="12" l="1"/>
  <c r="G282" i="12"/>
  <c r="E282" i="12"/>
  <c r="AQ283" i="12" s="1"/>
  <c r="M282" i="12"/>
  <c r="AN282" i="12"/>
  <c r="D282" i="12" s="1"/>
  <c r="X281" i="12"/>
  <c r="AI281" i="12" s="1"/>
  <c r="AD273" i="14"/>
  <c r="K274" i="14"/>
  <c r="F274" i="14"/>
  <c r="R274" i="14"/>
  <c r="AF274" i="14"/>
  <c r="E274" i="14" s="1"/>
  <c r="N274" i="14"/>
  <c r="J274" i="14" s="1"/>
  <c r="H274" i="14" s="1"/>
  <c r="I274" i="14" s="1"/>
  <c r="G274" i="14"/>
  <c r="K282" i="12" l="1"/>
  <c r="AR282" i="12" s="1"/>
  <c r="AI275" i="14"/>
  <c r="Q274" i="14"/>
  <c r="M274" i="14" s="1"/>
  <c r="I282" i="12" l="1"/>
  <c r="L274" i="14"/>
  <c r="P274" i="14" s="1"/>
  <c r="AA274" i="14" s="1"/>
  <c r="C275" i="14"/>
  <c r="AB274" i="14"/>
  <c r="AC274" i="14" s="1"/>
  <c r="Z282" i="12" l="1"/>
  <c r="F275" i="14"/>
  <c r="I275" i="14"/>
  <c r="H275" i="14"/>
  <c r="K275" i="14"/>
  <c r="R275" i="14"/>
  <c r="J275" i="14"/>
  <c r="E275" i="14"/>
  <c r="AF275" i="14"/>
  <c r="G275" i="14"/>
  <c r="N275" i="14"/>
  <c r="AD274" i="14"/>
  <c r="AJ282" i="12" l="1"/>
  <c r="AK282" i="12" s="1"/>
  <c r="AL282" i="12" s="1"/>
  <c r="O282" i="12"/>
  <c r="B283" i="12"/>
  <c r="Q282" i="12"/>
  <c r="M275" i="14"/>
  <c r="AI276" i="14"/>
  <c r="Q275" i="14"/>
  <c r="M283" i="12" l="1"/>
  <c r="S283" i="12"/>
  <c r="AN283" i="12"/>
  <c r="D283" i="12" s="1"/>
  <c r="E283" i="12"/>
  <c r="AQ284" i="12" s="1"/>
  <c r="G283" i="12"/>
  <c r="X282" i="12"/>
  <c r="AI282" i="12" s="1"/>
  <c r="L275" i="14"/>
  <c r="P275" i="14" s="1"/>
  <c r="AA275" i="14" s="1"/>
  <c r="C276" i="14"/>
  <c r="AB275" i="14"/>
  <c r="AC275" i="14" s="1"/>
  <c r="K283" i="12" l="1"/>
  <c r="AR283" i="12" s="1"/>
  <c r="AD275" i="14"/>
  <c r="K276" i="14"/>
  <c r="F276" i="14"/>
  <c r="I276" i="14"/>
  <c r="H276" i="14"/>
  <c r="E276" i="14"/>
  <c r="R276" i="14"/>
  <c r="AF276" i="14"/>
  <c r="J276" i="14"/>
  <c r="N276" i="14"/>
  <c r="G276" i="14"/>
  <c r="M276" i="14" l="1"/>
  <c r="I283" i="12"/>
  <c r="Z283" i="12" s="1"/>
  <c r="V284" i="12" s="1"/>
  <c r="AI277" i="14"/>
  <c r="Q276" i="14"/>
  <c r="O283" i="12" l="1"/>
  <c r="AJ283" i="12"/>
  <c r="AK283" i="12" s="1"/>
  <c r="AL283" i="12" s="1"/>
  <c r="B284" i="12"/>
  <c r="Q283" i="12"/>
  <c r="L276" i="14"/>
  <c r="P276" i="14" s="1"/>
  <c r="AA276" i="14" s="1"/>
  <c r="C277" i="14"/>
  <c r="AB276" i="14"/>
  <c r="AC276" i="14" s="1"/>
  <c r="AN284" i="12" l="1"/>
  <c r="E284" i="12" s="1"/>
  <c r="AQ285" i="12" s="1"/>
  <c r="G284" i="12"/>
  <c r="S284" i="12"/>
  <c r="K284" i="12" s="1"/>
  <c r="AR284" i="12" s="1"/>
  <c r="M284" i="12"/>
  <c r="X283" i="12"/>
  <c r="AI283" i="12" s="1"/>
  <c r="H277" i="14"/>
  <c r="E277" i="14"/>
  <c r="K277" i="14"/>
  <c r="F277" i="14"/>
  <c r="I277" i="14"/>
  <c r="R277" i="14"/>
  <c r="J277" i="14"/>
  <c r="AF277" i="14"/>
  <c r="G277" i="14"/>
  <c r="N277" i="14"/>
  <c r="AD276" i="14"/>
  <c r="D284" i="12" l="1"/>
  <c r="I284" i="12"/>
  <c r="M277" i="14"/>
  <c r="AI278" i="14"/>
  <c r="Q277" i="14"/>
  <c r="Z284" i="12" l="1"/>
  <c r="Q284" i="12"/>
  <c r="C278" i="14"/>
  <c r="L277" i="14"/>
  <c r="P277" i="14" s="1"/>
  <c r="AA277" i="14" s="1"/>
  <c r="AB277" i="14"/>
  <c r="AC277" i="14" s="1"/>
  <c r="O284" i="12" l="1"/>
  <c r="X284" i="12" s="1"/>
  <c r="AI284" i="12" s="1"/>
  <c r="B285" i="12"/>
  <c r="AJ284" i="12"/>
  <c r="AK284" i="12" s="1"/>
  <c r="AL284" i="12" s="1"/>
  <c r="H278" i="14"/>
  <c r="E278" i="14"/>
  <c r="K278" i="14"/>
  <c r="F278" i="14"/>
  <c r="R278" i="14"/>
  <c r="I278" i="14"/>
  <c r="AF278" i="14"/>
  <c r="N278" i="14"/>
  <c r="J278" i="14"/>
  <c r="G278" i="14"/>
  <c r="AD277" i="14"/>
  <c r="S285" i="12" l="1"/>
  <c r="E285" i="12"/>
  <c r="AQ286" i="12" s="1"/>
  <c r="M285" i="12"/>
  <c r="AN285" i="12"/>
  <c r="K285" i="12" s="1"/>
  <c r="AR285" i="12" s="1"/>
  <c r="I285" i="12" s="1"/>
  <c r="G285" i="12"/>
  <c r="M278" i="14"/>
  <c r="AI279" i="14"/>
  <c r="Q278" i="14"/>
  <c r="D285" i="12" l="1"/>
  <c r="Q285" i="12" s="1"/>
  <c r="Z285" i="12"/>
  <c r="V286" i="12" s="1"/>
  <c r="L278" i="14"/>
  <c r="P278" i="14" s="1"/>
  <c r="AA278" i="14" s="1"/>
  <c r="C279" i="14"/>
  <c r="AB278" i="14"/>
  <c r="AC278" i="14" s="1"/>
  <c r="B286" i="12" l="1"/>
  <c r="O285" i="12"/>
  <c r="X285" i="12" s="1"/>
  <c r="AI285" i="12" s="1"/>
  <c r="AJ285" i="12"/>
  <c r="AK285" i="12" s="1"/>
  <c r="AL285" i="12" s="1"/>
  <c r="F279" i="14"/>
  <c r="I279" i="14"/>
  <c r="H279" i="14"/>
  <c r="K279" i="14"/>
  <c r="E279" i="14"/>
  <c r="R279" i="14"/>
  <c r="J279" i="14"/>
  <c r="AF279" i="14"/>
  <c r="G279" i="14"/>
  <c r="N279" i="14"/>
  <c r="AC279" i="14"/>
  <c r="AD278" i="14"/>
  <c r="AN286" i="12" l="1"/>
  <c r="G286" i="12"/>
  <c r="S286" i="12"/>
  <c r="K286" i="12" s="1"/>
  <c r="AR286" i="12" s="1"/>
  <c r="M286" i="12"/>
  <c r="D286" i="12"/>
  <c r="E286" i="12"/>
  <c r="AQ287" i="12" s="1"/>
  <c r="M279" i="14"/>
  <c r="AC280" i="14"/>
  <c r="AD280" i="14" s="1"/>
  <c r="AD279" i="14"/>
  <c r="AI280" i="14"/>
  <c r="Q279" i="14"/>
  <c r="I286" i="12" l="1"/>
  <c r="L279" i="14"/>
  <c r="P279" i="14" s="1"/>
  <c r="C280" i="14"/>
  <c r="Z286" i="12" l="1"/>
  <c r="K280" i="14"/>
  <c r="F280" i="14"/>
  <c r="I280" i="14"/>
  <c r="I282" i="14" s="1"/>
  <c r="H280" i="14"/>
  <c r="N280" i="14"/>
  <c r="R280" i="14"/>
  <c r="R282" i="14" s="1"/>
  <c r="AF280" i="14"/>
  <c r="J280" i="14"/>
  <c r="J282" i="14" s="1"/>
  <c r="G280" i="14"/>
  <c r="E280" i="14"/>
  <c r="B287" i="12" l="1"/>
  <c r="O286" i="12"/>
  <c r="AJ286" i="12"/>
  <c r="AK286" i="12" s="1"/>
  <c r="AL286" i="12" s="1"/>
  <c r="Q286" i="12"/>
  <c r="M280" i="14"/>
  <c r="H282" i="14"/>
  <c r="F282" i="14"/>
  <c r="Q280" i="14"/>
  <c r="L280" i="14" s="1"/>
  <c r="L282" i="14" s="1"/>
  <c r="X286" i="12" l="1"/>
  <c r="AI286" i="12" s="1"/>
  <c r="M287" i="12"/>
  <c r="D287" i="12"/>
  <c r="AN287" i="12"/>
  <c r="E287" i="12" s="1"/>
  <c r="AQ288" i="12" s="1"/>
  <c r="S287" i="12"/>
  <c r="G287" i="12"/>
  <c r="P280" i="14"/>
  <c r="K287" i="12" l="1"/>
  <c r="AR287" i="12" s="1"/>
  <c r="I287" i="12" s="1"/>
  <c r="Z287" i="12" s="1"/>
  <c r="V288" i="12" s="1"/>
  <c r="O287" i="12" l="1"/>
  <c r="B288" i="12"/>
  <c r="AJ287" i="12"/>
  <c r="AK287" i="12" s="1"/>
  <c r="AL287" i="12" s="1"/>
  <c r="Q287" i="12"/>
  <c r="X287" i="12" s="1"/>
  <c r="AI287" i="12" s="1"/>
  <c r="G288" i="12" l="1"/>
  <c r="S288" i="12"/>
  <c r="M288" i="12"/>
  <c r="D288" i="12"/>
  <c r="AN288" i="12"/>
  <c r="E288" i="12" s="1"/>
  <c r="AQ289" i="12" s="1"/>
  <c r="K288" i="12" l="1"/>
  <c r="AR288" i="12" s="1"/>
  <c r="I288" i="12" s="1"/>
  <c r="Z288" i="12" l="1"/>
  <c r="AJ288" i="12" l="1"/>
  <c r="AK288" i="12" s="1"/>
  <c r="AL288" i="12" s="1"/>
  <c r="B289" i="12"/>
  <c r="O288" i="12"/>
  <c r="Q288" i="12"/>
  <c r="X288" i="12" l="1"/>
  <c r="AI288" i="12" s="1"/>
  <c r="G289" i="12"/>
  <c r="AN289" i="12"/>
  <c r="E289" i="12" s="1"/>
  <c r="AQ290" i="12" s="1"/>
  <c r="D289" i="12"/>
  <c r="M289" i="12"/>
  <c r="S289" i="12"/>
  <c r="K289" i="12" l="1"/>
  <c r="AR289" i="12" s="1"/>
  <c r="I289" i="12" s="1"/>
  <c r="Z289" i="12" s="1"/>
  <c r="V290" i="12" s="1"/>
  <c r="O289" i="12" l="1"/>
  <c r="B290" i="12"/>
  <c r="AJ289" i="12"/>
  <c r="AK289" i="12" s="1"/>
  <c r="AL289" i="12" s="1"/>
  <c r="Q289" i="12"/>
  <c r="X289" i="12" s="1"/>
  <c r="AI289" i="12" s="1"/>
  <c r="M290" i="12" l="1"/>
  <c r="AN290" i="12"/>
  <c r="D290" i="12" s="1"/>
  <c r="S290" i="12"/>
  <c r="G290" i="12"/>
  <c r="K290" i="12" l="1"/>
  <c r="AR290" i="12" s="1"/>
  <c r="E290" i="12"/>
  <c r="AQ291" i="12" s="1"/>
  <c r="I290" i="12" l="1"/>
  <c r="Z290" i="12" l="1"/>
  <c r="AJ290" i="12" l="1"/>
  <c r="AK290" i="12" s="1"/>
  <c r="AL290" i="12" s="1"/>
  <c r="B291" i="12"/>
  <c r="O290" i="12"/>
  <c r="Q290" i="12"/>
  <c r="X290" i="12" l="1"/>
  <c r="AI290" i="12" s="1"/>
  <c r="S291" i="12"/>
  <c r="AN291" i="12"/>
  <c r="E291" i="12"/>
  <c r="AQ292" i="12" s="1"/>
  <c r="D291" i="12"/>
  <c r="G291" i="12"/>
  <c r="M291" i="12"/>
  <c r="K291" i="12" l="1"/>
  <c r="AR291" i="12" s="1"/>
  <c r="I291" i="12" s="1"/>
  <c r="Z291" i="12" s="1"/>
  <c r="V292" i="12" s="1"/>
  <c r="B292" i="12" l="1"/>
  <c r="O291" i="12"/>
  <c r="AJ291" i="12"/>
  <c r="AK291" i="12" s="1"/>
  <c r="AL291" i="12" s="1"/>
  <c r="Q291" i="12"/>
  <c r="X291" i="12" s="1"/>
  <c r="AI291" i="12" s="1"/>
  <c r="M292" i="12" l="1"/>
  <c r="AN292" i="12"/>
  <c r="E292" i="12" s="1"/>
  <c r="AQ293" i="12" s="1"/>
  <c r="G292" i="12"/>
  <c r="D292" i="12"/>
  <c r="S292" i="12"/>
  <c r="K292" i="12" l="1"/>
  <c r="AR292" i="12" s="1"/>
  <c r="I292" i="12" l="1"/>
  <c r="Z292" i="12" l="1"/>
  <c r="O292" i="12" l="1"/>
  <c r="AJ292" i="12"/>
  <c r="AK292" i="12" s="1"/>
  <c r="AL292" i="12" s="1"/>
  <c r="B293" i="12"/>
  <c r="Q292" i="12"/>
  <c r="S293" i="12" l="1"/>
  <c r="AN293" i="12"/>
  <c r="K293" i="12" s="1"/>
  <c r="AR293" i="12" s="1"/>
  <c r="I293" i="12" s="1"/>
  <c r="Z293" i="12" s="1"/>
  <c r="V294" i="12" s="1"/>
  <c r="E293" i="12"/>
  <c r="AQ294" i="12" s="1"/>
  <c r="D293" i="12"/>
  <c r="M293" i="12"/>
  <c r="G293" i="12"/>
  <c r="X292" i="12"/>
  <c r="AI292" i="12" s="1"/>
  <c r="O293" i="12" l="1"/>
  <c r="AJ293" i="12"/>
  <c r="AK293" i="12" s="1"/>
  <c r="AL293" i="12" s="1"/>
  <c r="B294" i="12"/>
  <c r="Q293" i="12"/>
  <c r="X293" i="12" s="1"/>
  <c r="AI293" i="12" s="1"/>
  <c r="G294" i="12" l="1"/>
  <c r="S294" i="12"/>
  <c r="M294" i="12"/>
  <c r="D294" i="12"/>
  <c r="AN294" i="12"/>
  <c r="E294" i="12" s="1"/>
  <c r="AQ295" i="12" s="1"/>
  <c r="K294" i="12" l="1"/>
  <c r="AR294" i="12" s="1"/>
  <c r="I294" i="12" s="1"/>
  <c r="Z294" i="12" l="1"/>
  <c r="O294" i="12" l="1"/>
  <c r="B295" i="12"/>
  <c r="AJ294" i="12"/>
  <c r="AK294" i="12" s="1"/>
  <c r="AL294" i="12" s="1"/>
  <c r="Q294" i="12"/>
  <c r="M295" i="12" l="1"/>
  <c r="AN295" i="12"/>
  <c r="G295" i="12"/>
  <c r="D295" i="12"/>
  <c r="E295" i="12"/>
  <c r="AQ296" i="12" s="1"/>
  <c r="K295" i="12"/>
  <c r="AR295" i="12" s="1"/>
  <c r="S295" i="12"/>
  <c r="X294" i="12"/>
  <c r="AI294" i="12" s="1"/>
  <c r="I295" i="12" l="1"/>
  <c r="Z295" i="12" s="1"/>
  <c r="V296" i="12" s="1"/>
  <c r="O295" i="12" l="1"/>
  <c r="B296" i="12"/>
  <c r="AJ295" i="12"/>
  <c r="AK295" i="12" s="1"/>
  <c r="AL295" i="12" s="1"/>
  <c r="Q295" i="12"/>
  <c r="S296" i="12" l="1"/>
  <c r="M296" i="12"/>
  <c r="AN296" i="12"/>
  <c r="K296" i="12" s="1"/>
  <c r="AR296" i="12" s="1"/>
  <c r="G296" i="12"/>
  <c r="X295" i="12"/>
  <c r="AI295" i="12" s="1"/>
  <c r="D296" i="12" l="1"/>
  <c r="E296" i="12"/>
  <c r="AQ297" i="12" s="1"/>
  <c r="I296" i="12"/>
  <c r="Z296" i="12" l="1"/>
  <c r="B297" i="12" l="1"/>
  <c r="AJ296" i="12"/>
  <c r="AK296" i="12" s="1"/>
  <c r="AL296" i="12" s="1"/>
  <c r="O296" i="12"/>
  <c r="Q296" i="12"/>
  <c r="X296" i="12" l="1"/>
  <c r="AI296" i="12" s="1"/>
  <c r="E297" i="12"/>
  <c r="AQ298" i="12" s="1"/>
  <c r="S297" i="12"/>
  <c r="D297" i="12"/>
  <c r="M297" i="12"/>
  <c r="K297" i="12"/>
  <c r="AR297" i="12" s="1"/>
  <c r="AN297" i="12"/>
  <c r="G297" i="12"/>
  <c r="I297" i="12" l="1"/>
  <c r="Z297" i="12" s="1"/>
  <c r="V298" i="12" s="1"/>
  <c r="O297" i="12" l="1"/>
  <c r="B298" i="12"/>
  <c r="AJ297" i="12"/>
  <c r="AK297" i="12" s="1"/>
  <c r="AL297" i="12" s="1"/>
  <c r="Q297" i="12"/>
  <c r="E298" i="12" l="1"/>
  <c r="AQ299" i="12" s="1"/>
  <c r="G298" i="12"/>
  <c r="S298" i="12"/>
  <c r="D298" i="12"/>
  <c r="AN298" i="12"/>
  <c r="M298" i="12"/>
  <c r="X297" i="12"/>
  <c r="AI297" i="12" s="1"/>
  <c r="K298" i="12" l="1"/>
  <c r="AR298" i="12" s="1"/>
  <c r="I298" i="12" s="1"/>
  <c r="Z298" i="12" l="1"/>
  <c r="B299" i="12" l="1"/>
  <c r="O298" i="12"/>
  <c r="AJ298" i="12"/>
  <c r="AK298" i="12" s="1"/>
  <c r="AL298" i="12" s="1"/>
  <c r="Q298" i="12"/>
  <c r="X298" i="12" l="1"/>
  <c r="AI298" i="12" s="1"/>
  <c r="M299" i="12"/>
  <c r="E299" i="12"/>
  <c r="AQ300" i="12" s="1"/>
  <c r="AN299" i="12"/>
  <c r="K299" i="12" s="1"/>
  <c r="AR299" i="12" s="1"/>
  <c r="I299" i="12" s="1"/>
  <c r="D299" i="12"/>
  <c r="S299" i="12"/>
  <c r="G299" i="12"/>
  <c r="Z299" i="12" l="1"/>
  <c r="V300" i="12" s="1"/>
  <c r="Q299" i="12"/>
  <c r="B300" i="12" l="1"/>
  <c r="AJ299" i="12"/>
  <c r="AK299" i="12" s="1"/>
  <c r="AL299" i="12" s="1"/>
  <c r="O299" i="12"/>
  <c r="X299" i="12" s="1"/>
  <c r="AI299" i="12" s="1"/>
  <c r="M300" i="12" l="1"/>
  <c r="AN300" i="12"/>
  <c r="K300" i="12" s="1"/>
  <c r="AR300" i="12" s="1"/>
  <c r="S300" i="12"/>
  <c r="G300" i="12"/>
  <c r="E300" i="12" l="1"/>
  <c r="AQ301" i="12" s="1"/>
  <c r="D300" i="12"/>
  <c r="I300" i="12"/>
  <c r="Z300" i="12" l="1"/>
  <c r="O300" i="12" l="1"/>
  <c r="B301" i="12"/>
  <c r="AJ300" i="12"/>
  <c r="AK300" i="12" s="1"/>
  <c r="AL300" i="12" s="1"/>
  <c r="Q300" i="12"/>
  <c r="CC24" i="12"/>
  <c r="D72" i="14" s="1"/>
  <c r="AN301" i="12" l="1"/>
  <c r="M301" i="12"/>
  <c r="G301" i="12"/>
  <c r="S301" i="12"/>
  <c r="K301" i="12"/>
  <c r="AR301" i="12" s="1"/>
  <c r="E301" i="12"/>
  <c r="AQ302" i="12" s="1"/>
  <c r="D301" i="12"/>
  <c r="X300" i="12"/>
  <c r="AI300" i="12" s="1"/>
  <c r="BP34" i="12"/>
  <c r="CC22" i="12" s="1"/>
  <c r="CC25" i="12"/>
  <c r="K29" i="14" l="1"/>
  <c r="M29" i="14" s="1"/>
  <c r="P29" i="14" s="1"/>
  <c r="AA29" i="14" s="1"/>
  <c r="M67" i="12"/>
  <c r="Q67" i="12" s="1"/>
  <c r="X67" i="12" s="1"/>
  <c r="AI67" i="12" s="1"/>
  <c r="K30" i="14"/>
  <c r="M30" i="14" s="1"/>
  <c r="P30" i="14" s="1"/>
  <c r="AA30" i="14" s="1"/>
  <c r="M68" i="12"/>
  <c r="Q68" i="12" s="1"/>
  <c r="X68" i="12" s="1"/>
  <c r="AI68" i="12" s="1"/>
  <c r="K31" i="14"/>
  <c r="M31" i="14" s="1"/>
  <c r="P31" i="14" s="1"/>
  <c r="AA31" i="14" s="1"/>
  <c r="M69" i="12"/>
  <c r="Q69" i="12" s="1"/>
  <c r="X69" i="12" s="1"/>
  <c r="AI69" i="12" s="1"/>
  <c r="K32" i="14"/>
  <c r="M32" i="14" s="1"/>
  <c r="P32" i="14" s="1"/>
  <c r="AA32" i="14" s="1"/>
  <c r="M70" i="12"/>
  <c r="Q70" i="12" s="1"/>
  <c r="X70" i="12" s="1"/>
  <c r="AI70" i="12" s="1"/>
  <c r="K33" i="14"/>
  <c r="M33" i="14" s="1"/>
  <c r="P33" i="14" s="1"/>
  <c r="AA33" i="14" s="1"/>
  <c r="M71" i="12"/>
  <c r="Q71" i="12" s="1"/>
  <c r="X71" i="12" s="1"/>
  <c r="AI71" i="12" s="1"/>
  <c r="K34" i="14"/>
  <c r="M34" i="14" s="1"/>
  <c r="P34" i="14" s="1"/>
  <c r="AA34" i="14" s="1"/>
  <c r="M72" i="12"/>
  <c r="Q72" i="12" s="1"/>
  <c r="X72" i="12" s="1"/>
  <c r="AI72" i="12" s="1"/>
  <c r="D70" i="14"/>
  <c r="M61" i="12"/>
  <c r="Q61" i="12" s="1"/>
  <c r="X61" i="12" s="1"/>
  <c r="K23" i="14"/>
  <c r="M23" i="14" s="1"/>
  <c r="M62" i="12"/>
  <c r="Q62" i="12" s="1"/>
  <c r="X62" i="12" s="1"/>
  <c r="AI62" i="12" s="1"/>
  <c r="K24" i="14"/>
  <c r="M24" i="14" s="1"/>
  <c r="P24" i="14" s="1"/>
  <c r="AA24" i="14" s="1"/>
  <c r="K25" i="14"/>
  <c r="M25" i="14" s="1"/>
  <c r="P25" i="14" s="1"/>
  <c r="AA25" i="14" s="1"/>
  <c r="M63" i="12"/>
  <c r="Q63" i="12" s="1"/>
  <c r="X63" i="12" s="1"/>
  <c r="AI63" i="12" s="1"/>
  <c r="K26" i="14"/>
  <c r="M26" i="14" s="1"/>
  <c r="P26" i="14" s="1"/>
  <c r="AA26" i="14" s="1"/>
  <c r="M64" i="12"/>
  <c r="Q64" i="12" s="1"/>
  <c r="X64" i="12" s="1"/>
  <c r="AI64" i="12" s="1"/>
  <c r="K27" i="14"/>
  <c r="M27" i="14" s="1"/>
  <c r="P27" i="14" s="1"/>
  <c r="AA27" i="14" s="1"/>
  <c r="M65" i="12"/>
  <c r="Q65" i="12" s="1"/>
  <c r="X65" i="12" s="1"/>
  <c r="AI65" i="12" s="1"/>
  <c r="M66" i="12"/>
  <c r="Q66" i="12" s="1"/>
  <c r="X66" i="12" s="1"/>
  <c r="AI66" i="12" s="1"/>
  <c r="K28" i="14"/>
  <c r="M28" i="14" s="1"/>
  <c r="P28" i="14" s="1"/>
  <c r="AA28" i="14" s="1"/>
  <c r="I301" i="12"/>
  <c r="D73" i="14"/>
  <c r="D74" i="14" s="1"/>
  <c r="D75" i="14" s="1"/>
  <c r="D76" i="14" s="1"/>
  <c r="CC31" i="12"/>
  <c r="CC29" i="12"/>
  <c r="Z301" i="12" l="1"/>
  <c r="V302" i="12" s="1"/>
  <c r="P23" i="14"/>
  <c r="M282" i="14"/>
  <c r="AI61" i="12"/>
  <c r="D77" i="14"/>
  <c r="D78" i="14" s="1"/>
  <c r="D79" i="14" s="1"/>
  <c r="D80" i="14" s="1"/>
  <c r="D81" i="14" s="1"/>
  <c r="D82" i="14" s="1"/>
  <c r="D83" i="14" s="1"/>
  <c r="D84" i="14" s="1"/>
  <c r="D85" i="14" s="1"/>
  <c r="D86" i="14" s="1"/>
  <c r="D87" i="14" s="1"/>
  <c r="D88" i="14" s="1"/>
  <c r="D89" i="14" s="1"/>
  <c r="D90" i="14" s="1"/>
  <c r="D91" i="14" s="1"/>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119" i="14" s="1"/>
  <c r="D120" i="14" s="1"/>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148" i="14" s="1"/>
  <c r="D149" i="14" s="1"/>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77" i="14" s="1"/>
  <c r="D178" i="14" s="1"/>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206" i="14" s="1"/>
  <c r="D207" i="14" s="1"/>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235" i="14" s="1"/>
  <c r="D236" i="14" s="1"/>
  <c r="D237" i="14" s="1"/>
  <c r="D238" i="14" s="1"/>
  <c r="D239" i="14" s="1"/>
  <c r="D240"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CB30" i="12"/>
  <c r="CL31" i="12"/>
  <c r="CM31" i="12" s="1"/>
  <c r="CN31" i="12" s="1"/>
  <c r="AA23" i="14" l="1"/>
  <c r="AA21" i="14" s="1"/>
  <c r="K17" i="14" s="1"/>
  <c r="P282" i="14"/>
  <c r="O301" i="12"/>
  <c r="B302" i="12"/>
  <c r="AJ301" i="12"/>
  <c r="AK301" i="12" s="1"/>
  <c r="AL301" i="12" s="1"/>
  <c r="Q301" i="12"/>
  <c r="S302" i="12" l="1"/>
  <c r="AN302" i="12"/>
  <c r="K302" i="12" s="1"/>
  <c r="AR302" i="12" s="1"/>
  <c r="D302" i="12"/>
  <c r="G302" i="12"/>
  <c r="M302" i="12"/>
  <c r="E302" i="12"/>
  <c r="AQ303" i="12" s="1"/>
  <c r="X301" i="12"/>
  <c r="AI301" i="12" l="1"/>
  <c r="I302" i="12"/>
  <c r="D264" i="14" s="1"/>
  <c r="Z302" i="12" l="1"/>
  <c r="AJ302" i="12" l="1"/>
  <c r="AK302" i="12" s="1"/>
  <c r="AL302" i="12" s="1"/>
  <c r="O302" i="12"/>
  <c r="B303" i="12"/>
  <c r="Q302" i="12"/>
  <c r="AN303" i="12" l="1"/>
  <c r="K303" i="12" s="1"/>
  <c r="AR303" i="12" s="1"/>
  <c r="G303" i="12"/>
  <c r="D303" i="12"/>
  <c r="M303" i="12"/>
  <c r="S303" i="12"/>
  <c r="E303" i="12"/>
  <c r="AQ304" i="12" s="1"/>
  <c r="X302" i="12"/>
  <c r="AI302" i="12" l="1"/>
  <c r="I303" i="12"/>
  <c r="D265" i="14" s="1"/>
  <c r="Z303" i="12" l="1"/>
  <c r="V304" i="12" s="1"/>
  <c r="O303" i="12" l="1"/>
  <c r="AJ303" i="12"/>
  <c r="AK303" i="12" s="1"/>
  <c r="AL303" i="12" s="1"/>
  <c r="B304" i="12"/>
  <c r="Q303" i="12"/>
  <c r="S304" i="12" l="1"/>
  <c r="AN304" i="12"/>
  <c r="E304" i="12" s="1"/>
  <c r="AQ305" i="12" s="1"/>
  <c r="M304" i="12"/>
  <c r="G304" i="12"/>
  <c r="X303" i="12"/>
  <c r="AI303" i="12" l="1"/>
  <c r="D304" i="12"/>
  <c r="K304" i="12"/>
  <c r="AR304" i="12" s="1"/>
  <c r="I304" i="12" s="1"/>
  <c r="D266" i="14" s="1"/>
  <c r="Z304" i="12" l="1"/>
  <c r="O304" i="12" l="1"/>
  <c r="AJ304" i="12"/>
  <c r="AK304" i="12" s="1"/>
  <c r="AL304" i="12" s="1"/>
  <c r="B305" i="12"/>
  <c r="Q304" i="12"/>
  <c r="G305" i="12" l="1"/>
  <c r="S305" i="12"/>
  <c r="E305" i="12"/>
  <c r="AQ306" i="12" s="1"/>
  <c r="D305" i="12"/>
  <c r="AN305" i="12"/>
  <c r="K305" i="12" s="1"/>
  <c r="AR305" i="12" s="1"/>
  <c r="M305" i="12"/>
  <c r="X304" i="12"/>
  <c r="I305" i="12" l="1"/>
  <c r="AI304" i="12"/>
  <c r="Z305" i="12" l="1"/>
  <c r="D267" i="14"/>
  <c r="Q305" i="12" l="1"/>
  <c r="V306" i="12"/>
  <c r="B306" i="12"/>
  <c r="S306" i="12" s="1"/>
  <c r="AJ305" i="12"/>
  <c r="AK305" i="12" s="1"/>
  <c r="AL305" i="12" s="1"/>
  <c r="O305" i="12"/>
  <c r="X305" i="12" s="1"/>
  <c r="AI305" i="12" s="1"/>
  <c r="M306" i="12" l="1"/>
  <c r="G306" i="12"/>
  <c r="AN306" i="12"/>
  <c r="K306" i="12" s="1"/>
  <c r="AR306" i="12" s="1"/>
  <c r="I306" i="12" s="1"/>
  <c r="D268" i="14" s="1"/>
  <c r="Z306" i="12"/>
  <c r="D306" i="12"/>
  <c r="E306" i="12"/>
  <c r="AQ307" i="12" s="1"/>
  <c r="AJ306" i="12" l="1"/>
  <c r="AK306" i="12" s="1"/>
  <c r="AL306" i="12" s="1"/>
  <c r="O306" i="12"/>
  <c r="B307" i="12"/>
  <c r="Q306" i="12"/>
  <c r="M307" i="12" l="1"/>
  <c r="AR307" i="12"/>
  <c r="AN307" i="12"/>
  <c r="K307" i="12"/>
  <c r="G307" i="12"/>
  <c r="E307" i="12"/>
  <c r="AQ308" i="12" s="1"/>
  <c r="Z307" i="12"/>
  <c r="V308" i="12" s="1"/>
  <c r="D307" i="12"/>
  <c r="I307" i="12"/>
  <c r="D269" i="14" s="1"/>
  <c r="S307" i="12"/>
  <c r="X306" i="12"/>
  <c r="AI306" i="12" s="1"/>
  <c r="Q307" i="12" l="1"/>
  <c r="B308" i="12"/>
  <c r="AJ307" i="12"/>
  <c r="AK307" i="12" s="1"/>
  <c r="AL307" i="12" s="1"/>
  <c r="O307" i="12"/>
  <c r="X307" i="12"/>
  <c r="AI307" i="12" s="1"/>
  <c r="K308" i="12" l="1"/>
  <c r="AR308" i="12"/>
  <c r="I308" i="12"/>
  <c r="D270" i="14" s="1"/>
  <c r="AN308" i="12"/>
  <c r="Z308" i="12"/>
  <c r="S308" i="12"/>
  <c r="G308" i="12"/>
  <c r="M308" i="12"/>
  <c r="E308" i="12"/>
  <c r="AQ309" i="12" s="1"/>
  <c r="D308" i="12"/>
  <c r="X308" i="12" l="1"/>
  <c r="AI308" i="12" s="1"/>
  <c r="O308" i="12"/>
  <c r="AJ308" i="12"/>
  <c r="AK308" i="12" s="1"/>
  <c r="AL308" i="12" s="1"/>
  <c r="B309" i="12"/>
  <c r="Q308" i="12"/>
  <c r="S309" i="12" l="1"/>
  <c r="G309" i="12"/>
  <c r="K309" i="12"/>
  <c r="AR309" i="12"/>
  <c r="AN309" i="12"/>
  <c r="M309" i="12"/>
  <c r="E309" i="12"/>
  <c r="AQ310" i="12" s="1"/>
  <c r="I309" i="12"/>
  <c r="D271" i="14" s="1"/>
  <c r="D309" i="12"/>
  <c r="Z309" i="12"/>
  <c r="V310" i="12" s="1"/>
  <c r="O309" i="12" l="1"/>
  <c r="B310" i="12"/>
  <c r="AJ309" i="12"/>
  <c r="AK309" i="12" s="1"/>
  <c r="AL309" i="12" s="1"/>
  <c r="X309" i="12"/>
  <c r="AI309" i="12" s="1"/>
  <c r="Q309" i="12"/>
  <c r="S310" i="12" l="1"/>
  <c r="D310" i="12"/>
  <c r="G310" i="12"/>
  <c r="Z310" i="12"/>
  <c r="M310" i="12"/>
  <c r="AR310" i="12"/>
  <c r="E310" i="12"/>
  <c r="AQ311" i="12" s="1"/>
  <c r="K310" i="12"/>
  <c r="I310" i="12"/>
  <c r="D272" i="14" s="1"/>
  <c r="AN310" i="12"/>
  <c r="B311" i="12" l="1"/>
  <c r="AJ310" i="12"/>
  <c r="AK310" i="12" s="1"/>
  <c r="AL310" i="12" s="1"/>
  <c r="O310" i="12"/>
  <c r="X310" i="12"/>
  <c r="AI310" i="12" s="1"/>
  <c r="Q310" i="12"/>
  <c r="AR311" i="12" l="1"/>
  <c r="M311" i="12"/>
  <c r="I311" i="12"/>
  <c r="D273" i="14" s="1"/>
  <c r="Z311" i="12"/>
  <c r="V312" i="12" s="1"/>
  <c r="K311" i="12"/>
  <c r="E311" i="12"/>
  <c r="AQ312" i="12" s="1"/>
  <c r="S311" i="12"/>
  <c r="D311" i="12"/>
  <c r="G311" i="12"/>
  <c r="AN311" i="12"/>
  <c r="Q311" i="12" l="1"/>
  <c r="AJ311" i="12"/>
  <c r="AK311" i="12" s="1"/>
  <c r="AL311" i="12" s="1"/>
  <c r="O311" i="12"/>
  <c r="B312" i="12"/>
  <c r="X311" i="12"/>
  <c r="AI311" i="12" s="1"/>
  <c r="I312" i="12" l="1"/>
  <c r="D274" i="14" s="1"/>
  <c r="AN312" i="12"/>
  <c r="AR312" i="12"/>
  <c r="Z312" i="12"/>
  <c r="M312" i="12"/>
  <c r="K312" i="12"/>
  <c r="E312" i="12"/>
  <c r="AQ313" i="12" s="1"/>
  <c r="D312" i="12"/>
  <c r="G312" i="12"/>
  <c r="S312" i="12"/>
  <c r="Q312" i="12" l="1"/>
  <c r="AJ312" i="12"/>
  <c r="AK312" i="12" s="1"/>
  <c r="AL312" i="12" s="1"/>
  <c r="O312" i="12"/>
  <c r="B313" i="12"/>
  <c r="X312" i="12"/>
  <c r="AI312" i="12" s="1"/>
  <c r="Z313" i="12" l="1"/>
  <c r="V314" i="12" s="1"/>
  <c r="S313" i="12"/>
  <c r="K313" i="12"/>
  <c r="G313" i="12"/>
  <c r="I313" i="12"/>
  <c r="D275" i="14" s="1"/>
  <c r="E313" i="12"/>
  <c r="AQ314" i="12" s="1"/>
  <c r="M313" i="12"/>
  <c r="AN313" i="12"/>
  <c r="AR313" i="12"/>
  <c r="D313" i="12"/>
  <c r="Q313" i="12" l="1"/>
  <c r="X313" i="12"/>
  <c r="AI313" i="12" s="1"/>
  <c r="AJ313" i="12"/>
  <c r="AK313" i="12" s="1"/>
  <c r="AL313" i="12" s="1"/>
  <c r="B314" i="12"/>
  <c r="O313" i="12"/>
  <c r="E314" i="12" l="1"/>
  <c r="AQ315" i="12" s="1"/>
  <c r="S314" i="12"/>
  <c r="AR314" i="12"/>
  <c r="K314" i="12"/>
  <c r="I314" i="12"/>
  <c r="D276" i="14" s="1"/>
  <c r="M314" i="12"/>
  <c r="G314" i="12"/>
  <c r="Z314" i="12"/>
  <c r="D314" i="12"/>
  <c r="AN314" i="12"/>
  <c r="Q314" i="12" l="1"/>
  <c r="X314" i="12"/>
  <c r="AI314" i="12" s="1"/>
  <c r="O314" i="12"/>
  <c r="B315" i="12"/>
  <c r="AJ314" i="12"/>
  <c r="AK314" i="12" s="1"/>
  <c r="AL314" i="12" s="1"/>
  <c r="D315" i="12" l="1"/>
  <c r="E315" i="12"/>
  <c r="AQ316" i="12" s="1"/>
  <c r="I315" i="12"/>
  <c r="D277" i="14" s="1"/>
  <c r="G315" i="12"/>
  <c r="K315" i="12"/>
  <c r="Z315" i="12"/>
  <c r="V316" i="12" s="1"/>
  <c r="S315" i="12"/>
  <c r="AN315" i="12"/>
  <c r="AR315" i="12"/>
  <c r="M315" i="12"/>
  <c r="X315" i="12" l="1"/>
  <c r="AI315" i="12" s="1"/>
  <c r="AJ315" i="12"/>
  <c r="AK315" i="12" s="1"/>
  <c r="AL315" i="12" s="1"/>
  <c r="B316" i="12"/>
  <c r="O315" i="12"/>
  <c r="Q315" i="12"/>
  <c r="E316" i="12" l="1"/>
  <c r="AQ317" i="12" s="1"/>
  <c r="Z316" i="12"/>
  <c r="AN316" i="12"/>
  <c r="D316" i="12"/>
  <c r="AR316" i="12"/>
  <c r="M316" i="12"/>
  <c r="K316" i="12"/>
  <c r="S316" i="12"/>
  <c r="I316" i="12"/>
  <c r="D278" i="14" s="1"/>
  <c r="G316" i="12"/>
  <c r="Q316" i="12" l="1"/>
  <c r="X316" i="12"/>
  <c r="AI316" i="12" s="1"/>
  <c r="B317" i="12"/>
  <c r="AJ316" i="12"/>
  <c r="AK316" i="12" s="1"/>
  <c r="AL316" i="12" s="1"/>
  <c r="O316" i="12"/>
  <c r="E317" i="12" l="1"/>
  <c r="AQ318" i="12" s="1"/>
  <c r="S317" i="12"/>
  <c r="Z317" i="12"/>
  <c r="V318" i="12" s="1"/>
  <c r="M317" i="12"/>
  <c r="K317" i="12"/>
  <c r="D317" i="12"/>
  <c r="I317" i="12"/>
  <c r="D279" i="14" s="1"/>
  <c r="AN317" i="12"/>
  <c r="G317" i="12"/>
  <c r="AR317" i="12"/>
  <c r="X317" i="12" l="1"/>
  <c r="AI317" i="12" s="1"/>
  <c r="Q317" i="12"/>
  <c r="O317" i="12"/>
  <c r="B318" i="12"/>
  <c r="AJ317" i="12"/>
  <c r="AK317" i="12" s="1"/>
  <c r="AL317" i="12" s="1"/>
  <c r="I318" i="12" l="1"/>
  <c r="M318" i="12"/>
  <c r="M320" i="12" s="1"/>
  <c r="S318" i="12"/>
  <c r="D318" i="12"/>
  <c r="Z318" i="12"/>
  <c r="G318" i="12"/>
  <c r="K318" i="12"/>
  <c r="K320" i="12" s="1"/>
  <c r="AN318" i="12"/>
  <c r="AR318" i="12"/>
  <c r="E318" i="12"/>
  <c r="E320" i="12" s="1"/>
  <c r="CP44" i="12"/>
  <c r="CL44" i="12"/>
  <c r="AS61" i="12"/>
  <c r="AR320" i="12" s="1"/>
  <c r="Q318" i="12" l="1"/>
  <c r="Q320" i="12" s="1"/>
  <c r="I320" i="12"/>
  <c r="D280" i="14"/>
  <c r="X318" i="12"/>
  <c r="G320" i="12"/>
  <c r="O318" i="12"/>
  <c r="O320" i="12" s="1"/>
  <c r="AJ318" i="12"/>
  <c r="AK318" i="12" s="1"/>
  <c r="AL318" i="12" s="1"/>
  <c r="AI318" i="12" l="1"/>
  <c r="X320" i="12"/>
  <c r="I28" i="12"/>
  <c r="V25" i="12" s="1"/>
  <c r="V24" i="12"/>
  <c r="AI59" i="12" l="1"/>
  <c r="V27" i="12" s="1"/>
  <c r="CU44" i="12" s="1"/>
  <c r="J57" i="12"/>
  <c r="F58" i="12"/>
  <c r="C58" i="12"/>
  <c r="C57" i="12"/>
  <c r="CD44" i="12"/>
  <c r="F57" i="12"/>
  <c r="CH44" i="12"/>
  <c r="J58" i="12" s="1"/>
  <c r="P365" i="2" l="1"/>
  <c r="AL17" i="2" l="1"/>
  <c r="AL16" i="2" s="1"/>
  <c r="U24" i="2" l="1"/>
  <c r="AZ64" i="2" s="1"/>
  <c r="AL26" i="2"/>
  <c r="AL42" i="2"/>
  <c r="U18" i="2" s="1"/>
  <c r="U20" i="2"/>
  <c r="AL25" i="2" s="1"/>
  <c r="S24" i="2" l="1"/>
  <c r="AL27" i="2"/>
  <c r="AL20" i="2" s="1"/>
  <c r="AM16" i="2" s="1"/>
  <c r="S32" i="2"/>
  <c r="S16" i="2"/>
  <c r="S21" i="2" s="1"/>
  <c r="BB21" i="2"/>
  <c r="BB17" i="2"/>
  <c r="BB19" i="2"/>
  <c r="BB18" i="2"/>
  <c r="BB23" i="2"/>
  <c r="AZ66" i="2"/>
  <c r="BA65" i="2"/>
  <c r="BB20" i="2" l="1"/>
  <c r="BB22" i="2"/>
  <c r="AZ68" i="2"/>
  <c r="BA66" i="2"/>
  <c r="AZ67" i="2" s="1"/>
  <c r="F38" i="2" l="1"/>
  <c r="X63" i="2" s="1"/>
  <c r="F64" i="2" s="1"/>
  <c r="H64" i="2" s="1"/>
  <c r="AL64" i="2" l="1"/>
  <c r="D64" i="2" s="1"/>
  <c r="C64" i="2"/>
  <c r="S31" i="2" s="1"/>
  <c r="AM63" i="2"/>
  <c r="J9" i="9"/>
  <c r="T20" i="9" s="1"/>
  <c r="L64" i="2"/>
  <c r="AS64" i="2"/>
  <c r="J64" i="2"/>
  <c r="X64" i="2"/>
  <c r="AA20" i="9" l="1"/>
  <c r="AA21" i="9" s="1"/>
  <c r="X20" i="9"/>
  <c r="AM64" i="2"/>
  <c r="V64" i="2"/>
  <c r="B65" i="2"/>
  <c r="R65" i="2"/>
  <c r="I21" i="9"/>
  <c r="E21" i="9"/>
  <c r="G21" i="9"/>
  <c r="K21" i="9" s="1"/>
  <c r="H21" i="9"/>
  <c r="D21" i="9"/>
  <c r="J21" i="9" s="1"/>
  <c r="Z21" i="9" l="1"/>
  <c r="AB21" i="9"/>
  <c r="X21" i="9"/>
  <c r="F21" i="9"/>
  <c r="S21" i="9"/>
  <c r="T65" i="2"/>
  <c r="F65" i="2" s="1"/>
  <c r="H65" i="2" s="1"/>
  <c r="AN65" i="2"/>
  <c r="AP65" i="2" s="1"/>
  <c r="AL65" i="2"/>
  <c r="C65" i="2"/>
  <c r="J65" i="2" s="1"/>
  <c r="N65" i="2"/>
  <c r="AS65" i="2"/>
  <c r="BH18" i="2"/>
  <c r="BH23" i="2"/>
  <c r="BI23" i="2"/>
  <c r="BI18" i="2"/>
  <c r="BI22" i="2"/>
  <c r="BH20" i="2"/>
  <c r="BI20" i="2"/>
  <c r="BI19" i="2"/>
  <c r="BH22" i="2"/>
  <c r="BH17" i="2"/>
  <c r="BJ17" i="2" s="1"/>
  <c r="S28" i="2" s="1"/>
  <c r="BH19" i="2"/>
  <c r="BH21" i="2"/>
  <c r="BI21" i="2"/>
  <c r="BI17" i="2"/>
  <c r="L65" i="2" l="1"/>
  <c r="D65" i="2"/>
  <c r="T21" i="9"/>
  <c r="G16" i="9"/>
  <c r="X65" i="2"/>
  <c r="B66" i="2" s="1"/>
  <c r="AM65" i="2"/>
  <c r="AR20" i="2"/>
  <c r="AR22" i="2"/>
  <c r="AR19" i="2"/>
  <c r="AR18" i="2"/>
  <c r="AR21" i="2"/>
  <c r="AR17" i="2"/>
  <c r="V65" i="2" l="1"/>
  <c r="T66" i="2"/>
  <c r="C66" i="2"/>
  <c r="J66" i="2" s="1"/>
  <c r="N66" i="2"/>
  <c r="L66" i="2"/>
  <c r="AL66" i="2"/>
  <c r="AS66" i="2"/>
  <c r="F66" i="2"/>
  <c r="H66" i="2" s="1"/>
  <c r="AN66" i="2"/>
  <c r="AP66" i="2" s="1"/>
  <c r="C22" i="9"/>
  <c r="D22" i="9"/>
  <c r="J22" i="9" s="1"/>
  <c r="D66" i="2" l="1"/>
  <c r="V66" i="2" s="1"/>
  <c r="AM66" i="2"/>
  <c r="I22" i="9"/>
  <c r="N22" i="9"/>
  <c r="V22" i="9"/>
  <c r="H22" i="9"/>
  <c r="O22" i="9"/>
  <c r="U22" i="9"/>
  <c r="M22" i="9"/>
  <c r="E22" i="9"/>
  <c r="Q22" i="9"/>
  <c r="G22" i="9" s="1"/>
  <c r="K22" i="9" s="1"/>
  <c r="F22" i="9" l="1"/>
  <c r="T22" i="9" s="1"/>
  <c r="D23" i="9" s="1"/>
  <c r="J23" i="9" s="1"/>
  <c r="X66" i="2"/>
  <c r="R67" i="2" s="1"/>
  <c r="S22" i="9"/>
  <c r="AA22" i="9"/>
  <c r="Z22" i="9"/>
  <c r="B67" i="2" l="1"/>
  <c r="AL67" i="2" s="1"/>
  <c r="AB22" i="9"/>
  <c r="X22" i="9" s="1"/>
  <c r="C23" i="9"/>
  <c r="N23" i="9" s="1"/>
  <c r="Z23" i="9"/>
  <c r="C67" i="2" l="1"/>
  <c r="J67" i="2" s="1"/>
  <c r="AN67" i="2"/>
  <c r="AP67" i="2" s="1"/>
  <c r="N67" i="2"/>
  <c r="AS67" i="2"/>
  <c r="T67" i="2"/>
  <c r="F67" i="2" s="1"/>
  <c r="H67" i="2" s="1"/>
  <c r="X23" i="9"/>
  <c r="U23" i="9"/>
  <c r="E23" i="9"/>
  <c r="Q23" i="9"/>
  <c r="G23" i="9" s="1"/>
  <c r="I23" i="9"/>
  <c r="V23" i="9"/>
  <c r="H23" i="9"/>
  <c r="M23" i="9"/>
  <c r="AA23" i="9" s="1"/>
  <c r="AB23" i="9" s="1"/>
  <c r="O23" i="9"/>
  <c r="L67" i="2"/>
  <c r="F23" i="9"/>
  <c r="T23" i="9" s="1"/>
  <c r="D24" i="9" s="1"/>
  <c r="J24" i="9" s="1"/>
  <c r="K23" i="9"/>
  <c r="D67" i="2"/>
  <c r="V67" i="2" s="1"/>
  <c r="X67" i="2"/>
  <c r="B68" i="2" s="1"/>
  <c r="AM67" i="2"/>
  <c r="C24" i="9" l="1"/>
  <c r="O24" i="9" s="1"/>
  <c r="S23" i="9"/>
  <c r="AL68" i="2"/>
  <c r="AS68" i="2"/>
  <c r="AN68" i="2"/>
  <c r="AP68" i="2" s="1"/>
  <c r="N68" i="2"/>
  <c r="T68" i="2"/>
  <c r="F68" i="2" s="1"/>
  <c r="C68" i="2"/>
  <c r="L68" i="2" s="1"/>
  <c r="M24" i="9" l="1"/>
  <c r="AA24" i="9" s="1"/>
  <c r="N24" i="9"/>
  <c r="H24" i="9"/>
  <c r="I24" i="9"/>
  <c r="V24" i="9"/>
  <c r="E24" i="9"/>
  <c r="Q24" i="9"/>
  <c r="G24" i="9" s="1"/>
  <c r="K24" i="9" s="1"/>
  <c r="U24" i="9"/>
  <c r="Z24" i="9"/>
  <c r="AB24" i="9" s="1"/>
  <c r="X24" i="9" s="1"/>
  <c r="F24" i="9"/>
  <c r="T24" i="9" s="1"/>
  <c r="C25" i="9" s="1"/>
  <c r="D68" i="2"/>
  <c r="X68" i="2" s="1"/>
  <c r="H68" i="2"/>
  <c r="S24" i="9"/>
  <c r="J68" i="2"/>
  <c r="AM68" i="2" s="1"/>
  <c r="D25" i="9" l="1"/>
  <c r="J25" i="9" s="1"/>
  <c r="V68" i="2"/>
  <c r="U25" i="9"/>
  <c r="V25" i="9"/>
  <c r="Q25" i="9"/>
  <c r="G25" i="9" s="1"/>
  <c r="K25" i="9" s="1"/>
  <c r="N25" i="9"/>
  <c r="H25" i="9"/>
  <c r="M25" i="9"/>
  <c r="I25" i="9"/>
  <c r="E25" i="9"/>
  <c r="O25" i="9"/>
  <c r="R69" i="2"/>
  <c r="B69" i="2"/>
  <c r="S25" i="9" l="1"/>
  <c r="F25" i="9"/>
  <c r="T25" i="9" s="1"/>
  <c r="D26" i="9" s="1"/>
  <c r="J26" i="9" s="1"/>
  <c r="AA25" i="9"/>
  <c r="Z25" i="9"/>
  <c r="X25" i="9"/>
  <c r="C69" i="2"/>
  <c r="J69" i="2" s="1"/>
  <c r="AN69" i="2"/>
  <c r="AP69" i="2" s="1"/>
  <c r="T69" i="2"/>
  <c r="F69" i="2" s="1"/>
  <c r="H69" i="2" s="1"/>
  <c r="AL69" i="2"/>
  <c r="N69" i="2"/>
  <c r="AB25" i="9" l="1"/>
  <c r="AS69" i="2"/>
  <c r="L69" i="2"/>
  <c r="D69" i="2"/>
  <c r="X69" i="2" s="1"/>
  <c r="B70" i="2" s="1"/>
  <c r="C26" i="9"/>
  <c r="Q26" i="9" s="1"/>
  <c r="G26" i="9" s="1"/>
  <c r="V69" i="2"/>
  <c r="AM69" i="2"/>
  <c r="U26" i="9" l="1"/>
  <c r="H26" i="9"/>
  <c r="N26" i="9"/>
  <c r="V26" i="9"/>
  <c r="E26" i="9"/>
  <c r="F26" i="9" s="1"/>
  <c r="T26" i="9" s="1"/>
  <c r="M26" i="9"/>
  <c r="AA26" i="9" s="1"/>
  <c r="O26" i="9"/>
  <c r="I26" i="9"/>
  <c r="K26" i="9"/>
  <c r="AN70" i="2"/>
  <c r="AP70" i="2" s="1"/>
  <c r="C70" i="2"/>
  <c r="L70" i="2" s="1"/>
  <c r="J70" i="2"/>
  <c r="T70" i="2"/>
  <c r="F70" i="2" s="1"/>
  <c r="H70" i="2" s="1"/>
  <c r="AL70" i="2"/>
  <c r="N70" i="2"/>
  <c r="C27" i="9" l="1"/>
  <c r="E27" i="9" s="1"/>
  <c r="D27" i="9"/>
  <c r="J27" i="9" s="1"/>
  <c r="Z26" i="9"/>
  <c r="AB26" i="9" s="1"/>
  <c r="X26" i="9" s="1"/>
  <c r="AS70" i="2"/>
  <c r="AM70" i="2" s="1"/>
  <c r="S26" i="9"/>
  <c r="D70" i="2"/>
  <c r="V70" i="2"/>
  <c r="I27" i="9"/>
  <c r="V27" i="9"/>
  <c r="O27" i="9"/>
  <c r="U27" i="9"/>
  <c r="N27" i="9"/>
  <c r="X70" i="2"/>
  <c r="Q27" i="9" l="1"/>
  <c r="G27" i="9" s="1"/>
  <c r="K27" i="9" s="1"/>
  <c r="H27" i="9"/>
  <c r="M27" i="9"/>
  <c r="AA27" i="9" s="1"/>
  <c r="S27" i="9"/>
  <c r="F27" i="9"/>
  <c r="T27" i="9" s="1"/>
  <c r="Z27" i="9"/>
  <c r="B71" i="2"/>
  <c r="R71" i="2"/>
  <c r="AB27" i="9" l="1"/>
  <c r="X27" i="9" s="1"/>
  <c r="D28" i="9"/>
  <c r="J28" i="9" s="1"/>
  <c r="C28" i="9"/>
  <c r="AN71" i="2"/>
  <c r="AP71" i="2" s="1"/>
  <c r="T71" i="2"/>
  <c r="C71" i="2"/>
  <c r="AS71" i="2" s="1"/>
  <c r="AL71" i="2"/>
  <c r="D71" i="2" s="1"/>
  <c r="F71" i="2"/>
  <c r="H71" i="2" s="1"/>
  <c r="N71" i="2"/>
  <c r="J71" i="2" l="1"/>
  <c r="L71" i="2"/>
  <c r="V71" i="2" s="1"/>
  <c r="Q28" i="9"/>
  <c r="G28" i="9" s="1"/>
  <c r="K28" i="9" s="1"/>
  <c r="O28" i="9"/>
  <c r="E28" i="9"/>
  <c r="V28" i="9"/>
  <c r="U28" i="9"/>
  <c r="M28" i="9"/>
  <c r="I28" i="9"/>
  <c r="H28" i="9"/>
  <c r="N28" i="9"/>
  <c r="AM71" i="2"/>
  <c r="X71" i="2"/>
  <c r="B72" i="2" s="1"/>
  <c r="S28" i="9" l="1"/>
  <c r="F28" i="9"/>
  <c r="T28" i="9" s="1"/>
  <c r="AA28" i="9"/>
  <c r="Z28" i="9"/>
  <c r="AL72" i="2"/>
  <c r="C72" i="2"/>
  <c r="J72" i="2" s="1"/>
  <c r="AN72" i="2"/>
  <c r="AP72" i="2" s="1"/>
  <c r="N72" i="2"/>
  <c r="T72" i="2"/>
  <c r="F72" i="2" s="1"/>
  <c r="H72" i="2" s="1"/>
  <c r="AB28" i="9" l="1"/>
  <c r="X28" i="9" s="1"/>
  <c r="AS72" i="2"/>
  <c r="D72" i="2"/>
  <c r="L72" i="2"/>
  <c r="V72" i="2" s="1"/>
  <c r="D29" i="9"/>
  <c r="J29" i="9" s="1"/>
  <c r="C29" i="9"/>
  <c r="X72" i="2"/>
  <c r="AM72" i="2"/>
  <c r="N29" i="9" l="1"/>
  <c r="M29" i="9"/>
  <c r="U29" i="9"/>
  <c r="H29" i="9"/>
  <c r="I29" i="9"/>
  <c r="E29" i="9"/>
  <c r="O29" i="9"/>
  <c r="Q29" i="9"/>
  <c r="G29" i="9" s="1"/>
  <c r="K29" i="9" s="1"/>
  <c r="V29" i="9"/>
  <c r="R73" i="2"/>
  <c r="B73" i="2"/>
  <c r="S29" i="9" l="1"/>
  <c r="AA29" i="9"/>
  <c r="Z29" i="9"/>
  <c r="F29" i="9"/>
  <c r="T29" i="9" s="1"/>
  <c r="T73" i="2"/>
  <c r="F73" i="2" s="1"/>
  <c r="H73" i="2" s="1"/>
  <c r="AN73" i="2"/>
  <c r="AP73" i="2" s="1"/>
  <c r="L73" i="2"/>
  <c r="C73" i="2"/>
  <c r="J73" i="2" s="1"/>
  <c r="AL73" i="2"/>
  <c r="N73" i="2"/>
  <c r="AB29" i="9" l="1"/>
  <c r="X29" i="9" s="1"/>
  <c r="AS73" i="2"/>
  <c r="D73" i="2"/>
  <c r="V73" i="2" s="1"/>
  <c r="D30" i="9"/>
  <c r="J30" i="9" s="1"/>
  <c r="C30" i="9"/>
  <c r="AM73" i="2"/>
  <c r="X73" i="2"/>
  <c r="B74" i="2" s="1"/>
  <c r="M30" i="9" l="1"/>
  <c r="O30" i="9"/>
  <c r="U30" i="9"/>
  <c r="E30" i="9"/>
  <c r="N30" i="9"/>
  <c r="I30" i="9"/>
  <c r="V30" i="9"/>
  <c r="Q30" i="9"/>
  <c r="G30" i="9" s="1"/>
  <c r="K30" i="9" s="1"/>
  <c r="H30" i="9"/>
  <c r="AL74" i="2"/>
  <c r="C74" i="2"/>
  <c r="J74" i="2" s="1"/>
  <c r="N74" i="2"/>
  <c r="AS74" i="2"/>
  <c r="AN74" i="2"/>
  <c r="AP74" i="2" s="1"/>
  <c r="T74" i="2"/>
  <c r="F74" i="2" s="1"/>
  <c r="L74" i="2"/>
  <c r="D74" i="2" l="1"/>
  <c r="H74" i="2"/>
  <c r="F30" i="9"/>
  <c r="T30" i="9" s="1"/>
  <c r="D31" i="9" s="1"/>
  <c r="J31" i="9" s="1"/>
  <c r="S30" i="9"/>
  <c r="AA30" i="9"/>
  <c r="Z30" i="9"/>
  <c r="AM74" i="2"/>
  <c r="X74" i="2"/>
  <c r="C31" i="9" l="1"/>
  <c r="O31" i="9" s="1"/>
  <c r="AB30" i="9"/>
  <c r="X30" i="9" s="1"/>
  <c r="V74" i="2"/>
  <c r="H31" i="9"/>
  <c r="U31" i="9"/>
  <c r="I31" i="9"/>
  <c r="Q31" i="9"/>
  <c r="G31" i="9" s="1"/>
  <c r="K31" i="9" s="1"/>
  <c r="N31" i="9"/>
  <c r="E31" i="9"/>
  <c r="V31" i="9"/>
  <c r="R75" i="2"/>
  <c r="B75" i="2"/>
  <c r="M31" i="9" l="1"/>
  <c r="F31" i="9"/>
  <c r="T31" i="9" s="1"/>
  <c r="D32" i="9" s="1"/>
  <c r="J32" i="9" s="1"/>
  <c r="S31" i="9"/>
  <c r="AA31" i="9"/>
  <c r="Z31" i="9"/>
  <c r="AL75" i="2"/>
  <c r="C75" i="2"/>
  <c r="J75" i="2" s="1"/>
  <c r="N75" i="2"/>
  <c r="T75" i="2"/>
  <c r="AN75" i="2"/>
  <c r="AP75" i="2" s="1"/>
  <c r="AS75" i="2"/>
  <c r="F75" i="2"/>
  <c r="H75" i="2" s="1"/>
  <c r="C32" i="9" l="1"/>
  <c r="V32" i="9" s="1"/>
  <c r="AB31" i="9"/>
  <c r="X31" i="9" s="1"/>
  <c r="D75" i="2"/>
  <c r="L75" i="2"/>
  <c r="V75" i="2" s="1"/>
  <c r="Q32" i="9"/>
  <c r="G32" i="9" s="1"/>
  <c r="K32" i="9" s="1"/>
  <c r="E32" i="9"/>
  <c r="I32" i="9"/>
  <c r="M32" i="9"/>
  <c r="H32" i="9"/>
  <c r="O32" i="9"/>
  <c r="U32" i="9"/>
  <c r="N32" i="9"/>
  <c r="X75" i="2"/>
  <c r="B76" i="2" s="1"/>
  <c r="AM75" i="2"/>
  <c r="S32" i="9" l="1"/>
  <c r="F32" i="9"/>
  <c r="T32" i="9" s="1"/>
  <c r="AA32" i="9"/>
  <c r="Z32" i="9"/>
  <c r="C76" i="2"/>
  <c r="J76" i="2" s="1"/>
  <c r="T76" i="2"/>
  <c r="F76" i="2" s="1"/>
  <c r="H76" i="2" s="1"/>
  <c r="L76" i="2"/>
  <c r="AL76" i="2"/>
  <c r="AN76" i="2"/>
  <c r="AP76" i="2" s="1"/>
  <c r="N76" i="2"/>
  <c r="U76" i="2"/>
  <c r="AB32" i="9" l="1"/>
  <c r="X32" i="9" s="1"/>
  <c r="AS76" i="2"/>
  <c r="D76" i="2"/>
  <c r="V76" i="2" s="1"/>
  <c r="D33" i="9"/>
  <c r="J33" i="9" s="1"/>
  <c r="C33" i="9"/>
  <c r="X76" i="2"/>
  <c r="AM76" i="2"/>
  <c r="R33" i="9" l="1"/>
  <c r="O33" i="9"/>
  <c r="M33" i="9"/>
  <c r="I33" i="9"/>
  <c r="H33" i="9"/>
  <c r="Q33" i="9"/>
  <c r="G33" i="9" s="1"/>
  <c r="K33" i="9" s="1"/>
  <c r="V33" i="9"/>
  <c r="U33" i="9"/>
  <c r="N33" i="9"/>
  <c r="E33" i="9"/>
  <c r="R77" i="2"/>
  <c r="B77" i="2"/>
  <c r="F33" i="9" l="1"/>
  <c r="T33" i="9" s="1"/>
  <c r="D34" i="9" s="1"/>
  <c r="J34" i="9" s="1"/>
  <c r="S33" i="9"/>
  <c r="AA33" i="9"/>
  <c r="Z33" i="9"/>
  <c r="AL77" i="2"/>
  <c r="C77" i="2"/>
  <c r="J77" i="2" s="1"/>
  <c r="AN77" i="2"/>
  <c r="AP77" i="2" s="1"/>
  <c r="N77" i="2"/>
  <c r="T77" i="2"/>
  <c r="F77" i="2" s="1"/>
  <c r="AB33" i="9" l="1"/>
  <c r="X33" i="9" s="1"/>
  <c r="AS77" i="2"/>
  <c r="L77" i="2"/>
  <c r="C34" i="9"/>
  <c r="N34" i="9" s="1"/>
  <c r="D77" i="2"/>
  <c r="H77" i="2"/>
  <c r="AM77" i="2"/>
  <c r="X77" i="2"/>
  <c r="B78" i="2" s="1"/>
  <c r="Q34" i="9" l="1"/>
  <c r="G34" i="9" s="1"/>
  <c r="I34" i="9"/>
  <c r="O34" i="9"/>
  <c r="E34" i="9"/>
  <c r="H34" i="9"/>
  <c r="V34" i="9"/>
  <c r="U34" i="9"/>
  <c r="M34" i="9"/>
  <c r="AA34" i="9" s="1"/>
  <c r="AB34" i="9" s="1"/>
  <c r="X34" i="9" s="1"/>
  <c r="F34" i="9"/>
  <c r="T34" i="9" s="1"/>
  <c r="D35" i="9" s="1"/>
  <c r="J35" i="9" s="1"/>
  <c r="K34" i="9"/>
  <c r="S34" i="9" s="1"/>
  <c r="V77" i="2"/>
  <c r="C35" i="9"/>
  <c r="Z34" i="9"/>
  <c r="N78" i="2"/>
  <c r="T78" i="2"/>
  <c r="F78" i="2" s="1"/>
  <c r="AL78" i="2"/>
  <c r="C78" i="2"/>
  <c r="AS78" i="2" s="1"/>
  <c r="AN78" i="2"/>
  <c r="AP78" i="2" s="1"/>
  <c r="L78" i="2"/>
  <c r="D78" i="2" l="1"/>
  <c r="H78" i="2"/>
  <c r="J78" i="2"/>
  <c r="V35" i="9"/>
  <c r="H35" i="9"/>
  <c r="N35" i="9"/>
  <c r="Q35" i="9"/>
  <c r="G35" i="9" s="1"/>
  <c r="K35" i="9" s="1"/>
  <c r="O35" i="9"/>
  <c r="I35" i="9"/>
  <c r="M35" i="9"/>
  <c r="E35" i="9"/>
  <c r="U35" i="9"/>
  <c r="X78" i="2"/>
  <c r="AM78" i="2"/>
  <c r="V78" i="2" l="1"/>
  <c r="F35" i="9"/>
  <c r="T35" i="9" s="1"/>
  <c r="D36" i="9" s="1"/>
  <c r="J36" i="9" s="1"/>
  <c r="S35" i="9"/>
  <c r="AA35" i="9"/>
  <c r="Z35" i="9"/>
  <c r="B79" i="2"/>
  <c r="R79" i="2"/>
  <c r="AB35" i="9" l="1"/>
  <c r="X35" i="9" s="1"/>
  <c r="C36" i="9"/>
  <c r="V36" i="9" s="1"/>
  <c r="AN79" i="2"/>
  <c r="AP79" i="2" s="1"/>
  <c r="AL79" i="2"/>
  <c r="D79" i="2" s="1"/>
  <c r="C79" i="2"/>
  <c r="J79" i="2" s="1"/>
  <c r="N79" i="2"/>
  <c r="T79" i="2"/>
  <c r="F79" i="2" s="1"/>
  <c r="H79" i="2" s="1"/>
  <c r="N36" i="9" l="1"/>
  <c r="H36" i="9"/>
  <c r="Q36" i="9"/>
  <c r="G36" i="9" s="1"/>
  <c r="K36" i="9" s="1"/>
  <c r="E36" i="9"/>
  <c r="U36" i="9"/>
  <c r="M36" i="9"/>
  <c r="AA36" i="9" s="1"/>
  <c r="O36" i="9"/>
  <c r="I36" i="9"/>
  <c r="L79" i="2"/>
  <c r="V79" i="2" s="1"/>
  <c r="AS79" i="2"/>
  <c r="S36" i="9"/>
  <c r="Z36" i="9"/>
  <c r="F36" i="9"/>
  <c r="T36" i="9" s="1"/>
  <c r="X79" i="2"/>
  <c r="B80" i="2" s="1"/>
  <c r="AM79" i="2"/>
  <c r="AB36" i="9" l="1"/>
  <c r="X36" i="9" s="1"/>
  <c r="D37" i="9"/>
  <c r="J37" i="9" s="1"/>
  <c r="C37" i="9"/>
  <c r="N80" i="2"/>
  <c r="T80" i="2"/>
  <c r="F80" i="2" s="1"/>
  <c r="H80" i="2" s="1"/>
  <c r="C80" i="2"/>
  <c r="J80" i="2" s="1"/>
  <c r="AL80" i="2"/>
  <c r="D80" i="2" s="1"/>
  <c r="AN80" i="2"/>
  <c r="AP80" i="2" s="1"/>
  <c r="AS80" i="2" l="1"/>
  <c r="L80" i="2"/>
  <c r="V80" i="2" s="1"/>
  <c r="H37" i="9"/>
  <c r="M37" i="9"/>
  <c r="I37" i="9"/>
  <c r="E37" i="9"/>
  <c r="Q37" i="9"/>
  <c r="G37" i="9" s="1"/>
  <c r="K37" i="9" s="1"/>
  <c r="V37" i="9"/>
  <c r="O37" i="9"/>
  <c r="N37" i="9"/>
  <c r="U37" i="9"/>
  <c r="X80" i="2"/>
  <c r="AM80" i="2"/>
  <c r="S37" i="9" l="1"/>
  <c r="F37" i="9"/>
  <c r="T37" i="9" s="1"/>
  <c r="AA37" i="9"/>
  <c r="Z37" i="9"/>
  <c r="R81" i="2"/>
  <c r="B81" i="2"/>
  <c r="AB37" i="9" l="1"/>
  <c r="X37" i="9" s="1"/>
  <c r="D38" i="9"/>
  <c r="J38" i="9" s="1"/>
  <c r="C38" i="9"/>
  <c r="C81" i="2"/>
  <c r="J81" i="2"/>
  <c r="AS81" i="2"/>
  <c r="T81" i="2"/>
  <c r="F81" i="2" s="1"/>
  <c r="H81" i="2" s="1"/>
  <c r="L81" i="2"/>
  <c r="AL81" i="2"/>
  <c r="N81" i="2"/>
  <c r="AN81" i="2"/>
  <c r="AP81" i="2" s="1"/>
  <c r="D81" i="2" l="1"/>
  <c r="V81" i="2" s="1"/>
  <c r="M38" i="9"/>
  <c r="I38" i="9"/>
  <c r="E38" i="9"/>
  <c r="O38" i="9"/>
  <c r="Q38" i="9"/>
  <c r="G38" i="9" s="1"/>
  <c r="K38" i="9" s="1"/>
  <c r="S38" i="9" s="1"/>
  <c r="V38" i="9"/>
  <c r="H38" i="9"/>
  <c r="U38" i="9"/>
  <c r="N38" i="9"/>
  <c r="X81" i="2"/>
  <c r="B82" i="2" s="1"/>
  <c r="AM81" i="2"/>
  <c r="F38" i="9" l="1"/>
  <c r="T38" i="9" s="1"/>
  <c r="D39" i="9" s="1"/>
  <c r="J39" i="9" s="1"/>
  <c r="AA38" i="9"/>
  <c r="Z38" i="9"/>
  <c r="N82" i="2"/>
  <c r="AN82" i="2"/>
  <c r="AP82" i="2" s="1"/>
  <c r="AL82" i="2"/>
  <c r="T82" i="2"/>
  <c r="F82" i="2" s="1"/>
  <c r="C82" i="2"/>
  <c r="J82" i="2" s="1"/>
  <c r="AS82" i="2"/>
  <c r="C39" i="9" l="1"/>
  <c r="H39" i="9" s="1"/>
  <c r="D82" i="2"/>
  <c r="H82" i="2"/>
  <c r="L82" i="2"/>
  <c r="V82" i="2" s="1"/>
  <c r="AB38" i="9"/>
  <c r="X38" i="9" s="1"/>
  <c r="O39" i="9"/>
  <c r="U39" i="9"/>
  <c r="I39" i="9"/>
  <c r="Q39" i="9"/>
  <c r="G39" i="9" s="1"/>
  <c r="X82" i="2"/>
  <c r="AM82" i="2"/>
  <c r="N39" i="9" l="1"/>
  <c r="V39" i="9"/>
  <c r="E39" i="9"/>
  <c r="M39" i="9"/>
  <c r="Z39" i="9" s="1"/>
  <c r="F39" i="9"/>
  <c r="T39" i="9" s="1"/>
  <c r="D40" i="9" s="1"/>
  <c r="J40" i="9" s="1"/>
  <c r="K39" i="9"/>
  <c r="S39" i="9" s="1"/>
  <c r="X39" i="9"/>
  <c r="R83" i="2"/>
  <c r="B83" i="2"/>
  <c r="C40" i="9" l="1"/>
  <c r="H40" i="9" s="1"/>
  <c r="AA39" i="9"/>
  <c r="AB39" i="9" s="1"/>
  <c r="C83" i="2"/>
  <c r="J83" i="2" s="1"/>
  <c r="AN83" i="2"/>
  <c r="AP83" i="2" s="1"/>
  <c r="L83" i="2"/>
  <c r="N83" i="2"/>
  <c r="AL83" i="2"/>
  <c r="T83" i="2"/>
  <c r="F83" i="2" s="1"/>
  <c r="H83" i="2" s="1"/>
  <c r="M40" i="9" l="1"/>
  <c r="AA40" i="9" s="1"/>
  <c r="V40" i="9"/>
  <c r="Q40" i="9"/>
  <c r="G40" i="9" s="1"/>
  <c r="U40" i="9"/>
  <c r="E40" i="9"/>
  <c r="N40" i="9"/>
  <c r="O40" i="9"/>
  <c r="I40" i="9"/>
  <c r="AS83" i="2"/>
  <c r="D83" i="2"/>
  <c r="V83" i="2" s="1"/>
  <c r="F40" i="9"/>
  <c r="T40" i="9" s="1"/>
  <c r="C41" i="9" s="1"/>
  <c r="K40" i="9"/>
  <c r="S40" i="9" s="1"/>
  <c r="Z40" i="9"/>
  <c r="AM83" i="2"/>
  <c r="X83" i="2"/>
  <c r="B84" i="2" s="1"/>
  <c r="AB40" i="9" l="1"/>
  <c r="X40" i="9" s="1"/>
  <c r="D41" i="9"/>
  <c r="J41" i="9" s="1"/>
  <c r="V41" i="9"/>
  <c r="I41" i="9"/>
  <c r="U41" i="9"/>
  <c r="H41" i="9"/>
  <c r="O41" i="9"/>
  <c r="M41" i="9"/>
  <c r="E41" i="9"/>
  <c r="F41" i="9" s="1"/>
  <c r="T41" i="9" s="1"/>
  <c r="N41" i="9"/>
  <c r="Q41" i="9"/>
  <c r="G41" i="9" s="1"/>
  <c r="K41" i="9" s="1"/>
  <c r="T84" i="2"/>
  <c r="F84" i="2" s="1"/>
  <c r="C84" i="2"/>
  <c r="L84" i="2"/>
  <c r="AN84" i="2"/>
  <c r="AP84" i="2" s="1"/>
  <c r="N84" i="2"/>
  <c r="J84" i="2"/>
  <c r="AS84" i="2"/>
  <c r="AL84" i="2"/>
  <c r="D84" i="2" l="1"/>
  <c r="H84" i="2"/>
  <c r="S41" i="9"/>
  <c r="D42" i="9"/>
  <c r="J42" i="9" s="1"/>
  <c r="C42" i="9"/>
  <c r="AA41" i="9"/>
  <c r="Z41" i="9"/>
  <c r="X84" i="2"/>
  <c r="AM84" i="2"/>
  <c r="AB41" i="9" l="1"/>
  <c r="X41" i="9" s="1"/>
  <c r="V84" i="2"/>
  <c r="U42" i="9"/>
  <c r="V42" i="9"/>
  <c r="H42" i="9"/>
  <c r="O42" i="9"/>
  <c r="E42" i="9"/>
  <c r="M42" i="9"/>
  <c r="Q42" i="9"/>
  <c r="G42" i="9" s="1"/>
  <c r="K42" i="9" s="1"/>
  <c r="N42" i="9"/>
  <c r="I42" i="9"/>
  <c r="R85" i="2"/>
  <c r="B85" i="2"/>
  <c r="S42" i="9" l="1"/>
  <c r="F42" i="9"/>
  <c r="T42" i="9" s="1"/>
  <c r="X42" i="9"/>
  <c r="AA42" i="9"/>
  <c r="Z42" i="9"/>
  <c r="AN85" i="2"/>
  <c r="AP85" i="2" s="1"/>
  <c r="L85" i="2"/>
  <c r="AL85" i="2"/>
  <c r="C85" i="2"/>
  <c r="J85" i="2" s="1"/>
  <c r="N85" i="2"/>
  <c r="T85" i="2"/>
  <c r="AS85" i="2"/>
  <c r="F85" i="2"/>
  <c r="AB42" i="9" l="1"/>
  <c r="D85" i="2"/>
  <c r="H85" i="2"/>
  <c r="D43" i="9"/>
  <c r="J43" i="9" s="1"/>
  <c r="C43" i="9"/>
  <c r="X85" i="2"/>
  <c r="B86" i="2" s="1"/>
  <c r="AM85" i="2"/>
  <c r="V85" i="2" l="1"/>
  <c r="E43" i="9"/>
  <c r="O43" i="9"/>
  <c r="Q43" i="9"/>
  <c r="G43" i="9"/>
  <c r="K43" i="9" s="1"/>
  <c r="N43" i="9"/>
  <c r="V43" i="9"/>
  <c r="H43" i="9"/>
  <c r="U43" i="9"/>
  <c r="M43" i="9"/>
  <c r="I43" i="9"/>
  <c r="AN86" i="2"/>
  <c r="AP86" i="2" s="1"/>
  <c r="AL86" i="2"/>
  <c r="N86" i="2"/>
  <c r="C86" i="2"/>
  <c r="J86" i="2" s="1"/>
  <c r="T86" i="2"/>
  <c r="F86" i="2" s="1"/>
  <c r="AS86" i="2" l="1"/>
  <c r="L86" i="2"/>
  <c r="F43" i="9"/>
  <c r="T43" i="9" s="1"/>
  <c r="D44" i="9" s="1"/>
  <c r="J44" i="9" s="1"/>
  <c r="D86" i="2"/>
  <c r="H86" i="2"/>
  <c r="S43" i="9"/>
  <c r="AA43" i="9"/>
  <c r="Z43" i="9"/>
  <c r="AM86" i="2"/>
  <c r="X86" i="2"/>
  <c r="AB43" i="9" l="1"/>
  <c r="X43" i="9" s="1"/>
  <c r="C44" i="9"/>
  <c r="H44" i="9" s="1"/>
  <c r="V86" i="2"/>
  <c r="R87" i="2"/>
  <c r="B87" i="2"/>
  <c r="E44" i="9" l="1"/>
  <c r="M44" i="9"/>
  <c r="Q44" i="9"/>
  <c r="G44" i="9" s="1"/>
  <c r="I44" i="9"/>
  <c r="U44" i="9"/>
  <c r="N44" i="9"/>
  <c r="V44" i="9"/>
  <c r="O44" i="9"/>
  <c r="F44" i="9"/>
  <c r="T44" i="9" s="1"/>
  <c r="D45" i="9" s="1"/>
  <c r="J45" i="9" s="1"/>
  <c r="K44" i="9"/>
  <c r="S44" i="9" s="1"/>
  <c r="AA44" i="9"/>
  <c r="Z44" i="9"/>
  <c r="AL87" i="2"/>
  <c r="N87" i="2"/>
  <c r="T87" i="2"/>
  <c r="F87" i="2" s="1"/>
  <c r="AN87" i="2"/>
  <c r="AP87" i="2" s="1"/>
  <c r="C87" i="2"/>
  <c r="L87" i="2" s="1"/>
  <c r="C45" i="9" l="1"/>
  <c r="I45" i="9" s="1"/>
  <c r="AB44" i="9"/>
  <c r="X44" i="9" s="1"/>
  <c r="D87" i="2"/>
  <c r="H87" i="2"/>
  <c r="J87" i="2"/>
  <c r="AS87" i="2"/>
  <c r="X87" i="2"/>
  <c r="B88" i="2" s="1"/>
  <c r="AM87" i="2"/>
  <c r="R45" i="9" l="1"/>
  <c r="H45" i="9"/>
  <c r="E45" i="9"/>
  <c r="M45" i="9"/>
  <c r="AA45" i="9" s="1"/>
  <c r="V45" i="9"/>
  <c r="U45" i="9"/>
  <c r="N45" i="9"/>
  <c r="Q45" i="9"/>
  <c r="G45" i="9" s="1"/>
  <c r="K45" i="9" s="1"/>
  <c r="O45" i="9"/>
  <c r="V87" i="2"/>
  <c r="S45" i="9"/>
  <c r="F45" i="9"/>
  <c r="T45" i="9" s="1"/>
  <c r="Z45" i="9"/>
  <c r="AL88" i="2"/>
  <c r="D88" i="2" s="1"/>
  <c r="N88" i="2"/>
  <c r="F88" i="2"/>
  <c r="H88" i="2" s="1"/>
  <c r="AN88" i="2"/>
  <c r="AP88" i="2" s="1"/>
  <c r="T88" i="2"/>
  <c r="C88" i="2"/>
  <c r="J88" i="2" s="1"/>
  <c r="U88" i="2"/>
  <c r="AB45" i="9" l="1"/>
  <c r="X45" i="9" s="1"/>
  <c r="AS88" i="2"/>
  <c r="L88" i="2"/>
  <c r="V88" i="2" s="1"/>
  <c r="D46" i="9"/>
  <c r="J46" i="9" s="1"/>
  <c r="C46" i="9"/>
  <c r="X88" i="2"/>
  <c r="AM88" i="2"/>
  <c r="M46" i="9" l="1"/>
  <c r="U46" i="9"/>
  <c r="E46" i="9"/>
  <c r="V46" i="9"/>
  <c r="N46" i="9"/>
  <c r="Q46" i="9"/>
  <c r="G46" i="9" s="1"/>
  <c r="K46" i="9" s="1"/>
  <c r="H46" i="9"/>
  <c r="O46" i="9"/>
  <c r="I46" i="9"/>
  <c r="B89" i="2"/>
  <c r="R89" i="2"/>
  <c r="F46" i="9" l="1"/>
  <c r="T46" i="9" s="1"/>
  <c r="D47" i="9" s="1"/>
  <c r="J47" i="9" s="1"/>
  <c r="S46" i="9"/>
  <c r="AA46" i="9"/>
  <c r="Z46" i="9"/>
  <c r="C89" i="2"/>
  <c r="J89" i="2" s="1"/>
  <c r="AN89" i="2"/>
  <c r="AP89" i="2" s="1"/>
  <c r="AL89" i="2"/>
  <c r="N89" i="2"/>
  <c r="T89" i="2"/>
  <c r="F89" i="2" s="1"/>
  <c r="H89" i="2" s="1"/>
  <c r="C47" i="9" l="1"/>
  <c r="AB46" i="9"/>
  <c r="X46" i="9" s="1"/>
  <c r="AS89" i="2"/>
  <c r="L89" i="2"/>
  <c r="D89" i="2"/>
  <c r="V89" i="2"/>
  <c r="O47" i="9"/>
  <c r="Q47" i="9"/>
  <c r="G47" i="9" s="1"/>
  <c r="K47" i="9" s="1"/>
  <c r="H47" i="9"/>
  <c r="I47" i="9"/>
  <c r="U47" i="9"/>
  <c r="E47" i="9"/>
  <c r="M47" i="9"/>
  <c r="V47" i="9"/>
  <c r="N47" i="9"/>
  <c r="X89" i="2"/>
  <c r="B90" i="2" s="1"/>
  <c r="AM89" i="2"/>
  <c r="F47" i="9" l="1"/>
  <c r="T47" i="9" s="1"/>
  <c r="D48" i="9" s="1"/>
  <c r="J48" i="9" s="1"/>
  <c r="S47" i="9"/>
  <c r="AA47" i="9"/>
  <c r="Z47" i="9"/>
  <c r="N90" i="2"/>
  <c r="AS90" i="2"/>
  <c r="T90" i="2"/>
  <c r="F90" i="2" s="1"/>
  <c r="H90" i="2" s="1"/>
  <c r="AN90" i="2"/>
  <c r="AP90" i="2" s="1"/>
  <c r="AL90" i="2"/>
  <c r="C90" i="2"/>
  <c r="J90" i="2" s="1"/>
  <c r="C48" i="9" l="1"/>
  <c r="H48" i="9" s="1"/>
  <c r="AB47" i="9"/>
  <c r="X47" i="9" s="1"/>
  <c r="L90" i="2"/>
  <c r="D90" i="2"/>
  <c r="X90" i="2"/>
  <c r="AM90" i="2"/>
  <c r="M48" i="9" l="1"/>
  <c r="V48" i="9"/>
  <c r="Q48" i="9"/>
  <c r="G48" i="9" s="1"/>
  <c r="K48" i="9" s="1"/>
  <c r="N48" i="9"/>
  <c r="O48" i="9"/>
  <c r="I48" i="9"/>
  <c r="U48" i="9"/>
  <c r="E48" i="9"/>
  <c r="V90" i="2"/>
  <c r="F48" i="9"/>
  <c r="T48" i="9" s="1"/>
  <c r="D49" i="9" s="1"/>
  <c r="J49" i="9" s="1"/>
  <c r="AA48" i="9"/>
  <c r="Z48" i="9"/>
  <c r="S48" i="9"/>
  <c r="R91" i="2"/>
  <c r="B91" i="2"/>
  <c r="AB48" i="9" l="1"/>
  <c r="X48" i="9" s="1"/>
  <c r="C49" i="9"/>
  <c r="I49" i="9" s="1"/>
  <c r="AL91" i="2"/>
  <c r="C91" i="2"/>
  <c r="AS91" i="2" s="1"/>
  <c r="N91" i="2"/>
  <c r="J91" i="2"/>
  <c r="T91" i="2"/>
  <c r="F91" i="2" s="1"/>
  <c r="L91" i="2"/>
  <c r="AN91" i="2"/>
  <c r="AP91" i="2" s="1"/>
  <c r="H49" i="9" l="1"/>
  <c r="O49" i="9"/>
  <c r="E49" i="9"/>
  <c r="G49" i="9"/>
  <c r="N49" i="9"/>
  <c r="Q49" i="9"/>
  <c r="U49" i="9"/>
  <c r="V49" i="9"/>
  <c r="M49" i="9"/>
  <c r="AA49" i="9" s="1"/>
  <c r="F49" i="9"/>
  <c r="T49" i="9" s="1"/>
  <c r="C50" i="9" s="1"/>
  <c r="K49" i="9"/>
  <c r="S49" i="9" s="1"/>
  <c r="D91" i="2"/>
  <c r="X91" i="2" s="1"/>
  <c r="B92" i="2" s="1"/>
  <c r="H91" i="2"/>
  <c r="Z49" i="9"/>
  <c r="AM91" i="2"/>
  <c r="AB49" i="9" l="1"/>
  <c r="X49" i="9" s="1"/>
  <c r="D50" i="9"/>
  <c r="J50" i="9" s="1"/>
  <c r="V91" i="2"/>
  <c r="E50" i="9"/>
  <c r="N50" i="9"/>
  <c r="Q50" i="9"/>
  <c r="G50" i="9" s="1"/>
  <c r="I50" i="9"/>
  <c r="V50" i="9"/>
  <c r="M50" i="9"/>
  <c r="H50" i="9"/>
  <c r="O50" i="9"/>
  <c r="U50" i="9"/>
  <c r="C92" i="2"/>
  <c r="J92" i="2" s="1"/>
  <c r="T92" i="2"/>
  <c r="F92" i="2" s="1"/>
  <c r="H92" i="2" s="1"/>
  <c r="AL92" i="2"/>
  <c r="N92" i="2"/>
  <c r="AN92" i="2"/>
  <c r="AP92" i="2" s="1"/>
  <c r="L92" i="2" l="1"/>
  <c r="AS92" i="2"/>
  <c r="D92" i="2"/>
  <c r="V92" i="2"/>
  <c r="F50" i="9"/>
  <c r="T50" i="9" s="1"/>
  <c r="D51" i="9" s="1"/>
  <c r="J51" i="9" s="1"/>
  <c r="K50" i="9"/>
  <c r="S50" i="9" s="1"/>
  <c r="AA50" i="9"/>
  <c r="Z50" i="9"/>
  <c r="X92" i="2"/>
  <c r="AM92" i="2"/>
  <c r="AB50" i="9" l="1"/>
  <c r="X50" i="9" s="1"/>
  <c r="C51" i="9"/>
  <c r="N51" i="9" s="1"/>
  <c r="R93" i="2"/>
  <c r="B93" i="2"/>
  <c r="M51" i="9" l="1"/>
  <c r="AA51" i="9" s="1"/>
  <c r="E51" i="9"/>
  <c r="U51" i="9"/>
  <c r="Q51" i="9"/>
  <c r="G51" i="9" s="1"/>
  <c r="H51" i="9"/>
  <c r="V51" i="9"/>
  <c r="O51" i="9"/>
  <c r="I51" i="9"/>
  <c r="F51" i="9"/>
  <c r="T51" i="9" s="1"/>
  <c r="D52" i="9" s="1"/>
  <c r="J52" i="9" s="1"/>
  <c r="K51" i="9"/>
  <c r="S51" i="9" s="1"/>
  <c r="Z51" i="9"/>
  <c r="AL93" i="2"/>
  <c r="D93" i="2" s="1"/>
  <c r="N93" i="2"/>
  <c r="T93" i="2"/>
  <c r="F93" i="2"/>
  <c r="H93" i="2" s="1"/>
  <c r="C93" i="2"/>
  <c r="AS93" i="2" s="1"/>
  <c r="AN93" i="2"/>
  <c r="AP93" i="2" s="1"/>
  <c r="AB51" i="9" l="1"/>
  <c r="X51" i="9" s="1"/>
  <c r="C52" i="9"/>
  <c r="N52" i="9" s="1"/>
  <c r="L93" i="2"/>
  <c r="J93" i="2"/>
  <c r="X93" i="2"/>
  <c r="B94" i="2" s="1"/>
  <c r="AM93" i="2"/>
  <c r="U52" i="9" l="1"/>
  <c r="M52" i="9"/>
  <c r="AA52" i="9" s="1"/>
  <c r="E52" i="9"/>
  <c r="I52" i="9"/>
  <c r="Q52" i="9"/>
  <c r="G52" i="9" s="1"/>
  <c r="K52" i="9" s="1"/>
  <c r="H52" i="9"/>
  <c r="V52" i="9"/>
  <c r="O52" i="9"/>
  <c r="F52" i="9"/>
  <c r="T52" i="9" s="1"/>
  <c r="D53" i="9" s="1"/>
  <c r="J53" i="9" s="1"/>
  <c r="V93" i="2"/>
  <c r="X52" i="9"/>
  <c r="Z52" i="9"/>
  <c r="S52" i="9"/>
  <c r="AL94" i="2"/>
  <c r="N94" i="2"/>
  <c r="T94" i="2"/>
  <c r="F94" i="2" s="1"/>
  <c r="C94" i="2"/>
  <c r="J94" i="2" s="1"/>
  <c r="AN94" i="2"/>
  <c r="AP94" i="2" s="1"/>
  <c r="C53" i="9" l="1"/>
  <c r="O53" i="9" s="1"/>
  <c r="AB52" i="9"/>
  <c r="D94" i="2"/>
  <c r="H94" i="2"/>
  <c r="L94" i="2"/>
  <c r="V94" i="2" s="1"/>
  <c r="AS94" i="2"/>
  <c r="AM94" i="2" s="1"/>
  <c r="X94" i="2"/>
  <c r="E53" i="9" l="1"/>
  <c r="G53" i="9"/>
  <c r="K53" i="9" s="1"/>
  <c r="V53" i="9"/>
  <c r="I53" i="9"/>
  <c r="U53" i="9"/>
  <c r="Q53" i="9"/>
  <c r="H53" i="9"/>
  <c r="M53" i="9"/>
  <c r="AA53" i="9" s="1"/>
  <c r="N53" i="9"/>
  <c r="S53" i="9"/>
  <c r="F53" i="9"/>
  <c r="T53" i="9" s="1"/>
  <c r="Z53" i="9"/>
  <c r="R95" i="2"/>
  <c r="B95" i="2"/>
  <c r="AB53" i="9" l="1"/>
  <c r="X53" i="9" s="1"/>
  <c r="D54" i="9"/>
  <c r="J54" i="9" s="1"/>
  <c r="C54" i="9"/>
  <c r="AL95" i="2"/>
  <c r="C95" i="2"/>
  <c r="J95" i="2" s="1"/>
  <c r="N95" i="2"/>
  <c r="T95" i="2"/>
  <c r="F95" i="2" s="1"/>
  <c r="H95" i="2" s="1"/>
  <c r="AN95" i="2"/>
  <c r="AP95" i="2" s="1"/>
  <c r="AS95" i="2" l="1"/>
  <c r="D95" i="2"/>
  <c r="L95" i="2"/>
  <c r="V95" i="2" s="1"/>
  <c r="U54" i="9"/>
  <c r="I54" i="9"/>
  <c r="H54" i="9"/>
  <c r="O54" i="9"/>
  <c r="M54" i="9"/>
  <c r="E54" i="9"/>
  <c r="V54" i="9"/>
  <c r="Q54" i="9"/>
  <c r="G54" i="9" s="1"/>
  <c r="K54" i="9" s="1"/>
  <c r="N54" i="9"/>
  <c r="X95" i="2"/>
  <c r="B96" i="2" s="1"/>
  <c r="AM95" i="2"/>
  <c r="S54" i="9" l="1"/>
  <c r="F54" i="9"/>
  <c r="T54" i="9" s="1"/>
  <c r="AA54" i="9"/>
  <c r="Z54" i="9"/>
  <c r="AN96" i="2"/>
  <c r="AP96" i="2" s="1"/>
  <c r="T96" i="2"/>
  <c r="F96" i="2" s="1"/>
  <c r="H96" i="2" s="1"/>
  <c r="AL96" i="2"/>
  <c r="C96" i="2"/>
  <c r="L96" i="2" s="1"/>
  <c r="N96" i="2"/>
  <c r="AB54" i="9" l="1"/>
  <c r="X54" i="9" s="1"/>
  <c r="J96" i="2"/>
  <c r="D96" i="2"/>
  <c r="V96" i="2"/>
  <c r="AS96" i="2"/>
  <c r="D55" i="9"/>
  <c r="J55" i="9" s="1"/>
  <c r="C55" i="9"/>
  <c r="X96" i="2"/>
  <c r="AM96" i="2"/>
  <c r="N55" i="9" l="1"/>
  <c r="U55" i="9"/>
  <c r="H55" i="9"/>
  <c r="O55" i="9"/>
  <c r="V55" i="9"/>
  <c r="Q55" i="9"/>
  <c r="G55" i="9" s="1"/>
  <c r="K55" i="9" s="1"/>
  <c r="I55" i="9"/>
  <c r="M55" i="9"/>
  <c r="E55" i="9"/>
  <c r="B97" i="2"/>
  <c r="R97" i="2"/>
  <c r="F55" i="9" l="1"/>
  <c r="T55" i="9" s="1"/>
  <c r="D56" i="9" s="1"/>
  <c r="J56" i="9" s="1"/>
  <c r="AA55" i="9"/>
  <c r="Z55" i="9"/>
  <c r="S55" i="9"/>
  <c r="C97" i="2"/>
  <c r="L97" i="2" s="1"/>
  <c r="T97" i="2"/>
  <c r="F97" i="2" s="1"/>
  <c r="AL97" i="2"/>
  <c r="N97" i="2"/>
  <c r="AN97" i="2"/>
  <c r="AP97" i="2" s="1"/>
  <c r="C56" i="9" l="1"/>
  <c r="V56" i="9" s="1"/>
  <c r="D97" i="2"/>
  <c r="H97" i="2"/>
  <c r="J97" i="2"/>
  <c r="V97" i="2" s="1"/>
  <c r="AS97" i="2"/>
  <c r="AB55" i="9"/>
  <c r="X55" i="9" s="1"/>
  <c r="O56" i="9"/>
  <c r="N56" i="9"/>
  <c r="M56" i="9"/>
  <c r="Z56" i="9" s="1"/>
  <c r="U56" i="9"/>
  <c r="I56" i="9"/>
  <c r="X97" i="2"/>
  <c r="B98" i="2" s="1"/>
  <c r="Q56" i="9" l="1"/>
  <c r="G56" i="9" s="1"/>
  <c r="E56" i="9"/>
  <c r="H56" i="9"/>
  <c r="AM97" i="2"/>
  <c r="F56" i="9"/>
  <c r="T56" i="9" s="1"/>
  <c r="D57" i="9" s="1"/>
  <c r="J57" i="9" s="1"/>
  <c r="K56" i="9"/>
  <c r="S56" i="9" s="1"/>
  <c r="AA56" i="9"/>
  <c r="AB56" i="9" s="1"/>
  <c r="X56" i="9" s="1"/>
  <c r="AL98" i="2"/>
  <c r="AP98" i="2"/>
  <c r="C98" i="2"/>
  <c r="AS98" i="2" s="1"/>
  <c r="AN98" i="2"/>
  <c r="J98" i="2"/>
  <c r="N98" i="2"/>
  <c r="L98" i="2"/>
  <c r="T98" i="2"/>
  <c r="F98" i="2" s="1"/>
  <c r="H98" i="2" s="1"/>
  <c r="C57" i="9" l="1"/>
  <c r="I57" i="9" s="1"/>
  <c r="D98" i="2"/>
  <c r="V98" i="2" s="1"/>
  <c r="H57" i="9"/>
  <c r="Q57" i="9"/>
  <c r="G57" i="9" s="1"/>
  <c r="M57" i="9"/>
  <c r="R57" i="9"/>
  <c r="U57" i="9"/>
  <c r="AM98" i="2"/>
  <c r="X98" i="2"/>
  <c r="E57" i="9" l="1"/>
  <c r="N57" i="9"/>
  <c r="O57" i="9"/>
  <c r="V57" i="9"/>
  <c r="F57" i="9"/>
  <c r="T57" i="9" s="1"/>
  <c r="D58" i="9" s="1"/>
  <c r="J58" i="9" s="1"/>
  <c r="K57" i="9"/>
  <c r="S57" i="9" s="1"/>
  <c r="AA57" i="9"/>
  <c r="Z57" i="9"/>
  <c r="R99" i="2"/>
  <c r="B99" i="2"/>
  <c r="AB57" i="9" l="1"/>
  <c r="X57" i="9" s="1"/>
  <c r="C58" i="9"/>
  <c r="E58" i="9" s="1"/>
  <c r="N99" i="2"/>
  <c r="T99" i="2"/>
  <c r="F99" i="2" s="1"/>
  <c r="H99" i="2" s="1"/>
  <c r="AN99" i="2"/>
  <c r="AP99" i="2" s="1"/>
  <c r="AL99" i="2"/>
  <c r="D99" i="2" s="1"/>
  <c r="C99" i="2"/>
  <c r="L99" i="2" s="1"/>
  <c r="M58" i="9" l="1"/>
  <c r="V58" i="9"/>
  <c r="U58" i="9"/>
  <c r="G58" i="9"/>
  <c r="H58" i="9"/>
  <c r="I58" i="9"/>
  <c r="Q58" i="9"/>
  <c r="N58" i="9"/>
  <c r="O58" i="9"/>
  <c r="F58" i="9"/>
  <c r="T58" i="9" s="1"/>
  <c r="C59" i="9" s="1"/>
  <c r="K58" i="9"/>
  <c r="S58" i="9" s="1"/>
  <c r="AS99" i="2"/>
  <c r="AA58" i="9"/>
  <c r="Z58" i="9"/>
  <c r="J99" i="2"/>
  <c r="X99" i="2"/>
  <c r="B100" i="2" s="1"/>
  <c r="D59" i="9" l="1"/>
  <c r="J59" i="9" s="1"/>
  <c r="AB58" i="9"/>
  <c r="X58" i="9" s="1"/>
  <c r="AM99" i="2"/>
  <c r="V99" i="2"/>
  <c r="V59" i="9"/>
  <c r="H59" i="9"/>
  <c r="U59" i="9"/>
  <c r="M59" i="9"/>
  <c r="I59" i="9"/>
  <c r="E59" i="9"/>
  <c r="O59" i="9"/>
  <c r="Q59" i="9"/>
  <c r="G59" i="9" s="1"/>
  <c r="K59" i="9" s="1"/>
  <c r="N59" i="9"/>
  <c r="AL100" i="2"/>
  <c r="N100" i="2"/>
  <c r="T100" i="2"/>
  <c r="F100" i="2" s="1"/>
  <c r="H100" i="2" s="1"/>
  <c r="AN100" i="2"/>
  <c r="AP100" i="2" s="1"/>
  <c r="AS100" i="2"/>
  <c r="U100" i="2"/>
  <c r="C100" i="2"/>
  <c r="J100" i="2" s="1"/>
  <c r="L100" i="2"/>
  <c r="F59" i="9" l="1"/>
  <c r="T59" i="9" s="1"/>
  <c r="D60" i="9" s="1"/>
  <c r="J60" i="9" s="1"/>
  <c r="S59" i="9"/>
  <c r="D100" i="2"/>
  <c r="V100" i="2" s="1"/>
  <c r="AA59" i="9"/>
  <c r="Z59" i="9"/>
  <c r="X100" i="2"/>
  <c r="AM100" i="2"/>
  <c r="C60" i="9" l="1"/>
  <c r="E60" i="9" s="1"/>
  <c r="AB59" i="9"/>
  <c r="X59" i="9" s="1"/>
  <c r="U60" i="9"/>
  <c r="V60" i="9"/>
  <c r="Q60" i="9"/>
  <c r="O60" i="9"/>
  <c r="G60" i="9"/>
  <c r="N60" i="9"/>
  <c r="M60" i="9"/>
  <c r="I60" i="9"/>
  <c r="B101" i="2"/>
  <c r="R101" i="2"/>
  <c r="H60" i="9" l="1"/>
  <c r="F60" i="9"/>
  <c r="T60" i="9" s="1"/>
  <c r="D61" i="9" s="1"/>
  <c r="J61" i="9" s="1"/>
  <c r="K60" i="9"/>
  <c r="S60" i="9"/>
  <c r="C61" i="9"/>
  <c r="AA60" i="9"/>
  <c r="Z60" i="9"/>
  <c r="AN101" i="2"/>
  <c r="AP101" i="2" s="1"/>
  <c r="N101" i="2"/>
  <c r="AL101" i="2"/>
  <c r="C101" i="2"/>
  <c r="AS101" i="2" s="1"/>
  <c r="T101" i="2"/>
  <c r="F101" i="2" s="1"/>
  <c r="AB60" i="9" l="1"/>
  <c r="X60" i="9" s="1"/>
  <c r="L101" i="2"/>
  <c r="D101" i="2"/>
  <c r="H101" i="2"/>
  <c r="J101" i="2"/>
  <c r="M61" i="9"/>
  <c r="I61" i="9"/>
  <c r="E61" i="9"/>
  <c r="Q61" i="9"/>
  <c r="G61" i="9" s="1"/>
  <c r="K61" i="9" s="1"/>
  <c r="V61" i="9"/>
  <c r="O61" i="9"/>
  <c r="N61" i="9"/>
  <c r="H61" i="9"/>
  <c r="U61" i="9"/>
  <c r="AM101" i="2"/>
  <c r="X101" i="2"/>
  <c r="B102" i="2" s="1"/>
  <c r="F61" i="9" l="1"/>
  <c r="T61" i="9" s="1"/>
  <c r="S61" i="9"/>
  <c r="V101" i="2"/>
  <c r="D62" i="9"/>
  <c r="J62" i="9" s="1"/>
  <c r="C62" i="9"/>
  <c r="AA61" i="9"/>
  <c r="Z61" i="9"/>
  <c r="T102" i="2"/>
  <c r="F102" i="2" s="1"/>
  <c r="H102" i="2" s="1"/>
  <c r="AL102" i="2"/>
  <c r="C102" i="2"/>
  <c r="J102" i="2" s="1"/>
  <c r="N102" i="2"/>
  <c r="L102" i="2"/>
  <c r="AN102" i="2"/>
  <c r="AP102" i="2" s="1"/>
  <c r="D102" i="2" l="1"/>
  <c r="V102" i="2" s="1"/>
  <c r="AB61" i="9"/>
  <c r="X61" i="9" s="1"/>
  <c r="AS102" i="2"/>
  <c r="AM102" i="2" s="1"/>
  <c r="I62" i="9"/>
  <c r="U62" i="9"/>
  <c r="M62" i="9"/>
  <c r="Z62" i="9" s="1"/>
  <c r="Q62" i="9"/>
  <c r="G62" i="9" s="1"/>
  <c r="E62" i="9"/>
  <c r="V62" i="9"/>
  <c r="H62" i="9"/>
  <c r="O62" i="9"/>
  <c r="N62" i="9"/>
  <c r="X102" i="2"/>
  <c r="F62" i="9" l="1"/>
  <c r="T62" i="9" s="1"/>
  <c r="D63" i="9" s="1"/>
  <c r="J63" i="9" s="1"/>
  <c r="K62" i="9"/>
  <c r="S62" i="9" s="1"/>
  <c r="AA62" i="9"/>
  <c r="AB62" i="9" s="1"/>
  <c r="X62" i="9" s="1"/>
  <c r="R103" i="2"/>
  <c r="B103" i="2"/>
  <c r="C63" i="9" l="1"/>
  <c r="U63" i="9" s="1"/>
  <c r="N103" i="2"/>
  <c r="AN103" i="2"/>
  <c r="AP103" i="2" s="1"/>
  <c r="T103" i="2"/>
  <c r="F103" i="2" s="1"/>
  <c r="H103" i="2" s="1"/>
  <c r="AS103" i="2"/>
  <c r="C103" i="2"/>
  <c r="J103" i="2"/>
  <c r="L103" i="2"/>
  <c r="AL103" i="2"/>
  <c r="E63" i="9" l="1"/>
  <c r="I63" i="9"/>
  <c r="H63" i="9"/>
  <c r="V63" i="9"/>
  <c r="M63" i="9"/>
  <c r="AA63" i="9" s="1"/>
  <c r="O63" i="9"/>
  <c r="N63" i="9"/>
  <c r="Q63" i="9"/>
  <c r="G63" i="9" s="1"/>
  <c r="D103" i="2"/>
  <c r="V103" i="2" s="1"/>
  <c r="F63" i="9"/>
  <c r="T63" i="9" s="1"/>
  <c r="D64" i="9" s="1"/>
  <c r="J64" i="9" s="1"/>
  <c r="K63" i="9"/>
  <c r="S63" i="9" s="1"/>
  <c r="Z63" i="9"/>
  <c r="X103" i="2"/>
  <c r="B104" i="2" s="1"/>
  <c r="AM103" i="2"/>
  <c r="C64" i="9" l="1"/>
  <c r="I64" i="9" s="1"/>
  <c r="AB63" i="9"/>
  <c r="X63" i="9" s="1"/>
  <c r="V64" i="9"/>
  <c r="Q64" i="9"/>
  <c r="G64" i="9" s="1"/>
  <c r="K64" i="9" s="1"/>
  <c r="E64" i="9"/>
  <c r="F64" i="9" s="1"/>
  <c r="T64" i="9" s="1"/>
  <c r="H64" i="9"/>
  <c r="U64" i="9"/>
  <c r="AL104" i="2"/>
  <c r="N104" i="2"/>
  <c r="T104" i="2"/>
  <c r="F104" i="2" s="1"/>
  <c r="H104" i="2" s="1"/>
  <c r="C104" i="2"/>
  <c r="J104" i="2" s="1"/>
  <c r="AN104" i="2"/>
  <c r="AP104" i="2" s="1"/>
  <c r="N64" i="9" l="1"/>
  <c r="O64" i="9"/>
  <c r="M64" i="9"/>
  <c r="AA64" i="9" s="1"/>
  <c r="L104" i="2"/>
  <c r="AS104" i="2"/>
  <c r="D65" i="9"/>
  <c r="J65" i="9" s="1"/>
  <c r="C65" i="9"/>
  <c r="D104" i="2"/>
  <c r="V104" i="2" s="1"/>
  <c r="S64" i="9"/>
  <c r="Z64" i="9"/>
  <c r="AM104" i="2"/>
  <c r="AB64" i="9" l="1"/>
  <c r="X64" i="9" s="1"/>
  <c r="X104" i="2"/>
  <c r="B105" i="2" s="1"/>
  <c r="H65" i="9"/>
  <c r="Q65" i="9"/>
  <c r="G65" i="9" s="1"/>
  <c r="U65" i="9"/>
  <c r="I65" i="9"/>
  <c r="V65" i="9"/>
  <c r="N65" i="9"/>
  <c r="E65" i="9"/>
  <c r="O65" i="9"/>
  <c r="M65" i="9"/>
  <c r="R105" i="2" l="1"/>
  <c r="F65" i="9"/>
  <c r="T65" i="9" s="1"/>
  <c r="D66" i="9" s="1"/>
  <c r="J66" i="9" s="1"/>
  <c r="K65" i="9"/>
  <c r="S65" i="9" s="1"/>
  <c r="AA65" i="9"/>
  <c r="Z65" i="9"/>
  <c r="N105" i="2"/>
  <c r="T105" i="2"/>
  <c r="F105" i="2" s="1"/>
  <c r="AN105" i="2"/>
  <c r="AP105" i="2" s="1"/>
  <c r="AL105" i="2"/>
  <c r="C105" i="2"/>
  <c r="AS105" i="2" s="1"/>
  <c r="L105" i="2"/>
  <c r="C66" i="9" l="1"/>
  <c r="AB65" i="9"/>
  <c r="X65" i="9" s="1"/>
  <c r="J105" i="2"/>
  <c r="D105" i="2"/>
  <c r="H105" i="2"/>
  <c r="E66" i="9"/>
  <c r="Q66" i="9"/>
  <c r="G66" i="9" s="1"/>
  <c r="N66" i="9"/>
  <c r="I66" i="9"/>
  <c r="U66" i="9"/>
  <c r="V66" i="9"/>
  <c r="H66" i="9"/>
  <c r="M66" i="9"/>
  <c r="O66" i="9"/>
  <c r="X105" i="2"/>
  <c r="B106" i="2" s="1"/>
  <c r="AM105" i="2"/>
  <c r="K66" i="9" l="1"/>
  <c r="S66" i="9" s="1"/>
  <c r="F66" i="9"/>
  <c r="T66" i="9" s="1"/>
  <c r="D67" i="9" s="1"/>
  <c r="J67" i="9" s="1"/>
  <c r="V105" i="2"/>
  <c r="AA66" i="9"/>
  <c r="Z66" i="9"/>
  <c r="L106" i="2"/>
  <c r="AS106" i="2"/>
  <c r="T106" i="2"/>
  <c r="F106" i="2" s="1"/>
  <c r="AL106" i="2"/>
  <c r="C106" i="2"/>
  <c r="J106" i="2" s="1"/>
  <c r="N106" i="2"/>
  <c r="AN106" i="2"/>
  <c r="AP106" i="2" s="1"/>
  <c r="C67" i="9" l="1"/>
  <c r="AB66" i="9"/>
  <c r="X66" i="9" s="1"/>
  <c r="H106" i="2"/>
  <c r="V106" i="2" s="1"/>
  <c r="D106" i="2"/>
  <c r="V67" i="9"/>
  <c r="M67" i="9"/>
  <c r="O67" i="9"/>
  <c r="N67" i="9"/>
  <c r="U67" i="9"/>
  <c r="H67" i="9"/>
  <c r="I67" i="9"/>
  <c r="E67" i="9"/>
  <c r="Q67" i="9"/>
  <c r="G67" i="9" s="1"/>
  <c r="K67" i="9" s="1"/>
  <c r="X106" i="2"/>
  <c r="AM106" i="2"/>
  <c r="F67" i="9" l="1"/>
  <c r="T67" i="9" s="1"/>
  <c r="S67" i="9"/>
  <c r="AA67" i="9"/>
  <c r="Z67" i="9"/>
  <c r="R107" i="2"/>
  <c r="B107" i="2"/>
  <c r="AB67" i="9" l="1"/>
  <c r="X67" i="9" s="1"/>
  <c r="D68" i="9"/>
  <c r="J68" i="9" s="1"/>
  <c r="C68" i="9"/>
  <c r="C107" i="2"/>
  <c r="J107" i="2" s="1"/>
  <c r="AL107" i="2"/>
  <c r="N107" i="2"/>
  <c r="T107" i="2"/>
  <c r="F107" i="2" s="1"/>
  <c r="H107" i="2" s="1"/>
  <c r="L107" i="2"/>
  <c r="AS107" i="2"/>
  <c r="AN107" i="2"/>
  <c r="AP107" i="2" s="1"/>
  <c r="D107" i="2" l="1"/>
  <c r="V107" i="2"/>
  <c r="E68" i="9"/>
  <c r="Q68" i="9"/>
  <c r="G68" i="9" s="1"/>
  <c r="K68" i="9" s="1"/>
  <c r="N68" i="9"/>
  <c r="V68" i="9"/>
  <c r="H68" i="9"/>
  <c r="U68" i="9"/>
  <c r="M68" i="9"/>
  <c r="I68" i="9"/>
  <c r="O68" i="9"/>
  <c r="AM107" i="2"/>
  <c r="X107" i="2"/>
  <c r="B108" i="2" s="1"/>
  <c r="S68" i="9" l="1"/>
  <c r="F68" i="9"/>
  <c r="T68" i="9" s="1"/>
  <c r="AA68" i="9"/>
  <c r="Z68" i="9"/>
  <c r="C108" i="2"/>
  <c r="L108" i="2" s="1"/>
  <c r="T108" i="2"/>
  <c r="F108" i="2" s="1"/>
  <c r="H108" i="2" s="1"/>
  <c r="AL108" i="2"/>
  <c r="N108" i="2"/>
  <c r="AN108" i="2"/>
  <c r="AP108" i="2" s="1"/>
  <c r="AB68" i="9" l="1"/>
  <c r="X68" i="9" s="1"/>
  <c r="AS108" i="2"/>
  <c r="D108" i="2"/>
  <c r="V108" i="2" s="1"/>
  <c r="J108" i="2"/>
  <c r="D69" i="9"/>
  <c r="J69" i="9" s="1"/>
  <c r="C69" i="9"/>
  <c r="X108" i="2"/>
  <c r="AM108" i="2"/>
  <c r="H69" i="9" l="1"/>
  <c r="I69" i="9"/>
  <c r="V69" i="9"/>
  <c r="M69" i="9"/>
  <c r="E69" i="9"/>
  <c r="Q69" i="9"/>
  <c r="G69" i="9" s="1"/>
  <c r="K69" i="9" s="1"/>
  <c r="O69" i="9"/>
  <c r="R69" i="9"/>
  <c r="N69" i="9"/>
  <c r="U69" i="9"/>
  <c r="B109" i="2"/>
  <c r="R109" i="2"/>
  <c r="S69" i="9" l="1"/>
  <c r="X69" i="9"/>
  <c r="AA69" i="9"/>
  <c r="Z69" i="9"/>
  <c r="F69" i="9"/>
  <c r="T69" i="9" s="1"/>
  <c r="T109" i="2"/>
  <c r="F109" i="2" s="1"/>
  <c r="H109" i="2" s="1"/>
  <c r="C109" i="2"/>
  <c r="AS109" i="2" s="1"/>
  <c r="AN109" i="2"/>
  <c r="AP109" i="2" s="1"/>
  <c r="AL109" i="2"/>
  <c r="N109" i="2"/>
  <c r="AB69" i="9" l="1"/>
  <c r="L109" i="2"/>
  <c r="D109" i="2"/>
  <c r="J109" i="2"/>
  <c r="D70" i="9"/>
  <c r="J70" i="9" s="1"/>
  <c r="C70" i="9"/>
  <c r="X109" i="2"/>
  <c r="B110" i="2" s="1"/>
  <c r="AM109" i="2"/>
  <c r="U70" i="9" l="1"/>
  <c r="N70" i="9"/>
  <c r="I70" i="9"/>
  <c r="M70" i="9"/>
  <c r="H70" i="9"/>
  <c r="V70" i="9"/>
  <c r="E70" i="9"/>
  <c r="Q70" i="9"/>
  <c r="G70" i="9" s="1"/>
  <c r="K70" i="9" s="1"/>
  <c r="O70" i="9"/>
  <c r="V109" i="2"/>
  <c r="AL110" i="2"/>
  <c r="N110" i="2"/>
  <c r="T110" i="2"/>
  <c r="F110" i="2" s="1"/>
  <c r="H110" i="2" s="1"/>
  <c r="C110" i="2"/>
  <c r="AS110" i="2" s="1"/>
  <c r="L110" i="2"/>
  <c r="AN110" i="2"/>
  <c r="AP110" i="2" s="1"/>
  <c r="F70" i="9" l="1"/>
  <c r="T70" i="9" s="1"/>
  <c r="C71" i="9" s="1"/>
  <c r="S70" i="9"/>
  <c r="D110" i="2"/>
  <c r="X110" i="2" s="1"/>
  <c r="AA70" i="9"/>
  <c r="Z70" i="9"/>
  <c r="J110" i="2"/>
  <c r="V110" i="2" s="1"/>
  <c r="AB70" i="9" l="1"/>
  <c r="X70" i="9" s="1"/>
  <c r="D71" i="9"/>
  <c r="J71" i="9" s="1"/>
  <c r="AM110" i="2"/>
  <c r="O71" i="9"/>
  <c r="U71" i="9"/>
  <c r="M71" i="9"/>
  <c r="V71" i="9"/>
  <c r="E71" i="9"/>
  <c r="H71" i="9"/>
  <c r="I71" i="9"/>
  <c r="Q71" i="9"/>
  <c r="G71" i="9" s="1"/>
  <c r="K71" i="9" s="1"/>
  <c r="N71" i="9"/>
  <c r="R111" i="2"/>
  <c r="B111" i="2"/>
  <c r="S71" i="9" l="1"/>
  <c r="F71" i="9"/>
  <c r="T71" i="9" s="1"/>
  <c r="AA71" i="9"/>
  <c r="Z71" i="9"/>
  <c r="AN111" i="2"/>
  <c r="AP111" i="2" s="1"/>
  <c r="C111" i="2"/>
  <c r="J111" i="2" s="1"/>
  <c r="L111" i="2"/>
  <c r="AL111" i="2"/>
  <c r="N111" i="2"/>
  <c r="T111" i="2"/>
  <c r="F111" i="2" s="1"/>
  <c r="AB71" i="9" l="1"/>
  <c r="X71" i="9" s="1"/>
  <c r="AS111" i="2"/>
  <c r="D111" i="2"/>
  <c r="H111" i="2"/>
  <c r="D72" i="9"/>
  <c r="J72" i="9" s="1"/>
  <c r="C72" i="9"/>
  <c r="X111" i="2"/>
  <c r="B112" i="2" s="1"/>
  <c r="AM111" i="2"/>
  <c r="V111" i="2" l="1"/>
  <c r="M72" i="9"/>
  <c r="V72" i="9"/>
  <c r="E72" i="9"/>
  <c r="H72" i="9"/>
  <c r="O72" i="9"/>
  <c r="Q72" i="9"/>
  <c r="G72" i="9" s="1"/>
  <c r="U72" i="9"/>
  <c r="I72" i="9"/>
  <c r="N72" i="9"/>
  <c r="AN112" i="2"/>
  <c r="AP112" i="2" s="1"/>
  <c r="AL112" i="2"/>
  <c r="C112" i="2"/>
  <c r="L112" i="2" s="1"/>
  <c r="N112" i="2"/>
  <c r="AS112" i="2"/>
  <c r="T112" i="2"/>
  <c r="F112" i="2" s="1"/>
  <c r="H112" i="2" s="1"/>
  <c r="U112" i="2"/>
  <c r="D112" i="2" l="1"/>
  <c r="F72" i="9"/>
  <c r="T72" i="9" s="1"/>
  <c r="D73" i="9" s="1"/>
  <c r="J73" i="9" s="1"/>
  <c r="K72" i="9"/>
  <c r="S72" i="9" s="1"/>
  <c r="J112" i="2"/>
  <c r="AM112" i="2" s="1"/>
  <c r="V112" i="2"/>
  <c r="AA72" i="9"/>
  <c r="Z72" i="9"/>
  <c r="X112" i="2"/>
  <c r="C73" i="9" l="1"/>
  <c r="M73" i="9" s="1"/>
  <c r="AB72" i="9"/>
  <c r="X72" i="9" s="1"/>
  <c r="R113" i="2"/>
  <c r="B113" i="2"/>
  <c r="V73" i="9" l="1"/>
  <c r="I73" i="9"/>
  <c r="U73" i="9"/>
  <c r="N73" i="9"/>
  <c r="Q73" i="9"/>
  <c r="G73" i="9" s="1"/>
  <c r="H73" i="9"/>
  <c r="O73" i="9"/>
  <c r="E73" i="9"/>
  <c r="F73" i="9"/>
  <c r="T73" i="9" s="1"/>
  <c r="D74" i="9" s="1"/>
  <c r="J74" i="9" s="1"/>
  <c r="K73" i="9"/>
  <c r="S73" i="9" s="1"/>
  <c r="C74" i="9"/>
  <c r="AA73" i="9"/>
  <c r="Z73" i="9"/>
  <c r="AL113" i="2"/>
  <c r="L113" i="2"/>
  <c r="N113" i="2"/>
  <c r="C113" i="2"/>
  <c r="J113" i="2" s="1"/>
  <c r="AN113" i="2"/>
  <c r="AP113" i="2" s="1"/>
  <c r="T113" i="2"/>
  <c r="F113" i="2" s="1"/>
  <c r="H113" i="2" s="1"/>
  <c r="AS113" i="2"/>
  <c r="AB73" i="9" l="1"/>
  <c r="X73" i="9" s="1"/>
  <c r="D113" i="2"/>
  <c r="V113" i="2" s="1"/>
  <c r="M74" i="9"/>
  <c r="O74" i="9"/>
  <c r="N74" i="9"/>
  <c r="E74" i="9"/>
  <c r="Q74" i="9"/>
  <c r="G74" i="9" s="1"/>
  <c r="K74" i="9" s="1"/>
  <c r="I74" i="9"/>
  <c r="U74" i="9"/>
  <c r="H74" i="9"/>
  <c r="V74" i="9"/>
  <c r="AM113" i="2"/>
  <c r="X113" i="2"/>
  <c r="B114" i="2" s="1"/>
  <c r="S74" i="9" l="1"/>
  <c r="F74" i="9"/>
  <c r="T74" i="9" s="1"/>
  <c r="X74" i="9"/>
  <c r="AA74" i="9"/>
  <c r="Z74" i="9"/>
  <c r="AL114" i="2"/>
  <c r="T114" i="2"/>
  <c r="F114" i="2" s="1"/>
  <c r="H114" i="2" s="1"/>
  <c r="C114" i="2"/>
  <c r="L114" i="2" s="1"/>
  <c r="AN114" i="2"/>
  <c r="N114" i="2"/>
  <c r="AP114" i="2"/>
  <c r="AB74" i="9" l="1"/>
  <c r="AS114" i="2"/>
  <c r="J114" i="2"/>
  <c r="D114" i="2"/>
  <c r="V114" i="2" s="1"/>
  <c r="D75" i="9"/>
  <c r="J75" i="9" s="1"/>
  <c r="C75" i="9"/>
  <c r="X114" i="2"/>
  <c r="AM114" i="2"/>
  <c r="U75" i="9" l="1"/>
  <c r="O75" i="9"/>
  <c r="V75" i="9"/>
  <c r="I75" i="9"/>
  <c r="M75" i="9"/>
  <c r="H75" i="9"/>
  <c r="E75" i="9"/>
  <c r="Q75" i="9"/>
  <c r="G75" i="9" s="1"/>
  <c r="K75" i="9" s="1"/>
  <c r="N75" i="9"/>
  <c r="R115" i="2"/>
  <c r="B115" i="2"/>
  <c r="S75" i="9" l="1"/>
  <c r="F75" i="9"/>
  <c r="T75" i="9" s="1"/>
  <c r="AA75" i="9"/>
  <c r="Z75" i="9"/>
  <c r="AL115" i="2"/>
  <c r="C115" i="2"/>
  <c r="AS115" i="2" s="1"/>
  <c r="T115" i="2"/>
  <c r="F115" i="2" s="1"/>
  <c r="H115" i="2" s="1"/>
  <c r="N115" i="2"/>
  <c r="AN115" i="2"/>
  <c r="AP115" i="2" s="1"/>
  <c r="AB75" i="9" l="1"/>
  <c r="X75" i="9" s="1"/>
  <c r="D115" i="2"/>
  <c r="J115" i="2"/>
  <c r="L115" i="2"/>
  <c r="D76" i="9"/>
  <c r="J76" i="9" s="1"/>
  <c r="C76" i="9"/>
  <c r="X115" i="2"/>
  <c r="B116" i="2" s="1"/>
  <c r="AM115" i="2"/>
  <c r="V115" i="2" l="1"/>
  <c r="E76" i="9"/>
  <c r="Q76" i="9"/>
  <c r="G76" i="9" s="1"/>
  <c r="K76" i="9" s="1"/>
  <c r="V76" i="9"/>
  <c r="O76" i="9"/>
  <c r="U76" i="9"/>
  <c r="H76" i="9"/>
  <c r="I76" i="9"/>
  <c r="M76" i="9"/>
  <c r="N76" i="9"/>
  <c r="AN116" i="2"/>
  <c r="AP116" i="2" s="1"/>
  <c r="AL116" i="2"/>
  <c r="C116" i="2"/>
  <c r="J116" i="2" s="1"/>
  <c r="N116" i="2"/>
  <c r="L116" i="2"/>
  <c r="T116" i="2"/>
  <c r="F116" i="2" s="1"/>
  <c r="F76" i="9" l="1"/>
  <c r="T76" i="9" s="1"/>
  <c r="D77" i="9" s="1"/>
  <c r="J77" i="9" s="1"/>
  <c r="AS116" i="2"/>
  <c r="H116" i="2"/>
  <c r="D116" i="2"/>
  <c r="AA76" i="9"/>
  <c r="Z76" i="9"/>
  <c r="S76" i="9"/>
  <c r="X116" i="2"/>
  <c r="AM116" i="2"/>
  <c r="AB76" i="9" l="1"/>
  <c r="X76" i="9" s="1"/>
  <c r="C77" i="9"/>
  <c r="U77" i="9" s="1"/>
  <c r="V116" i="2"/>
  <c r="R117" i="2"/>
  <c r="B117" i="2"/>
  <c r="H77" i="9" l="1"/>
  <c r="V77" i="9"/>
  <c r="O77" i="9"/>
  <c r="E77" i="9"/>
  <c r="Q77" i="9"/>
  <c r="G77" i="9" s="1"/>
  <c r="K77" i="9" s="1"/>
  <c r="M77" i="9"/>
  <c r="AA77" i="9" s="1"/>
  <c r="N77" i="9"/>
  <c r="I77" i="9"/>
  <c r="F77" i="9"/>
  <c r="T77" i="9" s="1"/>
  <c r="D78" i="9" s="1"/>
  <c r="J78" i="9" s="1"/>
  <c r="S77" i="9"/>
  <c r="Z77" i="9"/>
  <c r="C117" i="2"/>
  <c r="L117" i="2" s="1"/>
  <c r="AL117" i="2"/>
  <c r="N117" i="2"/>
  <c r="AN117" i="2"/>
  <c r="AP117" i="2" s="1"/>
  <c r="T117" i="2"/>
  <c r="F117" i="2" s="1"/>
  <c r="AB77" i="9" l="1"/>
  <c r="X77" i="9" s="1"/>
  <c r="C78" i="9"/>
  <c r="Q78" i="9" s="1"/>
  <c r="D117" i="2"/>
  <c r="H117" i="2"/>
  <c r="J117" i="2"/>
  <c r="N78" i="9"/>
  <c r="E78" i="9"/>
  <c r="U78" i="9"/>
  <c r="AS117" i="2"/>
  <c r="AM117" i="2" s="1"/>
  <c r="X117" i="2"/>
  <c r="B118" i="2" s="1"/>
  <c r="V78" i="9" l="1"/>
  <c r="I78" i="9"/>
  <c r="O78" i="9"/>
  <c r="H78" i="9"/>
  <c r="M78" i="9"/>
  <c r="AA78" i="9" s="1"/>
  <c r="V117" i="2"/>
  <c r="G78" i="9"/>
  <c r="Z78" i="9"/>
  <c r="C118" i="2"/>
  <c r="J118" i="2" s="1"/>
  <c r="AN118" i="2"/>
  <c r="AP118" i="2" s="1"/>
  <c r="AL118" i="2"/>
  <c r="N118" i="2"/>
  <c r="T118" i="2"/>
  <c r="F118" i="2" s="1"/>
  <c r="H118" i="2" s="1"/>
  <c r="AB78" i="9" l="1"/>
  <c r="X78" i="9" s="1"/>
  <c r="D118" i="2"/>
  <c r="F78" i="9"/>
  <c r="T78" i="9" s="1"/>
  <c r="D79" i="9" s="1"/>
  <c r="J79" i="9" s="1"/>
  <c r="K78" i="9"/>
  <c r="S78" i="9" s="1"/>
  <c r="L118" i="2"/>
  <c r="V118" i="2" s="1"/>
  <c r="AS118" i="2"/>
  <c r="AM118" i="2" s="1"/>
  <c r="X118" i="2"/>
  <c r="C79" i="9" l="1"/>
  <c r="O79" i="9" s="1"/>
  <c r="B119" i="2"/>
  <c r="R119" i="2"/>
  <c r="N79" i="9" l="1"/>
  <c r="V79" i="9"/>
  <c r="U79" i="9"/>
  <c r="I79" i="9"/>
  <c r="Q79" i="9"/>
  <c r="G79" i="9" s="1"/>
  <c r="M79" i="9"/>
  <c r="AA79" i="9" s="1"/>
  <c r="E79" i="9"/>
  <c r="H79" i="9"/>
  <c r="F79" i="9"/>
  <c r="T79" i="9" s="1"/>
  <c r="D80" i="9" s="1"/>
  <c r="J80" i="9" s="1"/>
  <c r="K79" i="9"/>
  <c r="S79" i="9" s="1"/>
  <c r="Z79" i="9"/>
  <c r="AL119" i="2"/>
  <c r="C119" i="2"/>
  <c r="J119" i="2" s="1"/>
  <c r="AN119" i="2"/>
  <c r="AP119" i="2" s="1"/>
  <c r="N119" i="2"/>
  <c r="T119" i="2"/>
  <c r="F119" i="2" s="1"/>
  <c r="H119" i="2" s="1"/>
  <c r="AB79" i="9" l="1"/>
  <c r="X79" i="9" s="1"/>
  <c r="C80" i="9"/>
  <c r="E80" i="9" s="1"/>
  <c r="D119" i="2"/>
  <c r="AS119" i="2"/>
  <c r="L119" i="2"/>
  <c r="V119" i="2" s="1"/>
  <c r="I80" i="9"/>
  <c r="X119" i="2"/>
  <c r="B120" i="2" s="1"/>
  <c r="AM119" i="2"/>
  <c r="Q80" i="9" l="1"/>
  <c r="G80" i="9" s="1"/>
  <c r="H80" i="9"/>
  <c r="N80" i="9"/>
  <c r="V80" i="9"/>
  <c r="M80" i="9"/>
  <c r="AA80" i="9" s="1"/>
  <c r="O80" i="9"/>
  <c r="U80" i="9"/>
  <c r="F80" i="9"/>
  <c r="T80" i="9" s="1"/>
  <c r="D81" i="9" s="1"/>
  <c r="J81" i="9" s="1"/>
  <c r="K80" i="9"/>
  <c r="S80" i="9" s="1"/>
  <c r="Z80" i="9"/>
  <c r="N120" i="2"/>
  <c r="T120" i="2"/>
  <c r="F120" i="2" s="1"/>
  <c r="H120" i="2" s="1"/>
  <c r="AL120" i="2"/>
  <c r="AN120" i="2"/>
  <c r="AP120" i="2" s="1"/>
  <c r="C120" i="2"/>
  <c r="J120" i="2" s="1"/>
  <c r="C81" i="9" l="1"/>
  <c r="M81" i="9" s="1"/>
  <c r="AB80" i="9"/>
  <c r="X80" i="9" s="1"/>
  <c r="D120" i="2"/>
  <c r="AS120" i="2"/>
  <c r="L120" i="2"/>
  <c r="V120" i="2" s="1"/>
  <c r="O81" i="9"/>
  <c r="V81" i="9"/>
  <c r="Q81" i="9"/>
  <c r="G81" i="9" s="1"/>
  <c r="K81" i="9" s="1"/>
  <c r="H81" i="9"/>
  <c r="R81" i="9"/>
  <c r="I81" i="9"/>
  <c r="E81" i="9"/>
  <c r="N81" i="9"/>
  <c r="AM120" i="2"/>
  <c r="X120" i="2"/>
  <c r="U81" i="9" l="1"/>
  <c r="S81" i="9"/>
  <c r="X81" i="9"/>
  <c r="F81" i="9"/>
  <c r="T81" i="9" s="1"/>
  <c r="AA81" i="9"/>
  <c r="Z81" i="9"/>
  <c r="B121" i="2"/>
  <c r="R121" i="2"/>
  <c r="AB81" i="9" l="1"/>
  <c r="D82" i="9"/>
  <c r="J82" i="9" s="1"/>
  <c r="C82" i="9"/>
  <c r="AL121" i="2"/>
  <c r="C121" i="2"/>
  <c r="AS121" i="2" s="1"/>
  <c r="L121" i="2"/>
  <c r="N121" i="2"/>
  <c r="T121" i="2"/>
  <c r="F121" i="2" s="1"/>
  <c r="H121" i="2" s="1"/>
  <c r="AN121" i="2"/>
  <c r="AP121" i="2" s="1"/>
  <c r="D121" i="2" l="1"/>
  <c r="J121" i="2"/>
  <c r="U82" i="9"/>
  <c r="H82" i="9"/>
  <c r="V82" i="9"/>
  <c r="M82" i="9"/>
  <c r="I82" i="9"/>
  <c r="E82" i="9"/>
  <c r="O82" i="9"/>
  <c r="Q82" i="9"/>
  <c r="G82" i="9" s="1"/>
  <c r="K82" i="9" s="1"/>
  <c r="N82" i="9"/>
  <c r="AM121" i="2"/>
  <c r="V121" i="2" l="1"/>
  <c r="F82" i="9"/>
  <c r="T82" i="9" s="1"/>
  <c r="D83" i="9" s="1"/>
  <c r="J83" i="9" s="1"/>
  <c r="S82" i="9"/>
  <c r="X121" i="2"/>
  <c r="B122" i="2" s="1"/>
  <c r="AA82" i="9"/>
  <c r="Z82" i="9"/>
  <c r="AB82" i="9" l="1"/>
  <c r="X82" i="9" s="1"/>
  <c r="C83" i="9"/>
  <c r="E83" i="9" s="1"/>
  <c r="AL122" i="2"/>
  <c r="N122" i="2"/>
  <c r="C122" i="2"/>
  <c r="J122" i="2" s="1"/>
  <c r="AN122" i="2"/>
  <c r="AP122" i="2" s="1"/>
  <c r="T122" i="2"/>
  <c r="F122" i="2" s="1"/>
  <c r="H122" i="2" s="1"/>
  <c r="H83" i="9"/>
  <c r="M83" i="9" l="1"/>
  <c r="I83" i="9"/>
  <c r="Q83" i="9"/>
  <c r="N83" i="9"/>
  <c r="V83" i="9"/>
  <c r="O83" i="9"/>
  <c r="U83" i="9"/>
  <c r="G83" i="9"/>
  <c r="K83" i="9" s="1"/>
  <c r="S83" i="9"/>
  <c r="D122" i="2"/>
  <c r="F83" i="9"/>
  <c r="T83" i="9" s="1"/>
  <c r="AS122" i="2"/>
  <c r="AM122" i="2" s="1"/>
  <c r="X122" i="2"/>
  <c r="R123" i="2" s="1"/>
  <c r="AA83" i="9"/>
  <c r="Z83" i="9"/>
  <c r="L122" i="2"/>
  <c r="AB83" i="9" l="1"/>
  <c r="X83" i="9" s="1"/>
  <c r="D84" i="9"/>
  <c r="J84" i="9" s="1"/>
  <c r="C84" i="9"/>
  <c r="B123" i="2"/>
  <c r="C123" i="2" s="1"/>
  <c r="V122" i="2"/>
  <c r="AL123" i="2" l="1"/>
  <c r="N123" i="2"/>
  <c r="AM123" i="2" s="1"/>
  <c r="L123" i="2"/>
  <c r="J123" i="2"/>
  <c r="T123" i="2"/>
  <c r="F123" i="2" s="1"/>
  <c r="AS123" i="2"/>
  <c r="AN123" i="2"/>
  <c r="AN365" i="2" s="1"/>
  <c r="I84" i="9"/>
  <c r="N84" i="9"/>
  <c r="H84" i="9"/>
  <c r="E84" i="9"/>
  <c r="U84" i="9"/>
  <c r="M84" i="9"/>
  <c r="Q84" i="9"/>
  <c r="G84" i="9" s="1"/>
  <c r="V84" i="9"/>
  <c r="O84" i="9"/>
  <c r="F84" i="9" l="1"/>
  <c r="T84" i="9" s="1"/>
  <c r="D85" i="9" s="1"/>
  <c r="J85" i="9" s="1"/>
  <c r="K84" i="9"/>
  <c r="S84" i="9" s="1"/>
  <c r="D123" i="2"/>
  <c r="H123" i="2"/>
  <c r="V123" i="2" s="1"/>
  <c r="C85" i="9"/>
  <c r="AA84" i="9"/>
  <c r="Z84" i="9"/>
  <c r="AP123" i="2"/>
  <c r="AB84" i="9" l="1"/>
  <c r="X84" i="9" s="1"/>
  <c r="X123" i="2"/>
  <c r="B124" i="2" s="1"/>
  <c r="U124" i="2" s="1"/>
  <c r="I85" i="9"/>
  <c r="M85" i="9"/>
  <c r="Q85" i="9"/>
  <c r="G85" i="9" s="1"/>
  <c r="U85" i="9"/>
  <c r="H85" i="9"/>
  <c r="E85" i="9"/>
  <c r="V85" i="9"/>
  <c r="O85" i="9"/>
  <c r="N85" i="9"/>
  <c r="AL124" i="2" l="1"/>
  <c r="T124" i="2"/>
  <c r="F124" i="2" s="1"/>
  <c r="C124" i="2"/>
  <c r="AS124" i="2" s="1"/>
  <c r="N124" i="2"/>
  <c r="F85" i="9"/>
  <c r="T85" i="9" s="1"/>
  <c r="D86" i="9" s="1"/>
  <c r="J86" i="9" s="1"/>
  <c r="K85" i="9"/>
  <c r="S85" i="9" s="1"/>
  <c r="D124" i="2"/>
  <c r="H124" i="2"/>
  <c r="J124" i="2"/>
  <c r="L124" i="2"/>
  <c r="AA85" i="9"/>
  <c r="Z85" i="9"/>
  <c r="C86" i="9" l="1"/>
  <c r="X124" i="2"/>
  <c r="B125" i="2" s="1"/>
  <c r="N125" i="2" s="1"/>
  <c r="AB85" i="9"/>
  <c r="X85" i="9" s="1"/>
  <c r="AM124" i="2"/>
  <c r="V124" i="2"/>
  <c r="V86" i="9"/>
  <c r="N86" i="9"/>
  <c r="H86" i="9"/>
  <c r="U86" i="9"/>
  <c r="Q86" i="9"/>
  <c r="I86" i="9"/>
  <c r="M86" i="9"/>
  <c r="O86" i="9"/>
  <c r="E86" i="9"/>
  <c r="L125" i="2" l="1"/>
  <c r="C125" i="2"/>
  <c r="J125" i="2" s="1"/>
  <c r="R125" i="2"/>
  <c r="T125" i="2"/>
  <c r="F125" i="2" s="1"/>
  <c r="H125" i="2" s="1"/>
  <c r="AL125" i="2"/>
  <c r="D125" i="2"/>
  <c r="V125" i="2" s="1"/>
  <c r="G86" i="9"/>
  <c r="AS125" i="2"/>
  <c r="AA86" i="9"/>
  <c r="Z86" i="9"/>
  <c r="AM125" i="2"/>
  <c r="X125" i="2" l="1"/>
  <c r="B126" i="2" s="1"/>
  <c r="AB86" i="9"/>
  <c r="X86" i="9" s="1"/>
  <c r="F86" i="9"/>
  <c r="T86" i="9" s="1"/>
  <c r="D87" i="9" s="1"/>
  <c r="J87" i="9" s="1"/>
  <c r="K86" i="9"/>
  <c r="S86" i="9" s="1"/>
  <c r="N126" i="2"/>
  <c r="AL126" i="2"/>
  <c r="T126" i="2"/>
  <c r="F126" i="2" s="1"/>
  <c r="C126" i="2"/>
  <c r="AS126" i="2" s="1"/>
  <c r="L126" i="2"/>
  <c r="C87" i="9" l="1"/>
  <c r="I87" i="9" s="1"/>
  <c r="D126" i="2"/>
  <c r="H126" i="2"/>
  <c r="J126" i="2"/>
  <c r="V87" i="9"/>
  <c r="O87" i="9"/>
  <c r="E87" i="9"/>
  <c r="H87" i="9"/>
  <c r="Q87" i="9"/>
  <c r="G87" i="9" s="1"/>
  <c r="K87" i="9" s="1"/>
  <c r="N87" i="9"/>
  <c r="U87" i="9"/>
  <c r="M87" i="9"/>
  <c r="X126" i="2"/>
  <c r="AM126" i="2"/>
  <c r="S87" i="9" l="1"/>
  <c r="V126" i="2"/>
  <c r="F87" i="9"/>
  <c r="T87" i="9" s="1"/>
  <c r="AA87" i="9"/>
  <c r="Z87" i="9"/>
  <c r="B127" i="2"/>
  <c r="R127" i="2"/>
  <c r="AB87" i="9" l="1"/>
  <c r="X87" i="9" s="1"/>
  <c r="D88" i="9"/>
  <c r="J88" i="9" s="1"/>
  <c r="C88" i="9"/>
  <c r="C127" i="2"/>
  <c r="J127" i="2" s="1"/>
  <c r="L127" i="2"/>
  <c r="AS127" i="2"/>
  <c r="AL127" i="2"/>
  <c r="D127" i="2" s="1"/>
  <c r="N127" i="2"/>
  <c r="T127" i="2"/>
  <c r="F127" i="2"/>
  <c r="H127" i="2" s="1"/>
  <c r="V127" i="2" l="1"/>
  <c r="I88" i="9"/>
  <c r="N88" i="9"/>
  <c r="O88" i="9"/>
  <c r="E88" i="9"/>
  <c r="V88" i="9"/>
  <c r="M88" i="9"/>
  <c r="U88" i="9"/>
  <c r="H88" i="9"/>
  <c r="Q88" i="9"/>
  <c r="G88" i="9" s="1"/>
  <c r="K88" i="9" s="1"/>
  <c r="X127" i="2"/>
  <c r="B128" i="2" s="1"/>
  <c r="AM127" i="2"/>
  <c r="S88" i="9" l="1"/>
  <c r="F88" i="9"/>
  <c r="T88" i="9" s="1"/>
  <c r="AA88" i="9"/>
  <c r="Z88" i="9"/>
  <c r="C128" i="2"/>
  <c r="L128" i="2" s="1"/>
  <c r="N128" i="2"/>
  <c r="J128" i="2"/>
  <c r="AL128" i="2"/>
  <c r="D128" i="2" s="1"/>
  <c r="T128" i="2"/>
  <c r="F128" i="2" s="1"/>
  <c r="H128" i="2" s="1"/>
  <c r="AB88" i="9" l="1"/>
  <c r="X88" i="9" s="1"/>
  <c r="V128" i="2"/>
  <c r="D89" i="9"/>
  <c r="J89" i="9" s="1"/>
  <c r="C89" i="9"/>
  <c r="AS128" i="2"/>
  <c r="AM128" i="2" s="1"/>
  <c r="X128" i="2"/>
  <c r="H89" i="9" l="1"/>
  <c r="I89" i="9"/>
  <c r="U89" i="9"/>
  <c r="N89" i="9"/>
  <c r="Q89" i="9"/>
  <c r="G89" i="9" s="1"/>
  <c r="M89" i="9"/>
  <c r="E89" i="9"/>
  <c r="V89" i="9"/>
  <c r="O89" i="9"/>
  <c r="R129" i="2"/>
  <c r="B129" i="2"/>
  <c r="F89" i="9" l="1"/>
  <c r="T89" i="9" s="1"/>
  <c r="D90" i="9" s="1"/>
  <c r="J90" i="9" s="1"/>
  <c r="K89" i="9"/>
  <c r="S89" i="9" s="1"/>
  <c r="AA89" i="9"/>
  <c r="Z89" i="9"/>
  <c r="X89" i="9"/>
  <c r="C129" i="2"/>
  <c r="J129" i="2" s="1"/>
  <c r="AL129" i="2"/>
  <c r="N129" i="2"/>
  <c r="T129" i="2"/>
  <c r="F129" i="2" s="1"/>
  <c r="C90" i="9" l="1"/>
  <c r="AB89" i="9"/>
  <c r="AS129" i="2"/>
  <c r="D129" i="2"/>
  <c r="H129" i="2"/>
  <c r="L129" i="2"/>
  <c r="N90" i="9"/>
  <c r="U90" i="9"/>
  <c r="M90" i="9"/>
  <c r="V90" i="9"/>
  <c r="O90" i="9"/>
  <c r="I90" i="9"/>
  <c r="E90" i="9"/>
  <c r="H90" i="9"/>
  <c r="Q90" i="9"/>
  <c r="G90" i="9" s="1"/>
  <c r="K90" i="9" s="1"/>
  <c r="AM129" i="2"/>
  <c r="X129" i="2"/>
  <c r="B130" i="2" s="1"/>
  <c r="V129" i="2" l="1"/>
  <c r="S90" i="9"/>
  <c r="AA90" i="9"/>
  <c r="Z90" i="9"/>
  <c r="F90" i="9"/>
  <c r="T90" i="9" s="1"/>
  <c r="T130" i="2"/>
  <c r="F130" i="2" s="1"/>
  <c r="N130" i="2"/>
  <c r="AL130" i="2"/>
  <c r="AS130" i="2"/>
  <c r="C130" i="2"/>
  <c r="J130" i="2" s="1"/>
  <c r="L130" i="2"/>
  <c r="AB90" i="9" l="1"/>
  <c r="X90" i="9" s="1"/>
  <c r="D130" i="2"/>
  <c r="H130" i="2"/>
  <c r="D91" i="9"/>
  <c r="J91" i="9" s="1"/>
  <c r="C91" i="9"/>
  <c r="X130" i="2"/>
  <c r="AM130" i="2"/>
  <c r="V130" i="2" l="1"/>
  <c r="N91" i="9"/>
  <c r="H91" i="9"/>
  <c r="I91" i="9"/>
  <c r="E91" i="9"/>
  <c r="Q91" i="9"/>
  <c r="G91" i="9" s="1"/>
  <c r="V91" i="9"/>
  <c r="M91" i="9"/>
  <c r="O91" i="9"/>
  <c r="U91" i="9"/>
  <c r="R131" i="2"/>
  <c r="B131" i="2"/>
  <c r="F91" i="9" l="1"/>
  <c r="T91" i="9" s="1"/>
  <c r="D92" i="9" s="1"/>
  <c r="J92" i="9" s="1"/>
  <c r="K91" i="9"/>
  <c r="S91" i="9" s="1"/>
  <c r="C92" i="9"/>
  <c r="AA91" i="9"/>
  <c r="Z91" i="9"/>
  <c r="T131" i="2"/>
  <c r="F131" i="2" s="1"/>
  <c r="H131" i="2" s="1"/>
  <c r="N131" i="2"/>
  <c r="C131" i="2"/>
  <c r="J131" i="2" s="1"/>
  <c r="AL131" i="2"/>
  <c r="AB91" i="9" l="1"/>
  <c r="X91" i="9" s="1"/>
  <c r="AS131" i="2"/>
  <c r="L131" i="2"/>
  <c r="D131" i="2"/>
  <c r="N92" i="9"/>
  <c r="I92" i="9"/>
  <c r="Q92" i="9"/>
  <c r="G92" i="9" s="1"/>
  <c r="K92" i="9" s="1"/>
  <c r="V92" i="9"/>
  <c r="O92" i="9"/>
  <c r="H92" i="9"/>
  <c r="U92" i="9"/>
  <c r="E92" i="9"/>
  <c r="M92" i="9"/>
  <c r="AM131" i="2"/>
  <c r="V131" i="2" l="1"/>
  <c r="S92" i="9"/>
  <c r="X92" i="9"/>
  <c r="AA92" i="9"/>
  <c r="Z92" i="9"/>
  <c r="F92" i="9"/>
  <c r="T92" i="9" s="1"/>
  <c r="X131" i="2"/>
  <c r="B132" i="2" s="1"/>
  <c r="N132" i="2" s="1"/>
  <c r="AB92" i="9" l="1"/>
  <c r="C132" i="2"/>
  <c r="J132" i="2" s="1"/>
  <c r="D93" i="9"/>
  <c r="J93" i="9" s="1"/>
  <c r="C93" i="9"/>
  <c r="AL132" i="2"/>
  <c r="T132" i="2"/>
  <c r="F132" i="2" s="1"/>
  <c r="H132" i="2" s="1"/>
  <c r="AS132" i="2" l="1"/>
  <c r="L132" i="2"/>
  <c r="D132" i="2"/>
  <c r="R93" i="9"/>
  <c r="U93" i="9"/>
  <c r="H93" i="9"/>
  <c r="M93" i="9"/>
  <c r="O93" i="9"/>
  <c r="E93" i="9"/>
  <c r="I93" i="9"/>
  <c r="Q93" i="9"/>
  <c r="G93" i="9" s="1"/>
  <c r="K93" i="9" s="1"/>
  <c r="N93" i="9"/>
  <c r="V93" i="9"/>
  <c r="AM132" i="2"/>
  <c r="F93" i="9" l="1"/>
  <c r="T93" i="9" s="1"/>
  <c r="D94" i="9" s="1"/>
  <c r="J94" i="9" s="1"/>
  <c r="X132" i="2"/>
  <c r="V132" i="2"/>
  <c r="S93" i="9"/>
  <c r="AA93" i="9"/>
  <c r="Z93" i="9"/>
  <c r="C94" i="9" l="1"/>
  <c r="H94" i="9" s="1"/>
  <c r="AB93" i="9"/>
  <c r="X93" i="9" s="1"/>
  <c r="R133" i="2"/>
  <c r="B133" i="2"/>
  <c r="I94" i="9"/>
  <c r="V94" i="9"/>
  <c r="M94" i="9"/>
  <c r="E94" i="9"/>
  <c r="O94" i="9"/>
  <c r="Q94" i="9"/>
  <c r="G94" i="9" s="1"/>
  <c r="K94" i="9" s="1"/>
  <c r="U94" i="9"/>
  <c r="N94" i="9"/>
  <c r="F94" i="9" l="1"/>
  <c r="T94" i="9" s="1"/>
  <c r="AA94" i="9"/>
  <c r="Z94" i="9"/>
  <c r="S94" i="9"/>
  <c r="N133" i="2"/>
  <c r="L133" i="2"/>
  <c r="C133" i="2"/>
  <c r="AS133" i="2" s="1"/>
  <c r="AL133" i="2"/>
  <c r="T133" i="2"/>
  <c r="F133" i="2" s="1"/>
  <c r="H133" i="2" s="1"/>
  <c r="AB94" i="9" l="1"/>
  <c r="X94" i="9" s="1"/>
  <c r="J133" i="2"/>
  <c r="AM133" i="2" s="1"/>
  <c r="D133" i="2"/>
  <c r="D95" i="9"/>
  <c r="J95" i="9" s="1"/>
  <c r="C95" i="9"/>
  <c r="V133" i="2" l="1"/>
  <c r="V95" i="9"/>
  <c r="U95" i="9"/>
  <c r="Q95" i="9"/>
  <c r="G95" i="9" s="1"/>
  <c r="K95" i="9" s="1"/>
  <c r="H95" i="9"/>
  <c r="I95" i="9"/>
  <c r="M95" i="9"/>
  <c r="N95" i="9"/>
  <c r="E95" i="9"/>
  <c r="O95" i="9"/>
  <c r="X133" i="2"/>
  <c r="B134" i="2" s="1"/>
  <c r="S95" i="9" l="1"/>
  <c r="F95" i="9"/>
  <c r="T95" i="9" s="1"/>
  <c r="AL134" i="2"/>
  <c r="N134" i="2"/>
  <c r="C134" i="2"/>
  <c r="AS134" i="2" s="1"/>
  <c r="T134" i="2"/>
  <c r="F134" i="2" s="1"/>
  <c r="AA95" i="9"/>
  <c r="Z95" i="9"/>
  <c r="AB95" i="9" l="1"/>
  <c r="X95" i="9" s="1"/>
  <c r="D134" i="2"/>
  <c r="H134" i="2"/>
  <c r="X134" i="2"/>
  <c r="L134" i="2"/>
  <c r="D96" i="9"/>
  <c r="J96" i="9" s="1"/>
  <c r="C96" i="9"/>
  <c r="J134" i="2"/>
  <c r="V134" i="2" l="1"/>
  <c r="Q96" i="9"/>
  <c r="G96" i="9" s="1"/>
  <c r="K96" i="9" s="1"/>
  <c r="I96" i="9"/>
  <c r="M96" i="9"/>
  <c r="U96" i="9"/>
  <c r="H96" i="9"/>
  <c r="O96" i="9"/>
  <c r="V96" i="9"/>
  <c r="E96" i="9"/>
  <c r="N96" i="9"/>
  <c r="R135" i="2"/>
  <c r="B135" i="2"/>
  <c r="AM134" i="2"/>
  <c r="F96" i="9" l="1"/>
  <c r="T96" i="9" s="1"/>
  <c r="D97" i="9" s="1"/>
  <c r="J97" i="9" s="1"/>
  <c r="AA96" i="9"/>
  <c r="Z96" i="9"/>
  <c r="S96" i="9"/>
  <c r="C135" i="2"/>
  <c r="J135" i="2" s="1"/>
  <c r="N135" i="2"/>
  <c r="AL135" i="2"/>
  <c r="T135" i="2"/>
  <c r="F135" i="2" s="1"/>
  <c r="H135" i="2" s="1"/>
  <c r="L135" i="2"/>
  <c r="AB96" i="9" l="1"/>
  <c r="X96" i="9" s="1"/>
  <c r="C97" i="9"/>
  <c r="O97" i="9" s="1"/>
  <c r="D135" i="2"/>
  <c r="V135" i="2" s="1"/>
  <c r="AS135" i="2"/>
  <c r="AM135" i="2" s="1"/>
  <c r="U97" i="9" l="1"/>
  <c r="V97" i="9"/>
  <c r="N97" i="9"/>
  <c r="I97" i="9"/>
  <c r="E97" i="9"/>
  <c r="M97" i="9"/>
  <c r="AA97" i="9" s="1"/>
  <c r="H97" i="9"/>
  <c r="Q97" i="9"/>
  <c r="G97" i="9" s="1"/>
  <c r="K97" i="9" s="1"/>
  <c r="S97" i="9"/>
  <c r="X135" i="2"/>
  <c r="B136" i="2" s="1"/>
  <c r="U136" i="2" s="1"/>
  <c r="F97" i="9"/>
  <c r="T97" i="9" s="1"/>
  <c r="Z97" i="9"/>
  <c r="AB97" i="9" l="1"/>
  <c r="X97" i="9" s="1"/>
  <c r="AL136" i="2"/>
  <c r="C136" i="2"/>
  <c r="AS136" i="2" s="1"/>
  <c r="T136" i="2"/>
  <c r="F136" i="2" s="1"/>
  <c r="L136" i="2"/>
  <c r="N136" i="2"/>
  <c r="D136" i="2"/>
  <c r="H136" i="2"/>
  <c r="J136" i="2"/>
  <c r="D98" i="9"/>
  <c r="J98" i="9" s="1"/>
  <c r="C98" i="9"/>
  <c r="AM136" i="2" l="1"/>
  <c r="X136" i="2"/>
  <c r="V136" i="2"/>
  <c r="M98" i="9"/>
  <c r="V98" i="9"/>
  <c r="H98" i="9"/>
  <c r="O98" i="9"/>
  <c r="E98" i="9"/>
  <c r="U98" i="9"/>
  <c r="I98" i="9"/>
  <c r="Q98" i="9"/>
  <c r="G98" i="9" s="1"/>
  <c r="K98" i="9" s="1"/>
  <c r="N98" i="9"/>
  <c r="R137" i="2"/>
  <c r="B137" i="2"/>
  <c r="S98" i="9" l="1"/>
  <c r="F98" i="9"/>
  <c r="T98" i="9" s="1"/>
  <c r="T137" i="2"/>
  <c r="AL137" i="2"/>
  <c r="F137" i="2"/>
  <c r="H137" i="2" s="1"/>
  <c r="C137" i="2"/>
  <c r="D137" i="2"/>
  <c r="N137" i="2"/>
  <c r="AA98" i="9"/>
  <c r="Z98" i="9"/>
  <c r="AB98" i="9" l="1"/>
  <c r="X98" i="9" s="1"/>
  <c r="X137" i="2"/>
  <c r="B138" i="2" s="1"/>
  <c r="AS137" i="2"/>
  <c r="L137" i="2"/>
  <c r="J137" i="2"/>
  <c r="D99" i="9"/>
  <c r="J99" i="9" s="1"/>
  <c r="C99" i="9"/>
  <c r="V137" i="2" l="1"/>
  <c r="E99" i="9"/>
  <c r="O99" i="9"/>
  <c r="U99" i="9"/>
  <c r="Q99" i="9"/>
  <c r="G99" i="9" s="1"/>
  <c r="K99" i="9" s="1"/>
  <c r="M99" i="9"/>
  <c r="V99" i="9"/>
  <c r="H99" i="9"/>
  <c r="N99" i="9"/>
  <c r="I99" i="9"/>
  <c r="AM137" i="2"/>
  <c r="T138" i="2"/>
  <c r="N138" i="2"/>
  <c r="F138" i="2"/>
  <c r="H138" i="2" s="1"/>
  <c r="AS138" i="2"/>
  <c r="AL138" i="2"/>
  <c r="D138" i="2" s="1"/>
  <c r="C138" i="2"/>
  <c r="S99" i="9" l="1"/>
  <c r="F99" i="9"/>
  <c r="T99" i="9" s="1"/>
  <c r="AA99" i="9"/>
  <c r="Z99" i="9"/>
  <c r="X138" i="2"/>
  <c r="J138" i="2"/>
  <c r="L138" i="2"/>
  <c r="AB99" i="9" l="1"/>
  <c r="X99" i="9" s="1"/>
  <c r="V138" i="2"/>
  <c r="R139" i="2"/>
  <c r="B139" i="2"/>
  <c r="AM138" i="2"/>
  <c r="D100" i="9"/>
  <c r="J100" i="9" s="1"/>
  <c r="C100" i="9"/>
  <c r="N139" i="2" l="1"/>
  <c r="AL139" i="2"/>
  <c r="C139" i="2"/>
  <c r="J139" i="2" s="1"/>
  <c r="T139" i="2"/>
  <c r="F139" i="2" s="1"/>
  <c r="H139" i="2" s="1"/>
  <c r="AS139" i="2"/>
  <c r="M100" i="9"/>
  <c r="N100" i="9"/>
  <c r="E100" i="9"/>
  <c r="I100" i="9"/>
  <c r="U100" i="9"/>
  <c r="V100" i="9"/>
  <c r="H100" i="9"/>
  <c r="O100" i="9"/>
  <c r="Q100" i="9"/>
  <c r="G100" i="9" s="1"/>
  <c r="K100" i="9" s="1"/>
  <c r="F100" i="9" l="1"/>
  <c r="T100" i="9" s="1"/>
  <c r="D101" i="9" s="1"/>
  <c r="J101" i="9" s="1"/>
  <c r="D139" i="2"/>
  <c r="X139" i="2"/>
  <c r="B140" i="2" s="1"/>
  <c r="AM139" i="2"/>
  <c r="S100" i="9"/>
  <c r="AA100" i="9"/>
  <c r="Z100" i="9"/>
  <c r="L139" i="2"/>
  <c r="V139" i="2" s="1"/>
  <c r="AB100" i="9" l="1"/>
  <c r="X100" i="9" s="1"/>
  <c r="C101" i="9"/>
  <c r="U101" i="9" s="1"/>
  <c r="T140" i="2"/>
  <c r="C140" i="2"/>
  <c r="J140" i="2" s="1"/>
  <c r="F140" i="2"/>
  <c r="H140" i="2" s="1"/>
  <c r="L140" i="2"/>
  <c r="AS140" i="2"/>
  <c r="AL140" i="2"/>
  <c r="D140" i="2" s="1"/>
  <c r="N140" i="2"/>
  <c r="E101" i="9" l="1"/>
  <c r="O101" i="9"/>
  <c r="I101" i="9"/>
  <c r="M101" i="9"/>
  <c r="AA101" i="9" s="1"/>
  <c r="V101" i="9"/>
  <c r="N101" i="9"/>
  <c r="Q101" i="9"/>
  <c r="G101" i="9" s="1"/>
  <c r="F101" i="9" s="1"/>
  <c r="T101" i="9" s="1"/>
  <c r="D102" i="9" s="1"/>
  <c r="J102" i="9" s="1"/>
  <c r="H101" i="9"/>
  <c r="K101" i="9"/>
  <c r="S101" i="9" s="1"/>
  <c r="V140" i="2"/>
  <c r="Z101" i="9"/>
  <c r="X140" i="2"/>
  <c r="AM140" i="2"/>
  <c r="AB101" i="9" l="1"/>
  <c r="X101" i="9" s="1"/>
  <c r="C102" i="9"/>
  <c r="O102" i="9" s="1"/>
  <c r="R141" i="2"/>
  <c r="B141" i="2"/>
  <c r="N102" i="9" l="1"/>
  <c r="H102" i="9"/>
  <c r="I102" i="9"/>
  <c r="E102" i="9"/>
  <c r="U102" i="9"/>
  <c r="M102" i="9"/>
  <c r="Z102" i="9" s="1"/>
  <c r="Q102" i="9"/>
  <c r="G102" i="9" s="1"/>
  <c r="K102" i="9" s="1"/>
  <c r="V102" i="9"/>
  <c r="AL141" i="2"/>
  <c r="N141" i="2"/>
  <c r="C141" i="2"/>
  <c r="J141" i="2" s="1"/>
  <c r="L141" i="2"/>
  <c r="T141" i="2"/>
  <c r="F141" i="2" s="1"/>
  <c r="H141" i="2" s="1"/>
  <c r="F102" i="9" l="1"/>
  <c r="T102" i="9" s="1"/>
  <c r="D103" i="9" s="1"/>
  <c r="J103" i="9" s="1"/>
  <c r="AA102" i="9"/>
  <c r="AB102" i="9" s="1"/>
  <c r="X102" i="9" s="1"/>
  <c r="S102" i="9"/>
  <c r="D141" i="2"/>
  <c r="V141" i="2" s="1"/>
  <c r="AS141" i="2"/>
  <c r="AM141" i="2" s="1"/>
  <c r="C103" i="9" l="1"/>
  <c r="O103" i="9" s="1"/>
  <c r="X141" i="2"/>
  <c r="B142" i="2" s="1"/>
  <c r="T142" i="2" s="1"/>
  <c r="F142" i="2" s="1"/>
  <c r="H142" i="2" s="1"/>
  <c r="Z103" i="9"/>
  <c r="S103" i="9" l="1"/>
  <c r="H103" i="9"/>
  <c r="V103" i="9"/>
  <c r="Q103" i="9"/>
  <c r="G103" i="9" s="1"/>
  <c r="M103" i="9"/>
  <c r="AA103" i="9" s="1"/>
  <c r="AB103" i="9" s="1"/>
  <c r="X103" i="9" s="1"/>
  <c r="U103" i="9"/>
  <c r="N103" i="9"/>
  <c r="I103" i="9"/>
  <c r="E103" i="9"/>
  <c r="K103" i="9"/>
  <c r="F103" i="9"/>
  <c r="T103" i="9" s="1"/>
  <c r="C142" i="2"/>
  <c r="AS142" i="2" s="1"/>
  <c r="N142" i="2"/>
  <c r="AL142" i="2"/>
  <c r="D142" i="2"/>
  <c r="L142" i="2"/>
  <c r="J142" i="2"/>
  <c r="X142" i="2" l="1"/>
  <c r="R143" i="2" s="1"/>
  <c r="AM142" i="2"/>
  <c r="D104" i="9"/>
  <c r="J104" i="9" s="1"/>
  <c r="C104" i="9"/>
  <c r="V142" i="2"/>
  <c r="B143" i="2" l="1"/>
  <c r="N143" i="2" s="1"/>
  <c r="E104" i="9"/>
  <c r="F104" i="9" s="1"/>
  <c r="T104" i="9" s="1"/>
  <c r="N104" i="9"/>
  <c r="I104" i="9"/>
  <c r="V104" i="9"/>
  <c r="H104" i="9"/>
  <c r="U104" i="9"/>
  <c r="Q104" i="9"/>
  <c r="G104" i="9" s="1"/>
  <c r="K104" i="9" s="1"/>
  <c r="M104" i="9"/>
  <c r="O104" i="9"/>
  <c r="T143" i="2"/>
  <c r="F143" i="2" s="1"/>
  <c r="C143" i="2"/>
  <c r="J143" i="2" s="1"/>
  <c r="AL143" i="2" l="1"/>
  <c r="C105" i="9"/>
  <c r="N105" i="9" s="1"/>
  <c r="D105" i="9"/>
  <c r="J105" i="9" s="1"/>
  <c r="AA104" i="9"/>
  <c r="Z104" i="9"/>
  <c r="S104" i="9"/>
  <c r="D143" i="2"/>
  <c r="X143" i="2" s="1"/>
  <c r="B144" i="2" s="1"/>
  <c r="H143" i="2"/>
  <c r="Q105" i="9"/>
  <c r="G105" i="9" s="1"/>
  <c r="K105" i="9" s="1"/>
  <c r="O105" i="9"/>
  <c r="H105" i="9"/>
  <c r="U105" i="9"/>
  <c r="R105" i="9"/>
  <c r="E105" i="9"/>
  <c r="L143" i="2"/>
  <c r="V143" i="2" s="1"/>
  <c r="AS143" i="2"/>
  <c r="AM143" i="2" s="1"/>
  <c r="V105" i="9" l="1"/>
  <c r="AB104" i="9"/>
  <c r="X104" i="9" s="1"/>
  <c r="I105" i="9"/>
  <c r="S105" i="9" s="1"/>
  <c r="M105" i="9"/>
  <c r="F105" i="9" s="1"/>
  <c r="T105" i="9" s="1"/>
  <c r="D106" i="9" s="1"/>
  <c r="J106" i="9" s="1"/>
  <c r="T144" i="2"/>
  <c r="F144" i="2" s="1"/>
  <c r="H144" i="2" s="1"/>
  <c r="C144" i="2"/>
  <c r="N144" i="2"/>
  <c r="AL144" i="2"/>
  <c r="D144" i="2" s="1"/>
  <c r="Z105" i="9" l="1"/>
  <c r="AA105" i="9"/>
  <c r="C106" i="9"/>
  <c r="U106" i="9" s="1"/>
  <c r="X144" i="2"/>
  <c r="AS144" i="2"/>
  <c r="J144" i="2"/>
  <c r="L144" i="2"/>
  <c r="AB105" i="9" l="1"/>
  <c r="X105" i="9" s="1"/>
  <c r="M106" i="9"/>
  <c r="AA106" i="9" s="1"/>
  <c r="N106" i="9"/>
  <c r="H106" i="9"/>
  <c r="O106" i="9"/>
  <c r="E106" i="9"/>
  <c r="I106" i="9"/>
  <c r="V106" i="9"/>
  <c r="V144" i="2"/>
  <c r="Q106" i="9"/>
  <c r="G106" i="9" s="1"/>
  <c r="AM144" i="2"/>
  <c r="R145" i="2"/>
  <c r="B145" i="2"/>
  <c r="Z106" i="9" l="1"/>
  <c r="AB106" i="9" s="1"/>
  <c r="F106" i="9"/>
  <c r="T106" i="9" s="1"/>
  <c r="K106" i="9"/>
  <c r="S106" i="9"/>
  <c r="X106" i="9"/>
  <c r="C145" i="2"/>
  <c r="J145" i="2" s="1"/>
  <c r="AL145" i="2"/>
  <c r="L145" i="2"/>
  <c r="T145" i="2"/>
  <c r="F145" i="2" s="1"/>
  <c r="N145" i="2"/>
  <c r="AS145" i="2" l="1"/>
  <c r="AM145" i="2" s="1"/>
  <c r="D145" i="2"/>
  <c r="H145" i="2"/>
  <c r="D107" i="9"/>
  <c r="J107" i="9" s="1"/>
  <c r="C107" i="9"/>
  <c r="X145" i="2"/>
  <c r="B146" i="2" s="1"/>
  <c r="V145" i="2" l="1"/>
  <c r="H107" i="9"/>
  <c r="M107" i="9"/>
  <c r="O107" i="9"/>
  <c r="N107" i="9"/>
  <c r="E107" i="9"/>
  <c r="V107" i="9"/>
  <c r="Q107" i="9"/>
  <c r="G107" i="9" s="1"/>
  <c r="I107" i="9"/>
  <c r="U107" i="9"/>
  <c r="C146" i="2"/>
  <c r="J146" i="2" s="1"/>
  <c r="N146" i="2"/>
  <c r="L146" i="2"/>
  <c r="T146" i="2"/>
  <c r="F146" i="2" s="1"/>
  <c r="AL146" i="2"/>
  <c r="AS146" i="2" l="1"/>
  <c r="AM146" i="2" s="1"/>
  <c r="F107" i="9"/>
  <c r="T107" i="9" s="1"/>
  <c r="K107" i="9"/>
  <c r="S107" i="9" s="1"/>
  <c r="D146" i="2"/>
  <c r="H146" i="2"/>
  <c r="AA107" i="9"/>
  <c r="Z107" i="9"/>
  <c r="X146" i="2"/>
  <c r="AB107" i="9" l="1"/>
  <c r="X107" i="9" s="1"/>
  <c r="V146" i="2"/>
  <c r="D108" i="9"/>
  <c r="J108" i="9" s="1"/>
  <c r="C108" i="9"/>
  <c r="R147" i="2"/>
  <c r="B147" i="2"/>
  <c r="O108" i="9" l="1"/>
  <c r="V108" i="9"/>
  <c r="I108" i="9"/>
  <c r="H108" i="9"/>
  <c r="Q108" i="9"/>
  <c r="G108" i="9" s="1"/>
  <c r="U108" i="9"/>
  <c r="N108" i="9"/>
  <c r="M108" i="9"/>
  <c r="E108" i="9"/>
  <c r="AL147" i="2"/>
  <c r="N147" i="2"/>
  <c r="T147" i="2"/>
  <c r="F147" i="2" s="1"/>
  <c r="H147" i="2" s="1"/>
  <c r="C147" i="2"/>
  <c r="J147" i="2" s="1"/>
  <c r="AS147" i="2"/>
  <c r="L147" i="2"/>
  <c r="F108" i="9" l="1"/>
  <c r="T108" i="9" s="1"/>
  <c r="K108" i="9"/>
  <c r="S108" i="9" s="1"/>
  <c r="Z108" i="9"/>
  <c r="AA108" i="9"/>
  <c r="D147" i="2"/>
  <c r="V147" i="2" s="1"/>
  <c r="AM147" i="2"/>
  <c r="AB108" i="9" l="1"/>
  <c r="X108" i="9" s="1"/>
  <c r="X147" i="2"/>
  <c r="B148" i="2" s="1"/>
  <c r="C148" i="2" s="1"/>
  <c r="D109" i="9"/>
  <c r="J109" i="9" s="1"/>
  <c r="C109" i="9"/>
  <c r="T148" i="2" l="1"/>
  <c r="F148" i="2" s="1"/>
  <c r="D148" i="2" s="1"/>
  <c r="X148" i="2" s="1"/>
  <c r="U148" i="2"/>
  <c r="AL148" i="2"/>
  <c r="N148" i="2"/>
  <c r="H109" i="9"/>
  <c r="O109" i="9"/>
  <c r="I109" i="9"/>
  <c r="N109" i="9"/>
  <c r="V109" i="9"/>
  <c r="Q109" i="9"/>
  <c r="G109" i="9" s="1"/>
  <c r="M109" i="9"/>
  <c r="E109" i="9"/>
  <c r="U109" i="9"/>
  <c r="J148" i="2"/>
  <c r="AS148" i="2"/>
  <c r="L148" i="2"/>
  <c r="H148" i="2" l="1"/>
  <c r="V148" i="2" s="1"/>
  <c r="F109" i="9"/>
  <c r="T109" i="9" s="1"/>
  <c r="K109" i="9"/>
  <c r="S109" i="9" s="1"/>
  <c r="Z109" i="9"/>
  <c r="AA109" i="9"/>
  <c r="B149" i="2"/>
  <c r="R149" i="2"/>
  <c r="AM148" i="2"/>
  <c r="AB109" i="9" l="1"/>
  <c r="X109" i="9" s="1"/>
  <c r="D110" i="9"/>
  <c r="J110" i="9" s="1"/>
  <c r="C110" i="9"/>
  <c r="T149" i="2"/>
  <c r="F149" i="2" s="1"/>
  <c r="H149" i="2" s="1"/>
  <c r="AL149" i="2"/>
  <c r="N149" i="2"/>
  <c r="C149" i="2"/>
  <c r="L149" i="2" s="1"/>
  <c r="E110" i="9" l="1"/>
  <c r="M110" i="9"/>
  <c r="O110" i="9"/>
  <c r="I110" i="9"/>
  <c r="N110" i="9"/>
  <c r="V110" i="9"/>
  <c r="U110" i="9"/>
  <c r="H110" i="9"/>
  <c r="Q110" i="9"/>
  <c r="G110" i="9" s="1"/>
  <c r="K110" i="9" s="1"/>
  <c r="D149" i="2"/>
  <c r="X149" i="2" s="1"/>
  <c r="B150" i="2" s="1"/>
  <c r="AS149" i="2"/>
  <c r="J149" i="2"/>
  <c r="AM149" i="2" l="1"/>
  <c r="S110" i="9"/>
  <c r="Z110" i="9"/>
  <c r="AA110" i="9"/>
  <c r="F110" i="9"/>
  <c r="T110" i="9" s="1"/>
  <c r="N150" i="2"/>
  <c r="T150" i="2"/>
  <c r="F150" i="2" s="1"/>
  <c r="H150" i="2" s="1"/>
  <c r="AL150" i="2"/>
  <c r="C150" i="2"/>
  <c r="AS150" i="2"/>
  <c r="V149" i="2"/>
  <c r="D150" i="2" l="1"/>
  <c r="X150" i="2" s="1"/>
  <c r="AB110" i="9"/>
  <c r="X110" i="9" s="1"/>
  <c r="D111" i="9"/>
  <c r="J111" i="9" s="1"/>
  <c r="C111" i="9"/>
  <c r="L150" i="2"/>
  <c r="J150" i="2"/>
  <c r="V150" i="2" l="1"/>
  <c r="Q111" i="9"/>
  <c r="G111" i="9" s="1"/>
  <c r="V111" i="9"/>
  <c r="U111" i="9"/>
  <c r="O111" i="9"/>
  <c r="M111" i="9"/>
  <c r="E111" i="9"/>
  <c r="H111" i="9"/>
  <c r="N111" i="9"/>
  <c r="I111" i="9"/>
  <c r="AM150" i="2"/>
  <c r="R151" i="2"/>
  <c r="B151" i="2"/>
  <c r="Z111" i="9" l="1"/>
  <c r="AA111" i="9"/>
  <c r="F111" i="9"/>
  <c r="T111" i="9" s="1"/>
  <c r="K111" i="9"/>
  <c r="S111" i="9" s="1"/>
  <c r="N151" i="2"/>
  <c r="AL151" i="2"/>
  <c r="C151" i="2"/>
  <c r="T151" i="2"/>
  <c r="F151" i="2" s="1"/>
  <c r="H151" i="2" s="1"/>
  <c r="AB111" i="9" l="1"/>
  <c r="X111" i="9" s="1"/>
  <c r="D112" i="9"/>
  <c r="J112" i="9" s="1"/>
  <c r="C112" i="9"/>
  <c r="D151" i="2"/>
  <c r="X151" i="2"/>
  <c r="B152" i="2" s="1"/>
  <c r="L151" i="2"/>
  <c r="AS151" i="2"/>
  <c r="J151" i="2"/>
  <c r="N112" i="9" l="1"/>
  <c r="U112" i="9"/>
  <c r="O112" i="9"/>
  <c r="Q112" i="9"/>
  <c r="G112" i="9" s="1"/>
  <c r="K112" i="9" s="1"/>
  <c r="I112" i="9"/>
  <c r="V112" i="9"/>
  <c r="E112" i="9"/>
  <c r="M112" i="9"/>
  <c r="H112" i="9"/>
  <c r="AM151" i="2"/>
  <c r="AL152" i="2"/>
  <c r="T152" i="2"/>
  <c r="F152" i="2" s="1"/>
  <c r="H152" i="2" s="1"/>
  <c r="C152" i="2"/>
  <c r="AS152" i="2"/>
  <c r="L152" i="2"/>
  <c r="N152" i="2"/>
  <c r="V151" i="2"/>
  <c r="Z112" i="9" l="1"/>
  <c r="AA112" i="9"/>
  <c r="S112" i="9"/>
  <c r="F112" i="9"/>
  <c r="T112" i="9" s="1"/>
  <c r="D152" i="2"/>
  <c r="X152" i="2" s="1"/>
  <c r="J152" i="2"/>
  <c r="AM152" i="2" s="1"/>
  <c r="V152" i="2" l="1"/>
  <c r="D113" i="9"/>
  <c r="J113" i="9" s="1"/>
  <c r="C113" i="9"/>
  <c r="AB112" i="9"/>
  <c r="X112" i="9" s="1"/>
  <c r="R153" i="2"/>
  <c r="B153" i="2"/>
  <c r="N113" i="9" l="1"/>
  <c r="O113" i="9"/>
  <c r="I113" i="9"/>
  <c r="H113" i="9"/>
  <c r="E113" i="9"/>
  <c r="V113" i="9"/>
  <c r="Q113" i="9"/>
  <c r="G113" i="9" s="1"/>
  <c r="U113" i="9"/>
  <c r="M113" i="9"/>
  <c r="T153" i="2"/>
  <c r="F153" i="2" s="1"/>
  <c r="H153" i="2" s="1"/>
  <c r="C153" i="2"/>
  <c r="L153" i="2" s="1"/>
  <c r="N153" i="2"/>
  <c r="J153" i="2"/>
  <c r="AL153" i="2"/>
  <c r="AS153" i="2" l="1"/>
  <c r="AM153" i="2" s="1"/>
  <c r="Z113" i="9"/>
  <c r="AA113" i="9"/>
  <c r="F113" i="9"/>
  <c r="T113" i="9" s="1"/>
  <c r="K113" i="9"/>
  <c r="S113" i="9" s="1"/>
  <c r="D153" i="2"/>
  <c r="V153" i="2" s="1"/>
  <c r="X153" i="2"/>
  <c r="B154" i="2" s="1"/>
  <c r="D114" i="9" l="1"/>
  <c r="J114" i="9" s="1"/>
  <c r="C114" i="9"/>
  <c r="AB113" i="9"/>
  <c r="X113" i="9" s="1"/>
  <c r="N154" i="2"/>
  <c r="T154" i="2"/>
  <c r="F154" i="2" s="1"/>
  <c r="H154" i="2" s="1"/>
  <c r="C154" i="2"/>
  <c r="AS154" i="2" s="1"/>
  <c r="AL154" i="2"/>
  <c r="L154" i="2"/>
  <c r="D154" i="2" l="1"/>
  <c r="J154" i="2"/>
  <c r="V154" i="2" s="1"/>
  <c r="M114" i="9"/>
  <c r="U114" i="9"/>
  <c r="Q114" i="9"/>
  <c r="G114" i="9" s="1"/>
  <c r="H114" i="9"/>
  <c r="I114" i="9"/>
  <c r="V114" i="9"/>
  <c r="E114" i="9"/>
  <c r="N114" i="9"/>
  <c r="O114" i="9"/>
  <c r="X154" i="2"/>
  <c r="AM154" i="2"/>
  <c r="Z114" i="9" l="1"/>
  <c r="AA114" i="9"/>
  <c r="F114" i="9"/>
  <c r="T114" i="9" s="1"/>
  <c r="K114" i="9"/>
  <c r="S114" i="9" s="1"/>
  <c r="B155" i="2"/>
  <c r="R155" i="2"/>
  <c r="D115" i="9" l="1"/>
  <c r="J115" i="9" s="1"/>
  <c r="C115" i="9"/>
  <c r="AB114" i="9"/>
  <c r="X114" i="9" s="1"/>
  <c r="T155" i="2"/>
  <c r="F155" i="2" s="1"/>
  <c r="N155" i="2"/>
  <c r="AL155" i="2"/>
  <c r="C155" i="2"/>
  <c r="AS155" i="2" s="1"/>
  <c r="L155" i="2" l="1"/>
  <c r="D155" i="2"/>
  <c r="X155" i="2" s="1"/>
  <c r="B156" i="2" s="1"/>
  <c r="H155" i="2"/>
  <c r="M115" i="9"/>
  <c r="V115" i="9"/>
  <c r="I115" i="9"/>
  <c r="N115" i="9"/>
  <c r="U115" i="9"/>
  <c r="O115" i="9"/>
  <c r="H115" i="9"/>
  <c r="E115" i="9"/>
  <c r="Q115" i="9"/>
  <c r="G115" i="9" s="1"/>
  <c r="K115" i="9" s="1"/>
  <c r="J155" i="2"/>
  <c r="AM155" i="2" s="1"/>
  <c r="F115" i="9" l="1"/>
  <c r="T115" i="9" s="1"/>
  <c r="D116" i="9" s="1"/>
  <c r="J116" i="9" s="1"/>
  <c r="S115" i="9"/>
  <c r="C116" i="9"/>
  <c r="Z115" i="9"/>
  <c r="AA115" i="9"/>
  <c r="T156" i="2"/>
  <c r="F156" i="2" s="1"/>
  <c r="H156" i="2" s="1"/>
  <c r="N156" i="2"/>
  <c r="AL156" i="2"/>
  <c r="C156" i="2"/>
  <c r="J156" i="2" s="1"/>
  <c r="V155" i="2"/>
  <c r="L156" i="2" l="1"/>
  <c r="AS156" i="2"/>
  <c r="AB115" i="9"/>
  <c r="X115" i="9" s="1"/>
  <c r="V116" i="9"/>
  <c r="O116" i="9"/>
  <c r="H116" i="9"/>
  <c r="N116" i="9"/>
  <c r="E116" i="9"/>
  <c r="S116" i="9" s="1"/>
  <c r="U116" i="9"/>
  <c r="I116" i="9"/>
  <c r="Q116" i="9"/>
  <c r="G116" i="9" s="1"/>
  <c r="K116" i="9" s="1"/>
  <c r="M116" i="9"/>
  <c r="Z116" i="9" s="1"/>
  <c r="D156" i="2"/>
  <c r="V156" i="2" s="1"/>
  <c r="AM156" i="2"/>
  <c r="AA116" i="9" l="1"/>
  <c r="AB116" i="9" s="1"/>
  <c r="X116" i="9" s="1"/>
  <c r="X156" i="2"/>
  <c r="B157" i="2" s="1"/>
  <c r="F116" i="9"/>
  <c r="T116" i="9" s="1"/>
  <c r="R157" i="2" l="1"/>
  <c r="D117" i="9"/>
  <c r="J117" i="9" s="1"/>
  <c r="C117" i="9"/>
  <c r="N157" i="2"/>
  <c r="AL157" i="2"/>
  <c r="T157" i="2"/>
  <c r="F157" i="2" s="1"/>
  <c r="H157" i="2" s="1"/>
  <c r="C157" i="2"/>
  <c r="AS157" i="2" s="1"/>
  <c r="L157" i="2" l="1"/>
  <c r="D157" i="2"/>
  <c r="X157" i="2" s="1"/>
  <c r="B158" i="2" s="1"/>
  <c r="U117" i="9"/>
  <c r="H117" i="9"/>
  <c r="Q117" i="9"/>
  <c r="G117" i="9" s="1"/>
  <c r="N117" i="9"/>
  <c r="M117" i="9"/>
  <c r="E117" i="9"/>
  <c r="I117" i="9"/>
  <c r="V117" i="9"/>
  <c r="R117" i="9"/>
  <c r="O117" i="9"/>
  <c r="J157" i="2"/>
  <c r="V157" i="2" s="1"/>
  <c r="F117" i="9" l="1"/>
  <c r="T117" i="9" s="1"/>
  <c r="K117" i="9"/>
  <c r="S117" i="9" s="1"/>
  <c r="Z117" i="9"/>
  <c r="AA117" i="9"/>
  <c r="AM157" i="2"/>
  <c r="C158" i="2"/>
  <c r="AS158" i="2" s="1"/>
  <c r="AL158" i="2"/>
  <c r="L158" i="2"/>
  <c r="T158" i="2"/>
  <c r="N158" i="2"/>
  <c r="F158" i="2"/>
  <c r="H158" i="2" s="1"/>
  <c r="AB117" i="9" l="1"/>
  <c r="X117" i="9" s="1"/>
  <c r="D158" i="2"/>
  <c r="X158" i="2" s="1"/>
  <c r="D118" i="9"/>
  <c r="J118" i="9" s="1"/>
  <c r="C118" i="9"/>
  <c r="J158" i="2"/>
  <c r="V158" i="2" s="1"/>
  <c r="H118" i="9" l="1"/>
  <c r="Q118" i="9"/>
  <c r="G118" i="9" s="1"/>
  <c r="N118" i="9"/>
  <c r="I118" i="9"/>
  <c r="U118" i="9"/>
  <c r="O118" i="9"/>
  <c r="E118" i="9"/>
  <c r="V118" i="9"/>
  <c r="M118" i="9"/>
  <c r="AM158" i="2"/>
  <c r="R159" i="2"/>
  <c r="B159" i="2"/>
  <c r="F118" i="9" l="1"/>
  <c r="T118" i="9" s="1"/>
  <c r="K118" i="9"/>
  <c r="Z118" i="9"/>
  <c r="AA118" i="9"/>
  <c r="S118" i="9"/>
  <c r="C159" i="2"/>
  <c r="J159" i="2" s="1"/>
  <c r="N159" i="2"/>
  <c r="L159" i="2"/>
  <c r="T159" i="2"/>
  <c r="F159" i="2" s="1"/>
  <c r="AL159" i="2"/>
  <c r="AS159" i="2" l="1"/>
  <c r="AB118" i="9"/>
  <c r="X118" i="9" s="1"/>
  <c r="D159" i="2"/>
  <c r="H159" i="2"/>
  <c r="D119" i="9"/>
  <c r="J119" i="9" s="1"/>
  <c r="C119" i="9"/>
  <c r="X159" i="2"/>
  <c r="B160" i="2" s="1"/>
  <c r="AM159" i="2"/>
  <c r="Q119" i="9" l="1"/>
  <c r="G119" i="9" s="1"/>
  <c r="H119" i="9"/>
  <c r="U119" i="9"/>
  <c r="O119" i="9"/>
  <c r="I119" i="9"/>
  <c r="E119" i="9"/>
  <c r="V119" i="9"/>
  <c r="M119" i="9"/>
  <c r="N119" i="9"/>
  <c r="V159" i="2"/>
  <c r="T160" i="2"/>
  <c r="AL160" i="2"/>
  <c r="L160" i="2"/>
  <c r="C160" i="2"/>
  <c r="J160" i="2" s="1"/>
  <c r="F160" i="2"/>
  <c r="H160" i="2" s="1"/>
  <c r="N160" i="2"/>
  <c r="U160" i="2"/>
  <c r="D160" i="2" l="1"/>
  <c r="Z119" i="9"/>
  <c r="AA119" i="9"/>
  <c r="V160" i="2"/>
  <c r="F119" i="9"/>
  <c r="T119" i="9" s="1"/>
  <c r="K119" i="9"/>
  <c r="S119" i="9" s="1"/>
  <c r="X160" i="2"/>
  <c r="AS160" i="2"/>
  <c r="AM160" i="2" s="1"/>
  <c r="D120" i="9" l="1"/>
  <c r="J120" i="9" s="1"/>
  <c r="C120" i="9"/>
  <c r="AB119" i="9"/>
  <c r="X119" i="9" s="1"/>
  <c r="B161" i="2"/>
  <c r="R161" i="2"/>
  <c r="I120" i="9" l="1"/>
  <c r="E120" i="9"/>
  <c r="Q120" i="9"/>
  <c r="G120" i="9" s="1"/>
  <c r="K120" i="9" s="1"/>
  <c r="U120" i="9"/>
  <c r="H120" i="9"/>
  <c r="O120" i="9"/>
  <c r="V120" i="9"/>
  <c r="M120" i="9"/>
  <c r="N120" i="9"/>
  <c r="N161" i="2"/>
  <c r="T161" i="2"/>
  <c r="F161" i="2" s="1"/>
  <c r="C161" i="2"/>
  <c r="AL161" i="2"/>
  <c r="S120" i="9" l="1"/>
  <c r="Z120" i="9"/>
  <c r="AA120" i="9"/>
  <c r="D161" i="2"/>
  <c r="X161" i="2" s="1"/>
  <c r="B162" i="2" s="1"/>
  <c r="H161" i="2"/>
  <c r="F120" i="9"/>
  <c r="T120" i="9" s="1"/>
  <c r="L161" i="2"/>
  <c r="J161" i="2"/>
  <c r="AS161" i="2"/>
  <c r="V161" i="2" l="1"/>
  <c r="D121" i="9"/>
  <c r="J121" i="9" s="1"/>
  <c r="C121" i="9"/>
  <c r="AB120" i="9"/>
  <c r="X120" i="9" s="1"/>
  <c r="AM161" i="2"/>
  <c r="AL162" i="2"/>
  <c r="N162" i="2"/>
  <c r="T162" i="2"/>
  <c r="F162" i="2" s="1"/>
  <c r="H162" i="2" s="1"/>
  <c r="C162" i="2"/>
  <c r="AS162" i="2" s="1"/>
  <c r="I121" i="9" l="1"/>
  <c r="E121" i="9"/>
  <c r="Q121" i="9"/>
  <c r="G121" i="9" s="1"/>
  <c r="K121" i="9" s="1"/>
  <c r="O121" i="9"/>
  <c r="N121" i="9"/>
  <c r="M121" i="9"/>
  <c r="V121" i="9"/>
  <c r="U121" i="9"/>
  <c r="H121" i="9"/>
  <c r="D162" i="2"/>
  <c r="L162" i="2"/>
  <c r="J162" i="2"/>
  <c r="AM162" i="2"/>
  <c r="X162" i="2"/>
  <c r="V162" i="2" l="1"/>
  <c r="F121" i="9"/>
  <c r="T121" i="9" s="1"/>
  <c r="S121" i="9"/>
  <c r="Z121" i="9"/>
  <c r="AA121" i="9"/>
  <c r="R163" i="2"/>
  <c r="B163" i="2"/>
  <c r="AB121" i="9" l="1"/>
  <c r="X121" i="9" s="1"/>
  <c r="D122" i="9"/>
  <c r="J122" i="9" s="1"/>
  <c r="C122" i="9"/>
  <c r="AL163" i="2"/>
  <c r="N163" i="2"/>
  <c r="AS163" i="2"/>
  <c r="T163" i="2"/>
  <c r="F163" i="2" s="1"/>
  <c r="H163" i="2" s="1"/>
  <c r="C163" i="2"/>
  <c r="L163" i="2" s="1"/>
  <c r="E122" i="9" l="1"/>
  <c r="U122" i="9"/>
  <c r="O122" i="9"/>
  <c r="N122" i="9"/>
  <c r="Q122" i="9"/>
  <c r="G122" i="9" s="1"/>
  <c r="K122" i="9" s="1"/>
  <c r="M122" i="9"/>
  <c r="H122" i="9"/>
  <c r="V122" i="9"/>
  <c r="I122" i="9"/>
  <c r="D163" i="2"/>
  <c r="X163" i="2"/>
  <c r="B164" i="2" s="1"/>
  <c r="J163" i="2"/>
  <c r="V163" i="2" s="1"/>
  <c r="AM163" i="2" l="1"/>
  <c r="Z122" i="9"/>
  <c r="AA122" i="9"/>
  <c r="S122" i="9"/>
  <c r="F122" i="9"/>
  <c r="T122" i="9" s="1"/>
  <c r="L164" i="2"/>
  <c r="AL164" i="2"/>
  <c r="N164" i="2"/>
  <c r="C164" i="2"/>
  <c r="T164" i="2"/>
  <c r="F164" i="2" s="1"/>
  <c r="H164" i="2" s="1"/>
  <c r="J164" i="2"/>
  <c r="AS164" i="2"/>
  <c r="D123" i="9" l="1"/>
  <c r="J123" i="9" s="1"/>
  <c r="C123" i="9"/>
  <c r="AB122" i="9"/>
  <c r="X122" i="9" s="1"/>
  <c r="D164" i="2"/>
  <c r="V164" i="2" s="1"/>
  <c r="AM164" i="2"/>
  <c r="Q123" i="9" l="1"/>
  <c r="U123" i="9"/>
  <c r="H123" i="9"/>
  <c r="I123" i="9"/>
  <c r="M123" i="9"/>
  <c r="N123" i="9"/>
  <c r="V123" i="9"/>
  <c r="O123" i="9"/>
  <c r="G123" i="9"/>
  <c r="K123" i="9" s="1"/>
  <c r="E123" i="9"/>
  <c r="X164" i="2"/>
  <c r="R165" i="2" s="1"/>
  <c r="S123" i="9" l="1"/>
  <c r="B165" i="2"/>
  <c r="AL165" i="2" s="1"/>
  <c r="Z123" i="9"/>
  <c r="AA123" i="9"/>
  <c r="F123" i="9"/>
  <c r="T123" i="9" s="1"/>
  <c r="N165" i="2" l="1"/>
  <c r="T165" i="2"/>
  <c r="F165" i="2" s="1"/>
  <c r="H165" i="2" s="1"/>
  <c r="C165" i="2"/>
  <c r="X165" i="2" s="1"/>
  <c r="B166" i="2" s="1"/>
  <c r="D165" i="2"/>
  <c r="D124" i="9"/>
  <c r="J124" i="9" s="1"/>
  <c r="C124" i="9"/>
  <c r="AB123" i="9"/>
  <c r="X123" i="9" s="1"/>
  <c r="AS165" i="2"/>
  <c r="J165" i="2"/>
  <c r="L165" i="2"/>
  <c r="V165" i="2" l="1"/>
  <c r="N124" i="9"/>
  <c r="I124" i="9"/>
  <c r="M124" i="9"/>
  <c r="O124" i="9"/>
  <c r="U124" i="9"/>
  <c r="Q124" i="9"/>
  <c r="G124" i="9" s="1"/>
  <c r="V124" i="9"/>
  <c r="H124" i="9"/>
  <c r="E124" i="9"/>
  <c r="AM165" i="2"/>
  <c r="C166" i="2"/>
  <c r="J166" i="2" s="1"/>
  <c r="N166" i="2"/>
  <c r="L166" i="2"/>
  <c r="T166" i="2"/>
  <c r="F166" i="2" s="1"/>
  <c r="H166" i="2" s="1"/>
  <c r="AL166" i="2"/>
  <c r="AS166" i="2" l="1"/>
  <c r="D166" i="2"/>
  <c r="F124" i="9"/>
  <c r="T124" i="9" s="1"/>
  <c r="K124" i="9"/>
  <c r="Z124" i="9"/>
  <c r="AA124" i="9"/>
  <c r="V166" i="2"/>
  <c r="S124" i="9"/>
  <c r="AM166" i="2"/>
  <c r="X166" i="2"/>
  <c r="AB124" i="9" l="1"/>
  <c r="X124" i="9" s="1"/>
  <c r="D125" i="9"/>
  <c r="J125" i="9" s="1"/>
  <c r="C125" i="9"/>
  <c r="R167" i="2"/>
  <c r="B167" i="2"/>
  <c r="U125" i="9" l="1"/>
  <c r="Q125" i="9"/>
  <c r="G125" i="9" s="1"/>
  <c r="K125" i="9" s="1"/>
  <c r="H125" i="9"/>
  <c r="O125" i="9"/>
  <c r="V125" i="9"/>
  <c r="E125" i="9"/>
  <c r="I125" i="9"/>
  <c r="M125" i="9"/>
  <c r="N125" i="9"/>
  <c r="C167" i="2"/>
  <c r="J167" i="2" s="1"/>
  <c r="AL167" i="2"/>
  <c r="L167" i="2"/>
  <c r="T167" i="2"/>
  <c r="F167" i="2" s="1"/>
  <c r="H167" i="2" s="1"/>
  <c r="N167" i="2"/>
  <c r="AS167" i="2"/>
  <c r="Z125" i="9" l="1"/>
  <c r="AA125" i="9"/>
  <c r="S125" i="9"/>
  <c r="F125" i="9"/>
  <c r="T125" i="9" s="1"/>
  <c r="D167" i="2"/>
  <c r="V167" i="2" s="1"/>
  <c r="X167" i="2"/>
  <c r="B168" i="2" s="1"/>
  <c r="AM167" i="2"/>
  <c r="AB125" i="9" l="1"/>
  <c r="X125" i="9" s="1"/>
  <c r="D126" i="9"/>
  <c r="J126" i="9" s="1"/>
  <c r="C126" i="9"/>
  <c r="AL168" i="2"/>
  <c r="T168" i="2"/>
  <c r="C168" i="2"/>
  <c r="L168" i="2" s="1"/>
  <c r="F168" i="2"/>
  <c r="H168" i="2" s="1"/>
  <c r="N168" i="2"/>
  <c r="AS168" i="2" l="1"/>
  <c r="D168" i="2"/>
  <c r="M126" i="9"/>
  <c r="U126" i="9"/>
  <c r="E126" i="9"/>
  <c r="Q126" i="9"/>
  <c r="G126" i="9" s="1"/>
  <c r="K126" i="9" s="1"/>
  <c r="N126" i="9"/>
  <c r="H126" i="9"/>
  <c r="O126" i="9"/>
  <c r="I126" i="9"/>
  <c r="V126" i="9"/>
  <c r="X168" i="2"/>
  <c r="J168" i="2"/>
  <c r="V168" i="2" s="1"/>
  <c r="AM168" i="2" l="1"/>
  <c r="S126" i="9"/>
  <c r="F126" i="9"/>
  <c r="T126" i="9" s="1"/>
  <c r="Z126" i="9"/>
  <c r="AA126" i="9"/>
  <c r="R169" i="2"/>
  <c r="B169" i="2"/>
  <c r="AB126" i="9" l="1"/>
  <c r="X126" i="9" s="1"/>
  <c r="D127" i="9"/>
  <c r="J127" i="9" s="1"/>
  <c r="C127" i="9"/>
  <c r="C169" i="2"/>
  <c r="J169" i="2" s="1"/>
  <c r="T169" i="2"/>
  <c r="F169" i="2" s="1"/>
  <c r="H169" i="2" s="1"/>
  <c r="AS169" i="2"/>
  <c r="AL169" i="2"/>
  <c r="N169" i="2"/>
  <c r="D169" i="2" l="1"/>
  <c r="Q127" i="9"/>
  <c r="G127" i="9" s="1"/>
  <c r="I127" i="9"/>
  <c r="V127" i="9"/>
  <c r="U127" i="9"/>
  <c r="O127" i="9"/>
  <c r="M127" i="9"/>
  <c r="E127" i="9"/>
  <c r="N127" i="9"/>
  <c r="H127" i="9"/>
  <c r="X169" i="2"/>
  <c r="B170" i="2" s="1"/>
  <c r="AM169" i="2"/>
  <c r="L169" i="2"/>
  <c r="V169" i="2" s="1"/>
  <c r="Z127" i="9" l="1"/>
  <c r="AA127" i="9"/>
  <c r="F127" i="9"/>
  <c r="T127" i="9" s="1"/>
  <c r="K127" i="9"/>
  <c r="S127" i="9" s="1"/>
  <c r="AL170" i="2"/>
  <c r="N170" i="2"/>
  <c r="T170" i="2"/>
  <c r="F170" i="2"/>
  <c r="H170" i="2" s="1"/>
  <c r="C170" i="2"/>
  <c r="AS170" i="2"/>
  <c r="D170" i="2" l="1"/>
  <c r="D128" i="9"/>
  <c r="J128" i="9" s="1"/>
  <c r="C128" i="9"/>
  <c r="AB127" i="9"/>
  <c r="X127" i="9" s="1"/>
  <c r="X170" i="2"/>
  <c r="J170" i="2"/>
  <c r="L170" i="2"/>
  <c r="V170" i="2" l="1"/>
  <c r="H128" i="9"/>
  <c r="Q128" i="9"/>
  <c r="G128" i="9" s="1"/>
  <c r="K128" i="9" s="1"/>
  <c r="E128" i="9"/>
  <c r="V128" i="9"/>
  <c r="O128" i="9"/>
  <c r="M128" i="9"/>
  <c r="U128" i="9"/>
  <c r="I128" i="9"/>
  <c r="N128" i="9"/>
  <c r="AM170" i="2"/>
  <c r="B171" i="2"/>
  <c r="R171" i="2"/>
  <c r="Z128" i="9" l="1"/>
  <c r="AA128" i="9"/>
  <c r="F128" i="9"/>
  <c r="T128" i="9" s="1"/>
  <c r="S128" i="9"/>
  <c r="C171" i="2"/>
  <c r="L171" i="2"/>
  <c r="N171" i="2"/>
  <c r="T171" i="2"/>
  <c r="F171" i="2" s="1"/>
  <c r="H171" i="2" s="1"/>
  <c r="AL171" i="2"/>
  <c r="D171" i="2" l="1"/>
  <c r="D129" i="9"/>
  <c r="J129" i="9" s="1"/>
  <c r="C129" i="9"/>
  <c r="AB128" i="9"/>
  <c r="X128" i="9" s="1"/>
  <c r="X171" i="2"/>
  <c r="B172" i="2" s="1"/>
  <c r="J171" i="2"/>
  <c r="V171" i="2" s="1"/>
  <c r="AS171" i="2"/>
  <c r="R129" i="9" l="1"/>
  <c r="M129" i="9"/>
  <c r="I129" i="9"/>
  <c r="O129" i="9"/>
  <c r="N129" i="9"/>
  <c r="Q129" i="9"/>
  <c r="G129" i="9" s="1"/>
  <c r="K129" i="9" s="1"/>
  <c r="U129" i="9"/>
  <c r="E129" i="9"/>
  <c r="H129" i="9"/>
  <c r="V129" i="9"/>
  <c r="AM171" i="2"/>
  <c r="U172" i="2"/>
  <c r="T172" i="2"/>
  <c r="F172" i="2" s="1"/>
  <c r="H172" i="2" s="1"/>
  <c r="AL172" i="2"/>
  <c r="C172" i="2"/>
  <c r="J172" i="2" s="1"/>
  <c r="N172" i="2"/>
  <c r="AS172" i="2" l="1"/>
  <c r="F129" i="9"/>
  <c r="T129" i="9" s="1"/>
  <c r="D172" i="2"/>
  <c r="S129" i="9"/>
  <c r="Z129" i="9"/>
  <c r="AA129" i="9"/>
  <c r="AM172" i="2"/>
  <c r="X172" i="2"/>
  <c r="L172" i="2"/>
  <c r="V172" i="2" s="1"/>
  <c r="AB129" i="9" l="1"/>
  <c r="X129" i="9" s="1"/>
  <c r="D130" i="9"/>
  <c r="J130" i="9" s="1"/>
  <c r="C130" i="9"/>
  <c r="B173" i="2"/>
  <c r="R173" i="2"/>
  <c r="E130" i="9" l="1"/>
  <c r="U130" i="9"/>
  <c r="N130" i="9"/>
  <c r="O130" i="9"/>
  <c r="Q130" i="9"/>
  <c r="G130" i="9" s="1"/>
  <c r="K130" i="9" s="1"/>
  <c r="I130" i="9"/>
  <c r="H130" i="9"/>
  <c r="M130" i="9"/>
  <c r="V130" i="9"/>
  <c r="C173" i="2"/>
  <c r="L173" i="2"/>
  <c r="N173" i="2"/>
  <c r="J173" i="2"/>
  <c r="AS173" i="2"/>
  <c r="T173" i="2"/>
  <c r="F173" i="2" s="1"/>
  <c r="H173" i="2" s="1"/>
  <c r="AL173" i="2"/>
  <c r="S130" i="9" l="1"/>
  <c r="D173" i="2"/>
  <c r="V173" i="2" s="1"/>
  <c r="Z130" i="9"/>
  <c r="AA130" i="9"/>
  <c r="F130" i="9"/>
  <c r="T130" i="9" s="1"/>
  <c r="X173" i="2"/>
  <c r="B174" i="2" s="1"/>
  <c r="AM173" i="2"/>
  <c r="D131" i="9" l="1"/>
  <c r="J131" i="9" s="1"/>
  <c r="C131" i="9"/>
  <c r="AB130" i="9"/>
  <c r="X130" i="9" s="1"/>
  <c r="AL174" i="2"/>
  <c r="C174" i="2"/>
  <c r="T174" i="2"/>
  <c r="F174" i="2" s="1"/>
  <c r="H174" i="2" s="1"/>
  <c r="N174" i="2"/>
  <c r="D174" i="2" l="1"/>
  <c r="I131" i="9"/>
  <c r="N131" i="9"/>
  <c r="H131" i="9"/>
  <c r="V131" i="9"/>
  <c r="E131" i="9"/>
  <c r="O131" i="9"/>
  <c r="M131" i="9"/>
  <c r="Q131" i="9"/>
  <c r="G131" i="9" s="1"/>
  <c r="K131" i="9" s="1"/>
  <c r="U131" i="9"/>
  <c r="X174" i="2"/>
  <c r="L174" i="2"/>
  <c r="J174" i="2"/>
  <c r="AS174" i="2"/>
  <c r="S131" i="9" l="1"/>
  <c r="Z131" i="9"/>
  <c r="AA131" i="9"/>
  <c r="F131" i="9"/>
  <c r="T131" i="9" s="1"/>
  <c r="V174" i="2"/>
  <c r="AM174" i="2"/>
  <c r="R175" i="2"/>
  <c r="B175" i="2"/>
  <c r="D132" i="9" l="1"/>
  <c r="J132" i="9" s="1"/>
  <c r="C132" i="9"/>
  <c r="AB131" i="9"/>
  <c r="X131" i="9" s="1"/>
  <c r="AL175" i="2"/>
  <c r="AS175" i="2"/>
  <c r="N175" i="2"/>
  <c r="L175" i="2"/>
  <c r="T175" i="2"/>
  <c r="F175" i="2" s="1"/>
  <c r="C175" i="2"/>
  <c r="I132" i="9" l="1"/>
  <c r="M132" i="9"/>
  <c r="O132" i="9"/>
  <c r="E132" i="9"/>
  <c r="N132" i="9"/>
  <c r="V132" i="9"/>
  <c r="Q132" i="9"/>
  <c r="G132" i="9" s="1"/>
  <c r="K132" i="9" s="1"/>
  <c r="H132" i="9"/>
  <c r="U132" i="9"/>
  <c r="D175" i="2"/>
  <c r="H175" i="2"/>
  <c r="X175" i="2"/>
  <c r="B176" i="2" s="1"/>
  <c r="J175" i="2"/>
  <c r="V175" i="2" l="1"/>
  <c r="F132" i="9"/>
  <c r="T132" i="9" s="1"/>
  <c r="D133" i="9" s="1"/>
  <c r="J133" i="9" s="1"/>
  <c r="Z132" i="9"/>
  <c r="AA132" i="9"/>
  <c r="S132" i="9"/>
  <c r="AM175" i="2"/>
  <c r="AL176" i="2"/>
  <c r="T176" i="2"/>
  <c r="F176" i="2"/>
  <c r="H176" i="2" s="1"/>
  <c r="N176" i="2"/>
  <c r="C176" i="2"/>
  <c r="J176" i="2" s="1"/>
  <c r="C133" i="9" l="1"/>
  <c r="L176" i="2"/>
  <c r="AB132" i="9"/>
  <c r="X132" i="9" s="1"/>
  <c r="E133" i="9"/>
  <c r="V133" i="9"/>
  <c r="Q133" i="9"/>
  <c r="G133" i="9" s="1"/>
  <c r="O133" i="9"/>
  <c r="N133" i="9"/>
  <c r="U133" i="9"/>
  <c r="H133" i="9"/>
  <c r="I133" i="9"/>
  <c r="M133" i="9"/>
  <c r="Z133" i="9" s="1"/>
  <c r="D176" i="2"/>
  <c r="V176" i="2" s="1"/>
  <c r="X176" i="2"/>
  <c r="AS176" i="2"/>
  <c r="AM176" i="2" s="1"/>
  <c r="K133" i="9" l="1"/>
  <c r="S133" i="9" s="1"/>
  <c r="F133" i="9"/>
  <c r="T133" i="9" s="1"/>
  <c r="AA133" i="9"/>
  <c r="B177" i="2"/>
  <c r="R177" i="2"/>
  <c r="AB133" i="9" l="1"/>
  <c r="X133" i="9" s="1"/>
  <c r="D134" i="9"/>
  <c r="J134" i="9" s="1"/>
  <c r="C134" i="9"/>
  <c r="C177" i="2"/>
  <c r="AS177" i="2" s="1"/>
  <c r="N177" i="2"/>
  <c r="L177" i="2"/>
  <c r="T177" i="2"/>
  <c r="F177" i="2" s="1"/>
  <c r="H177" i="2" s="1"/>
  <c r="AL177" i="2"/>
  <c r="J177" i="2" l="1"/>
  <c r="D177" i="2"/>
  <c r="V177" i="2" s="1"/>
  <c r="N134" i="9"/>
  <c r="U134" i="9"/>
  <c r="Q134" i="9"/>
  <c r="G134" i="9" s="1"/>
  <c r="V134" i="9"/>
  <c r="M134" i="9"/>
  <c r="O134" i="9"/>
  <c r="E134" i="9"/>
  <c r="I134" i="9"/>
  <c r="H134" i="9"/>
  <c r="AM177" i="2"/>
  <c r="Z134" i="9" l="1"/>
  <c r="AA134" i="9"/>
  <c r="X177" i="2"/>
  <c r="B178" i="2" s="1"/>
  <c r="C178" i="2" s="1"/>
  <c r="F134" i="9"/>
  <c r="T134" i="9" s="1"/>
  <c r="K134" i="9"/>
  <c r="S134" i="9" s="1"/>
  <c r="AL178" i="2" l="1"/>
  <c r="J178" i="2"/>
  <c r="L178" i="2"/>
  <c r="T178" i="2"/>
  <c r="F178" i="2" s="1"/>
  <c r="H178" i="2" s="1"/>
  <c r="N178" i="2"/>
  <c r="AS178" i="2"/>
  <c r="D135" i="9"/>
  <c r="J135" i="9" s="1"/>
  <c r="C135" i="9"/>
  <c r="AB134" i="9"/>
  <c r="X134" i="9" s="1"/>
  <c r="D178" i="2" l="1"/>
  <c r="V178" i="2" s="1"/>
  <c r="AM178" i="2"/>
  <c r="Q135" i="9"/>
  <c r="G135" i="9" s="1"/>
  <c r="K135" i="9" s="1"/>
  <c r="V135" i="9"/>
  <c r="H135" i="9"/>
  <c r="O135" i="9"/>
  <c r="U135" i="9"/>
  <c r="I135" i="9"/>
  <c r="N135" i="9"/>
  <c r="M135" i="9"/>
  <c r="E135" i="9"/>
  <c r="X178" i="2" l="1"/>
  <c r="R179" i="2" s="1"/>
  <c r="F135" i="9"/>
  <c r="T135" i="9" s="1"/>
  <c r="S135" i="9"/>
  <c r="Z135" i="9"/>
  <c r="AA135" i="9"/>
  <c r="B179" i="2" l="1"/>
  <c r="D136" i="9"/>
  <c r="J136" i="9" s="1"/>
  <c r="C136" i="9"/>
  <c r="AB135" i="9"/>
  <c r="X135" i="9" s="1"/>
  <c r="C179" i="2" l="1"/>
  <c r="AS179" i="2"/>
  <c r="N179" i="2"/>
  <c r="T179" i="2"/>
  <c r="F179" i="2" s="1"/>
  <c r="H179" i="2" s="1"/>
  <c r="AL179" i="2"/>
  <c r="D179" i="2" s="1"/>
  <c r="L179" i="2"/>
  <c r="N136" i="9"/>
  <c r="E136" i="9"/>
  <c r="Q136" i="9"/>
  <c r="G136" i="9" s="1"/>
  <c r="K136" i="9" s="1"/>
  <c r="V136" i="9"/>
  <c r="U136" i="9"/>
  <c r="M136" i="9"/>
  <c r="O136" i="9"/>
  <c r="I136" i="9"/>
  <c r="H136" i="9"/>
  <c r="J179" i="2" l="1"/>
  <c r="V179" i="2" s="1"/>
  <c r="AM179" i="2"/>
  <c r="X179" i="2"/>
  <c r="B180" i="2" s="1"/>
  <c r="F136" i="9"/>
  <c r="T136" i="9" s="1"/>
  <c r="Z136" i="9"/>
  <c r="AA136" i="9"/>
  <c r="S136" i="9"/>
  <c r="N180" i="2" l="1"/>
  <c r="T180" i="2"/>
  <c r="F180" i="2" s="1"/>
  <c r="H180" i="2" s="1"/>
  <c r="AL180" i="2"/>
  <c r="D180" i="2" s="1"/>
  <c r="C180" i="2"/>
  <c r="J180" i="2" s="1"/>
  <c r="L180" i="2"/>
  <c r="D137" i="9"/>
  <c r="J137" i="9" s="1"/>
  <c r="C137" i="9"/>
  <c r="AB136" i="9"/>
  <c r="X136" i="9" s="1"/>
  <c r="V180" i="2" l="1"/>
  <c r="AS180" i="2"/>
  <c r="AM180" i="2"/>
  <c r="X180" i="2"/>
  <c r="I137" i="9"/>
  <c r="Q137" i="9"/>
  <c r="G137" i="9" s="1"/>
  <c r="O137" i="9"/>
  <c r="U137" i="9"/>
  <c r="V137" i="9"/>
  <c r="N137" i="9"/>
  <c r="M137" i="9"/>
  <c r="H137" i="9"/>
  <c r="E137" i="9"/>
  <c r="B181" i="2" l="1"/>
  <c r="R181" i="2"/>
  <c r="Z137" i="9"/>
  <c r="AA137" i="9"/>
  <c r="F137" i="9"/>
  <c r="T137" i="9" s="1"/>
  <c r="K137" i="9"/>
  <c r="S137" i="9" s="1"/>
  <c r="T181" i="2" l="1"/>
  <c r="F181" i="2" s="1"/>
  <c r="H181" i="2" s="1"/>
  <c r="C181" i="2"/>
  <c r="J181" i="2" s="1"/>
  <c r="AL181" i="2"/>
  <c r="D181" i="2" s="1"/>
  <c r="N181" i="2"/>
  <c r="D138" i="9"/>
  <c r="J138" i="9" s="1"/>
  <c r="C138" i="9"/>
  <c r="AB137" i="9"/>
  <c r="X137" i="9" s="1"/>
  <c r="L181" i="2" l="1"/>
  <c r="V181" i="2" s="1"/>
  <c r="AS181" i="2"/>
  <c r="AM181" i="2" s="1"/>
  <c r="X181" i="2"/>
  <c r="B182" i="2" s="1"/>
  <c r="H138" i="9"/>
  <c r="N138" i="9"/>
  <c r="I138" i="9"/>
  <c r="U138" i="9"/>
  <c r="V138" i="9"/>
  <c r="O138" i="9"/>
  <c r="Q138" i="9"/>
  <c r="G138" i="9" s="1"/>
  <c r="K138" i="9" s="1"/>
  <c r="E138" i="9"/>
  <c r="M138" i="9"/>
  <c r="C182" i="2" l="1"/>
  <c r="AL182" i="2"/>
  <c r="T182" i="2"/>
  <c r="F182" i="2" s="1"/>
  <c r="H182" i="2" s="1"/>
  <c r="L182" i="2"/>
  <c r="N182" i="2"/>
  <c r="S138" i="9"/>
  <c r="J182" i="2"/>
  <c r="Z138" i="9"/>
  <c r="AA138" i="9"/>
  <c r="F138" i="9"/>
  <c r="T138" i="9" s="1"/>
  <c r="AS182" i="2" l="1"/>
  <c r="AM182" i="2" s="1"/>
  <c r="D182" i="2"/>
  <c r="V182" i="2" s="1"/>
  <c r="D139" i="9"/>
  <c r="J139" i="9" s="1"/>
  <c r="C139" i="9"/>
  <c r="AB138" i="9"/>
  <c r="X138" i="9" s="1"/>
  <c r="X182" i="2" l="1"/>
  <c r="O139" i="9"/>
  <c r="V139" i="9"/>
  <c r="H139" i="9"/>
  <c r="I139" i="9"/>
  <c r="N139" i="9"/>
  <c r="Q139" i="9"/>
  <c r="G139" i="9" s="1"/>
  <c r="K139" i="9" s="1"/>
  <c r="E139" i="9"/>
  <c r="U139" i="9"/>
  <c r="M139" i="9"/>
  <c r="S139" i="9" l="1"/>
  <c r="R183" i="2"/>
  <c r="B183" i="2"/>
  <c r="F139" i="9"/>
  <c r="T139" i="9" s="1"/>
  <c r="Z139" i="9"/>
  <c r="AA139" i="9"/>
  <c r="L183" i="2" l="1"/>
  <c r="C183" i="2"/>
  <c r="J183" i="2" s="1"/>
  <c r="N183" i="2"/>
  <c r="T183" i="2"/>
  <c r="F183" i="2" s="1"/>
  <c r="H183" i="2" s="1"/>
  <c r="AL183" i="2"/>
  <c r="D183" i="2" s="1"/>
  <c r="AS183" i="2"/>
  <c r="AB139" i="9"/>
  <c r="X139" i="9" s="1"/>
  <c r="D140" i="9"/>
  <c r="J140" i="9" s="1"/>
  <c r="C140" i="9"/>
  <c r="V183" i="2" l="1"/>
  <c r="AM183" i="2"/>
  <c r="X183" i="2"/>
  <c r="B184" i="2" s="1"/>
  <c r="E140" i="9"/>
  <c r="V140" i="9"/>
  <c r="M140" i="9"/>
  <c r="I140" i="9"/>
  <c r="U140" i="9"/>
  <c r="H140" i="9"/>
  <c r="Q140" i="9"/>
  <c r="G140" i="9" s="1"/>
  <c r="K140" i="9" s="1"/>
  <c r="N140" i="9"/>
  <c r="O140" i="9"/>
  <c r="T184" i="2" l="1"/>
  <c r="F184" i="2" s="1"/>
  <c r="H184" i="2" s="1"/>
  <c r="AL184" i="2"/>
  <c r="D184" i="2" s="1"/>
  <c r="C184" i="2"/>
  <c r="L184" i="2" s="1"/>
  <c r="U184" i="2"/>
  <c r="N184" i="2"/>
  <c r="S140" i="9"/>
  <c r="Z140" i="9"/>
  <c r="AA140" i="9"/>
  <c r="F140" i="9"/>
  <c r="T140" i="9" s="1"/>
  <c r="AS184" i="2" l="1"/>
  <c r="J184" i="2"/>
  <c r="V184" i="2" s="1"/>
  <c r="AM184" i="2"/>
  <c r="X184" i="2"/>
  <c r="D141" i="9"/>
  <c r="J141" i="9" s="1"/>
  <c r="C141" i="9"/>
  <c r="AB140" i="9"/>
  <c r="X140" i="9" s="1"/>
  <c r="B185" i="2" l="1"/>
  <c r="R185" i="2"/>
  <c r="M141" i="9"/>
  <c r="Q141" i="9"/>
  <c r="G141" i="9" s="1"/>
  <c r="O141" i="9"/>
  <c r="R141" i="9"/>
  <c r="E141" i="9"/>
  <c r="I141" i="9"/>
  <c r="U141" i="9"/>
  <c r="V141" i="9"/>
  <c r="H141" i="9"/>
  <c r="N141" i="9"/>
  <c r="AL185" i="2" l="1"/>
  <c r="D185" i="2" s="1"/>
  <c r="C185" i="2"/>
  <c r="L185" i="2" s="1"/>
  <c r="T185" i="2"/>
  <c r="F185" i="2" s="1"/>
  <c r="H185" i="2" s="1"/>
  <c r="N185" i="2"/>
  <c r="F141" i="9"/>
  <c r="T141" i="9" s="1"/>
  <c r="K141" i="9"/>
  <c r="S141" i="9" s="1"/>
  <c r="Z141" i="9"/>
  <c r="AA141" i="9"/>
  <c r="AS185" i="2" l="1"/>
  <c r="X185" i="2"/>
  <c r="B186" i="2" s="1"/>
  <c r="J185" i="2"/>
  <c r="AB141" i="9"/>
  <c r="X141" i="9" s="1"/>
  <c r="D142" i="9"/>
  <c r="J142" i="9" s="1"/>
  <c r="C142" i="9"/>
  <c r="AM185" i="2" l="1"/>
  <c r="N186" i="2"/>
  <c r="T186" i="2"/>
  <c r="F186" i="2" s="1"/>
  <c r="H186" i="2" s="1"/>
  <c r="C186" i="2"/>
  <c r="AS186" i="2"/>
  <c r="AL186" i="2"/>
  <c r="D186" i="2" s="1"/>
  <c r="V185" i="2"/>
  <c r="U142" i="9"/>
  <c r="I142" i="9"/>
  <c r="H142" i="9"/>
  <c r="O142" i="9"/>
  <c r="V142" i="9"/>
  <c r="N142" i="9"/>
  <c r="Q142" i="9"/>
  <c r="G142" i="9" s="1"/>
  <c r="K142" i="9" s="1"/>
  <c r="E142" i="9"/>
  <c r="M142" i="9"/>
  <c r="L186" i="2" l="1"/>
  <c r="X186" i="2"/>
  <c r="J186" i="2"/>
  <c r="AM186" i="2" s="1"/>
  <c r="F142" i="9"/>
  <c r="T142" i="9" s="1"/>
  <c r="Z142" i="9"/>
  <c r="AA142" i="9"/>
  <c r="S142" i="9"/>
  <c r="R187" i="2" l="1"/>
  <c r="B187" i="2"/>
  <c r="V186" i="2"/>
  <c r="AB142" i="9"/>
  <c r="X142" i="9" s="1"/>
  <c r="D143" i="9"/>
  <c r="J143" i="9" s="1"/>
  <c r="C143" i="9"/>
  <c r="C187" i="2" l="1"/>
  <c r="L187" i="2" s="1"/>
  <c r="N187" i="2"/>
  <c r="T187" i="2"/>
  <c r="F187" i="2" s="1"/>
  <c r="H187" i="2" s="1"/>
  <c r="AL187" i="2"/>
  <c r="D187" i="2" s="1"/>
  <c r="V143" i="9"/>
  <c r="O143" i="9"/>
  <c r="H143" i="9"/>
  <c r="M143" i="9"/>
  <c r="N143" i="9"/>
  <c r="U143" i="9"/>
  <c r="E143" i="9"/>
  <c r="I143" i="9"/>
  <c r="Q143" i="9"/>
  <c r="G143" i="9" s="1"/>
  <c r="K143" i="9" s="1"/>
  <c r="J187" i="2" l="1"/>
  <c r="V187" i="2" s="1"/>
  <c r="AS187" i="2"/>
  <c r="X187" i="2"/>
  <c r="B188" i="2" s="1"/>
  <c r="S143" i="9"/>
  <c r="F143" i="9"/>
  <c r="T143" i="9" s="1"/>
  <c r="Z143" i="9"/>
  <c r="AA143" i="9"/>
  <c r="AM187" i="2" l="1"/>
  <c r="C188" i="2"/>
  <c r="L188" i="2" s="1"/>
  <c r="T188" i="2"/>
  <c r="F188" i="2" s="1"/>
  <c r="H188" i="2" s="1"/>
  <c r="AL188" i="2"/>
  <c r="N188" i="2"/>
  <c r="AB143" i="9"/>
  <c r="X143" i="9" s="1"/>
  <c r="D144" i="9"/>
  <c r="J144" i="9" s="1"/>
  <c r="C144" i="9"/>
  <c r="AS188" i="2" l="1"/>
  <c r="D188" i="2"/>
  <c r="J188" i="2"/>
  <c r="X188" i="2"/>
  <c r="O144" i="9"/>
  <c r="Q144" i="9"/>
  <c r="G144" i="9" s="1"/>
  <c r="H144" i="9"/>
  <c r="E144" i="9"/>
  <c r="N144" i="9"/>
  <c r="M144" i="9"/>
  <c r="I144" i="9"/>
  <c r="V144" i="9"/>
  <c r="U144" i="9"/>
  <c r="R189" i="2" l="1"/>
  <c r="B189" i="2"/>
  <c r="V188" i="2"/>
  <c r="AM188" i="2"/>
  <c r="Z144" i="9"/>
  <c r="AA144" i="9"/>
  <c r="F144" i="9"/>
  <c r="T144" i="9" s="1"/>
  <c r="K144" i="9"/>
  <c r="S144" i="9" s="1"/>
  <c r="AS189" i="2" l="1"/>
  <c r="L189" i="2"/>
  <c r="AL189" i="2"/>
  <c r="T189" i="2"/>
  <c r="F189" i="2" s="1"/>
  <c r="H189" i="2" s="1"/>
  <c r="C189" i="2"/>
  <c r="N189" i="2"/>
  <c r="D145" i="9"/>
  <c r="J145" i="9" s="1"/>
  <c r="C145" i="9"/>
  <c r="AB144" i="9"/>
  <c r="X144" i="9" s="1"/>
  <c r="D189" i="2" l="1"/>
  <c r="X189" i="2" s="1"/>
  <c r="B190" i="2" s="1"/>
  <c r="J189" i="2"/>
  <c r="V189" i="2" s="1"/>
  <c r="U145" i="9"/>
  <c r="O145" i="9"/>
  <c r="I145" i="9"/>
  <c r="M145" i="9"/>
  <c r="Q145" i="9"/>
  <c r="G145" i="9" s="1"/>
  <c r="K145" i="9" s="1"/>
  <c r="E145" i="9"/>
  <c r="H145" i="9"/>
  <c r="N145" i="9"/>
  <c r="V145" i="9"/>
  <c r="AM189" i="2" l="1"/>
  <c r="N190" i="2"/>
  <c r="T190" i="2"/>
  <c r="F190" i="2" s="1"/>
  <c r="H190" i="2" s="1"/>
  <c r="AL190" i="2"/>
  <c r="D190" i="2" s="1"/>
  <c r="AS190" i="2"/>
  <c r="C190" i="2"/>
  <c r="L190" i="2"/>
  <c r="S145" i="9"/>
  <c r="Z145" i="9"/>
  <c r="AA145" i="9"/>
  <c r="F145" i="9"/>
  <c r="T145" i="9" s="1"/>
  <c r="J190" i="2" l="1"/>
  <c r="V190" i="2" s="1"/>
  <c r="AM190" i="2"/>
  <c r="X190" i="2"/>
  <c r="D146" i="9"/>
  <c r="J146" i="9" s="1"/>
  <c r="C146" i="9"/>
  <c r="AB145" i="9"/>
  <c r="X145" i="9" s="1"/>
  <c r="R191" i="2" l="1"/>
  <c r="B191" i="2"/>
  <c r="O146" i="9"/>
  <c r="I146" i="9"/>
  <c r="E146" i="9"/>
  <c r="S146" i="9" s="1"/>
  <c r="H146" i="9"/>
  <c r="Q146" i="9"/>
  <c r="G146" i="9" s="1"/>
  <c r="K146" i="9" s="1"/>
  <c r="V146" i="9"/>
  <c r="M146" i="9"/>
  <c r="N146" i="9"/>
  <c r="U146" i="9"/>
  <c r="N191" i="2" l="1"/>
  <c r="C191" i="2"/>
  <c r="L191" i="2" s="1"/>
  <c r="T191" i="2"/>
  <c r="F191" i="2" s="1"/>
  <c r="H191" i="2" s="1"/>
  <c r="AS191" i="2"/>
  <c r="AL191" i="2"/>
  <c r="F146" i="9"/>
  <c r="T146" i="9" s="1"/>
  <c r="Z146" i="9"/>
  <c r="AA146" i="9"/>
  <c r="D191" i="2" l="1"/>
  <c r="J191" i="2"/>
  <c r="V191" i="2" s="1"/>
  <c r="X191" i="2"/>
  <c r="B192" i="2" s="1"/>
  <c r="AB146" i="9"/>
  <c r="X146" i="9" s="1"/>
  <c r="D147" i="9"/>
  <c r="J147" i="9" s="1"/>
  <c r="C147" i="9"/>
  <c r="AM191" i="2" l="1"/>
  <c r="L192" i="2"/>
  <c r="N192" i="2"/>
  <c r="AS192" i="2"/>
  <c r="AL192" i="2"/>
  <c r="D192" i="2" s="1"/>
  <c r="C192" i="2"/>
  <c r="T192" i="2"/>
  <c r="F192" i="2" s="1"/>
  <c r="H192" i="2" s="1"/>
  <c r="J192" i="2"/>
  <c r="M147" i="9"/>
  <c r="H147" i="9"/>
  <c r="O147" i="9"/>
  <c r="I147" i="9"/>
  <c r="E147" i="9"/>
  <c r="V147" i="9"/>
  <c r="Q147" i="9"/>
  <c r="G147" i="9" s="1"/>
  <c r="U147" i="9"/>
  <c r="N147" i="9"/>
  <c r="V192" i="2" l="1"/>
  <c r="X192" i="2"/>
  <c r="AM192" i="2"/>
  <c r="F147" i="9"/>
  <c r="T147" i="9" s="1"/>
  <c r="K147" i="9"/>
  <c r="S147" i="9" s="1"/>
  <c r="Z147" i="9"/>
  <c r="AA147" i="9"/>
  <c r="R193" i="2" l="1"/>
  <c r="B193" i="2"/>
  <c r="AB147" i="9"/>
  <c r="X147" i="9" s="1"/>
  <c r="D148" i="9"/>
  <c r="J148" i="9" s="1"/>
  <c r="C148" i="9"/>
  <c r="C193" i="2" l="1"/>
  <c r="AL193" i="2"/>
  <c r="AS193" i="2"/>
  <c r="T193" i="2"/>
  <c r="F193" i="2" s="1"/>
  <c r="H193" i="2" s="1"/>
  <c r="L193" i="2"/>
  <c r="N193" i="2"/>
  <c r="V148" i="9"/>
  <c r="I148" i="9"/>
  <c r="Q148" i="9"/>
  <c r="G148" i="9"/>
  <c r="E148" i="9"/>
  <c r="H148" i="9"/>
  <c r="N148" i="9"/>
  <c r="O148" i="9"/>
  <c r="M148" i="9"/>
  <c r="U148" i="9"/>
  <c r="D193" i="2" l="1"/>
  <c r="J193" i="2"/>
  <c r="AM193" i="2" s="1"/>
  <c r="F148" i="9"/>
  <c r="T148" i="9" s="1"/>
  <c r="K148" i="9"/>
  <c r="S148" i="9" s="1"/>
  <c r="Z148" i="9"/>
  <c r="AA148" i="9"/>
  <c r="V193" i="2" l="1"/>
  <c r="X193" i="2"/>
  <c r="B194" i="2" s="1"/>
  <c r="D149" i="9"/>
  <c r="J149" i="9" s="1"/>
  <c r="C149" i="9"/>
  <c r="AB148" i="9"/>
  <c r="X148" i="9" s="1"/>
  <c r="T194" i="2" l="1"/>
  <c r="F194" i="2" s="1"/>
  <c r="H194" i="2" s="1"/>
  <c r="N194" i="2"/>
  <c r="C194" i="2"/>
  <c r="L194" i="2" s="1"/>
  <c r="AL194" i="2"/>
  <c r="J194" i="2"/>
  <c r="AS194" i="2"/>
  <c r="U149" i="9"/>
  <c r="I149" i="9"/>
  <c r="V149" i="9"/>
  <c r="N149" i="9"/>
  <c r="Q149" i="9"/>
  <c r="G149" i="9" s="1"/>
  <c r="E149" i="9"/>
  <c r="O149" i="9"/>
  <c r="H149" i="9"/>
  <c r="M149" i="9"/>
  <c r="D194" i="2" l="1"/>
  <c r="V194" i="2" s="1"/>
  <c r="X194" i="2"/>
  <c r="AM194" i="2"/>
  <c r="F149" i="9"/>
  <c r="T149" i="9" s="1"/>
  <c r="K149" i="9"/>
  <c r="S149" i="9" s="1"/>
  <c r="Z149" i="9"/>
  <c r="AA149" i="9"/>
  <c r="R195" i="2" l="1"/>
  <c r="B195" i="2"/>
  <c r="AB149" i="9"/>
  <c r="X149" i="9" s="1"/>
  <c r="D150" i="9"/>
  <c r="J150" i="9" s="1"/>
  <c r="C150" i="9"/>
  <c r="T195" i="2" l="1"/>
  <c r="F195" i="2" s="1"/>
  <c r="H195" i="2" s="1"/>
  <c r="AL195" i="2"/>
  <c r="C195" i="2"/>
  <c r="N195" i="2"/>
  <c r="J195" i="2"/>
  <c r="AS195" i="2"/>
  <c r="L195" i="2"/>
  <c r="N150" i="9"/>
  <c r="U150" i="9"/>
  <c r="V150" i="9"/>
  <c r="I150" i="9"/>
  <c r="H150" i="9"/>
  <c r="O150" i="9"/>
  <c r="Q150" i="9"/>
  <c r="G150" i="9" s="1"/>
  <c r="K150" i="9" s="1"/>
  <c r="E150" i="9"/>
  <c r="M150" i="9"/>
  <c r="D195" i="2" l="1"/>
  <c r="X195" i="2" s="1"/>
  <c r="B196" i="2" s="1"/>
  <c r="V195" i="2"/>
  <c r="AM195" i="2"/>
  <c r="F150" i="9"/>
  <c r="T150" i="9" s="1"/>
  <c r="D151" i="9" s="1"/>
  <c r="J151" i="9" s="1"/>
  <c r="S150" i="9"/>
  <c r="Z150" i="9"/>
  <c r="AA150" i="9"/>
  <c r="C151" i="9" l="1"/>
  <c r="I151" i="9" s="1"/>
  <c r="N196" i="2"/>
  <c r="T196" i="2"/>
  <c r="F196" i="2" s="1"/>
  <c r="H196" i="2" s="1"/>
  <c r="C196" i="2"/>
  <c r="L196" i="2" s="1"/>
  <c r="AL196" i="2"/>
  <c r="U196" i="2"/>
  <c r="AS196" i="2"/>
  <c r="AB150" i="9"/>
  <c r="X150" i="9" s="1"/>
  <c r="Q151" i="9"/>
  <c r="G151" i="9" s="1"/>
  <c r="K151" i="9" s="1"/>
  <c r="H151" i="9"/>
  <c r="V151" i="9"/>
  <c r="O151" i="9"/>
  <c r="U151" i="9"/>
  <c r="E151" i="9" l="1"/>
  <c r="F151" i="9" s="1"/>
  <c r="T151" i="9" s="1"/>
  <c r="D152" i="9" s="1"/>
  <c r="J152" i="9" s="1"/>
  <c r="D196" i="2"/>
  <c r="M151" i="9"/>
  <c r="Z151" i="9" s="1"/>
  <c r="N151" i="9"/>
  <c r="J196" i="2"/>
  <c r="V196" i="2" s="1"/>
  <c r="X196" i="2"/>
  <c r="AM196" i="2"/>
  <c r="AA151" i="9"/>
  <c r="C152" i="9" l="1"/>
  <c r="N152" i="9" s="1"/>
  <c r="S151" i="9"/>
  <c r="R197" i="2"/>
  <c r="B197" i="2"/>
  <c r="AB151" i="9"/>
  <c r="X151" i="9" s="1"/>
  <c r="H152" i="9" l="1"/>
  <c r="M152" i="9"/>
  <c r="Z152" i="9" s="1"/>
  <c r="V152" i="9"/>
  <c r="I152" i="9"/>
  <c r="O152" i="9"/>
  <c r="Q152" i="9"/>
  <c r="G152" i="9" s="1"/>
  <c r="U152" i="9"/>
  <c r="E152" i="9"/>
  <c r="T197" i="2"/>
  <c r="F197" i="2" s="1"/>
  <c r="H197" i="2" s="1"/>
  <c r="AS197" i="2"/>
  <c r="C197" i="2"/>
  <c r="L197" i="2"/>
  <c r="N197" i="2"/>
  <c r="AL197" i="2"/>
  <c r="D197" i="2" s="1"/>
  <c r="K152" i="9"/>
  <c r="S152" i="9" s="1"/>
  <c r="F152" i="9" l="1"/>
  <c r="T152" i="9" s="1"/>
  <c r="C153" i="9" s="1"/>
  <c r="AA152" i="9"/>
  <c r="AB152" i="9" s="1"/>
  <c r="X152" i="9" s="1"/>
  <c r="X197" i="2"/>
  <c r="B198" i="2" s="1"/>
  <c r="J197" i="2"/>
  <c r="V197" i="2" s="1"/>
  <c r="D153" i="9" l="1"/>
  <c r="J153" i="9" s="1"/>
  <c r="AM197" i="2"/>
  <c r="AL198" i="2"/>
  <c r="N198" i="2"/>
  <c r="J198" i="2"/>
  <c r="T198" i="2"/>
  <c r="F198" i="2" s="1"/>
  <c r="H198" i="2" s="1"/>
  <c r="AS198" i="2"/>
  <c r="C198" i="2"/>
  <c r="L198" i="2" s="1"/>
  <c r="R153" i="9"/>
  <c r="Q153" i="9"/>
  <c r="G153" i="9" s="1"/>
  <c r="U153" i="9"/>
  <c r="M153" i="9"/>
  <c r="O153" i="9"/>
  <c r="N153" i="9"/>
  <c r="V153" i="9"/>
  <c r="H153" i="9"/>
  <c r="E153" i="9"/>
  <c r="I153" i="9"/>
  <c r="D198" i="2" l="1"/>
  <c r="V198" i="2" s="1"/>
  <c r="X198" i="2"/>
  <c r="AM198" i="2"/>
  <c r="Z153" i="9"/>
  <c r="AA153" i="9"/>
  <c r="F153" i="9"/>
  <c r="T153" i="9" s="1"/>
  <c r="K153" i="9"/>
  <c r="S153" i="9" s="1"/>
  <c r="R199" i="2" l="1"/>
  <c r="B199" i="2"/>
  <c r="D154" i="9"/>
  <c r="J154" i="9" s="1"/>
  <c r="C154" i="9"/>
  <c r="AB153" i="9"/>
  <c r="X153" i="9" s="1"/>
  <c r="N199" i="2" l="1"/>
  <c r="T199" i="2"/>
  <c r="F199" i="2" s="1"/>
  <c r="H199" i="2" s="1"/>
  <c r="AL199" i="2"/>
  <c r="C199" i="2"/>
  <c r="L199" i="2" s="1"/>
  <c r="Q154" i="9"/>
  <c r="G154" i="9" s="1"/>
  <c r="H154" i="9"/>
  <c r="U154" i="9"/>
  <c r="E154" i="9"/>
  <c r="I154" i="9"/>
  <c r="N154" i="9"/>
  <c r="M154" i="9"/>
  <c r="V154" i="9"/>
  <c r="O154" i="9"/>
  <c r="AS199" i="2" l="1"/>
  <c r="AM199" i="2" s="1"/>
  <c r="J199" i="2"/>
  <c r="D199" i="2"/>
  <c r="V199" i="2" s="1"/>
  <c r="X199" i="2"/>
  <c r="B200" i="2" s="1"/>
  <c r="F154" i="9"/>
  <c r="T154" i="9" s="1"/>
  <c r="K154" i="9"/>
  <c r="S154" i="9" s="1"/>
  <c r="Z154" i="9"/>
  <c r="AA154" i="9"/>
  <c r="L200" i="2" l="1"/>
  <c r="C200" i="2"/>
  <c r="N200" i="2"/>
  <c r="T200" i="2"/>
  <c r="F200" i="2" s="1"/>
  <c r="H200" i="2" s="1"/>
  <c r="AL200" i="2"/>
  <c r="AS200" i="2"/>
  <c r="J200" i="2"/>
  <c r="AB154" i="9"/>
  <c r="X154" i="9" s="1"/>
  <c r="D155" i="9"/>
  <c r="J155" i="9" s="1"/>
  <c r="C155" i="9"/>
  <c r="D200" i="2" l="1"/>
  <c r="V200" i="2" s="1"/>
  <c r="X200" i="2"/>
  <c r="AM200" i="2"/>
  <c r="I155" i="9"/>
  <c r="M155" i="9"/>
  <c r="H155" i="9"/>
  <c r="O155" i="9"/>
  <c r="E155" i="9"/>
  <c r="N155" i="9"/>
  <c r="U155" i="9"/>
  <c r="V155" i="9"/>
  <c r="Q155" i="9"/>
  <c r="G155" i="9" s="1"/>
  <c r="K155" i="9" s="1"/>
  <c r="R201" i="2" l="1"/>
  <c r="B201" i="2"/>
  <c r="S155" i="9"/>
  <c r="F155" i="9"/>
  <c r="T155" i="9" s="1"/>
  <c r="Z155" i="9"/>
  <c r="AA155" i="9"/>
  <c r="C201" i="2" l="1"/>
  <c r="AS201" i="2" s="1"/>
  <c r="T201" i="2"/>
  <c r="F201" i="2" s="1"/>
  <c r="H201" i="2" s="1"/>
  <c r="AL201" i="2"/>
  <c r="D201" i="2" s="1"/>
  <c r="N201" i="2"/>
  <c r="L201" i="2"/>
  <c r="J201" i="2"/>
  <c r="AB155" i="9"/>
  <c r="X155" i="9" s="1"/>
  <c r="D156" i="9"/>
  <c r="J156" i="9" s="1"/>
  <c r="C156" i="9"/>
  <c r="V201" i="2" l="1"/>
  <c r="X201" i="2"/>
  <c r="B202" i="2" s="1"/>
  <c r="AM201" i="2"/>
  <c r="I156" i="9"/>
  <c r="M156" i="9"/>
  <c r="N156" i="9"/>
  <c r="U156" i="9"/>
  <c r="O156" i="9"/>
  <c r="V156" i="9"/>
  <c r="H156" i="9"/>
  <c r="Q156" i="9"/>
  <c r="G156" i="9" s="1"/>
  <c r="K156" i="9" s="1"/>
  <c r="E156" i="9"/>
  <c r="F156" i="9" l="1"/>
  <c r="T156" i="9" s="1"/>
  <c r="AL202" i="2"/>
  <c r="N202" i="2"/>
  <c r="T202" i="2"/>
  <c r="F202" i="2" s="1"/>
  <c r="H202" i="2" s="1"/>
  <c r="C202" i="2"/>
  <c r="L202" i="2"/>
  <c r="D202" i="2"/>
  <c r="AS202" i="2"/>
  <c r="D157" i="9"/>
  <c r="J157" i="9" s="1"/>
  <c r="C157" i="9"/>
  <c r="Z156" i="9"/>
  <c r="AA156" i="9"/>
  <c r="S156" i="9"/>
  <c r="J202" i="2" l="1"/>
  <c r="AM202" i="2" s="1"/>
  <c r="X202" i="2"/>
  <c r="AB156" i="9"/>
  <c r="X156" i="9" s="1"/>
  <c r="N157" i="9"/>
  <c r="Q157" i="9"/>
  <c r="G157" i="9" s="1"/>
  <c r="K157" i="9" s="1"/>
  <c r="M157" i="9"/>
  <c r="Z157" i="9" s="1"/>
  <c r="V157" i="9"/>
  <c r="U157" i="9"/>
  <c r="E157" i="9"/>
  <c r="I157" i="9"/>
  <c r="O157" i="9"/>
  <c r="H157" i="9"/>
  <c r="R203" i="2" l="1"/>
  <c r="B203" i="2"/>
  <c r="V202" i="2"/>
  <c r="F157" i="9"/>
  <c r="T157" i="9" s="1"/>
  <c r="D158" i="9" s="1"/>
  <c r="J158" i="9" s="1"/>
  <c r="S157" i="9"/>
  <c r="AA157" i="9"/>
  <c r="C158" i="9" l="1"/>
  <c r="N158" i="9" s="1"/>
  <c r="C203" i="2"/>
  <c r="L203" i="2"/>
  <c r="AL203" i="2"/>
  <c r="N203" i="2"/>
  <c r="AS203" i="2"/>
  <c r="T203" i="2"/>
  <c r="F203" i="2" s="1"/>
  <c r="H203" i="2" s="1"/>
  <c r="AB157" i="9"/>
  <c r="X157" i="9" s="1"/>
  <c r="Q158" i="9"/>
  <c r="U158" i="9"/>
  <c r="V158" i="9"/>
  <c r="I158" i="9"/>
  <c r="H158" i="9"/>
  <c r="O158" i="9"/>
  <c r="E158" i="9"/>
  <c r="M158" i="9"/>
  <c r="Z158" i="9" s="1"/>
  <c r="G158" i="9"/>
  <c r="K158" i="9" s="1"/>
  <c r="D203" i="2" l="1"/>
  <c r="S158" i="9"/>
  <c r="J203" i="2"/>
  <c r="V203" i="2" s="1"/>
  <c r="X203" i="2"/>
  <c r="B204" i="2" s="1"/>
  <c r="F158" i="9"/>
  <c r="T158" i="9" s="1"/>
  <c r="AA158" i="9"/>
  <c r="AM203" i="2" l="1"/>
  <c r="C204" i="2"/>
  <c r="N204" i="2"/>
  <c r="T204" i="2"/>
  <c r="F204" i="2" s="1"/>
  <c r="H204" i="2" s="1"/>
  <c r="AL204" i="2"/>
  <c r="L204" i="2"/>
  <c r="J204" i="2"/>
  <c r="AB158" i="9"/>
  <c r="X158" i="9" s="1"/>
  <c r="D159" i="9"/>
  <c r="J159" i="9" s="1"/>
  <c r="C159" i="9"/>
  <c r="D204" i="2" l="1"/>
  <c r="V204" i="2" s="1"/>
  <c r="AS204" i="2"/>
  <c r="AM204" i="2" s="1"/>
  <c r="X204" i="2"/>
  <c r="V159" i="9"/>
  <c r="N159" i="9"/>
  <c r="O159" i="9"/>
  <c r="Q159" i="9"/>
  <c r="G159" i="9" s="1"/>
  <c r="K159" i="9" s="1"/>
  <c r="U159" i="9"/>
  <c r="H159" i="9"/>
  <c r="I159" i="9"/>
  <c r="E159" i="9"/>
  <c r="M159" i="9"/>
  <c r="B205" i="2" l="1"/>
  <c r="R205" i="2"/>
  <c r="S159" i="9"/>
  <c r="F159" i="9"/>
  <c r="T159" i="9" s="1"/>
  <c r="Z159" i="9"/>
  <c r="AA159" i="9"/>
  <c r="AL205" i="2" l="1"/>
  <c r="C205" i="2"/>
  <c r="AS205" i="2" s="1"/>
  <c r="N205" i="2"/>
  <c r="T205" i="2"/>
  <c r="F205" i="2" s="1"/>
  <c r="H205" i="2" s="1"/>
  <c r="J205" i="2"/>
  <c r="L205" i="2"/>
  <c r="AB159" i="9"/>
  <c r="X159" i="9" s="1"/>
  <c r="D160" i="9"/>
  <c r="J160" i="9" s="1"/>
  <c r="C160" i="9"/>
  <c r="D205" i="2" l="1"/>
  <c r="X205" i="2"/>
  <c r="B206" i="2" s="1"/>
  <c r="V205" i="2"/>
  <c r="AM205" i="2"/>
  <c r="I160" i="9"/>
  <c r="M160" i="9"/>
  <c r="N160" i="9"/>
  <c r="V160" i="9"/>
  <c r="Q160" i="9"/>
  <c r="G160" i="9" s="1"/>
  <c r="K160" i="9" s="1"/>
  <c r="H160" i="9"/>
  <c r="O160" i="9"/>
  <c r="U160" i="9"/>
  <c r="E160" i="9"/>
  <c r="F160" i="9" l="1"/>
  <c r="T160" i="9" s="1"/>
  <c r="N206" i="2"/>
  <c r="C206" i="2"/>
  <c r="T206" i="2"/>
  <c r="F206" i="2" s="1"/>
  <c r="H206" i="2" s="1"/>
  <c r="L206" i="2"/>
  <c r="AL206" i="2"/>
  <c r="D206" i="2" s="1"/>
  <c r="J206" i="2"/>
  <c r="AS206" i="2"/>
  <c r="D161" i="9"/>
  <c r="J161" i="9" s="1"/>
  <c r="C161" i="9"/>
  <c r="Z160" i="9"/>
  <c r="AA160" i="9"/>
  <c r="S160" i="9"/>
  <c r="V206" i="2" l="1"/>
  <c r="X206" i="2"/>
  <c r="AM206" i="2"/>
  <c r="AB160" i="9"/>
  <c r="X160" i="9" s="1"/>
  <c r="U161" i="9"/>
  <c r="M161" i="9"/>
  <c r="Z161" i="9" s="1"/>
  <c r="N161" i="9"/>
  <c r="I161" i="9"/>
  <c r="E161" i="9"/>
  <c r="O161" i="9"/>
  <c r="H161" i="9"/>
  <c r="V161" i="9"/>
  <c r="Q161" i="9"/>
  <c r="G161" i="9" s="1"/>
  <c r="K161" i="9" s="1"/>
  <c r="R207" i="2" l="1"/>
  <c r="B207" i="2"/>
  <c r="S161" i="9"/>
  <c r="F161" i="9"/>
  <c r="T161" i="9" s="1"/>
  <c r="AA161" i="9"/>
  <c r="N207" i="2" l="1"/>
  <c r="T207" i="2"/>
  <c r="F207" i="2" s="1"/>
  <c r="H207" i="2" s="1"/>
  <c r="C207" i="2"/>
  <c r="L207" i="2"/>
  <c r="AL207" i="2"/>
  <c r="D207" i="2" s="1"/>
  <c r="AS207" i="2"/>
  <c r="J207" i="2"/>
  <c r="AB161" i="9"/>
  <c r="X161" i="9" s="1"/>
  <c r="D162" i="9"/>
  <c r="J162" i="9" s="1"/>
  <c r="C162" i="9"/>
  <c r="V207" i="2" l="1"/>
  <c r="X207" i="2"/>
  <c r="B208" i="2" s="1"/>
  <c r="AM207" i="2"/>
  <c r="N162" i="9"/>
  <c r="I162" i="9"/>
  <c r="E162" i="9"/>
  <c r="H162" i="9"/>
  <c r="Q162" i="9"/>
  <c r="G162" i="9" s="1"/>
  <c r="K162" i="9" s="1"/>
  <c r="M162" i="9"/>
  <c r="U162" i="9"/>
  <c r="V162" i="9"/>
  <c r="O162" i="9"/>
  <c r="C208" i="2" l="1"/>
  <c r="U208" i="2"/>
  <c r="T208" i="2"/>
  <c r="F208" i="2" s="1"/>
  <c r="H208" i="2" s="1"/>
  <c r="AL208" i="2"/>
  <c r="D208" i="2" s="1"/>
  <c r="N208" i="2"/>
  <c r="J208" i="2"/>
  <c r="AS208" i="2"/>
  <c r="L208" i="2"/>
  <c r="S162" i="9"/>
  <c r="Z162" i="9"/>
  <c r="AA162" i="9"/>
  <c r="F162" i="9"/>
  <c r="T162" i="9" s="1"/>
  <c r="V208" i="2" l="1"/>
  <c r="X208" i="2"/>
  <c r="AM208" i="2"/>
  <c r="D163" i="9"/>
  <c r="J163" i="9" s="1"/>
  <c r="C163" i="9"/>
  <c r="AB162" i="9"/>
  <c r="X162" i="9" s="1"/>
  <c r="B209" i="2" l="1"/>
  <c r="R209" i="2"/>
  <c r="H163" i="9"/>
  <c r="O163" i="9"/>
  <c r="V163" i="9"/>
  <c r="I163" i="9"/>
  <c r="U163" i="9"/>
  <c r="Q163" i="9"/>
  <c r="G163" i="9" s="1"/>
  <c r="K163" i="9" s="1"/>
  <c r="M163" i="9"/>
  <c r="E163" i="9"/>
  <c r="N163" i="9"/>
  <c r="C209" i="2" l="1"/>
  <c r="L209" i="2"/>
  <c r="N209" i="2"/>
  <c r="AL209" i="2"/>
  <c r="T209" i="2"/>
  <c r="F209" i="2" s="1"/>
  <c r="H209" i="2" s="1"/>
  <c r="AS209" i="2"/>
  <c r="J209" i="2"/>
  <c r="F163" i="9"/>
  <c r="T163" i="9" s="1"/>
  <c r="Z163" i="9"/>
  <c r="AA163" i="9"/>
  <c r="S163" i="9"/>
  <c r="D209" i="2" l="1"/>
  <c r="V209" i="2" s="1"/>
  <c r="X209" i="2"/>
  <c r="B210" i="2" s="1"/>
  <c r="AM209" i="2"/>
  <c r="AB163" i="9"/>
  <c r="X163" i="9" s="1"/>
  <c r="D164" i="9"/>
  <c r="J164" i="9" s="1"/>
  <c r="C164" i="9"/>
  <c r="T210" i="2" l="1"/>
  <c r="F210" i="2" s="1"/>
  <c r="H210" i="2" s="1"/>
  <c r="AL210" i="2"/>
  <c r="D210" i="2" s="1"/>
  <c r="AS210" i="2"/>
  <c r="C210" i="2"/>
  <c r="L210" i="2" s="1"/>
  <c r="N210" i="2"/>
  <c r="I164" i="9"/>
  <c r="H164" i="9"/>
  <c r="E164" i="9"/>
  <c r="U164" i="9"/>
  <c r="Q164" i="9"/>
  <c r="G164" i="9" s="1"/>
  <c r="N164" i="9"/>
  <c r="V164" i="9"/>
  <c r="M164" i="9"/>
  <c r="O164" i="9"/>
  <c r="X210" i="2" l="1"/>
  <c r="J210" i="2"/>
  <c r="V210" i="2" s="1"/>
  <c r="F164" i="9"/>
  <c r="T164" i="9" s="1"/>
  <c r="K164" i="9"/>
  <c r="S164" i="9" s="1"/>
  <c r="Z164" i="9"/>
  <c r="AA164" i="9"/>
  <c r="R211" i="2" l="1"/>
  <c r="B211" i="2"/>
  <c r="AM210" i="2"/>
  <c r="AB164" i="9"/>
  <c r="X164" i="9" s="1"/>
  <c r="D165" i="9"/>
  <c r="J165" i="9" s="1"/>
  <c r="C165" i="9"/>
  <c r="AL211" i="2" l="1"/>
  <c r="N211" i="2"/>
  <c r="C211" i="2"/>
  <c r="L211" i="2"/>
  <c r="T211" i="2"/>
  <c r="F211" i="2" s="1"/>
  <c r="H211" i="2" s="1"/>
  <c r="AS211" i="2"/>
  <c r="J211" i="2"/>
  <c r="R165" i="9"/>
  <c r="M165" i="9"/>
  <c r="E165" i="9"/>
  <c r="Q165" i="9"/>
  <c r="G165" i="9" s="1"/>
  <c r="K165" i="9" s="1"/>
  <c r="N165" i="9"/>
  <c r="V165" i="9"/>
  <c r="U165" i="9"/>
  <c r="O165" i="9"/>
  <c r="I165" i="9"/>
  <c r="H165" i="9"/>
  <c r="D211" i="2" l="1"/>
  <c r="V211" i="2" s="1"/>
  <c r="X211" i="2"/>
  <c r="B212" i="2" s="1"/>
  <c r="AM211" i="2"/>
  <c r="S165" i="9"/>
  <c r="Z165" i="9"/>
  <c r="AA165" i="9"/>
  <c r="F165" i="9"/>
  <c r="T165" i="9" s="1"/>
  <c r="C212" i="2" l="1"/>
  <c r="AS212" i="2" s="1"/>
  <c r="N212" i="2"/>
  <c r="AL212" i="2"/>
  <c r="T212" i="2"/>
  <c r="F212" i="2" s="1"/>
  <c r="H212" i="2" s="1"/>
  <c r="J212" i="2"/>
  <c r="L212" i="2"/>
  <c r="D166" i="9"/>
  <c r="J166" i="9" s="1"/>
  <c r="C166" i="9"/>
  <c r="AB165" i="9"/>
  <c r="X165" i="9" s="1"/>
  <c r="D212" i="2" l="1"/>
  <c r="V212" i="2" s="1"/>
  <c r="AM212" i="2"/>
  <c r="X212" i="2"/>
  <c r="E166" i="9"/>
  <c r="U166" i="9"/>
  <c r="I166" i="9"/>
  <c r="M166" i="9"/>
  <c r="Q166" i="9"/>
  <c r="G166" i="9" s="1"/>
  <c r="K166" i="9" s="1"/>
  <c r="H166" i="9"/>
  <c r="O166" i="9"/>
  <c r="N166" i="9"/>
  <c r="V166" i="9"/>
  <c r="R213" i="2" l="1"/>
  <c r="B213" i="2"/>
  <c r="S166" i="9"/>
  <c r="Z166" i="9"/>
  <c r="AA166" i="9"/>
  <c r="F166" i="9"/>
  <c r="T166" i="9" s="1"/>
  <c r="N213" i="2" l="1"/>
  <c r="AL213" i="2"/>
  <c r="C213" i="2"/>
  <c r="T213" i="2"/>
  <c r="F213" i="2" s="1"/>
  <c r="H213" i="2" s="1"/>
  <c r="AS213" i="2"/>
  <c r="L213" i="2"/>
  <c r="AB166" i="9"/>
  <c r="X166" i="9" s="1"/>
  <c r="D167" i="9"/>
  <c r="J167" i="9" s="1"/>
  <c r="C167" i="9"/>
  <c r="D213" i="2" l="1"/>
  <c r="J213" i="2"/>
  <c r="V213" i="2" s="1"/>
  <c r="X213" i="2"/>
  <c r="B214" i="2" s="1"/>
  <c r="Q167" i="9"/>
  <c r="G167" i="9" s="1"/>
  <c r="K167" i="9" s="1"/>
  <c r="M167" i="9"/>
  <c r="I167" i="9"/>
  <c r="V167" i="9"/>
  <c r="H167" i="9"/>
  <c r="U167" i="9"/>
  <c r="O167" i="9"/>
  <c r="E167" i="9"/>
  <c r="N167" i="9"/>
  <c r="F167" i="9" l="1"/>
  <c r="T167" i="9" s="1"/>
  <c r="N214" i="2"/>
  <c r="AL214" i="2"/>
  <c r="C214" i="2"/>
  <c r="AS214" i="2" s="1"/>
  <c r="L214" i="2"/>
  <c r="T214" i="2"/>
  <c r="F214" i="2" s="1"/>
  <c r="H214" i="2" s="1"/>
  <c r="AM213" i="2"/>
  <c r="D168" i="9"/>
  <c r="J168" i="9" s="1"/>
  <c r="C168" i="9"/>
  <c r="S167" i="9"/>
  <c r="Z167" i="9"/>
  <c r="AA167" i="9"/>
  <c r="J214" i="2" l="1"/>
  <c r="AM214" i="2"/>
  <c r="D214" i="2"/>
  <c r="V214" i="2" s="1"/>
  <c r="AB167" i="9"/>
  <c r="X167" i="9" s="1"/>
  <c r="Q168" i="9"/>
  <c r="G168" i="9" s="1"/>
  <c r="K168" i="9" s="1"/>
  <c r="N168" i="9"/>
  <c r="H168" i="9"/>
  <c r="I168" i="9"/>
  <c r="V168" i="9"/>
  <c r="M168" i="9"/>
  <c r="Z168" i="9" s="1"/>
  <c r="E168" i="9"/>
  <c r="O168" i="9"/>
  <c r="U168" i="9"/>
  <c r="X214" i="2" l="1"/>
  <c r="S168" i="9"/>
  <c r="F168" i="9"/>
  <c r="T168" i="9" s="1"/>
  <c r="AA168" i="9"/>
  <c r="R215" i="2" l="1"/>
  <c r="B215" i="2"/>
  <c r="AB168" i="9"/>
  <c r="X168" i="9" s="1"/>
  <c r="D169" i="9"/>
  <c r="J169" i="9" s="1"/>
  <c r="C169" i="9"/>
  <c r="AL215" i="2" l="1"/>
  <c r="C215" i="2"/>
  <c r="N215" i="2"/>
  <c r="T215" i="2"/>
  <c r="F215" i="2" s="1"/>
  <c r="H215" i="2" s="1"/>
  <c r="J215" i="2"/>
  <c r="AS215" i="2"/>
  <c r="N169" i="9"/>
  <c r="M169" i="9"/>
  <c r="E169" i="9"/>
  <c r="I169" i="9"/>
  <c r="U169" i="9"/>
  <c r="O169" i="9"/>
  <c r="Q169" i="9"/>
  <c r="G169" i="9" s="1"/>
  <c r="V169" i="9"/>
  <c r="H169" i="9"/>
  <c r="D215" i="2" l="1"/>
  <c r="AM215" i="2"/>
  <c r="L215" i="2"/>
  <c r="V215" i="2" s="1"/>
  <c r="X215" i="2"/>
  <c r="B216" i="2" s="1"/>
  <c r="F169" i="9"/>
  <c r="T169" i="9" s="1"/>
  <c r="K169" i="9"/>
  <c r="S169" i="9" s="1"/>
  <c r="Z169" i="9"/>
  <c r="AA169" i="9"/>
  <c r="AL216" i="2" l="1"/>
  <c r="AS216" i="2"/>
  <c r="C216" i="2"/>
  <c r="N216" i="2"/>
  <c r="T216" i="2"/>
  <c r="F216" i="2" s="1"/>
  <c r="L216" i="2"/>
  <c r="AB169" i="9"/>
  <c r="X169" i="9" s="1"/>
  <c r="D170" i="9"/>
  <c r="J170" i="9" s="1"/>
  <c r="C170" i="9"/>
  <c r="H216" i="2" l="1"/>
  <c r="D216" i="2"/>
  <c r="J216" i="2"/>
  <c r="X216" i="2"/>
  <c r="AM216" i="2"/>
  <c r="V170" i="9"/>
  <c r="U170" i="9"/>
  <c r="H170" i="9"/>
  <c r="O170" i="9"/>
  <c r="M170" i="9"/>
  <c r="Q170" i="9"/>
  <c r="G170" i="9" s="1"/>
  <c r="I170" i="9"/>
  <c r="N170" i="9"/>
  <c r="E170" i="9"/>
  <c r="V216" i="2" l="1"/>
  <c r="R217" i="2"/>
  <c r="B217" i="2"/>
  <c r="F170" i="9"/>
  <c r="T170" i="9" s="1"/>
  <c r="K170" i="9"/>
  <c r="S170" i="9" s="1"/>
  <c r="Z170" i="9"/>
  <c r="AA170" i="9"/>
  <c r="N217" i="2" l="1"/>
  <c r="AL217" i="2"/>
  <c r="C217" i="2"/>
  <c r="L217" i="2"/>
  <c r="T217" i="2"/>
  <c r="F217" i="2" s="1"/>
  <c r="H217" i="2" s="1"/>
  <c r="AS217" i="2"/>
  <c r="J217" i="2"/>
  <c r="AB170" i="9"/>
  <c r="X170" i="9" s="1"/>
  <c r="D171" i="9"/>
  <c r="J171" i="9" s="1"/>
  <c r="C171" i="9"/>
  <c r="D217" i="2" l="1"/>
  <c r="V217" i="2"/>
  <c r="AM217" i="2"/>
  <c r="X217" i="2"/>
  <c r="B218" i="2" s="1"/>
  <c r="I171" i="9"/>
  <c r="Q171" i="9"/>
  <c r="G171" i="9" s="1"/>
  <c r="K171" i="9" s="1"/>
  <c r="M171" i="9"/>
  <c r="V171" i="9"/>
  <c r="O171" i="9"/>
  <c r="H171" i="9"/>
  <c r="U171" i="9"/>
  <c r="N171" i="9"/>
  <c r="E171" i="9"/>
  <c r="T218" i="2" l="1"/>
  <c r="F218" i="2" s="1"/>
  <c r="H218" i="2" s="1"/>
  <c r="AL218" i="2"/>
  <c r="D218" i="2" s="1"/>
  <c r="N218" i="2"/>
  <c r="C218" i="2"/>
  <c r="L218" i="2"/>
  <c r="AS218" i="2"/>
  <c r="S171" i="9"/>
  <c r="Z171" i="9"/>
  <c r="AA171" i="9"/>
  <c r="F171" i="9"/>
  <c r="T171" i="9" s="1"/>
  <c r="X218" i="2" l="1"/>
  <c r="J218" i="2"/>
  <c r="V218" i="2" s="1"/>
  <c r="D172" i="9"/>
  <c r="J172" i="9" s="1"/>
  <c r="C172" i="9"/>
  <c r="AB171" i="9"/>
  <c r="X171" i="9" s="1"/>
  <c r="AM218" i="2" l="1"/>
  <c r="R219" i="2"/>
  <c r="B219" i="2"/>
  <c r="I172" i="9"/>
  <c r="U172" i="9"/>
  <c r="O172" i="9"/>
  <c r="M172" i="9"/>
  <c r="V172" i="9"/>
  <c r="H172" i="9"/>
  <c r="E172" i="9"/>
  <c r="Q172" i="9"/>
  <c r="G172" i="9" s="1"/>
  <c r="K172" i="9" s="1"/>
  <c r="N172" i="9"/>
  <c r="T219" i="2" l="1"/>
  <c r="F219" i="2" s="1"/>
  <c r="H219" i="2" s="1"/>
  <c r="AL219" i="2"/>
  <c r="D219" i="2" s="1"/>
  <c r="C219" i="2"/>
  <c r="N219" i="2"/>
  <c r="S172" i="9"/>
  <c r="Z172" i="9"/>
  <c r="AA172" i="9"/>
  <c r="F172" i="9"/>
  <c r="T172" i="9" s="1"/>
  <c r="J219" i="2" l="1"/>
  <c r="AS219" i="2"/>
  <c r="L219" i="2"/>
  <c r="V219" i="2" s="1"/>
  <c r="X219" i="2"/>
  <c r="B220" i="2" s="1"/>
  <c r="AM219" i="2"/>
  <c r="D173" i="9"/>
  <c r="J173" i="9" s="1"/>
  <c r="C173" i="9"/>
  <c r="AB172" i="9"/>
  <c r="X172" i="9" s="1"/>
  <c r="U220" i="2" l="1"/>
  <c r="AL220" i="2"/>
  <c r="N220" i="2"/>
  <c r="T220" i="2"/>
  <c r="F220" i="2" s="1"/>
  <c r="H220" i="2" s="1"/>
  <c r="C220" i="2"/>
  <c r="J220" i="2" s="1"/>
  <c r="E173" i="9"/>
  <c r="V173" i="9"/>
  <c r="M173" i="9"/>
  <c r="I173" i="9"/>
  <c r="H173" i="9"/>
  <c r="U173" i="9"/>
  <c r="O173" i="9"/>
  <c r="Q173" i="9"/>
  <c r="G173" i="9" s="1"/>
  <c r="K173" i="9" s="1"/>
  <c r="N173" i="9"/>
  <c r="L220" i="2" l="1"/>
  <c r="V220" i="2" s="1"/>
  <c r="D220" i="2"/>
  <c r="X220" i="2" s="1"/>
  <c r="R221" i="2" s="1"/>
  <c r="AS220" i="2"/>
  <c r="AM220" i="2" s="1"/>
  <c r="S173" i="9"/>
  <c r="Z173" i="9"/>
  <c r="AA173" i="9"/>
  <c r="F173" i="9"/>
  <c r="T173" i="9" s="1"/>
  <c r="B221" i="2" l="1"/>
  <c r="AS221" i="2" s="1"/>
  <c r="AB173" i="9"/>
  <c r="X173" i="9" s="1"/>
  <c r="D174" i="9"/>
  <c r="J174" i="9" s="1"/>
  <c r="C174" i="9"/>
  <c r="H221" i="2"/>
  <c r="D221" i="2" l="1"/>
  <c r="L221" i="2"/>
  <c r="AL221" i="2"/>
  <c r="T221" i="2"/>
  <c r="F221" i="2" s="1"/>
  <c r="N221" i="2"/>
  <c r="C221" i="2"/>
  <c r="J221" i="2" s="1"/>
  <c r="V221" i="2"/>
  <c r="I174" i="9"/>
  <c r="V174" i="9"/>
  <c r="M174" i="9"/>
  <c r="U174" i="9"/>
  <c r="O174" i="9"/>
  <c r="E174" i="9"/>
  <c r="Q174" i="9"/>
  <c r="G174" i="9" s="1"/>
  <c r="N174" i="9"/>
  <c r="H174" i="9"/>
  <c r="X221" i="2" l="1"/>
  <c r="B222" i="2" s="1"/>
  <c r="D222" i="2" s="1"/>
  <c r="AM221" i="2"/>
  <c r="H222" i="2"/>
  <c r="Z174" i="9"/>
  <c r="AA174" i="9"/>
  <c r="F174" i="9"/>
  <c r="T174" i="9" s="1"/>
  <c r="K174" i="9"/>
  <c r="S174" i="9" s="1"/>
  <c r="C222" i="2" l="1"/>
  <c r="AS222" i="2"/>
  <c r="L222" i="2"/>
  <c r="T222" i="2"/>
  <c r="F222" i="2" s="1"/>
  <c r="N222" i="2"/>
  <c r="AL222" i="2"/>
  <c r="AB174" i="9"/>
  <c r="X174" i="9" s="1"/>
  <c r="V222" i="2"/>
  <c r="D175" i="9"/>
  <c r="J175" i="9" s="1"/>
  <c r="C175" i="9"/>
  <c r="J222" i="2" l="1"/>
  <c r="AM222" i="2"/>
  <c r="X222" i="2"/>
  <c r="E175" i="9"/>
  <c r="N175" i="9"/>
  <c r="O175" i="9"/>
  <c r="I175" i="9"/>
  <c r="Q175" i="9"/>
  <c r="G175" i="9" s="1"/>
  <c r="V175" i="9"/>
  <c r="U175" i="9"/>
  <c r="M175" i="9"/>
  <c r="H175" i="9"/>
  <c r="B223" i="2" l="1"/>
  <c r="D223" i="2" s="1"/>
  <c r="R223" i="2"/>
  <c r="K175" i="9"/>
  <c r="S175" i="9" s="1"/>
  <c r="F175" i="9"/>
  <c r="T175" i="9" s="1"/>
  <c r="H223" i="2"/>
  <c r="Z175" i="9"/>
  <c r="AA175" i="9"/>
  <c r="AS223" i="2" l="1"/>
  <c r="L223" i="2"/>
  <c r="C223" i="2"/>
  <c r="T223" i="2"/>
  <c r="F223" i="2" s="1"/>
  <c r="J223" i="2"/>
  <c r="AL223" i="2"/>
  <c r="N223" i="2"/>
  <c r="AB175" i="9"/>
  <c r="X175" i="9" s="1"/>
  <c r="V223" i="2"/>
  <c r="D176" i="9"/>
  <c r="J176" i="9" s="1"/>
  <c r="C176" i="9"/>
  <c r="AM223" i="2" l="1"/>
  <c r="X223" i="2"/>
  <c r="B224" i="2" s="1"/>
  <c r="D224" i="2" s="1"/>
  <c r="N176" i="9"/>
  <c r="M176" i="9"/>
  <c r="O176" i="9"/>
  <c r="I176" i="9"/>
  <c r="V176" i="9"/>
  <c r="E176" i="9"/>
  <c r="H176" i="9"/>
  <c r="U176" i="9"/>
  <c r="Q176" i="9"/>
  <c r="G176" i="9" s="1"/>
  <c r="K176" i="9" s="1"/>
  <c r="J224" i="2" l="1"/>
  <c r="AS224" i="2"/>
  <c r="N224" i="2"/>
  <c r="AL224" i="2"/>
  <c r="T224" i="2"/>
  <c r="F224" i="2" s="1"/>
  <c r="H224" i="2" s="1"/>
  <c r="C224" i="2"/>
  <c r="L224" i="2" s="1"/>
  <c r="F176" i="9"/>
  <c r="T176" i="9" s="1"/>
  <c r="S176" i="9"/>
  <c r="Z176" i="9"/>
  <c r="AA176" i="9"/>
  <c r="V224" i="2"/>
  <c r="AM224" i="2" l="1"/>
  <c r="X224" i="2"/>
  <c r="AB176" i="9"/>
  <c r="X176" i="9" s="1"/>
  <c r="D177" i="9"/>
  <c r="J177" i="9" s="1"/>
  <c r="C177" i="9"/>
  <c r="R225" i="2" l="1"/>
  <c r="B225" i="2"/>
  <c r="L225" i="2" s="1"/>
  <c r="R177" i="9"/>
  <c r="E177" i="9"/>
  <c r="I177" i="9"/>
  <c r="Q177" i="9"/>
  <c r="G177" i="9" s="1"/>
  <c r="K177" i="9" s="1"/>
  <c r="M177" i="9"/>
  <c r="H177" i="9"/>
  <c r="V177" i="9"/>
  <c r="N177" i="9"/>
  <c r="U177" i="9"/>
  <c r="O177" i="9"/>
  <c r="AS225" i="2" l="1"/>
  <c r="D225" i="2"/>
  <c r="AL225" i="2"/>
  <c r="T225" i="2"/>
  <c r="F225" i="2" s="1"/>
  <c r="H225" i="2" s="1"/>
  <c r="C225" i="2"/>
  <c r="J225" i="2" s="1"/>
  <c r="N225" i="2"/>
  <c r="S177" i="9"/>
  <c r="F177" i="9"/>
  <c r="T177" i="9" s="1"/>
  <c r="D178" i="9" s="1"/>
  <c r="J178" i="9" s="1"/>
  <c r="V225" i="2"/>
  <c r="Z177" i="9"/>
  <c r="AA177" i="9"/>
  <c r="X225" i="2" l="1"/>
  <c r="B226" i="2" s="1"/>
  <c r="C226" i="2" s="1"/>
  <c r="J226" i="2" s="1"/>
  <c r="AM225" i="2"/>
  <c r="C178" i="9"/>
  <c r="O178" i="9" s="1"/>
  <c r="AB177" i="9"/>
  <c r="X177" i="9" s="1"/>
  <c r="N226" i="2" l="1"/>
  <c r="AL226" i="2"/>
  <c r="T226" i="2"/>
  <c r="F226" i="2" s="1"/>
  <c r="H226" i="2" s="1"/>
  <c r="AS226" i="2"/>
  <c r="Q178" i="9"/>
  <c r="G178" i="9" s="1"/>
  <c r="K178" i="9" s="1"/>
  <c r="L226" i="2"/>
  <c r="U178" i="9"/>
  <c r="E178" i="9"/>
  <c r="H178" i="9"/>
  <c r="I178" i="9"/>
  <c r="V178" i="9"/>
  <c r="N178" i="9"/>
  <c r="M178" i="9"/>
  <c r="Z178" i="9" s="1"/>
  <c r="D226" i="2"/>
  <c r="X226" i="2"/>
  <c r="AM226" i="2"/>
  <c r="AA178" i="9" l="1"/>
  <c r="AB178" i="9" s="1"/>
  <c r="X178" i="9" s="1"/>
  <c r="S178" i="9"/>
  <c r="V226" i="2"/>
  <c r="F178" i="9"/>
  <c r="T178" i="9" s="1"/>
  <c r="C179" i="9" s="1"/>
  <c r="R227" i="2"/>
  <c r="B227" i="2"/>
  <c r="D179" i="9" l="1"/>
  <c r="J179" i="9" s="1"/>
  <c r="Q179" i="9"/>
  <c r="G179" i="9" s="1"/>
  <c r="K179" i="9" s="1"/>
  <c r="M179" i="9"/>
  <c r="V179" i="9"/>
  <c r="H179" i="9"/>
  <c r="I179" i="9"/>
  <c r="N179" i="9"/>
  <c r="O179" i="9"/>
  <c r="E179" i="9"/>
  <c r="U179" i="9"/>
  <c r="AL227" i="2"/>
  <c r="N227" i="2"/>
  <c r="T227" i="2"/>
  <c r="F227" i="2" s="1"/>
  <c r="H227" i="2" s="1"/>
  <c r="C227" i="2"/>
  <c r="AS227" i="2" s="1"/>
  <c r="L227" i="2"/>
  <c r="J227" i="2" l="1"/>
  <c r="S179" i="9"/>
  <c r="F179" i="9"/>
  <c r="T179" i="9" s="1"/>
  <c r="Z179" i="9"/>
  <c r="AA179" i="9"/>
  <c r="D227" i="2"/>
  <c r="V227" i="2" s="1"/>
  <c r="AM227" i="2"/>
  <c r="AB179" i="9" l="1"/>
  <c r="X179" i="9" s="1"/>
  <c r="X227" i="2"/>
  <c r="B228" i="2" s="1"/>
  <c r="AL228" i="2" s="1"/>
  <c r="D180" i="9"/>
  <c r="J180" i="9" s="1"/>
  <c r="C180" i="9"/>
  <c r="AS228" i="2" l="1"/>
  <c r="C228" i="2"/>
  <c r="L228" i="2"/>
  <c r="J228" i="2"/>
  <c r="N228" i="2"/>
  <c r="U180" i="9"/>
  <c r="I180" i="9"/>
  <c r="Q180" i="9"/>
  <c r="G180" i="9" s="1"/>
  <c r="K180" i="9" s="1"/>
  <c r="V180" i="9"/>
  <c r="M180" i="9"/>
  <c r="O180" i="9"/>
  <c r="H180" i="9"/>
  <c r="N180" i="9"/>
  <c r="E180" i="9"/>
  <c r="T228" i="2"/>
  <c r="F228" i="2" s="1"/>
  <c r="H228" i="2" s="1"/>
  <c r="AM228" i="2" l="1"/>
  <c r="S180" i="9"/>
  <c r="Z180" i="9"/>
  <c r="AA180" i="9"/>
  <c r="F180" i="9"/>
  <c r="T180" i="9" s="1"/>
  <c r="D228" i="2"/>
  <c r="V228" i="2" l="1"/>
  <c r="X228" i="2"/>
  <c r="AB180" i="9"/>
  <c r="X180" i="9" s="1"/>
  <c r="D181" i="9"/>
  <c r="J181" i="9" s="1"/>
  <c r="C181" i="9"/>
  <c r="N181" i="9" l="1"/>
  <c r="U181" i="9"/>
  <c r="I181" i="9"/>
  <c r="V181" i="9"/>
  <c r="Q181" i="9"/>
  <c r="G181" i="9" s="1"/>
  <c r="K181" i="9" s="1"/>
  <c r="M181" i="9"/>
  <c r="E181" i="9"/>
  <c r="O181" i="9"/>
  <c r="H181" i="9"/>
  <c r="R229" i="2"/>
  <c r="B229" i="2"/>
  <c r="Z181" i="9" l="1"/>
  <c r="AA181" i="9"/>
  <c r="T229" i="2"/>
  <c r="F229" i="2" s="1"/>
  <c r="H229" i="2" s="1"/>
  <c r="AL229" i="2"/>
  <c r="D229" i="2" s="1"/>
  <c r="C229" i="2"/>
  <c r="J229" i="2" s="1"/>
  <c r="N229" i="2"/>
  <c r="AS229" i="2"/>
  <c r="S181" i="9"/>
  <c r="F181" i="9"/>
  <c r="T181" i="9" s="1"/>
  <c r="L229" i="2"/>
  <c r="X229" i="2" l="1"/>
  <c r="B230" i="2" s="1"/>
  <c r="AM229" i="2"/>
  <c r="D182" i="9"/>
  <c r="J182" i="9" s="1"/>
  <c r="C182" i="9"/>
  <c r="AB181" i="9"/>
  <c r="X181" i="9" s="1"/>
  <c r="V229" i="2"/>
  <c r="M182" i="9" l="1"/>
  <c r="N182" i="9"/>
  <c r="E182" i="9"/>
  <c r="H182" i="9"/>
  <c r="O182" i="9"/>
  <c r="V182" i="9"/>
  <c r="U182" i="9"/>
  <c r="Q182" i="9"/>
  <c r="G182" i="9" s="1"/>
  <c r="K182" i="9" s="1"/>
  <c r="I182" i="9"/>
  <c r="T230" i="2"/>
  <c r="F230" i="2" s="1"/>
  <c r="H230" i="2" s="1"/>
  <c r="C230" i="2"/>
  <c r="J230" i="2" s="1"/>
  <c r="AL230" i="2"/>
  <c r="D230" i="2" s="1"/>
  <c r="N230" i="2"/>
  <c r="L230" i="2"/>
  <c r="AS230" i="2" l="1"/>
  <c r="S182" i="9"/>
  <c r="V230" i="2"/>
  <c r="AM230" i="2"/>
  <c r="X230" i="2"/>
  <c r="R231" i="2" s="1"/>
  <c r="F182" i="9"/>
  <c r="T182" i="9" s="1"/>
  <c r="Z182" i="9"/>
  <c r="AA182" i="9"/>
  <c r="B231" i="2" l="1"/>
  <c r="AL231" i="2" s="1"/>
  <c r="D183" i="9"/>
  <c r="J183" i="9" s="1"/>
  <c r="C183" i="9"/>
  <c r="AB182" i="9"/>
  <c r="X182" i="9" s="1"/>
  <c r="C231" i="2" l="1"/>
  <c r="L231" i="2" s="1"/>
  <c r="T231" i="2"/>
  <c r="F231" i="2" s="1"/>
  <c r="H231" i="2" s="1"/>
  <c r="N231" i="2"/>
  <c r="Q183" i="9"/>
  <c r="G183" i="9" s="1"/>
  <c r="K183" i="9" s="1"/>
  <c r="S183" i="9" s="1"/>
  <c r="E183" i="9"/>
  <c r="I183" i="9"/>
  <c r="N183" i="9"/>
  <c r="O183" i="9"/>
  <c r="M183" i="9"/>
  <c r="H183" i="9"/>
  <c r="V183" i="9"/>
  <c r="U183" i="9"/>
  <c r="AS231" i="2" l="1"/>
  <c r="AM231" i="2" s="1"/>
  <c r="J231" i="2"/>
  <c r="D231" i="2"/>
  <c r="X231" i="2" s="1"/>
  <c r="B232" i="2" s="1"/>
  <c r="T232" i="2" s="1"/>
  <c r="F232" i="2" s="1"/>
  <c r="H232" i="2" s="1"/>
  <c r="F183" i="9"/>
  <c r="T183" i="9" s="1"/>
  <c r="Z183" i="9"/>
  <c r="AA183" i="9"/>
  <c r="AL232" i="2" l="1"/>
  <c r="U232" i="2"/>
  <c r="N232" i="2"/>
  <c r="V231" i="2"/>
  <c r="C232" i="2"/>
  <c r="J232" i="2" s="1"/>
  <c r="AB183" i="9"/>
  <c r="X183" i="9" s="1"/>
  <c r="D232" i="2"/>
  <c r="D184" i="9"/>
  <c r="J184" i="9" s="1"/>
  <c r="C184" i="9"/>
  <c r="L232" i="2" l="1"/>
  <c r="AS232" i="2"/>
  <c r="AM232" i="2" s="1"/>
  <c r="X232" i="2"/>
  <c r="R233" i="2" s="1"/>
  <c r="V232" i="2"/>
  <c r="H184" i="9"/>
  <c r="E184" i="9"/>
  <c r="U184" i="9"/>
  <c r="Q184" i="9"/>
  <c r="G184" i="9" s="1"/>
  <c r="K184" i="9" s="1"/>
  <c r="I184" i="9"/>
  <c r="M184" i="9"/>
  <c r="O184" i="9"/>
  <c r="V184" i="9"/>
  <c r="N184" i="9"/>
  <c r="B233" i="2" l="1"/>
  <c r="C233" i="2" s="1"/>
  <c r="Z184" i="9"/>
  <c r="AA184" i="9"/>
  <c r="F184" i="9"/>
  <c r="T184" i="9" s="1"/>
  <c r="S184" i="9"/>
  <c r="L233" i="2" l="1"/>
  <c r="AS233" i="2"/>
  <c r="T233" i="2"/>
  <c r="F233" i="2" s="1"/>
  <c r="N233" i="2"/>
  <c r="AL233" i="2"/>
  <c r="D233" i="2" s="1"/>
  <c r="X233" i="2" s="1"/>
  <c r="B234" i="2" s="1"/>
  <c r="H233" i="2"/>
  <c r="D185" i="9"/>
  <c r="J185" i="9" s="1"/>
  <c r="C185" i="9"/>
  <c r="AB184" i="9"/>
  <c r="X184" i="9" s="1"/>
  <c r="J233" i="2"/>
  <c r="V233" i="2" l="1"/>
  <c r="I185" i="9"/>
  <c r="M185" i="9"/>
  <c r="E185" i="9"/>
  <c r="O185" i="9"/>
  <c r="U185" i="9"/>
  <c r="N185" i="9"/>
  <c r="H185" i="9"/>
  <c r="V185" i="9"/>
  <c r="Q185" i="9"/>
  <c r="G185" i="9" s="1"/>
  <c r="K185" i="9" s="1"/>
  <c r="N234" i="2"/>
  <c r="AL234" i="2"/>
  <c r="L234" i="2"/>
  <c r="C234" i="2"/>
  <c r="J234" i="2"/>
  <c r="AS234" i="2"/>
  <c r="T234" i="2"/>
  <c r="F234" i="2" s="1"/>
  <c r="H234" i="2" s="1"/>
  <c r="AM233" i="2"/>
  <c r="D234" i="2" l="1"/>
  <c r="V234" i="2" s="1"/>
  <c r="F185" i="9"/>
  <c r="T185" i="9" s="1"/>
  <c r="Z185" i="9"/>
  <c r="AA185" i="9"/>
  <c r="S185" i="9"/>
  <c r="AM234" i="2"/>
  <c r="X234" i="2" l="1"/>
  <c r="B235" i="2" s="1"/>
  <c r="AB185" i="9"/>
  <c r="X185" i="9" s="1"/>
  <c r="D186" i="9"/>
  <c r="J186" i="9" s="1"/>
  <c r="C186" i="9"/>
  <c r="R235" i="2" l="1"/>
  <c r="Q186" i="9"/>
  <c r="G186" i="9" s="1"/>
  <c r="K186" i="9" s="1"/>
  <c r="U186" i="9"/>
  <c r="V186" i="9"/>
  <c r="O186" i="9"/>
  <c r="H186" i="9"/>
  <c r="E186" i="9"/>
  <c r="M186" i="9"/>
  <c r="I186" i="9"/>
  <c r="N186" i="9"/>
  <c r="AL235" i="2"/>
  <c r="N235" i="2"/>
  <c r="C235" i="2"/>
  <c r="T235" i="2"/>
  <c r="F235" i="2" s="1"/>
  <c r="H235" i="2" s="1"/>
  <c r="D235" i="2" l="1"/>
  <c r="X235" i="2" s="1"/>
  <c r="B236" i="2" s="1"/>
  <c r="Z186" i="9"/>
  <c r="AA186" i="9"/>
  <c r="F186" i="9"/>
  <c r="T186" i="9" s="1"/>
  <c r="S186" i="9"/>
  <c r="L235" i="2"/>
  <c r="J235" i="2"/>
  <c r="AS235" i="2"/>
  <c r="V235" i="2" l="1"/>
  <c r="D187" i="9"/>
  <c r="J187" i="9" s="1"/>
  <c r="C187" i="9"/>
  <c r="AB186" i="9"/>
  <c r="X186" i="9" s="1"/>
  <c r="L236" i="2"/>
  <c r="AS236" i="2"/>
  <c r="C236" i="2"/>
  <c r="J236" i="2" s="1"/>
  <c r="N236" i="2"/>
  <c r="AL236" i="2"/>
  <c r="T236" i="2"/>
  <c r="F236" i="2" s="1"/>
  <c r="H236" i="2" s="1"/>
  <c r="AM235" i="2"/>
  <c r="E187" i="9" l="1"/>
  <c r="U187" i="9"/>
  <c r="I187" i="9"/>
  <c r="O187" i="9"/>
  <c r="N187" i="9"/>
  <c r="V187" i="9"/>
  <c r="M187" i="9"/>
  <c r="Q187" i="9"/>
  <c r="G187" i="9" s="1"/>
  <c r="H187" i="9"/>
  <c r="D236" i="2"/>
  <c r="V236" i="2" s="1"/>
  <c r="AM236" i="2"/>
  <c r="X236" i="2"/>
  <c r="Z187" i="9" l="1"/>
  <c r="AA187" i="9"/>
  <c r="F187" i="9"/>
  <c r="T187" i="9" s="1"/>
  <c r="K187" i="9"/>
  <c r="S187" i="9" s="1"/>
  <c r="R237" i="2"/>
  <c r="B237" i="2"/>
  <c r="D188" i="9" l="1"/>
  <c r="J188" i="9" s="1"/>
  <c r="C188" i="9"/>
  <c r="AB187" i="9"/>
  <c r="X187" i="9" s="1"/>
  <c r="AL237" i="2"/>
  <c r="N237" i="2"/>
  <c r="T237" i="2"/>
  <c r="F237" i="2" s="1"/>
  <c r="H237" i="2" s="1"/>
  <c r="C237" i="2"/>
  <c r="J237" i="2" s="1"/>
  <c r="H188" i="9" l="1"/>
  <c r="V188" i="9"/>
  <c r="I188" i="9"/>
  <c r="O188" i="9"/>
  <c r="N188" i="9"/>
  <c r="Q188" i="9"/>
  <c r="G188" i="9" s="1"/>
  <c r="K188" i="9" s="1"/>
  <c r="E188" i="9"/>
  <c r="U188" i="9"/>
  <c r="M188" i="9"/>
  <c r="D237" i="2"/>
  <c r="X237" i="2" s="1"/>
  <c r="B238" i="2" s="1"/>
  <c r="AS237" i="2"/>
  <c r="AM237" i="2" s="1"/>
  <c r="L237" i="2"/>
  <c r="S188" i="9" l="1"/>
  <c r="F188" i="9"/>
  <c r="T188" i="9" s="1"/>
  <c r="Z188" i="9"/>
  <c r="AA188" i="9"/>
  <c r="C238" i="2"/>
  <c r="J238" i="2" s="1"/>
  <c r="AS238" i="2"/>
  <c r="N238" i="2"/>
  <c r="AL238" i="2"/>
  <c r="T238" i="2"/>
  <c r="F238" i="2" s="1"/>
  <c r="H238" i="2" s="1"/>
  <c r="L238" i="2"/>
  <c r="V237" i="2"/>
  <c r="AB188" i="9" l="1"/>
  <c r="X188" i="9" s="1"/>
  <c r="D189" i="9"/>
  <c r="J189" i="9" s="1"/>
  <c r="C189" i="9"/>
  <c r="D238" i="2"/>
  <c r="V238" i="2" s="1"/>
  <c r="X238" i="2"/>
  <c r="AM238" i="2"/>
  <c r="V189" i="9" l="1"/>
  <c r="N189" i="9"/>
  <c r="I189" i="9"/>
  <c r="Q189" i="9"/>
  <c r="G189" i="9" s="1"/>
  <c r="K189" i="9" s="1"/>
  <c r="U189" i="9"/>
  <c r="H189" i="9"/>
  <c r="M189" i="9"/>
  <c r="R189" i="9"/>
  <c r="E189" i="9"/>
  <c r="O189" i="9"/>
  <c r="R239" i="2"/>
  <c r="B239" i="2"/>
  <c r="Z189" i="9" l="1"/>
  <c r="AA189" i="9"/>
  <c r="F189" i="9"/>
  <c r="T189" i="9" s="1"/>
  <c r="S189" i="9"/>
  <c r="L239" i="2"/>
  <c r="AL239" i="2"/>
  <c r="N239" i="2"/>
  <c r="C239" i="2"/>
  <c r="J239" i="2" s="1"/>
  <c r="AS239" i="2"/>
  <c r="T239" i="2"/>
  <c r="F239" i="2" s="1"/>
  <c r="H239" i="2" s="1"/>
  <c r="D190" i="9" l="1"/>
  <c r="J190" i="9" s="1"/>
  <c r="C190" i="9"/>
  <c r="AB189" i="9"/>
  <c r="X189" i="9" s="1"/>
  <c r="D239" i="2"/>
  <c r="V239" i="2" s="1"/>
  <c r="AM239" i="2"/>
  <c r="X239" i="2" l="1"/>
  <c r="B240" i="2" s="1"/>
  <c r="C240" i="2" s="1"/>
  <c r="N190" i="9"/>
  <c r="I190" i="9"/>
  <c r="Q190" i="9"/>
  <c r="G190" i="9" s="1"/>
  <c r="K190" i="9" s="1"/>
  <c r="U190" i="9"/>
  <c r="O190" i="9"/>
  <c r="E190" i="9"/>
  <c r="M190" i="9"/>
  <c r="V190" i="9"/>
  <c r="H190" i="9"/>
  <c r="N240" i="2" l="1"/>
  <c r="T240" i="2"/>
  <c r="F240" i="2" s="1"/>
  <c r="H240" i="2" s="1"/>
  <c r="AL240" i="2"/>
  <c r="D240" i="2" s="1"/>
  <c r="X240" i="2" s="1"/>
  <c r="J240" i="2"/>
  <c r="AS240" i="2"/>
  <c r="Z190" i="9"/>
  <c r="AA190" i="9"/>
  <c r="F190" i="9"/>
  <c r="T190" i="9" s="1"/>
  <c r="S190" i="9"/>
  <c r="L240" i="2"/>
  <c r="AM240" i="2" l="1"/>
  <c r="D191" i="9"/>
  <c r="J191" i="9" s="1"/>
  <c r="C191" i="9"/>
  <c r="AB190" i="9"/>
  <c r="X190" i="9" s="1"/>
  <c r="R241" i="2"/>
  <c r="B241" i="2"/>
  <c r="V240" i="2"/>
  <c r="U191" i="9" l="1"/>
  <c r="V191" i="9"/>
  <c r="Q191" i="9"/>
  <c r="I191" i="9"/>
  <c r="G191" i="9"/>
  <c r="K191" i="9" s="1"/>
  <c r="M191" i="9"/>
  <c r="H191" i="9"/>
  <c r="O191" i="9"/>
  <c r="E191" i="9"/>
  <c r="N191" i="9"/>
  <c r="T241" i="2"/>
  <c r="F241" i="2" s="1"/>
  <c r="C241" i="2"/>
  <c r="AL241" i="2"/>
  <c r="N241" i="2"/>
  <c r="S191" i="9" l="1"/>
  <c r="F191" i="9"/>
  <c r="T191" i="9" s="1"/>
  <c r="D241" i="2"/>
  <c r="X241" i="2" s="1"/>
  <c r="B242" i="2" s="1"/>
  <c r="H241" i="2"/>
  <c r="Z191" i="9"/>
  <c r="AA191" i="9"/>
  <c r="AS241" i="2"/>
  <c r="L241" i="2"/>
  <c r="J241" i="2"/>
  <c r="AB191" i="9" l="1"/>
  <c r="X191" i="9" s="1"/>
  <c r="V241" i="2"/>
  <c r="D192" i="9"/>
  <c r="J192" i="9" s="1"/>
  <c r="C192" i="9"/>
  <c r="AM241" i="2"/>
  <c r="L242" i="2"/>
  <c r="C242" i="2"/>
  <c r="J242" i="2" s="1"/>
  <c r="T242" i="2"/>
  <c r="F242" i="2" s="1"/>
  <c r="H242" i="2" s="1"/>
  <c r="AL242" i="2"/>
  <c r="N242" i="2"/>
  <c r="AS242" i="2"/>
  <c r="D242" i="2" l="1"/>
  <c r="V242" i="2" s="1"/>
  <c r="Q192" i="9"/>
  <c r="V192" i="9"/>
  <c r="M192" i="9"/>
  <c r="H192" i="9"/>
  <c r="E192" i="9"/>
  <c r="I192" i="9"/>
  <c r="N192" i="9"/>
  <c r="G192" i="9"/>
  <c r="K192" i="9" s="1"/>
  <c r="O192" i="9"/>
  <c r="U192" i="9"/>
  <c r="AM242" i="2"/>
  <c r="X242" i="2" l="1"/>
  <c r="B243" i="2" s="1"/>
  <c r="S192" i="9"/>
  <c r="F192" i="9"/>
  <c r="T192" i="9" s="1"/>
  <c r="Z192" i="9"/>
  <c r="AA192" i="9"/>
  <c r="R243" i="2" l="1"/>
  <c r="D193" i="9"/>
  <c r="J193" i="9" s="1"/>
  <c r="C193" i="9"/>
  <c r="AB192" i="9"/>
  <c r="X192" i="9" s="1"/>
  <c r="AL243" i="2"/>
  <c r="C243" i="2"/>
  <c r="J243" i="2" s="1"/>
  <c r="L243" i="2"/>
  <c r="N243" i="2"/>
  <c r="AS243" i="2"/>
  <c r="T243" i="2"/>
  <c r="F243" i="2" s="1"/>
  <c r="D243" i="2" l="1"/>
  <c r="X243" i="2" s="1"/>
  <c r="B244" i="2" s="1"/>
  <c r="H243" i="2"/>
  <c r="N193" i="9"/>
  <c r="M193" i="9"/>
  <c r="Q193" i="9"/>
  <c r="G193" i="9" s="1"/>
  <c r="K193" i="9" s="1"/>
  <c r="O193" i="9"/>
  <c r="E193" i="9"/>
  <c r="V193" i="9"/>
  <c r="I193" i="9"/>
  <c r="U193" i="9"/>
  <c r="H193" i="9"/>
  <c r="AM243" i="2"/>
  <c r="F193" i="9" l="1"/>
  <c r="T193" i="9" s="1"/>
  <c r="D194" i="9" s="1"/>
  <c r="J194" i="9" s="1"/>
  <c r="Z193" i="9"/>
  <c r="AA193" i="9"/>
  <c r="S193" i="9"/>
  <c r="V243" i="2"/>
  <c r="C244" i="2"/>
  <c r="AS244" i="2"/>
  <c r="T244" i="2"/>
  <c r="F244" i="2" s="1"/>
  <c r="H244" i="2" s="1"/>
  <c r="U244" i="2"/>
  <c r="L244" i="2"/>
  <c r="J244" i="2"/>
  <c r="AL244" i="2"/>
  <c r="N244" i="2"/>
  <c r="C194" i="9" l="1"/>
  <c r="N194" i="9" s="1"/>
  <c r="D244" i="2"/>
  <c r="V244" i="2" s="1"/>
  <c r="AB193" i="9"/>
  <c r="X193" i="9" s="1"/>
  <c r="Q194" i="9"/>
  <c r="G194" i="9" s="1"/>
  <c r="U194" i="9"/>
  <c r="M194" i="9"/>
  <c r="Z194" i="9" s="1"/>
  <c r="V194" i="9"/>
  <c r="O194" i="9"/>
  <c r="I194" i="9"/>
  <c r="E194" i="9"/>
  <c r="X244" i="2"/>
  <c r="AM244" i="2"/>
  <c r="H194" i="9" l="1"/>
  <c r="F194" i="9"/>
  <c r="T194" i="9" s="1"/>
  <c r="K194" i="9"/>
  <c r="AA194" i="9"/>
  <c r="R245" i="2"/>
  <c r="B245" i="2"/>
  <c r="S194" i="9" l="1"/>
  <c r="D195" i="9"/>
  <c r="J195" i="9" s="1"/>
  <c r="C195" i="9"/>
  <c r="AB194" i="9"/>
  <c r="X194" i="9" s="1"/>
  <c r="C245" i="2"/>
  <c r="J245" i="2" s="1"/>
  <c r="T245" i="2"/>
  <c r="F245" i="2" s="1"/>
  <c r="H245" i="2" s="1"/>
  <c r="AS245" i="2"/>
  <c r="N245" i="2"/>
  <c r="AL245" i="2"/>
  <c r="L245" i="2" l="1"/>
  <c r="D245" i="2"/>
  <c r="V245" i="2" s="1"/>
  <c r="Q195" i="9"/>
  <c r="G195" i="9" s="1"/>
  <c r="K195" i="9" s="1"/>
  <c r="V195" i="9"/>
  <c r="N195" i="9"/>
  <c r="E195" i="9"/>
  <c r="O195" i="9"/>
  <c r="U195" i="9"/>
  <c r="M195" i="9"/>
  <c r="H195" i="9"/>
  <c r="I195" i="9"/>
  <c r="AM245" i="2"/>
  <c r="X245" i="2"/>
  <c r="B246" i="2" s="1"/>
  <c r="S195" i="9" l="1"/>
  <c r="Z195" i="9"/>
  <c r="AA195" i="9"/>
  <c r="F195" i="9"/>
  <c r="T195" i="9" s="1"/>
  <c r="C246" i="2"/>
  <c r="N246" i="2"/>
  <c r="T246" i="2"/>
  <c r="F246" i="2" s="1"/>
  <c r="H246" i="2" s="1"/>
  <c r="AS246" i="2"/>
  <c r="AL246" i="2"/>
  <c r="L246" i="2"/>
  <c r="D246" i="2" l="1"/>
  <c r="D196" i="9"/>
  <c r="J196" i="9" s="1"/>
  <c r="C196" i="9"/>
  <c r="AB195" i="9"/>
  <c r="X195" i="9" s="1"/>
  <c r="X246" i="2"/>
  <c r="J246" i="2"/>
  <c r="V246" i="2" s="1"/>
  <c r="AM246" i="2" l="1"/>
  <c r="M196" i="9"/>
  <c r="Q196" i="9"/>
  <c r="G196" i="9" s="1"/>
  <c r="N196" i="9"/>
  <c r="V196" i="9"/>
  <c r="O196" i="9"/>
  <c r="U196" i="9"/>
  <c r="H196" i="9"/>
  <c r="E196" i="9"/>
  <c r="I196" i="9"/>
  <c r="R247" i="2"/>
  <c r="B247" i="2"/>
  <c r="F196" i="9" l="1"/>
  <c r="T196" i="9" s="1"/>
  <c r="K196" i="9"/>
  <c r="Z196" i="9"/>
  <c r="AA196" i="9"/>
  <c r="S196" i="9"/>
  <c r="L247" i="2"/>
  <c r="AL247" i="2"/>
  <c r="T247" i="2"/>
  <c r="F247" i="2" s="1"/>
  <c r="H247" i="2" s="1"/>
  <c r="C247" i="2"/>
  <c r="AS247" i="2" s="1"/>
  <c r="N247" i="2"/>
  <c r="AB196" i="9" l="1"/>
  <c r="X196" i="9" s="1"/>
  <c r="D197" i="9"/>
  <c r="J197" i="9" s="1"/>
  <c r="C197" i="9"/>
  <c r="D247" i="2"/>
  <c r="J247" i="2"/>
  <c r="AM247" i="2" s="1"/>
  <c r="V247" i="2" l="1"/>
  <c r="O197" i="9"/>
  <c r="Q197" i="9"/>
  <c r="G197" i="9" s="1"/>
  <c r="K197" i="9" s="1"/>
  <c r="M197" i="9"/>
  <c r="N197" i="9"/>
  <c r="E197" i="9"/>
  <c r="U197" i="9"/>
  <c r="I197" i="9"/>
  <c r="V197" i="9"/>
  <c r="H197" i="9"/>
  <c r="X247" i="2"/>
  <c r="B248" i="2" s="1"/>
  <c r="S197" i="9" l="1"/>
  <c r="Z197" i="9"/>
  <c r="AA197" i="9"/>
  <c r="F197" i="9"/>
  <c r="T197" i="9" s="1"/>
  <c r="N248" i="2"/>
  <c r="AS248" i="2"/>
  <c r="AL248" i="2"/>
  <c r="T248" i="2"/>
  <c r="F248" i="2" s="1"/>
  <c r="H248" i="2" s="1"/>
  <c r="C248" i="2"/>
  <c r="J248" i="2" s="1"/>
  <c r="D248" i="2" l="1"/>
  <c r="X248" i="2" s="1"/>
  <c r="AB197" i="9"/>
  <c r="X197" i="9" s="1"/>
  <c r="D198" i="9"/>
  <c r="J198" i="9" s="1"/>
  <c r="C198" i="9"/>
  <c r="AM248" i="2"/>
  <c r="L248" i="2"/>
  <c r="V248" i="2" s="1"/>
  <c r="N198" i="9" l="1"/>
  <c r="I198" i="9"/>
  <c r="O198" i="9"/>
  <c r="V198" i="9"/>
  <c r="E198" i="9"/>
  <c r="H198" i="9"/>
  <c r="U198" i="9"/>
  <c r="M198" i="9"/>
  <c r="Q198" i="9"/>
  <c r="G198" i="9" s="1"/>
  <c r="K198" i="9" s="1"/>
  <c r="R249" i="2"/>
  <c r="B249" i="2"/>
  <c r="S198" i="9" l="1"/>
  <c r="F198" i="9"/>
  <c r="T198" i="9" s="1"/>
  <c r="Z198" i="9"/>
  <c r="AA198" i="9"/>
  <c r="N249" i="2"/>
  <c r="AL249" i="2"/>
  <c r="T249" i="2"/>
  <c r="F249" i="2" s="1"/>
  <c r="C249" i="2"/>
  <c r="J249" i="2" s="1"/>
  <c r="D249" i="2" l="1"/>
  <c r="H249" i="2"/>
  <c r="AB198" i="9"/>
  <c r="X198" i="9" s="1"/>
  <c r="D199" i="9"/>
  <c r="J199" i="9" s="1"/>
  <c r="C199" i="9"/>
  <c r="AS249" i="2"/>
  <c r="AM249" i="2" s="1"/>
  <c r="X249" i="2"/>
  <c r="B250" i="2" s="1"/>
  <c r="L249" i="2"/>
  <c r="V249" i="2" s="1"/>
  <c r="I199" i="9" l="1"/>
  <c r="M199" i="9"/>
  <c r="U199" i="9"/>
  <c r="V199" i="9"/>
  <c r="N199" i="9"/>
  <c r="Q199" i="9"/>
  <c r="G199" i="9" s="1"/>
  <c r="E199" i="9"/>
  <c r="H199" i="9"/>
  <c r="O199" i="9"/>
  <c r="N250" i="2"/>
  <c r="C250" i="2"/>
  <c r="J250" i="2" s="1"/>
  <c r="T250" i="2"/>
  <c r="F250" i="2" s="1"/>
  <c r="L250" i="2"/>
  <c r="AL250" i="2"/>
  <c r="AS250" i="2"/>
  <c r="F199" i="9" l="1"/>
  <c r="T199" i="9" s="1"/>
  <c r="K199" i="9"/>
  <c r="S199" i="9" s="1"/>
  <c r="D250" i="2"/>
  <c r="H250" i="2"/>
  <c r="Z199" i="9"/>
  <c r="AA199" i="9"/>
  <c r="X250" i="2"/>
  <c r="AM250" i="2"/>
  <c r="V250" i="2" l="1"/>
  <c r="AB199" i="9"/>
  <c r="X199" i="9" s="1"/>
  <c r="D200" i="9"/>
  <c r="J200" i="9" s="1"/>
  <c r="C200" i="9"/>
  <c r="R251" i="2"/>
  <c r="B251" i="2"/>
  <c r="O200" i="9" l="1"/>
  <c r="V200" i="9"/>
  <c r="E200" i="9"/>
  <c r="M200" i="9"/>
  <c r="U200" i="9"/>
  <c r="N200" i="9"/>
  <c r="H200" i="9"/>
  <c r="Q200" i="9"/>
  <c r="G200" i="9" s="1"/>
  <c r="K200" i="9" s="1"/>
  <c r="I200" i="9"/>
  <c r="N251" i="2"/>
  <c r="C251" i="2"/>
  <c r="L251" i="2"/>
  <c r="T251" i="2"/>
  <c r="F251" i="2" s="1"/>
  <c r="H251" i="2" s="1"/>
  <c r="AL251" i="2"/>
  <c r="S200" i="9" l="1"/>
  <c r="Z200" i="9"/>
  <c r="AA200" i="9"/>
  <c r="F200" i="9"/>
  <c r="T200" i="9" s="1"/>
  <c r="D251" i="2"/>
  <c r="X251" i="2" s="1"/>
  <c r="B252" i="2" s="1"/>
  <c r="AS251" i="2"/>
  <c r="J251" i="2"/>
  <c r="AM251" i="2" l="1"/>
  <c r="D201" i="9"/>
  <c r="J201" i="9" s="1"/>
  <c r="C201" i="9"/>
  <c r="AB200" i="9"/>
  <c r="X200" i="9" s="1"/>
  <c r="T252" i="2"/>
  <c r="F252" i="2" s="1"/>
  <c r="H252" i="2" s="1"/>
  <c r="N252" i="2"/>
  <c r="C252" i="2"/>
  <c r="L252" i="2" s="1"/>
  <c r="AL252" i="2"/>
  <c r="AS252" i="2"/>
  <c r="V251" i="2"/>
  <c r="D252" i="2" l="1"/>
  <c r="M201" i="9"/>
  <c r="V201" i="9"/>
  <c r="H201" i="9"/>
  <c r="R201" i="9"/>
  <c r="N201" i="9"/>
  <c r="E201" i="9"/>
  <c r="O201" i="9"/>
  <c r="U201" i="9"/>
  <c r="I201" i="9"/>
  <c r="Q201" i="9"/>
  <c r="G201" i="9" s="1"/>
  <c r="X252" i="2"/>
  <c r="J252" i="2"/>
  <c r="V252" i="2" s="1"/>
  <c r="F201" i="9" l="1"/>
  <c r="T201" i="9" s="1"/>
  <c r="K201" i="9"/>
  <c r="S201" i="9" s="1"/>
  <c r="Z201" i="9"/>
  <c r="AA201" i="9"/>
  <c r="R253" i="2"/>
  <c r="B253" i="2"/>
  <c r="AM252" i="2"/>
  <c r="AB201" i="9" l="1"/>
  <c r="X201" i="9" s="1"/>
  <c r="D202" i="9"/>
  <c r="J202" i="9" s="1"/>
  <c r="C202" i="9"/>
  <c r="C253" i="2"/>
  <c r="J253" i="2" s="1"/>
  <c r="T253" i="2"/>
  <c r="F253" i="2" s="1"/>
  <c r="H253" i="2" s="1"/>
  <c r="AL253" i="2"/>
  <c r="D253" i="2" s="1"/>
  <c r="N253" i="2"/>
  <c r="AS253" i="2"/>
  <c r="L253" i="2"/>
  <c r="V253" i="2" l="1"/>
  <c r="M202" i="9"/>
  <c r="Q202" i="9"/>
  <c r="G202" i="9" s="1"/>
  <c r="I202" i="9"/>
  <c r="N202" i="9"/>
  <c r="V202" i="9"/>
  <c r="H202" i="9"/>
  <c r="O202" i="9"/>
  <c r="U202" i="9"/>
  <c r="E202" i="9"/>
  <c r="AM253" i="2"/>
  <c r="X253" i="2"/>
  <c r="B254" i="2" s="1"/>
  <c r="F202" i="9" l="1"/>
  <c r="T202" i="9" s="1"/>
  <c r="K202" i="9"/>
  <c r="S202" i="9" s="1"/>
  <c r="Z202" i="9"/>
  <c r="AA202" i="9"/>
  <c r="C254" i="2"/>
  <c r="J254" i="2" s="1"/>
  <c r="N254" i="2"/>
  <c r="L254" i="2"/>
  <c r="T254" i="2"/>
  <c r="F254" i="2" s="1"/>
  <c r="H254" i="2" s="1"/>
  <c r="AL254" i="2"/>
  <c r="AS254" i="2"/>
  <c r="AB202" i="9" l="1"/>
  <c r="X202" i="9" s="1"/>
  <c r="D254" i="2"/>
  <c r="V254" i="2" s="1"/>
  <c r="D203" i="9"/>
  <c r="J203" i="9" s="1"/>
  <c r="C203" i="9"/>
  <c r="X254" i="2"/>
  <c r="AM254" i="2"/>
  <c r="V203" i="9" l="1"/>
  <c r="Q203" i="9"/>
  <c r="G203" i="9" s="1"/>
  <c r="K203" i="9" s="1"/>
  <c r="I203" i="9"/>
  <c r="H203" i="9"/>
  <c r="M203" i="9"/>
  <c r="O203" i="9"/>
  <c r="U203" i="9"/>
  <c r="N203" i="9"/>
  <c r="E203" i="9"/>
  <c r="R255" i="2"/>
  <c r="B255" i="2"/>
  <c r="Z203" i="9" l="1"/>
  <c r="AA203" i="9"/>
  <c r="F203" i="9"/>
  <c r="T203" i="9" s="1"/>
  <c r="S203" i="9"/>
  <c r="AL255" i="2"/>
  <c r="C255" i="2"/>
  <c r="L255" i="2" s="1"/>
  <c r="N255" i="2"/>
  <c r="T255" i="2"/>
  <c r="F255" i="2" s="1"/>
  <c r="D204" i="9" l="1"/>
  <c r="J204" i="9" s="1"/>
  <c r="C204" i="9"/>
  <c r="D255" i="2"/>
  <c r="H255" i="2"/>
  <c r="AB203" i="9"/>
  <c r="X203" i="9" s="1"/>
  <c r="AS255" i="2"/>
  <c r="X255" i="2"/>
  <c r="B256" i="2" s="1"/>
  <c r="J255" i="2"/>
  <c r="V255" i="2" l="1"/>
  <c r="O204" i="9"/>
  <c r="I204" i="9"/>
  <c r="Q204" i="9"/>
  <c r="G204" i="9" s="1"/>
  <c r="K204" i="9" s="1"/>
  <c r="H204" i="9"/>
  <c r="E204" i="9"/>
  <c r="U204" i="9"/>
  <c r="M204" i="9"/>
  <c r="V204" i="9"/>
  <c r="N204" i="9"/>
  <c r="AM255" i="2"/>
  <c r="C256" i="2"/>
  <c r="AL256" i="2"/>
  <c r="L256" i="2"/>
  <c r="T256" i="2"/>
  <c r="F256" i="2" s="1"/>
  <c r="H256" i="2" s="1"/>
  <c r="AS256" i="2"/>
  <c r="N256" i="2"/>
  <c r="U256" i="2"/>
  <c r="Z204" i="9" l="1"/>
  <c r="AA204" i="9"/>
  <c r="S204" i="9"/>
  <c r="F204" i="9"/>
  <c r="T204" i="9" s="1"/>
  <c r="D256" i="2"/>
  <c r="X256" i="2" s="1"/>
  <c r="AM256" i="2"/>
  <c r="J256" i="2"/>
  <c r="D205" i="9" l="1"/>
  <c r="J205" i="9" s="1"/>
  <c r="C205" i="9"/>
  <c r="AB204" i="9"/>
  <c r="X204" i="9" s="1"/>
  <c r="V256" i="2"/>
  <c r="R257" i="2"/>
  <c r="B257" i="2"/>
  <c r="M205" i="9" l="1"/>
  <c r="Q205" i="9"/>
  <c r="G205" i="9" s="1"/>
  <c r="V205" i="9"/>
  <c r="U205" i="9"/>
  <c r="N205" i="9"/>
  <c r="H205" i="9"/>
  <c r="O205" i="9"/>
  <c r="E205" i="9"/>
  <c r="I205" i="9"/>
  <c r="C257" i="2"/>
  <c r="J257" i="2" s="1"/>
  <c r="AL257" i="2"/>
  <c r="T257" i="2"/>
  <c r="F257" i="2" s="1"/>
  <c r="L257" i="2"/>
  <c r="N257" i="2"/>
  <c r="AS257" i="2"/>
  <c r="D257" i="2" l="1"/>
  <c r="X257" i="2" s="1"/>
  <c r="B258" i="2" s="1"/>
  <c r="H257" i="2"/>
  <c r="F205" i="9"/>
  <c r="T205" i="9" s="1"/>
  <c r="K205" i="9"/>
  <c r="S205" i="9" s="1"/>
  <c r="Z205" i="9"/>
  <c r="AA205" i="9"/>
  <c r="AM257" i="2"/>
  <c r="AB205" i="9" l="1"/>
  <c r="X205" i="9" s="1"/>
  <c r="D206" i="9"/>
  <c r="J206" i="9" s="1"/>
  <c r="C206" i="9"/>
  <c r="V257" i="2"/>
  <c r="N258" i="2"/>
  <c r="T258" i="2"/>
  <c r="F258" i="2" s="1"/>
  <c r="H258" i="2" s="1"/>
  <c r="C258" i="2"/>
  <c r="AL258" i="2"/>
  <c r="AS258" i="2"/>
  <c r="I206" i="9" l="1"/>
  <c r="H206" i="9"/>
  <c r="N206" i="9"/>
  <c r="M206" i="9"/>
  <c r="Q206" i="9"/>
  <c r="G206" i="9" s="1"/>
  <c r="K206" i="9" s="1"/>
  <c r="E206" i="9"/>
  <c r="O206" i="9"/>
  <c r="V206" i="9"/>
  <c r="U206" i="9"/>
  <c r="D258" i="2"/>
  <c r="X258" i="2"/>
  <c r="L258" i="2"/>
  <c r="J258" i="2"/>
  <c r="V258" i="2" l="1"/>
  <c r="S206" i="9"/>
  <c r="Z206" i="9"/>
  <c r="AA206" i="9"/>
  <c r="F206" i="9"/>
  <c r="T206" i="9" s="1"/>
  <c r="R259" i="2"/>
  <c r="B259" i="2"/>
  <c r="AM258" i="2"/>
  <c r="D207" i="9" l="1"/>
  <c r="J207" i="9" s="1"/>
  <c r="C207" i="9"/>
  <c r="AB206" i="9"/>
  <c r="X206" i="9" s="1"/>
  <c r="C259" i="2"/>
  <c r="AL259" i="2"/>
  <c r="AS259" i="2"/>
  <c r="T259" i="2"/>
  <c r="F259" i="2" s="1"/>
  <c r="H259" i="2" s="1"/>
  <c r="N259" i="2"/>
  <c r="H207" i="9" l="1"/>
  <c r="M207" i="9"/>
  <c r="E207" i="9"/>
  <c r="I207" i="9"/>
  <c r="N207" i="9"/>
  <c r="O207" i="9"/>
  <c r="V207" i="9"/>
  <c r="G207" i="9"/>
  <c r="K207" i="9" s="1"/>
  <c r="Q207" i="9"/>
  <c r="U207" i="9"/>
  <c r="D259" i="2"/>
  <c r="X259" i="2" s="1"/>
  <c r="B260" i="2" s="1"/>
  <c r="L259" i="2"/>
  <c r="J259" i="2"/>
  <c r="AM259" i="2" s="1"/>
  <c r="S207" i="9" l="1"/>
  <c r="F207" i="9"/>
  <c r="T207" i="9" s="1"/>
  <c r="Z207" i="9"/>
  <c r="AA207" i="9"/>
  <c r="AL260" i="2"/>
  <c r="N260" i="2"/>
  <c r="T260" i="2"/>
  <c r="F260" i="2" s="1"/>
  <c r="H260" i="2" s="1"/>
  <c r="C260" i="2"/>
  <c r="L260" i="2" s="1"/>
  <c r="V259" i="2"/>
  <c r="AS260" i="2" l="1"/>
  <c r="D260" i="2"/>
  <c r="J260" i="2"/>
  <c r="V260" i="2"/>
  <c r="AB207" i="9"/>
  <c r="X207" i="9" s="1"/>
  <c r="D208" i="9"/>
  <c r="J208" i="9" s="1"/>
  <c r="C208" i="9"/>
  <c r="X260" i="2"/>
  <c r="AM260" i="2"/>
  <c r="M208" i="9" l="1"/>
  <c r="I208" i="9"/>
  <c r="E208" i="9"/>
  <c r="N208" i="9"/>
  <c r="Q208" i="9"/>
  <c r="G208" i="9" s="1"/>
  <c r="V208" i="9"/>
  <c r="U208" i="9"/>
  <c r="O208" i="9"/>
  <c r="H208" i="9"/>
  <c r="R261" i="2"/>
  <c r="B261" i="2"/>
  <c r="F208" i="9" l="1"/>
  <c r="T208" i="9" s="1"/>
  <c r="K208" i="9"/>
  <c r="S208" i="9" s="1"/>
  <c r="Z208" i="9"/>
  <c r="AA208" i="9"/>
  <c r="N261" i="2"/>
  <c r="AL261" i="2"/>
  <c r="C261" i="2"/>
  <c r="T261" i="2"/>
  <c r="F261" i="2" s="1"/>
  <c r="H261" i="2" s="1"/>
  <c r="AB208" i="9" l="1"/>
  <c r="X208" i="9" s="1"/>
  <c r="D209" i="9"/>
  <c r="J209" i="9" s="1"/>
  <c r="C209" i="9"/>
  <c r="D261" i="2"/>
  <c r="X261" i="2" s="1"/>
  <c r="B262" i="2" s="1"/>
  <c r="AS261" i="2"/>
  <c r="L261" i="2"/>
  <c r="J261" i="2"/>
  <c r="M209" i="9" l="1"/>
  <c r="N209" i="9"/>
  <c r="V209" i="9"/>
  <c r="U209" i="9"/>
  <c r="E209" i="9"/>
  <c r="I209" i="9"/>
  <c r="O209" i="9"/>
  <c r="H209" i="9"/>
  <c r="Q209" i="9"/>
  <c r="G209" i="9" s="1"/>
  <c r="AM261" i="2"/>
  <c r="AL262" i="2"/>
  <c r="N262" i="2"/>
  <c r="T262" i="2"/>
  <c r="F262" i="2" s="1"/>
  <c r="H262" i="2" s="1"/>
  <c r="C262" i="2"/>
  <c r="J262" i="2" s="1"/>
  <c r="V261" i="2"/>
  <c r="F209" i="9" l="1"/>
  <c r="T209" i="9" s="1"/>
  <c r="K209" i="9"/>
  <c r="S209" i="9" s="1"/>
  <c r="Z209" i="9"/>
  <c r="AA209" i="9"/>
  <c r="D262" i="2"/>
  <c r="X262" i="2" s="1"/>
  <c r="L262" i="2"/>
  <c r="AS262" i="2"/>
  <c r="AM262" i="2" s="1"/>
  <c r="D210" i="9" l="1"/>
  <c r="J210" i="9" s="1"/>
  <c r="C210" i="9"/>
  <c r="AB209" i="9"/>
  <c r="X209" i="9" s="1"/>
  <c r="R263" i="2"/>
  <c r="B263" i="2"/>
  <c r="V262" i="2"/>
  <c r="N210" i="9" l="1"/>
  <c r="I210" i="9"/>
  <c r="Q210" i="9"/>
  <c r="G210" i="9" s="1"/>
  <c r="K210" i="9" s="1"/>
  <c r="U210" i="9"/>
  <c r="V210" i="9"/>
  <c r="M210" i="9"/>
  <c r="H210" i="9"/>
  <c r="E210" i="9"/>
  <c r="O210" i="9"/>
  <c r="T263" i="2"/>
  <c r="C263" i="2"/>
  <c r="J263" i="2" s="1"/>
  <c r="N263" i="2"/>
  <c r="F263" i="2"/>
  <c r="H263" i="2" s="1"/>
  <c r="AL263" i="2"/>
  <c r="D263" i="2" s="1"/>
  <c r="Z210" i="9" l="1"/>
  <c r="AA210" i="9"/>
  <c r="S210" i="9"/>
  <c r="F210" i="9"/>
  <c r="T210" i="9" s="1"/>
  <c r="X263" i="2"/>
  <c r="B264" i="2" s="1"/>
  <c r="L263" i="2"/>
  <c r="V263" i="2" s="1"/>
  <c r="AS263" i="2"/>
  <c r="AM263" i="2" s="1"/>
  <c r="D211" i="9" l="1"/>
  <c r="J211" i="9" s="1"/>
  <c r="C211" i="9"/>
  <c r="AB210" i="9"/>
  <c r="X210" i="9" s="1"/>
  <c r="AL264" i="2"/>
  <c r="N264" i="2"/>
  <c r="C264" i="2"/>
  <c r="J264" i="2" s="1"/>
  <c r="T264" i="2"/>
  <c r="F264" i="2" s="1"/>
  <c r="H264" i="2" s="1"/>
  <c r="AS264" i="2" l="1"/>
  <c r="L264" i="2"/>
  <c r="M211" i="9"/>
  <c r="O211" i="9"/>
  <c r="Q211" i="9"/>
  <c r="G211" i="9" s="1"/>
  <c r="K211" i="9" s="1"/>
  <c r="N211" i="9"/>
  <c r="V211" i="9"/>
  <c r="I211" i="9"/>
  <c r="E211" i="9"/>
  <c r="H211" i="9"/>
  <c r="U211" i="9"/>
  <c r="D264" i="2"/>
  <c r="X264" i="2"/>
  <c r="AM264" i="2"/>
  <c r="V264" i="2" l="1"/>
  <c r="S211" i="9"/>
  <c r="F211" i="9"/>
  <c r="T211" i="9" s="1"/>
  <c r="Z211" i="9"/>
  <c r="AA211" i="9"/>
  <c r="R265" i="2"/>
  <c r="B265" i="2"/>
  <c r="AB211" i="9" l="1"/>
  <c r="X211" i="9" s="1"/>
  <c r="D212" i="9"/>
  <c r="J212" i="9" s="1"/>
  <c r="C212" i="9"/>
  <c r="N265" i="2"/>
  <c r="T265" i="2"/>
  <c r="F265" i="2" s="1"/>
  <c r="H265" i="2" s="1"/>
  <c r="AL265" i="2"/>
  <c r="L265" i="2"/>
  <c r="C265" i="2"/>
  <c r="J265" i="2" s="1"/>
  <c r="AS265" i="2" l="1"/>
  <c r="V212" i="9"/>
  <c r="U212" i="9"/>
  <c r="E212" i="9"/>
  <c r="N212" i="9"/>
  <c r="I212" i="9"/>
  <c r="H212" i="9"/>
  <c r="Q212" i="9"/>
  <c r="G212" i="9" s="1"/>
  <c r="K212" i="9" s="1"/>
  <c r="M212" i="9"/>
  <c r="O212" i="9"/>
  <c r="D265" i="2"/>
  <c r="V265" i="2" s="1"/>
  <c r="AM265" i="2"/>
  <c r="X265" i="2" l="1"/>
  <c r="B266" i="2" s="1"/>
  <c r="C266" i="2" s="1"/>
  <c r="J266" i="2" s="1"/>
  <c r="F212" i="9"/>
  <c r="T212" i="9" s="1"/>
  <c r="S212" i="9"/>
  <c r="Z212" i="9"/>
  <c r="AA212" i="9"/>
  <c r="N266" i="2" l="1"/>
  <c r="T266" i="2"/>
  <c r="F266" i="2" s="1"/>
  <c r="H266" i="2" s="1"/>
  <c r="AL266" i="2"/>
  <c r="D266" i="2"/>
  <c r="AB212" i="9"/>
  <c r="X212" i="9" s="1"/>
  <c r="D213" i="9"/>
  <c r="J213" i="9" s="1"/>
  <c r="C213" i="9"/>
  <c r="X266" i="2"/>
  <c r="AS266" i="2"/>
  <c r="AM266" i="2" s="1"/>
  <c r="L266" i="2"/>
  <c r="V266" i="2" s="1"/>
  <c r="U213" i="9" l="1"/>
  <c r="V213" i="9"/>
  <c r="I213" i="9"/>
  <c r="M213" i="9"/>
  <c r="O213" i="9"/>
  <c r="R213" i="9"/>
  <c r="E213" i="9"/>
  <c r="Q213" i="9"/>
  <c r="G213" i="9" s="1"/>
  <c r="H213" i="9"/>
  <c r="N213" i="9"/>
  <c r="R267" i="2"/>
  <c r="B267" i="2"/>
  <c r="F213" i="9" l="1"/>
  <c r="T213" i="9" s="1"/>
  <c r="K213" i="9"/>
  <c r="S213" i="9" s="1"/>
  <c r="Z213" i="9"/>
  <c r="AA213" i="9"/>
  <c r="L267" i="2"/>
  <c r="T267" i="2"/>
  <c r="F267" i="2" s="1"/>
  <c r="H267" i="2" s="1"/>
  <c r="N267" i="2"/>
  <c r="AS267" i="2"/>
  <c r="C267" i="2"/>
  <c r="J267" i="2"/>
  <c r="AL267" i="2"/>
  <c r="AB213" i="9" l="1"/>
  <c r="X213" i="9" s="1"/>
  <c r="D214" i="9"/>
  <c r="J214" i="9" s="1"/>
  <c r="C214" i="9"/>
  <c r="D267" i="2"/>
  <c r="V267" i="2" s="1"/>
  <c r="AM267" i="2"/>
  <c r="H214" i="9" l="1"/>
  <c r="N214" i="9"/>
  <c r="M214" i="9"/>
  <c r="E214" i="9"/>
  <c r="V214" i="9"/>
  <c r="O214" i="9"/>
  <c r="U214" i="9"/>
  <c r="Q214" i="9"/>
  <c r="G214" i="9" s="1"/>
  <c r="I214" i="9"/>
  <c r="X267" i="2"/>
  <c r="B268" i="2" s="1"/>
  <c r="F214" i="9" l="1"/>
  <c r="T214" i="9" s="1"/>
  <c r="K214" i="9"/>
  <c r="S214" i="9" s="1"/>
  <c r="Z214" i="9"/>
  <c r="AA214" i="9"/>
  <c r="C268" i="2"/>
  <c r="L268" i="2" s="1"/>
  <c r="U268" i="2"/>
  <c r="T268" i="2"/>
  <c r="F268" i="2" s="1"/>
  <c r="N268" i="2"/>
  <c r="AL268" i="2"/>
  <c r="AS268" i="2" l="1"/>
  <c r="AB214" i="9"/>
  <c r="X214" i="9" s="1"/>
  <c r="D268" i="2"/>
  <c r="X268" i="2" s="1"/>
  <c r="H268" i="2"/>
  <c r="D215" i="9"/>
  <c r="J215" i="9" s="1"/>
  <c r="C215" i="9"/>
  <c r="J268" i="2"/>
  <c r="V268" i="2" l="1"/>
  <c r="N215" i="9"/>
  <c r="H215" i="9"/>
  <c r="U215" i="9"/>
  <c r="E215" i="9"/>
  <c r="I215" i="9"/>
  <c r="M215" i="9"/>
  <c r="V215" i="9"/>
  <c r="Q215" i="9"/>
  <c r="G215" i="9" s="1"/>
  <c r="K215" i="9" s="1"/>
  <c r="O215" i="9"/>
  <c r="AM268" i="2"/>
  <c r="R269" i="2"/>
  <c r="B269" i="2"/>
  <c r="Z215" i="9" l="1"/>
  <c r="AA215" i="9"/>
  <c r="S215" i="9"/>
  <c r="F215" i="9"/>
  <c r="T215" i="9" s="1"/>
  <c r="N269" i="2"/>
  <c r="C269" i="2"/>
  <c r="J269" i="2" s="1"/>
  <c r="T269" i="2"/>
  <c r="F269" i="2" s="1"/>
  <c r="H269" i="2" s="1"/>
  <c r="AL269" i="2"/>
  <c r="AS269" i="2" l="1"/>
  <c r="AM269" i="2" s="1"/>
  <c r="D216" i="9"/>
  <c r="J216" i="9" s="1"/>
  <c r="C216" i="9"/>
  <c r="D269" i="2"/>
  <c r="X269" i="2" s="1"/>
  <c r="B270" i="2" s="1"/>
  <c r="AB215" i="9"/>
  <c r="X215" i="9" s="1"/>
  <c r="L269" i="2"/>
  <c r="V269" i="2" l="1"/>
  <c r="Q216" i="9"/>
  <c r="G216" i="9" s="1"/>
  <c r="N216" i="9"/>
  <c r="I216" i="9"/>
  <c r="U216" i="9"/>
  <c r="M216" i="9"/>
  <c r="E216" i="9"/>
  <c r="O216" i="9"/>
  <c r="V216" i="9"/>
  <c r="H216" i="9"/>
  <c r="C270" i="2"/>
  <c r="J270" i="2" s="1"/>
  <c r="AS270" i="2"/>
  <c r="AL270" i="2"/>
  <c r="T270" i="2"/>
  <c r="F270" i="2" s="1"/>
  <c r="H270" i="2" s="1"/>
  <c r="N270" i="2"/>
  <c r="L270" i="2" l="1"/>
  <c r="Z216" i="9"/>
  <c r="AA216" i="9"/>
  <c r="F216" i="9"/>
  <c r="T216" i="9" s="1"/>
  <c r="K216" i="9"/>
  <c r="S216" i="9" s="1"/>
  <c r="D270" i="2"/>
  <c r="AM270" i="2"/>
  <c r="V270" i="2" l="1"/>
  <c r="D217" i="9"/>
  <c r="J217" i="9" s="1"/>
  <c r="C217" i="9"/>
  <c r="AB216" i="9"/>
  <c r="X216" i="9" s="1"/>
  <c r="X270" i="2"/>
  <c r="V217" i="9" l="1"/>
  <c r="E217" i="9"/>
  <c r="H217" i="9"/>
  <c r="I217" i="9"/>
  <c r="U217" i="9"/>
  <c r="O217" i="9"/>
  <c r="N217" i="9"/>
  <c r="Q217" i="9"/>
  <c r="G217" i="9" s="1"/>
  <c r="K217" i="9" s="1"/>
  <c r="M217" i="9"/>
  <c r="R271" i="2"/>
  <c r="B271" i="2"/>
  <c r="S217" i="9" l="1"/>
  <c r="F217" i="9"/>
  <c r="T217" i="9" s="1"/>
  <c r="Z217" i="9"/>
  <c r="AA217" i="9"/>
  <c r="AL271" i="2"/>
  <c r="T271" i="2"/>
  <c r="F271" i="2" s="1"/>
  <c r="H271" i="2" s="1"/>
  <c r="C271" i="2"/>
  <c r="J271" i="2" s="1"/>
  <c r="N271" i="2"/>
  <c r="D271" i="2" l="1"/>
  <c r="D218" i="9"/>
  <c r="J218" i="9" s="1"/>
  <c r="C218" i="9"/>
  <c r="AB217" i="9"/>
  <c r="X217" i="9" s="1"/>
  <c r="X271" i="2"/>
  <c r="B272" i="2" s="1"/>
  <c r="AS271" i="2"/>
  <c r="AM271" i="2" s="1"/>
  <c r="L271" i="2"/>
  <c r="V271" i="2" s="1"/>
  <c r="I218" i="9" l="1"/>
  <c r="E218" i="9"/>
  <c r="V218" i="9"/>
  <c r="U218" i="9"/>
  <c r="H218" i="9"/>
  <c r="O218" i="9"/>
  <c r="N218" i="9"/>
  <c r="M218" i="9"/>
  <c r="Q218" i="9"/>
  <c r="G218" i="9" s="1"/>
  <c r="K218" i="9" s="1"/>
  <c r="C272" i="2"/>
  <c r="L272" i="2" s="1"/>
  <c r="T272" i="2"/>
  <c r="F272" i="2" s="1"/>
  <c r="H272" i="2" s="1"/>
  <c r="J272" i="2"/>
  <c r="N272" i="2"/>
  <c r="AS272" i="2"/>
  <c r="AL272" i="2"/>
  <c r="F218" i="9" l="1"/>
  <c r="T218" i="9" s="1"/>
  <c r="D272" i="2"/>
  <c r="V272" i="2" s="1"/>
  <c r="Z218" i="9"/>
  <c r="AA218" i="9"/>
  <c r="S218" i="9"/>
  <c r="AM272" i="2"/>
  <c r="X272" i="2" l="1"/>
  <c r="B273" i="2" s="1"/>
  <c r="AB218" i="9"/>
  <c r="X218" i="9" s="1"/>
  <c r="D219" i="9"/>
  <c r="J219" i="9" s="1"/>
  <c r="C219" i="9"/>
  <c r="R273" i="2" l="1"/>
  <c r="I219" i="9"/>
  <c r="N219" i="9"/>
  <c r="U219" i="9"/>
  <c r="H219" i="9"/>
  <c r="O219" i="9"/>
  <c r="E219" i="9"/>
  <c r="Q219" i="9"/>
  <c r="G219" i="9" s="1"/>
  <c r="K219" i="9" s="1"/>
  <c r="M219" i="9"/>
  <c r="V219" i="9"/>
  <c r="N273" i="2"/>
  <c r="C273" i="2"/>
  <c r="J273" i="2" s="1"/>
  <c r="AL273" i="2"/>
  <c r="T273" i="2"/>
  <c r="F273" i="2" s="1"/>
  <c r="H273" i="2" s="1"/>
  <c r="D273" i="2" l="1"/>
  <c r="X273" i="2" s="1"/>
  <c r="B274" i="2" s="1"/>
  <c r="Z219" i="9"/>
  <c r="AA219" i="9"/>
  <c r="S219" i="9"/>
  <c r="F219" i="9"/>
  <c r="T219" i="9" s="1"/>
  <c r="L273" i="2"/>
  <c r="AS273" i="2"/>
  <c r="AM273" i="2" s="1"/>
  <c r="V273" i="2" l="1"/>
  <c r="D220" i="9"/>
  <c r="J220" i="9" s="1"/>
  <c r="C220" i="9"/>
  <c r="AB219" i="9"/>
  <c r="X219" i="9" s="1"/>
  <c r="C274" i="2"/>
  <c r="AS274" i="2" s="1"/>
  <c r="T274" i="2"/>
  <c r="F274" i="2" s="1"/>
  <c r="N274" i="2"/>
  <c r="J274" i="2" l="1"/>
  <c r="L274" i="2"/>
  <c r="AL274" i="2"/>
  <c r="D274" i="2" s="1"/>
  <c r="X274" i="2" s="1"/>
  <c r="H274" i="2"/>
  <c r="M220" i="9"/>
  <c r="N220" i="9"/>
  <c r="V220" i="9"/>
  <c r="O220" i="9"/>
  <c r="I220" i="9"/>
  <c r="H220" i="9"/>
  <c r="Q220" i="9"/>
  <c r="G220" i="9" s="1"/>
  <c r="U220" i="9"/>
  <c r="E220" i="9"/>
  <c r="AM274" i="2" l="1"/>
  <c r="Z220" i="9"/>
  <c r="AA220" i="9"/>
  <c r="F220" i="9"/>
  <c r="T220" i="9" s="1"/>
  <c r="K220" i="9"/>
  <c r="S220" i="9" s="1"/>
  <c r="V274" i="2"/>
  <c r="R275" i="2"/>
  <c r="B275" i="2"/>
  <c r="AB220" i="9" l="1"/>
  <c r="X220" i="9" s="1"/>
  <c r="D221" i="9"/>
  <c r="J221" i="9" s="1"/>
  <c r="C221" i="9"/>
  <c r="T275" i="2"/>
  <c r="AS275" i="2"/>
  <c r="C275" i="2"/>
  <c r="D275" i="2"/>
  <c r="J275" i="2"/>
  <c r="F275" i="2"/>
  <c r="H275" i="2" s="1"/>
  <c r="V275" i="2"/>
  <c r="AL275" i="2"/>
  <c r="L275" i="2"/>
  <c r="N275" i="2"/>
  <c r="Q221" i="9" l="1"/>
  <c r="G221" i="9" s="1"/>
  <c r="K221" i="9" s="1"/>
  <c r="H221" i="9"/>
  <c r="V221" i="9"/>
  <c r="N221" i="9"/>
  <c r="U221" i="9"/>
  <c r="O221" i="9"/>
  <c r="M221" i="9"/>
  <c r="I221" i="9"/>
  <c r="E221" i="9"/>
  <c r="AM275" i="2"/>
  <c r="X275" i="2"/>
  <c r="B276" i="2" s="1"/>
  <c r="S221" i="9" l="1"/>
  <c r="Z221" i="9"/>
  <c r="AA221" i="9"/>
  <c r="F221" i="9"/>
  <c r="T221" i="9" s="1"/>
  <c r="N276" i="2"/>
  <c r="AL276" i="2"/>
  <c r="AS276" i="2"/>
  <c r="L276" i="2"/>
  <c r="T276" i="2"/>
  <c r="J276" i="2"/>
  <c r="D276" i="2"/>
  <c r="F276" i="2"/>
  <c r="H276" i="2" s="1"/>
  <c r="V276" i="2"/>
  <c r="C276" i="2"/>
  <c r="D222" i="9" l="1"/>
  <c r="J222" i="9" s="1"/>
  <c r="C222" i="9"/>
  <c r="AB221" i="9"/>
  <c r="X221" i="9" s="1"/>
  <c r="AM276" i="2"/>
  <c r="X276" i="2"/>
  <c r="V222" i="9" l="1"/>
  <c r="I222" i="9"/>
  <c r="Q222" i="9"/>
  <c r="G222" i="9" s="1"/>
  <c r="K222" i="9" s="1"/>
  <c r="H222" i="9"/>
  <c r="N222" i="9"/>
  <c r="O222" i="9"/>
  <c r="M222" i="9"/>
  <c r="U222" i="9"/>
  <c r="E222" i="9"/>
  <c r="R277" i="2"/>
  <c r="B277" i="2"/>
  <c r="F222" i="9" l="1"/>
  <c r="T222" i="9" s="1"/>
  <c r="D223" i="9" s="1"/>
  <c r="J223" i="9" s="1"/>
  <c r="Z222" i="9"/>
  <c r="AA222" i="9"/>
  <c r="S222" i="9"/>
  <c r="AS277" i="2"/>
  <c r="N277" i="2"/>
  <c r="C277" i="2"/>
  <c r="V277" i="2"/>
  <c r="D277" i="2"/>
  <c r="F277" i="2"/>
  <c r="H277" i="2" s="1"/>
  <c r="T277" i="2"/>
  <c r="L277" i="2"/>
  <c r="AL277" i="2"/>
  <c r="J277" i="2"/>
  <c r="C223" i="9" l="1"/>
  <c r="O223" i="9" s="1"/>
  <c r="AB222" i="9"/>
  <c r="X222" i="9" s="1"/>
  <c r="V223" i="9"/>
  <c r="E223" i="9"/>
  <c r="H223" i="9"/>
  <c r="U223" i="9"/>
  <c r="Q223" i="9"/>
  <c r="G223" i="9" s="1"/>
  <c r="K223" i="9" s="1"/>
  <c r="M223" i="9"/>
  <c r="Z223" i="9" s="1"/>
  <c r="I223" i="9"/>
  <c r="AM277" i="2"/>
  <c r="X277" i="2"/>
  <c r="B278" i="2" s="1"/>
  <c r="N223" i="9" l="1"/>
  <c r="S223" i="9"/>
  <c r="F223" i="9"/>
  <c r="T223" i="9" s="1"/>
  <c r="AA223" i="9"/>
  <c r="L278" i="2"/>
  <c r="F278" i="2"/>
  <c r="H278" i="2" s="1"/>
  <c r="AS278" i="2"/>
  <c r="J278" i="2"/>
  <c r="D278" i="2"/>
  <c r="T278" i="2"/>
  <c r="N278" i="2"/>
  <c r="AL278" i="2"/>
  <c r="V278" i="2"/>
  <c r="C278" i="2"/>
  <c r="AB223" i="9" l="1"/>
  <c r="X223" i="9" s="1"/>
  <c r="D224" i="9"/>
  <c r="J224" i="9" s="1"/>
  <c r="C224" i="9"/>
  <c r="X278" i="2"/>
  <c r="AM278" i="2"/>
  <c r="H224" i="9" l="1"/>
  <c r="V224" i="9"/>
  <c r="U224" i="9"/>
  <c r="N224" i="9"/>
  <c r="Q224" i="9"/>
  <c r="O224" i="9"/>
  <c r="I224" i="9"/>
  <c r="M224" i="9"/>
  <c r="E224" i="9"/>
  <c r="R279" i="2"/>
  <c r="B279" i="2"/>
  <c r="Z224" i="9" l="1"/>
  <c r="AA224" i="9"/>
  <c r="G224" i="9"/>
  <c r="T279" i="2"/>
  <c r="AS279" i="2"/>
  <c r="L279" i="2"/>
  <c r="J279" i="2"/>
  <c r="C279" i="2"/>
  <c r="V279" i="2"/>
  <c r="AL279" i="2"/>
  <c r="F279" i="2"/>
  <c r="H279" i="2" s="1"/>
  <c r="D279" i="2"/>
  <c r="N279" i="2"/>
  <c r="K224" i="9" l="1"/>
  <c r="S224" i="9" s="1"/>
  <c r="F224" i="9"/>
  <c r="T224" i="9" s="1"/>
  <c r="AB224" i="9"/>
  <c r="X224" i="9" s="1"/>
  <c r="AM279" i="2"/>
  <c r="X279" i="2"/>
  <c r="B280" i="2" s="1"/>
  <c r="D225" i="9" l="1"/>
  <c r="J225" i="9" s="1"/>
  <c r="C225" i="9"/>
  <c r="J280" i="2"/>
  <c r="D280" i="2"/>
  <c r="C280" i="2"/>
  <c r="AL280" i="2"/>
  <c r="L280" i="2"/>
  <c r="AS280" i="2"/>
  <c r="V280" i="2"/>
  <c r="N280" i="2"/>
  <c r="T280" i="2"/>
  <c r="F280" i="2"/>
  <c r="H280" i="2" s="1"/>
  <c r="U280" i="2"/>
  <c r="U225" i="9" l="1"/>
  <c r="H225" i="9"/>
  <c r="M225" i="9"/>
  <c r="R225" i="9"/>
  <c r="Q225" i="9"/>
  <c r="G225" i="9" s="1"/>
  <c r="N225" i="9"/>
  <c r="V225" i="9"/>
  <c r="E225" i="9"/>
  <c r="I225" i="9"/>
  <c r="O225" i="9"/>
  <c r="X280" i="2"/>
  <c r="AM280" i="2"/>
  <c r="F225" i="9" l="1"/>
  <c r="T225" i="9" s="1"/>
  <c r="K225" i="9"/>
  <c r="S225" i="9" s="1"/>
  <c r="Z225" i="9"/>
  <c r="AA225" i="9"/>
  <c r="R281" i="2"/>
  <c r="B281" i="2"/>
  <c r="AB225" i="9" l="1"/>
  <c r="X225" i="9" s="1"/>
  <c r="D226" i="9"/>
  <c r="J226" i="9" s="1"/>
  <c r="C226" i="9"/>
  <c r="AL281" i="2"/>
  <c r="AS281" i="2"/>
  <c r="V281" i="2"/>
  <c r="C281" i="2"/>
  <c r="L281" i="2"/>
  <c r="F281" i="2"/>
  <c r="H281" i="2" s="1"/>
  <c r="J281" i="2"/>
  <c r="D281" i="2"/>
  <c r="N281" i="2"/>
  <c r="T281" i="2"/>
  <c r="O226" i="9" l="1"/>
  <c r="U226" i="9"/>
  <c r="M226" i="9"/>
  <c r="I226" i="9"/>
  <c r="H226" i="9"/>
  <c r="E226" i="9"/>
  <c r="Q226" i="9"/>
  <c r="G226" i="9" s="1"/>
  <c r="K226" i="9" s="1"/>
  <c r="N226" i="9"/>
  <c r="V226" i="9"/>
  <c r="X281" i="2"/>
  <c r="B282" i="2" s="1"/>
  <c r="AM281" i="2"/>
  <c r="F226" i="9" l="1"/>
  <c r="T226" i="9" s="1"/>
  <c r="Z226" i="9"/>
  <c r="AA226" i="9"/>
  <c r="S226" i="9"/>
  <c r="L282" i="2"/>
  <c r="D282" i="2"/>
  <c r="AL282" i="2"/>
  <c r="T282" i="2"/>
  <c r="N282" i="2"/>
  <c r="C282" i="2"/>
  <c r="J282" i="2"/>
  <c r="F282" i="2"/>
  <c r="H282" i="2" s="1"/>
  <c r="V282" i="2"/>
  <c r="AS282" i="2"/>
  <c r="AB226" i="9" l="1"/>
  <c r="X226" i="9" s="1"/>
  <c r="D227" i="9"/>
  <c r="J227" i="9" s="1"/>
  <c r="C227" i="9"/>
  <c r="AM282" i="2"/>
  <c r="X282" i="2"/>
  <c r="O227" i="9" l="1"/>
  <c r="E227" i="9"/>
  <c r="I227" i="9"/>
  <c r="V227" i="9"/>
  <c r="Q227" i="9"/>
  <c r="G227" i="9" s="1"/>
  <c r="K227" i="9" s="1"/>
  <c r="N227" i="9"/>
  <c r="U227" i="9"/>
  <c r="M227" i="9"/>
  <c r="H227" i="9"/>
  <c r="R283" i="2"/>
  <c r="B283" i="2"/>
  <c r="F227" i="9" l="1"/>
  <c r="T227" i="9" s="1"/>
  <c r="D228" i="9" s="1"/>
  <c r="J228" i="9" s="1"/>
  <c r="Z227" i="9"/>
  <c r="AA227" i="9"/>
  <c r="S227" i="9"/>
  <c r="D283" i="2"/>
  <c r="N283" i="2"/>
  <c r="T283" i="2"/>
  <c r="L283" i="2"/>
  <c r="J283" i="2"/>
  <c r="C283" i="2"/>
  <c r="AL283" i="2"/>
  <c r="F283" i="2"/>
  <c r="H283" i="2" s="1"/>
  <c r="V283" i="2"/>
  <c r="AS283" i="2"/>
  <c r="C228" i="9" l="1"/>
  <c r="E228" i="9" s="1"/>
  <c r="AB227" i="9"/>
  <c r="X227" i="9" s="1"/>
  <c r="AM283" i="2"/>
  <c r="X283" i="2"/>
  <c r="B284" i="2" s="1"/>
  <c r="O228" i="9" l="1"/>
  <c r="U228" i="9"/>
  <c r="V228" i="9"/>
  <c r="Q228" i="9"/>
  <c r="G228" i="9" s="1"/>
  <c r="K228" i="9" s="1"/>
  <c r="S228" i="9" s="1"/>
  <c r="H228" i="9"/>
  <c r="I228" i="9"/>
  <c r="M228" i="9"/>
  <c r="Z228" i="9" s="1"/>
  <c r="N228" i="9"/>
  <c r="F228" i="9"/>
  <c r="T228" i="9" s="1"/>
  <c r="F284" i="2"/>
  <c r="H284" i="2" s="1"/>
  <c r="J284" i="2"/>
  <c r="AS284" i="2"/>
  <c r="L284" i="2"/>
  <c r="V284" i="2"/>
  <c r="D284" i="2"/>
  <c r="C284" i="2"/>
  <c r="AL284" i="2"/>
  <c r="N284" i="2"/>
  <c r="T284" i="2"/>
  <c r="AA228" i="9" l="1"/>
  <c r="AB228" i="9" s="1"/>
  <c r="X228" i="9" s="1"/>
  <c r="D229" i="9"/>
  <c r="J229" i="9" s="1"/>
  <c r="C229" i="9"/>
  <c r="AM284" i="2"/>
  <c r="X284" i="2"/>
  <c r="O229" i="9" l="1"/>
  <c r="E229" i="9"/>
  <c r="Q229" i="9"/>
  <c r="G229" i="9" s="1"/>
  <c r="K229" i="9" s="1"/>
  <c r="M229" i="9"/>
  <c r="V229" i="9"/>
  <c r="H229" i="9"/>
  <c r="N229" i="9"/>
  <c r="U229" i="9"/>
  <c r="I229" i="9"/>
  <c r="R285" i="2"/>
  <c r="B285" i="2"/>
  <c r="Z229" i="9" l="1"/>
  <c r="AA229" i="9"/>
  <c r="F229" i="9"/>
  <c r="T229" i="9" s="1"/>
  <c r="S229" i="9"/>
  <c r="L285" i="2"/>
  <c r="T285" i="2"/>
  <c r="V285" i="2"/>
  <c r="F285" i="2"/>
  <c r="H285" i="2" s="1"/>
  <c r="AS285" i="2"/>
  <c r="N285" i="2"/>
  <c r="D285" i="2"/>
  <c r="C285" i="2"/>
  <c r="AL285" i="2"/>
  <c r="J285" i="2"/>
  <c r="D230" i="9" l="1"/>
  <c r="J230" i="9" s="1"/>
  <c r="C230" i="9"/>
  <c r="AB229" i="9"/>
  <c r="X229" i="9" s="1"/>
  <c r="AM285" i="2"/>
  <c r="X285" i="2"/>
  <c r="B286" i="2" s="1"/>
  <c r="E230" i="9" l="1"/>
  <c r="N230" i="9"/>
  <c r="V230" i="9"/>
  <c r="O230" i="9"/>
  <c r="Q230" i="9"/>
  <c r="G230" i="9" s="1"/>
  <c r="K230" i="9" s="1"/>
  <c r="I230" i="9"/>
  <c r="H230" i="9"/>
  <c r="U230" i="9"/>
  <c r="M230" i="9"/>
  <c r="AL286" i="2"/>
  <c r="N286" i="2"/>
  <c r="F286" i="2"/>
  <c r="H286" i="2" s="1"/>
  <c r="V286" i="2"/>
  <c r="L286" i="2"/>
  <c r="AS286" i="2"/>
  <c r="C286" i="2"/>
  <c r="J286" i="2"/>
  <c r="T286" i="2"/>
  <c r="D286" i="2"/>
  <c r="S230" i="9" l="1"/>
  <c r="Z230" i="9"/>
  <c r="AA230" i="9"/>
  <c r="F230" i="9"/>
  <c r="T230" i="9" s="1"/>
  <c r="X286" i="2"/>
  <c r="AM286" i="2"/>
  <c r="D231" i="9" l="1"/>
  <c r="J231" i="9" s="1"/>
  <c r="C231" i="9"/>
  <c r="AB230" i="9"/>
  <c r="X230" i="9" s="1"/>
  <c r="R287" i="2"/>
  <c r="B287" i="2"/>
  <c r="E231" i="9" l="1"/>
  <c r="N231" i="9"/>
  <c r="U231" i="9"/>
  <c r="Q231" i="9"/>
  <c r="G231" i="9" s="1"/>
  <c r="K231" i="9" s="1"/>
  <c r="I231" i="9"/>
  <c r="O231" i="9"/>
  <c r="M231" i="9"/>
  <c r="H231" i="9"/>
  <c r="V231" i="9"/>
  <c r="V287" i="2"/>
  <c r="D287" i="2"/>
  <c r="C287" i="2"/>
  <c r="J287" i="2"/>
  <c r="F287" i="2"/>
  <c r="H287" i="2" s="1"/>
  <c r="L287" i="2"/>
  <c r="AL287" i="2"/>
  <c r="AS287" i="2"/>
  <c r="N287" i="2"/>
  <c r="T287" i="2"/>
  <c r="F231" i="9" l="1"/>
  <c r="T231" i="9" s="1"/>
  <c r="D232" i="9" s="1"/>
  <c r="J232" i="9" s="1"/>
  <c r="Z231" i="9"/>
  <c r="AA231" i="9"/>
  <c r="S231" i="9"/>
  <c r="AM287" i="2"/>
  <c r="X287" i="2"/>
  <c r="B288" i="2" s="1"/>
  <c r="C232" i="9" l="1"/>
  <c r="U232" i="9" s="1"/>
  <c r="AB231" i="9"/>
  <c r="X231" i="9" s="1"/>
  <c r="E232" i="9"/>
  <c r="O232" i="9"/>
  <c r="Q232" i="9"/>
  <c r="G232" i="9" s="1"/>
  <c r="K232" i="9" s="1"/>
  <c r="H232" i="9"/>
  <c r="AL288" i="2"/>
  <c r="L288" i="2"/>
  <c r="F288" i="2"/>
  <c r="H288" i="2" s="1"/>
  <c r="C288" i="2"/>
  <c r="N288" i="2"/>
  <c r="J288" i="2"/>
  <c r="D288" i="2"/>
  <c r="AS288" i="2"/>
  <c r="V288" i="2"/>
  <c r="T288" i="2"/>
  <c r="N232" i="9" l="1"/>
  <c r="I232" i="9"/>
  <c r="M232" i="9"/>
  <c r="Z232" i="9" s="1"/>
  <c r="V232" i="9"/>
  <c r="F232" i="9"/>
  <c r="T232" i="9" s="1"/>
  <c r="D233" i="9" s="1"/>
  <c r="J233" i="9" s="1"/>
  <c r="S232" i="9"/>
  <c r="AA232" i="9"/>
  <c r="AM288" i="2"/>
  <c r="X288" i="2"/>
  <c r="C233" i="9" l="1"/>
  <c r="O233" i="9" s="1"/>
  <c r="AB232" i="9"/>
  <c r="X232" i="9" s="1"/>
  <c r="Q233" i="9"/>
  <c r="G233" i="9" s="1"/>
  <c r="K233" i="9" s="1"/>
  <c r="N233" i="9"/>
  <c r="V233" i="9"/>
  <c r="H233" i="9"/>
  <c r="I233" i="9"/>
  <c r="R289" i="2"/>
  <c r="B289" i="2"/>
  <c r="U233" i="9" l="1"/>
  <c r="E233" i="9"/>
  <c r="M233" i="9"/>
  <c r="Z233" i="9" s="1"/>
  <c r="S233" i="9"/>
  <c r="F233" i="9"/>
  <c r="T233" i="9" s="1"/>
  <c r="N289" i="2"/>
  <c r="AS289" i="2"/>
  <c r="F289" i="2"/>
  <c r="H289" i="2" s="1"/>
  <c r="J289" i="2"/>
  <c r="AL289" i="2"/>
  <c r="D289" i="2"/>
  <c r="V289" i="2"/>
  <c r="C289" i="2"/>
  <c r="T289" i="2"/>
  <c r="L289" i="2"/>
  <c r="AA233" i="9" l="1"/>
  <c r="AB233" i="9" s="1"/>
  <c r="X233" i="9" s="1"/>
  <c r="D234" i="9"/>
  <c r="J234" i="9" s="1"/>
  <c r="C234" i="9"/>
  <c r="X289" i="2"/>
  <c r="B290" i="2" s="1"/>
  <c r="AM289" i="2"/>
  <c r="M234" i="9" l="1"/>
  <c r="I234" i="9"/>
  <c r="E234" i="9"/>
  <c r="Q234" i="9"/>
  <c r="G234" i="9" s="1"/>
  <c r="O234" i="9"/>
  <c r="N234" i="9"/>
  <c r="U234" i="9"/>
  <c r="V234" i="9"/>
  <c r="H234" i="9"/>
  <c r="AS290" i="2"/>
  <c r="D290" i="2"/>
  <c r="AL290" i="2"/>
  <c r="J290" i="2"/>
  <c r="C290" i="2"/>
  <c r="F290" i="2"/>
  <c r="H290" i="2" s="1"/>
  <c r="V290" i="2"/>
  <c r="L290" i="2"/>
  <c r="N290" i="2"/>
  <c r="T290" i="2"/>
  <c r="F234" i="9" l="1"/>
  <c r="T234" i="9" s="1"/>
  <c r="K234" i="9"/>
  <c r="S234" i="9" s="1"/>
  <c r="Z234" i="9"/>
  <c r="AA234" i="9"/>
  <c r="AM290" i="2"/>
  <c r="X290" i="2"/>
  <c r="AB234" i="9" l="1"/>
  <c r="X234" i="9" s="1"/>
  <c r="D235" i="9"/>
  <c r="J235" i="9" s="1"/>
  <c r="C235" i="9"/>
  <c r="R291" i="2"/>
  <c r="B291" i="2"/>
  <c r="O235" i="9" l="1"/>
  <c r="N235" i="9"/>
  <c r="I235" i="9"/>
  <c r="U235" i="9"/>
  <c r="Q235" i="9"/>
  <c r="G235" i="9" s="1"/>
  <c r="K235" i="9" s="1"/>
  <c r="H235" i="9"/>
  <c r="M235" i="9"/>
  <c r="E235" i="9"/>
  <c r="V235" i="9"/>
  <c r="AS291" i="2"/>
  <c r="J291" i="2"/>
  <c r="D291" i="2"/>
  <c r="AL291" i="2"/>
  <c r="L291" i="2"/>
  <c r="C291" i="2"/>
  <c r="T291" i="2"/>
  <c r="F291" i="2"/>
  <c r="H291" i="2" s="1"/>
  <c r="N291" i="2"/>
  <c r="V291" i="2"/>
  <c r="S235" i="9" l="1"/>
  <c r="Z235" i="9"/>
  <c r="AA235" i="9"/>
  <c r="F235" i="9"/>
  <c r="T235" i="9" s="1"/>
  <c r="AM291" i="2"/>
  <c r="X291" i="2"/>
  <c r="B292" i="2" s="1"/>
  <c r="AB235" i="9" l="1"/>
  <c r="X235" i="9" s="1"/>
  <c r="D236" i="9"/>
  <c r="J236" i="9" s="1"/>
  <c r="C236" i="9"/>
  <c r="U292" i="2"/>
  <c r="T292" i="2"/>
  <c r="C292" i="2"/>
  <c r="N292" i="2"/>
  <c r="F292" i="2"/>
  <c r="H292" i="2" s="1"/>
  <c r="L292" i="2"/>
  <c r="AS292" i="2"/>
  <c r="V292" i="2"/>
  <c r="D292" i="2"/>
  <c r="J292" i="2"/>
  <c r="AL292" i="2"/>
  <c r="M236" i="9" l="1"/>
  <c r="V236" i="9"/>
  <c r="E236" i="9"/>
  <c r="I236" i="9"/>
  <c r="H236" i="9"/>
  <c r="Q236" i="9"/>
  <c r="G236" i="9" s="1"/>
  <c r="O236" i="9"/>
  <c r="U236" i="9"/>
  <c r="N236" i="9"/>
  <c r="AM292" i="2"/>
  <c r="X292" i="2"/>
  <c r="F236" i="9" l="1"/>
  <c r="T236" i="9" s="1"/>
  <c r="K236" i="9"/>
  <c r="S236" i="9" s="1"/>
  <c r="Z236" i="9"/>
  <c r="AA236" i="9"/>
  <c r="R293" i="2"/>
  <c r="B293" i="2"/>
  <c r="AB236" i="9" l="1"/>
  <c r="X236" i="9" s="1"/>
  <c r="D237" i="9"/>
  <c r="J237" i="9" s="1"/>
  <c r="C237" i="9"/>
  <c r="AL293" i="2"/>
  <c r="C293" i="2"/>
  <c r="N293" i="2"/>
  <c r="AS293" i="2"/>
  <c r="L293" i="2"/>
  <c r="J293" i="2"/>
  <c r="V293" i="2"/>
  <c r="D293" i="2"/>
  <c r="F293" i="2"/>
  <c r="H293" i="2" s="1"/>
  <c r="T293" i="2"/>
  <c r="R237" i="9" l="1"/>
  <c r="I237" i="9"/>
  <c r="H237" i="9"/>
  <c r="M237" i="9"/>
  <c r="U237" i="9"/>
  <c r="V237" i="9"/>
  <c r="E237" i="9"/>
  <c r="O237" i="9"/>
  <c r="Q237" i="9"/>
  <c r="G237" i="9" s="1"/>
  <c r="N237" i="9"/>
  <c r="X293" i="2"/>
  <c r="B294" i="2" s="1"/>
  <c r="AM293" i="2"/>
  <c r="Z237" i="9" l="1"/>
  <c r="AA237" i="9"/>
  <c r="F237" i="9"/>
  <c r="T237" i="9" s="1"/>
  <c r="K237" i="9"/>
  <c r="S237" i="9" s="1"/>
  <c r="N294" i="2"/>
  <c r="F294" i="2"/>
  <c r="H294" i="2" s="1"/>
  <c r="D294" i="2"/>
  <c r="V294" i="2"/>
  <c r="AS294" i="2"/>
  <c r="C294" i="2"/>
  <c r="L294" i="2"/>
  <c r="T294" i="2"/>
  <c r="AL294" i="2"/>
  <c r="J294" i="2"/>
  <c r="D238" i="9" l="1"/>
  <c r="J238" i="9" s="1"/>
  <c r="C238" i="9"/>
  <c r="AB237" i="9"/>
  <c r="X237" i="9" s="1"/>
  <c r="X294" i="2"/>
  <c r="AM294" i="2"/>
  <c r="N238" i="9" l="1"/>
  <c r="I238" i="9"/>
  <c r="O238" i="9"/>
  <c r="E238" i="9"/>
  <c r="V238" i="9"/>
  <c r="U238" i="9"/>
  <c r="Q238" i="9"/>
  <c r="G238" i="9" s="1"/>
  <c r="K238" i="9" s="1"/>
  <c r="M238" i="9"/>
  <c r="H238" i="9"/>
  <c r="R295" i="2"/>
  <c r="B295" i="2"/>
  <c r="F238" i="9" l="1"/>
  <c r="T238" i="9" s="1"/>
  <c r="D239" i="9" s="1"/>
  <c r="J239" i="9" s="1"/>
  <c r="Z238" i="9"/>
  <c r="AA238" i="9"/>
  <c r="S238" i="9"/>
  <c r="AL295" i="2"/>
  <c r="D295" i="2"/>
  <c r="T295" i="2"/>
  <c r="C295" i="2"/>
  <c r="L295" i="2"/>
  <c r="F295" i="2"/>
  <c r="H295" i="2" s="1"/>
  <c r="AS295" i="2"/>
  <c r="V295" i="2"/>
  <c r="J295" i="2"/>
  <c r="N295" i="2"/>
  <c r="C239" i="9" l="1"/>
  <c r="AB238" i="9"/>
  <c r="X238" i="9" s="1"/>
  <c r="V239" i="9"/>
  <c r="U239" i="9"/>
  <c r="E239" i="9"/>
  <c r="N239" i="9"/>
  <c r="Q239" i="9"/>
  <c r="G239" i="9" s="1"/>
  <c r="K239" i="9" s="1"/>
  <c r="M239" i="9"/>
  <c r="Z239" i="9" s="1"/>
  <c r="I239" i="9"/>
  <c r="O239" i="9"/>
  <c r="H239" i="9"/>
  <c r="X295" i="2"/>
  <c r="B296" i="2" s="1"/>
  <c r="AM295" i="2"/>
  <c r="S239" i="9" l="1"/>
  <c r="F239" i="9"/>
  <c r="T239" i="9" s="1"/>
  <c r="AA239" i="9"/>
  <c r="J296" i="2"/>
  <c r="V296" i="2"/>
  <c r="AS296" i="2"/>
  <c r="T296" i="2"/>
  <c r="N296" i="2"/>
  <c r="C296" i="2"/>
  <c r="D296" i="2"/>
  <c r="L296" i="2"/>
  <c r="F296" i="2"/>
  <c r="H296" i="2" s="1"/>
  <c r="AL296" i="2"/>
  <c r="AB239" i="9" l="1"/>
  <c r="X239" i="9" s="1"/>
  <c r="D240" i="9"/>
  <c r="J240" i="9" s="1"/>
  <c r="C240" i="9"/>
  <c r="AM296" i="2"/>
  <c r="X296" i="2"/>
  <c r="N240" i="9" l="1"/>
  <c r="U240" i="9"/>
  <c r="M240" i="9"/>
  <c r="Q240" i="9"/>
  <c r="G240" i="9" s="1"/>
  <c r="K240" i="9" s="1"/>
  <c r="V240" i="9"/>
  <c r="H240" i="9"/>
  <c r="I240" i="9"/>
  <c r="O240" i="9"/>
  <c r="E240" i="9"/>
  <c r="R297" i="2"/>
  <c r="B297" i="2"/>
  <c r="F240" i="9" l="1"/>
  <c r="T240" i="9" s="1"/>
  <c r="D241" i="9" s="1"/>
  <c r="J241" i="9" s="1"/>
  <c r="S240" i="9"/>
  <c r="Z240" i="9"/>
  <c r="AA240" i="9"/>
  <c r="C297" i="2"/>
  <c r="T297" i="2"/>
  <c r="N297" i="2"/>
  <c r="F297" i="2"/>
  <c r="H297" i="2" s="1"/>
  <c r="D297" i="2"/>
  <c r="J297" i="2"/>
  <c r="AS297" i="2"/>
  <c r="L297" i="2"/>
  <c r="V297" i="2"/>
  <c r="AL297" i="2"/>
  <c r="C241" i="9" l="1"/>
  <c r="U241" i="9" s="1"/>
  <c r="AB240" i="9"/>
  <c r="X240" i="9" s="1"/>
  <c r="E241" i="9"/>
  <c r="H241" i="9"/>
  <c r="V241" i="9"/>
  <c r="M241" i="9"/>
  <c r="Z241" i="9" s="1"/>
  <c r="N241" i="9"/>
  <c r="Q241" i="9"/>
  <c r="G241" i="9" s="1"/>
  <c r="K241" i="9" s="1"/>
  <c r="I241" i="9"/>
  <c r="AM297" i="2"/>
  <c r="X297" i="2"/>
  <c r="B298" i="2" s="1"/>
  <c r="O241" i="9" l="1"/>
  <c r="S241" i="9"/>
  <c r="F241" i="9"/>
  <c r="T241" i="9" s="1"/>
  <c r="D242" i="9" s="1"/>
  <c r="J242" i="9" s="1"/>
  <c r="AA241" i="9"/>
  <c r="AL298" i="2"/>
  <c r="AS298" i="2"/>
  <c r="N298" i="2"/>
  <c r="F298" i="2"/>
  <c r="H298" i="2" s="1"/>
  <c r="V298" i="2"/>
  <c r="J298" i="2"/>
  <c r="D298" i="2"/>
  <c r="L298" i="2"/>
  <c r="T298" i="2"/>
  <c r="C298" i="2"/>
  <c r="C242" i="9" l="1"/>
  <c r="Q242" i="9" s="1"/>
  <c r="G242" i="9" s="1"/>
  <c r="K242" i="9" s="1"/>
  <c r="E242" i="9"/>
  <c r="S242" i="9" s="1"/>
  <c r="O242" i="9"/>
  <c r="U242" i="9"/>
  <c r="AB241" i="9"/>
  <c r="X241" i="9" s="1"/>
  <c r="AM298" i="2"/>
  <c r="X298" i="2"/>
  <c r="V242" i="9" l="1"/>
  <c r="M242" i="9"/>
  <c r="Z242" i="9" s="1"/>
  <c r="I242" i="9"/>
  <c r="N242" i="9"/>
  <c r="H242" i="9"/>
  <c r="AA242" i="9"/>
  <c r="AB242" i="9" s="1"/>
  <c r="X242" i="9" s="1"/>
  <c r="F242" i="9"/>
  <c r="T242" i="9" s="1"/>
  <c r="R299" i="2"/>
  <c r="B299" i="2"/>
  <c r="D243" i="9" l="1"/>
  <c r="J243" i="9" s="1"/>
  <c r="C243" i="9"/>
  <c r="C299" i="2"/>
  <c r="AL299" i="2"/>
  <c r="L299" i="2"/>
  <c r="V299" i="2"/>
  <c r="F299" i="2"/>
  <c r="H299" i="2" s="1"/>
  <c r="D299" i="2"/>
  <c r="J299" i="2"/>
  <c r="T299" i="2"/>
  <c r="AS299" i="2"/>
  <c r="N299" i="2"/>
  <c r="M243" i="9" l="1"/>
  <c r="I243" i="9"/>
  <c r="O243" i="9"/>
  <c r="V243" i="9"/>
  <c r="N243" i="9"/>
  <c r="Q243" i="9"/>
  <c r="G243" i="9" s="1"/>
  <c r="E243" i="9"/>
  <c r="H243" i="9"/>
  <c r="U243" i="9"/>
  <c r="X299" i="2"/>
  <c r="B300" i="2" s="1"/>
  <c r="AM299" i="2"/>
  <c r="F243" i="9" l="1"/>
  <c r="T243" i="9" s="1"/>
  <c r="K243" i="9"/>
  <c r="S243" i="9" s="1"/>
  <c r="Z243" i="9"/>
  <c r="AA243" i="9"/>
  <c r="AL300" i="2"/>
  <c r="V300" i="2"/>
  <c r="N300" i="2"/>
  <c r="J300" i="2"/>
  <c r="D300" i="2"/>
  <c r="C300" i="2"/>
  <c r="F300" i="2"/>
  <c r="H300" i="2" s="1"/>
  <c r="AS300" i="2"/>
  <c r="L300" i="2"/>
  <c r="T300" i="2"/>
  <c r="AB243" i="9" l="1"/>
  <c r="X243" i="9" s="1"/>
  <c r="D244" i="9"/>
  <c r="J244" i="9" s="1"/>
  <c r="C244" i="9"/>
  <c r="X300" i="2"/>
  <c r="AM300" i="2"/>
  <c r="O244" i="9" l="1"/>
  <c r="Q244" i="9"/>
  <c r="G244" i="9" s="1"/>
  <c r="K244" i="9" s="1"/>
  <c r="V244" i="9"/>
  <c r="N244" i="9"/>
  <c r="M244" i="9"/>
  <c r="U244" i="9"/>
  <c r="E244" i="9"/>
  <c r="H244" i="9"/>
  <c r="I244" i="9"/>
  <c r="R301" i="2"/>
  <c r="B301" i="2"/>
  <c r="S244" i="9" l="1"/>
  <c r="Z244" i="9"/>
  <c r="AA244" i="9"/>
  <c r="F244" i="9"/>
  <c r="T244" i="9" s="1"/>
  <c r="AS301" i="2"/>
  <c r="N301" i="2"/>
  <c r="T301" i="2"/>
  <c r="D301" i="2"/>
  <c r="AL301" i="2"/>
  <c r="V301" i="2"/>
  <c r="F301" i="2"/>
  <c r="H301" i="2" s="1"/>
  <c r="J301" i="2"/>
  <c r="C301" i="2"/>
  <c r="L301" i="2"/>
  <c r="D245" i="9" l="1"/>
  <c r="J245" i="9" s="1"/>
  <c r="C245" i="9"/>
  <c r="AB244" i="9"/>
  <c r="X244" i="9" s="1"/>
  <c r="AM301" i="2"/>
  <c r="X301" i="2"/>
  <c r="B302" i="2" s="1"/>
  <c r="H245" i="9" l="1"/>
  <c r="I245" i="9"/>
  <c r="M245" i="9"/>
  <c r="U245" i="9"/>
  <c r="V245" i="9"/>
  <c r="N245" i="9"/>
  <c r="O245" i="9"/>
  <c r="Q245" i="9"/>
  <c r="G245" i="9" s="1"/>
  <c r="K245" i="9" s="1"/>
  <c r="E245" i="9"/>
  <c r="C302" i="2"/>
  <c r="J302" i="2"/>
  <c r="L302" i="2"/>
  <c r="N302" i="2"/>
  <c r="D302" i="2"/>
  <c r="T302" i="2"/>
  <c r="F302" i="2"/>
  <c r="H302" i="2" s="1"/>
  <c r="AL302" i="2"/>
  <c r="AS302" i="2"/>
  <c r="V302" i="2"/>
  <c r="F245" i="9" l="1"/>
  <c r="T245" i="9" s="1"/>
  <c r="Z245" i="9"/>
  <c r="AA245" i="9"/>
  <c r="S245" i="9"/>
  <c r="X302" i="2"/>
  <c r="AM302" i="2"/>
  <c r="AB245" i="9" l="1"/>
  <c r="X245" i="9" s="1"/>
  <c r="D246" i="9"/>
  <c r="J246" i="9" s="1"/>
  <c r="C246" i="9"/>
  <c r="R303" i="2"/>
  <c r="B303" i="2"/>
  <c r="V246" i="9" l="1"/>
  <c r="M246" i="9"/>
  <c r="I246" i="9"/>
  <c r="O246" i="9"/>
  <c r="E246" i="9"/>
  <c r="N246" i="9"/>
  <c r="Q246" i="9"/>
  <c r="G246" i="9" s="1"/>
  <c r="K246" i="9" s="1"/>
  <c r="U246" i="9"/>
  <c r="H246" i="9"/>
  <c r="T303" i="2"/>
  <c r="D303" i="2"/>
  <c r="F303" i="2"/>
  <c r="H303" i="2" s="1"/>
  <c r="L303" i="2"/>
  <c r="J303" i="2"/>
  <c r="V303" i="2"/>
  <c r="AS303" i="2"/>
  <c r="N303" i="2"/>
  <c r="AL303" i="2"/>
  <c r="C303" i="2"/>
  <c r="F246" i="9" l="1"/>
  <c r="T246" i="9" s="1"/>
  <c r="S246" i="9"/>
  <c r="Z246" i="9"/>
  <c r="AA246" i="9"/>
  <c r="AM303" i="2"/>
  <c r="X303" i="2"/>
  <c r="B304" i="2" s="1"/>
  <c r="AB246" i="9" l="1"/>
  <c r="X246" i="9" s="1"/>
  <c r="D247" i="9"/>
  <c r="J247" i="9" s="1"/>
  <c r="C247" i="9"/>
  <c r="U304" i="2"/>
  <c r="N304" i="2"/>
  <c r="F304" i="2"/>
  <c r="H304" i="2" s="1"/>
  <c r="T304" i="2"/>
  <c r="D304" i="2"/>
  <c r="C304" i="2"/>
  <c r="AL304" i="2"/>
  <c r="L304" i="2"/>
  <c r="J304" i="2"/>
  <c r="V304" i="2"/>
  <c r="AS304" i="2"/>
  <c r="O247" i="9" l="1"/>
  <c r="Q247" i="9"/>
  <c r="G247" i="9" s="1"/>
  <c r="K247" i="9" s="1"/>
  <c r="H247" i="9"/>
  <c r="U247" i="9"/>
  <c r="N247" i="9"/>
  <c r="I247" i="9"/>
  <c r="E247" i="9"/>
  <c r="V247" i="9"/>
  <c r="M247" i="9"/>
  <c r="X304" i="2"/>
  <c r="AM304" i="2"/>
  <c r="F247" i="9" l="1"/>
  <c r="T247" i="9" s="1"/>
  <c r="S247" i="9"/>
  <c r="Z247" i="9"/>
  <c r="AA247" i="9"/>
  <c r="R305" i="2"/>
  <c r="B305" i="2"/>
  <c r="AB247" i="9" l="1"/>
  <c r="X247" i="9" s="1"/>
  <c r="D248" i="9"/>
  <c r="J248" i="9" s="1"/>
  <c r="C248" i="9"/>
  <c r="F305" i="2"/>
  <c r="H305" i="2" s="1"/>
  <c r="D305" i="2"/>
  <c r="T305" i="2"/>
  <c r="V305" i="2"/>
  <c r="C305" i="2"/>
  <c r="J305" i="2"/>
  <c r="L305" i="2"/>
  <c r="AL305" i="2"/>
  <c r="N305" i="2"/>
  <c r="AS305" i="2"/>
  <c r="O248" i="9" l="1"/>
  <c r="Q248" i="9"/>
  <c r="N248" i="9"/>
  <c r="V248" i="9"/>
  <c r="I248" i="9"/>
  <c r="H248" i="9"/>
  <c r="U248" i="9"/>
  <c r="M248" i="9"/>
  <c r="E248" i="9"/>
  <c r="G248" i="9"/>
  <c r="AM305" i="2"/>
  <c r="X305" i="2"/>
  <c r="B306" i="2" s="1"/>
  <c r="Z248" i="9" l="1"/>
  <c r="AA248" i="9"/>
  <c r="F248" i="9"/>
  <c r="T248" i="9" s="1"/>
  <c r="K248" i="9"/>
  <c r="S248" i="9" s="1"/>
  <c r="AL306" i="2"/>
  <c r="C306" i="2"/>
  <c r="T306" i="2"/>
  <c r="F306" i="2"/>
  <c r="H306" i="2" s="1"/>
  <c r="D306" i="2"/>
  <c r="N306" i="2"/>
  <c r="AS306" i="2"/>
  <c r="J306" i="2"/>
  <c r="L306" i="2"/>
  <c r="V306" i="2"/>
  <c r="D249" i="9" l="1"/>
  <c r="J249" i="9" s="1"/>
  <c r="C249" i="9"/>
  <c r="AB248" i="9"/>
  <c r="X248" i="9" s="1"/>
  <c r="AM306" i="2"/>
  <c r="X306" i="2"/>
  <c r="E249" i="9" l="1"/>
  <c r="N249" i="9"/>
  <c r="I249" i="9"/>
  <c r="V249" i="9"/>
  <c r="U249" i="9"/>
  <c r="Q249" i="9"/>
  <c r="G249" i="9" s="1"/>
  <c r="O249" i="9"/>
  <c r="H249" i="9"/>
  <c r="R249" i="9"/>
  <c r="M249" i="9"/>
  <c r="R307" i="2"/>
  <c r="B307" i="2"/>
  <c r="F249" i="9" l="1"/>
  <c r="T249" i="9" s="1"/>
  <c r="K249" i="9"/>
  <c r="S249" i="9" s="1"/>
  <c r="Z249" i="9"/>
  <c r="AA249" i="9"/>
  <c r="T307" i="2"/>
  <c r="C307" i="2"/>
  <c r="J307" i="2"/>
  <c r="V307" i="2"/>
  <c r="F307" i="2"/>
  <c r="H307" i="2" s="1"/>
  <c r="AS307" i="2"/>
  <c r="L307" i="2"/>
  <c r="N307" i="2"/>
  <c r="D307" i="2"/>
  <c r="AL307" i="2"/>
  <c r="AB249" i="9" l="1"/>
  <c r="X249" i="9" s="1"/>
  <c r="D250" i="9"/>
  <c r="J250" i="9" s="1"/>
  <c r="C250" i="9"/>
  <c r="X307" i="2"/>
  <c r="B308" i="2" s="1"/>
  <c r="AM307" i="2"/>
  <c r="I250" i="9" l="1"/>
  <c r="E250" i="9"/>
  <c r="Q250" i="9"/>
  <c r="G250" i="9" s="1"/>
  <c r="K250" i="9" s="1"/>
  <c r="V250" i="9"/>
  <c r="O250" i="9"/>
  <c r="M250" i="9"/>
  <c r="N250" i="9"/>
  <c r="H250" i="9"/>
  <c r="U250" i="9"/>
  <c r="C308" i="2"/>
  <c r="L308" i="2"/>
  <c r="AL308" i="2"/>
  <c r="F308" i="2"/>
  <c r="H308" i="2" s="1"/>
  <c r="AS308" i="2"/>
  <c r="V308" i="2"/>
  <c r="N308" i="2"/>
  <c r="D308" i="2"/>
  <c r="J308" i="2"/>
  <c r="T308" i="2"/>
  <c r="S250" i="9" l="1"/>
  <c r="Z250" i="9"/>
  <c r="AA250" i="9"/>
  <c r="F250" i="9"/>
  <c r="T250" i="9" s="1"/>
  <c r="X308" i="2"/>
  <c r="AM308" i="2"/>
  <c r="AB250" i="9" l="1"/>
  <c r="X250" i="9" s="1"/>
  <c r="D251" i="9"/>
  <c r="J251" i="9" s="1"/>
  <c r="C251" i="9"/>
  <c r="R309" i="2"/>
  <c r="B309" i="2"/>
  <c r="N251" i="9" l="1"/>
  <c r="Q251" i="9"/>
  <c r="G251" i="9" s="1"/>
  <c r="K251" i="9" s="1"/>
  <c r="U251" i="9"/>
  <c r="I251" i="9"/>
  <c r="H251" i="9"/>
  <c r="O251" i="9"/>
  <c r="E251" i="9"/>
  <c r="S251" i="9" s="1"/>
  <c r="V251" i="9"/>
  <c r="M251" i="9"/>
  <c r="F309" i="2"/>
  <c r="H309" i="2" s="1"/>
  <c r="N309" i="2"/>
  <c r="V309" i="2"/>
  <c r="AL309" i="2"/>
  <c r="J309" i="2"/>
  <c r="T309" i="2"/>
  <c r="AS309" i="2"/>
  <c r="L309" i="2"/>
  <c r="D309" i="2"/>
  <c r="C309" i="2"/>
  <c r="F251" i="9" l="1"/>
  <c r="T251" i="9" s="1"/>
  <c r="Z251" i="9"/>
  <c r="AA251" i="9"/>
  <c r="AM309" i="2"/>
  <c r="X309" i="2"/>
  <c r="B310" i="2" s="1"/>
  <c r="AB251" i="9" l="1"/>
  <c r="X251" i="9" s="1"/>
  <c r="D252" i="9"/>
  <c r="J252" i="9" s="1"/>
  <c r="C252" i="9"/>
  <c r="F310" i="2"/>
  <c r="H310" i="2" s="1"/>
  <c r="D310" i="2"/>
  <c r="AS310" i="2"/>
  <c r="N310" i="2"/>
  <c r="L310" i="2"/>
  <c r="C310" i="2"/>
  <c r="V310" i="2"/>
  <c r="T310" i="2"/>
  <c r="J310" i="2"/>
  <c r="AL310" i="2"/>
  <c r="Q252" i="9" l="1"/>
  <c r="G252" i="9" s="1"/>
  <c r="K252" i="9" s="1"/>
  <c r="I252" i="9"/>
  <c r="N252" i="9"/>
  <c r="V252" i="9"/>
  <c r="E252" i="9"/>
  <c r="F252" i="9" s="1"/>
  <c r="T252" i="9" s="1"/>
  <c r="U252" i="9"/>
  <c r="M252" i="9"/>
  <c r="O252" i="9"/>
  <c r="H252" i="9"/>
  <c r="AM310" i="2"/>
  <c r="X310" i="2"/>
  <c r="D253" i="9" l="1"/>
  <c r="J253" i="9" s="1"/>
  <c r="C253" i="9"/>
  <c r="Z252" i="9"/>
  <c r="AA252" i="9"/>
  <c r="S252" i="9"/>
  <c r="R311" i="2"/>
  <c r="B311" i="2"/>
  <c r="AB252" i="9" l="1"/>
  <c r="X252" i="9" s="1"/>
  <c r="Q253" i="9"/>
  <c r="G253" i="9" s="1"/>
  <c r="K253" i="9" s="1"/>
  <c r="U253" i="9"/>
  <c r="V253" i="9"/>
  <c r="O253" i="9"/>
  <c r="H253" i="9"/>
  <c r="E253" i="9"/>
  <c r="M253" i="9"/>
  <c r="Z253" i="9" s="1"/>
  <c r="N253" i="9"/>
  <c r="I253" i="9"/>
  <c r="N311" i="2"/>
  <c r="C311" i="2"/>
  <c r="AS311" i="2"/>
  <c r="J311" i="2"/>
  <c r="F311" i="2"/>
  <c r="H311" i="2" s="1"/>
  <c r="T311" i="2"/>
  <c r="V311" i="2"/>
  <c r="AL311" i="2"/>
  <c r="D311" i="2"/>
  <c r="L311" i="2"/>
  <c r="F253" i="9" l="1"/>
  <c r="T253" i="9" s="1"/>
  <c r="D254" i="9" s="1"/>
  <c r="J254" i="9" s="1"/>
  <c r="AA253" i="9"/>
  <c r="S253" i="9"/>
  <c r="X311" i="2"/>
  <c r="B312" i="2" s="1"/>
  <c r="AM311" i="2"/>
  <c r="C254" i="9" l="1"/>
  <c r="Q254" i="9" s="1"/>
  <c r="G254" i="9" s="1"/>
  <c r="AB253" i="9"/>
  <c r="X253" i="9" s="1"/>
  <c r="AL312" i="2"/>
  <c r="C312" i="2"/>
  <c r="T312" i="2"/>
  <c r="L312" i="2"/>
  <c r="D312" i="2"/>
  <c r="F312" i="2"/>
  <c r="H312" i="2" s="1"/>
  <c r="N312" i="2"/>
  <c r="AS312" i="2"/>
  <c r="V312" i="2"/>
  <c r="J312" i="2"/>
  <c r="I254" i="9" l="1"/>
  <c r="E254" i="9"/>
  <c r="N254" i="9"/>
  <c r="M254" i="9"/>
  <c r="Z254" i="9" s="1"/>
  <c r="V254" i="9"/>
  <c r="U254" i="9"/>
  <c r="H254" i="9"/>
  <c r="O254" i="9"/>
  <c r="F254" i="9"/>
  <c r="T254" i="9" s="1"/>
  <c r="K254" i="9"/>
  <c r="S254" i="9" s="1"/>
  <c r="X312" i="2"/>
  <c r="AM312" i="2"/>
  <c r="AA254" i="9" l="1"/>
  <c r="AB254" i="9" s="1"/>
  <c r="X254" i="9" s="1"/>
  <c r="D255" i="9"/>
  <c r="J255" i="9" s="1"/>
  <c r="C255" i="9"/>
  <c r="R313" i="2"/>
  <c r="B313" i="2"/>
  <c r="I255" i="9" l="1"/>
  <c r="E255" i="9"/>
  <c r="O255" i="9"/>
  <c r="U255" i="9"/>
  <c r="V255" i="9"/>
  <c r="M255" i="9"/>
  <c r="H255" i="9"/>
  <c r="Q255" i="9"/>
  <c r="G255" i="9" s="1"/>
  <c r="K255" i="9" s="1"/>
  <c r="N255" i="9"/>
  <c r="AS313" i="2"/>
  <c r="L313" i="2"/>
  <c r="J313" i="2"/>
  <c r="D313" i="2"/>
  <c r="AL313" i="2"/>
  <c r="V313" i="2"/>
  <c r="T313" i="2"/>
  <c r="F313" i="2"/>
  <c r="H313" i="2" s="1"/>
  <c r="N313" i="2"/>
  <c r="C313" i="2"/>
  <c r="S255" i="9" l="1"/>
  <c r="Z255" i="9"/>
  <c r="AA255" i="9"/>
  <c r="F255" i="9"/>
  <c r="T255" i="9" s="1"/>
  <c r="X313" i="2"/>
  <c r="B314" i="2" s="1"/>
  <c r="AM313" i="2"/>
  <c r="D256" i="9" l="1"/>
  <c r="J256" i="9" s="1"/>
  <c r="C256" i="9"/>
  <c r="AB255" i="9"/>
  <c r="X255" i="9" s="1"/>
  <c r="F314" i="2"/>
  <c r="H314" i="2" s="1"/>
  <c r="C314" i="2"/>
  <c r="N314" i="2"/>
  <c r="AS314" i="2"/>
  <c r="J314" i="2"/>
  <c r="D314" i="2"/>
  <c r="V314" i="2"/>
  <c r="AL314" i="2"/>
  <c r="L314" i="2"/>
  <c r="T314" i="2"/>
  <c r="N256" i="9" l="1"/>
  <c r="V256" i="9"/>
  <c r="U256" i="9"/>
  <c r="O256" i="9"/>
  <c r="M256" i="9"/>
  <c r="E256" i="9"/>
  <c r="I256" i="9"/>
  <c r="Q256" i="9"/>
  <c r="G256" i="9" s="1"/>
  <c r="H256" i="9"/>
  <c r="AM314" i="2"/>
  <c r="X314" i="2"/>
  <c r="Z256" i="9" l="1"/>
  <c r="AA256" i="9"/>
  <c r="F256" i="9"/>
  <c r="T256" i="9" s="1"/>
  <c r="K256" i="9"/>
  <c r="S256" i="9" s="1"/>
  <c r="R315" i="2"/>
  <c r="B315" i="2"/>
  <c r="D257" i="9" l="1"/>
  <c r="J257" i="9" s="1"/>
  <c r="C257" i="9"/>
  <c r="AB256" i="9"/>
  <c r="X256" i="9" s="1"/>
  <c r="F315" i="2"/>
  <c r="H315" i="2" s="1"/>
  <c r="D315" i="2"/>
  <c r="C315" i="2"/>
  <c r="L315" i="2"/>
  <c r="V315" i="2"/>
  <c r="J315" i="2"/>
  <c r="T315" i="2"/>
  <c r="N315" i="2"/>
  <c r="AL315" i="2"/>
  <c r="AS315" i="2"/>
  <c r="U257" i="9" l="1"/>
  <c r="V257" i="9"/>
  <c r="E257" i="9"/>
  <c r="M257" i="9"/>
  <c r="O257" i="9"/>
  <c r="N257" i="9"/>
  <c r="I257" i="9"/>
  <c r="H257" i="9"/>
  <c r="Q257" i="9"/>
  <c r="G257" i="9" s="1"/>
  <c r="K257" i="9" s="1"/>
  <c r="AM315" i="2"/>
  <c r="X315" i="2"/>
  <c r="B316" i="2" s="1"/>
  <c r="Z257" i="9" l="1"/>
  <c r="AA257" i="9"/>
  <c r="S257" i="9"/>
  <c r="F257" i="9"/>
  <c r="T257" i="9" s="1"/>
  <c r="U316" i="2"/>
  <c r="AS316" i="2"/>
  <c r="T316" i="2"/>
  <c r="F316" i="2"/>
  <c r="H316" i="2" s="1"/>
  <c r="D316" i="2"/>
  <c r="N316" i="2"/>
  <c r="V316" i="2"/>
  <c r="AL316" i="2"/>
  <c r="L316" i="2"/>
  <c r="J316" i="2"/>
  <c r="C316" i="2"/>
  <c r="D258" i="9" l="1"/>
  <c r="J258" i="9" s="1"/>
  <c r="C258" i="9"/>
  <c r="AB257" i="9"/>
  <c r="X257" i="9" s="1"/>
  <c r="X316" i="2"/>
  <c r="AM316" i="2"/>
  <c r="O258" i="9" l="1"/>
  <c r="E258" i="9"/>
  <c r="U258" i="9"/>
  <c r="V258" i="9"/>
  <c r="H258" i="9"/>
  <c r="Q258" i="9"/>
  <c r="G258" i="9" s="1"/>
  <c r="K258" i="9" s="1"/>
  <c r="N258" i="9"/>
  <c r="I258" i="9"/>
  <c r="M258" i="9"/>
  <c r="R317" i="2"/>
  <c r="B317" i="2"/>
  <c r="S258" i="9" l="1"/>
  <c r="F258" i="9"/>
  <c r="T258" i="9" s="1"/>
  <c r="Z258" i="9"/>
  <c r="AA258" i="9"/>
  <c r="AL317" i="2"/>
  <c r="D317" i="2"/>
  <c r="C317" i="2"/>
  <c r="AS317" i="2"/>
  <c r="T317" i="2"/>
  <c r="N317" i="2"/>
  <c r="V317" i="2"/>
  <c r="F317" i="2"/>
  <c r="H317" i="2" s="1"/>
  <c r="L317" i="2"/>
  <c r="J317" i="2"/>
  <c r="AB258" i="9" l="1"/>
  <c r="X258" i="9" s="1"/>
  <c r="D259" i="9"/>
  <c r="J259" i="9" s="1"/>
  <c r="C259" i="9"/>
  <c r="X317" i="2"/>
  <c r="B318" i="2" s="1"/>
  <c r="AM317" i="2"/>
  <c r="E259" i="9" l="1"/>
  <c r="Q259" i="9"/>
  <c r="V259" i="9"/>
  <c r="U259" i="9"/>
  <c r="I259" i="9"/>
  <c r="M259" i="9"/>
  <c r="G259" i="9"/>
  <c r="H259" i="9"/>
  <c r="O259" i="9"/>
  <c r="N259" i="9"/>
  <c r="C318" i="2"/>
  <c r="D318" i="2"/>
  <c r="N318" i="2"/>
  <c r="F318" i="2"/>
  <c r="H318" i="2" s="1"/>
  <c r="T318" i="2"/>
  <c r="L318" i="2"/>
  <c r="V318" i="2"/>
  <c r="J318" i="2"/>
  <c r="AS318" i="2"/>
  <c r="AL318" i="2"/>
  <c r="F259" i="9" l="1"/>
  <c r="T259" i="9" s="1"/>
  <c r="K259" i="9"/>
  <c r="S259" i="9" s="1"/>
  <c r="Z259" i="9"/>
  <c r="AA259" i="9"/>
  <c r="AM318" i="2"/>
  <c r="X318" i="2"/>
  <c r="AB259" i="9" l="1"/>
  <c r="X259" i="9" s="1"/>
  <c r="D260" i="9"/>
  <c r="J260" i="9" s="1"/>
  <c r="C260" i="9"/>
  <c r="R319" i="2"/>
  <c r="B319" i="2"/>
  <c r="H260" i="9" l="1"/>
  <c r="V260" i="9"/>
  <c r="Q260" i="9"/>
  <c r="G260" i="9" s="1"/>
  <c r="O260" i="9"/>
  <c r="U260" i="9"/>
  <c r="N260" i="9"/>
  <c r="M260" i="9"/>
  <c r="I260" i="9"/>
  <c r="AL319" i="2"/>
  <c r="V319" i="2"/>
  <c r="F319" i="2"/>
  <c r="H319" i="2" s="1"/>
  <c r="N319" i="2"/>
  <c r="AS319" i="2"/>
  <c r="L319" i="2"/>
  <c r="D319" i="2"/>
  <c r="T319" i="2"/>
  <c r="C319" i="2"/>
  <c r="J319" i="2"/>
  <c r="E260" i="9" l="1"/>
  <c r="K260" i="9"/>
  <c r="Z260" i="9"/>
  <c r="AA260" i="9"/>
  <c r="AM319" i="2"/>
  <c r="X319" i="2"/>
  <c r="B320" i="2" s="1"/>
  <c r="AB260" i="9" l="1"/>
  <c r="X260" i="9" s="1"/>
  <c r="F260" i="9"/>
  <c r="T260" i="9" s="1"/>
  <c r="S260" i="9"/>
  <c r="N320" i="2"/>
  <c r="AL320" i="2"/>
  <c r="J320" i="2"/>
  <c r="AS320" i="2"/>
  <c r="V320" i="2"/>
  <c r="T320" i="2"/>
  <c r="C320" i="2"/>
  <c r="F320" i="2"/>
  <c r="H320" i="2" s="1"/>
  <c r="L320" i="2"/>
  <c r="D320" i="2"/>
  <c r="D261" i="9" l="1"/>
  <c r="J261" i="9" s="1"/>
  <c r="C261" i="9"/>
  <c r="X320" i="2"/>
  <c r="AM320" i="2"/>
  <c r="O261" i="9" l="1"/>
  <c r="X261" i="9"/>
  <c r="U261" i="9"/>
  <c r="Q261" i="9"/>
  <c r="I261" i="9"/>
  <c r="N261" i="9"/>
  <c r="H261" i="9"/>
  <c r="F261" i="9"/>
  <c r="V261" i="9"/>
  <c r="E261" i="9"/>
  <c r="S261" i="9"/>
  <c r="G261" i="9"/>
  <c r="K261" i="9" s="1"/>
  <c r="T261" i="9"/>
  <c r="D262" i="9" s="1"/>
  <c r="J262" i="9" s="1"/>
  <c r="R261" i="9"/>
  <c r="M261" i="9"/>
  <c r="R321" i="2"/>
  <c r="B321" i="2"/>
  <c r="Z261" i="9" l="1"/>
  <c r="AA261" i="9"/>
  <c r="C262" i="9"/>
  <c r="T321" i="2"/>
  <c r="AL321" i="2"/>
  <c r="V321" i="2"/>
  <c r="F321" i="2"/>
  <c r="H321" i="2" s="1"/>
  <c r="J321" i="2"/>
  <c r="AS321" i="2"/>
  <c r="N321" i="2"/>
  <c r="C321" i="2"/>
  <c r="L321" i="2"/>
  <c r="D321" i="2"/>
  <c r="T262" i="9" l="1"/>
  <c r="D263" i="9" s="1"/>
  <c r="J263" i="9" s="1"/>
  <c r="H262" i="9"/>
  <c r="S262" i="9"/>
  <c r="N262" i="9"/>
  <c r="G262" i="9"/>
  <c r="K262" i="9" s="1"/>
  <c r="U262" i="9"/>
  <c r="V262" i="9"/>
  <c r="E262" i="9"/>
  <c r="M262" i="9"/>
  <c r="Z262" i="9" s="1"/>
  <c r="F262" i="9"/>
  <c r="I262" i="9"/>
  <c r="X262" i="9"/>
  <c r="Q262" i="9"/>
  <c r="O262" i="9"/>
  <c r="AB261" i="9"/>
  <c r="X321" i="2"/>
  <c r="B322" i="2" s="1"/>
  <c r="AM321" i="2"/>
  <c r="C263" i="9" l="1"/>
  <c r="E263" i="9" s="1"/>
  <c r="AA262" i="9"/>
  <c r="AB262" i="9" s="1"/>
  <c r="H263" i="9"/>
  <c r="F263" i="9"/>
  <c r="Q263" i="9"/>
  <c r="I263" i="9"/>
  <c r="N263" i="9"/>
  <c r="G263" i="9"/>
  <c r="K263" i="9" s="1"/>
  <c r="U263" i="9"/>
  <c r="X263" i="9"/>
  <c r="V263" i="9"/>
  <c r="T263" i="9"/>
  <c r="D264" i="9" s="1"/>
  <c r="J264" i="9" s="1"/>
  <c r="M263" i="9"/>
  <c r="Z263" i="9" s="1"/>
  <c r="O263" i="9"/>
  <c r="D322" i="2"/>
  <c r="AL322" i="2"/>
  <c r="F322" i="2"/>
  <c r="H322" i="2" s="1"/>
  <c r="L322" i="2"/>
  <c r="N322" i="2"/>
  <c r="T322" i="2"/>
  <c r="C322" i="2"/>
  <c r="V322" i="2"/>
  <c r="J322" i="2"/>
  <c r="AS322" i="2"/>
  <c r="S263" i="9" l="1"/>
  <c r="C264" i="9"/>
  <c r="AA263" i="9"/>
  <c r="X322" i="2"/>
  <c r="AM322" i="2"/>
  <c r="AB263" i="9" l="1"/>
  <c r="N264" i="9"/>
  <c r="X264" i="9"/>
  <c r="M264" i="9"/>
  <c r="Z264" i="9" s="1"/>
  <c r="H264" i="9"/>
  <c r="C265" i="9"/>
  <c r="U264" i="9"/>
  <c r="V264" i="9"/>
  <c r="E264" i="9"/>
  <c r="T264" i="9"/>
  <c r="D265" i="9" s="1"/>
  <c r="J265" i="9" s="1"/>
  <c r="I264" i="9"/>
  <c r="G264" i="9"/>
  <c r="K264" i="9" s="1"/>
  <c r="S264" i="9"/>
  <c r="F264" i="9"/>
  <c r="Q264" i="9"/>
  <c r="O264" i="9"/>
  <c r="R323" i="2"/>
  <c r="B323" i="2"/>
  <c r="M265" i="9" l="1"/>
  <c r="H265" i="9"/>
  <c r="G265" i="9"/>
  <c r="K265" i="9" s="1"/>
  <c r="N265" i="9"/>
  <c r="F265" i="9"/>
  <c r="X265" i="9"/>
  <c r="E265" i="9"/>
  <c r="Q265" i="9"/>
  <c r="I265" i="9"/>
  <c r="O265" i="9"/>
  <c r="V265" i="9"/>
  <c r="U265" i="9"/>
  <c r="S265" i="9"/>
  <c r="T265" i="9"/>
  <c r="D266" i="9" s="1"/>
  <c r="J266" i="9" s="1"/>
  <c r="AA264" i="9"/>
  <c r="D323" i="2"/>
  <c r="J323" i="2"/>
  <c r="N323" i="2"/>
  <c r="V323" i="2"/>
  <c r="F323" i="2"/>
  <c r="H323" i="2" s="1"/>
  <c r="AL323" i="2"/>
  <c r="C323" i="2"/>
  <c r="AS323" i="2"/>
  <c r="L323" i="2"/>
  <c r="T323" i="2"/>
  <c r="C266" i="9" l="1"/>
  <c r="T266" i="9" s="1"/>
  <c r="AB264" i="9"/>
  <c r="AA265" i="9"/>
  <c r="G266" i="9"/>
  <c r="K266" i="9" s="1"/>
  <c r="N266" i="9"/>
  <c r="S266" i="9"/>
  <c r="H266" i="9"/>
  <c r="E266" i="9"/>
  <c r="I266" i="9"/>
  <c r="Z265" i="9"/>
  <c r="X323" i="2"/>
  <c r="B324" i="2" s="1"/>
  <c r="AM323" i="2"/>
  <c r="O266" i="9" l="1"/>
  <c r="Q266" i="9"/>
  <c r="X266" i="9"/>
  <c r="F266" i="9"/>
  <c r="D267" i="9"/>
  <c r="J267" i="9" s="1"/>
  <c r="C267" i="9"/>
  <c r="O267" i="9" s="1"/>
  <c r="V266" i="9"/>
  <c r="U266" i="9"/>
  <c r="M266" i="9"/>
  <c r="Z266" i="9" s="1"/>
  <c r="AB265" i="9"/>
  <c r="D324" i="2"/>
  <c r="AS324" i="2"/>
  <c r="F324" i="2"/>
  <c r="H324" i="2" s="1"/>
  <c r="AL324" i="2"/>
  <c r="J324" i="2"/>
  <c r="V324" i="2"/>
  <c r="L324" i="2"/>
  <c r="N324" i="2"/>
  <c r="C324" i="2"/>
  <c r="T324" i="2"/>
  <c r="H267" i="9" l="1"/>
  <c r="I267" i="9"/>
  <c r="N267" i="9"/>
  <c r="S267" i="9"/>
  <c r="F267" i="9"/>
  <c r="E267" i="9"/>
  <c r="G267" i="9"/>
  <c r="K267" i="9" s="1"/>
  <c r="X267" i="9"/>
  <c r="Q267" i="9"/>
  <c r="V267" i="9"/>
  <c r="AA266" i="9"/>
  <c r="T267" i="9"/>
  <c r="D268" i="9" s="1"/>
  <c r="J268" i="9" s="1"/>
  <c r="M267" i="9"/>
  <c r="U267" i="9"/>
  <c r="Z267" i="9"/>
  <c r="AM324" i="2"/>
  <c r="X324" i="2"/>
  <c r="AA267" i="9" l="1"/>
  <c r="AB267" i="9" s="1"/>
  <c r="AB266" i="9"/>
  <c r="C268" i="9"/>
  <c r="F268" i="9" s="1"/>
  <c r="Z268" i="9"/>
  <c r="R325" i="2"/>
  <c r="B325" i="2"/>
  <c r="G268" i="9" l="1"/>
  <c r="K268" i="9" s="1"/>
  <c r="E268" i="9"/>
  <c r="V268" i="9"/>
  <c r="M268" i="9"/>
  <c r="AA268" i="9" s="1"/>
  <c r="AB268" i="9" s="1"/>
  <c r="T268" i="9"/>
  <c r="D269" i="9" s="1"/>
  <c r="J269" i="9" s="1"/>
  <c r="Q268" i="9"/>
  <c r="S268" i="9"/>
  <c r="H268" i="9"/>
  <c r="X268" i="9"/>
  <c r="I268" i="9"/>
  <c r="U268" i="9"/>
  <c r="N268" i="9"/>
  <c r="C269" i="9"/>
  <c r="G269" i="9" s="1"/>
  <c r="K269" i="9" s="1"/>
  <c r="O268" i="9"/>
  <c r="D325" i="2"/>
  <c r="J325" i="2"/>
  <c r="L325" i="2"/>
  <c r="T325" i="2"/>
  <c r="V325" i="2"/>
  <c r="AL325" i="2"/>
  <c r="N325" i="2"/>
  <c r="F325" i="2"/>
  <c r="H325" i="2" s="1"/>
  <c r="AS325" i="2"/>
  <c r="C325" i="2"/>
  <c r="E269" i="9" l="1"/>
  <c r="H269" i="9"/>
  <c r="U269" i="9"/>
  <c r="F269" i="9"/>
  <c r="N269" i="9"/>
  <c r="T269" i="9"/>
  <c r="D270" i="9" s="1"/>
  <c r="J270" i="9" s="1"/>
  <c r="O269" i="9"/>
  <c r="M269" i="9"/>
  <c r="Z269" i="9" s="1"/>
  <c r="V269" i="9"/>
  <c r="Q269" i="9"/>
  <c r="X269" i="9"/>
  <c r="S269" i="9"/>
  <c r="I269" i="9"/>
  <c r="X325" i="2"/>
  <c r="B326" i="2" s="1"/>
  <c r="AM325" i="2"/>
  <c r="C270" i="9" l="1"/>
  <c r="Q270" i="9" s="1"/>
  <c r="AA269" i="9"/>
  <c r="AB269" i="9" s="1"/>
  <c r="S270" i="9"/>
  <c r="U270" i="9"/>
  <c r="E270" i="9"/>
  <c r="V270" i="9"/>
  <c r="I270" i="9"/>
  <c r="G270" i="9"/>
  <c r="K270" i="9" s="1"/>
  <c r="O270" i="9"/>
  <c r="H270" i="9"/>
  <c r="F270" i="9"/>
  <c r="M270" i="9"/>
  <c r="AS326" i="2"/>
  <c r="F326" i="2"/>
  <c r="H326" i="2" s="1"/>
  <c r="V326" i="2"/>
  <c r="C326" i="2"/>
  <c r="J326" i="2"/>
  <c r="D326" i="2"/>
  <c r="L326" i="2"/>
  <c r="N326" i="2"/>
  <c r="AL326" i="2"/>
  <c r="T326" i="2"/>
  <c r="X270" i="9" l="1"/>
  <c r="T270" i="9"/>
  <c r="D271" i="9" s="1"/>
  <c r="J271" i="9" s="1"/>
  <c r="N270" i="9"/>
  <c r="AA270" i="9"/>
  <c r="Z270" i="9"/>
  <c r="AM326" i="2"/>
  <c r="X326" i="2"/>
  <c r="C271" i="9" l="1"/>
  <c r="X271" i="9" s="1"/>
  <c r="AB270" i="9"/>
  <c r="O271" i="9"/>
  <c r="Q271" i="9"/>
  <c r="U271" i="9"/>
  <c r="N271" i="9"/>
  <c r="V271" i="9"/>
  <c r="E271" i="9"/>
  <c r="G271" i="9"/>
  <c r="K271" i="9" s="1"/>
  <c r="T271" i="9"/>
  <c r="D272" i="9" s="1"/>
  <c r="J272" i="9" s="1"/>
  <c r="F271" i="9"/>
  <c r="I271" i="9"/>
  <c r="H271" i="9"/>
  <c r="S271" i="9"/>
  <c r="M271" i="9"/>
  <c r="Z271" i="9" s="1"/>
  <c r="R327" i="2"/>
  <c r="B327" i="2"/>
  <c r="AA271" i="9" l="1"/>
  <c r="C272" i="9"/>
  <c r="F327" i="2"/>
  <c r="H327" i="2" s="1"/>
  <c r="L327" i="2"/>
  <c r="V327" i="2"/>
  <c r="N327" i="2"/>
  <c r="AS327" i="2"/>
  <c r="J327" i="2"/>
  <c r="T327" i="2"/>
  <c r="D327" i="2"/>
  <c r="C327" i="2"/>
  <c r="AL327" i="2"/>
  <c r="G272" i="9" l="1"/>
  <c r="K272" i="9" s="1"/>
  <c r="Q272" i="9"/>
  <c r="X272" i="9"/>
  <c r="S272" i="9"/>
  <c r="E272" i="9"/>
  <c r="V272" i="9"/>
  <c r="H272" i="9"/>
  <c r="M272" i="9"/>
  <c r="Z272" i="9" s="1"/>
  <c r="O272" i="9"/>
  <c r="I272" i="9"/>
  <c r="F272" i="9"/>
  <c r="N272" i="9"/>
  <c r="T272" i="9"/>
  <c r="D273" i="9" s="1"/>
  <c r="J273" i="9" s="1"/>
  <c r="U272" i="9"/>
  <c r="AB271" i="9"/>
  <c r="AM327" i="2"/>
  <c r="X327" i="2"/>
  <c r="B328" i="2" s="1"/>
  <c r="AA272" i="9" l="1"/>
  <c r="AB272" i="9" s="1"/>
  <c r="C273" i="9"/>
  <c r="J328" i="2"/>
  <c r="D328" i="2"/>
  <c r="N328" i="2"/>
  <c r="C328" i="2"/>
  <c r="AL328" i="2"/>
  <c r="L328" i="2"/>
  <c r="AS328" i="2"/>
  <c r="V328" i="2"/>
  <c r="U328" i="2"/>
  <c r="T328" i="2"/>
  <c r="F328" i="2"/>
  <c r="H328" i="2" s="1"/>
  <c r="G273" i="9" l="1"/>
  <c r="K273" i="9" s="1"/>
  <c r="X273" i="9"/>
  <c r="V273" i="9"/>
  <c r="M273" i="9"/>
  <c r="U273" i="9"/>
  <c r="H273" i="9"/>
  <c r="I273" i="9"/>
  <c r="O273" i="9"/>
  <c r="E273" i="9"/>
  <c r="R273" i="9"/>
  <c r="N273" i="9"/>
  <c r="F273" i="9"/>
  <c r="T273" i="9"/>
  <c r="D274" i="9" s="1"/>
  <c r="J274" i="9" s="1"/>
  <c r="Q273" i="9"/>
  <c r="S273" i="9"/>
  <c r="AM328" i="2"/>
  <c r="X328" i="2"/>
  <c r="Z273" i="9" l="1"/>
  <c r="AA273" i="9"/>
  <c r="C274" i="9"/>
  <c r="R329" i="2"/>
  <c r="B329" i="2"/>
  <c r="AB273" i="9" l="1"/>
  <c r="V274" i="9"/>
  <c r="H274" i="9"/>
  <c r="N274" i="9"/>
  <c r="Q274" i="9"/>
  <c r="S274" i="9"/>
  <c r="U274" i="9"/>
  <c r="E274" i="9"/>
  <c r="T274" i="9"/>
  <c r="D275" i="9" s="1"/>
  <c r="J275" i="9" s="1"/>
  <c r="M274" i="9"/>
  <c r="Z274" i="9" s="1"/>
  <c r="O274" i="9"/>
  <c r="F274" i="9"/>
  <c r="I274" i="9"/>
  <c r="X274" i="9"/>
  <c r="G274" i="9"/>
  <c r="K274" i="9" s="1"/>
  <c r="C329" i="2"/>
  <c r="D329" i="2"/>
  <c r="L329" i="2"/>
  <c r="AS329" i="2"/>
  <c r="J329" i="2"/>
  <c r="T329" i="2"/>
  <c r="N329" i="2"/>
  <c r="V329" i="2"/>
  <c r="AL329" i="2"/>
  <c r="F329" i="2"/>
  <c r="H329" i="2" s="1"/>
  <c r="AA274" i="9" l="1"/>
  <c r="AB274" i="9" s="1"/>
  <c r="C275" i="9"/>
  <c r="X329" i="2"/>
  <c r="B330" i="2" s="1"/>
  <c r="AM329" i="2"/>
  <c r="I275" i="9" l="1"/>
  <c r="F275" i="9"/>
  <c r="M275" i="9"/>
  <c r="G275" i="9"/>
  <c r="K275" i="9" s="1"/>
  <c r="N275" i="9"/>
  <c r="Q275" i="9"/>
  <c r="V275" i="9"/>
  <c r="H275" i="9"/>
  <c r="E275" i="9"/>
  <c r="S275" i="9"/>
  <c r="X275" i="9"/>
  <c r="O275" i="9"/>
  <c r="U275" i="9"/>
  <c r="T275" i="9"/>
  <c r="D276" i="9" s="1"/>
  <c r="J276" i="9" s="1"/>
  <c r="V330" i="2"/>
  <c r="C330" i="2"/>
  <c r="J330" i="2"/>
  <c r="AL330" i="2"/>
  <c r="AS330" i="2"/>
  <c r="T330" i="2"/>
  <c r="N330" i="2"/>
  <c r="L330" i="2"/>
  <c r="D330" i="2"/>
  <c r="F330" i="2"/>
  <c r="H330" i="2" s="1"/>
  <c r="Z275" i="9" l="1"/>
  <c r="AA275" i="9"/>
  <c r="AB275" i="9" s="1"/>
  <c r="C276" i="9"/>
  <c r="X330" i="2"/>
  <c r="AM330" i="2"/>
  <c r="E276" i="9" l="1"/>
  <c r="N276" i="9"/>
  <c r="O276" i="9"/>
  <c r="F276" i="9"/>
  <c r="I276" i="9"/>
  <c r="Q276" i="9"/>
  <c r="H276" i="9"/>
  <c r="X276" i="9"/>
  <c r="U276" i="9"/>
  <c r="S276" i="9"/>
  <c r="T276" i="9"/>
  <c r="D277" i="9" s="1"/>
  <c r="J277" i="9" s="1"/>
  <c r="V276" i="9"/>
  <c r="G276" i="9"/>
  <c r="K276" i="9" s="1"/>
  <c r="M276" i="9"/>
  <c r="R331" i="2"/>
  <c r="B331" i="2"/>
  <c r="AA276" i="9" l="1"/>
  <c r="Z276" i="9"/>
  <c r="C277" i="9"/>
  <c r="L331" i="2"/>
  <c r="AS331" i="2"/>
  <c r="D331" i="2"/>
  <c r="T331" i="2"/>
  <c r="F331" i="2"/>
  <c r="H331" i="2" s="1"/>
  <c r="C331" i="2"/>
  <c r="J331" i="2"/>
  <c r="V331" i="2"/>
  <c r="N331" i="2"/>
  <c r="AL331" i="2"/>
  <c r="Q277" i="9" l="1"/>
  <c r="N277" i="9"/>
  <c r="M277" i="9"/>
  <c r="O277" i="9"/>
  <c r="U277" i="9"/>
  <c r="T277" i="9"/>
  <c r="D278" i="9" s="1"/>
  <c r="J278" i="9" s="1"/>
  <c r="F277" i="9"/>
  <c r="I277" i="9"/>
  <c r="V277" i="9"/>
  <c r="X277" i="9"/>
  <c r="H277" i="9"/>
  <c r="S277" i="9"/>
  <c r="E277" i="9"/>
  <c r="G277" i="9"/>
  <c r="K277" i="9" s="1"/>
  <c r="AB276" i="9"/>
  <c r="AM331" i="2"/>
  <c r="X331" i="2"/>
  <c r="B332" i="2" s="1"/>
  <c r="C278" i="9" l="1"/>
  <c r="Z277" i="9"/>
  <c r="AA277" i="9"/>
  <c r="N332" i="2"/>
  <c r="F332" i="2"/>
  <c r="H332" i="2" s="1"/>
  <c r="AL332" i="2"/>
  <c r="L332" i="2"/>
  <c r="C332" i="2"/>
  <c r="AS332" i="2"/>
  <c r="J332" i="2"/>
  <c r="T332" i="2"/>
  <c r="V332" i="2"/>
  <c r="D332" i="2"/>
  <c r="AB277" i="9" l="1"/>
  <c r="F278" i="9"/>
  <c r="T278" i="9"/>
  <c r="D279" i="9" s="1"/>
  <c r="J279" i="9" s="1"/>
  <c r="H278" i="9"/>
  <c r="I278" i="9"/>
  <c r="N278" i="9"/>
  <c r="Q278" i="9"/>
  <c r="M278" i="9"/>
  <c r="Z278" i="9" s="1"/>
  <c r="E278" i="9"/>
  <c r="O278" i="9"/>
  <c r="U278" i="9"/>
  <c r="V278" i="9"/>
  <c r="G278" i="9"/>
  <c r="K278" i="9" s="1"/>
  <c r="X278" i="9"/>
  <c r="S278" i="9"/>
  <c r="AM332" i="2"/>
  <c r="X332" i="2"/>
  <c r="C279" i="9" l="1"/>
  <c r="O279" i="9" s="1"/>
  <c r="AA278" i="9"/>
  <c r="R333" i="2"/>
  <c r="B333" i="2"/>
  <c r="T279" i="9" l="1"/>
  <c r="D280" i="9" s="1"/>
  <c r="J280" i="9" s="1"/>
  <c r="I279" i="9"/>
  <c r="M279" i="9"/>
  <c r="Z279" i="9" s="1"/>
  <c r="S279" i="9"/>
  <c r="U279" i="9"/>
  <c r="X279" i="9"/>
  <c r="F279" i="9"/>
  <c r="H279" i="9"/>
  <c r="N279" i="9"/>
  <c r="G279" i="9"/>
  <c r="K279" i="9" s="1"/>
  <c r="Q279" i="9"/>
  <c r="E279" i="9"/>
  <c r="V279" i="9"/>
  <c r="AB278" i="9"/>
  <c r="C280" i="9"/>
  <c r="F333" i="2"/>
  <c r="H333" i="2" s="1"/>
  <c r="D333" i="2"/>
  <c r="AL333" i="2"/>
  <c r="AS333" i="2"/>
  <c r="N333" i="2"/>
  <c r="V333" i="2"/>
  <c r="J333" i="2"/>
  <c r="C333" i="2"/>
  <c r="L333" i="2"/>
  <c r="T333" i="2"/>
  <c r="AA279" i="9" l="1"/>
  <c r="AB279" i="9" s="1"/>
  <c r="E280" i="9"/>
  <c r="Q280" i="9"/>
  <c r="I280" i="9"/>
  <c r="V280" i="9"/>
  <c r="N280" i="9"/>
  <c r="M280" i="9"/>
  <c r="Z280" i="9" s="1"/>
  <c r="U280" i="9"/>
  <c r="S280" i="9"/>
  <c r="T280" i="9"/>
  <c r="D281" i="9" s="1"/>
  <c r="J281" i="9" s="1"/>
  <c r="F280" i="9"/>
  <c r="G280" i="9"/>
  <c r="K280" i="9" s="1"/>
  <c r="X280" i="9"/>
  <c r="O280" i="9"/>
  <c r="H280" i="9"/>
  <c r="X333" i="2"/>
  <c r="B334" i="2" s="1"/>
  <c r="AM333" i="2"/>
  <c r="C281" i="9" l="1"/>
  <c r="Q281" i="9" s="1"/>
  <c r="AA280" i="9"/>
  <c r="M281" i="9"/>
  <c r="Z281" i="9" s="1"/>
  <c r="U281" i="9"/>
  <c r="N281" i="9"/>
  <c r="I281" i="9"/>
  <c r="J334" i="2"/>
  <c r="AL334" i="2"/>
  <c r="C334" i="2"/>
  <c r="AS334" i="2"/>
  <c r="L334" i="2"/>
  <c r="T334" i="2"/>
  <c r="N334" i="2"/>
  <c r="D334" i="2"/>
  <c r="F334" i="2"/>
  <c r="H334" i="2" s="1"/>
  <c r="V334" i="2"/>
  <c r="G281" i="9" l="1"/>
  <c r="K281" i="9" s="1"/>
  <c r="H281" i="9"/>
  <c r="V281" i="9"/>
  <c r="F281" i="9"/>
  <c r="X281" i="9"/>
  <c r="S281" i="9"/>
  <c r="T281" i="9"/>
  <c r="D282" i="9" s="1"/>
  <c r="J282" i="9" s="1"/>
  <c r="O281" i="9"/>
  <c r="E281" i="9"/>
  <c r="AB280" i="9"/>
  <c r="AA281" i="9"/>
  <c r="AB281" i="9" s="1"/>
  <c r="AM334" i="2"/>
  <c r="X334" i="2"/>
  <c r="C282" i="9" l="1"/>
  <c r="I282" i="9" s="1"/>
  <c r="S282" i="9"/>
  <c r="T282" i="9"/>
  <c r="D283" i="9" s="1"/>
  <c r="J283" i="9" s="1"/>
  <c r="F282" i="9"/>
  <c r="V282" i="9"/>
  <c r="H282" i="9"/>
  <c r="Q282" i="9"/>
  <c r="G282" i="9"/>
  <c r="K282" i="9" s="1"/>
  <c r="Z282" i="9"/>
  <c r="R335" i="2"/>
  <c r="B335" i="2"/>
  <c r="O282" i="9" l="1"/>
  <c r="E282" i="9"/>
  <c r="N282" i="9"/>
  <c r="U282" i="9"/>
  <c r="X282" i="9"/>
  <c r="M282" i="9"/>
  <c r="AA282" i="9" s="1"/>
  <c r="AB282" i="9" s="1"/>
  <c r="C283" i="9"/>
  <c r="O283" i="9" s="1"/>
  <c r="I283" i="9"/>
  <c r="L335" i="2"/>
  <c r="J335" i="2"/>
  <c r="N335" i="2"/>
  <c r="AS335" i="2"/>
  <c r="D335" i="2"/>
  <c r="AL335" i="2"/>
  <c r="T335" i="2"/>
  <c r="V335" i="2"/>
  <c r="F335" i="2"/>
  <c r="H335" i="2" s="1"/>
  <c r="C335" i="2"/>
  <c r="T283" i="9" l="1"/>
  <c r="D284" i="9" s="1"/>
  <c r="J284" i="9" s="1"/>
  <c r="H283" i="9"/>
  <c r="G283" i="9"/>
  <c r="K283" i="9" s="1"/>
  <c r="U283" i="9"/>
  <c r="N283" i="9"/>
  <c r="E283" i="9"/>
  <c r="M283" i="9"/>
  <c r="Z283" i="9" s="1"/>
  <c r="S283" i="9"/>
  <c r="F283" i="9"/>
  <c r="V283" i="9"/>
  <c r="X283" i="9"/>
  <c r="Q283" i="9"/>
  <c r="C284" i="9"/>
  <c r="U284" i="9" s="1"/>
  <c r="AM335" i="2"/>
  <c r="X335" i="2"/>
  <c r="B336" i="2" s="1"/>
  <c r="AA283" i="9" l="1"/>
  <c r="AB283" i="9" s="1"/>
  <c r="F284" i="9"/>
  <c r="E284" i="9"/>
  <c r="I284" i="9"/>
  <c r="T284" i="9"/>
  <c r="D285" i="9" s="1"/>
  <c r="J285" i="9" s="1"/>
  <c r="V284" i="9"/>
  <c r="X284" i="9"/>
  <c r="M284" i="9"/>
  <c r="AA284" i="9" s="1"/>
  <c r="O284" i="9"/>
  <c r="G284" i="9"/>
  <c r="K284" i="9" s="1"/>
  <c r="H284" i="9"/>
  <c r="Q284" i="9"/>
  <c r="S284" i="9"/>
  <c r="N284" i="9"/>
  <c r="Z284" i="9"/>
  <c r="AL336" i="2"/>
  <c r="D336" i="2"/>
  <c r="L336" i="2"/>
  <c r="J336" i="2"/>
  <c r="AS336" i="2"/>
  <c r="T336" i="2"/>
  <c r="V336" i="2"/>
  <c r="C336" i="2"/>
  <c r="F336" i="2"/>
  <c r="H336" i="2" s="1"/>
  <c r="N336" i="2"/>
  <c r="C285" i="9" l="1"/>
  <c r="V285" i="9" s="1"/>
  <c r="AB284" i="9"/>
  <c r="R285" i="9"/>
  <c r="F285" i="9"/>
  <c r="G285" i="9"/>
  <c r="K285" i="9" s="1"/>
  <c r="O285" i="9"/>
  <c r="I285" i="9"/>
  <c r="T285" i="9"/>
  <c r="D286" i="9" s="1"/>
  <c r="J286" i="9" s="1"/>
  <c r="H285" i="9"/>
  <c r="X336" i="2"/>
  <c r="AM336" i="2"/>
  <c r="U285" i="9" l="1"/>
  <c r="E285" i="9"/>
  <c r="Q285" i="9"/>
  <c r="S285" i="9"/>
  <c r="M285" i="9"/>
  <c r="Z285" i="9" s="1"/>
  <c r="N285" i="9"/>
  <c r="X285" i="9"/>
  <c r="C286" i="9"/>
  <c r="Q286" i="9" s="1"/>
  <c r="R337" i="2"/>
  <c r="B337" i="2"/>
  <c r="AA285" i="9" l="1"/>
  <c r="I286" i="9"/>
  <c r="V286" i="9"/>
  <c r="X286" i="9"/>
  <c r="M286" i="9"/>
  <c r="AA286" i="9" s="1"/>
  <c r="N286" i="9"/>
  <c r="O286" i="9"/>
  <c r="G286" i="9"/>
  <c r="K286" i="9" s="1"/>
  <c r="S286" i="9"/>
  <c r="H286" i="9"/>
  <c r="U286" i="9"/>
  <c r="T286" i="9"/>
  <c r="D287" i="9" s="1"/>
  <c r="J287" i="9" s="1"/>
  <c r="F286" i="9"/>
  <c r="E286" i="9"/>
  <c r="AB285" i="9"/>
  <c r="Z286" i="9"/>
  <c r="F337" i="2"/>
  <c r="H337" i="2" s="1"/>
  <c r="N337" i="2"/>
  <c r="D337" i="2"/>
  <c r="AS337" i="2"/>
  <c r="V337" i="2"/>
  <c r="AL337" i="2"/>
  <c r="J337" i="2"/>
  <c r="C337" i="2"/>
  <c r="L337" i="2"/>
  <c r="T337" i="2"/>
  <c r="C287" i="9" l="1"/>
  <c r="U287" i="9" s="1"/>
  <c r="AB286" i="9"/>
  <c r="AM337" i="2"/>
  <c r="X337" i="2"/>
  <c r="B338" i="2" s="1"/>
  <c r="X287" i="9" l="1"/>
  <c r="V287" i="9"/>
  <c r="E287" i="9"/>
  <c r="H287" i="9"/>
  <c r="M287" i="9"/>
  <c r="Z287" i="9" s="1"/>
  <c r="N287" i="9"/>
  <c r="I287" i="9"/>
  <c r="O287" i="9"/>
  <c r="S287" i="9"/>
  <c r="G287" i="9"/>
  <c r="K287" i="9" s="1"/>
  <c r="T287" i="9"/>
  <c r="D288" i="9" s="1"/>
  <c r="J288" i="9" s="1"/>
  <c r="F287" i="9"/>
  <c r="Q287" i="9"/>
  <c r="J338" i="2"/>
  <c r="C338" i="2"/>
  <c r="AS338" i="2"/>
  <c r="V338" i="2"/>
  <c r="T338" i="2"/>
  <c r="F338" i="2"/>
  <c r="H338" i="2" s="1"/>
  <c r="N338" i="2"/>
  <c r="L338" i="2"/>
  <c r="AL338" i="2"/>
  <c r="D338" i="2"/>
  <c r="C288" i="9" l="1"/>
  <c r="F288" i="9" s="1"/>
  <c r="AA287" i="9"/>
  <c r="AB287" i="9" s="1"/>
  <c r="S288" i="9"/>
  <c r="E288" i="9"/>
  <c r="H288" i="9"/>
  <c r="N288" i="9"/>
  <c r="M288" i="9"/>
  <c r="Z288" i="9" s="1"/>
  <c r="U288" i="9"/>
  <c r="G288" i="9"/>
  <c r="K288" i="9" s="1"/>
  <c r="Q288" i="9"/>
  <c r="V288" i="9"/>
  <c r="I288" i="9"/>
  <c r="T288" i="9"/>
  <c r="D289" i="9" s="1"/>
  <c r="J289" i="9" s="1"/>
  <c r="O288" i="9"/>
  <c r="X338" i="2"/>
  <c r="AM338" i="2"/>
  <c r="X288" i="9" l="1"/>
  <c r="C289" i="9"/>
  <c r="M289" i="9" s="1"/>
  <c r="AA288" i="9"/>
  <c r="Z289" i="9"/>
  <c r="R339" i="2"/>
  <c r="B339" i="2"/>
  <c r="I289" i="9" l="1"/>
  <c r="O289" i="9"/>
  <c r="T289" i="9"/>
  <c r="D290" i="9" s="1"/>
  <c r="J290" i="9" s="1"/>
  <c r="X289" i="9"/>
  <c r="V289" i="9"/>
  <c r="H289" i="9"/>
  <c r="U289" i="9"/>
  <c r="S289" i="9"/>
  <c r="AA289" i="9"/>
  <c r="F289" i="9"/>
  <c r="Q289" i="9"/>
  <c r="G289" i="9"/>
  <c r="K289" i="9" s="1"/>
  <c r="AB288" i="9"/>
  <c r="E289" i="9"/>
  <c r="N289" i="9"/>
  <c r="C290" i="9"/>
  <c r="O290" i="9" s="1"/>
  <c r="AB289" i="9"/>
  <c r="C339" i="2"/>
  <c r="N339" i="2"/>
  <c r="D339" i="2"/>
  <c r="F339" i="2"/>
  <c r="H339" i="2" s="1"/>
  <c r="L339" i="2"/>
  <c r="AS339" i="2"/>
  <c r="J339" i="2"/>
  <c r="AL339" i="2"/>
  <c r="V339" i="2"/>
  <c r="T339" i="2"/>
  <c r="F290" i="9" l="1"/>
  <c r="X290" i="9"/>
  <c r="U290" i="9"/>
  <c r="E290" i="9"/>
  <c r="Q290" i="9"/>
  <c r="N290" i="9"/>
  <c r="G290" i="9"/>
  <c r="K290" i="9" s="1"/>
  <c r="H290" i="9"/>
  <c r="M290" i="9"/>
  <c r="Z290" i="9" s="1"/>
  <c r="V290" i="9"/>
  <c r="T290" i="9"/>
  <c r="D291" i="9" s="1"/>
  <c r="J291" i="9" s="1"/>
  <c r="S290" i="9"/>
  <c r="I290" i="9"/>
  <c r="AM339" i="2"/>
  <c r="X339" i="2"/>
  <c r="B340" i="2" s="1"/>
  <c r="C291" i="9" l="1"/>
  <c r="I291" i="9" s="1"/>
  <c r="AA290" i="9"/>
  <c r="AB290" i="9" s="1"/>
  <c r="V291" i="9"/>
  <c r="V340" i="2"/>
  <c r="U340" i="2"/>
  <c r="AS340" i="2"/>
  <c r="C340" i="2"/>
  <c r="L340" i="2"/>
  <c r="J340" i="2"/>
  <c r="N340" i="2"/>
  <c r="T340" i="2"/>
  <c r="D340" i="2"/>
  <c r="AL340" i="2"/>
  <c r="F340" i="2"/>
  <c r="H340" i="2" s="1"/>
  <c r="Q291" i="9" l="1"/>
  <c r="E291" i="9"/>
  <c r="T291" i="9"/>
  <c r="D292" i="9" s="1"/>
  <c r="J292" i="9" s="1"/>
  <c r="H291" i="9"/>
  <c r="F291" i="9"/>
  <c r="X291" i="9"/>
  <c r="O291" i="9"/>
  <c r="U291" i="9"/>
  <c r="G291" i="9"/>
  <c r="K291" i="9" s="1"/>
  <c r="S291" i="9"/>
  <c r="N291" i="9"/>
  <c r="M291" i="9"/>
  <c r="AM340" i="2"/>
  <c r="X340" i="2"/>
  <c r="C292" i="9" l="1"/>
  <c r="Q292" i="9" s="1"/>
  <c r="Z291" i="9"/>
  <c r="AA291" i="9"/>
  <c r="AB291" i="9" s="1"/>
  <c r="N292" i="9"/>
  <c r="V292" i="9"/>
  <c r="U292" i="9"/>
  <c r="O292" i="9"/>
  <c r="S292" i="9"/>
  <c r="F292" i="9"/>
  <c r="E292" i="9"/>
  <c r="G292" i="9"/>
  <c r="K292" i="9" s="1"/>
  <c r="I292" i="9"/>
  <c r="T292" i="9"/>
  <c r="D293" i="9" s="1"/>
  <c r="J293" i="9" s="1"/>
  <c r="R341" i="2"/>
  <c r="B341" i="2"/>
  <c r="H292" i="9" l="1"/>
  <c r="X292" i="9"/>
  <c r="M292" i="9"/>
  <c r="C293" i="9"/>
  <c r="F293" i="9" s="1"/>
  <c r="Z292" i="9"/>
  <c r="AA292" i="9"/>
  <c r="N293" i="9"/>
  <c r="X293" i="9"/>
  <c r="AL341" i="2"/>
  <c r="F341" i="2"/>
  <c r="H341" i="2" s="1"/>
  <c r="AS341" i="2"/>
  <c r="N341" i="2"/>
  <c r="C341" i="2"/>
  <c r="J341" i="2"/>
  <c r="D341" i="2"/>
  <c r="T341" i="2"/>
  <c r="V341" i="2"/>
  <c r="L341" i="2"/>
  <c r="V293" i="9" l="1"/>
  <c r="T293" i="9"/>
  <c r="D294" i="9" s="1"/>
  <c r="J294" i="9" s="1"/>
  <c r="G293" i="9"/>
  <c r="K293" i="9" s="1"/>
  <c r="U293" i="9"/>
  <c r="Q293" i="9"/>
  <c r="M293" i="9"/>
  <c r="Z293" i="9" s="1"/>
  <c r="I293" i="9"/>
  <c r="H293" i="9"/>
  <c r="S293" i="9"/>
  <c r="O293" i="9"/>
  <c r="E293" i="9"/>
  <c r="C294" i="9"/>
  <c r="AB292" i="9"/>
  <c r="X341" i="2"/>
  <c r="B342" i="2" s="1"/>
  <c r="AM341" i="2"/>
  <c r="AA293" i="9" l="1"/>
  <c r="AB293" i="9" s="1"/>
  <c r="X294" i="9"/>
  <c r="G294" i="9"/>
  <c r="K294" i="9" s="1"/>
  <c r="N294" i="9"/>
  <c r="Q294" i="9"/>
  <c r="O294" i="9"/>
  <c r="E294" i="9"/>
  <c r="U294" i="9"/>
  <c r="I294" i="9"/>
  <c r="M294" i="9"/>
  <c r="Z294" i="9" s="1"/>
  <c r="F294" i="9"/>
  <c r="S294" i="9"/>
  <c r="V294" i="9"/>
  <c r="T294" i="9"/>
  <c r="D295" i="9" s="1"/>
  <c r="J295" i="9" s="1"/>
  <c r="H294" i="9"/>
  <c r="C342" i="2"/>
  <c r="F342" i="2"/>
  <c r="H342" i="2" s="1"/>
  <c r="D342" i="2"/>
  <c r="AS342" i="2"/>
  <c r="J342" i="2"/>
  <c r="L342" i="2"/>
  <c r="N342" i="2"/>
  <c r="AL342" i="2"/>
  <c r="V342" i="2"/>
  <c r="T342" i="2"/>
  <c r="AA294" i="9" l="1"/>
  <c r="C295" i="9"/>
  <c r="AM342" i="2"/>
  <c r="X342" i="2"/>
  <c r="I295" i="9" l="1"/>
  <c r="M295" i="9"/>
  <c r="Z295" i="9" s="1"/>
  <c r="Q295" i="9"/>
  <c r="H295" i="9"/>
  <c r="G295" i="9"/>
  <c r="K295" i="9" s="1"/>
  <c r="F295" i="9"/>
  <c r="N295" i="9"/>
  <c r="V295" i="9"/>
  <c r="E295" i="9"/>
  <c r="U295" i="9"/>
  <c r="X295" i="9"/>
  <c r="T295" i="9"/>
  <c r="D296" i="9" s="1"/>
  <c r="J296" i="9" s="1"/>
  <c r="O295" i="9"/>
  <c r="S295" i="9"/>
  <c r="AB294" i="9"/>
  <c r="AA295" i="9"/>
  <c r="R343" i="2"/>
  <c r="B343" i="2"/>
  <c r="C296" i="9" l="1"/>
  <c r="AB295" i="9"/>
  <c r="V343" i="2"/>
  <c r="F343" i="2"/>
  <c r="H343" i="2" s="1"/>
  <c r="T343" i="2"/>
  <c r="AS343" i="2"/>
  <c r="AL343" i="2"/>
  <c r="L343" i="2"/>
  <c r="J343" i="2"/>
  <c r="C343" i="2"/>
  <c r="N343" i="2"/>
  <c r="D343" i="2"/>
  <c r="U296" i="9" l="1"/>
  <c r="M296" i="9"/>
  <c r="N296" i="9"/>
  <c r="O296" i="9"/>
  <c r="T296" i="9"/>
  <c r="D297" i="9" s="1"/>
  <c r="J297" i="9" s="1"/>
  <c r="V296" i="9"/>
  <c r="G296" i="9"/>
  <c r="K296" i="9" s="1"/>
  <c r="X296" i="9"/>
  <c r="E296" i="9"/>
  <c r="F296" i="9"/>
  <c r="Q296" i="9"/>
  <c r="H296" i="9"/>
  <c r="S296" i="9"/>
  <c r="I296" i="9"/>
  <c r="X343" i="2"/>
  <c r="B344" i="2" s="1"/>
  <c r="AM343" i="2"/>
  <c r="C297" i="9" l="1"/>
  <c r="Z296" i="9"/>
  <c r="AA296" i="9"/>
  <c r="AL344" i="2"/>
  <c r="F344" i="2"/>
  <c r="H344" i="2" s="1"/>
  <c r="L344" i="2"/>
  <c r="V344" i="2"/>
  <c r="T344" i="2"/>
  <c r="AS344" i="2"/>
  <c r="D344" i="2"/>
  <c r="J344" i="2"/>
  <c r="N344" i="2"/>
  <c r="C344" i="2"/>
  <c r="AB296" i="9" l="1"/>
  <c r="I297" i="9"/>
  <c r="H297" i="9"/>
  <c r="V297" i="9"/>
  <c r="S297" i="9"/>
  <c r="X297" i="9"/>
  <c r="R297" i="9"/>
  <c r="O297" i="9"/>
  <c r="E297" i="9"/>
  <c r="N297" i="9"/>
  <c r="Q297" i="9"/>
  <c r="T297" i="9"/>
  <c r="D298" i="9" s="1"/>
  <c r="J298" i="9" s="1"/>
  <c r="G297" i="9"/>
  <c r="K297" i="9" s="1"/>
  <c r="M297" i="9"/>
  <c r="Z297" i="9" s="1"/>
  <c r="F297" i="9"/>
  <c r="U297" i="9"/>
  <c r="AM344" i="2"/>
  <c r="X344" i="2"/>
  <c r="C298" i="9" l="1"/>
  <c r="AA297" i="9"/>
  <c r="R345" i="2"/>
  <c r="B345" i="2"/>
  <c r="AB297" i="9" l="1"/>
  <c r="Q298" i="9"/>
  <c r="E298" i="9"/>
  <c r="T298" i="9"/>
  <c r="D299" i="9" s="1"/>
  <c r="J299" i="9" s="1"/>
  <c r="V298" i="9"/>
  <c r="G298" i="9"/>
  <c r="K298" i="9" s="1"/>
  <c r="F298" i="9"/>
  <c r="U298" i="9"/>
  <c r="O298" i="9"/>
  <c r="S298" i="9"/>
  <c r="N298" i="9"/>
  <c r="M298" i="9"/>
  <c r="Z298" i="9" s="1"/>
  <c r="I298" i="9"/>
  <c r="H298" i="9"/>
  <c r="X298" i="9"/>
  <c r="V345" i="2"/>
  <c r="F345" i="2"/>
  <c r="H345" i="2" s="1"/>
  <c r="T345" i="2"/>
  <c r="AL345" i="2"/>
  <c r="J345" i="2"/>
  <c r="N345" i="2"/>
  <c r="AS345" i="2"/>
  <c r="D345" i="2"/>
  <c r="L345" i="2"/>
  <c r="C345" i="2"/>
  <c r="AA298" i="9" l="1"/>
  <c r="C299" i="9"/>
  <c r="AM345" i="2"/>
  <c r="X345" i="2"/>
  <c r="B346" i="2" s="1"/>
  <c r="M299" i="9" l="1"/>
  <c r="Z299" i="9" s="1"/>
  <c r="U299" i="9"/>
  <c r="F299" i="9"/>
  <c r="N299" i="9"/>
  <c r="T299" i="9"/>
  <c r="D300" i="9" s="1"/>
  <c r="J300" i="9" s="1"/>
  <c r="V299" i="9"/>
  <c r="X299" i="9"/>
  <c r="I299" i="9"/>
  <c r="H299" i="9"/>
  <c r="Q299" i="9"/>
  <c r="S299" i="9"/>
  <c r="E299" i="9"/>
  <c r="G299" i="9"/>
  <c r="K299" i="9" s="1"/>
  <c r="O299" i="9"/>
  <c r="AB298" i="9"/>
  <c r="AA299" i="9"/>
  <c r="N346" i="2"/>
  <c r="J346" i="2"/>
  <c r="L346" i="2"/>
  <c r="F346" i="2"/>
  <c r="H346" i="2" s="1"/>
  <c r="D346" i="2"/>
  <c r="AL346" i="2"/>
  <c r="AS346" i="2"/>
  <c r="T346" i="2"/>
  <c r="V346" i="2"/>
  <c r="C346" i="2"/>
  <c r="C300" i="9" l="1"/>
  <c r="F300" i="9" s="1"/>
  <c r="AB299" i="9"/>
  <c r="AM346" i="2"/>
  <c r="X346" i="2"/>
  <c r="M300" i="9" l="1"/>
  <c r="Z300" i="9" s="1"/>
  <c r="O300" i="9"/>
  <c r="U300" i="9"/>
  <c r="T300" i="9"/>
  <c r="D301" i="9" s="1"/>
  <c r="J301" i="9" s="1"/>
  <c r="X300" i="9"/>
  <c r="E300" i="9"/>
  <c r="N300" i="9"/>
  <c r="V300" i="9"/>
  <c r="I300" i="9"/>
  <c r="G300" i="9"/>
  <c r="K300" i="9" s="1"/>
  <c r="S300" i="9"/>
  <c r="H300" i="9"/>
  <c r="Q300" i="9"/>
  <c r="AA300" i="9"/>
  <c r="R347" i="2"/>
  <c r="B347" i="2"/>
  <c r="C301" i="9" l="1"/>
  <c r="S301" i="9" s="1"/>
  <c r="AB300" i="9"/>
  <c r="Z301" i="9"/>
  <c r="AS347" i="2"/>
  <c r="D347" i="2"/>
  <c r="T347" i="2"/>
  <c r="F347" i="2"/>
  <c r="H347" i="2" s="1"/>
  <c r="N347" i="2"/>
  <c r="C347" i="2"/>
  <c r="J347" i="2"/>
  <c r="L347" i="2"/>
  <c r="V347" i="2"/>
  <c r="AL347" i="2"/>
  <c r="T301" i="9" l="1"/>
  <c r="D302" i="9" s="1"/>
  <c r="J302" i="9" s="1"/>
  <c r="F301" i="9"/>
  <c r="O301" i="9"/>
  <c r="V301" i="9"/>
  <c r="I301" i="9"/>
  <c r="X301" i="9"/>
  <c r="E301" i="9"/>
  <c r="M301" i="9"/>
  <c r="AA301" i="9" s="1"/>
  <c r="AB301" i="9" s="1"/>
  <c r="U301" i="9"/>
  <c r="Q301" i="9"/>
  <c r="H301" i="9"/>
  <c r="N301" i="9"/>
  <c r="G301" i="9"/>
  <c r="K301" i="9" s="1"/>
  <c r="C302" i="9"/>
  <c r="Z302" i="9"/>
  <c r="X347" i="2"/>
  <c r="B348" i="2" s="1"/>
  <c r="AM347" i="2"/>
  <c r="E302" i="9" l="1"/>
  <c r="X302" i="9"/>
  <c r="U302" i="9"/>
  <c r="O302" i="9"/>
  <c r="N302" i="9"/>
  <c r="I302" i="9"/>
  <c r="G302" i="9"/>
  <c r="K302" i="9" s="1"/>
  <c r="S302" i="9"/>
  <c r="H302" i="9"/>
  <c r="M302" i="9"/>
  <c r="AA302" i="9" s="1"/>
  <c r="F302" i="9"/>
  <c r="V302" i="9"/>
  <c r="Q302" i="9"/>
  <c r="T302" i="9"/>
  <c r="AB302" i="9"/>
  <c r="F348" i="2"/>
  <c r="H348" i="2" s="1"/>
  <c r="AL348" i="2"/>
  <c r="J348" i="2"/>
  <c r="T348" i="2"/>
  <c r="L348" i="2"/>
  <c r="AS348" i="2"/>
  <c r="C348" i="2"/>
  <c r="N348" i="2"/>
  <c r="D348" i="2"/>
  <c r="V348" i="2"/>
  <c r="D303" i="9" l="1"/>
  <c r="J303" i="9" s="1"/>
  <c r="C303" i="9"/>
  <c r="X348" i="2"/>
  <c r="AM348" i="2"/>
  <c r="Q303" i="9" l="1"/>
  <c r="I303" i="9"/>
  <c r="T303" i="9"/>
  <c r="D304" i="9" s="1"/>
  <c r="J304" i="9" s="1"/>
  <c r="N303" i="9"/>
  <c r="H303" i="9"/>
  <c r="V303" i="9"/>
  <c r="S303" i="9"/>
  <c r="X303" i="9"/>
  <c r="F303" i="9"/>
  <c r="G303" i="9"/>
  <c r="K303" i="9" s="1"/>
  <c r="O303" i="9"/>
  <c r="U303" i="9"/>
  <c r="E303" i="9"/>
  <c r="C304" i="9"/>
  <c r="M303" i="9"/>
  <c r="R349" i="2"/>
  <c r="B349" i="2"/>
  <c r="Z303" i="9" l="1"/>
  <c r="AA303" i="9"/>
  <c r="T304" i="9"/>
  <c r="D305" i="9" s="1"/>
  <c r="J305" i="9" s="1"/>
  <c r="G304" i="9"/>
  <c r="K304" i="9" s="1"/>
  <c r="E304" i="9"/>
  <c r="N304" i="9"/>
  <c r="M304" i="9"/>
  <c r="Z304" i="9" s="1"/>
  <c r="V304" i="9"/>
  <c r="Q304" i="9"/>
  <c r="U304" i="9"/>
  <c r="S304" i="9"/>
  <c r="F304" i="9"/>
  <c r="I304" i="9"/>
  <c r="O304" i="9"/>
  <c r="H304" i="9"/>
  <c r="X304" i="9"/>
  <c r="D349" i="2"/>
  <c r="J349" i="2"/>
  <c r="C349" i="2"/>
  <c r="N349" i="2"/>
  <c r="T349" i="2"/>
  <c r="F349" i="2"/>
  <c r="H349" i="2" s="1"/>
  <c r="L349" i="2"/>
  <c r="AL349" i="2"/>
  <c r="V349" i="2"/>
  <c r="AS349" i="2"/>
  <c r="AB303" i="9" l="1"/>
  <c r="AA304" i="9"/>
  <c r="AB304" i="9" s="1"/>
  <c r="C305" i="9"/>
  <c r="AM349" i="2"/>
  <c r="X349" i="2"/>
  <c r="B350" i="2" s="1"/>
  <c r="U305" i="9" l="1"/>
  <c r="V305" i="9"/>
  <c r="E305" i="9"/>
  <c r="G305" i="9"/>
  <c r="K305" i="9" s="1"/>
  <c r="I305" i="9"/>
  <c r="F305" i="9"/>
  <c r="N305" i="9"/>
  <c r="H305" i="9"/>
  <c r="O305" i="9"/>
  <c r="M305" i="9"/>
  <c r="X305" i="9"/>
  <c r="Q305" i="9"/>
  <c r="S305" i="9"/>
  <c r="T305" i="9"/>
  <c r="D306" i="9" s="1"/>
  <c r="J306" i="9" s="1"/>
  <c r="C350" i="2"/>
  <c r="L350" i="2"/>
  <c r="T350" i="2"/>
  <c r="AS350" i="2"/>
  <c r="J350" i="2"/>
  <c r="F350" i="2"/>
  <c r="H350" i="2" s="1"/>
  <c r="N350" i="2"/>
  <c r="V350" i="2"/>
  <c r="D350" i="2"/>
  <c r="AL350" i="2"/>
  <c r="C306" i="9" l="1"/>
  <c r="F306" i="9" s="1"/>
  <c r="Z305" i="9"/>
  <c r="AA305" i="9"/>
  <c r="X350" i="2"/>
  <c r="AM350" i="2"/>
  <c r="S306" i="9" l="1"/>
  <c r="V306" i="9"/>
  <c r="X306" i="9"/>
  <c r="N306" i="9"/>
  <c r="T306" i="9"/>
  <c r="D307" i="9" s="1"/>
  <c r="J307" i="9" s="1"/>
  <c r="H306" i="9"/>
  <c r="G306" i="9"/>
  <c r="K306" i="9" s="1"/>
  <c r="U306" i="9"/>
  <c r="I306" i="9"/>
  <c r="M306" i="9"/>
  <c r="Z306" i="9" s="1"/>
  <c r="E306" i="9"/>
  <c r="Q306" i="9"/>
  <c r="O306" i="9"/>
  <c r="AB305" i="9"/>
  <c r="R351" i="2"/>
  <c r="B351" i="2"/>
  <c r="C307" i="9" l="1"/>
  <c r="X307" i="9" s="1"/>
  <c r="AA306" i="9"/>
  <c r="AB306" i="9" s="1"/>
  <c r="U307" i="9"/>
  <c r="V307" i="9"/>
  <c r="S307" i="9"/>
  <c r="N307" i="9"/>
  <c r="I307" i="9"/>
  <c r="G307" i="9"/>
  <c r="K307" i="9" s="1"/>
  <c r="O307" i="9"/>
  <c r="F307" i="9"/>
  <c r="T307" i="9"/>
  <c r="D308" i="9" s="1"/>
  <c r="J308" i="9" s="1"/>
  <c r="Q307" i="9"/>
  <c r="H307" i="9"/>
  <c r="V351" i="2"/>
  <c r="D351" i="2"/>
  <c r="AS351" i="2"/>
  <c r="T351" i="2"/>
  <c r="C351" i="2"/>
  <c r="F351" i="2"/>
  <c r="H351" i="2" s="1"/>
  <c r="AL351" i="2"/>
  <c r="N351" i="2"/>
  <c r="L351" i="2"/>
  <c r="J351" i="2"/>
  <c r="E307" i="9" l="1"/>
  <c r="M307" i="9"/>
  <c r="Z307" i="9" s="1"/>
  <c r="C308" i="9"/>
  <c r="X308" i="9" s="1"/>
  <c r="AM351" i="2"/>
  <c r="X351" i="2"/>
  <c r="B352" i="2" s="1"/>
  <c r="AA307" i="9" l="1"/>
  <c r="AB307" i="9" s="1"/>
  <c r="F308" i="9"/>
  <c r="U308" i="9"/>
  <c r="M308" i="9"/>
  <c r="Z308" i="9" s="1"/>
  <c r="E308" i="9"/>
  <c r="N308" i="9"/>
  <c r="H308" i="9"/>
  <c r="I308" i="9"/>
  <c r="T308" i="9"/>
  <c r="D309" i="9" s="1"/>
  <c r="J309" i="9" s="1"/>
  <c r="O308" i="9"/>
  <c r="G308" i="9"/>
  <c r="K308" i="9" s="1"/>
  <c r="V308" i="9"/>
  <c r="Q308" i="9"/>
  <c r="S308" i="9"/>
  <c r="AA308" i="9"/>
  <c r="AL352" i="2"/>
  <c r="J352" i="2"/>
  <c r="U352" i="2"/>
  <c r="L352" i="2"/>
  <c r="D352" i="2"/>
  <c r="V352" i="2"/>
  <c r="N352" i="2"/>
  <c r="F352" i="2"/>
  <c r="H352" i="2" s="1"/>
  <c r="AS352" i="2"/>
  <c r="C352" i="2"/>
  <c r="T352" i="2"/>
  <c r="C309" i="9" l="1"/>
  <c r="Q309" i="9" s="1"/>
  <c r="U309" i="9"/>
  <c r="X309" i="9"/>
  <c r="V309" i="9"/>
  <c r="S309" i="9"/>
  <c r="R309" i="9"/>
  <c r="AB308" i="9"/>
  <c r="X352" i="2"/>
  <c r="AM352" i="2"/>
  <c r="N309" i="9" l="1"/>
  <c r="E309" i="9"/>
  <c r="M309" i="9"/>
  <c r="Z309" i="9" s="1"/>
  <c r="H309" i="9"/>
  <c r="F309" i="9"/>
  <c r="G309" i="9"/>
  <c r="K309" i="9" s="1"/>
  <c r="O309" i="9"/>
  <c r="T309" i="9"/>
  <c r="D310" i="9" s="1"/>
  <c r="J310" i="9" s="1"/>
  <c r="I309" i="9"/>
  <c r="R353" i="2"/>
  <c r="B353" i="2"/>
  <c r="AA309" i="9" l="1"/>
  <c r="C310" i="9"/>
  <c r="V310" i="9" s="1"/>
  <c r="O310" i="9"/>
  <c r="U310" i="9"/>
  <c r="E310" i="9"/>
  <c r="M310" i="9"/>
  <c r="AA310" i="9" s="1"/>
  <c r="Q310" i="9"/>
  <c r="G310" i="9"/>
  <c r="K310" i="9" s="1"/>
  <c r="X310" i="9"/>
  <c r="F310" i="9"/>
  <c r="AB309" i="9"/>
  <c r="Z310" i="9"/>
  <c r="F353" i="2"/>
  <c r="H353" i="2" s="1"/>
  <c r="AL353" i="2"/>
  <c r="D353" i="2"/>
  <c r="AS353" i="2"/>
  <c r="J353" i="2"/>
  <c r="T353" i="2"/>
  <c r="V353" i="2"/>
  <c r="N353" i="2"/>
  <c r="L353" i="2"/>
  <c r="C353" i="2"/>
  <c r="S310" i="9" l="1"/>
  <c r="T310" i="9"/>
  <c r="N310" i="9"/>
  <c r="H310" i="9"/>
  <c r="I310" i="9"/>
  <c r="AB310" i="9"/>
  <c r="X353" i="2"/>
  <c r="B354" i="2" s="1"/>
  <c r="AM353" i="2"/>
  <c r="D311" i="9" l="1"/>
  <c r="J311" i="9" s="1"/>
  <c r="C311" i="9"/>
  <c r="F354" i="2"/>
  <c r="H354" i="2" s="1"/>
  <c r="N354" i="2"/>
  <c r="L354" i="2"/>
  <c r="AS354" i="2"/>
  <c r="C354" i="2"/>
  <c r="D354" i="2"/>
  <c r="V354" i="2"/>
  <c r="AL354" i="2"/>
  <c r="T354" i="2"/>
  <c r="J354" i="2"/>
  <c r="M311" i="9" l="1"/>
  <c r="U311" i="9"/>
  <c r="V311" i="9"/>
  <c r="Q311" i="9"/>
  <c r="N311" i="9"/>
  <c r="F311" i="9"/>
  <c r="T311" i="9"/>
  <c r="D312" i="9" s="1"/>
  <c r="J312" i="9" s="1"/>
  <c r="O311" i="9"/>
  <c r="S311" i="9"/>
  <c r="I311" i="9"/>
  <c r="G311" i="9"/>
  <c r="K311" i="9" s="1"/>
  <c r="E311" i="9"/>
  <c r="X311" i="9"/>
  <c r="H311" i="9"/>
  <c r="X354" i="2"/>
  <c r="AM354" i="2"/>
  <c r="C312" i="9" l="1"/>
  <c r="Z311" i="9"/>
  <c r="AA311" i="9"/>
  <c r="R355" i="2"/>
  <c r="B355" i="2"/>
  <c r="AB311" i="9" l="1"/>
  <c r="G312" i="9"/>
  <c r="K312" i="9" s="1"/>
  <c r="Q312" i="9"/>
  <c r="V312" i="9"/>
  <c r="T312" i="9"/>
  <c r="D313" i="9" s="1"/>
  <c r="J313" i="9" s="1"/>
  <c r="O312" i="9"/>
  <c r="H312" i="9"/>
  <c r="I312" i="9"/>
  <c r="E312" i="9"/>
  <c r="U312" i="9"/>
  <c r="M312" i="9"/>
  <c r="Z312" i="9" s="1"/>
  <c r="S312" i="9"/>
  <c r="N312" i="9"/>
  <c r="X312" i="9"/>
  <c r="F312" i="9"/>
  <c r="V355" i="2"/>
  <c r="N355" i="2"/>
  <c r="F355" i="2"/>
  <c r="H355" i="2" s="1"/>
  <c r="AL355" i="2"/>
  <c r="D355" i="2"/>
  <c r="T355" i="2"/>
  <c r="L355" i="2"/>
  <c r="C355" i="2"/>
  <c r="J355" i="2"/>
  <c r="AS355" i="2"/>
  <c r="C313" i="9" l="1"/>
  <c r="AA312" i="9"/>
  <c r="X355" i="2"/>
  <c r="B356" i="2" s="1"/>
  <c r="AM355" i="2"/>
  <c r="AB312" i="9" l="1"/>
  <c r="U313" i="9"/>
  <c r="N313" i="9"/>
  <c r="E313" i="9"/>
  <c r="Q313" i="9"/>
  <c r="I313" i="9"/>
  <c r="F313" i="9"/>
  <c r="O313" i="9"/>
  <c r="S313" i="9"/>
  <c r="M313" i="9"/>
  <c r="Z313" i="9" s="1"/>
  <c r="H313" i="9"/>
  <c r="X313" i="9"/>
  <c r="V313" i="9"/>
  <c r="G313" i="9"/>
  <c r="K313" i="9" s="1"/>
  <c r="T313" i="9"/>
  <c r="D314" i="9" s="1"/>
  <c r="J314" i="9" s="1"/>
  <c r="C356" i="2"/>
  <c r="AS356" i="2"/>
  <c r="L356" i="2"/>
  <c r="V356" i="2"/>
  <c r="N356" i="2"/>
  <c r="AL356" i="2"/>
  <c r="D356" i="2"/>
  <c r="F356" i="2"/>
  <c r="H356" i="2" s="1"/>
  <c r="J356" i="2"/>
  <c r="T356" i="2"/>
  <c r="AA313" i="9" l="1"/>
  <c r="C314" i="9"/>
  <c r="X356" i="2"/>
  <c r="AM356" i="2"/>
  <c r="I314" i="9" l="1"/>
  <c r="E314" i="9"/>
  <c r="Q314" i="9"/>
  <c r="S314" i="9"/>
  <c r="G314" i="9"/>
  <c r="K314" i="9" s="1"/>
  <c r="T314" i="9"/>
  <c r="D315" i="9" s="1"/>
  <c r="J315" i="9" s="1"/>
  <c r="F314" i="9"/>
  <c r="X314" i="9"/>
  <c r="N314" i="9"/>
  <c r="U314" i="9"/>
  <c r="M314" i="9"/>
  <c r="Z314" i="9" s="1"/>
  <c r="V314" i="9"/>
  <c r="O314" i="9"/>
  <c r="H314" i="9"/>
  <c r="C315" i="9"/>
  <c r="AB313" i="9"/>
  <c r="Z316" i="9"/>
  <c r="R357" i="2"/>
  <c r="B357" i="2"/>
  <c r="F315" i="9" l="1"/>
  <c r="T315" i="9"/>
  <c r="D316" i="9" s="1"/>
  <c r="J316" i="9" s="1"/>
  <c r="G315" i="9"/>
  <c r="K315" i="9" s="1"/>
  <c r="V315" i="9"/>
  <c r="O315" i="9"/>
  <c r="S315" i="9"/>
  <c r="I315" i="9"/>
  <c r="X315" i="9"/>
  <c r="N315" i="9"/>
  <c r="Q315" i="9"/>
  <c r="U315" i="9"/>
  <c r="E315" i="9"/>
  <c r="M315" i="9"/>
  <c r="Z315" i="9" s="1"/>
  <c r="H315" i="9"/>
  <c r="C316" i="9"/>
  <c r="AA314" i="9"/>
  <c r="D357" i="2"/>
  <c r="T357" i="2"/>
  <c r="N357" i="2"/>
  <c r="C357" i="2"/>
  <c r="AS357" i="2"/>
  <c r="AL357" i="2"/>
  <c r="F357" i="2"/>
  <c r="H357" i="2" s="1"/>
  <c r="J357" i="2"/>
  <c r="L357" i="2"/>
  <c r="V357" i="2"/>
  <c r="AB314" i="9" l="1"/>
  <c r="AA315" i="9"/>
  <c r="M316" i="9"/>
  <c r="S316" i="9"/>
  <c r="I316" i="9"/>
  <c r="H316" i="9"/>
  <c r="O316" i="9"/>
  <c r="E316" i="9"/>
  <c r="V316" i="9"/>
  <c r="Q316" i="9"/>
  <c r="X316" i="9"/>
  <c r="G316" i="9"/>
  <c r="K316" i="9" s="1"/>
  <c r="T316" i="9"/>
  <c r="D317" i="9" s="1"/>
  <c r="J317" i="9" s="1"/>
  <c r="F316" i="9"/>
  <c r="N316" i="9"/>
  <c r="C317" i="9"/>
  <c r="U316" i="9"/>
  <c r="AM357" i="2"/>
  <c r="X357" i="2"/>
  <c r="B358" i="2" s="1"/>
  <c r="V317" i="9" l="1"/>
  <c r="F317" i="9"/>
  <c r="O317" i="9"/>
  <c r="X317" i="9"/>
  <c r="Q317" i="9"/>
  <c r="N317" i="9"/>
  <c r="M317" i="9"/>
  <c r="Z317" i="9" s="1"/>
  <c r="E317" i="9"/>
  <c r="T317" i="9"/>
  <c r="D318" i="9" s="1"/>
  <c r="J318" i="9" s="1"/>
  <c r="S317" i="9"/>
  <c r="G317" i="9"/>
  <c r="K317" i="9" s="1"/>
  <c r="H317" i="9"/>
  <c r="I317" i="9"/>
  <c r="U317" i="9"/>
  <c r="C318" i="9"/>
  <c r="M318" i="9" s="1"/>
  <c r="Z318" i="9" s="1"/>
  <c r="AB315" i="9"/>
  <c r="AA316" i="9"/>
  <c r="D358" i="2"/>
  <c r="AS358" i="2"/>
  <c r="AL358" i="2"/>
  <c r="L358" i="2"/>
  <c r="T358" i="2"/>
  <c r="J358" i="2"/>
  <c r="N358" i="2"/>
  <c r="V358" i="2"/>
  <c r="C358" i="2"/>
  <c r="F358" i="2"/>
  <c r="H358" i="2" s="1"/>
  <c r="G318" i="9" l="1"/>
  <c r="K318" i="9" s="1"/>
  <c r="I318" i="9"/>
  <c r="X318" i="9"/>
  <c r="O318" i="9"/>
  <c r="U318" i="9"/>
  <c r="F318" i="9"/>
  <c r="S318" i="9"/>
  <c r="V318" i="9"/>
  <c r="E318" i="9"/>
  <c r="N318" i="9"/>
  <c r="H318" i="9"/>
  <c r="T318" i="9"/>
  <c r="D319" i="9" s="1"/>
  <c r="J319" i="9" s="1"/>
  <c r="Q318" i="9"/>
  <c r="AB316" i="9"/>
  <c r="AA317" i="9"/>
  <c r="AB317" i="9" s="1"/>
  <c r="C319" i="9"/>
  <c r="H319" i="9" s="1"/>
  <c r="X358" i="2"/>
  <c r="AM358" i="2"/>
  <c r="Q319" i="9" l="1"/>
  <c r="V319" i="9"/>
  <c r="AA318" i="9"/>
  <c r="E319" i="9"/>
  <c r="N319" i="9"/>
  <c r="F319" i="9"/>
  <c r="X319" i="9"/>
  <c r="U319" i="9"/>
  <c r="I319" i="9"/>
  <c r="O319" i="9"/>
  <c r="T319" i="9"/>
  <c r="D320" i="9" s="1"/>
  <c r="J320" i="9" s="1"/>
  <c r="J322" i="9" s="1"/>
  <c r="G319" i="9"/>
  <c r="K319" i="9" s="1"/>
  <c r="S319" i="9"/>
  <c r="M319" i="9"/>
  <c r="Z319" i="9" s="1"/>
  <c r="G15" i="9"/>
  <c r="AB318" i="9"/>
  <c r="R359" i="2"/>
  <c r="B359" i="2"/>
  <c r="C320" i="9" l="1"/>
  <c r="E320" i="9" s="1"/>
  <c r="E322" i="9" s="1"/>
  <c r="S320" i="9"/>
  <c r="S322" i="9" s="1"/>
  <c r="AA319" i="9"/>
  <c r="AB319" i="9" s="1"/>
  <c r="H320" i="9"/>
  <c r="H322" i="9" s="1"/>
  <c r="O320" i="9"/>
  <c r="O322" i="9" s="1"/>
  <c r="Q320" i="9"/>
  <c r="F320" i="9"/>
  <c r="F322" i="9" s="1"/>
  <c r="G320" i="9"/>
  <c r="U320" i="9"/>
  <c r="U322" i="9" s="1"/>
  <c r="V320" i="9"/>
  <c r="I320" i="9"/>
  <c r="I322" i="9" s="1"/>
  <c r="M320" i="9"/>
  <c r="N320" i="9"/>
  <c r="N322" i="9" s="1"/>
  <c r="G322" i="9"/>
  <c r="K320" i="9"/>
  <c r="K322" i="9" s="1"/>
  <c r="Z320" i="9"/>
  <c r="Z20" i="9"/>
  <c r="M322" i="9"/>
  <c r="J359" i="2"/>
  <c r="V359" i="2"/>
  <c r="AL359" i="2"/>
  <c r="C359" i="2"/>
  <c r="AS359" i="2"/>
  <c r="T359" i="2"/>
  <c r="L359" i="2"/>
  <c r="N359" i="2"/>
  <c r="D359" i="2"/>
  <c r="F359" i="2"/>
  <c r="H359" i="2" s="1"/>
  <c r="X320" i="9" l="1"/>
  <c r="J17" i="9" s="1"/>
  <c r="T320" i="9"/>
  <c r="AA320" i="9"/>
  <c r="AB320" i="9" s="1"/>
  <c r="X359" i="2"/>
  <c r="B360" i="2" s="1"/>
  <c r="AM359" i="2"/>
  <c r="L360" i="2" l="1"/>
  <c r="F360" i="2"/>
  <c r="H360" i="2" s="1"/>
  <c r="V360" i="2"/>
  <c r="C360" i="2"/>
  <c r="N360" i="2"/>
  <c r="D360" i="2"/>
  <c r="AL360" i="2"/>
  <c r="J360" i="2"/>
  <c r="T360" i="2"/>
  <c r="AS360" i="2"/>
  <c r="AM360" i="2" l="1"/>
  <c r="X360" i="2"/>
  <c r="R361" i="2" l="1"/>
  <c r="B361" i="2"/>
  <c r="C361" i="2" l="1"/>
  <c r="L361" i="2"/>
  <c r="V361" i="2"/>
  <c r="D361" i="2"/>
  <c r="AL361" i="2"/>
  <c r="F361" i="2"/>
  <c r="H361" i="2" s="1"/>
  <c r="AS361" i="2"/>
  <c r="N361" i="2"/>
  <c r="J361" i="2"/>
  <c r="T361" i="2"/>
  <c r="X361" i="2" l="1"/>
  <c r="B362" i="2" s="1"/>
  <c r="AM361" i="2"/>
  <c r="L362" i="2" l="1"/>
  <c r="AS362" i="2"/>
  <c r="F362" i="2"/>
  <c r="H362" i="2" s="1"/>
  <c r="N362" i="2"/>
  <c r="V362" i="2"/>
  <c r="J362" i="2"/>
  <c r="AL362" i="2"/>
  <c r="T362" i="2"/>
  <c r="C362" i="2"/>
  <c r="D362" i="2"/>
  <c r="X362" i="2" l="1"/>
  <c r="AM362" i="2"/>
  <c r="R363" i="2" l="1"/>
  <c r="R365" i="2" s="1"/>
  <c r="B363" i="2"/>
  <c r="V363" i="2" l="1"/>
  <c r="AS363" i="2"/>
  <c r="T363" i="2"/>
  <c r="N363" i="2"/>
  <c r="N365" i="2" s="1"/>
  <c r="D363" i="2"/>
  <c r="D365" i="2" s="1"/>
  <c r="L363" i="2"/>
  <c r="L365" i="2" s="1"/>
  <c r="J363" i="2"/>
  <c r="J365" i="2" s="1"/>
  <c r="C363" i="2"/>
  <c r="AL363" i="2"/>
  <c r="F363" i="2"/>
  <c r="AR63" i="2"/>
  <c r="F365" i="2" l="1"/>
  <c r="H363" i="2"/>
  <c r="X363" i="2"/>
  <c r="AM363" i="2"/>
  <c r="S27" i="2" s="1"/>
  <c r="CK50" i="2" s="1"/>
  <c r="CD50" i="2"/>
  <c r="CH50" i="2"/>
  <c r="V365" i="2"/>
  <c r="AL39" i="2"/>
  <c r="S26" i="2"/>
  <c r="BV50" i="2" l="1"/>
  <c r="BZ50" i="2"/>
  <c r="I42" i="2" s="1"/>
  <c r="E41" i="2"/>
  <c r="I41" i="2"/>
  <c r="E42" i="2"/>
  <c r="B41" i="2"/>
  <c r="B42" i="2"/>
  <c r="S16" i="18" l="1"/>
  <c r="AL26" i="18" l="1"/>
  <c r="AL17" i="18"/>
  <c r="AL16" i="18" s="1"/>
  <c r="U24" i="18" s="1"/>
  <c r="AZ64" i="18" l="1"/>
  <c r="AZ66" i="18" s="1"/>
  <c r="S32" i="18"/>
  <c r="S24" i="18"/>
  <c r="U20" i="18"/>
  <c r="BA65" i="18"/>
  <c r="AZ68" i="18"/>
  <c r="BA66" i="18"/>
  <c r="AZ67" i="18" s="1"/>
  <c r="AL25" i="18" l="1"/>
  <c r="AL27" i="18" s="1"/>
  <c r="AL20" i="18" s="1"/>
  <c r="AM16" i="18" s="1"/>
  <c r="S21" i="18"/>
  <c r="F38" i="18"/>
  <c r="X63" i="18" s="1"/>
  <c r="AL64" i="18" l="1"/>
  <c r="F64" i="18"/>
  <c r="H64" i="18" s="1"/>
  <c r="C64" i="18"/>
  <c r="S31" i="18" s="1"/>
  <c r="AM63" i="18"/>
  <c r="J9" i="20"/>
  <c r="AA20" i="20" l="1"/>
  <c r="T20" i="20"/>
  <c r="X20" i="20"/>
  <c r="L64" i="18"/>
  <c r="J64" i="18"/>
  <c r="AS64" i="18"/>
  <c r="D64" i="18"/>
  <c r="X64" i="18" s="1"/>
  <c r="B65" i="18" l="1"/>
  <c r="R65" i="18"/>
  <c r="V64" i="18"/>
  <c r="AM64" i="18"/>
  <c r="E21" i="20"/>
  <c r="G21" i="20"/>
  <c r="K21" i="20" s="1"/>
  <c r="H21" i="20"/>
  <c r="I21" i="20"/>
  <c r="D21" i="20"/>
  <c r="J21" i="20" s="1"/>
  <c r="AA21" i="20"/>
  <c r="Z21" i="20"/>
  <c r="BI19" i="18" l="1"/>
  <c r="BI21" i="18"/>
  <c r="BI23" i="18"/>
  <c r="BH17" i="18"/>
  <c r="BH22" i="18"/>
  <c r="BH20" i="18"/>
  <c r="BH23" i="18"/>
  <c r="BI20" i="18"/>
  <c r="BH19" i="18"/>
  <c r="BH18" i="18"/>
  <c r="BJ17" i="18" s="1"/>
  <c r="S28" i="18" s="1"/>
  <c r="BI17" i="18"/>
  <c r="BH21" i="18"/>
  <c r="BI18" i="18"/>
  <c r="BI22" i="18"/>
  <c r="AB21" i="20"/>
  <c r="X21" i="20"/>
  <c r="C65" i="18"/>
  <c r="J65" i="18" s="1"/>
  <c r="N65" i="18"/>
  <c r="L65" i="18"/>
  <c r="AN65" i="18"/>
  <c r="AP65" i="18" s="1"/>
  <c r="T65" i="18"/>
  <c r="F65" i="18" s="1"/>
  <c r="H65" i="18" s="1"/>
  <c r="AL65" i="18"/>
  <c r="AS65" i="18"/>
  <c r="F21" i="20"/>
  <c r="S21" i="20"/>
  <c r="D65" i="18" l="1"/>
  <c r="V65" i="18" s="1"/>
  <c r="AM65" i="18"/>
  <c r="AR22" i="18"/>
  <c r="AR20" i="18"/>
  <c r="AR21" i="18"/>
  <c r="AR17" i="18"/>
  <c r="AR18" i="18"/>
  <c r="AR19" i="18"/>
  <c r="G16" i="20"/>
  <c r="T21" i="20"/>
  <c r="X65" i="18" l="1"/>
  <c r="B66" i="18" s="1"/>
  <c r="C22" i="20"/>
  <c r="D22" i="20"/>
  <c r="J22" i="20" s="1"/>
  <c r="N66" i="18" l="1"/>
  <c r="AN66" i="18"/>
  <c r="AP66" i="18" s="1"/>
  <c r="L66" i="18"/>
  <c r="C66" i="18"/>
  <c r="T66" i="18"/>
  <c r="F66" i="18" s="1"/>
  <c r="H66" i="18" s="1"/>
  <c r="AS66" i="18"/>
  <c r="AL66" i="18"/>
  <c r="D66" i="18" s="1"/>
  <c r="M22" i="20"/>
  <c r="Z22" i="20" s="1"/>
  <c r="E22" i="20"/>
  <c r="U22" i="20"/>
  <c r="H22" i="20"/>
  <c r="I22" i="20"/>
  <c r="O22" i="20"/>
  <c r="N22" i="20"/>
  <c r="Q22" i="20"/>
  <c r="G22" i="20" s="1"/>
  <c r="K22" i="20" s="1"/>
  <c r="V22" i="20"/>
  <c r="F22" i="20" l="1"/>
  <c r="T22" i="20" s="1"/>
  <c r="D23" i="20" s="1"/>
  <c r="J23" i="20" s="1"/>
  <c r="X66" i="18"/>
  <c r="B67" i="18" s="1"/>
  <c r="S22" i="20"/>
  <c r="J66" i="18"/>
  <c r="V66" i="18" s="1"/>
  <c r="C23" i="20"/>
  <c r="U23" i="20" s="1"/>
  <c r="AA22" i="20"/>
  <c r="AM66" i="18" l="1"/>
  <c r="R67" i="18"/>
  <c r="O23" i="20"/>
  <c r="N23" i="20"/>
  <c r="E23" i="20"/>
  <c r="M23" i="20"/>
  <c r="I23" i="20"/>
  <c r="V23" i="20"/>
  <c r="Q23" i="20"/>
  <c r="G23" i="20" s="1"/>
  <c r="K23" i="20" s="1"/>
  <c r="H23" i="20"/>
  <c r="AB22" i="20"/>
  <c r="X22" i="20" s="1"/>
  <c r="C67" i="18"/>
  <c r="J67" i="18" s="1"/>
  <c r="L67" i="18"/>
  <c r="N67" i="18"/>
  <c r="T67" i="18"/>
  <c r="F67" i="18" s="1"/>
  <c r="AN67" i="18"/>
  <c r="AP67" i="18" s="1"/>
  <c r="AS67" i="18"/>
  <c r="AL67" i="18"/>
  <c r="H67" i="18" l="1"/>
  <c r="D67" i="18"/>
  <c r="F23" i="20"/>
  <c r="T23" i="20" s="1"/>
  <c r="S23" i="20"/>
  <c r="AA23" i="20"/>
  <c r="AB23" i="20" s="1"/>
  <c r="X23" i="20" s="1"/>
  <c r="Z23" i="20"/>
  <c r="X67" i="18"/>
  <c r="B68" i="18" s="1"/>
  <c r="AM67" i="18"/>
  <c r="D24" i="20" l="1"/>
  <c r="J24" i="20" s="1"/>
  <c r="C24" i="20"/>
  <c r="V67" i="18"/>
  <c r="C68" i="18"/>
  <c r="J68" i="18" s="1"/>
  <c r="L68" i="18"/>
  <c r="N68" i="18"/>
  <c r="AL68" i="18"/>
  <c r="D68" i="18" s="1"/>
  <c r="AN68" i="18"/>
  <c r="AP68" i="18" s="1"/>
  <c r="T68" i="18"/>
  <c r="F68" i="18" s="1"/>
  <c r="H68" i="18" s="1"/>
  <c r="AS68" i="18"/>
  <c r="V68" i="18" l="1"/>
  <c r="I24" i="20"/>
  <c r="M24" i="20"/>
  <c r="N24" i="20"/>
  <c r="E24" i="20"/>
  <c r="O24" i="20"/>
  <c r="V24" i="20"/>
  <c r="U24" i="20"/>
  <c r="Q24" i="20"/>
  <c r="G24" i="20" s="1"/>
  <c r="K24" i="20" s="1"/>
  <c r="H24" i="20"/>
  <c r="X68" i="18"/>
  <c r="AM68" i="18"/>
  <c r="S24" i="20" l="1"/>
  <c r="F24" i="20"/>
  <c r="T24" i="20" s="1"/>
  <c r="X24" i="20"/>
  <c r="AA24" i="20"/>
  <c r="AB24" i="20" s="1"/>
  <c r="Z24" i="20"/>
  <c r="R69" i="18"/>
  <c r="B69" i="18"/>
  <c r="D25" i="20" l="1"/>
  <c r="J25" i="20" s="1"/>
  <c r="C25" i="20"/>
  <c r="C69" i="18"/>
  <c r="J69" i="18" s="1"/>
  <c r="N69" i="18"/>
  <c r="L69" i="18"/>
  <c r="AL69" i="18"/>
  <c r="AS69" i="18"/>
  <c r="AN69" i="18"/>
  <c r="AP69" i="18" s="1"/>
  <c r="T69" i="18"/>
  <c r="F69" i="18" s="1"/>
  <c r="H69" i="18" l="1"/>
  <c r="D69" i="18"/>
  <c r="H25" i="20"/>
  <c r="N25" i="20"/>
  <c r="V25" i="20"/>
  <c r="M25" i="20"/>
  <c r="E25" i="20"/>
  <c r="O25" i="20"/>
  <c r="I25" i="20"/>
  <c r="Q25" i="20"/>
  <c r="G25" i="20" s="1"/>
  <c r="K25" i="20" s="1"/>
  <c r="U25" i="20"/>
  <c r="X69" i="18"/>
  <c r="B70" i="18" s="1"/>
  <c r="AM69" i="18"/>
  <c r="V69" i="18" l="1"/>
  <c r="S25" i="20"/>
  <c r="F25" i="20"/>
  <c r="T25" i="20" s="1"/>
  <c r="AA25" i="20"/>
  <c r="Z25" i="20"/>
  <c r="C70" i="18"/>
  <c r="J70" i="18" s="1"/>
  <c r="N70" i="18"/>
  <c r="L70" i="18"/>
  <c r="T70" i="18"/>
  <c r="F70" i="18" s="1"/>
  <c r="H70" i="18" s="1"/>
  <c r="AN70" i="18"/>
  <c r="AP70" i="18" s="1"/>
  <c r="AL70" i="18"/>
  <c r="AS70" i="18"/>
  <c r="D70" i="18" l="1"/>
  <c r="V70" i="18" s="1"/>
  <c r="AB25" i="20"/>
  <c r="X25" i="20" s="1"/>
  <c r="D26" i="20"/>
  <c r="J26" i="20" s="1"/>
  <c r="C26" i="20"/>
  <c r="AM70" i="18"/>
  <c r="X70" i="18" l="1"/>
  <c r="O26" i="20"/>
  <c r="U26" i="20"/>
  <c r="N26" i="20"/>
  <c r="E26" i="20"/>
  <c r="I26" i="20"/>
  <c r="Q26" i="20"/>
  <c r="G26" i="20" s="1"/>
  <c r="K26" i="20" s="1"/>
  <c r="V26" i="20"/>
  <c r="H26" i="20"/>
  <c r="M26" i="20"/>
  <c r="R71" i="18"/>
  <c r="B71" i="18"/>
  <c r="F26" i="20" l="1"/>
  <c r="T26" i="20" s="1"/>
  <c r="D27" i="20" s="1"/>
  <c r="J27" i="20" s="1"/>
  <c r="Z26" i="20"/>
  <c r="AA26" i="20"/>
  <c r="S26" i="20"/>
  <c r="C71" i="18"/>
  <c r="J71" i="18" s="1"/>
  <c r="N71" i="18"/>
  <c r="L71" i="18"/>
  <c r="AN71" i="18"/>
  <c r="AP71" i="18" s="1"/>
  <c r="T71" i="18"/>
  <c r="F71" i="18" s="1"/>
  <c r="H71" i="18" s="1"/>
  <c r="AL71" i="18"/>
  <c r="AS71" i="18"/>
  <c r="C27" i="20" l="1"/>
  <c r="D71" i="18"/>
  <c r="V71" i="18" s="1"/>
  <c r="AB26" i="20"/>
  <c r="X26" i="20" s="1"/>
  <c r="V27" i="20"/>
  <c r="E27" i="20"/>
  <c r="N27" i="20"/>
  <c r="I27" i="20"/>
  <c r="H27" i="20"/>
  <c r="O27" i="20"/>
  <c r="U27" i="20"/>
  <c r="M27" i="20"/>
  <c r="Z27" i="20" s="1"/>
  <c r="Q27" i="20"/>
  <c r="X71" i="18"/>
  <c r="B72" i="18" s="1"/>
  <c r="AM71" i="18"/>
  <c r="G27" i="20" l="1"/>
  <c r="K27" i="20" s="1"/>
  <c r="S27" i="20" s="1"/>
  <c r="AA27" i="20"/>
  <c r="C72" i="18"/>
  <c r="J72" i="18" s="1"/>
  <c r="N72" i="18"/>
  <c r="L72" i="18"/>
  <c r="AN72" i="18"/>
  <c r="AP72" i="18" s="1"/>
  <c r="T72" i="18"/>
  <c r="F72" i="18" s="1"/>
  <c r="H72" i="18" s="1"/>
  <c r="AL72" i="18"/>
  <c r="AS72" i="18"/>
  <c r="D72" i="18" l="1"/>
  <c r="V72" i="18"/>
  <c r="AB27" i="20"/>
  <c r="X27" i="20" s="1"/>
  <c r="F27" i="20"/>
  <c r="T27" i="20" s="1"/>
  <c r="X72" i="18"/>
  <c r="AM72" i="18"/>
  <c r="D28" i="20" l="1"/>
  <c r="J28" i="20" s="1"/>
  <c r="C28" i="20"/>
  <c r="R73" i="18"/>
  <c r="B73" i="18"/>
  <c r="E28" i="20" l="1"/>
  <c r="U28" i="20"/>
  <c r="O28" i="20"/>
  <c r="H28" i="20"/>
  <c r="N28" i="20"/>
  <c r="I28" i="20"/>
  <c r="V28" i="20"/>
  <c r="Q28" i="20"/>
  <c r="G28" i="20" s="1"/>
  <c r="M28" i="20"/>
  <c r="C73" i="18"/>
  <c r="J73" i="18"/>
  <c r="N73" i="18"/>
  <c r="L73" i="18"/>
  <c r="F73" i="18"/>
  <c r="H73" i="18" s="1"/>
  <c r="AN73" i="18"/>
  <c r="AP73" i="18" s="1"/>
  <c r="AL73" i="18"/>
  <c r="D73" i="18" s="1"/>
  <c r="AS73" i="18"/>
  <c r="T73" i="18"/>
  <c r="V73" i="18" l="1"/>
  <c r="K28" i="20"/>
  <c r="S28" i="20" s="1"/>
  <c r="F28" i="20"/>
  <c r="T28" i="20" s="1"/>
  <c r="Z28" i="20"/>
  <c r="AA28" i="20"/>
  <c r="X73" i="18"/>
  <c r="B74" i="18" s="1"/>
  <c r="AM73" i="18"/>
  <c r="AB28" i="20" l="1"/>
  <c r="X28" i="20" s="1"/>
  <c r="D29" i="20"/>
  <c r="J29" i="20" s="1"/>
  <c r="C29" i="20"/>
  <c r="C74" i="18"/>
  <c r="J74" i="18" s="1"/>
  <c r="N74" i="18"/>
  <c r="L74" i="18"/>
  <c r="F74" i="18"/>
  <c r="H74" i="18" s="1"/>
  <c r="AN74" i="18"/>
  <c r="AP74" i="18" s="1"/>
  <c r="AL74" i="18"/>
  <c r="D74" i="18" s="1"/>
  <c r="T74" i="18"/>
  <c r="AS74" i="18"/>
  <c r="V74" i="18" l="1"/>
  <c r="M29" i="20"/>
  <c r="O29" i="20"/>
  <c r="I29" i="20"/>
  <c r="Q29" i="20"/>
  <c r="G29" i="20" s="1"/>
  <c r="K29" i="20" s="1"/>
  <c r="E29" i="20"/>
  <c r="H29" i="20"/>
  <c r="N29" i="20"/>
  <c r="V29" i="20"/>
  <c r="U29" i="20"/>
  <c r="X74" i="18"/>
  <c r="AM74" i="18"/>
  <c r="S29" i="20" l="1"/>
  <c r="AA29" i="20"/>
  <c r="AB29" i="20" s="1"/>
  <c r="X29" i="20" s="1"/>
  <c r="Z29" i="20"/>
  <c r="F29" i="20"/>
  <c r="T29" i="20" s="1"/>
  <c r="R75" i="18"/>
  <c r="B75" i="18"/>
  <c r="D30" i="20" l="1"/>
  <c r="J30" i="20" s="1"/>
  <c r="C30" i="20"/>
  <c r="C75" i="18"/>
  <c r="J75" i="18" s="1"/>
  <c r="L75" i="18"/>
  <c r="N75" i="18"/>
  <c r="AN75" i="18"/>
  <c r="AP75" i="18" s="1"/>
  <c r="AS75" i="18"/>
  <c r="AL75" i="18"/>
  <c r="T75" i="18"/>
  <c r="F75" i="18" s="1"/>
  <c r="H75" i="18" s="1"/>
  <c r="D75" i="18" l="1"/>
  <c r="V75" i="18" s="1"/>
  <c r="O30" i="20"/>
  <c r="M30" i="20"/>
  <c r="U30" i="20"/>
  <c r="H30" i="20"/>
  <c r="N30" i="20"/>
  <c r="Q30" i="20"/>
  <c r="G30" i="20" s="1"/>
  <c r="K30" i="20" s="1"/>
  <c r="I30" i="20"/>
  <c r="V30" i="20"/>
  <c r="E30" i="20"/>
  <c r="X75" i="18"/>
  <c r="B76" i="18" s="1"/>
  <c r="AM75" i="18"/>
  <c r="F30" i="20" l="1"/>
  <c r="T30" i="20" s="1"/>
  <c r="S30" i="20"/>
  <c r="AA30" i="20"/>
  <c r="AB30" i="20" s="1"/>
  <c r="X30" i="20" s="1"/>
  <c r="Z30" i="20"/>
  <c r="C76" i="18"/>
  <c r="J76" i="18" s="1"/>
  <c r="L76" i="18"/>
  <c r="N76" i="18"/>
  <c r="AN76" i="18"/>
  <c r="AP76" i="18" s="1"/>
  <c r="T76" i="18"/>
  <c r="F76" i="18" s="1"/>
  <c r="H76" i="18" s="1"/>
  <c r="U76" i="18"/>
  <c r="AL76" i="18"/>
  <c r="D76" i="18" s="1"/>
  <c r="AS76" i="18"/>
  <c r="V76" i="18" l="1"/>
  <c r="D31" i="20"/>
  <c r="J31" i="20" s="1"/>
  <c r="C31" i="20"/>
  <c r="X76" i="18"/>
  <c r="AM76" i="18"/>
  <c r="E31" i="20" l="1"/>
  <c r="O31" i="20"/>
  <c r="U31" i="20"/>
  <c r="N31" i="20"/>
  <c r="H31" i="20"/>
  <c r="V31" i="20"/>
  <c r="I31" i="20"/>
  <c r="Q31" i="20"/>
  <c r="G31" i="20" s="1"/>
  <c r="K31" i="20" s="1"/>
  <c r="M31" i="20"/>
  <c r="R77" i="18"/>
  <c r="B77" i="18"/>
  <c r="S31" i="20" l="1"/>
  <c r="F31" i="20"/>
  <c r="T31" i="20" s="1"/>
  <c r="AA31" i="20"/>
  <c r="AB31" i="20" s="1"/>
  <c r="X31" i="20" s="1"/>
  <c r="Z31" i="20"/>
  <c r="C77" i="18"/>
  <c r="J77" i="18" s="1"/>
  <c r="L77" i="18"/>
  <c r="N77" i="18"/>
  <c r="AN77" i="18"/>
  <c r="AP77" i="18" s="1"/>
  <c r="AS77" i="18"/>
  <c r="AL77" i="18"/>
  <c r="T77" i="18"/>
  <c r="F77" i="18" s="1"/>
  <c r="H77" i="18" l="1"/>
  <c r="D77" i="18"/>
  <c r="D32" i="20"/>
  <c r="J32" i="20" s="1"/>
  <c r="C32" i="20"/>
  <c r="X77" i="18"/>
  <c r="B78" i="18" s="1"/>
  <c r="AM77" i="18"/>
  <c r="M32" i="20" l="1"/>
  <c r="E32" i="20"/>
  <c r="O32" i="20"/>
  <c r="V32" i="20"/>
  <c r="U32" i="20"/>
  <c r="Q32" i="20"/>
  <c r="G32" i="20" s="1"/>
  <c r="K32" i="20" s="1"/>
  <c r="N32" i="20"/>
  <c r="H32" i="20"/>
  <c r="I32" i="20"/>
  <c r="V77" i="18"/>
  <c r="C78" i="18"/>
  <c r="J78" i="18" s="1"/>
  <c r="N78" i="18"/>
  <c r="L78" i="18"/>
  <c r="AS78" i="18"/>
  <c r="AN78" i="18"/>
  <c r="AP78" i="18" s="1"/>
  <c r="AL78" i="18"/>
  <c r="T78" i="18"/>
  <c r="F78" i="18" s="1"/>
  <c r="H78" i="18" s="1"/>
  <c r="D78" i="18" l="1"/>
  <c r="F32" i="20"/>
  <c r="T32" i="20" s="1"/>
  <c r="D33" i="20" s="1"/>
  <c r="J33" i="20" s="1"/>
  <c r="V78" i="18"/>
  <c r="S32" i="20"/>
  <c r="AA32" i="20"/>
  <c r="Z32" i="20"/>
  <c r="X78" i="18"/>
  <c r="AM78" i="18"/>
  <c r="C33" i="20" l="1"/>
  <c r="AB32" i="20"/>
  <c r="X32" i="20" s="1"/>
  <c r="R33" i="20"/>
  <c r="Q33" i="20"/>
  <c r="G33" i="20" s="1"/>
  <c r="K33" i="20" s="1"/>
  <c r="O33" i="20"/>
  <c r="V33" i="20"/>
  <c r="I33" i="20"/>
  <c r="E33" i="20"/>
  <c r="U33" i="20"/>
  <c r="N33" i="20"/>
  <c r="H33" i="20"/>
  <c r="M33" i="20"/>
  <c r="R79" i="18"/>
  <c r="B79" i="18"/>
  <c r="F33" i="20" l="1"/>
  <c r="T33" i="20" s="1"/>
  <c r="D34" i="20" s="1"/>
  <c r="J34" i="20" s="1"/>
  <c r="AA33" i="20"/>
  <c r="Z33" i="20"/>
  <c r="S33" i="20"/>
  <c r="C79" i="18"/>
  <c r="J79" i="18" s="1"/>
  <c r="N79" i="18"/>
  <c r="L79" i="18"/>
  <c r="AN79" i="18"/>
  <c r="AP79" i="18" s="1"/>
  <c r="AL79" i="18"/>
  <c r="T79" i="18"/>
  <c r="F79" i="18" s="1"/>
  <c r="AS79" i="18"/>
  <c r="C34" i="20" l="1"/>
  <c r="AB33" i="20"/>
  <c r="X33" i="20" s="1"/>
  <c r="H79" i="18"/>
  <c r="D79" i="18"/>
  <c r="H34" i="20"/>
  <c r="Q34" i="20"/>
  <c r="G34" i="20" s="1"/>
  <c r="K34" i="20" s="1"/>
  <c r="O34" i="20"/>
  <c r="N34" i="20"/>
  <c r="M34" i="20"/>
  <c r="E34" i="20"/>
  <c r="U34" i="20"/>
  <c r="V34" i="20"/>
  <c r="I34" i="20"/>
  <c r="X79" i="18"/>
  <c r="B80" i="18" s="1"/>
  <c r="AM79" i="18"/>
  <c r="S34" i="20" l="1"/>
  <c r="F34" i="20"/>
  <c r="T34" i="20" s="1"/>
  <c r="V79" i="18"/>
  <c r="AA34" i="20"/>
  <c r="AB34" i="20" s="1"/>
  <c r="X34" i="20" s="1"/>
  <c r="Z34" i="20"/>
  <c r="C80" i="18"/>
  <c r="J80" i="18" s="1"/>
  <c r="N80" i="18"/>
  <c r="L80" i="18"/>
  <c r="AN80" i="18"/>
  <c r="AP80" i="18" s="1"/>
  <c r="T80" i="18"/>
  <c r="F80" i="18" s="1"/>
  <c r="H80" i="18" s="1"/>
  <c r="AL80" i="18"/>
  <c r="AS80" i="18"/>
  <c r="D80" i="18" l="1"/>
  <c r="V80" i="18" s="1"/>
  <c r="D35" i="20"/>
  <c r="J35" i="20" s="1"/>
  <c r="C35" i="20"/>
  <c r="X80" i="18"/>
  <c r="AM80" i="18"/>
  <c r="M35" i="20" l="1"/>
  <c r="V35" i="20"/>
  <c r="N35" i="20"/>
  <c r="E35" i="20"/>
  <c r="Q35" i="20"/>
  <c r="G35" i="20" s="1"/>
  <c r="K35" i="20" s="1"/>
  <c r="I35" i="20"/>
  <c r="H35" i="20"/>
  <c r="U35" i="20"/>
  <c r="O35" i="20"/>
  <c r="R81" i="18"/>
  <c r="B81" i="18"/>
  <c r="S35" i="20" l="1"/>
  <c r="F35" i="20"/>
  <c r="T35" i="20" s="1"/>
  <c r="X35" i="20"/>
  <c r="AA35" i="20"/>
  <c r="AB35" i="20" s="1"/>
  <c r="Z35" i="20"/>
  <c r="C81" i="18"/>
  <c r="J81" i="18" s="1"/>
  <c r="N81" i="18"/>
  <c r="L81" i="18"/>
  <c r="AN81" i="18"/>
  <c r="AP81" i="18" s="1"/>
  <c r="AL81" i="18"/>
  <c r="AS81" i="18"/>
  <c r="T81" i="18"/>
  <c r="F81" i="18" s="1"/>
  <c r="H81" i="18" s="1"/>
  <c r="D81" i="18" l="1"/>
  <c r="V81" i="18" s="1"/>
  <c r="D36" i="20"/>
  <c r="J36" i="20" s="1"/>
  <c r="C36" i="20"/>
  <c r="AM81" i="18"/>
  <c r="X81" i="18" l="1"/>
  <c r="B82" i="18" s="1"/>
  <c r="C82" i="18" s="1"/>
  <c r="J82" i="18" s="1"/>
  <c r="M36" i="20"/>
  <c r="Q36" i="20"/>
  <c r="G36" i="20" s="1"/>
  <c r="K36" i="20" s="1"/>
  <c r="N36" i="20"/>
  <c r="U36" i="20"/>
  <c r="E36" i="20"/>
  <c r="O36" i="20"/>
  <c r="H36" i="20"/>
  <c r="I36" i="20"/>
  <c r="V36" i="20"/>
  <c r="L82" i="18"/>
  <c r="AN82" i="18"/>
  <c r="AP82" i="18" s="1"/>
  <c r="T82" i="18"/>
  <c r="F82" i="18" s="1"/>
  <c r="H82" i="18" s="1"/>
  <c r="AS82" i="18"/>
  <c r="AL82" i="18"/>
  <c r="N82" i="18" l="1"/>
  <c r="AM82" i="18" s="1"/>
  <c r="S36" i="20"/>
  <c r="D82" i="18"/>
  <c r="F36" i="20"/>
  <c r="T36" i="20" s="1"/>
  <c r="AA36" i="20"/>
  <c r="AB36" i="20" s="1"/>
  <c r="X36" i="20" s="1"/>
  <c r="Z36" i="20"/>
  <c r="X82" i="18"/>
  <c r="V82" i="18" l="1"/>
  <c r="D37" i="20"/>
  <c r="J37" i="20" s="1"/>
  <c r="C37" i="20"/>
  <c r="R83" i="18"/>
  <c r="B83" i="18"/>
  <c r="H37" i="20" l="1"/>
  <c r="U37" i="20"/>
  <c r="O37" i="20"/>
  <c r="M37" i="20"/>
  <c r="V37" i="20"/>
  <c r="E37" i="20"/>
  <c r="N37" i="20"/>
  <c r="I37" i="20"/>
  <c r="Q37" i="20"/>
  <c r="G37" i="20" s="1"/>
  <c r="K37" i="20" s="1"/>
  <c r="C83" i="18"/>
  <c r="J83" i="18" s="1"/>
  <c r="L83" i="18"/>
  <c r="N83" i="18"/>
  <c r="T83" i="18"/>
  <c r="F83" i="18" s="1"/>
  <c r="H83" i="18" s="1"/>
  <c r="AS83" i="18"/>
  <c r="AN83" i="18"/>
  <c r="AP83" i="18" s="1"/>
  <c r="AL83" i="18"/>
  <c r="D83" i="18" l="1"/>
  <c r="V83" i="18"/>
  <c r="S37" i="20"/>
  <c r="AA37" i="20"/>
  <c r="AB37" i="20" s="1"/>
  <c r="X37" i="20" s="1"/>
  <c r="Z37" i="20"/>
  <c r="F37" i="20"/>
  <c r="T37" i="20" s="1"/>
  <c r="X83" i="18"/>
  <c r="B84" i="18" s="1"/>
  <c r="AM83" i="18"/>
  <c r="D38" i="20" l="1"/>
  <c r="J38" i="20" s="1"/>
  <c r="C38" i="20"/>
  <c r="C84" i="18"/>
  <c r="J84" i="18" s="1"/>
  <c r="L84" i="18"/>
  <c r="N84" i="18"/>
  <c r="AS84" i="18"/>
  <c r="AL84" i="18"/>
  <c r="AN84" i="18"/>
  <c r="AP84" i="18" s="1"/>
  <c r="T84" i="18"/>
  <c r="F84" i="18" s="1"/>
  <c r="H84" i="18" s="1"/>
  <c r="D84" i="18" l="1"/>
  <c r="V84" i="18" s="1"/>
  <c r="M38" i="20"/>
  <c r="U38" i="20"/>
  <c r="E38" i="20"/>
  <c r="N38" i="20"/>
  <c r="V38" i="20"/>
  <c r="I38" i="20"/>
  <c r="Q38" i="20"/>
  <c r="G38" i="20" s="1"/>
  <c r="K38" i="20" s="1"/>
  <c r="H38" i="20"/>
  <c r="O38" i="20"/>
  <c r="X84" i="18"/>
  <c r="AM84" i="18"/>
  <c r="F38" i="20" l="1"/>
  <c r="T38" i="20" s="1"/>
  <c r="S38" i="20"/>
  <c r="AA38" i="20"/>
  <c r="AB38" i="20" s="1"/>
  <c r="X38" i="20" s="1"/>
  <c r="Z38" i="20"/>
  <c r="R85" i="18"/>
  <c r="B85" i="18"/>
  <c r="D39" i="20" l="1"/>
  <c r="J39" i="20" s="1"/>
  <c r="C39" i="20"/>
  <c r="C85" i="18"/>
  <c r="J85" i="18" s="1"/>
  <c r="L85" i="18"/>
  <c r="N85" i="18"/>
  <c r="T85" i="18"/>
  <c r="F85" i="18" s="1"/>
  <c r="AL85" i="18"/>
  <c r="AS85" i="18"/>
  <c r="AN85" i="18"/>
  <c r="AP85" i="18" s="1"/>
  <c r="H85" i="18" l="1"/>
  <c r="D85" i="18"/>
  <c r="O39" i="20"/>
  <c r="I39" i="20"/>
  <c r="V39" i="20"/>
  <c r="H39" i="20"/>
  <c r="E39" i="20"/>
  <c r="Q39" i="20"/>
  <c r="G39" i="20" s="1"/>
  <c r="K39" i="20" s="1"/>
  <c r="M39" i="20"/>
  <c r="U39" i="20"/>
  <c r="N39" i="20"/>
  <c r="X85" i="18"/>
  <c r="B86" i="18" s="1"/>
  <c r="AM85" i="18"/>
  <c r="F39" i="20" l="1"/>
  <c r="T39" i="20" s="1"/>
  <c r="D40" i="20" s="1"/>
  <c r="J40" i="20" s="1"/>
  <c r="S39" i="20"/>
  <c r="AA39" i="20"/>
  <c r="AB39" i="20" s="1"/>
  <c r="X39" i="20" s="1"/>
  <c r="Z39" i="20"/>
  <c r="V85" i="18"/>
  <c r="C86" i="18"/>
  <c r="J86" i="18" s="1"/>
  <c r="L86" i="18"/>
  <c r="N86" i="18"/>
  <c r="AS86" i="18"/>
  <c r="AL86" i="18"/>
  <c r="AN86" i="18"/>
  <c r="AP86" i="18" s="1"/>
  <c r="T86" i="18"/>
  <c r="F86" i="18" s="1"/>
  <c r="H86" i="18" s="1"/>
  <c r="C40" i="20" l="1"/>
  <c r="V40" i="20" s="1"/>
  <c r="D86" i="18"/>
  <c r="V86" i="18" s="1"/>
  <c r="O40" i="20"/>
  <c r="U40" i="20"/>
  <c r="I40" i="20"/>
  <c r="H40" i="20"/>
  <c r="M40" i="20"/>
  <c r="N40" i="20"/>
  <c r="X86" i="18"/>
  <c r="AM86" i="18"/>
  <c r="Q40" i="20" l="1"/>
  <c r="G40" i="20" s="1"/>
  <c r="K40" i="20" s="1"/>
  <c r="E40" i="20"/>
  <c r="S40" i="20" s="1"/>
  <c r="AA40" i="20"/>
  <c r="Z40" i="20"/>
  <c r="R87" i="18"/>
  <c r="B87" i="18"/>
  <c r="F40" i="20" l="1"/>
  <c r="T40" i="20" s="1"/>
  <c r="AB40" i="20"/>
  <c r="X40" i="20" s="1"/>
  <c r="D41" i="20"/>
  <c r="J41" i="20" s="1"/>
  <c r="C41" i="20"/>
  <c r="C87" i="18"/>
  <c r="J87" i="18" s="1"/>
  <c r="N87" i="18"/>
  <c r="L87" i="18"/>
  <c r="AN87" i="18"/>
  <c r="AP87" i="18" s="1"/>
  <c r="AS87" i="18"/>
  <c r="T87" i="18"/>
  <c r="F87" i="18" s="1"/>
  <c r="H87" i="18" s="1"/>
  <c r="AL87" i="18"/>
  <c r="D87" i="18" l="1"/>
  <c r="V87" i="18" s="1"/>
  <c r="N41" i="20"/>
  <c r="E41" i="20"/>
  <c r="V41" i="20"/>
  <c r="Q41" i="20"/>
  <c r="M41" i="20"/>
  <c r="U41" i="20"/>
  <c r="O41" i="20"/>
  <c r="I41" i="20"/>
  <c r="H41" i="20"/>
  <c r="X87" i="18"/>
  <c r="B88" i="18" s="1"/>
  <c r="AM87" i="18"/>
  <c r="G41" i="20" l="1"/>
  <c r="AA41" i="20"/>
  <c r="AB41" i="20" s="1"/>
  <c r="X41" i="20" s="1"/>
  <c r="Z41" i="20"/>
  <c r="C88" i="18"/>
  <c r="J88" i="18" s="1"/>
  <c r="N88" i="18"/>
  <c r="L88" i="18"/>
  <c r="AN88" i="18"/>
  <c r="AP88" i="18" s="1"/>
  <c r="U88" i="18"/>
  <c r="AL88" i="18"/>
  <c r="AS88" i="18"/>
  <c r="T88" i="18"/>
  <c r="F88" i="18" s="1"/>
  <c r="H88" i="18" s="1"/>
  <c r="D88" i="18" l="1"/>
  <c r="V88" i="18" s="1"/>
  <c r="K41" i="20"/>
  <c r="S41" i="20" s="1"/>
  <c r="F41" i="20"/>
  <c r="T41" i="20" s="1"/>
  <c r="X88" i="18"/>
  <c r="AM88" i="18"/>
  <c r="D42" i="20" l="1"/>
  <c r="J42" i="20" s="1"/>
  <c r="C42" i="20"/>
  <c r="R89" i="18"/>
  <c r="B89" i="18"/>
  <c r="E42" i="20" l="1"/>
  <c r="V42" i="20"/>
  <c r="O42" i="20"/>
  <c r="U42" i="20"/>
  <c r="I42" i="20"/>
  <c r="H42" i="20"/>
  <c r="M42" i="20"/>
  <c r="N42" i="20"/>
  <c r="Q42" i="20"/>
  <c r="G42" i="20" s="1"/>
  <c r="C89" i="18"/>
  <c r="J89" i="18" s="1"/>
  <c r="N89" i="18"/>
  <c r="L89" i="18"/>
  <c r="AN89" i="18"/>
  <c r="AP89" i="18" s="1"/>
  <c r="AL89" i="18"/>
  <c r="AS89" i="18"/>
  <c r="T89" i="18"/>
  <c r="F89" i="18" s="1"/>
  <c r="H89" i="18" s="1"/>
  <c r="D89" i="18" l="1"/>
  <c r="V89" i="18" s="1"/>
  <c r="K42" i="20"/>
  <c r="S42" i="20" s="1"/>
  <c r="F42" i="20"/>
  <c r="T42" i="20" s="1"/>
  <c r="AA42" i="20"/>
  <c r="Z42" i="20"/>
  <c r="X89" i="18"/>
  <c r="B90" i="18" s="1"/>
  <c r="AM89" i="18"/>
  <c r="AB42" i="20" l="1"/>
  <c r="X42" i="20" s="1"/>
  <c r="D43" i="20"/>
  <c r="J43" i="20" s="1"/>
  <c r="C43" i="20"/>
  <c r="C90" i="18"/>
  <c r="J90" i="18" s="1"/>
  <c r="N90" i="18"/>
  <c r="L90" i="18"/>
  <c r="AN90" i="18"/>
  <c r="AP90" i="18" s="1"/>
  <c r="AS90" i="18"/>
  <c r="T90" i="18"/>
  <c r="F90" i="18" s="1"/>
  <c r="H90" i="18" s="1"/>
  <c r="AL90" i="18"/>
  <c r="D90" i="18" l="1"/>
  <c r="V90" i="18" s="1"/>
  <c r="H43" i="20"/>
  <c r="E43" i="20"/>
  <c r="Q43" i="20"/>
  <c r="G43" i="20" s="1"/>
  <c r="K43" i="20" s="1"/>
  <c r="O43" i="20"/>
  <c r="M43" i="20"/>
  <c r="N43" i="20"/>
  <c r="V43" i="20"/>
  <c r="I43" i="20"/>
  <c r="U43" i="20"/>
  <c r="X90" i="18"/>
  <c r="AM90" i="18"/>
  <c r="F43" i="20" l="1"/>
  <c r="T43" i="20" s="1"/>
  <c r="S43" i="20"/>
  <c r="AA43" i="20"/>
  <c r="AB43" i="20" s="1"/>
  <c r="X43" i="20" s="1"/>
  <c r="Z43" i="20"/>
  <c r="R91" i="18"/>
  <c r="B91" i="18"/>
  <c r="D44" i="20" l="1"/>
  <c r="J44" i="20" s="1"/>
  <c r="C44" i="20"/>
  <c r="C91" i="18"/>
  <c r="J91" i="18" s="1"/>
  <c r="L91" i="18"/>
  <c r="N91" i="18"/>
  <c r="F91" i="18"/>
  <c r="H91" i="18" s="1"/>
  <c r="AN91" i="18"/>
  <c r="AP91" i="18" s="1"/>
  <c r="AS91" i="18"/>
  <c r="T91" i="18"/>
  <c r="AL91" i="18"/>
  <c r="D91" i="18" l="1"/>
  <c r="V91" i="18" s="1"/>
  <c r="U44" i="20"/>
  <c r="M44" i="20"/>
  <c r="H44" i="20"/>
  <c r="I44" i="20"/>
  <c r="E44" i="20"/>
  <c r="V44" i="20"/>
  <c r="O44" i="20"/>
  <c r="Q44" i="20"/>
  <c r="G44" i="20" s="1"/>
  <c r="N44" i="20"/>
  <c r="X91" i="18"/>
  <c r="B92" i="18" s="1"/>
  <c r="AM91" i="18"/>
  <c r="K44" i="20" l="1"/>
  <c r="S44" i="20" s="1"/>
  <c r="F44" i="20"/>
  <c r="T44" i="20" s="1"/>
  <c r="AA44" i="20"/>
  <c r="Z44" i="20"/>
  <c r="C92" i="18"/>
  <c r="J92" i="18" s="1"/>
  <c r="L92" i="18"/>
  <c r="N92" i="18"/>
  <c r="AL92" i="18"/>
  <c r="AN92" i="18"/>
  <c r="AP92" i="18" s="1"/>
  <c r="T92" i="18"/>
  <c r="F92" i="18" s="1"/>
  <c r="H92" i="18" s="1"/>
  <c r="AS92" i="18"/>
  <c r="AB44" i="20" l="1"/>
  <c r="X44" i="20" s="1"/>
  <c r="D92" i="18"/>
  <c r="V92" i="18" s="1"/>
  <c r="D45" i="20"/>
  <c r="J45" i="20" s="1"/>
  <c r="C45" i="20"/>
  <c r="X92" i="18"/>
  <c r="AM92" i="18"/>
  <c r="O45" i="20" l="1"/>
  <c r="I45" i="20"/>
  <c r="V45" i="20"/>
  <c r="Q45" i="20"/>
  <c r="G45" i="20" s="1"/>
  <c r="K45" i="20" s="1"/>
  <c r="H45" i="20"/>
  <c r="R45" i="20"/>
  <c r="N45" i="20"/>
  <c r="U45" i="20"/>
  <c r="E45" i="20"/>
  <c r="M45" i="20"/>
  <c r="R93" i="18"/>
  <c r="B93" i="18"/>
  <c r="S45" i="20" l="1"/>
  <c r="F45" i="20"/>
  <c r="T45" i="20" s="1"/>
  <c r="AA45" i="20"/>
  <c r="Z45" i="20"/>
  <c r="C93" i="18"/>
  <c r="J93" i="18" s="1"/>
  <c r="L93" i="18"/>
  <c r="N93" i="18"/>
  <c r="AL93" i="18"/>
  <c r="AN93" i="18"/>
  <c r="AP93" i="18" s="1"/>
  <c r="T93" i="18"/>
  <c r="F93" i="18" s="1"/>
  <c r="H93" i="18" s="1"/>
  <c r="AS93" i="18"/>
  <c r="AB45" i="20" l="1"/>
  <c r="X45" i="20" s="1"/>
  <c r="D93" i="18"/>
  <c r="V93" i="18" s="1"/>
  <c r="D46" i="20"/>
  <c r="J46" i="20" s="1"/>
  <c r="C46" i="20"/>
  <c r="X93" i="18"/>
  <c r="B94" i="18" s="1"/>
  <c r="AM93" i="18"/>
  <c r="Q46" i="20" l="1"/>
  <c r="I46" i="20"/>
  <c r="U46" i="20"/>
  <c r="M46" i="20"/>
  <c r="G46" i="20"/>
  <c r="K46" i="20" s="1"/>
  <c r="N46" i="20"/>
  <c r="E46" i="20"/>
  <c r="F46" i="20" s="1"/>
  <c r="T46" i="20" s="1"/>
  <c r="V46" i="20"/>
  <c r="O46" i="20"/>
  <c r="H46" i="20"/>
  <c r="C94" i="18"/>
  <c r="J94" i="18"/>
  <c r="L94" i="18"/>
  <c r="N94" i="18"/>
  <c r="AL94" i="18"/>
  <c r="AS94" i="18"/>
  <c r="AN94" i="18"/>
  <c r="AP94" i="18" s="1"/>
  <c r="T94" i="18"/>
  <c r="F94" i="18" s="1"/>
  <c r="H94" i="18" s="1"/>
  <c r="D94" i="18" l="1"/>
  <c r="V94" i="18" s="1"/>
  <c r="D47" i="20"/>
  <c r="J47" i="20" s="1"/>
  <c r="C47" i="20"/>
  <c r="S46" i="20"/>
  <c r="AA46" i="20"/>
  <c r="AB46" i="20" s="1"/>
  <c r="X46" i="20" s="1"/>
  <c r="Z46" i="20"/>
  <c r="X94" i="18"/>
  <c r="AM94" i="18"/>
  <c r="O47" i="20" l="1"/>
  <c r="H47" i="20"/>
  <c r="Q47" i="20"/>
  <c r="G47" i="20" s="1"/>
  <c r="K47" i="20" s="1"/>
  <c r="I47" i="20"/>
  <c r="N47" i="20"/>
  <c r="E47" i="20"/>
  <c r="F47" i="20" s="1"/>
  <c r="T47" i="20" s="1"/>
  <c r="M47" i="20"/>
  <c r="V47" i="20"/>
  <c r="U47" i="20"/>
  <c r="R95" i="18"/>
  <c r="B95" i="18"/>
  <c r="D48" i="20" l="1"/>
  <c r="J48" i="20" s="1"/>
  <c r="C48" i="20"/>
  <c r="S47" i="20"/>
  <c r="AA47" i="20"/>
  <c r="AB47" i="20" s="1"/>
  <c r="X47" i="20" s="1"/>
  <c r="Z47" i="20"/>
  <c r="C95" i="18"/>
  <c r="J95" i="18" s="1"/>
  <c r="N95" i="18"/>
  <c r="L95" i="18"/>
  <c r="AN95" i="18"/>
  <c r="AP95" i="18" s="1"/>
  <c r="AS95" i="18"/>
  <c r="T95" i="18"/>
  <c r="F95" i="18" s="1"/>
  <c r="H95" i="18" s="1"/>
  <c r="AL95" i="18"/>
  <c r="D95" i="18" l="1"/>
  <c r="V95" i="18" s="1"/>
  <c r="M48" i="20"/>
  <c r="H48" i="20"/>
  <c r="I48" i="20"/>
  <c r="E48" i="20"/>
  <c r="Q48" i="20"/>
  <c r="G48" i="20" s="1"/>
  <c r="K48" i="20" s="1"/>
  <c r="N48" i="20"/>
  <c r="V48" i="20"/>
  <c r="U48" i="20"/>
  <c r="O48" i="20"/>
  <c r="X95" i="18"/>
  <c r="B96" i="18" s="1"/>
  <c r="AM95" i="18"/>
  <c r="S48" i="20" l="1"/>
  <c r="F48" i="20"/>
  <c r="T48" i="20" s="1"/>
  <c r="AA48" i="20"/>
  <c r="AB48" i="20" s="1"/>
  <c r="X48" i="20" s="1"/>
  <c r="Z48" i="20"/>
  <c r="C96" i="18"/>
  <c r="J96" i="18" s="1"/>
  <c r="N96" i="18"/>
  <c r="L96" i="18"/>
  <c r="AN96" i="18"/>
  <c r="AP96" i="18" s="1"/>
  <c r="AS96" i="18"/>
  <c r="T96" i="18"/>
  <c r="F96" i="18" s="1"/>
  <c r="H96" i="18" s="1"/>
  <c r="AL96" i="18"/>
  <c r="D96" i="18" l="1"/>
  <c r="V96" i="18" s="1"/>
  <c r="D49" i="20"/>
  <c r="J49" i="20" s="1"/>
  <c r="C49" i="20"/>
  <c r="X96" i="18"/>
  <c r="AM96" i="18"/>
  <c r="N49" i="20" l="1"/>
  <c r="H49" i="20"/>
  <c r="U49" i="20"/>
  <c r="O49" i="20"/>
  <c r="Q49" i="20"/>
  <c r="G49" i="20" s="1"/>
  <c r="K49" i="20" s="1"/>
  <c r="I49" i="20"/>
  <c r="V49" i="20"/>
  <c r="M49" i="20"/>
  <c r="E49" i="20"/>
  <c r="R97" i="18"/>
  <c r="B97" i="18"/>
  <c r="S49" i="20" l="1"/>
  <c r="F49" i="20"/>
  <c r="T49" i="20" s="1"/>
  <c r="AA49" i="20"/>
  <c r="AB49" i="20" s="1"/>
  <c r="X49" i="20" s="1"/>
  <c r="Z49" i="20"/>
  <c r="C97" i="18"/>
  <c r="J97" i="18" s="1"/>
  <c r="N97" i="18"/>
  <c r="L97" i="18"/>
  <c r="AN97" i="18"/>
  <c r="AP97" i="18" s="1"/>
  <c r="AL97" i="18"/>
  <c r="T97" i="18"/>
  <c r="F97" i="18" s="1"/>
  <c r="H97" i="18" s="1"/>
  <c r="AS97" i="18"/>
  <c r="D97" i="18" l="1"/>
  <c r="V97" i="18" s="1"/>
  <c r="D50" i="20"/>
  <c r="J50" i="20" s="1"/>
  <c r="C50" i="20"/>
  <c r="X97" i="18"/>
  <c r="B98" i="18" s="1"/>
  <c r="AM97" i="18"/>
  <c r="E50" i="20" l="1"/>
  <c r="I50" i="20"/>
  <c r="V50" i="20"/>
  <c r="O50" i="20"/>
  <c r="M50" i="20"/>
  <c r="H50" i="20"/>
  <c r="U50" i="20"/>
  <c r="Q50" i="20"/>
  <c r="N50" i="20"/>
  <c r="C98" i="18"/>
  <c r="J98" i="18" s="1"/>
  <c r="N98" i="18"/>
  <c r="L98" i="18"/>
  <c r="AN98" i="18"/>
  <c r="AP98" i="18" s="1"/>
  <c r="AL98" i="18"/>
  <c r="T98" i="18"/>
  <c r="F98" i="18" s="1"/>
  <c r="H98" i="18" s="1"/>
  <c r="AS98" i="18"/>
  <c r="D98" i="18" l="1"/>
  <c r="X98" i="18" s="1"/>
  <c r="AA50" i="20"/>
  <c r="AB50" i="20" s="1"/>
  <c r="X50" i="20" s="1"/>
  <c r="Z50" i="20"/>
  <c r="G50" i="20"/>
  <c r="AM98" i="18"/>
  <c r="V98" i="18" l="1"/>
  <c r="K50" i="20"/>
  <c r="S50" i="20" s="1"/>
  <c r="F50" i="20"/>
  <c r="T50" i="20" s="1"/>
  <c r="R99" i="18"/>
  <c r="B99" i="18"/>
  <c r="D51" i="20" l="1"/>
  <c r="J51" i="20" s="1"/>
  <c r="C51" i="20"/>
  <c r="C99" i="18"/>
  <c r="J99" i="18" s="1"/>
  <c r="L99" i="18"/>
  <c r="N99" i="18"/>
  <c r="AL99" i="18"/>
  <c r="T99" i="18"/>
  <c r="F99" i="18" s="1"/>
  <c r="H99" i="18" s="1"/>
  <c r="AN99" i="18"/>
  <c r="AP99" i="18" s="1"/>
  <c r="AS99" i="18"/>
  <c r="D99" i="18" l="1"/>
  <c r="V99" i="18" s="1"/>
  <c r="Q51" i="20"/>
  <c r="G51" i="20" s="1"/>
  <c r="K51" i="20" s="1"/>
  <c r="V51" i="20"/>
  <c r="H51" i="20"/>
  <c r="N51" i="20"/>
  <c r="O51" i="20"/>
  <c r="U51" i="20"/>
  <c r="E51" i="20"/>
  <c r="M51" i="20"/>
  <c r="I51" i="20"/>
  <c r="X99" i="18"/>
  <c r="B100" i="18" s="1"/>
  <c r="AM99" i="18"/>
  <c r="F51" i="20" l="1"/>
  <c r="T51" i="20" s="1"/>
  <c r="D52" i="20" s="1"/>
  <c r="J52" i="20" s="1"/>
  <c r="AA51" i="20"/>
  <c r="AB51" i="20" s="1"/>
  <c r="X51" i="20" s="1"/>
  <c r="Z51" i="20"/>
  <c r="S51" i="20"/>
  <c r="C100" i="18"/>
  <c r="J100" i="18" s="1"/>
  <c r="L100" i="18"/>
  <c r="N100" i="18"/>
  <c r="AL100" i="18"/>
  <c r="U100" i="18"/>
  <c r="T100" i="18"/>
  <c r="F100" i="18" s="1"/>
  <c r="H100" i="18" s="1"/>
  <c r="AS100" i="18"/>
  <c r="AN100" i="18"/>
  <c r="AP100" i="18" s="1"/>
  <c r="C52" i="20" l="1"/>
  <c r="N52" i="20" s="1"/>
  <c r="D100" i="18"/>
  <c r="V100" i="18" s="1"/>
  <c r="AM100" i="18"/>
  <c r="X100" i="18" l="1"/>
  <c r="E52" i="20"/>
  <c r="U52" i="20"/>
  <c r="O52" i="20"/>
  <c r="I52" i="20"/>
  <c r="Q52" i="20"/>
  <c r="G52" i="20" s="1"/>
  <c r="K52" i="20" s="1"/>
  <c r="S52" i="20" s="1"/>
  <c r="V52" i="20"/>
  <c r="M52" i="20"/>
  <c r="AA52" i="20" s="1"/>
  <c r="AB52" i="20" s="1"/>
  <c r="X52" i="20" s="1"/>
  <c r="H52" i="20"/>
  <c r="R101" i="18"/>
  <c r="B101" i="18"/>
  <c r="F52" i="20" l="1"/>
  <c r="T52" i="20" s="1"/>
  <c r="D53" i="20" s="1"/>
  <c r="J53" i="20" s="1"/>
  <c r="Z52" i="20"/>
  <c r="C53" i="20"/>
  <c r="C101" i="18"/>
  <c r="J101" i="18" s="1"/>
  <c r="L101" i="18"/>
  <c r="N101" i="18"/>
  <c r="T101" i="18"/>
  <c r="F101" i="18" s="1"/>
  <c r="H101" i="18" s="1"/>
  <c r="AN101" i="18"/>
  <c r="AP101" i="18" s="1"/>
  <c r="AL101" i="18"/>
  <c r="AS101" i="18"/>
  <c r="D101" i="18" l="1"/>
  <c r="V101" i="18" s="1"/>
  <c r="E53" i="20"/>
  <c r="I53" i="20"/>
  <c r="M53" i="20"/>
  <c r="U53" i="20"/>
  <c r="Q53" i="20"/>
  <c r="G53" i="20" s="1"/>
  <c r="K53" i="20" s="1"/>
  <c r="H53" i="20"/>
  <c r="N53" i="20"/>
  <c r="V53" i="20"/>
  <c r="O53" i="20"/>
  <c r="X101" i="18"/>
  <c r="B102" i="18" s="1"/>
  <c r="AM101" i="18"/>
  <c r="S53" i="20" l="1"/>
  <c r="AA53" i="20"/>
  <c r="AB53" i="20" s="1"/>
  <c r="X53" i="20" s="1"/>
  <c r="Z53" i="20"/>
  <c r="F53" i="20"/>
  <c r="T53" i="20" s="1"/>
  <c r="C102" i="18"/>
  <c r="J102" i="18" s="1"/>
  <c r="L102" i="18"/>
  <c r="N102" i="18"/>
  <c r="T102" i="18"/>
  <c r="F102" i="18" s="1"/>
  <c r="H102" i="18" s="1"/>
  <c r="AS102" i="18"/>
  <c r="AL102" i="18"/>
  <c r="AN102" i="18"/>
  <c r="AP102" i="18" s="1"/>
  <c r="D102" i="18" l="1"/>
  <c r="V102" i="18" s="1"/>
  <c r="D54" i="20"/>
  <c r="J54" i="20" s="1"/>
  <c r="C54" i="20"/>
  <c r="X102" i="18"/>
  <c r="AM102" i="18"/>
  <c r="H54" i="20" l="1"/>
  <c r="Q54" i="20"/>
  <c r="I54" i="20"/>
  <c r="N54" i="20"/>
  <c r="E54" i="20"/>
  <c r="V54" i="20"/>
  <c r="G54" i="20"/>
  <c r="K54" i="20" s="1"/>
  <c r="U54" i="20"/>
  <c r="O54" i="20"/>
  <c r="M54" i="20"/>
  <c r="R103" i="18"/>
  <c r="B103" i="18"/>
  <c r="S54" i="20" l="1"/>
  <c r="F54" i="20"/>
  <c r="T54" i="20" s="1"/>
  <c r="D55" i="20" s="1"/>
  <c r="J55" i="20" s="1"/>
  <c r="AA54" i="20"/>
  <c r="AB54" i="20" s="1"/>
  <c r="X54" i="20" s="1"/>
  <c r="Z54" i="20"/>
  <c r="C103" i="18"/>
  <c r="J103" i="18" s="1"/>
  <c r="N103" i="18"/>
  <c r="L103" i="18"/>
  <c r="AN103" i="18"/>
  <c r="AP103" i="18" s="1"/>
  <c r="T103" i="18"/>
  <c r="F103" i="18" s="1"/>
  <c r="AL103" i="18"/>
  <c r="AS103" i="18"/>
  <c r="C55" i="20" l="1"/>
  <c r="H103" i="18"/>
  <c r="D103" i="18"/>
  <c r="H55" i="20"/>
  <c r="I55" i="20"/>
  <c r="E55" i="20"/>
  <c r="Q55" i="20"/>
  <c r="G55" i="20" s="1"/>
  <c r="K55" i="20" s="1"/>
  <c r="U55" i="20"/>
  <c r="O55" i="20"/>
  <c r="M55" i="20"/>
  <c r="V55" i="20"/>
  <c r="N55" i="20"/>
  <c r="X103" i="18"/>
  <c r="B104" i="18" s="1"/>
  <c r="AM103" i="18"/>
  <c r="S55" i="20" l="1"/>
  <c r="F55" i="20"/>
  <c r="T55" i="20" s="1"/>
  <c r="AA55" i="20"/>
  <c r="Z55" i="20"/>
  <c r="V103" i="18"/>
  <c r="C104" i="18"/>
  <c r="J104" i="18" s="1"/>
  <c r="N104" i="18"/>
  <c r="L104" i="18"/>
  <c r="AN104" i="18"/>
  <c r="AP104" i="18" s="1"/>
  <c r="AL104" i="18"/>
  <c r="AS104" i="18"/>
  <c r="T104" i="18"/>
  <c r="F104" i="18" s="1"/>
  <c r="H104" i="18" s="1"/>
  <c r="AB55" i="20" l="1"/>
  <c r="X55" i="20" s="1"/>
  <c r="D104" i="18"/>
  <c r="V104" i="18" s="1"/>
  <c r="D56" i="20"/>
  <c r="J56" i="20" s="1"/>
  <c r="C56" i="20"/>
  <c r="X104" i="18"/>
  <c r="AM104" i="18"/>
  <c r="I56" i="20" l="1"/>
  <c r="E56" i="20"/>
  <c r="M56" i="20"/>
  <c r="N56" i="20"/>
  <c r="V56" i="20"/>
  <c r="H56" i="20"/>
  <c r="U56" i="20"/>
  <c r="Q56" i="20"/>
  <c r="G56" i="20" s="1"/>
  <c r="O56" i="20"/>
  <c r="R105" i="18"/>
  <c r="B105" i="18"/>
  <c r="K56" i="20" l="1"/>
  <c r="S56" i="20" s="1"/>
  <c r="F56" i="20"/>
  <c r="T56" i="20" s="1"/>
  <c r="AA56" i="20"/>
  <c r="Z56" i="20"/>
  <c r="C105" i="18"/>
  <c r="J105" i="18" s="1"/>
  <c r="N105" i="18"/>
  <c r="L105" i="18"/>
  <c r="AN105" i="18"/>
  <c r="AP105" i="18" s="1"/>
  <c r="T105" i="18"/>
  <c r="F105" i="18" s="1"/>
  <c r="H105" i="18" s="1"/>
  <c r="AL105" i="18"/>
  <c r="AS105" i="18"/>
  <c r="AB56" i="20" l="1"/>
  <c r="X56" i="20" s="1"/>
  <c r="D105" i="18"/>
  <c r="V105" i="18" s="1"/>
  <c r="D57" i="20"/>
  <c r="J57" i="20" s="1"/>
  <c r="C57" i="20"/>
  <c r="AM105" i="18"/>
  <c r="X105" i="18" l="1"/>
  <c r="B106" i="18" s="1"/>
  <c r="C106" i="18" s="1"/>
  <c r="J106" i="18" s="1"/>
  <c r="Q57" i="20"/>
  <c r="G57" i="20" s="1"/>
  <c r="K57" i="20" s="1"/>
  <c r="O57" i="20"/>
  <c r="I57" i="20"/>
  <c r="E57" i="20"/>
  <c r="R57" i="20"/>
  <c r="M57" i="20"/>
  <c r="H57" i="20"/>
  <c r="N57" i="20"/>
  <c r="U57" i="20"/>
  <c r="V57" i="20"/>
  <c r="N106" i="18"/>
  <c r="L106" i="18"/>
  <c r="AS106" i="18"/>
  <c r="AN106" i="18"/>
  <c r="AP106" i="18" s="1"/>
  <c r="AL106" i="18"/>
  <c r="T106" i="18"/>
  <c r="F106" i="18" s="1"/>
  <c r="H106" i="18" s="1"/>
  <c r="D106" i="18" l="1"/>
  <c r="V106" i="18" s="1"/>
  <c r="F57" i="20"/>
  <c r="T57" i="20" s="1"/>
  <c r="D58" i="20" s="1"/>
  <c r="J58" i="20" s="1"/>
  <c r="S57" i="20"/>
  <c r="AA57" i="20"/>
  <c r="AB57" i="20" s="1"/>
  <c r="X57" i="20" s="1"/>
  <c r="Z57" i="20"/>
  <c r="X106" i="18"/>
  <c r="AM106" i="18"/>
  <c r="C58" i="20" l="1"/>
  <c r="O58" i="20" s="1"/>
  <c r="R107" i="18"/>
  <c r="B107" i="18"/>
  <c r="Q58" i="20" l="1"/>
  <c r="G58" i="20" s="1"/>
  <c r="K58" i="20" s="1"/>
  <c r="E58" i="20"/>
  <c r="U58" i="20"/>
  <c r="M58" i="20"/>
  <c r="F58" i="20" s="1"/>
  <c r="T58" i="20" s="1"/>
  <c r="I58" i="20"/>
  <c r="H58" i="20"/>
  <c r="N58" i="20"/>
  <c r="V58" i="20"/>
  <c r="AA58" i="20"/>
  <c r="AB58" i="20" s="1"/>
  <c r="Z58" i="20"/>
  <c r="C107" i="18"/>
  <c r="J107" i="18" s="1"/>
  <c r="L107" i="18"/>
  <c r="N107" i="18"/>
  <c r="AN107" i="18"/>
  <c r="AP107" i="18" s="1"/>
  <c r="AS107" i="18"/>
  <c r="AL107" i="18"/>
  <c r="T107" i="18"/>
  <c r="F107" i="18" s="1"/>
  <c r="H107" i="18" s="1"/>
  <c r="S58" i="20" l="1"/>
  <c r="X58" i="20"/>
  <c r="D107" i="18"/>
  <c r="V107" i="18" s="1"/>
  <c r="D59" i="20"/>
  <c r="J59" i="20" s="1"/>
  <c r="C59" i="20"/>
  <c r="AM107" i="18"/>
  <c r="X107" i="18" l="1"/>
  <c r="B108" i="18" s="1"/>
  <c r="T108" i="18" s="1"/>
  <c r="F108" i="18" s="1"/>
  <c r="H108" i="18" s="1"/>
  <c r="O59" i="20"/>
  <c r="U59" i="20"/>
  <c r="E59" i="20"/>
  <c r="I59" i="20"/>
  <c r="Q59" i="20"/>
  <c r="G59" i="20" s="1"/>
  <c r="K59" i="20" s="1"/>
  <c r="N59" i="20"/>
  <c r="V59" i="20"/>
  <c r="H59" i="20"/>
  <c r="M59" i="20"/>
  <c r="L108" i="18"/>
  <c r="N108" i="18"/>
  <c r="AL108" i="18" l="1"/>
  <c r="AN108" i="18"/>
  <c r="AP108" i="18" s="1"/>
  <c r="AS108" i="18"/>
  <c r="C108" i="18"/>
  <c r="J108" i="18" s="1"/>
  <c r="F59" i="20"/>
  <c r="T59" i="20" s="1"/>
  <c r="S59" i="20"/>
  <c r="AA59" i="20"/>
  <c r="AB59" i="20" s="1"/>
  <c r="X59" i="20" s="1"/>
  <c r="Z59" i="20"/>
  <c r="D108" i="18"/>
  <c r="AM108" i="18" l="1"/>
  <c r="V108" i="18"/>
  <c r="X108" i="18"/>
  <c r="B109" i="18" s="1"/>
  <c r="D60" i="20"/>
  <c r="J60" i="20" s="1"/>
  <c r="C60" i="20"/>
  <c r="R109" i="18" l="1"/>
  <c r="Q60" i="20"/>
  <c r="N60" i="20"/>
  <c r="I60" i="20"/>
  <c r="E60" i="20"/>
  <c r="V60" i="20"/>
  <c r="U60" i="20"/>
  <c r="M60" i="20"/>
  <c r="H60" i="20"/>
  <c r="G60" i="20"/>
  <c r="K60" i="20" s="1"/>
  <c r="O60" i="20"/>
  <c r="C109" i="18"/>
  <c r="J109" i="18" s="1"/>
  <c r="L109" i="18"/>
  <c r="N109" i="18"/>
  <c r="AL109" i="18"/>
  <c r="AN109" i="18"/>
  <c r="AP109" i="18" s="1"/>
  <c r="T109" i="18"/>
  <c r="F109" i="18" s="1"/>
  <c r="H109" i="18" s="1"/>
  <c r="AS109" i="18"/>
  <c r="D109" i="18" l="1"/>
  <c r="S60" i="20"/>
  <c r="V109" i="18"/>
  <c r="F60" i="20"/>
  <c r="T60" i="20" s="1"/>
  <c r="AA60" i="20"/>
  <c r="AB60" i="20" s="1"/>
  <c r="X60" i="20" s="1"/>
  <c r="Z60" i="20"/>
  <c r="X109" i="18"/>
  <c r="B110" i="18" s="1"/>
  <c r="AM109" i="18"/>
  <c r="D61" i="20" l="1"/>
  <c r="J61" i="20" s="1"/>
  <c r="C61" i="20"/>
  <c r="C110" i="18"/>
  <c r="J110" i="18" s="1"/>
  <c r="L110" i="18"/>
  <c r="N110" i="18"/>
  <c r="AS110" i="18"/>
  <c r="T110" i="18"/>
  <c r="F110" i="18" s="1"/>
  <c r="H110" i="18" s="1"/>
  <c r="AN110" i="18"/>
  <c r="AP110" i="18" s="1"/>
  <c r="AL110" i="18"/>
  <c r="D110" i="18" l="1"/>
  <c r="V110" i="18" s="1"/>
  <c r="N61" i="20"/>
  <c r="I61" i="20"/>
  <c r="O61" i="20"/>
  <c r="E61" i="20"/>
  <c r="Q61" i="20"/>
  <c r="G61" i="20" s="1"/>
  <c r="K61" i="20" s="1"/>
  <c r="M61" i="20"/>
  <c r="U61" i="20"/>
  <c r="V61" i="20"/>
  <c r="H61" i="20"/>
  <c r="X110" i="18"/>
  <c r="AM110" i="18"/>
  <c r="S61" i="20" l="1"/>
  <c r="AA61" i="20"/>
  <c r="AB61" i="20" s="1"/>
  <c r="X61" i="20" s="1"/>
  <c r="Z61" i="20"/>
  <c r="F61" i="20"/>
  <c r="T61" i="20" s="1"/>
  <c r="R111" i="18"/>
  <c r="B111" i="18"/>
  <c r="D62" i="20" l="1"/>
  <c r="J62" i="20" s="1"/>
  <c r="C62" i="20"/>
  <c r="C111" i="18"/>
  <c r="J111" i="18" s="1"/>
  <c r="N111" i="18"/>
  <c r="L111" i="18"/>
  <c r="AN111" i="18"/>
  <c r="AP111" i="18" s="1"/>
  <c r="AS111" i="18"/>
  <c r="T111" i="18"/>
  <c r="F111" i="18" s="1"/>
  <c r="H111" i="18" s="1"/>
  <c r="AL111" i="18"/>
  <c r="D111" i="18" l="1"/>
  <c r="V111" i="18" s="1"/>
  <c r="N62" i="20"/>
  <c r="U62" i="20"/>
  <c r="M62" i="20"/>
  <c r="V62" i="20"/>
  <c r="G62" i="20"/>
  <c r="K62" i="20" s="1"/>
  <c r="H62" i="20"/>
  <c r="I62" i="20"/>
  <c r="Q62" i="20"/>
  <c r="O62" i="20"/>
  <c r="E62" i="20"/>
  <c r="X111" i="18"/>
  <c r="B112" i="18" s="1"/>
  <c r="AM111" i="18"/>
  <c r="F62" i="20" l="1"/>
  <c r="T62" i="20" s="1"/>
  <c r="D63" i="20" s="1"/>
  <c r="J63" i="20" s="1"/>
  <c r="AA62" i="20"/>
  <c r="AB62" i="20" s="1"/>
  <c r="X62" i="20" s="1"/>
  <c r="Z62" i="20"/>
  <c r="S62" i="20"/>
  <c r="C112" i="18"/>
  <c r="J112" i="18" s="1"/>
  <c r="N112" i="18"/>
  <c r="L112" i="18"/>
  <c r="AN112" i="18"/>
  <c r="AP112" i="18" s="1"/>
  <c r="U112" i="18"/>
  <c r="AL112" i="18"/>
  <c r="AS112" i="18"/>
  <c r="T112" i="18"/>
  <c r="F112" i="18" s="1"/>
  <c r="H112" i="18" s="1"/>
  <c r="C63" i="20" l="1"/>
  <c r="O63" i="20" s="1"/>
  <c r="D112" i="18"/>
  <c r="V112" i="18" s="1"/>
  <c r="H63" i="20"/>
  <c r="I63" i="20"/>
  <c r="U63" i="20"/>
  <c r="M63" i="20"/>
  <c r="N63" i="20"/>
  <c r="Q63" i="20"/>
  <c r="G63" i="20" s="1"/>
  <c r="K63" i="20" s="1"/>
  <c r="V63" i="20"/>
  <c r="X112" i="18"/>
  <c r="AM112" i="18"/>
  <c r="E63" i="20" l="1"/>
  <c r="S63" i="20" s="1"/>
  <c r="AA63" i="20"/>
  <c r="AB63" i="20" s="1"/>
  <c r="X63" i="20" s="1"/>
  <c r="Z63" i="20"/>
  <c r="R113" i="18"/>
  <c r="B113" i="18"/>
  <c r="F63" i="20" l="1"/>
  <c r="T63" i="20" s="1"/>
  <c r="D64" i="20" s="1"/>
  <c r="J64" i="20" s="1"/>
  <c r="C64" i="20"/>
  <c r="C113" i="18"/>
  <c r="J113" i="18" s="1"/>
  <c r="N113" i="18"/>
  <c r="L113" i="18"/>
  <c r="AN113" i="18"/>
  <c r="AP113" i="18" s="1"/>
  <c r="AL113" i="18"/>
  <c r="AS113" i="18"/>
  <c r="T113" i="18"/>
  <c r="F113" i="18" s="1"/>
  <c r="H113" i="18" l="1"/>
  <c r="D113" i="18"/>
  <c r="M64" i="20"/>
  <c r="I64" i="20"/>
  <c r="N64" i="20"/>
  <c r="U64" i="20"/>
  <c r="V64" i="20"/>
  <c r="H64" i="20"/>
  <c r="E64" i="20"/>
  <c r="Q64" i="20"/>
  <c r="G64" i="20" s="1"/>
  <c r="K64" i="20" s="1"/>
  <c r="O64" i="20"/>
  <c r="X113" i="18"/>
  <c r="B114" i="18" s="1"/>
  <c r="AM113" i="18"/>
  <c r="F64" i="20" l="1"/>
  <c r="T64" i="20" s="1"/>
  <c r="S64" i="20"/>
  <c r="AA64" i="20"/>
  <c r="AB64" i="20" s="1"/>
  <c r="X64" i="20" s="1"/>
  <c r="Z64" i="20"/>
  <c r="V113" i="18"/>
  <c r="C114" i="18"/>
  <c r="J114" i="18" s="1"/>
  <c r="N114" i="18"/>
  <c r="L114" i="18"/>
  <c r="AN114" i="18"/>
  <c r="AP114" i="18" s="1"/>
  <c r="AS114" i="18"/>
  <c r="AL114" i="18"/>
  <c r="T114" i="18"/>
  <c r="F114" i="18" s="1"/>
  <c r="H114" i="18" l="1"/>
  <c r="D114" i="18"/>
  <c r="D65" i="20"/>
  <c r="J65" i="20" s="1"/>
  <c r="C65" i="20"/>
  <c r="X114" i="18"/>
  <c r="AM114" i="18"/>
  <c r="E65" i="20" l="1"/>
  <c r="H65" i="20"/>
  <c r="Q65" i="20"/>
  <c r="G65" i="20" s="1"/>
  <c r="K65" i="20" s="1"/>
  <c r="V65" i="20"/>
  <c r="N65" i="20"/>
  <c r="M65" i="20"/>
  <c r="U65" i="20"/>
  <c r="I65" i="20"/>
  <c r="O65" i="20"/>
  <c r="V114" i="18"/>
  <c r="R115" i="18"/>
  <c r="B115" i="18"/>
  <c r="S65" i="20" l="1"/>
  <c r="AA65" i="20"/>
  <c r="AB65" i="20" s="1"/>
  <c r="X65" i="20" s="1"/>
  <c r="Z65" i="20"/>
  <c r="F65" i="20"/>
  <c r="T65" i="20" s="1"/>
  <c r="C115" i="18"/>
  <c r="J115" i="18" s="1"/>
  <c r="L115" i="18"/>
  <c r="N115" i="18"/>
  <c r="AL115" i="18"/>
  <c r="T115" i="18"/>
  <c r="F115" i="18" s="1"/>
  <c r="H115" i="18" s="1"/>
  <c r="AN115" i="18"/>
  <c r="AP115" i="18" s="1"/>
  <c r="AS115" i="18"/>
  <c r="D115" i="18" l="1"/>
  <c r="V115" i="18" s="1"/>
  <c r="D66" i="20"/>
  <c r="J66" i="20" s="1"/>
  <c r="C66" i="20"/>
  <c r="X115" i="18"/>
  <c r="B116" i="18" s="1"/>
  <c r="AM115" i="18"/>
  <c r="N66" i="20" l="1"/>
  <c r="Q66" i="20"/>
  <c r="G66" i="20" s="1"/>
  <c r="K66" i="20" s="1"/>
  <c r="M66" i="20"/>
  <c r="O66" i="20"/>
  <c r="H66" i="20"/>
  <c r="I66" i="20"/>
  <c r="V66" i="20"/>
  <c r="U66" i="20"/>
  <c r="E66" i="20"/>
  <c r="C116" i="18"/>
  <c r="J116" i="18" s="1"/>
  <c r="L116" i="18"/>
  <c r="N116" i="18"/>
  <c r="T116" i="18"/>
  <c r="F116" i="18" s="1"/>
  <c r="H116" i="18" s="1"/>
  <c r="AS116" i="18"/>
  <c r="AN116" i="18"/>
  <c r="AP116" i="18" s="1"/>
  <c r="AL116" i="18"/>
  <c r="D116" i="18" l="1"/>
  <c r="V116" i="18" s="1"/>
  <c r="S66" i="20"/>
  <c r="F66" i="20"/>
  <c r="T66" i="20" s="1"/>
  <c r="AA66" i="20"/>
  <c r="AB66" i="20" s="1"/>
  <c r="X66" i="20" s="1"/>
  <c r="Z66" i="20"/>
  <c r="X116" i="18"/>
  <c r="AM116" i="18"/>
  <c r="D67" i="20" l="1"/>
  <c r="J67" i="20" s="1"/>
  <c r="C67" i="20"/>
  <c r="R117" i="18"/>
  <c r="B117" i="18"/>
  <c r="E67" i="20" l="1"/>
  <c r="O67" i="20"/>
  <c r="I67" i="20"/>
  <c r="H67" i="20"/>
  <c r="M67" i="20"/>
  <c r="N67" i="20"/>
  <c r="V67" i="20"/>
  <c r="Q67" i="20"/>
  <c r="G67" i="20" s="1"/>
  <c r="K67" i="20" s="1"/>
  <c r="U67" i="20"/>
  <c r="C117" i="18"/>
  <c r="J117" i="18"/>
  <c r="L117" i="18"/>
  <c r="N117" i="18"/>
  <c r="AL117" i="18"/>
  <c r="T117" i="18"/>
  <c r="F117" i="18" s="1"/>
  <c r="H117" i="18" s="1"/>
  <c r="AS117" i="18"/>
  <c r="AN117" i="18"/>
  <c r="AP117" i="18" s="1"/>
  <c r="D117" i="18" l="1"/>
  <c r="V117" i="18" s="1"/>
  <c r="S67" i="20"/>
  <c r="AA67" i="20"/>
  <c r="Z67" i="20"/>
  <c r="F67" i="20"/>
  <c r="T67" i="20" s="1"/>
  <c r="X117" i="18"/>
  <c r="B118" i="18" s="1"/>
  <c r="AM117" i="18"/>
  <c r="AB67" i="20" l="1"/>
  <c r="X67" i="20" s="1"/>
  <c r="D68" i="20"/>
  <c r="J68" i="20" s="1"/>
  <c r="C68" i="20"/>
  <c r="C118" i="18"/>
  <c r="J118" i="18" s="1"/>
  <c r="L118" i="18"/>
  <c r="N118" i="18"/>
  <c r="T118" i="18"/>
  <c r="F118" i="18" s="1"/>
  <c r="H118" i="18" s="1"/>
  <c r="AS118" i="18"/>
  <c r="AL118" i="18"/>
  <c r="AN118" i="18"/>
  <c r="AP118" i="18" s="1"/>
  <c r="D118" i="18" l="1"/>
  <c r="V118" i="18" s="1"/>
  <c r="E68" i="20"/>
  <c r="V68" i="20"/>
  <c r="H68" i="20"/>
  <c r="M68" i="20"/>
  <c r="N68" i="20"/>
  <c r="O68" i="20"/>
  <c r="I68" i="20"/>
  <c r="Q68" i="20"/>
  <c r="G68" i="20" s="1"/>
  <c r="K68" i="20" s="1"/>
  <c r="U68" i="20"/>
  <c r="X118" i="18"/>
  <c r="AM118" i="18"/>
  <c r="F68" i="20" l="1"/>
  <c r="T68" i="20" s="1"/>
  <c r="AA68" i="20"/>
  <c r="AB68" i="20" s="1"/>
  <c r="X68" i="20" s="1"/>
  <c r="Z68" i="20"/>
  <c r="S68" i="20"/>
  <c r="R119" i="18"/>
  <c r="B119" i="18"/>
  <c r="D69" i="20" l="1"/>
  <c r="J69" i="20" s="1"/>
  <c r="C69" i="20"/>
  <c r="C119" i="18"/>
  <c r="J119" i="18" s="1"/>
  <c r="N119" i="18"/>
  <c r="L119" i="18"/>
  <c r="AN119" i="18"/>
  <c r="AP119" i="18" s="1"/>
  <c r="T119" i="18"/>
  <c r="F119" i="18" s="1"/>
  <c r="H119" i="18" s="1"/>
  <c r="AS119" i="18"/>
  <c r="AL119" i="18"/>
  <c r="D119" i="18" l="1"/>
  <c r="V119" i="18" s="1"/>
  <c r="V69" i="20"/>
  <c r="U69" i="20"/>
  <c r="Q69" i="20"/>
  <c r="G69" i="20" s="1"/>
  <c r="K69" i="20" s="1"/>
  <c r="R69" i="20"/>
  <c r="I69" i="20"/>
  <c r="H69" i="20"/>
  <c r="M69" i="20"/>
  <c r="O69" i="20"/>
  <c r="N69" i="20"/>
  <c r="E69" i="20"/>
  <c r="X119" i="18"/>
  <c r="B120" i="18" s="1"/>
  <c r="AM119" i="18"/>
  <c r="S69" i="20" l="1"/>
  <c r="AA69" i="20"/>
  <c r="Z69" i="20"/>
  <c r="F69" i="20"/>
  <c r="T69" i="20" s="1"/>
  <c r="C120" i="18"/>
  <c r="J120" i="18" s="1"/>
  <c r="N120" i="18"/>
  <c r="L120" i="18"/>
  <c r="AN120" i="18"/>
  <c r="AP120" i="18" s="1"/>
  <c r="AS120" i="18"/>
  <c r="T120" i="18"/>
  <c r="F120" i="18" s="1"/>
  <c r="H120" i="18" s="1"/>
  <c r="AL120" i="18"/>
  <c r="D120" i="18" s="1"/>
  <c r="AB69" i="20" l="1"/>
  <c r="X69" i="20" s="1"/>
  <c r="V120" i="18"/>
  <c r="D70" i="20"/>
  <c r="J70" i="20" s="1"/>
  <c r="C70" i="20"/>
  <c r="X120" i="18"/>
  <c r="AM120" i="18"/>
  <c r="O70" i="20" l="1"/>
  <c r="H70" i="20"/>
  <c r="E70" i="20"/>
  <c r="I70" i="20"/>
  <c r="U70" i="20"/>
  <c r="V70" i="20"/>
  <c r="M70" i="20"/>
  <c r="Q70" i="20"/>
  <c r="G70" i="20" s="1"/>
  <c r="N70" i="20"/>
  <c r="R121" i="18"/>
  <c r="B121" i="18"/>
  <c r="K70" i="20" l="1"/>
  <c r="S70" i="20" s="1"/>
  <c r="F70" i="20"/>
  <c r="T70" i="20" s="1"/>
  <c r="AA70" i="20"/>
  <c r="AB70" i="20" s="1"/>
  <c r="X70" i="20" s="1"/>
  <c r="Z70" i="20"/>
  <c r="C121" i="18"/>
  <c r="J121" i="18" s="1"/>
  <c r="N121" i="18"/>
  <c r="L121" i="18"/>
  <c r="T121" i="18"/>
  <c r="F121" i="18" s="1"/>
  <c r="H121" i="18" s="1"/>
  <c r="AS121" i="18"/>
  <c r="AN121" i="18"/>
  <c r="AP121" i="18" s="1"/>
  <c r="AL121" i="18"/>
  <c r="D121" i="18" l="1"/>
  <c r="V121" i="18" s="1"/>
  <c r="D71" i="20"/>
  <c r="J71" i="20" s="1"/>
  <c r="C71" i="20"/>
  <c r="X121" i="18"/>
  <c r="B122" i="18" s="1"/>
  <c r="AM121" i="18"/>
  <c r="O71" i="20" l="1"/>
  <c r="H71" i="20"/>
  <c r="N71" i="20"/>
  <c r="M71" i="20"/>
  <c r="I71" i="20"/>
  <c r="V71" i="20"/>
  <c r="E71" i="20"/>
  <c r="U71" i="20"/>
  <c r="Q71" i="20"/>
  <c r="G71" i="20" s="1"/>
  <c r="K71" i="20" s="1"/>
  <c r="C122" i="18"/>
  <c r="J122" i="18" s="1"/>
  <c r="N122" i="18"/>
  <c r="L122" i="18"/>
  <c r="AN122" i="18"/>
  <c r="AP122" i="18" s="1"/>
  <c r="AS122" i="18"/>
  <c r="T122" i="18"/>
  <c r="F122" i="18" s="1"/>
  <c r="H122" i="18" s="1"/>
  <c r="AL122" i="18"/>
  <c r="S71" i="20" l="1"/>
  <c r="D122" i="18"/>
  <c r="V122" i="18" s="1"/>
  <c r="AA71" i="20"/>
  <c r="Z71" i="20"/>
  <c r="F71" i="20"/>
  <c r="T71" i="20" s="1"/>
  <c r="X122" i="18"/>
  <c r="AM122" i="18"/>
  <c r="AB71" i="20" l="1"/>
  <c r="X71" i="20" s="1"/>
  <c r="D72" i="20"/>
  <c r="J72" i="20" s="1"/>
  <c r="C72" i="20"/>
  <c r="R123" i="18"/>
  <c r="B123" i="18"/>
  <c r="I72" i="20" l="1"/>
  <c r="E72" i="20"/>
  <c r="V72" i="20"/>
  <c r="M72" i="20"/>
  <c r="U72" i="20"/>
  <c r="Q72" i="20"/>
  <c r="G72" i="20" s="1"/>
  <c r="K72" i="20" s="1"/>
  <c r="N72" i="20"/>
  <c r="H72" i="20"/>
  <c r="O72" i="20"/>
  <c r="C123" i="18"/>
  <c r="J123" i="18" s="1"/>
  <c r="L123" i="18"/>
  <c r="N123" i="18"/>
  <c r="AS123" i="18"/>
  <c r="AN123" i="18"/>
  <c r="AN365" i="18" s="1"/>
  <c r="AL123" i="18"/>
  <c r="T123" i="18"/>
  <c r="F123" i="18" s="1"/>
  <c r="H123" i="18" s="1"/>
  <c r="D123" i="18" l="1"/>
  <c r="V123" i="18" s="1"/>
  <c r="S72" i="20"/>
  <c r="F72" i="20"/>
  <c r="T72" i="20" s="1"/>
  <c r="AA72" i="20"/>
  <c r="AB72" i="20" s="1"/>
  <c r="X72" i="20" s="1"/>
  <c r="Z72" i="20"/>
  <c r="AP123" i="18"/>
  <c r="X123" i="18" s="1"/>
  <c r="B124" i="18" s="1"/>
  <c r="AM123" i="18"/>
  <c r="D73" i="20" l="1"/>
  <c r="J73" i="20" s="1"/>
  <c r="C73" i="20"/>
  <c r="C124" i="18"/>
  <c r="J124" i="18" s="1"/>
  <c r="L124" i="18"/>
  <c r="N124" i="18"/>
  <c r="T124" i="18"/>
  <c r="F124" i="18" s="1"/>
  <c r="AS124" i="18"/>
  <c r="U124" i="18"/>
  <c r="AL124" i="18"/>
  <c r="H124" i="18" l="1"/>
  <c r="D124" i="18"/>
  <c r="I73" i="20"/>
  <c r="H73" i="20"/>
  <c r="U73" i="20"/>
  <c r="E73" i="20"/>
  <c r="V73" i="20"/>
  <c r="N73" i="20"/>
  <c r="O73" i="20"/>
  <c r="M73" i="20"/>
  <c r="Q73" i="20"/>
  <c r="G73" i="20" s="1"/>
  <c r="K73" i="20" s="1"/>
  <c r="X124" i="18"/>
  <c r="AM124" i="18"/>
  <c r="S73" i="20" l="1"/>
  <c r="AA73" i="20"/>
  <c r="AB73" i="20" s="1"/>
  <c r="X73" i="20" s="1"/>
  <c r="Z73" i="20"/>
  <c r="F73" i="20"/>
  <c r="T73" i="20" s="1"/>
  <c r="V124" i="18"/>
  <c r="R125" i="18"/>
  <c r="B125" i="18"/>
  <c r="D74" i="20" l="1"/>
  <c r="J74" i="20" s="1"/>
  <c r="C74" i="20"/>
  <c r="C125" i="18"/>
  <c r="J125" i="18" s="1"/>
  <c r="L125" i="18"/>
  <c r="N125" i="18"/>
  <c r="T125" i="18"/>
  <c r="F125" i="18" s="1"/>
  <c r="H125" i="18" s="1"/>
  <c r="AS125" i="18"/>
  <c r="AL125" i="18"/>
  <c r="Q74" i="20" l="1"/>
  <c r="G74" i="20" s="1"/>
  <c r="K74" i="20" s="1"/>
  <c r="O74" i="20"/>
  <c r="I74" i="20"/>
  <c r="M74" i="20"/>
  <c r="V74" i="20"/>
  <c r="E74" i="20"/>
  <c r="U74" i="20"/>
  <c r="H74" i="20"/>
  <c r="N74" i="20"/>
  <c r="D125" i="18"/>
  <c r="V125" i="18" s="1"/>
  <c r="AM125" i="18"/>
  <c r="F74" i="20" l="1"/>
  <c r="T74" i="20" s="1"/>
  <c r="D75" i="20" s="1"/>
  <c r="J75" i="20" s="1"/>
  <c r="S74" i="20"/>
  <c r="AA74" i="20"/>
  <c r="AB74" i="20" s="1"/>
  <c r="X74" i="20" s="1"/>
  <c r="Z74" i="20"/>
  <c r="X125" i="18"/>
  <c r="B126" i="18" s="1"/>
  <c r="L126" i="18" s="1"/>
  <c r="C75" i="20" l="1"/>
  <c r="T126" i="18"/>
  <c r="C126" i="18"/>
  <c r="J126" i="18" s="1"/>
  <c r="AS126" i="18"/>
  <c r="AL126" i="18"/>
  <c r="F126" i="18"/>
  <c r="H126" i="18" s="1"/>
  <c r="U75" i="20"/>
  <c r="Q75" i="20"/>
  <c r="G75" i="20" s="1"/>
  <c r="M75" i="20"/>
  <c r="N75" i="20"/>
  <c r="E75" i="20"/>
  <c r="I75" i="20"/>
  <c r="H75" i="20"/>
  <c r="V75" i="20"/>
  <c r="O75" i="20"/>
  <c r="N126" i="18"/>
  <c r="D126" i="18" l="1"/>
  <c r="X126" i="18" s="1"/>
  <c r="AM126" i="18"/>
  <c r="K75" i="20"/>
  <c r="S75" i="20" s="1"/>
  <c r="F75" i="20"/>
  <c r="T75" i="20" s="1"/>
  <c r="AA75" i="20"/>
  <c r="Z75" i="20"/>
  <c r="V126" i="18"/>
  <c r="R127" i="18"/>
  <c r="B127" i="18"/>
  <c r="AB75" i="20" l="1"/>
  <c r="X75" i="20" s="1"/>
  <c r="D76" i="20"/>
  <c r="J76" i="20" s="1"/>
  <c r="C76" i="20"/>
  <c r="C127" i="18"/>
  <c r="J127" i="18" s="1"/>
  <c r="N127" i="18"/>
  <c r="L127" i="18"/>
  <c r="AL127" i="18"/>
  <c r="AS127" i="18"/>
  <c r="T127" i="18"/>
  <c r="F127" i="18" s="1"/>
  <c r="H127" i="18" s="1"/>
  <c r="D127" i="18" l="1"/>
  <c r="V127" i="18" s="1"/>
  <c r="V76" i="20"/>
  <c r="E76" i="20"/>
  <c r="Q76" i="20"/>
  <c r="G76" i="20" s="1"/>
  <c r="K76" i="20" s="1"/>
  <c r="O76" i="20"/>
  <c r="N76" i="20"/>
  <c r="I76" i="20"/>
  <c r="H76" i="20"/>
  <c r="U76" i="20"/>
  <c r="M76" i="20"/>
  <c r="X127" i="18"/>
  <c r="B128" i="18" s="1"/>
  <c r="AM127" i="18"/>
  <c r="F76" i="20" l="1"/>
  <c r="T76" i="20" s="1"/>
  <c r="S76" i="20"/>
  <c r="AA76" i="20"/>
  <c r="AB76" i="20" s="1"/>
  <c r="X76" i="20" s="1"/>
  <c r="Z76" i="20"/>
  <c r="C128" i="18"/>
  <c r="J128" i="18" s="1"/>
  <c r="N128" i="18"/>
  <c r="L128" i="18"/>
  <c r="AS128" i="18"/>
  <c r="AL128" i="18"/>
  <c r="T128" i="18"/>
  <c r="F128" i="18" s="1"/>
  <c r="H128" i="18" s="1"/>
  <c r="D128" i="18" l="1"/>
  <c r="V128" i="18" s="1"/>
  <c r="D77" i="20"/>
  <c r="J77" i="20" s="1"/>
  <c r="C77" i="20"/>
  <c r="X128" i="18"/>
  <c r="AM128" i="18"/>
  <c r="E77" i="20" l="1"/>
  <c r="V77" i="20"/>
  <c r="H77" i="20"/>
  <c r="O77" i="20"/>
  <c r="M77" i="20"/>
  <c r="Q77" i="20"/>
  <c r="G77" i="20" s="1"/>
  <c r="K77" i="20" s="1"/>
  <c r="N77" i="20"/>
  <c r="U77" i="20"/>
  <c r="I77" i="20"/>
  <c r="R129" i="18"/>
  <c r="B129" i="18"/>
  <c r="S77" i="20" l="1"/>
  <c r="F77" i="20"/>
  <c r="T77" i="20" s="1"/>
  <c r="AA77" i="20"/>
  <c r="AB77" i="20" s="1"/>
  <c r="Z77" i="20"/>
  <c r="X77" i="20"/>
  <c r="C129" i="18"/>
  <c r="J129" i="18" s="1"/>
  <c r="N129" i="18"/>
  <c r="L129" i="18"/>
  <c r="AS129" i="18"/>
  <c r="T129" i="18"/>
  <c r="F129" i="18" s="1"/>
  <c r="H129" i="18" s="1"/>
  <c r="AL129" i="18"/>
  <c r="D129" i="18" l="1"/>
  <c r="V129" i="18" s="1"/>
  <c r="D78" i="20"/>
  <c r="J78" i="20" s="1"/>
  <c r="C78" i="20"/>
  <c r="X129" i="18"/>
  <c r="B130" i="18" s="1"/>
  <c r="AM129" i="18"/>
  <c r="O78" i="20" l="1"/>
  <c r="E78" i="20"/>
  <c r="H78" i="20"/>
  <c r="V78" i="20"/>
  <c r="Q78" i="20"/>
  <c r="G78" i="20" s="1"/>
  <c r="K78" i="20" s="1"/>
  <c r="M78" i="20"/>
  <c r="U78" i="20"/>
  <c r="N78" i="20"/>
  <c r="I78" i="20"/>
  <c r="C130" i="18"/>
  <c r="J130" i="18" s="1"/>
  <c r="N130" i="18"/>
  <c r="L130" i="18"/>
  <c r="AS130" i="18"/>
  <c r="AL130" i="18"/>
  <c r="T130" i="18"/>
  <c r="F130" i="18" s="1"/>
  <c r="H130" i="18" s="1"/>
  <c r="F78" i="20" l="1"/>
  <c r="T78" i="20" s="1"/>
  <c r="D79" i="20" s="1"/>
  <c r="J79" i="20" s="1"/>
  <c r="AA78" i="20"/>
  <c r="AB78" i="20" s="1"/>
  <c r="X78" i="20" s="1"/>
  <c r="Z78" i="20"/>
  <c r="D130" i="18"/>
  <c r="V130" i="18" s="1"/>
  <c r="S78" i="20"/>
  <c r="AM130" i="18"/>
  <c r="C79" i="20" l="1"/>
  <c r="H79" i="20" s="1"/>
  <c r="X130" i="18"/>
  <c r="Q79" i="20"/>
  <c r="G79" i="20" s="1"/>
  <c r="K79" i="20" s="1"/>
  <c r="U79" i="20"/>
  <c r="N79" i="20"/>
  <c r="M79" i="20"/>
  <c r="E79" i="20"/>
  <c r="F79" i="20" s="1"/>
  <c r="T79" i="20" s="1"/>
  <c r="V79" i="20"/>
  <c r="I79" i="20"/>
  <c r="R131" i="18"/>
  <c r="B131" i="18"/>
  <c r="O79" i="20" l="1"/>
  <c r="D80" i="20"/>
  <c r="J80" i="20" s="1"/>
  <c r="C80" i="20"/>
  <c r="S79" i="20"/>
  <c r="AA79" i="20"/>
  <c r="AB79" i="20" s="1"/>
  <c r="X79" i="20" s="1"/>
  <c r="Z79" i="20"/>
  <c r="C131" i="18"/>
  <c r="J131" i="18" s="1"/>
  <c r="L131" i="18"/>
  <c r="N131" i="18"/>
  <c r="T131" i="18"/>
  <c r="F131" i="18" s="1"/>
  <c r="H131" i="18" s="1"/>
  <c r="AL131" i="18"/>
  <c r="AS131" i="18"/>
  <c r="D131" i="18" l="1"/>
  <c r="V131" i="18" s="1"/>
  <c r="V80" i="20"/>
  <c r="U80" i="20"/>
  <c r="I80" i="20"/>
  <c r="E80" i="20"/>
  <c r="O80" i="20"/>
  <c r="M80" i="20"/>
  <c r="Q80" i="20"/>
  <c r="G80" i="20" s="1"/>
  <c r="K80" i="20" s="1"/>
  <c r="H80" i="20"/>
  <c r="N80" i="20"/>
  <c r="X131" i="18"/>
  <c r="B132" i="18" s="1"/>
  <c r="AM131" i="18"/>
  <c r="S80" i="20" l="1"/>
  <c r="AA80" i="20"/>
  <c r="AB80" i="20" s="1"/>
  <c r="X80" i="20" s="1"/>
  <c r="Z80" i="20"/>
  <c r="F80" i="20"/>
  <c r="T80" i="20" s="1"/>
  <c r="C132" i="18"/>
  <c r="J132" i="18" s="1"/>
  <c r="L132" i="18"/>
  <c r="N132" i="18"/>
  <c r="AL132" i="18"/>
  <c r="AS132" i="18"/>
  <c r="T132" i="18"/>
  <c r="F132" i="18" s="1"/>
  <c r="H132" i="18" s="1"/>
  <c r="D132" i="18" l="1"/>
  <c r="X132" i="18" s="1"/>
  <c r="V132" i="18"/>
  <c r="D81" i="20"/>
  <c r="J81" i="20" s="1"/>
  <c r="C81" i="20"/>
  <c r="AM132" i="18"/>
  <c r="I81" i="20" l="1"/>
  <c r="Q81" i="20"/>
  <c r="G81" i="20" s="1"/>
  <c r="K81" i="20" s="1"/>
  <c r="V81" i="20"/>
  <c r="U81" i="20"/>
  <c r="R81" i="20"/>
  <c r="N81" i="20"/>
  <c r="O81" i="20"/>
  <c r="H81" i="20"/>
  <c r="E81" i="20"/>
  <c r="M81" i="20"/>
  <c r="R133" i="18"/>
  <c r="B133" i="18"/>
  <c r="F81" i="20" l="1"/>
  <c r="T81" i="20" s="1"/>
  <c r="D82" i="20" s="1"/>
  <c r="J82" i="20" s="1"/>
  <c r="S81" i="20"/>
  <c r="AA81" i="20"/>
  <c r="Z81" i="20"/>
  <c r="C133" i="18"/>
  <c r="J133" i="18" s="1"/>
  <c r="L133" i="18"/>
  <c r="N133" i="18"/>
  <c r="AS133" i="18"/>
  <c r="T133" i="18"/>
  <c r="F133" i="18" s="1"/>
  <c r="H133" i="18" s="1"/>
  <c r="AL133" i="18"/>
  <c r="C82" i="20" l="1"/>
  <c r="AB81" i="20"/>
  <c r="X81" i="20" s="1"/>
  <c r="D133" i="18"/>
  <c r="V133" i="18" s="1"/>
  <c r="H82" i="20"/>
  <c r="U82" i="20"/>
  <c r="I82" i="20"/>
  <c r="M82" i="20"/>
  <c r="O82" i="20"/>
  <c r="Q82" i="20"/>
  <c r="G82" i="20" s="1"/>
  <c r="K82" i="20" s="1"/>
  <c r="V82" i="20"/>
  <c r="E82" i="20"/>
  <c r="N82" i="20"/>
  <c r="X133" i="18"/>
  <c r="B134" i="18" s="1"/>
  <c r="AM133" i="18"/>
  <c r="F82" i="20" l="1"/>
  <c r="T82" i="20" s="1"/>
  <c r="AA82" i="20"/>
  <c r="AB82" i="20" s="1"/>
  <c r="X82" i="20" s="1"/>
  <c r="Z82" i="20"/>
  <c r="S82" i="20"/>
  <c r="C134" i="18"/>
  <c r="J134" i="18" s="1"/>
  <c r="L134" i="18"/>
  <c r="N134" i="18"/>
  <c r="AS134" i="18"/>
  <c r="T134" i="18"/>
  <c r="F134" i="18" s="1"/>
  <c r="H134" i="18" s="1"/>
  <c r="AL134" i="18"/>
  <c r="D134" i="18" s="1"/>
  <c r="V134" i="18" l="1"/>
  <c r="D83" i="20"/>
  <c r="J83" i="20" s="1"/>
  <c r="C83" i="20"/>
  <c r="X134" i="18"/>
  <c r="AM134" i="18"/>
  <c r="Q83" i="20" l="1"/>
  <c r="N83" i="20"/>
  <c r="H83" i="20"/>
  <c r="E83" i="20"/>
  <c r="V83" i="20"/>
  <c r="G83" i="20"/>
  <c r="K83" i="20" s="1"/>
  <c r="U83" i="20"/>
  <c r="O83" i="20"/>
  <c r="I83" i="20"/>
  <c r="M83" i="20"/>
  <c r="R135" i="18"/>
  <c r="B135" i="18"/>
  <c r="S83" i="20" l="1"/>
  <c r="AA83" i="20"/>
  <c r="AB83" i="20" s="1"/>
  <c r="X83" i="20" s="1"/>
  <c r="Z83" i="20"/>
  <c r="F83" i="20"/>
  <c r="T83" i="20" s="1"/>
  <c r="C135" i="18"/>
  <c r="J135" i="18" s="1"/>
  <c r="N135" i="18"/>
  <c r="L135" i="18"/>
  <c r="AL135" i="18"/>
  <c r="AS135" i="18"/>
  <c r="T135" i="18"/>
  <c r="F135" i="18" s="1"/>
  <c r="H135" i="18" s="1"/>
  <c r="D135" i="18" l="1"/>
  <c r="V135" i="18" s="1"/>
  <c r="D84" i="20"/>
  <c r="J84" i="20" s="1"/>
  <c r="C84" i="20"/>
  <c r="X135" i="18"/>
  <c r="B136" i="18" s="1"/>
  <c r="AM135" i="18"/>
  <c r="H84" i="20" l="1"/>
  <c r="M84" i="20"/>
  <c r="O84" i="20"/>
  <c r="N84" i="20"/>
  <c r="I84" i="20"/>
  <c r="U84" i="20"/>
  <c r="V84" i="20"/>
  <c r="Q84" i="20"/>
  <c r="G84" i="20" s="1"/>
  <c r="E84" i="20"/>
  <c r="C136" i="18"/>
  <c r="J136" i="18" s="1"/>
  <c r="N136" i="18"/>
  <c r="L136" i="18"/>
  <c r="T136" i="18"/>
  <c r="F136" i="18" s="1"/>
  <c r="H136" i="18" s="1"/>
  <c r="U136" i="18"/>
  <c r="AL136" i="18"/>
  <c r="AS136" i="18"/>
  <c r="K84" i="20" l="1"/>
  <c r="S84" i="20" s="1"/>
  <c r="F84" i="20"/>
  <c r="T84" i="20" s="1"/>
  <c r="AA84" i="20"/>
  <c r="AB84" i="20" s="1"/>
  <c r="X84" i="20" s="1"/>
  <c r="Z84" i="20"/>
  <c r="D136" i="18"/>
  <c r="V136" i="18" s="1"/>
  <c r="AM136" i="18"/>
  <c r="X136" i="18" l="1"/>
  <c r="R137" i="18" s="1"/>
  <c r="D85" i="20"/>
  <c r="J85" i="20" s="1"/>
  <c r="C85" i="20"/>
  <c r="B137" i="18" l="1"/>
  <c r="I85" i="20"/>
  <c r="O85" i="20"/>
  <c r="H85" i="20"/>
  <c r="E85" i="20"/>
  <c r="V85" i="20"/>
  <c r="Q85" i="20"/>
  <c r="G85" i="20" s="1"/>
  <c r="K85" i="20" s="1"/>
  <c r="M85" i="20"/>
  <c r="N85" i="20"/>
  <c r="U85" i="20"/>
  <c r="C137" i="18"/>
  <c r="J137" i="18" s="1"/>
  <c r="N137" i="18"/>
  <c r="L137" i="18"/>
  <c r="AS137" i="18"/>
  <c r="AL137" i="18"/>
  <c r="T137" i="18"/>
  <c r="F137" i="18" s="1"/>
  <c r="H137" i="18" s="1"/>
  <c r="D137" i="18" l="1"/>
  <c r="V137" i="18" s="1"/>
  <c r="S85" i="20"/>
  <c r="F85" i="20"/>
  <c r="T85" i="20" s="1"/>
  <c r="AA85" i="20"/>
  <c r="AB85" i="20" s="1"/>
  <c r="X85" i="20" s="1"/>
  <c r="Z85" i="20"/>
  <c r="X137" i="18"/>
  <c r="B138" i="18" s="1"/>
  <c r="AM137" i="18"/>
  <c r="D86" i="20" l="1"/>
  <c r="J86" i="20" s="1"/>
  <c r="C86" i="20"/>
  <c r="C138" i="18"/>
  <c r="J138" i="18" s="1"/>
  <c r="N138" i="18"/>
  <c r="L138" i="18"/>
  <c r="F138" i="18"/>
  <c r="H138" i="18" s="1"/>
  <c r="AS138" i="18"/>
  <c r="AL138" i="18"/>
  <c r="D138" i="18" s="1"/>
  <c r="T138" i="18"/>
  <c r="V138" i="18" l="1"/>
  <c r="V86" i="20"/>
  <c r="H86" i="20"/>
  <c r="U86" i="20"/>
  <c r="N86" i="20"/>
  <c r="O86" i="20"/>
  <c r="I86" i="20"/>
  <c r="M86" i="20"/>
  <c r="Q86" i="20"/>
  <c r="G86" i="20" s="1"/>
  <c r="K86" i="20" s="1"/>
  <c r="E86" i="20"/>
  <c r="X138" i="18"/>
  <c r="AM138" i="18"/>
  <c r="S86" i="20" l="1"/>
  <c r="F86" i="20"/>
  <c r="T86" i="20" s="1"/>
  <c r="AA86" i="20"/>
  <c r="AB86" i="20" s="1"/>
  <c r="X86" i="20" s="1"/>
  <c r="Z86" i="20"/>
  <c r="R139" i="18"/>
  <c r="B139" i="18"/>
  <c r="D87" i="20" l="1"/>
  <c r="J87" i="20" s="1"/>
  <c r="C87" i="20"/>
  <c r="C139" i="18"/>
  <c r="J139" i="18" s="1"/>
  <c r="L139" i="18"/>
  <c r="N139" i="18"/>
  <c r="T139" i="18"/>
  <c r="F139" i="18" s="1"/>
  <c r="H139" i="18" s="1"/>
  <c r="AL139" i="18"/>
  <c r="AS139" i="18"/>
  <c r="D139" i="18" l="1"/>
  <c r="V139" i="18" s="1"/>
  <c r="O87" i="20"/>
  <c r="H87" i="20"/>
  <c r="E87" i="20"/>
  <c r="U87" i="20"/>
  <c r="Q87" i="20"/>
  <c r="G87" i="20" s="1"/>
  <c r="M87" i="20"/>
  <c r="N87" i="20"/>
  <c r="V87" i="20"/>
  <c r="I87" i="20"/>
  <c r="X139" i="18"/>
  <c r="B140" i="18" s="1"/>
  <c r="AM139" i="18"/>
  <c r="K87" i="20" l="1"/>
  <c r="S87" i="20" s="1"/>
  <c r="F87" i="20"/>
  <c r="T87" i="20" s="1"/>
  <c r="AA87" i="20"/>
  <c r="AB87" i="20" s="1"/>
  <c r="X87" i="20" s="1"/>
  <c r="Z87" i="20"/>
  <c r="C140" i="18"/>
  <c r="J140" i="18" s="1"/>
  <c r="L140" i="18"/>
  <c r="N140" i="18"/>
  <c r="T140" i="18"/>
  <c r="F140" i="18" s="1"/>
  <c r="H140" i="18" s="1"/>
  <c r="AS140" i="18"/>
  <c r="AL140" i="18"/>
  <c r="D140" i="18" l="1"/>
  <c r="V140" i="18" s="1"/>
  <c r="D88" i="20"/>
  <c r="J88" i="20" s="1"/>
  <c r="C88" i="20"/>
  <c r="X140" i="18"/>
  <c r="AM140" i="18"/>
  <c r="U88" i="20" l="1"/>
  <c r="E88" i="20"/>
  <c r="I88" i="20"/>
  <c r="Q88" i="20"/>
  <c r="G88" i="20" s="1"/>
  <c r="O88" i="20"/>
  <c r="N88" i="20"/>
  <c r="V88" i="20"/>
  <c r="M88" i="20"/>
  <c r="H88" i="20"/>
  <c r="R141" i="18"/>
  <c r="B141" i="18"/>
  <c r="K88" i="20" l="1"/>
  <c r="S88" i="20" s="1"/>
  <c r="F88" i="20"/>
  <c r="T88" i="20" s="1"/>
  <c r="AA88" i="20"/>
  <c r="AB88" i="20" s="1"/>
  <c r="X88" i="20" s="1"/>
  <c r="Z88" i="20"/>
  <c r="C141" i="18"/>
  <c r="J141" i="18" s="1"/>
  <c r="L141" i="18"/>
  <c r="N141" i="18"/>
  <c r="AL141" i="18"/>
  <c r="AS141" i="18"/>
  <c r="T141" i="18"/>
  <c r="F141" i="18" s="1"/>
  <c r="H141" i="18" s="1"/>
  <c r="D141" i="18" l="1"/>
  <c r="V141" i="18" s="1"/>
  <c r="D89" i="20"/>
  <c r="J89" i="20" s="1"/>
  <c r="C89" i="20"/>
  <c r="X141" i="18"/>
  <c r="B142" i="18" s="1"/>
  <c r="AM141" i="18"/>
  <c r="H89" i="20" l="1"/>
  <c r="U89" i="20"/>
  <c r="V89" i="20"/>
  <c r="N89" i="20"/>
  <c r="Q89" i="20"/>
  <c r="G89" i="20" s="1"/>
  <c r="K89" i="20" s="1"/>
  <c r="I89" i="20"/>
  <c r="E89" i="20"/>
  <c r="O89" i="20"/>
  <c r="M89" i="20"/>
  <c r="C142" i="18"/>
  <c r="J142" i="18" s="1"/>
  <c r="L142" i="18"/>
  <c r="N142" i="18"/>
  <c r="AS142" i="18"/>
  <c r="T142" i="18"/>
  <c r="F142" i="18" s="1"/>
  <c r="H142" i="18" s="1"/>
  <c r="AL142" i="18"/>
  <c r="D142" i="18" l="1"/>
  <c r="V142" i="18" s="1"/>
  <c r="S89" i="20"/>
  <c r="AA89" i="20"/>
  <c r="AB89" i="20" s="1"/>
  <c r="X89" i="20" s="1"/>
  <c r="Z89" i="20"/>
  <c r="F89" i="20"/>
  <c r="T89" i="20" s="1"/>
  <c r="X142" i="18"/>
  <c r="AM142" i="18"/>
  <c r="D90" i="20" l="1"/>
  <c r="J90" i="20" s="1"/>
  <c r="C90" i="20"/>
  <c r="R143" i="18"/>
  <c r="B143" i="18"/>
  <c r="N90" i="20" l="1"/>
  <c r="H90" i="20"/>
  <c r="O90" i="20"/>
  <c r="U90" i="20"/>
  <c r="M90" i="20"/>
  <c r="Q90" i="20"/>
  <c r="G90" i="20" s="1"/>
  <c r="K90" i="20" s="1"/>
  <c r="E90" i="20"/>
  <c r="I90" i="20"/>
  <c r="V90" i="20"/>
  <c r="C143" i="18"/>
  <c r="J143" i="18" s="1"/>
  <c r="N143" i="18"/>
  <c r="L143" i="18"/>
  <c r="AL143" i="18"/>
  <c r="T143" i="18"/>
  <c r="F143" i="18" s="1"/>
  <c r="H143" i="18" s="1"/>
  <c r="AS143" i="18"/>
  <c r="D143" i="18" l="1"/>
  <c r="V143" i="18" s="1"/>
  <c r="S90" i="20"/>
  <c r="X90" i="20"/>
  <c r="AA90" i="20"/>
  <c r="AB90" i="20" s="1"/>
  <c r="Z90" i="20"/>
  <c r="F90" i="20"/>
  <c r="T90" i="20" s="1"/>
  <c r="X143" i="18"/>
  <c r="B144" i="18" s="1"/>
  <c r="AM143" i="18"/>
  <c r="D91" i="20" l="1"/>
  <c r="J91" i="20" s="1"/>
  <c r="C91" i="20"/>
  <c r="C144" i="18"/>
  <c r="J144" i="18" s="1"/>
  <c r="N144" i="18"/>
  <c r="L144" i="18"/>
  <c r="T144" i="18"/>
  <c r="F144" i="18" s="1"/>
  <c r="H144" i="18" s="1"/>
  <c r="AL144" i="18"/>
  <c r="AS144" i="18"/>
  <c r="D144" i="18" l="1"/>
  <c r="V144" i="18" s="1"/>
  <c r="H91" i="20"/>
  <c r="U91" i="20"/>
  <c r="Q91" i="20"/>
  <c r="M91" i="20"/>
  <c r="V91" i="20"/>
  <c r="E91" i="20"/>
  <c r="I91" i="20"/>
  <c r="N91" i="20"/>
  <c r="O91" i="20"/>
  <c r="X144" i="18"/>
  <c r="AM144" i="18"/>
  <c r="G91" i="20" l="1"/>
  <c r="K91" i="20" s="1"/>
  <c r="S91" i="20" s="1"/>
  <c r="AA91" i="20"/>
  <c r="Z91" i="20"/>
  <c r="R145" i="18"/>
  <c r="B145" i="18"/>
  <c r="AB91" i="20" l="1"/>
  <c r="X91" i="20" s="1"/>
  <c r="F91" i="20"/>
  <c r="T91" i="20" s="1"/>
  <c r="C145" i="18"/>
  <c r="J145" i="18" s="1"/>
  <c r="N145" i="18"/>
  <c r="L145" i="18"/>
  <c r="AS145" i="18"/>
  <c r="T145" i="18"/>
  <c r="F145" i="18" s="1"/>
  <c r="H145" i="18" s="1"/>
  <c r="AL145" i="18"/>
  <c r="D145" i="18" l="1"/>
  <c r="V145" i="18" s="1"/>
  <c r="D92" i="20"/>
  <c r="J92" i="20" s="1"/>
  <c r="C92" i="20"/>
  <c r="X145" i="18"/>
  <c r="B146" i="18" s="1"/>
  <c r="AM145" i="18"/>
  <c r="O92" i="20" l="1"/>
  <c r="V92" i="20"/>
  <c r="I92" i="20"/>
  <c r="H92" i="20"/>
  <c r="E92" i="20"/>
  <c r="M92" i="20"/>
  <c r="Q92" i="20"/>
  <c r="G92" i="20" s="1"/>
  <c r="K92" i="20" s="1"/>
  <c r="N92" i="20"/>
  <c r="U92" i="20"/>
  <c r="C146" i="18"/>
  <c r="J146" i="18" s="1"/>
  <c r="N146" i="18"/>
  <c r="L146" i="18"/>
  <c r="T146" i="18"/>
  <c r="F146" i="18" s="1"/>
  <c r="H146" i="18" s="1"/>
  <c r="AS146" i="18"/>
  <c r="AL146" i="18"/>
  <c r="D146" i="18" l="1"/>
  <c r="V146" i="18"/>
  <c r="F92" i="20"/>
  <c r="T92" i="20" s="1"/>
  <c r="AA92" i="20"/>
  <c r="AB92" i="20" s="1"/>
  <c r="X92" i="20" s="1"/>
  <c r="Z92" i="20"/>
  <c r="S92" i="20"/>
  <c r="X146" i="18"/>
  <c r="AM146" i="18"/>
  <c r="D93" i="20" l="1"/>
  <c r="J93" i="20" s="1"/>
  <c r="C93" i="20"/>
  <c r="R147" i="18"/>
  <c r="B147" i="18"/>
  <c r="U93" i="20" l="1"/>
  <c r="O93" i="20"/>
  <c r="R93" i="20"/>
  <c r="Q93" i="20"/>
  <c r="G93" i="20" s="1"/>
  <c r="K93" i="20" s="1"/>
  <c r="N93" i="20"/>
  <c r="E93" i="20"/>
  <c r="H93" i="20"/>
  <c r="V93" i="20"/>
  <c r="I93" i="20"/>
  <c r="M93" i="20"/>
  <c r="C147" i="18"/>
  <c r="J147" i="18" s="1"/>
  <c r="L147" i="18"/>
  <c r="N147" i="18"/>
  <c r="AL147" i="18"/>
  <c r="T147" i="18"/>
  <c r="F147" i="18" s="1"/>
  <c r="H147" i="18" s="1"/>
  <c r="AS147" i="18"/>
  <c r="S93" i="20" l="1"/>
  <c r="D147" i="18"/>
  <c r="V147" i="18" s="1"/>
  <c r="F93" i="20"/>
  <c r="T93" i="20" s="1"/>
  <c r="AA93" i="20"/>
  <c r="AB93" i="20" s="1"/>
  <c r="X93" i="20" s="1"/>
  <c r="Z93" i="20"/>
  <c r="X147" i="18"/>
  <c r="B148" i="18" s="1"/>
  <c r="AM147" i="18"/>
  <c r="D94" i="20" l="1"/>
  <c r="J94" i="20" s="1"/>
  <c r="C94" i="20"/>
  <c r="C148" i="18"/>
  <c r="J148" i="18" s="1"/>
  <c r="L148" i="18"/>
  <c r="N148" i="18"/>
  <c r="U148" i="18"/>
  <c r="AL148" i="18"/>
  <c r="T148" i="18"/>
  <c r="F148" i="18" s="1"/>
  <c r="AS148" i="18"/>
  <c r="H148" i="18" l="1"/>
  <c r="D148" i="18"/>
  <c r="E94" i="20"/>
  <c r="N94" i="20"/>
  <c r="V94" i="20"/>
  <c r="I94" i="20"/>
  <c r="O94" i="20"/>
  <c r="H94" i="20"/>
  <c r="Q94" i="20"/>
  <c r="U94" i="20"/>
  <c r="M94" i="20"/>
  <c r="X148" i="18"/>
  <c r="AM148" i="18"/>
  <c r="AA94" i="20" l="1"/>
  <c r="AB94" i="20" s="1"/>
  <c r="X94" i="20" s="1"/>
  <c r="Z94" i="20"/>
  <c r="G94" i="20"/>
  <c r="V148" i="18"/>
  <c r="R149" i="18"/>
  <c r="B149" i="18"/>
  <c r="K94" i="20" l="1"/>
  <c r="S94" i="20" s="1"/>
  <c r="F94" i="20"/>
  <c r="T94" i="20" s="1"/>
  <c r="C149" i="18"/>
  <c r="J149" i="18" s="1"/>
  <c r="L149" i="18"/>
  <c r="N149" i="18"/>
  <c r="T149" i="18"/>
  <c r="F149" i="18" s="1"/>
  <c r="H149" i="18" s="1"/>
  <c r="AS149" i="18"/>
  <c r="AL149" i="18"/>
  <c r="D149" i="18" l="1"/>
  <c r="V149" i="18" s="1"/>
  <c r="D95" i="20"/>
  <c r="J95" i="20" s="1"/>
  <c r="C95" i="20"/>
  <c r="X149" i="18"/>
  <c r="B150" i="18" s="1"/>
  <c r="AM149" i="18"/>
  <c r="M95" i="20" l="1"/>
  <c r="N95" i="20"/>
  <c r="E95" i="20"/>
  <c r="O95" i="20"/>
  <c r="Q95" i="20"/>
  <c r="G95" i="20" s="1"/>
  <c r="K95" i="20" s="1"/>
  <c r="V95" i="20"/>
  <c r="I95" i="20"/>
  <c r="H95" i="20"/>
  <c r="U95" i="20"/>
  <c r="C150" i="18"/>
  <c r="J150" i="18" s="1"/>
  <c r="L150" i="18"/>
  <c r="N150" i="18"/>
  <c r="T150" i="18"/>
  <c r="F150" i="18" s="1"/>
  <c r="H150" i="18" s="1"/>
  <c r="AL150" i="18"/>
  <c r="AS150" i="18"/>
  <c r="D150" i="18" l="1"/>
  <c r="V150" i="18" s="1"/>
  <c r="F95" i="20"/>
  <c r="T95" i="20" s="1"/>
  <c r="S95" i="20"/>
  <c r="AA95" i="20"/>
  <c r="AB95" i="20" s="1"/>
  <c r="X95" i="20" s="1"/>
  <c r="Z95" i="20"/>
  <c r="X150" i="18"/>
  <c r="AM150" i="18"/>
  <c r="D96" i="20" l="1"/>
  <c r="J96" i="20" s="1"/>
  <c r="C96" i="20"/>
  <c r="R151" i="18"/>
  <c r="B151" i="18"/>
  <c r="O96" i="20" l="1"/>
  <c r="U96" i="20"/>
  <c r="E96" i="20"/>
  <c r="Q96" i="20"/>
  <c r="G96" i="20" s="1"/>
  <c r="K96" i="20" s="1"/>
  <c r="N96" i="20"/>
  <c r="M96" i="20"/>
  <c r="H96" i="20"/>
  <c r="V96" i="20"/>
  <c r="I96" i="20"/>
  <c r="C151" i="18"/>
  <c r="J151" i="18" s="1"/>
  <c r="N151" i="18"/>
  <c r="L151" i="18"/>
  <c r="T151" i="18"/>
  <c r="F151" i="18" s="1"/>
  <c r="AL151" i="18"/>
  <c r="AS151" i="18"/>
  <c r="S96" i="20" l="1"/>
  <c r="H151" i="18"/>
  <c r="D151" i="18"/>
  <c r="F96" i="20"/>
  <c r="T96" i="20" s="1"/>
  <c r="AA96" i="20"/>
  <c r="Z96" i="20"/>
  <c r="X151" i="18"/>
  <c r="B152" i="18" s="1"/>
  <c r="AM151" i="18"/>
  <c r="AB96" i="20" l="1"/>
  <c r="X96" i="20" s="1"/>
  <c r="D97" i="20"/>
  <c r="J97" i="20" s="1"/>
  <c r="C97" i="20"/>
  <c r="V151" i="18"/>
  <c r="C152" i="18"/>
  <c r="J152" i="18" s="1"/>
  <c r="N152" i="18"/>
  <c r="L152" i="18"/>
  <c r="AS152" i="18"/>
  <c r="T152" i="18"/>
  <c r="F152" i="18" s="1"/>
  <c r="H152" i="18" s="1"/>
  <c r="AL152" i="18"/>
  <c r="D152" i="18" l="1"/>
  <c r="V152" i="18" s="1"/>
  <c r="N97" i="20"/>
  <c r="Q97" i="20"/>
  <c r="G97" i="20" s="1"/>
  <c r="K97" i="20" s="1"/>
  <c r="H97" i="20"/>
  <c r="E97" i="20"/>
  <c r="F97" i="20" s="1"/>
  <c r="T97" i="20" s="1"/>
  <c r="O97" i="20"/>
  <c r="I97" i="20"/>
  <c r="V97" i="20"/>
  <c r="M97" i="20"/>
  <c r="U97" i="20"/>
  <c r="X152" i="18"/>
  <c r="AM152" i="18"/>
  <c r="D98" i="20" l="1"/>
  <c r="J98" i="20" s="1"/>
  <c r="C98" i="20"/>
  <c r="S97" i="20"/>
  <c r="AA97" i="20"/>
  <c r="AB97" i="20" s="1"/>
  <c r="X97" i="20" s="1"/>
  <c r="Z97" i="20"/>
  <c r="R153" i="18"/>
  <c r="B153" i="18"/>
  <c r="V98" i="20" l="1"/>
  <c r="O98" i="20"/>
  <c r="M98" i="20"/>
  <c r="U98" i="20"/>
  <c r="N98" i="20"/>
  <c r="Q98" i="20"/>
  <c r="E98" i="20"/>
  <c r="I98" i="20"/>
  <c r="H98" i="20"/>
  <c r="C153" i="18"/>
  <c r="J153" i="18" s="1"/>
  <c r="N153" i="18"/>
  <c r="L153" i="18"/>
  <c r="AS153" i="18"/>
  <c r="AL153" i="18"/>
  <c r="T153" i="18"/>
  <c r="F153" i="18" s="1"/>
  <c r="H153" i="18" s="1"/>
  <c r="D153" i="18" l="1"/>
  <c r="V153" i="18" s="1"/>
  <c r="G98" i="20"/>
  <c r="AA98" i="20"/>
  <c r="Z98" i="20"/>
  <c r="X153" i="18"/>
  <c r="B154" i="18" s="1"/>
  <c r="AM153" i="18"/>
  <c r="AB98" i="20" l="1"/>
  <c r="X98" i="20" s="1"/>
  <c r="K98" i="20"/>
  <c r="S98" i="20" s="1"/>
  <c r="F98" i="20"/>
  <c r="T98" i="20" s="1"/>
  <c r="C154" i="18"/>
  <c r="J154" i="18" s="1"/>
  <c r="N154" i="18"/>
  <c r="L154" i="18"/>
  <c r="AL154" i="18"/>
  <c r="AS154" i="18"/>
  <c r="T154" i="18"/>
  <c r="F154" i="18" s="1"/>
  <c r="H154" i="18" s="1"/>
  <c r="D154" i="18" l="1"/>
  <c r="V154" i="18" s="1"/>
  <c r="D99" i="20"/>
  <c r="J99" i="20" s="1"/>
  <c r="C99" i="20"/>
  <c r="X154" i="18"/>
  <c r="AM154" i="18"/>
  <c r="N99" i="20" l="1"/>
  <c r="O99" i="20"/>
  <c r="U99" i="20"/>
  <c r="Q99" i="20"/>
  <c r="G99" i="20" s="1"/>
  <c r="K99" i="20" s="1"/>
  <c r="V99" i="20"/>
  <c r="M99" i="20"/>
  <c r="I99" i="20"/>
  <c r="E99" i="20"/>
  <c r="F99" i="20" s="1"/>
  <c r="T99" i="20" s="1"/>
  <c r="H99" i="20"/>
  <c r="R155" i="18"/>
  <c r="B155" i="18"/>
  <c r="D100" i="20" l="1"/>
  <c r="J100" i="20" s="1"/>
  <c r="C100" i="20"/>
  <c r="S99" i="20"/>
  <c r="AA99" i="20"/>
  <c r="AB99" i="20" s="1"/>
  <c r="X99" i="20" s="1"/>
  <c r="Z99" i="20"/>
  <c r="C155" i="18"/>
  <c r="J155" i="18" s="1"/>
  <c r="L155" i="18"/>
  <c r="N155" i="18"/>
  <c r="AL155" i="18"/>
  <c r="T155" i="18"/>
  <c r="F155" i="18" s="1"/>
  <c r="H155" i="18" s="1"/>
  <c r="AS155" i="18"/>
  <c r="D155" i="18" l="1"/>
  <c r="V155" i="18" s="1"/>
  <c r="N100" i="20"/>
  <c r="Q100" i="20"/>
  <c r="G100" i="20" s="1"/>
  <c r="K100" i="20" s="1"/>
  <c r="I100" i="20"/>
  <c r="H100" i="20"/>
  <c r="M100" i="20"/>
  <c r="E100" i="20"/>
  <c r="O100" i="20"/>
  <c r="U100" i="20"/>
  <c r="V100" i="20"/>
  <c r="X155" i="18"/>
  <c r="B156" i="18" s="1"/>
  <c r="AM155" i="18"/>
  <c r="S100" i="20" l="1"/>
  <c r="F100" i="20"/>
  <c r="T100" i="20" s="1"/>
  <c r="D101" i="20" s="1"/>
  <c r="J101" i="20" s="1"/>
  <c r="AA100" i="20"/>
  <c r="AB100" i="20" s="1"/>
  <c r="X100" i="20" s="1"/>
  <c r="Z100" i="20"/>
  <c r="C156" i="18"/>
  <c r="J156" i="18" s="1"/>
  <c r="L156" i="18"/>
  <c r="N156" i="18"/>
  <c r="AS156" i="18"/>
  <c r="AL156" i="18"/>
  <c r="T156" i="18"/>
  <c r="F156" i="18" s="1"/>
  <c r="H156" i="18" s="1"/>
  <c r="C101" i="20" l="1"/>
  <c r="O101" i="20" s="1"/>
  <c r="D156" i="18"/>
  <c r="V156" i="18" s="1"/>
  <c r="U101" i="20"/>
  <c r="M101" i="20"/>
  <c r="N101" i="20"/>
  <c r="Q101" i="20"/>
  <c r="G101" i="20" s="1"/>
  <c r="K101" i="20" s="1"/>
  <c r="X156" i="18"/>
  <c r="AM156" i="18"/>
  <c r="V101" i="20" l="1"/>
  <c r="E101" i="20"/>
  <c r="I101" i="20"/>
  <c r="H101" i="20"/>
  <c r="AA101" i="20"/>
  <c r="AB101" i="20" s="1"/>
  <c r="X101" i="20" s="1"/>
  <c r="Z101" i="20"/>
  <c r="F101" i="20"/>
  <c r="T101" i="20" s="1"/>
  <c r="R157" i="18"/>
  <c r="B157" i="18"/>
  <c r="S101" i="20" l="1"/>
  <c r="D102" i="20"/>
  <c r="J102" i="20" s="1"/>
  <c r="C102" i="20"/>
  <c r="C157" i="18"/>
  <c r="J157" i="18" s="1"/>
  <c r="L157" i="18"/>
  <c r="N157" i="18"/>
  <c r="AS157" i="18"/>
  <c r="T157" i="18"/>
  <c r="F157" i="18" s="1"/>
  <c r="H157" i="18" s="1"/>
  <c r="AL157" i="18"/>
  <c r="D157" i="18" l="1"/>
  <c r="V157" i="18" s="1"/>
  <c r="E102" i="20"/>
  <c r="M102" i="20"/>
  <c r="Q102" i="20"/>
  <c r="G102" i="20" s="1"/>
  <c r="K102" i="20" s="1"/>
  <c r="U102" i="20"/>
  <c r="I102" i="20"/>
  <c r="H102" i="20"/>
  <c r="V102" i="20"/>
  <c r="O102" i="20"/>
  <c r="N102" i="20"/>
  <c r="X157" i="18"/>
  <c r="B158" i="18" s="1"/>
  <c r="AM157" i="18"/>
  <c r="F102" i="20" l="1"/>
  <c r="T102" i="20" s="1"/>
  <c r="S102" i="20"/>
  <c r="AA102" i="20"/>
  <c r="Z102" i="20"/>
  <c r="C158" i="18"/>
  <c r="J158" i="18" s="1"/>
  <c r="L158" i="18"/>
  <c r="N158" i="18"/>
  <c r="AS158" i="18"/>
  <c r="AL158" i="18"/>
  <c r="T158" i="18"/>
  <c r="F158" i="18" s="1"/>
  <c r="H158" i="18" s="1"/>
  <c r="AB102" i="20" l="1"/>
  <c r="X102" i="20" s="1"/>
  <c r="D158" i="18"/>
  <c r="V158" i="18" s="1"/>
  <c r="D103" i="20"/>
  <c r="J103" i="20" s="1"/>
  <c r="C103" i="20"/>
  <c r="X158" i="18"/>
  <c r="AM158" i="18"/>
  <c r="N103" i="20" l="1"/>
  <c r="M103" i="20"/>
  <c r="V103" i="20"/>
  <c r="I103" i="20"/>
  <c r="H103" i="20"/>
  <c r="Q103" i="20"/>
  <c r="G103" i="20" s="1"/>
  <c r="K103" i="20" s="1"/>
  <c r="E103" i="20"/>
  <c r="O103" i="20"/>
  <c r="U103" i="20"/>
  <c r="R159" i="18"/>
  <c r="B159" i="18"/>
  <c r="S103" i="20" l="1"/>
  <c r="F103" i="20"/>
  <c r="T103" i="20" s="1"/>
  <c r="AA103" i="20"/>
  <c r="Z103" i="20"/>
  <c r="C159" i="18"/>
  <c r="J159" i="18" s="1"/>
  <c r="N159" i="18"/>
  <c r="L159" i="18"/>
  <c r="AL159" i="18"/>
  <c r="T159" i="18"/>
  <c r="F159" i="18" s="1"/>
  <c r="H159" i="18" s="1"/>
  <c r="AS159" i="18"/>
  <c r="AB103" i="20" l="1"/>
  <c r="X103" i="20" s="1"/>
  <c r="D159" i="18"/>
  <c r="V159" i="18" s="1"/>
  <c r="D104" i="20"/>
  <c r="J104" i="20" s="1"/>
  <c r="C104" i="20"/>
  <c r="X159" i="18"/>
  <c r="B160" i="18" s="1"/>
  <c r="AM159" i="18"/>
  <c r="Q104" i="20" l="1"/>
  <c r="V104" i="20"/>
  <c r="N104" i="20"/>
  <c r="E104" i="20"/>
  <c r="M104" i="20"/>
  <c r="U104" i="20"/>
  <c r="O104" i="20"/>
  <c r="H104" i="20"/>
  <c r="I104" i="20"/>
  <c r="C160" i="18"/>
  <c r="J160" i="18" s="1"/>
  <c r="N160" i="18"/>
  <c r="L160" i="18"/>
  <c r="U160" i="18"/>
  <c r="AS160" i="18"/>
  <c r="AL160" i="18"/>
  <c r="T160" i="18"/>
  <c r="F160" i="18" s="1"/>
  <c r="H160" i="18" s="1"/>
  <c r="D160" i="18" l="1"/>
  <c r="V160" i="18" s="1"/>
  <c r="AA104" i="20"/>
  <c r="AB104" i="20" s="1"/>
  <c r="X104" i="20" s="1"/>
  <c r="Z104" i="20"/>
  <c r="G104" i="20"/>
  <c r="X160" i="18"/>
  <c r="AM160" i="18"/>
  <c r="K104" i="20" l="1"/>
  <c r="S104" i="20" s="1"/>
  <c r="F104" i="20"/>
  <c r="T104" i="20" s="1"/>
  <c r="R161" i="18"/>
  <c r="B161" i="18"/>
  <c r="D105" i="20" l="1"/>
  <c r="J105" i="20" s="1"/>
  <c r="C105" i="20"/>
  <c r="C161" i="18"/>
  <c r="J161" i="18" s="1"/>
  <c r="N161" i="18"/>
  <c r="L161" i="18"/>
  <c r="T161" i="18"/>
  <c r="F161" i="18" s="1"/>
  <c r="H161" i="18" s="1"/>
  <c r="AL161" i="18"/>
  <c r="AS161" i="18"/>
  <c r="D161" i="18" l="1"/>
  <c r="V161" i="18" s="1"/>
  <c r="V105" i="20"/>
  <c r="Q105" i="20"/>
  <c r="G105" i="20" s="1"/>
  <c r="K105" i="20" s="1"/>
  <c r="N105" i="20"/>
  <c r="R105" i="20"/>
  <c r="O105" i="20"/>
  <c r="U105" i="20"/>
  <c r="E105" i="20"/>
  <c r="M105" i="20"/>
  <c r="H105" i="20"/>
  <c r="I105" i="20"/>
  <c r="X161" i="18"/>
  <c r="B162" i="18" s="1"/>
  <c r="AM161" i="18"/>
  <c r="S105" i="20" l="1"/>
  <c r="AA105" i="20"/>
  <c r="AB105" i="20" s="1"/>
  <c r="X105" i="20" s="1"/>
  <c r="Z105" i="20"/>
  <c r="F105" i="20"/>
  <c r="T105" i="20" s="1"/>
  <c r="C162" i="18"/>
  <c r="J162" i="18" s="1"/>
  <c r="N162" i="18"/>
  <c r="L162" i="18"/>
  <c r="AS162" i="18"/>
  <c r="T162" i="18"/>
  <c r="F162" i="18" s="1"/>
  <c r="H162" i="18" s="1"/>
  <c r="AL162" i="18"/>
  <c r="D162" i="18" l="1"/>
  <c r="V162" i="18" s="1"/>
  <c r="D106" i="20"/>
  <c r="J106" i="20" s="1"/>
  <c r="C106" i="20"/>
  <c r="X162" i="18"/>
  <c r="AM162" i="18"/>
  <c r="M106" i="20" l="1"/>
  <c r="U106" i="20"/>
  <c r="V106" i="20"/>
  <c r="O106" i="20"/>
  <c r="E106" i="20"/>
  <c r="N106" i="20"/>
  <c r="Q106" i="20"/>
  <c r="G106" i="20" s="1"/>
  <c r="K106" i="20" s="1"/>
  <c r="H106" i="20"/>
  <c r="I106" i="20"/>
  <c r="R163" i="18"/>
  <c r="B163" i="18"/>
  <c r="F106" i="20" l="1"/>
  <c r="T106" i="20" s="1"/>
  <c r="S106" i="20"/>
  <c r="D107" i="20"/>
  <c r="J107" i="20" s="1"/>
  <c r="C107" i="20"/>
  <c r="AA106" i="20"/>
  <c r="AB106" i="20" s="1"/>
  <c r="X106" i="20" s="1"/>
  <c r="Z106" i="20"/>
  <c r="C163" i="18"/>
  <c r="J163" i="18" s="1"/>
  <c r="L163" i="18"/>
  <c r="N163" i="18"/>
  <c r="AS163" i="18"/>
  <c r="T163" i="18"/>
  <c r="F163" i="18" s="1"/>
  <c r="H163" i="18" s="1"/>
  <c r="AL163" i="18"/>
  <c r="D163" i="18" l="1"/>
  <c r="V163" i="18" s="1"/>
  <c r="O107" i="20"/>
  <c r="I107" i="20"/>
  <c r="E107" i="20"/>
  <c r="V107" i="20"/>
  <c r="N107" i="20"/>
  <c r="U107" i="20"/>
  <c r="Q107" i="20"/>
  <c r="G107" i="20" s="1"/>
  <c r="K107" i="20" s="1"/>
  <c r="M107" i="20"/>
  <c r="H107" i="20"/>
  <c r="X163" i="18"/>
  <c r="B164" i="18" s="1"/>
  <c r="AM163" i="18"/>
  <c r="F107" i="20" l="1"/>
  <c r="T107" i="20" s="1"/>
  <c r="AA107" i="20"/>
  <c r="Z107" i="20"/>
  <c r="S107" i="20"/>
  <c r="C164" i="18"/>
  <c r="J164" i="18" s="1"/>
  <c r="L164" i="18"/>
  <c r="N164" i="18"/>
  <c r="AS164" i="18"/>
  <c r="AL164" i="18"/>
  <c r="T164" i="18"/>
  <c r="F164" i="18" s="1"/>
  <c r="H164" i="18" s="1"/>
  <c r="AB107" i="20" l="1"/>
  <c r="X107" i="20" s="1"/>
  <c r="D164" i="18"/>
  <c r="V164" i="18" s="1"/>
  <c r="D108" i="20"/>
  <c r="J108" i="20" s="1"/>
  <c r="C108" i="20"/>
  <c r="X164" i="18"/>
  <c r="AM164" i="18"/>
  <c r="M108" i="20" l="1"/>
  <c r="N108" i="20"/>
  <c r="H108" i="20"/>
  <c r="U108" i="20"/>
  <c r="E108" i="20"/>
  <c r="V108" i="20"/>
  <c r="I108" i="20"/>
  <c r="Q108" i="20"/>
  <c r="O108" i="20"/>
  <c r="R165" i="18"/>
  <c r="B165" i="18"/>
  <c r="G108" i="20" l="1"/>
  <c r="K108" i="20" s="1"/>
  <c r="S108" i="20" s="1"/>
  <c r="AA108" i="20"/>
  <c r="Z108" i="20"/>
  <c r="C165" i="18"/>
  <c r="J165" i="18" s="1"/>
  <c r="L165" i="18"/>
  <c r="N165" i="18"/>
  <c r="AS165" i="18"/>
  <c r="T165" i="18"/>
  <c r="F165" i="18" s="1"/>
  <c r="H165" i="18" s="1"/>
  <c r="AL165" i="18"/>
  <c r="AB108" i="20" l="1"/>
  <c r="X108" i="20" s="1"/>
  <c r="D165" i="18"/>
  <c r="V165" i="18" s="1"/>
  <c r="F108" i="20"/>
  <c r="T108" i="20" s="1"/>
  <c r="X165" i="18"/>
  <c r="B166" i="18" s="1"/>
  <c r="AM165" i="18"/>
  <c r="D109" i="20" l="1"/>
  <c r="J109" i="20" s="1"/>
  <c r="C109" i="20"/>
  <c r="C166" i="18"/>
  <c r="J166" i="18" s="1"/>
  <c r="L166" i="18"/>
  <c r="N166" i="18"/>
  <c r="AL166" i="18"/>
  <c r="AS166" i="18"/>
  <c r="T166" i="18"/>
  <c r="F166" i="18" s="1"/>
  <c r="H166" i="18" s="1"/>
  <c r="D166" i="18" l="1"/>
  <c r="V166" i="18" s="1"/>
  <c r="I109" i="20"/>
  <c r="E109" i="20"/>
  <c r="N109" i="20"/>
  <c r="M109" i="20"/>
  <c r="Q109" i="20"/>
  <c r="G109" i="20" s="1"/>
  <c r="K109" i="20" s="1"/>
  <c r="H109" i="20"/>
  <c r="V109" i="20"/>
  <c r="U109" i="20"/>
  <c r="O109" i="20"/>
  <c r="X166" i="18"/>
  <c r="AM166" i="18"/>
  <c r="F109" i="20" l="1"/>
  <c r="T109" i="20" s="1"/>
  <c r="D110" i="20" s="1"/>
  <c r="J110" i="20" s="1"/>
  <c r="S109" i="20"/>
  <c r="AA109" i="20"/>
  <c r="AB109" i="20" s="1"/>
  <c r="X109" i="20" s="1"/>
  <c r="Z109" i="20"/>
  <c r="R167" i="18"/>
  <c r="B167" i="18"/>
  <c r="C110" i="20" l="1"/>
  <c r="E110" i="20" s="1"/>
  <c r="Q110" i="20"/>
  <c r="G110" i="20" s="1"/>
  <c r="K110" i="20" s="1"/>
  <c r="N110" i="20"/>
  <c r="C167" i="18"/>
  <c r="J167" i="18" s="1"/>
  <c r="N167" i="18"/>
  <c r="L167" i="18"/>
  <c r="AL167" i="18"/>
  <c r="AS167" i="18"/>
  <c r="T167" i="18"/>
  <c r="F167" i="18" s="1"/>
  <c r="H167" i="18" s="1"/>
  <c r="M110" i="20" l="1"/>
  <c r="U110" i="20"/>
  <c r="V110" i="20"/>
  <c r="D167" i="18"/>
  <c r="X167" i="18" s="1"/>
  <c r="B168" i="18" s="1"/>
  <c r="H110" i="20"/>
  <c r="O110" i="20"/>
  <c r="I110" i="20"/>
  <c r="S110" i="20" s="1"/>
  <c r="V167" i="18"/>
  <c r="F110" i="20"/>
  <c r="T110" i="20" s="1"/>
  <c r="AA110" i="20"/>
  <c r="AB110" i="20" s="1"/>
  <c r="Z110" i="20"/>
  <c r="AM167" i="18"/>
  <c r="X110" i="20" l="1"/>
  <c r="D111" i="20"/>
  <c r="J111" i="20" s="1"/>
  <c r="C111" i="20"/>
  <c r="C168" i="18"/>
  <c r="J168" i="18" s="1"/>
  <c r="N168" i="18"/>
  <c r="L168" i="18"/>
  <c r="T168" i="18"/>
  <c r="F168" i="18" s="1"/>
  <c r="H168" i="18" s="1"/>
  <c r="AL168" i="18"/>
  <c r="AS168" i="18"/>
  <c r="D168" i="18" l="1"/>
  <c r="V168" i="18" s="1"/>
  <c r="N111" i="20"/>
  <c r="H111" i="20"/>
  <c r="U111" i="20"/>
  <c r="V111" i="20"/>
  <c r="Q111" i="20"/>
  <c r="G111" i="20" s="1"/>
  <c r="K111" i="20" s="1"/>
  <c r="M111" i="20"/>
  <c r="O111" i="20"/>
  <c r="I111" i="20"/>
  <c r="E111" i="20"/>
  <c r="X168" i="18"/>
  <c r="AM168" i="18"/>
  <c r="F111" i="20" l="1"/>
  <c r="T111" i="20" s="1"/>
  <c r="S111" i="20"/>
  <c r="AA111" i="20"/>
  <c r="AB111" i="20" s="1"/>
  <c r="X111" i="20" s="1"/>
  <c r="Z111" i="20"/>
  <c r="R169" i="18"/>
  <c r="B169" i="18"/>
  <c r="D112" i="20" l="1"/>
  <c r="J112" i="20" s="1"/>
  <c r="C112" i="20"/>
  <c r="C169" i="18"/>
  <c r="J169" i="18" s="1"/>
  <c r="N169" i="18"/>
  <c r="L169" i="18"/>
  <c r="AS169" i="18"/>
  <c r="AL169" i="18"/>
  <c r="T169" i="18"/>
  <c r="F169" i="18" s="1"/>
  <c r="H169" i="18" l="1"/>
  <c r="D169" i="18"/>
  <c r="V112" i="20"/>
  <c r="E112" i="20"/>
  <c r="H112" i="20"/>
  <c r="Q112" i="20"/>
  <c r="G112" i="20" s="1"/>
  <c r="K112" i="20" s="1"/>
  <c r="O112" i="20"/>
  <c r="N112" i="20"/>
  <c r="M112" i="20"/>
  <c r="U112" i="20"/>
  <c r="I112" i="20"/>
  <c r="X169" i="18"/>
  <c r="B170" i="18" s="1"/>
  <c r="AM169" i="18"/>
  <c r="F112" i="20" l="1"/>
  <c r="T112" i="20" s="1"/>
  <c r="D113" i="20" s="1"/>
  <c r="J113" i="20" s="1"/>
  <c r="AA112" i="20"/>
  <c r="AB112" i="20" s="1"/>
  <c r="X112" i="20" s="1"/>
  <c r="Z112" i="20"/>
  <c r="S112" i="20"/>
  <c r="V169" i="18"/>
  <c r="C170" i="18"/>
  <c r="J170" i="18" s="1"/>
  <c r="N170" i="18"/>
  <c r="L170" i="18"/>
  <c r="T170" i="18"/>
  <c r="F170" i="18" s="1"/>
  <c r="H170" i="18" s="1"/>
  <c r="AS170" i="18"/>
  <c r="AL170" i="18"/>
  <c r="C113" i="20" l="1"/>
  <c r="I113" i="20" s="1"/>
  <c r="D170" i="18"/>
  <c r="V170" i="18" s="1"/>
  <c r="N113" i="20"/>
  <c r="X170" i="18"/>
  <c r="AM170" i="18"/>
  <c r="M113" i="20" l="1"/>
  <c r="O113" i="20"/>
  <c r="V113" i="20"/>
  <c r="E113" i="20"/>
  <c r="Q113" i="20"/>
  <c r="G113" i="20" s="1"/>
  <c r="K113" i="20" s="1"/>
  <c r="S113" i="20" s="1"/>
  <c r="U113" i="20"/>
  <c r="H113" i="20"/>
  <c r="AA113" i="20"/>
  <c r="AB113" i="20" s="1"/>
  <c r="X113" i="20" s="1"/>
  <c r="Z113" i="20"/>
  <c r="R171" i="18"/>
  <c r="B171" i="18"/>
  <c r="F113" i="20" l="1"/>
  <c r="T113" i="20" s="1"/>
  <c r="D114" i="20" s="1"/>
  <c r="J114" i="20" s="1"/>
  <c r="C171" i="18"/>
  <c r="J171" i="18" s="1"/>
  <c r="L171" i="18"/>
  <c r="N171" i="18"/>
  <c r="T171" i="18"/>
  <c r="F171" i="18" s="1"/>
  <c r="H171" i="18" s="1"/>
  <c r="AL171" i="18"/>
  <c r="AS171" i="18"/>
  <c r="C114" i="20" l="1"/>
  <c r="M114" i="20" s="1"/>
  <c r="D171" i="18"/>
  <c r="V171" i="18" s="1"/>
  <c r="N114" i="20"/>
  <c r="U114" i="20"/>
  <c r="H114" i="20"/>
  <c r="I114" i="20"/>
  <c r="V114" i="20"/>
  <c r="Q114" i="20"/>
  <c r="G114" i="20" s="1"/>
  <c r="K114" i="20" s="1"/>
  <c r="O114" i="20"/>
  <c r="E114" i="20"/>
  <c r="X171" i="18"/>
  <c r="B172" i="18" s="1"/>
  <c r="AM171" i="18"/>
  <c r="S114" i="20" l="1"/>
  <c r="AA114" i="20"/>
  <c r="AB114" i="20" s="1"/>
  <c r="X114" i="20" s="1"/>
  <c r="Z114" i="20"/>
  <c r="F114" i="20"/>
  <c r="T114" i="20" s="1"/>
  <c r="C172" i="18"/>
  <c r="J172" i="18" s="1"/>
  <c r="L172" i="18"/>
  <c r="N172" i="18"/>
  <c r="T172" i="18"/>
  <c r="F172" i="18" s="1"/>
  <c r="H172" i="18" s="1"/>
  <c r="AL172" i="18"/>
  <c r="AS172" i="18"/>
  <c r="U172" i="18"/>
  <c r="D172" i="18" l="1"/>
  <c r="V172" i="18" s="1"/>
  <c r="D115" i="20"/>
  <c r="J115" i="20" s="1"/>
  <c r="C115" i="20"/>
  <c r="X172" i="18"/>
  <c r="AM172" i="18"/>
  <c r="O115" i="20" l="1"/>
  <c r="M115" i="20"/>
  <c r="N115" i="20"/>
  <c r="U115" i="20"/>
  <c r="Q115" i="20"/>
  <c r="G115" i="20" s="1"/>
  <c r="K115" i="20" s="1"/>
  <c r="V115" i="20"/>
  <c r="I115" i="20"/>
  <c r="H115" i="20"/>
  <c r="E115" i="20"/>
  <c r="R173" i="18"/>
  <c r="B173" i="18"/>
  <c r="S115" i="20" l="1"/>
  <c r="F115" i="20"/>
  <c r="T115" i="20" s="1"/>
  <c r="AA115" i="20"/>
  <c r="Z115" i="20"/>
  <c r="C173" i="18"/>
  <c r="J173" i="18" s="1"/>
  <c r="L173" i="18"/>
  <c r="N173" i="18"/>
  <c r="AL173" i="18"/>
  <c r="T173" i="18"/>
  <c r="F173" i="18" s="1"/>
  <c r="AS173" i="18"/>
  <c r="AB115" i="20" l="1"/>
  <c r="X115" i="20" s="1"/>
  <c r="H173" i="18"/>
  <c r="D173" i="18"/>
  <c r="D116" i="20"/>
  <c r="J116" i="20" s="1"/>
  <c r="C116" i="20"/>
  <c r="X173" i="18"/>
  <c r="B174" i="18" s="1"/>
  <c r="AM173" i="18"/>
  <c r="V116" i="20" l="1"/>
  <c r="Q116" i="20"/>
  <c r="M116" i="20"/>
  <c r="O116" i="20"/>
  <c r="H116" i="20"/>
  <c r="N116" i="20"/>
  <c r="I116" i="20"/>
  <c r="U116" i="20"/>
  <c r="E116" i="20"/>
  <c r="G116" i="20"/>
  <c r="K116" i="20" s="1"/>
  <c r="V173" i="18"/>
  <c r="C174" i="18"/>
  <c r="J174" i="18" s="1"/>
  <c r="L174" i="18"/>
  <c r="N174" i="18"/>
  <c r="T174" i="18"/>
  <c r="F174" i="18" s="1"/>
  <c r="AS174" i="18"/>
  <c r="AL174" i="18"/>
  <c r="F116" i="20" l="1"/>
  <c r="T116" i="20" s="1"/>
  <c r="H174" i="18"/>
  <c r="D174" i="18"/>
  <c r="X174" i="18" s="1"/>
  <c r="D117" i="20"/>
  <c r="J117" i="20" s="1"/>
  <c r="C117" i="20"/>
  <c r="S116" i="20"/>
  <c r="AA116" i="20"/>
  <c r="AB116" i="20" s="1"/>
  <c r="X116" i="20" s="1"/>
  <c r="Z116" i="20"/>
  <c r="AM174" i="18"/>
  <c r="I117" i="20" l="1"/>
  <c r="Q117" i="20"/>
  <c r="G117" i="20" s="1"/>
  <c r="M117" i="20"/>
  <c r="H117" i="20"/>
  <c r="U117" i="20"/>
  <c r="O117" i="20"/>
  <c r="N117" i="20"/>
  <c r="V117" i="20"/>
  <c r="E117" i="20"/>
  <c r="R117" i="20"/>
  <c r="V174" i="18"/>
  <c r="R175" i="18"/>
  <c r="B175" i="18"/>
  <c r="K117" i="20" l="1"/>
  <c r="S117" i="20" s="1"/>
  <c r="F117" i="20"/>
  <c r="T117" i="20" s="1"/>
  <c r="AA117" i="20"/>
  <c r="AB117" i="20" s="1"/>
  <c r="X117" i="20" s="1"/>
  <c r="Z117" i="20"/>
  <c r="C175" i="18"/>
  <c r="J175" i="18" s="1"/>
  <c r="N175" i="18"/>
  <c r="L175" i="18"/>
  <c r="AS175" i="18"/>
  <c r="T175" i="18"/>
  <c r="F175" i="18" s="1"/>
  <c r="H175" i="18" s="1"/>
  <c r="AL175" i="18"/>
  <c r="D175" i="18" l="1"/>
  <c r="V175" i="18" s="1"/>
  <c r="D118" i="20"/>
  <c r="J118" i="20" s="1"/>
  <c r="C118" i="20"/>
  <c r="X175" i="18"/>
  <c r="B176" i="18" s="1"/>
  <c r="AM175" i="18"/>
  <c r="N118" i="20" l="1"/>
  <c r="M118" i="20"/>
  <c r="H118" i="20"/>
  <c r="O118" i="20"/>
  <c r="V118" i="20"/>
  <c r="I118" i="20"/>
  <c r="Q118" i="20"/>
  <c r="G118" i="20" s="1"/>
  <c r="K118" i="20" s="1"/>
  <c r="U118" i="20"/>
  <c r="E118" i="20"/>
  <c r="C176" i="18"/>
  <c r="J176" i="18"/>
  <c r="N176" i="18"/>
  <c r="L176" i="18"/>
  <c r="AL176" i="18"/>
  <c r="T176" i="18"/>
  <c r="F176" i="18" s="1"/>
  <c r="H176" i="18" s="1"/>
  <c r="AS176" i="18"/>
  <c r="D176" i="18" l="1"/>
  <c r="V176" i="18" s="1"/>
  <c r="F118" i="20"/>
  <c r="T118" i="20" s="1"/>
  <c r="S118" i="20"/>
  <c r="AA118" i="20"/>
  <c r="AB118" i="20" s="1"/>
  <c r="X118" i="20" s="1"/>
  <c r="Z118" i="20"/>
  <c r="X176" i="18"/>
  <c r="AM176" i="18"/>
  <c r="D119" i="20" l="1"/>
  <c r="J119" i="20" s="1"/>
  <c r="C119" i="20"/>
  <c r="R177" i="18"/>
  <c r="B177" i="18"/>
  <c r="I119" i="20" l="1"/>
  <c r="O119" i="20"/>
  <c r="U119" i="20"/>
  <c r="E119" i="20"/>
  <c r="V119" i="20"/>
  <c r="M119" i="20"/>
  <c r="N119" i="20"/>
  <c r="Q119" i="20"/>
  <c r="G119" i="20" s="1"/>
  <c r="K119" i="20" s="1"/>
  <c r="S119" i="20" s="1"/>
  <c r="H119" i="20"/>
  <c r="C177" i="18"/>
  <c r="J177" i="18" s="1"/>
  <c r="N177" i="18"/>
  <c r="L177" i="18"/>
  <c r="AS177" i="18"/>
  <c r="T177" i="18"/>
  <c r="F177" i="18" s="1"/>
  <c r="H177" i="18" s="1"/>
  <c r="AL177" i="18"/>
  <c r="F119" i="20" l="1"/>
  <c r="T119" i="20" s="1"/>
  <c r="D120" i="20" s="1"/>
  <c r="J120" i="20" s="1"/>
  <c r="D177" i="18"/>
  <c r="V177" i="18" s="1"/>
  <c r="AA119" i="20"/>
  <c r="AB119" i="20" s="1"/>
  <c r="X119" i="20" s="1"/>
  <c r="Z119" i="20"/>
  <c r="X177" i="18"/>
  <c r="B178" i="18" s="1"/>
  <c r="AM177" i="18"/>
  <c r="C120" i="20" l="1"/>
  <c r="Q120" i="20" s="1"/>
  <c r="C178" i="18"/>
  <c r="J178" i="18" s="1"/>
  <c r="N178" i="18"/>
  <c r="L178" i="18"/>
  <c r="AS178" i="18"/>
  <c r="T178" i="18"/>
  <c r="F178" i="18" s="1"/>
  <c r="H178" i="18" s="1"/>
  <c r="AL178" i="18"/>
  <c r="D178" i="18" s="1"/>
  <c r="U120" i="20" l="1"/>
  <c r="N120" i="20"/>
  <c r="H120" i="20"/>
  <c r="G120" i="20"/>
  <c r="K120" i="20" s="1"/>
  <c r="V120" i="20"/>
  <c r="M120" i="20"/>
  <c r="AA120" i="20" s="1"/>
  <c r="AB120" i="20" s="1"/>
  <c r="X120" i="20" s="1"/>
  <c r="O120" i="20"/>
  <c r="E120" i="20"/>
  <c r="I120" i="20"/>
  <c r="V178" i="18"/>
  <c r="X178" i="18"/>
  <c r="AM178" i="18"/>
  <c r="F120" i="20" l="1"/>
  <c r="T120" i="20" s="1"/>
  <c r="C121" i="20" s="1"/>
  <c r="N121" i="20" s="1"/>
  <c r="S120" i="20"/>
  <c r="Z120" i="20"/>
  <c r="D121" i="20"/>
  <c r="J121" i="20" s="1"/>
  <c r="Q121" i="20"/>
  <c r="G121" i="20" s="1"/>
  <c r="U121" i="20"/>
  <c r="H121" i="20"/>
  <c r="O121" i="20"/>
  <c r="V121" i="20"/>
  <c r="E121" i="20"/>
  <c r="I121" i="20"/>
  <c r="M121" i="20"/>
  <c r="R179" i="18"/>
  <c r="B179" i="18"/>
  <c r="K121" i="20" l="1"/>
  <c r="S121" i="20" s="1"/>
  <c r="F121" i="20"/>
  <c r="T121" i="20" s="1"/>
  <c r="AA121" i="20"/>
  <c r="Z121" i="20"/>
  <c r="C179" i="18"/>
  <c r="J179" i="18" s="1"/>
  <c r="L179" i="18"/>
  <c r="N179" i="18"/>
  <c r="AS179" i="18"/>
  <c r="AL179" i="18"/>
  <c r="T179" i="18"/>
  <c r="F179" i="18" s="1"/>
  <c r="H179" i="18" s="1"/>
  <c r="AB121" i="20" l="1"/>
  <c r="X121" i="20" s="1"/>
  <c r="D179" i="18"/>
  <c r="V179" i="18" s="1"/>
  <c r="D122" i="20"/>
  <c r="J122" i="20" s="1"/>
  <c r="C122" i="20"/>
  <c r="X179" i="18"/>
  <c r="B180" i="18" s="1"/>
  <c r="AM179" i="18"/>
  <c r="U122" i="20" l="1"/>
  <c r="M122" i="20"/>
  <c r="N122" i="20"/>
  <c r="I122" i="20"/>
  <c r="V122" i="20"/>
  <c r="O122" i="20"/>
  <c r="Q122" i="20"/>
  <c r="G122" i="20" s="1"/>
  <c r="K122" i="20" s="1"/>
  <c r="E122" i="20"/>
  <c r="H122" i="20"/>
  <c r="C180" i="18"/>
  <c r="J180" i="18" s="1"/>
  <c r="L180" i="18"/>
  <c r="N180" i="18"/>
  <c r="AL180" i="18"/>
  <c r="AS180" i="18"/>
  <c r="T180" i="18"/>
  <c r="F180" i="18" s="1"/>
  <c r="H180" i="18" s="1"/>
  <c r="D180" i="18" l="1"/>
  <c r="V180" i="18"/>
  <c r="F122" i="20"/>
  <c r="T122" i="20" s="1"/>
  <c r="C123" i="20" s="1"/>
  <c r="S122" i="20"/>
  <c r="AA122" i="20"/>
  <c r="AB122" i="20" s="1"/>
  <c r="X122" i="20" s="1"/>
  <c r="Z122" i="20"/>
  <c r="X180" i="18"/>
  <c r="AM180" i="18"/>
  <c r="D123" i="20" l="1"/>
  <c r="J123" i="20" s="1"/>
  <c r="M123" i="20"/>
  <c r="H123" i="20"/>
  <c r="I123" i="20"/>
  <c r="Q123" i="20"/>
  <c r="G123" i="20" s="1"/>
  <c r="K123" i="20" s="1"/>
  <c r="U123" i="20"/>
  <c r="V123" i="20"/>
  <c r="N123" i="20"/>
  <c r="O123" i="20"/>
  <c r="E123" i="20"/>
  <c r="R181" i="18"/>
  <c r="B181" i="18"/>
  <c r="F123" i="20" l="1"/>
  <c r="T123" i="20" s="1"/>
  <c r="S123" i="20"/>
  <c r="AA123" i="20"/>
  <c r="Z123" i="20"/>
  <c r="C181" i="18"/>
  <c r="J181" i="18" s="1"/>
  <c r="L181" i="18"/>
  <c r="N181" i="18"/>
  <c r="T181" i="18"/>
  <c r="F181" i="18" s="1"/>
  <c r="AL181" i="18"/>
  <c r="AS181" i="18"/>
  <c r="AB123" i="20" l="1"/>
  <c r="X123" i="20" s="1"/>
  <c r="H181" i="18"/>
  <c r="D181" i="18"/>
  <c r="X181" i="18" s="1"/>
  <c r="B182" i="18" s="1"/>
  <c r="D124" i="20"/>
  <c r="J124" i="20" s="1"/>
  <c r="C124" i="20"/>
  <c r="AM181" i="18"/>
  <c r="O124" i="20" l="1"/>
  <c r="H124" i="20"/>
  <c r="V124" i="20"/>
  <c r="U124" i="20"/>
  <c r="E124" i="20"/>
  <c r="Q124" i="20"/>
  <c r="G124" i="20" s="1"/>
  <c r="K124" i="20" s="1"/>
  <c r="M124" i="20"/>
  <c r="N124" i="20"/>
  <c r="I124" i="20"/>
  <c r="V181" i="18"/>
  <c r="C182" i="18"/>
  <c r="J182" i="18" s="1"/>
  <c r="L182" i="18"/>
  <c r="N182" i="18"/>
  <c r="AS182" i="18"/>
  <c r="T182" i="18"/>
  <c r="F182" i="18" s="1"/>
  <c r="AL182" i="18"/>
  <c r="H182" i="18" l="1"/>
  <c r="D182" i="18"/>
  <c r="F124" i="20"/>
  <c r="T124" i="20" s="1"/>
  <c r="AA124" i="20"/>
  <c r="AB124" i="20" s="1"/>
  <c r="X124" i="20" s="1"/>
  <c r="Z124" i="20"/>
  <c r="S124" i="20"/>
  <c r="X182" i="18"/>
  <c r="AM182" i="18"/>
  <c r="D125" i="20" l="1"/>
  <c r="J125" i="20" s="1"/>
  <c r="C125" i="20"/>
  <c r="V182" i="18"/>
  <c r="R183" i="18"/>
  <c r="B183" i="18"/>
  <c r="N125" i="20" l="1"/>
  <c r="U125" i="20"/>
  <c r="H125" i="20"/>
  <c r="I125" i="20"/>
  <c r="M125" i="20"/>
  <c r="E125" i="20"/>
  <c r="O125" i="20"/>
  <c r="V125" i="20"/>
  <c r="Q125" i="20"/>
  <c r="G125" i="20" s="1"/>
  <c r="K125" i="20" s="1"/>
  <c r="C183" i="18"/>
  <c r="J183" i="18" s="1"/>
  <c r="N183" i="18"/>
  <c r="L183" i="18"/>
  <c r="AL183" i="18"/>
  <c r="AS183" i="18"/>
  <c r="T183" i="18"/>
  <c r="F183" i="18" s="1"/>
  <c r="H183" i="18" s="1"/>
  <c r="D183" i="18" l="1"/>
  <c r="V183" i="18" s="1"/>
  <c r="S125" i="20"/>
  <c r="F125" i="20"/>
  <c r="T125" i="20" s="1"/>
  <c r="AA125" i="20"/>
  <c r="AB125" i="20" s="1"/>
  <c r="X125" i="20" s="1"/>
  <c r="Z125" i="20"/>
  <c r="X183" i="18"/>
  <c r="B184" i="18" s="1"/>
  <c r="AM183" i="18"/>
  <c r="D126" i="20" l="1"/>
  <c r="J126" i="20" s="1"/>
  <c r="C126" i="20"/>
  <c r="C184" i="18"/>
  <c r="J184" i="18" s="1"/>
  <c r="N184" i="18"/>
  <c r="L184" i="18"/>
  <c r="U184" i="18"/>
  <c r="AL184" i="18"/>
  <c r="AS184" i="18"/>
  <c r="T184" i="18"/>
  <c r="F184" i="18" s="1"/>
  <c r="H184" i="18" s="1"/>
  <c r="D184" i="18" l="1"/>
  <c r="V184" i="18" s="1"/>
  <c r="Q126" i="20"/>
  <c r="G126" i="20" s="1"/>
  <c r="K126" i="20" s="1"/>
  <c r="I126" i="20"/>
  <c r="M126" i="20"/>
  <c r="U126" i="20"/>
  <c r="O126" i="20"/>
  <c r="V126" i="20"/>
  <c r="N126" i="20"/>
  <c r="H126" i="20"/>
  <c r="E126" i="20"/>
  <c r="X184" i="18"/>
  <c r="AM184" i="18"/>
  <c r="S126" i="20" l="1"/>
  <c r="F126" i="20"/>
  <c r="T126" i="20" s="1"/>
  <c r="AA126" i="20"/>
  <c r="AB126" i="20" s="1"/>
  <c r="X126" i="20" s="1"/>
  <c r="Z126" i="20"/>
  <c r="R185" i="18"/>
  <c r="B185" i="18"/>
  <c r="D127" i="20" l="1"/>
  <c r="J127" i="20" s="1"/>
  <c r="C127" i="20"/>
  <c r="C185" i="18"/>
  <c r="J185" i="18" s="1"/>
  <c r="N185" i="18"/>
  <c r="L185" i="18"/>
  <c r="T185" i="18"/>
  <c r="F185" i="18" s="1"/>
  <c r="H185" i="18" s="1"/>
  <c r="AS185" i="18"/>
  <c r="AL185" i="18"/>
  <c r="D185" i="18" l="1"/>
  <c r="V185" i="18" s="1"/>
  <c r="M127" i="20"/>
  <c r="V127" i="20"/>
  <c r="U127" i="20"/>
  <c r="O127" i="20"/>
  <c r="I127" i="20"/>
  <c r="N127" i="20"/>
  <c r="H127" i="20"/>
  <c r="Q127" i="20"/>
  <c r="G127" i="20" s="1"/>
  <c r="K127" i="20" s="1"/>
  <c r="E127" i="20"/>
  <c r="X185" i="18"/>
  <c r="B186" i="18" s="1"/>
  <c r="AM185" i="18"/>
  <c r="S127" i="20" l="1"/>
  <c r="F127" i="20"/>
  <c r="T127" i="20" s="1"/>
  <c r="X127" i="20"/>
  <c r="AA127" i="20"/>
  <c r="AB127" i="20" s="1"/>
  <c r="Z127" i="20"/>
  <c r="C186" i="18"/>
  <c r="J186" i="18" s="1"/>
  <c r="N186" i="18"/>
  <c r="L186" i="18"/>
  <c r="AS186" i="18"/>
  <c r="AL186" i="18"/>
  <c r="T186" i="18"/>
  <c r="F186" i="18" s="1"/>
  <c r="H186" i="18" s="1"/>
  <c r="D186" i="18" l="1"/>
  <c r="V186" i="18" s="1"/>
  <c r="D128" i="20"/>
  <c r="J128" i="20" s="1"/>
  <c r="C128" i="20"/>
  <c r="AM186" i="18"/>
  <c r="X186" i="18" l="1"/>
  <c r="B187" i="18" s="1"/>
  <c r="N128" i="20"/>
  <c r="I128" i="20"/>
  <c r="U128" i="20"/>
  <c r="M128" i="20"/>
  <c r="H128" i="20"/>
  <c r="O128" i="20"/>
  <c r="V128" i="20"/>
  <c r="Q128" i="20"/>
  <c r="E128" i="20"/>
  <c r="R187" i="18" l="1"/>
  <c r="AA128" i="20"/>
  <c r="AB128" i="20" s="1"/>
  <c r="X128" i="20" s="1"/>
  <c r="Z128" i="20"/>
  <c r="G128" i="20"/>
  <c r="K128" i="20" s="1"/>
  <c r="S128" i="20" s="1"/>
  <c r="C187" i="18"/>
  <c r="J187" i="18" s="1"/>
  <c r="L187" i="18"/>
  <c r="N187" i="18"/>
  <c r="AL187" i="18"/>
  <c r="T187" i="18"/>
  <c r="F187" i="18" s="1"/>
  <c r="H187" i="18" s="1"/>
  <c r="AS187" i="18"/>
  <c r="D187" i="18" l="1"/>
  <c r="V187" i="18" s="1"/>
  <c r="F128" i="20"/>
  <c r="T128" i="20" s="1"/>
  <c r="AM187" i="18"/>
  <c r="X187" i="18" l="1"/>
  <c r="B188" i="18" s="1"/>
  <c r="D129" i="20"/>
  <c r="J129" i="20" s="1"/>
  <c r="C129" i="20"/>
  <c r="C188" i="18"/>
  <c r="J188" i="18" s="1"/>
  <c r="L188" i="18"/>
  <c r="N188" i="18"/>
  <c r="AL188" i="18"/>
  <c r="AS188" i="18"/>
  <c r="T188" i="18"/>
  <c r="F188" i="18" s="1"/>
  <c r="H188" i="18" l="1"/>
  <c r="D188" i="18"/>
  <c r="N129" i="20"/>
  <c r="O129" i="20"/>
  <c r="R129" i="20"/>
  <c r="I129" i="20"/>
  <c r="E129" i="20"/>
  <c r="F129" i="20" s="1"/>
  <c r="T129" i="20" s="1"/>
  <c r="V129" i="20"/>
  <c r="H129" i="20"/>
  <c r="Q129" i="20"/>
  <c r="G129" i="20" s="1"/>
  <c r="K129" i="20" s="1"/>
  <c r="U129" i="20"/>
  <c r="M129" i="20"/>
  <c r="X188" i="18"/>
  <c r="AM188" i="18"/>
  <c r="D130" i="20" l="1"/>
  <c r="J130" i="20" s="1"/>
  <c r="C130" i="20"/>
  <c r="S129" i="20"/>
  <c r="AA129" i="20"/>
  <c r="AB129" i="20" s="1"/>
  <c r="X129" i="20" s="1"/>
  <c r="Z129" i="20"/>
  <c r="V188" i="18"/>
  <c r="R189" i="18"/>
  <c r="B189" i="18"/>
  <c r="E130" i="20" l="1"/>
  <c r="U130" i="20"/>
  <c r="I130" i="20"/>
  <c r="H130" i="20"/>
  <c r="M130" i="20"/>
  <c r="V130" i="20"/>
  <c r="Q130" i="20"/>
  <c r="G130" i="20" s="1"/>
  <c r="N130" i="20"/>
  <c r="O130" i="20"/>
  <c r="C189" i="18"/>
  <c r="J189" i="18" s="1"/>
  <c r="L189" i="18"/>
  <c r="N189" i="18"/>
  <c r="T189" i="18"/>
  <c r="F189" i="18" s="1"/>
  <c r="H189" i="18" s="1"/>
  <c r="AL189" i="18"/>
  <c r="AS189" i="18"/>
  <c r="D189" i="18" l="1"/>
  <c r="V189" i="18" s="1"/>
  <c r="K130" i="20"/>
  <c r="S130" i="20" s="1"/>
  <c r="F130" i="20"/>
  <c r="T130" i="20" s="1"/>
  <c r="AA130" i="20"/>
  <c r="AB130" i="20" s="1"/>
  <c r="X130" i="20" s="1"/>
  <c r="Z130" i="20"/>
  <c r="X189" i="18"/>
  <c r="B190" i="18" s="1"/>
  <c r="AM189" i="18"/>
  <c r="D131" i="20" l="1"/>
  <c r="J131" i="20" s="1"/>
  <c r="C131" i="20"/>
  <c r="C190" i="18"/>
  <c r="J190" i="18" s="1"/>
  <c r="L190" i="18"/>
  <c r="N190" i="18"/>
  <c r="AL190" i="18"/>
  <c r="AS190" i="18"/>
  <c r="T190" i="18"/>
  <c r="F190" i="18" s="1"/>
  <c r="H190" i="18" l="1"/>
  <c r="D190" i="18"/>
  <c r="N131" i="20"/>
  <c r="H131" i="20"/>
  <c r="E131" i="20"/>
  <c r="Q131" i="20"/>
  <c r="G131" i="20" s="1"/>
  <c r="K131" i="20" s="1"/>
  <c r="I131" i="20"/>
  <c r="V131" i="20"/>
  <c r="M131" i="20"/>
  <c r="U131" i="20"/>
  <c r="O131" i="20"/>
  <c r="X190" i="18"/>
  <c r="AM190" i="18"/>
  <c r="F131" i="20" l="1"/>
  <c r="T131" i="20" s="1"/>
  <c r="AA131" i="20"/>
  <c r="AB131" i="20" s="1"/>
  <c r="X131" i="20" s="1"/>
  <c r="Z131" i="20"/>
  <c r="S131" i="20"/>
  <c r="V190" i="18"/>
  <c r="R191" i="18"/>
  <c r="B191" i="18"/>
  <c r="D132" i="20" l="1"/>
  <c r="J132" i="20" s="1"/>
  <c r="C132" i="20"/>
  <c r="C191" i="18"/>
  <c r="J191" i="18" s="1"/>
  <c r="N191" i="18"/>
  <c r="L191" i="18"/>
  <c r="AS191" i="18"/>
  <c r="AL191" i="18"/>
  <c r="T191" i="18"/>
  <c r="F191" i="18" s="1"/>
  <c r="H191" i="18" s="1"/>
  <c r="D191" i="18" l="1"/>
  <c r="V191" i="18" s="1"/>
  <c r="U132" i="20"/>
  <c r="M132" i="20"/>
  <c r="H132" i="20"/>
  <c r="N132" i="20"/>
  <c r="E132" i="20"/>
  <c r="O132" i="20"/>
  <c r="V132" i="20"/>
  <c r="Q132" i="20"/>
  <c r="G132" i="20" s="1"/>
  <c r="K132" i="20" s="1"/>
  <c r="I132" i="20"/>
  <c r="X191" i="18"/>
  <c r="B192" i="18" s="1"/>
  <c r="AM191" i="18"/>
  <c r="S132" i="20" l="1"/>
  <c r="F132" i="20"/>
  <c r="T132" i="20" s="1"/>
  <c r="AA132" i="20"/>
  <c r="AB132" i="20" s="1"/>
  <c r="X132" i="20" s="1"/>
  <c r="Z132" i="20"/>
  <c r="C192" i="18"/>
  <c r="J192" i="18" s="1"/>
  <c r="N192" i="18"/>
  <c r="L192" i="18"/>
  <c r="AS192" i="18"/>
  <c r="T192" i="18"/>
  <c r="F192" i="18" s="1"/>
  <c r="H192" i="18" s="1"/>
  <c r="AL192" i="18"/>
  <c r="D192" i="18" s="1"/>
  <c r="V192" i="18" l="1"/>
  <c r="D133" i="20"/>
  <c r="J133" i="20" s="1"/>
  <c r="C133" i="20"/>
  <c r="X192" i="18"/>
  <c r="AM192" i="18"/>
  <c r="V133" i="20" l="1"/>
  <c r="N133" i="20"/>
  <c r="Q133" i="20"/>
  <c r="G133" i="20" s="1"/>
  <c r="K133" i="20" s="1"/>
  <c r="I133" i="20"/>
  <c r="U133" i="20"/>
  <c r="E133" i="20"/>
  <c r="O133" i="20"/>
  <c r="M133" i="20"/>
  <c r="H133" i="20"/>
  <c r="R193" i="18"/>
  <c r="B193" i="18"/>
  <c r="F133" i="20" l="1"/>
  <c r="T133" i="20" s="1"/>
  <c r="D134" i="20" s="1"/>
  <c r="J134" i="20" s="1"/>
  <c r="S133" i="20"/>
  <c r="AA133" i="20"/>
  <c r="AB133" i="20" s="1"/>
  <c r="X133" i="20" s="1"/>
  <c r="Z133" i="20"/>
  <c r="C193" i="18"/>
  <c r="J193" i="18" s="1"/>
  <c r="N193" i="18"/>
  <c r="L193" i="18"/>
  <c r="AL193" i="18"/>
  <c r="AS193" i="18"/>
  <c r="T193" i="18"/>
  <c r="F193" i="18" s="1"/>
  <c r="H193" i="18" s="1"/>
  <c r="C134" i="20" l="1"/>
  <c r="O134" i="20" s="1"/>
  <c r="D193" i="18"/>
  <c r="V193" i="18" s="1"/>
  <c r="V134" i="20"/>
  <c r="I134" i="20"/>
  <c r="N134" i="20"/>
  <c r="E134" i="20"/>
  <c r="U134" i="20"/>
  <c r="X193" i="18"/>
  <c r="B194" i="18" s="1"/>
  <c r="AM193" i="18"/>
  <c r="H134" i="20" l="1"/>
  <c r="M134" i="20"/>
  <c r="Q134" i="20"/>
  <c r="G134" i="20" s="1"/>
  <c r="F134" i="20" s="1"/>
  <c r="T134" i="20" s="1"/>
  <c r="K134" i="20"/>
  <c r="S134" i="20" s="1"/>
  <c r="AA134" i="20"/>
  <c r="Z134" i="20"/>
  <c r="C194" i="18"/>
  <c r="J194" i="18" s="1"/>
  <c r="N194" i="18"/>
  <c r="L194" i="18"/>
  <c r="AS194" i="18"/>
  <c r="T194" i="18"/>
  <c r="F194" i="18" s="1"/>
  <c r="H194" i="18" s="1"/>
  <c r="AL194" i="18"/>
  <c r="AB134" i="20" l="1"/>
  <c r="X134" i="20" s="1"/>
  <c r="D194" i="18"/>
  <c r="V194" i="18" s="1"/>
  <c r="D135" i="20"/>
  <c r="J135" i="20" s="1"/>
  <c r="C135" i="20"/>
  <c r="X194" i="18"/>
  <c r="AM194" i="18"/>
  <c r="Q135" i="20" l="1"/>
  <c r="V135" i="20"/>
  <c r="U135" i="20"/>
  <c r="M135" i="20"/>
  <c r="N135" i="20"/>
  <c r="I135" i="20"/>
  <c r="G135" i="20"/>
  <c r="K135" i="20" s="1"/>
  <c r="O135" i="20"/>
  <c r="E135" i="20"/>
  <c r="H135" i="20"/>
  <c r="R195" i="18"/>
  <c r="B195" i="18"/>
  <c r="S135" i="20" l="1"/>
  <c r="AA135" i="20"/>
  <c r="AB135" i="20" s="1"/>
  <c r="X135" i="20" s="1"/>
  <c r="Z135" i="20"/>
  <c r="F135" i="20"/>
  <c r="T135" i="20" s="1"/>
  <c r="C195" i="18"/>
  <c r="J195" i="18" s="1"/>
  <c r="L195" i="18"/>
  <c r="N195" i="18"/>
  <c r="T195" i="18"/>
  <c r="F195" i="18" s="1"/>
  <c r="AL195" i="18"/>
  <c r="AS195" i="18"/>
  <c r="H195" i="18" l="1"/>
  <c r="D195" i="18"/>
  <c r="D136" i="20"/>
  <c r="J136" i="20" s="1"/>
  <c r="C136" i="20"/>
  <c r="X195" i="18"/>
  <c r="B196" i="18" s="1"/>
  <c r="AM195" i="18"/>
  <c r="U136" i="20" l="1"/>
  <c r="Q136" i="20"/>
  <c r="I136" i="20"/>
  <c r="H136" i="20"/>
  <c r="M136" i="20"/>
  <c r="E136" i="20"/>
  <c r="F136" i="20" s="1"/>
  <c r="T136" i="20" s="1"/>
  <c r="G136" i="20"/>
  <c r="K136" i="20" s="1"/>
  <c r="O136" i="20"/>
  <c r="V136" i="20"/>
  <c r="N136" i="20"/>
  <c r="V195" i="18"/>
  <c r="C196" i="18"/>
  <c r="J196" i="18" s="1"/>
  <c r="L196" i="18"/>
  <c r="N196" i="18"/>
  <c r="AS196" i="18"/>
  <c r="U196" i="18"/>
  <c r="T196" i="18"/>
  <c r="F196" i="18" s="1"/>
  <c r="AL196" i="18"/>
  <c r="D137" i="20" l="1"/>
  <c r="J137" i="20" s="1"/>
  <c r="C137" i="20"/>
  <c r="H196" i="18"/>
  <c r="D196" i="18"/>
  <c r="S136" i="20"/>
  <c r="AA136" i="20"/>
  <c r="AB136" i="20" s="1"/>
  <c r="X136" i="20" s="1"/>
  <c r="Z136" i="20"/>
  <c r="AM196" i="18"/>
  <c r="V196" i="18" l="1"/>
  <c r="Q137" i="20"/>
  <c r="G137" i="20" s="1"/>
  <c r="K137" i="20" s="1"/>
  <c r="H137" i="20"/>
  <c r="E137" i="20"/>
  <c r="I137" i="20"/>
  <c r="V137" i="20"/>
  <c r="N137" i="20"/>
  <c r="O137" i="20"/>
  <c r="U137" i="20"/>
  <c r="M137" i="20"/>
  <c r="X196" i="18"/>
  <c r="B197" i="18" s="1"/>
  <c r="S137" i="20" l="1"/>
  <c r="F137" i="20"/>
  <c r="T137" i="20" s="1"/>
  <c r="R197" i="18"/>
  <c r="D138" i="20"/>
  <c r="J138" i="20" s="1"/>
  <c r="C138" i="20"/>
  <c r="AA137" i="20"/>
  <c r="Z137" i="20"/>
  <c r="C197" i="18"/>
  <c r="J197" i="18" s="1"/>
  <c r="L197" i="18"/>
  <c r="N197" i="18"/>
  <c r="AS197" i="18"/>
  <c r="AL197" i="18"/>
  <c r="T197" i="18"/>
  <c r="F197" i="18" s="1"/>
  <c r="AB137" i="20" l="1"/>
  <c r="X137" i="20" s="1"/>
  <c r="H197" i="18"/>
  <c r="D197" i="18"/>
  <c r="V138" i="20"/>
  <c r="H138" i="20"/>
  <c r="O138" i="20"/>
  <c r="Q138" i="20"/>
  <c r="G138" i="20" s="1"/>
  <c r="K138" i="20" s="1"/>
  <c r="M138" i="20"/>
  <c r="U138" i="20"/>
  <c r="N138" i="20"/>
  <c r="E138" i="20"/>
  <c r="I138" i="20"/>
  <c r="X197" i="18"/>
  <c r="B198" i="18" s="1"/>
  <c r="AM197" i="18"/>
  <c r="F138" i="20" l="1"/>
  <c r="T138" i="20" s="1"/>
  <c r="S138" i="20"/>
  <c r="AA138" i="20"/>
  <c r="Z138" i="20"/>
  <c r="V197" i="18"/>
  <c r="C198" i="18"/>
  <c r="J198" i="18" s="1"/>
  <c r="L198" i="18"/>
  <c r="N198" i="18"/>
  <c r="T198" i="18"/>
  <c r="F198" i="18" s="1"/>
  <c r="H198" i="18" s="1"/>
  <c r="AS198" i="18"/>
  <c r="AL198" i="18"/>
  <c r="D198" i="18" s="1"/>
  <c r="AB138" i="20" l="1"/>
  <c r="X138" i="20" s="1"/>
  <c r="V198" i="18"/>
  <c r="D139" i="20"/>
  <c r="J139" i="20" s="1"/>
  <c r="C139" i="20"/>
  <c r="X198" i="18"/>
  <c r="AM198" i="18"/>
  <c r="I139" i="20" l="1"/>
  <c r="U139" i="20"/>
  <c r="H139" i="20"/>
  <c r="Q139" i="20"/>
  <c r="G139" i="20" s="1"/>
  <c r="K139" i="20" s="1"/>
  <c r="E139" i="20"/>
  <c r="O139" i="20"/>
  <c r="N139" i="20"/>
  <c r="M139" i="20"/>
  <c r="V139" i="20"/>
  <c r="R199" i="18"/>
  <c r="B199" i="18"/>
  <c r="F139" i="20" l="1"/>
  <c r="T139" i="20" s="1"/>
  <c r="AA139" i="20"/>
  <c r="AB139" i="20" s="1"/>
  <c r="X139" i="20" s="1"/>
  <c r="Z139" i="20"/>
  <c r="S139" i="20"/>
  <c r="C199" i="18"/>
  <c r="J199" i="18" s="1"/>
  <c r="N199" i="18"/>
  <c r="L199" i="18"/>
  <c r="AS199" i="18"/>
  <c r="T199" i="18"/>
  <c r="F199" i="18" s="1"/>
  <c r="AL199" i="18"/>
  <c r="H199" i="18" l="1"/>
  <c r="D199" i="18"/>
  <c r="X199" i="18" s="1"/>
  <c r="B200" i="18" s="1"/>
  <c r="D140" i="20"/>
  <c r="J140" i="20" s="1"/>
  <c r="C140" i="20"/>
  <c r="AM199" i="18"/>
  <c r="M140" i="20" l="1"/>
  <c r="H140" i="20"/>
  <c r="O140" i="20"/>
  <c r="V140" i="20"/>
  <c r="U140" i="20"/>
  <c r="E140" i="20"/>
  <c r="F140" i="20" s="1"/>
  <c r="T140" i="20" s="1"/>
  <c r="I140" i="20"/>
  <c r="N140" i="20"/>
  <c r="Q140" i="20"/>
  <c r="G140" i="20" s="1"/>
  <c r="K140" i="20" s="1"/>
  <c r="V199" i="18"/>
  <c r="C200" i="18"/>
  <c r="J200" i="18" s="1"/>
  <c r="N200" i="18"/>
  <c r="L200" i="18"/>
  <c r="AL200" i="18"/>
  <c r="AS200" i="18"/>
  <c r="T200" i="18"/>
  <c r="F200" i="18" s="1"/>
  <c r="H200" i="18" s="1"/>
  <c r="D200" i="18" l="1"/>
  <c r="V200" i="18" s="1"/>
  <c r="D141" i="20"/>
  <c r="J141" i="20" s="1"/>
  <c r="C141" i="20"/>
  <c r="S140" i="20"/>
  <c r="AA140" i="20"/>
  <c r="AB140" i="20" s="1"/>
  <c r="X140" i="20" s="1"/>
  <c r="Z140" i="20"/>
  <c r="X200" i="18"/>
  <c r="AM200" i="18"/>
  <c r="V141" i="20" l="1"/>
  <c r="H141" i="20"/>
  <c r="I141" i="20"/>
  <c r="N141" i="20"/>
  <c r="Q141" i="20"/>
  <c r="G141" i="20" s="1"/>
  <c r="M141" i="20"/>
  <c r="E141" i="20"/>
  <c r="R141" i="20"/>
  <c r="U141" i="20"/>
  <c r="O141" i="20"/>
  <c r="R201" i="18"/>
  <c r="B201" i="18"/>
  <c r="K141" i="20" l="1"/>
  <c r="S141" i="20" s="1"/>
  <c r="F141" i="20"/>
  <c r="T141" i="20" s="1"/>
  <c r="AA141" i="20"/>
  <c r="AB141" i="20" s="1"/>
  <c r="X141" i="20" s="1"/>
  <c r="Z141" i="20"/>
  <c r="C201" i="18"/>
  <c r="J201" i="18" s="1"/>
  <c r="N201" i="18"/>
  <c r="L201" i="18"/>
  <c r="AL201" i="18"/>
  <c r="T201" i="18"/>
  <c r="F201" i="18" s="1"/>
  <c r="H201" i="18" s="1"/>
  <c r="AS201" i="18"/>
  <c r="D201" i="18" l="1"/>
  <c r="V201" i="18" s="1"/>
  <c r="D142" i="20"/>
  <c r="J142" i="20" s="1"/>
  <c r="C142" i="20"/>
  <c r="X201" i="18"/>
  <c r="B202" i="18" s="1"/>
  <c r="AM201" i="18"/>
  <c r="I142" i="20" l="1"/>
  <c r="M142" i="20"/>
  <c r="Q142" i="20"/>
  <c r="G142" i="20" s="1"/>
  <c r="K142" i="20" s="1"/>
  <c r="E142" i="20"/>
  <c r="N142" i="20"/>
  <c r="V142" i="20"/>
  <c r="O142" i="20"/>
  <c r="U142" i="20"/>
  <c r="H142" i="20"/>
  <c r="C202" i="18"/>
  <c r="J202" i="18" s="1"/>
  <c r="N202" i="18"/>
  <c r="L202" i="18"/>
  <c r="T202" i="18"/>
  <c r="F202" i="18" s="1"/>
  <c r="AL202" i="18"/>
  <c r="AS202" i="18"/>
  <c r="F142" i="20" l="1"/>
  <c r="T142" i="20" s="1"/>
  <c r="D143" i="20" s="1"/>
  <c r="J143" i="20" s="1"/>
  <c r="H202" i="18"/>
  <c r="D202" i="18"/>
  <c r="X202" i="18" s="1"/>
  <c r="S142" i="20"/>
  <c r="AA142" i="20"/>
  <c r="AB142" i="20" s="1"/>
  <c r="X142" i="20" s="1"/>
  <c r="Z142" i="20"/>
  <c r="AM202" i="18"/>
  <c r="C143" i="20" l="1"/>
  <c r="V202" i="18"/>
  <c r="O143" i="20"/>
  <c r="I143" i="20"/>
  <c r="U143" i="20"/>
  <c r="V143" i="20"/>
  <c r="Q143" i="20"/>
  <c r="G143" i="20" s="1"/>
  <c r="K143" i="20" s="1"/>
  <c r="M143" i="20"/>
  <c r="H143" i="20"/>
  <c r="E143" i="20"/>
  <c r="N143" i="20"/>
  <c r="R203" i="18"/>
  <c r="B203" i="18"/>
  <c r="S143" i="20" l="1"/>
  <c r="F143" i="20"/>
  <c r="T143" i="20" s="1"/>
  <c r="AA143" i="20"/>
  <c r="AB143" i="20" s="1"/>
  <c r="X143" i="20" s="1"/>
  <c r="Z143" i="20"/>
  <c r="C203" i="18"/>
  <c r="J203" i="18" s="1"/>
  <c r="L203" i="18"/>
  <c r="N203" i="18"/>
  <c r="T203" i="18"/>
  <c r="F203" i="18" s="1"/>
  <c r="H203" i="18" s="1"/>
  <c r="AL203" i="18"/>
  <c r="AS203" i="18"/>
  <c r="D203" i="18" l="1"/>
  <c r="V203" i="18" s="1"/>
  <c r="D144" i="20"/>
  <c r="J144" i="20" s="1"/>
  <c r="C144" i="20"/>
  <c r="X203" i="18"/>
  <c r="B204" i="18" s="1"/>
  <c r="AM203" i="18"/>
  <c r="U144" i="20" l="1"/>
  <c r="M144" i="20"/>
  <c r="V144" i="20"/>
  <c r="O144" i="20"/>
  <c r="I144" i="20"/>
  <c r="H144" i="20"/>
  <c r="N144" i="20"/>
  <c r="E144" i="20"/>
  <c r="Q144" i="20"/>
  <c r="G144" i="20" s="1"/>
  <c r="K144" i="20" s="1"/>
  <c r="C204" i="18"/>
  <c r="J204" i="18" s="1"/>
  <c r="L204" i="18"/>
  <c r="N204" i="18"/>
  <c r="AL204" i="18"/>
  <c r="T204" i="18"/>
  <c r="F204" i="18" s="1"/>
  <c r="H204" i="18" s="1"/>
  <c r="AS204" i="18"/>
  <c r="S144" i="20" l="1"/>
  <c r="D204" i="18"/>
  <c r="V204" i="18" s="1"/>
  <c r="X144" i="20"/>
  <c r="AA144" i="20"/>
  <c r="AB144" i="20" s="1"/>
  <c r="Z144" i="20"/>
  <c r="F144" i="20"/>
  <c r="T144" i="20" s="1"/>
  <c r="X204" i="18"/>
  <c r="AM204" i="18"/>
  <c r="D145" i="20" l="1"/>
  <c r="J145" i="20" s="1"/>
  <c r="C145" i="20"/>
  <c r="R205" i="18"/>
  <c r="B205" i="18"/>
  <c r="Q145" i="20" l="1"/>
  <c r="G145" i="20" s="1"/>
  <c r="K145" i="20" s="1"/>
  <c r="O145" i="20"/>
  <c r="M145" i="20"/>
  <c r="N145" i="20"/>
  <c r="E145" i="20"/>
  <c r="I145" i="20"/>
  <c r="U145" i="20"/>
  <c r="V145" i="20"/>
  <c r="H145" i="20"/>
  <c r="C205" i="18"/>
  <c r="J205" i="18"/>
  <c r="L205" i="18"/>
  <c r="N205" i="18"/>
  <c r="AS205" i="18"/>
  <c r="T205" i="18"/>
  <c r="F205" i="18" s="1"/>
  <c r="H205" i="18" s="1"/>
  <c r="AL205" i="18"/>
  <c r="S145" i="20" l="1"/>
  <c r="D205" i="18"/>
  <c r="V205" i="18" s="1"/>
  <c r="AA145" i="20"/>
  <c r="AB145" i="20" s="1"/>
  <c r="X145" i="20" s="1"/>
  <c r="Z145" i="20"/>
  <c r="F145" i="20"/>
  <c r="T145" i="20" s="1"/>
  <c r="X205" i="18"/>
  <c r="B206" i="18" s="1"/>
  <c r="AM205" i="18"/>
  <c r="D146" i="20" l="1"/>
  <c r="J146" i="20" s="1"/>
  <c r="C146" i="20"/>
  <c r="C206" i="18"/>
  <c r="J206" i="18" s="1"/>
  <c r="L206" i="18"/>
  <c r="N206" i="18"/>
  <c r="T206" i="18"/>
  <c r="F206" i="18" s="1"/>
  <c r="H206" i="18" s="1"/>
  <c r="AL206" i="18"/>
  <c r="AS206" i="18"/>
  <c r="D206" i="18" l="1"/>
  <c r="V206" i="18" s="1"/>
  <c r="E146" i="20"/>
  <c r="V146" i="20"/>
  <c r="N146" i="20"/>
  <c r="O146" i="20"/>
  <c r="I146" i="20"/>
  <c r="H146" i="20"/>
  <c r="Q146" i="20"/>
  <c r="G146" i="20" s="1"/>
  <c r="K146" i="20" s="1"/>
  <c r="M146" i="20"/>
  <c r="U146" i="20"/>
  <c r="X206" i="18"/>
  <c r="AM206" i="18"/>
  <c r="F146" i="20" l="1"/>
  <c r="T146" i="20" s="1"/>
  <c r="AA146" i="20"/>
  <c r="AB146" i="20" s="1"/>
  <c r="X146" i="20" s="1"/>
  <c r="Z146" i="20"/>
  <c r="S146" i="20"/>
  <c r="R207" i="18"/>
  <c r="B207" i="18"/>
  <c r="D147" i="20" l="1"/>
  <c r="J147" i="20" s="1"/>
  <c r="C147" i="20"/>
  <c r="C207" i="18"/>
  <c r="J207" i="18" s="1"/>
  <c r="N207" i="18"/>
  <c r="L207" i="18"/>
  <c r="F207" i="18"/>
  <c r="H207" i="18" s="1"/>
  <c r="AS207" i="18"/>
  <c r="AL207" i="18"/>
  <c r="D207" i="18" s="1"/>
  <c r="T207" i="18"/>
  <c r="V207" i="18" l="1"/>
  <c r="E147" i="20"/>
  <c r="Q147" i="20"/>
  <c r="G147" i="20" s="1"/>
  <c r="V147" i="20"/>
  <c r="M147" i="20"/>
  <c r="I147" i="20"/>
  <c r="O147" i="20"/>
  <c r="N147" i="20"/>
  <c r="U147" i="20"/>
  <c r="H147" i="20"/>
  <c r="X207" i="18"/>
  <c r="B208" i="18" s="1"/>
  <c r="AM207" i="18"/>
  <c r="K147" i="20" l="1"/>
  <c r="S147" i="20" s="1"/>
  <c r="F147" i="20"/>
  <c r="T147" i="20" s="1"/>
  <c r="AA147" i="20"/>
  <c r="Z147" i="20"/>
  <c r="C208" i="18"/>
  <c r="J208" i="18" s="1"/>
  <c r="N208" i="18"/>
  <c r="L208" i="18"/>
  <c r="U208" i="18"/>
  <c r="T208" i="18"/>
  <c r="F208" i="18" s="1"/>
  <c r="H208" i="18" s="1"/>
  <c r="AL208" i="18"/>
  <c r="AS208" i="18"/>
  <c r="AB147" i="20" l="1"/>
  <c r="X147" i="20" s="1"/>
  <c r="D208" i="18"/>
  <c r="V208" i="18" s="1"/>
  <c r="D148" i="20"/>
  <c r="J148" i="20" s="1"/>
  <c r="C148" i="20"/>
  <c r="X208" i="18"/>
  <c r="AM208" i="18"/>
  <c r="Q148" i="20" l="1"/>
  <c r="V148" i="20"/>
  <c r="M148" i="20"/>
  <c r="O148" i="20"/>
  <c r="E148" i="20"/>
  <c r="U148" i="20"/>
  <c r="I148" i="20"/>
  <c r="H148" i="20"/>
  <c r="G148" i="20"/>
  <c r="K148" i="20" s="1"/>
  <c r="N148" i="20"/>
  <c r="R209" i="18"/>
  <c r="B209" i="18"/>
  <c r="S148" i="20" l="1"/>
  <c r="AA148" i="20"/>
  <c r="Z148" i="20"/>
  <c r="F148" i="20"/>
  <c r="T148" i="20" s="1"/>
  <c r="C209" i="18"/>
  <c r="J209" i="18" s="1"/>
  <c r="N209" i="18"/>
  <c r="L209" i="18"/>
  <c r="AL209" i="18"/>
  <c r="T209" i="18"/>
  <c r="F209" i="18" s="1"/>
  <c r="H209" i="18" s="1"/>
  <c r="AS209" i="18"/>
  <c r="AB148" i="20" l="1"/>
  <c r="X148" i="20" s="1"/>
  <c r="D209" i="18"/>
  <c r="V209" i="18" s="1"/>
  <c r="D149" i="20"/>
  <c r="J149" i="20" s="1"/>
  <c r="C149" i="20"/>
  <c r="X209" i="18"/>
  <c r="B210" i="18" s="1"/>
  <c r="AM209" i="18"/>
  <c r="I149" i="20" l="1"/>
  <c r="Q149" i="20"/>
  <c r="G149" i="20" s="1"/>
  <c r="V149" i="20"/>
  <c r="U149" i="20"/>
  <c r="N149" i="20"/>
  <c r="M149" i="20"/>
  <c r="O149" i="20"/>
  <c r="E149" i="20"/>
  <c r="H149" i="20"/>
  <c r="C210" i="18"/>
  <c r="J210" i="18" s="1"/>
  <c r="N210" i="18"/>
  <c r="L210" i="18"/>
  <c r="T210" i="18"/>
  <c r="F210" i="18" s="1"/>
  <c r="H210" i="18" s="1"/>
  <c r="AS210" i="18"/>
  <c r="AL210" i="18"/>
  <c r="D210" i="18" l="1"/>
  <c r="V210" i="18" s="1"/>
  <c r="K149" i="20"/>
  <c r="S149" i="20" s="1"/>
  <c r="F149" i="20"/>
  <c r="T149" i="20" s="1"/>
  <c r="AA149" i="20"/>
  <c r="AB149" i="20" s="1"/>
  <c r="X149" i="20" s="1"/>
  <c r="Z149" i="20"/>
  <c r="X210" i="18"/>
  <c r="AM210" i="18"/>
  <c r="D150" i="20" l="1"/>
  <c r="J150" i="20" s="1"/>
  <c r="C150" i="20"/>
  <c r="R211" i="18"/>
  <c r="B211" i="18"/>
  <c r="Q150" i="20" l="1"/>
  <c r="G150" i="20" s="1"/>
  <c r="K150" i="20" s="1"/>
  <c r="V150" i="20"/>
  <c r="H150" i="20"/>
  <c r="M150" i="20"/>
  <c r="N150" i="20"/>
  <c r="E150" i="20"/>
  <c r="F150" i="20" s="1"/>
  <c r="T150" i="20" s="1"/>
  <c r="I150" i="20"/>
  <c r="U150" i="20"/>
  <c r="O150" i="20"/>
  <c r="C211" i="18"/>
  <c r="J211" i="18" s="1"/>
  <c r="L211" i="18"/>
  <c r="N211" i="18"/>
  <c r="AS211" i="18"/>
  <c r="AL211" i="18"/>
  <c r="T211" i="18"/>
  <c r="F211" i="18" s="1"/>
  <c r="H211" i="18" s="1"/>
  <c r="D211" i="18" l="1"/>
  <c r="V211" i="18" s="1"/>
  <c r="D151" i="20"/>
  <c r="J151" i="20" s="1"/>
  <c r="C151" i="20"/>
  <c r="X150" i="20"/>
  <c r="AA150" i="20"/>
  <c r="AB150" i="20" s="1"/>
  <c r="Z150" i="20"/>
  <c r="S150" i="20"/>
  <c r="X211" i="18"/>
  <c r="B212" i="18" s="1"/>
  <c r="AM211" i="18"/>
  <c r="N151" i="20" l="1"/>
  <c r="E151" i="20"/>
  <c r="O151" i="20"/>
  <c r="I151" i="20"/>
  <c r="Q151" i="20"/>
  <c r="G151" i="20" s="1"/>
  <c r="K151" i="20" s="1"/>
  <c r="H151" i="20"/>
  <c r="M151" i="20"/>
  <c r="V151" i="20"/>
  <c r="U151" i="20"/>
  <c r="C212" i="18"/>
  <c r="J212" i="18" s="1"/>
  <c r="L212" i="18"/>
  <c r="N212" i="18"/>
  <c r="AL212" i="18"/>
  <c r="T212" i="18"/>
  <c r="F212" i="18" s="1"/>
  <c r="H212" i="18" s="1"/>
  <c r="AS212" i="18"/>
  <c r="S151" i="20" l="1"/>
  <c r="F151" i="20"/>
  <c r="T151" i="20" s="1"/>
  <c r="D212" i="18"/>
  <c r="V212" i="18" s="1"/>
  <c r="AA151" i="20"/>
  <c r="Z151" i="20"/>
  <c r="X212" i="18"/>
  <c r="AM212" i="18"/>
  <c r="AB151" i="20" l="1"/>
  <c r="X151" i="20" s="1"/>
  <c r="D152" i="20"/>
  <c r="J152" i="20" s="1"/>
  <c r="C152" i="20"/>
  <c r="R213" i="18"/>
  <c r="B213" i="18"/>
  <c r="N152" i="20" l="1"/>
  <c r="E152" i="20"/>
  <c r="U152" i="20"/>
  <c r="M152" i="20"/>
  <c r="Q152" i="20"/>
  <c r="G152" i="20" s="1"/>
  <c r="K152" i="20" s="1"/>
  <c r="V152" i="20"/>
  <c r="H152" i="20"/>
  <c r="O152" i="20"/>
  <c r="I152" i="20"/>
  <c r="C213" i="18"/>
  <c r="J213" i="18" s="1"/>
  <c r="L213" i="18"/>
  <c r="N213" i="18"/>
  <c r="T213" i="18"/>
  <c r="F213" i="18" s="1"/>
  <c r="H213" i="18" s="1"/>
  <c r="AS213" i="18"/>
  <c r="AL213" i="18"/>
  <c r="F152" i="20" l="1"/>
  <c r="T152" i="20" s="1"/>
  <c r="D213" i="18"/>
  <c r="V213" i="18" s="1"/>
  <c r="S152" i="20"/>
  <c r="AA152" i="20"/>
  <c r="Z152" i="20"/>
  <c r="X213" i="18"/>
  <c r="B214" i="18" s="1"/>
  <c r="AM213" i="18"/>
  <c r="AB152" i="20" l="1"/>
  <c r="X152" i="20" s="1"/>
  <c r="D153" i="20"/>
  <c r="J153" i="20" s="1"/>
  <c r="C153" i="20"/>
  <c r="C214" i="18"/>
  <c r="J214" i="18" s="1"/>
  <c r="L214" i="18"/>
  <c r="N214" i="18"/>
  <c r="AL214" i="18"/>
  <c r="T214" i="18"/>
  <c r="F214" i="18" s="1"/>
  <c r="AS214" i="18"/>
  <c r="H214" i="18" l="1"/>
  <c r="D214" i="18"/>
  <c r="U153" i="20"/>
  <c r="N153" i="20"/>
  <c r="I153" i="20"/>
  <c r="Q153" i="20"/>
  <c r="G153" i="20" s="1"/>
  <c r="K153" i="20" s="1"/>
  <c r="O153" i="20"/>
  <c r="V153" i="20"/>
  <c r="H153" i="20"/>
  <c r="E153" i="20"/>
  <c r="R153" i="20"/>
  <c r="M153" i="20"/>
  <c r="X214" i="18"/>
  <c r="AM214" i="18"/>
  <c r="F153" i="20" l="1"/>
  <c r="T153" i="20" s="1"/>
  <c r="S153" i="20"/>
  <c r="V214" i="18"/>
  <c r="AA153" i="20"/>
  <c r="AB153" i="20" s="1"/>
  <c r="X153" i="20" s="1"/>
  <c r="Z153" i="20"/>
  <c r="R215" i="18"/>
  <c r="B215" i="18"/>
  <c r="D154" i="20" l="1"/>
  <c r="J154" i="20" s="1"/>
  <c r="C154" i="20"/>
  <c r="C215" i="18"/>
  <c r="J215" i="18" s="1"/>
  <c r="N215" i="18"/>
  <c r="L215" i="18"/>
  <c r="AS215" i="18"/>
  <c r="AL215" i="18"/>
  <c r="T215" i="18"/>
  <c r="F215" i="18" s="1"/>
  <c r="H215" i="18" s="1"/>
  <c r="D215" i="18" l="1"/>
  <c r="V215" i="18" s="1"/>
  <c r="M154" i="20"/>
  <c r="U154" i="20"/>
  <c r="E154" i="20"/>
  <c r="N154" i="20"/>
  <c r="I154" i="20"/>
  <c r="O154" i="20"/>
  <c r="V154" i="20"/>
  <c r="H154" i="20"/>
  <c r="Q154" i="20"/>
  <c r="G154" i="20" s="1"/>
  <c r="K154" i="20" s="1"/>
  <c r="X215" i="18"/>
  <c r="B216" i="18" s="1"/>
  <c r="AM215" i="18"/>
  <c r="F154" i="20" l="1"/>
  <c r="T154" i="20" s="1"/>
  <c r="S154" i="20"/>
  <c r="AA154" i="20"/>
  <c r="AB154" i="20" s="1"/>
  <c r="X154" i="20" s="1"/>
  <c r="Z154" i="20"/>
  <c r="C216" i="18"/>
  <c r="J216" i="18" s="1"/>
  <c r="N216" i="18"/>
  <c r="L216" i="18"/>
  <c r="T216" i="18"/>
  <c r="F216" i="18" s="1"/>
  <c r="H216" i="18" s="1"/>
  <c r="AL216" i="18"/>
  <c r="AS216" i="18"/>
  <c r="D216" i="18" l="1"/>
  <c r="V216" i="18" s="1"/>
  <c r="D155" i="20"/>
  <c r="J155" i="20" s="1"/>
  <c r="C155" i="20"/>
  <c r="X216" i="18"/>
  <c r="AM216" i="18"/>
  <c r="E155" i="20" l="1"/>
  <c r="U155" i="20"/>
  <c r="V155" i="20"/>
  <c r="N155" i="20"/>
  <c r="Q155" i="20"/>
  <c r="G155" i="20" s="1"/>
  <c r="M155" i="20"/>
  <c r="I155" i="20"/>
  <c r="H155" i="20"/>
  <c r="O155" i="20"/>
  <c r="R217" i="18"/>
  <c r="B217" i="18"/>
  <c r="K155" i="20" l="1"/>
  <c r="S155" i="20" s="1"/>
  <c r="F155" i="20"/>
  <c r="T155" i="20" s="1"/>
  <c r="AA155" i="20"/>
  <c r="AB155" i="20" s="1"/>
  <c r="X155" i="20" s="1"/>
  <c r="Z155" i="20"/>
  <c r="C217" i="18"/>
  <c r="J217" i="18" s="1"/>
  <c r="N217" i="18"/>
  <c r="L217" i="18"/>
  <c r="AS217" i="18"/>
  <c r="AL217" i="18"/>
  <c r="T217" i="18"/>
  <c r="F217" i="18" s="1"/>
  <c r="H217" i="18" l="1"/>
  <c r="D217" i="18"/>
  <c r="D156" i="20"/>
  <c r="J156" i="20" s="1"/>
  <c r="C156" i="20"/>
  <c r="X217" i="18"/>
  <c r="B218" i="18" s="1"/>
  <c r="AM217" i="18"/>
  <c r="Q156" i="20" l="1"/>
  <c r="G156" i="20" s="1"/>
  <c r="K156" i="20" s="1"/>
  <c r="H156" i="20"/>
  <c r="E156" i="20"/>
  <c r="U156" i="20"/>
  <c r="M156" i="20"/>
  <c r="O156" i="20"/>
  <c r="V156" i="20"/>
  <c r="I156" i="20"/>
  <c r="S156" i="20" s="1"/>
  <c r="N156" i="20"/>
  <c r="V217" i="18"/>
  <c r="C218" i="18"/>
  <c r="J218" i="18" s="1"/>
  <c r="N218" i="18"/>
  <c r="L218" i="18"/>
  <c r="T218" i="18"/>
  <c r="F218" i="18" s="1"/>
  <c r="H218" i="18" s="1"/>
  <c r="AS218" i="18"/>
  <c r="AL218" i="18"/>
  <c r="F156" i="20" l="1"/>
  <c r="T156" i="20" s="1"/>
  <c r="D157" i="20" s="1"/>
  <c r="J157" i="20" s="1"/>
  <c r="D218" i="18"/>
  <c r="V218" i="18" s="1"/>
  <c r="AA156" i="20"/>
  <c r="AB156" i="20" s="1"/>
  <c r="X156" i="20" s="1"/>
  <c r="Z156" i="20"/>
  <c r="X218" i="18"/>
  <c r="AM218" i="18"/>
  <c r="C157" i="20" l="1"/>
  <c r="E157" i="20" s="1"/>
  <c r="N157" i="20"/>
  <c r="H157" i="20"/>
  <c r="V157" i="20"/>
  <c r="Q157" i="20"/>
  <c r="G157" i="20" s="1"/>
  <c r="I157" i="20"/>
  <c r="O157" i="20"/>
  <c r="M157" i="20"/>
  <c r="R219" i="18"/>
  <c r="B219" i="18"/>
  <c r="U157" i="20" l="1"/>
  <c r="K157" i="20"/>
  <c r="S157" i="20" s="1"/>
  <c r="F157" i="20"/>
  <c r="T157" i="20" s="1"/>
  <c r="AA157" i="20"/>
  <c r="AB157" i="20" s="1"/>
  <c r="X157" i="20" s="1"/>
  <c r="Z157" i="20"/>
  <c r="C219" i="18"/>
  <c r="J219" i="18" s="1"/>
  <c r="L219" i="18"/>
  <c r="N219" i="18"/>
  <c r="AL219" i="18"/>
  <c r="AS219" i="18"/>
  <c r="T219" i="18"/>
  <c r="F219" i="18" s="1"/>
  <c r="H219" i="18" s="1"/>
  <c r="D219" i="18" l="1"/>
  <c r="V219" i="18" s="1"/>
  <c r="D158" i="20"/>
  <c r="J158" i="20" s="1"/>
  <c r="C158" i="20"/>
  <c r="X219" i="18"/>
  <c r="B220" i="18" s="1"/>
  <c r="AM219" i="18"/>
  <c r="Q158" i="20" l="1"/>
  <c r="U158" i="20"/>
  <c r="M158" i="20"/>
  <c r="E158" i="20"/>
  <c r="H158" i="20"/>
  <c r="I158" i="20"/>
  <c r="G158" i="20"/>
  <c r="K158" i="20" s="1"/>
  <c r="N158" i="20"/>
  <c r="O158" i="20"/>
  <c r="V158" i="20"/>
  <c r="C220" i="18"/>
  <c r="J220" i="18" s="1"/>
  <c r="L220" i="18"/>
  <c r="N220" i="18"/>
  <c r="F220" i="18"/>
  <c r="H220" i="18" s="1"/>
  <c r="AL220" i="18"/>
  <c r="D220" i="18" s="1"/>
  <c r="AS220" i="18"/>
  <c r="T220" i="18"/>
  <c r="U220" i="18"/>
  <c r="V220" i="18" l="1"/>
  <c r="S158" i="20"/>
  <c r="F158" i="20"/>
  <c r="T158" i="20" s="1"/>
  <c r="AA158" i="20"/>
  <c r="AB158" i="20" s="1"/>
  <c r="X158" i="20" s="1"/>
  <c r="Z158" i="20"/>
  <c r="X220" i="18"/>
  <c r="AM220" i="18"/>
  <c r="D159" i="20" l="1"/>
  <c r="J159" i="20" s="1"/>
  <c r="C159" i="20"/>
  <c r="R221" i="18"/>
  <c r="B221" i="18"/>
  <c r="Q159" i="20" l="1"/>
  <c r="O159" i="20"/>
  <c r="V159" i="20"/>
  <c r="U159" i="20"/>
  <c r="I159" i="20"/>
  <c r="G159" i="20"/>
  <c r="K159" i="20" s="1"/>
  <c r="N159" i="20"/>
  <c r="H159" i="20"/>
  <c r="M159" i="20"/>
  <c r="E159" i="20"/>
  <c r="C221" i="18"/>
  <c r="J221" i="18" s="1"/>
  <c r="L221" i="18"/>
  <c r="N221" i="18"/>
  <c r="AS221" i="18"/>
  <c r="AL221" i="18"/>
  <c r="T221" i="18"/>
  <c r="F221" i="18" s="1"/>
  <c r="H221" i="18" s="1"/>
  <c r="S159" i="20" l="1"/>
  <c r="D221" i="18"/>
  <c r="V221" i="18" s="1"/>
  <c r="AA159" i="20"/>
  <c r="AB159" i="20" s="1"/>
  <c r="X159" i="20" s="1"/>
  <c r="Z159" i="20"/>
  <c r="F159" i="20"/>
  <c r="T159" i="20" s="1"/>
  <c r="X221" i="18"/>
  <c r="B222" i="18" s="1"/>
  <c r="AM221" i="18"/>
  <c r="D160" i="20" l="1"/>
  <c r="J160" i="20" s="1"/>
  <c r="C160" i="20"/>
  <c r="C222" i="18"/>
  <c r="J222" i="18" s="1"/>
  <c r="L222" i="18"/>
  <c r="N222" i="18"/>
  <c r="T222" i="18"/>
  <c r="F222" i="18" s="1"/>
  <c r="H222" i="18" s="1"/>
  <c r="AS222" i="18"/>
  <c r="AL222" i="18"/>
  <c r="D222" i="18" l="1"/>
  <c r="V222" i="18" s="1"/>
  <c r="M160" i="20"/>
  <c r="H160" i="20"/>
  <c r="Q160" i="20"/>
  <c r="G160" i="20" s="1"/>
  <c r="K160" i="20" s="1"/>
  <c r="I160" i="20"/>
  <c r="U160" i="20"/>
  <c r="N160" i="20"/>
  <c r="V160" i="20"/>
  <c r="O160" i="20"/>
  <c r="E160" i="20"/>
  <c r="X222" i="18"/>
  <c r="AM222" i="18"/>
  <c r="F160" i="20" l="1"/>
  <c r="T160" i="20" s="1"/>
  <c r="AA160" i="20"/>
  <c r="AB160" i="20" s="1"/>
  <c r="X160" i="20" s="1"/>
  <c r="Z160" i="20"/>
  <c r="S160" i="20"/>
  <c r="R223" i="18"/>
  <c r="B223" i="18"/>
  <c r="D161" i="20" l="1"/>
  <c r="J161" i="20" s="1"/>
  <c r="C161" i="20"/>
  <c r="C223" i="18"/>
  <c r="J223" i="18" s="1"/>
  <c r="N223" i="18"/>
  <c r="L223" i="18"/>
  <c r="AS223" i="18"/>
  <c r="T223" i="18"/>
  <c r="F223" i="18" s="1"/>
  <c r="H223" i="18" s="1"/>
  <c r="AL223" i="18"/>
  <c r="D223" i="18" l="1"/>
  <c r="V223" i="18" s="1"/>
  <c r="U161" i="20"/>
  <c r="H161" i="20"/>
  <c r="M161" i="20"/>
  <c r="Q161" i="20"/>
  <c r="G161" i="20" s="1"/>
  <c r="K161" i="20" s="1"/>
  <c r="I161" i="20"/>
  <c r="V161" i="20"/>
  <c r="N161" i="20"/>
  <c r="E161" i="20"/>
  <c r="O161" i="20"/>
  <c r="X223" i="18"/>
  <c r="B224" i="18" s="1"/>
  <c r="AM223" i="18"/>
  <c r="F161" i="20" l="1"/>
  <c r="T161" i="20" s="1"/>
  <c r="D162" i="20" s="1"/>
  <c r="J162" i="20" s="1"/>
  <c r="AA161" i="20"/>
  <c r="AB161" i="20" s="1"/>
  <c r="X161" i="20" s="1"/>
  <c r="Z161" i="20"/>
  <c r="S161" i="20"/>
  <c r="C224" i="18"/>
  <c r="J224" i="18" s="1"/>
  <c r="N224" i="18"/>
  <c r="L224" i="18"/>
  <c r="T224" i="18"/>
  <c r="F224" i="18" s="1"/>
  <c r="H224" i="18" s="1"/>
  <c r="AL224" i="18"/>
  <c r="AS224" i="18"/>
  <c r="D224" i="18" l="1"/>
  <c r="V224" i="18" s="1"/>
  <c r="C162" i="20"/>
  <c r="O162" i="20" s="1"/>
  <c r="V162" i="20"/>
  <c r="N162" i="20"/>
  <c r="Q162" i="20"/>
  <c r="G162" i="20" s="1"/>
  <c r="K162" i="20" s="1"/>
  <c r="M162" i="20"/>
  <c r="H162" i="20"/>
  <c r="U162" i="20"/>
  <c r="X224" i="18"/>
  <c r="AM224" i="18"/>
  <c r="E162" i="20" l="1"/>
  <c r="F162" i="20" s="1"/>
  <c r="T162" i="20" s="1"/>
  <c r="I162" i="20"/>
  <c r="S162" i="20" s="1"/>
  <c r="AA162" i="20"/>
  <c r="Z162" i="20"/>
  <c r="R225" i="18"/>
  <c r="B225" i="18"/>
  <c r="AB162" i="20" l="1"/>
  <c r="X162" i="20" s="1"/>
  <c r="D163" i="20"/>
  <c r="J163" i="20" s="1"/>
  <c r="C163" i="20"/>
  <c r="C225" i="18"/>
  <c r="J225" i="18" s="1"/>
  <c r="N225" i="18"/>
  <c r="L225" i="18"/>
  <c r="T225" i="18"/>
  <c r="F225" i="18" s="1"/>
  <c r="H225" i="18" s="1"/>
  <c r="AS225" i="18"/>
  <c r="AL225" i="18"/>
  <c r="D225" i="18" l="1"/>
  <c r="V225" i="18" s="1"/>
  <c r="U163" i="20"/>
  <c r="I163" i="20"/>
  <c r="Q163" i="20"/>
  <c r="G163" i="20" s="1"/>
  <c r="V163" i="20"/>
  <c r="E163" i="20"/>
  <c r="H163" i="20"/>
  <c r="N163" i="20"/>
  <c r="M163" i="20"/>
  <c r="O163" i="20"/>
  <c r="X225" i="18"/>
  <c r="B226" i="18" s="1"/>
  <c r="AM225" i="18"/>
  <c r="K163" i="20" l="1"/>
  <c r="S163" i="20" s="1"/>
  <c r="F163" i="20"/>
  <c r="T163" i="20" s="1"/>
  <c r="AA163" i="20"/>
  <c r="AB163" i="20" s="1"/>
  <c r="X163" i="20" s="1"/>
  <c r="Z163" i="20"/>
  <c r="C226" i="18"/>
  <c r="J226" i="18" s="1"/>
  <c r="N226" i="18"/>
  <c r="L226" i="18"/>
  <c r="T226" i="18"/>
  <c r="F226" i="18" s="1"/>
  <c r="H226" i="18" s="1"/>
  <c r="AS226" i="18"/>
  <c r="AL226" i="18"/>
  <c r="D226" i="18" l="1"/>
  <c r="V226" i="18" s="1"/>
  <c r="D164" i="20"/>
  <c r="J164" i="20" s="1"/>
  <c r="C164" i="20"/>
  <c r="X226" i="18"/>
  <c r="AM226" i="18"/>
  <c r="H164" i="20" l="1"/>
  <c r="I164" i="20"/>
  <c r="O164" i="20"/>
  <c r="V164" i="20"/>
  <c r="M164" i="20"/>
  <c r="E164" i="20"/>
  <c r="N164" i="20"/>
  <c r="U164" i="20"/>
  <c r="Q164" i="20"/>
  <c r="G164" i="20" s="1"/>
  <c r="K164" i="20" s="1"/>
  <c r="R227" i="18"/>
  <c r="B227" i="18"/>
  <c r="F164" i="20" l="1"/>
  <c r="T164" i="20" s="1"/>
  <c r="D165" i="20" s="1"/>
  <c r="J165" i="20" s="1"/>
  <c r="C165" i="20"/>
  <c r="AA164" i="20"/>
  <c r="Z164" i="20"/>
  <c r="S164" i="20"/>
  <c r="C227" i="18"/>
  <c r="J227" i="18" s="1"/>
  <c r="L227" i="18"/>
  <c r="N227" i="18"/>
  <c r="AS227" i="18"/>
  <c r="AL227" i="18"/>
  <c r="T227" i="18"/>
  <c r="F227" i="18" s="1"/>
  <c r="H227" i="18" s="1"/>
  <c r="AB164" i="20" l="1"/>
  <c r="X164" i="20" s="1"/>
  <c r="D227" i="18"/>
  <c r="V227" i="18" s="1"/>
  <c r="N165" i="20"/>
  <c r="M165" i="20"/>
  <c r="E165" i="20"/>
  <c r="Q165" i="20"/>
  <c r="G165" i="20" s="1"/>
  <c r="K165" i="20" s="1"/>
  <c r="U165" i="20"/>
  <c r="H165" i="20"/>
  <c r="R165" i="20"/>
  <c r="O165" i="20"/>
  <c r="I165" i="20"/>
  <c r="V165" i="20"/>
  <c r="X227" i="18"/>
  <c r="B228" i="18" s="1"/>
  <c r="AM227" i="18"/>
  <c r="S165" i="20" l="1"/>
  <c r="AA165" i="20"/>
  <c r="Z165" i="20"/>
  <c r="F165" i="20"/>
  <c r="T165" i="20" s="1"/>
  <c r="C228" i="18"/>
  <c r="J228" i="18" s="1"/>
  <c r="L228" i="18"/>
  <c r="N228" i="18"/>
  <c r="AS228" i="18"/>
  <c r="AL228" i="18"/>
  <c r="T228" i="18"/>
  <c r="F228" i="18" s="1"/>
  <c r="H228" i="18" s="1"/>
  <c r="AB165" i="20" l="1"/>
  <c r="X165" i="20" s="1"/>
  <c r="D228" i="18"/>
  <c r="V228" i="18" s="1"/>
  <c r="D166" i="20"/>
  <c r="J166" i="20" s="1"/>
  <c r="C166" i="20"/>
  <c r="X228" i="18"/>
  <c r="AM228" i="18"/>
  <c r="N166" i="20" l="1"/>
  <c r="O166" i="20"/>
  <c r="V166" i="20"/>
  <c r="U166" i="20"/>
  <c r="H166" i="20"/>
  <c r="M166" i="20"/>
  <c r="E166" i="20"/>
  <c r="Q166" i="20"/>
  <c r="G166" i="20" s="1"/>
  <c r="K166" i="20" s="1"/>
  <c r="I166" i="20"/>
  <c r="R229" i="18"/>
  <c r="B229" i="18"/>
  <c r="S166" i="20" l="1"/>
  <c r="F166" i="20"/>
  <c r="T166" i="20" s="1"/>
  <c r="AA166" i="20"/>
  <c r="AB166" i="20" s="1"/>
  <c r="X166" i="20" s="1"/>
  <c r="Z166" i="20"/>
  <c r="C229" i="18"/>
  <c r="J229" i="18" s="1"/>
  <c r="L229" i="18"/>
  <c r="N229" i="18"/>
  <c r="AL229" i="18"/>
  <c r="AS229" i="18"/>
  <c r="T229" i="18"/>
  <c r="F229" i="18" s="1"/>
  <c r="H229" i="18" s="1"/>
  <c r="D229" i="18" l="1"/>
  <c r="V229" i="18" s="1"/>
  <c r="D167" i="20"/>
  <c r="J167" i="20" s="1"/>
  <c r="C167" i="20"/>
  <c r="X229" i="18"/>
  <c r="B230" i="18" s="1"/>
  <c r="AM229" i="18"/>
  <c r="O167" i="20" l="1"/>
  <c r="I167" i="20"/>
  <c r="M167" i="20"/>
  <c r="H167" i="20"/>
  <c r="Q167" i="20"/>
  <c r="V167" i="20"/>
  <c r="N167" i="20"/>
  <c r="E167" i="20"/>
  <c r="U167" i="20"/>
  <c r="C230" i="18"/>
  <c r="J230" i="18" s="1"/>
  <c r="L230" i="18"/>
  <c r="N230" i="18"/>
  <c r="AS230" i="18"/>
  <c r="T230" i="18"/>
  <c r="F230" i="18" s="1"/>
  <c r="H230" i="18" s="1"/>
  <c r="AL230" i="18"/>
  <c r="G167" i="20" l="1"/>
  <c r="K167" i="20" s="1"/>
  <c r="S167" i="20" s="1"/>
  <c r="AA167" i="20"/>
  <c r="AB167" i="20" s="1"/>
  <c r="X167" i="20" s="1"/>
  <c r="Z167" i="20"/>
  <c r="D230" i="18"/>
  <c r="V230" i="18" s="1"/>
  <c r="AM230" i="18"/>
  <c r="X230" i="18" l="1"/>
  <c r="R231" i="18" s="1"/>
  <c r="F167" i="20"/>
  <c r="T167" i="20" s="1"/>
  <c r="B231" i="18" l="1"/>
  <c r="N231" i="18" s="1"/>
  <c r="D168" i="20"/>
  <c r="J168" i="20" s="1"/>
  <c r="C168" i="20"/>
  <c r="AS231" i="18"/>
  <c r="T231" i="18"/>
  <c r="F231" i="18" s="1"/>
  <c r="H231" i="18" s="1"/>
  <c r="AL231" i="18" l="1"/>
  <c r="C231" i="18"/>
  <c r="J231" i="18" s="1"/>
  <c r="D231" i="18"/>
  <c r="L231" i="18"/>
  <c r="V231" i="18" s="1"/>
  <c r="H168" i="20"/>
  <c r="E168" i="20"/>
  <c r="Q168" i="20"/>
  <c r="G168" i="20" s="1"/>
  <c r="N168" i="20"/>
  <c r="O168" i="20"/>
  <c r="M168" i="20"/>
  <c r="I168" i="20"/>
  <c r="V168" i="20"/>
  <c r="U168" i="20"/>
  <c r="X231" i="18"/>
  <c r="B232" i="18" s="1"/>
  <c r="AM231" i="18"/>
  <c r="K168" i="20" l="1"/>
  <c r="S168" i="20" s="1"/>
  <c r="F168" i="20"/>
  <c r="T168" i="20" s="1"/>
  <c r="AA168" i="20"/>
  <c r="AB168" i="20" s="1"/>
  <c r="X168" i="20" s="1"/>
  <c r="Z168" i="20"/>
  <c r="C232" i="18"/>
  <c r="J232" i="18" s="1"/>
  <c r="N232" i="18"/>
  <c r="L232" i="18"/>
  <c r="T232" i="18"/>
  <c r="F232" i="18" s="1"/>
  <c r="H232" i="18" s="1"/>
  <c r="U232" i="18"/>
  <c r="AS232" i="18"/>
  <c r="AL232" i="18"/>
  <c r="D232" i="18" l="1"/>
  <c r="V232" i="18" s="1"/>
  <c r="D169" i="20"/>
  <c r="J169" i="20" s="1"/>
  <c r="C169" i="20"/>
  <c r="X232" i="18"/>
  <c r="AM232" i="18"/>
  <c r="N169" i="20" l="1"/>
  <c r="M169" i="20"/>
  <c r="I169" i="20"/>
  <c r="U169" i="20"/>
  <c r="V169" i="20"/>
  <c r="Q169" i="20"/>
  <c r="G169" i="20" s="1"/>
  <c r="K169" i="20" s="1"/>
  <c r="E169" i="20"/>
  <c r="O169" i="20"/>
  <c r="H169" i="20"/>
  <c r="R233" i="18"/>
  <c r="B233" i="18"/>
  <c r="S169" i="20" l="1"/>
  <c r="F169" i="20"/>
  <c r="T169" i="20" s="1"/>
  <c r="AA169" i="20"/>
  <c r="AB169" i="20" s="1"/>
  <c r="X169" i="20" s="1"/>
  <c r="Z169" i="20"/>
  <c r="C233" i="18"/>
  <c r="J233" i="18" s="1"/>
  <c r="N233" i="18"/>
  <c r="L233" i="18"/>
  <c r="F233" i="18"/>
  <c r="H233" i="18" s="1"/>
  <c r="T233" i="18"/>
  <c r="AL233" i="18"/>
  <c r="AS233" i="18"/>
  <c r="D233" i="18" l="1"/>
  <c r="V233" i="18" s="1"/>
  <c r="D170" i="20"/>
  <c r="J170" i="20" s="1"/>
  <c r="C170" i="20"/>
  <c r="X233" i="18"/>
  <c r="B234" i="18" s="1"/>
  <c r="AM233" i="18"/>
  <c r="H170" i="20" l="1"/>
  <c r="I170" i="20"/>
  <c r="N170" i="20"/>
  <c r="E170" i="20"/>
  <c r="O170" i="20"/>
  <c r="Q170" i="20"/>
  <c r="G170" i="20" s="1"/>
  <c r="K170" i="20" s="1"/>
  <c r="V170" i="20"/>
  <c r="U170" i="20"/>
  <c r="M170" i="20"/>
  <c r="C234" i="18"/>
  <c r="J234" i="18"/>
  <c r="N234" i="18"/>
  <c r="L234" i="18"/>
  <c r="AS234" i="18"/>
  <c r="T234" i="18"/>
  <c r="F234" i="18" s="1"/>
  <c r="H234" i="18" s="1"/>
  <c r="AL234" i="18"/>
  <c r="D234" i="18" s="1"/>
  <c r="V234" i="18" l="1"/>
  <c r="S170" i="20"/>
  <c r="AA170" i="20"/>
  <c r="AB170" i="20" s="1"/>
  <c r="X170" i="20" s="1"/>
  <c r="Z170" i="20"/>
  <c r="F170" i="20"/>
  <c r="T170" i="20" s="1"/>
  <c r="X234" i="18"/>
  <c r="AM234" i="18"/>
  <c r="D171" i="20" l="1"/>
  <c r="J171" i="20" s="1"/>
  <c r="C171" i="20"/>
  <c r="R235" i="18"/>
  <c r="B235" i="18"/>
  <c r="U171" i="20" l="1"/>
  <c r="Q171" i="20"/>
  <c r="G171" i="20" s="1"/>
  <c r="K171" i="20" s="1"/>
  <c r="N171" i="20"/>
  <c r="V171" i="20"/>
  <c r="O171" i="20"/>
  <c r="I171" i="20"/>
  <c r="M171" i="20"/>
  <c r="H171" i="20"/>
  <c r="E171" i="20"/>
  <c r="C235" i="18"/>
  <c r="J235" i="18" s="1"/>
  <c r="L235" i="18"/>
  <c r="N235" i="18"/>
  <c r="AS235" i="18"/>
  <c r="AL235" i="18"/>
  <c r="T235" i="18"/>
  <c r="F235" i="18" s="1"/>
  <c r="H235" i="18" s="1"/>
  <c r="F171" i="20" l="1"/>
  <c r="T171" i="20" s="1"/>
  <c r="D172" i="20" s="1"/>
  <c r="J172" i="20" s="1"/>
  <c r="D235" i="18"/>
  <c r="V235" i="18" s="1"/>
  <c r="S171" i="20"/>
  <c r="AA171" i="20"/>
  <c r="Z171" i="20"/>
  <c r="X235" i="18"/>
  <c r="B236" i="18" s="1"/>
  <c r="AM235" i="18"/>
  <c r="C172" i="20" l="1"/>
  <c r="AB171" i="20"/>
  <c r="X171" i="20" s="1"/>
  <c r="U172" i="20"/>
  <c r="E172" i="20"/>
  <c r="M172" i="20"/>
  <c r="N172" i="20"/>
  <c r="O172" i="20"/>
  <c r="I172" i="20"/>
  <c r="Q172" i="20"/>
  <c r="G172" i="20" s="1"/>
  <c r="K172" i="20" s="1"/>
  <c r="H172" i="20"/>
  <c r="V172" i="20"/>
  <c r="C236" i="18"/>
  <c r="J236" i="18" s="1"/>
  <c r="L236" i="18"/>
  <c r="N236" i="18"/>
  <c r="AL236" i="18"/>
  <c r="AS236" i="18"/>
  <c r="T236" i="18"/>
  <c r="F236" i="18" s="1"/>
  <c r="H236" i="18" s="1"/>
  <c r="S172" i="20" l="1"/>
  <c r="AA172" i="20"/>
  <c r="AB172" i="20" s="1"/>
  <c r="X172" i="20" s="1"/>
  <c r="Z172" i="20"/>
  <c r="F172" i="20"/>
  <c r="T172" i="20" s="1"/>
  <c r="D236" i="18"/>
  <c r="V236" i="18" s="1"/>
  <c r="AM236" i="18"/>
  <c r="X236" i="18" l="1"/>
  <c r="R237" i="18" s="1"/>
  <c r="D173" i="20"/>
  <c r="J173" i="20" s="1"/>
  <c r="C173" i="20"/>
  <c r="B237" i="18"/>
  <c r="Q173" i="20" l="1"/>
  <c r="M173" i="20"/>
  <c r="U173" i="20"/>
  <c r="O173" i="20"/>
  <c r="I173" i="20"/>
  <c r="V173" i="20"/>
  <c r="N173" i="20"/>
  <c r="G173" i="20"/>
  <c r="K173" i="20" s="1"/>
  <c r="E173" i="20"/>
  <c r="H173" i="20"/>
  <c r="C237" i="18"/>
  <c r="J237" i="18" s="1"/>
  <c r="L237" i="18"/>
  <c r="N237" i="18"/>
  <c r="T237" i="18"/>
  <c r="F237" i="18" s="1"/>
  <c r="H237" i="18" s="1"/>
  <c r="AL237" i="18"/>
  <c r="D237" i="18" s="1"/>
  <c r="AS237" i="18"/>
  <c r="S173" i="20" l="1"/>
  <c r="V237" i="18"/>
  <c r="F173" i="20"/>
  <c r="T173" i="20" s="1"/>
  <c r="AA173" i="20"/>
  <c r="AB173" i="20" s="1"/>
  <c r="X173" i="20" s="1"/>
  <c r="Z173" i="20"/>
  <c r="X237" i="18"/>
  <c r="B238" i="18" s="1"/>
  <c r="AM237" i="18"/>
  <c r="D174" i="20" l="1"/>
  <c r="J174" i="20" s="1"/>
  <c r="C174" i="20"/>
  <c r="C238" i="18"/>
  <c r="J238" i="18" s="1"/>
  <c r="L238" i="18"/>
  <c r="N238" i="18"/>
  <c r="T238" i="18"/>
  <c r="F238" i="18" s="1"/>
  <c r="AL238" i="18"/>
  <c r="AS238" i="18"/>
  <c r="H238" i="18" l="1"/>
  <c r="D238" i="18"/>
  <c r="U174" i="20"/>
  <c r="I174" i="20"/>
  <c r="M174" i="20"/>
  <c r="N174" i="20"/>
  <c r="Q174" i="20"/>
  <c r="G174" i="20" s="1"/>
  <c r="K174" i="20" s="1"/>
  <c r="H174" i="20"/>
  <c r="V174" i="20"/>
  <c r="E174" i="20"/>
  <c r="O174" i="20"/>
  <c r="X238" i="18"/>
  <c r="AM238" i="18"/>
  <c r="F174" i="20" l="1"/>
  <c r="T174" i="20" s="1"/>
  <c r="D175" i="20" s="1"/>
  <c r="J175" i="20" s="1"/>
  <c r="AA174" i="20"/>
  <c r="AB174" i="20" s="1"/>
  <c r="X174" i="20" s="1"/>
  <c r="Z174" i="20"/>
  <c r="S174" i="20"/>
  <c r="V238" i="18"/>
  <c r="R239" i="18"/>
  <c r="B239" i="18"/>
  <c r="C175" i="20" l="1"/>
  <c r="H175" i="20" s="1"/>
  <c r="C239" i="18"/>
  <c r="J239" i="18" s="1"/>
  <c r="N239" i="18"/>
  <c r="L239" i="18"/>
  <c r="AS239" i="18"/>
  <c r="T239" i="18"/>
  <c r="F239" i="18" s="1"/>
  <c r="H239" i="18" s="1"/>
  <c r="AL239" i="18"/>
  <c r="E175" i="20" l="1"/>
  <c r="O175" i="20"/>
  <c r="D239" i="18"/>
  <c r="V239" i="18" s="1"/>
  <c r="N175" i="20"/>
  <c r="M175" i="20"/>
  <c r="Z175" i="20" s="1"/>
  <c r="V175" i="20"/>
  <c r="Q175" i="20"/>
  <c r="G175" i="20" s="1"/>
  <c r="K175" i="20" s="1"/>
  <c r="I175" i="20"/>
  <c r="U175" i="20"/>
  <c r="X239" i="18"/>
  <c r="B240" i="18" s="1"/>
  <c r="AM239" i="18"/>
  <c r="S175" i="20" l="1"/>
  <c r="AA175" i="20"/>
  <c r="AB175" i="20" s="1"/>
  <c r="X175" i="20"/>
  <c r="F175" i="20"/>
  <c r="T175" i="20" s="1"/>
  <c r="C240" i="18"/>
  <c r="J240" i="18" s="1"/>
  <c r="N240" i="18"/>
  <c r="L240" i="18"/>
  <c r="T240" i="18"/>
  <c r="F240" i="18" s="1"/>
  <c r="H240" i="18" s="1"/>
  <c r="AS240" i="18"/>
  <c r="AL240" i="18"/>
  <c r="C176" i="20" l="1"/>
  <c r="D176" i="20"/>
  <c r="J176" i="20" s="1"/>
  <c r="D240" i="18"/>
  <c r="V240" i="18" s="1"/>
  <c r="X240" i="18"/>
  <c r="AM240" i="18"/>
  <c r="N176" i="20" l="1"/>
  <c r="O176" i="20"/>
  <c r="E176" i="20"/>
  <c r="U176" i="20"/>
  <c r="H176" i="20"/>
  <c r="I176" i="20"/>
  <c r="V176" i="20"/>
  <c r="M176" i="20"/>
  <c r="Q176" i="20"/>
  <c r="G176" i="20" s="1"/>
  <c r="K176" i="20" s="1"/>
  <c r="R241" i="18"/>
  <c r="B241" i="18"/>
  <c r="AA176" i="20" l="1"/>
  <c r="AB176" i="20" s="1"/>
  <c r="X176" i="20" s="1"/>
  <c r="Z176" i="20"/>
  <c r="F176" i="20"/>
  <c r="T176" i="20" s="1"/>
  <c r="S176" i="20"/>
  <c r="C241" i="18"/>
  <c r="J241" i="18" s="1"/>
  <c r="N241" i="18"/>
  <c r="L241" i="18"/>
  <c r="T241" i="18"/>
  <c r="F241" i="18" s="1"/>
  <c r="AL241" i="18"/>
  <c r="AS241" i="18"/>
  <c r="D177" i="20" l="1"/>
  <c r="J177" i="20" s="1"/>
  <c r="C177" i="20"/>
  <c r="H241" i="18"/>
  <c r="D241" i="18"/>
  <c r="X241" i="18" s="1"/>
  <c r="B242" i="18" s="1"/>
  <c r="AM241" i="18"/>
  <c r="H177" i="20" l="1"/>
  <c r="M177" i="20"/>
  <c r="I177" i="20"/>
  <c r="N177" i="20"/>
  <c r="E177" i="20"/>
  <c r="R177" i="20"/>
  <c r="V177" i="20"/>
  <c r="U177" i="20"/>
  <c r="O177" i="20"/>
  <c r="Q177" i="20"/>
  <c r="G177" i="20" s="1"/>
  <c r="K177" i="20" s="1"/>
  <c r="V241" i="18"/>
  <c r="C242" i="18"/>
  <c r="J242" i="18" s="1"/>
  <c r="N242" i="18"/>
  <c r="L242" i="18"/>
  <c r="AS242" i="18"/>
  <c r="AL242" i="18"/>
  <c r="T242" i="18"/>
  <c r="F242" i="18" s="1"/>
  <c r="H242" i="18" s="1"/>
  <c r="S177" i="20" l="1"/>
  <c r="AA177" i="20"/>
  <c r="AB177" i="20" s="1"/>
  <c r="X177" i="20" s="1"/>
  <c r="Z177" i="20"/>
  <c r="D242" i="18"/>
  <c r="F177" i="20"/>
  <c r="T177" i="20" s="1"/>
  <c r="V242" i="18"/>
  <c r="X242" i="18"/>
  <c r="AM242" i="18"/>
  <c r="D178" i="20" l="1"/>
  <c r="J178" i="20" s="1"/>
  <c r="C178" i="20"/>
  <c r="R243" i="18"/>
  <c r="B243" i="18"/>
  <c r="Q178" i="20" l="1"/>
  <c r="G178" i="20" s="1"/>
  <c r="K178" i="20" s="1"/>
  <c r="I178" i="20"/>
  <c r="H178" i="20"/>
  <c r="E178" i="20"/>
  <c r="F178" i="20" s="1"/>
  <c r="T178" i="20" s="1"/>
  <c r="M178" i="20"/>
  <c r="N178" i="20"/>
  <c r="U178" i="20"/>
  <c r="V178" i="20"/>
  <c r="O178" i="20"/>
  <c r="C243" i="18"/>
  <c r="J243" i="18" s="1"/>
  <c r="L243" i="18"/>
  <c r="N243" i="18"/>
  <c r="T243" i="18"/>
  <c r="F243" i="18" s="1"/>
  <c r="AL243" i="18"/>
  <c r="AS243" i="18"/>
  <c r="S178" i="20" l="1"/>
  <c r="D179" i="20"/>
  <c r="J179" i="20" s="1"/>
  <c r="C179" i="20"/>
  <c r="Z178" i="20"/>
  <c r="AA178" i="20"/>
  <c r="H243" i="18"/>
  <c r="D243" i="18"/>
  <c r="X243" i="18" s="1"/>
  <c r="B244" i="18" s="1"/>
  <c r="AM243" i="18"/>
  <c r="AB178" i="20" l="1"/>
  <c r="X178" i="20" s="1"/>
  <c r="H179" i="20"/>
  <c r="M179" i="20"/>
  <c r="Z179" i="20" s="1"/>
  <c r="I179" i="20"/>
  <c r="U179" i="20"/>
  <c r="Q179" i="20"/>
  <c r="G179" i="20" s="1"/>
  <c r="K179" i="20" s="1"/>
  <c r="O179" i="20"/>
  <c r="V179" i="20"/>
  <c r="E179" i="20"/>
  <c r="N179" i="20"/>
  <c r="V243" i="18"/>
  <c r="C244" i="18"/>
  <c r="J244" i="18" s="1"/>
  <c r="L244" i="18"/>
  <c r="N244" i="18"/>
  <c r="AS244" i="18"/>
  <c r="T244" i="18"/>
  <c r="F244" i="18" s="1"/>
  <c r="H244" i="18" s="1"/>
  <c r="U244" i="18"/>
  <c r="AL244" i="18"/>
  <c r="S179" i="20" l="1"/>
  <c r="F179" i="20"/>
  <c r="T179" i="20" s="1"/>
  <c r="AA179" i="20"/>
  <c r="D244" i="18"/>
  <c r="V244" i="18" s="1"/>
  <c r="AM244" i="18"/>
  <c r="X244" i="18" l="1"/>
  <c r="AB179" i="20"/>
  <c r="X179" i="20" s="1"/>
  <c r="D180" i="20"/>
  <c r="J180" i="20" s="1"/>
  <c r="C180" i="20"/>
  <c r="R245" i="18"/>
  <c r="B245" i="18"/>
  <c r="U180" i="20" l="1"/>
  <c r="M180" i="20"/>
  <c r="E180" i="20"/>
  <c r="O180" i="20"/>
  <c r="Q180" i="20"/>
  <c r="G180" i="20" s="1"/>
  <c r="K180" i="20" s="1"/>
  <c r="N180" i="20"/>
  <c r="V180" i="20"/>
  <c r="I180" i="20"/>
  <c r="H180" i="20"/>
  <c r="C245" i="18"/>
  <c r="J245" i="18" s="1"/>
  <c r="L245" i="18"/>
  <c r="N245" i="18"/>
  <c r="AL245" i="18"/>
  <c r="T245" i="18"/>
  <c r="F245" i="18" s="1"/>
  <c r="H245" i="18" s="1"/>
  <c r="AS245" i="18"/>
  <c r="S180" i="20" l="1"/>
  <c r="F180" i="20"/>
  <c r="T180" i="20" s="1"/>
  <c r="Z180" i="20"/>
  <c r="AA180" i="20"/>
  <c r="D245" i="18"/>
  <c r="V245" i="18" s="1"/>
  <c r="AM245" i="18"/>
  <c r="X245" i="18" l="1"/>
  <c r="B246" i="18" s="1"/>
  <c r="AB180" i="20"/>
  <c r="X180" i="20" s="1"/>
  <c r="D181" i="20"/>
  <c r="J181" i="20" s="1"/>
  <c r="C181" i="20"/>
  <c r="C246" i="18"/>
  <c r="J246" i="18" s="1"/>
  <c r="L246" i="18"/>
  <c r="N246" i="18"/>
  <c r="AS246" i="18"/>
  <c r="T246" i="18"/>
  <c r="F246" i="18" s="1"/>
  <c r="H246" i="18" s="1"/>
  <c r="AL246" i="18"/>
  <c r="D246" i="18" s="1"/>
  <c r="M181" i="20" l="1"/>
  <c r="N181" i="20"/>
  <c r="Q181" i="20"/>
  <c r="G181" i="20" s="1"/>
  <c r="O181" i="20"/>
  <c r="V181" i="20"/>
  <c r="U181" i="20"/>
  <c r="H181" i="20"/>
  <c r="E181" i="20"/>
  <c r="I181" i="20"/>
  <c r="V246" i="18"/>
  <c r="X246" i="18"/>
  <c r="AM246" i="18"/>
  <c r="K181" i="20" l="1"/>
  <c r="S181" i="20" s="1"/>
  <c r="F181" i="20"/>
  <c r="T181" i="20" s="1"/>
  <c r="Z181" i="20"/>
  <c r="AA181" i="20"/>
  <c r="R247" i="18"/>
  <c r="B247" i="18"/>
  <c r="AB181" i="20" l="1"/>
  <c r="X181" i="20" s="1"/>
  <c r="C182" i="20"/>
  <c r="D182" i="20"/>
  <c r="J182" i="20" s="1"/>
  <c r="C247" i="18"/>
  <c r="J247" i="18" s="1"/>
  <c r="N247" i="18"/>
  <c r="L247" i="18"/>
  <c r="T247" i="18"/>
  <c r="F247" i="18" s="1"/>
  <c r="H247" i="18" s="1"/>
  <c r="AS247" i="18"/>
  <c r="AL247" i="18"/>
  <c r="D247" i="18" l="1"/>
  <c r="Q182" i="20"/>
  <c r="G182" i="20" s="1"/>
  <c r="K182" i="20" s="1"/>
  <c r="U182" i="20"/>
  <c r="I182" i="20"/>
  <c r="H182" i="20"/>
  <c r="E182" i="20"/>
  <c r="F182" i="20" s="1"/>
  <c r="T182" i="20" s="1"/>
  <c r="V182" i="20"/>
  <c r="O182" i="20"/>
  <c r="N182" i="20"/>
  <c r="M182" i="20"/>
  <c r="V247" i="18"/>
  <c r="X247" i="18"/>
  <c r="B248" i="18" s="1"/>
  <c r="AM247" i="18"/>
  <c r="D183" i="20" l="1"/>
  <c r="J183" i="20" s="1"/>
  <c r="C183" i="20"/>
  <c r="S182" i="20"/>
  <c r="Z182" i="20"/>
  <c r="AA182" i="20"/>
  <c r="C248" i="18"/>
  <c r="J248" i="18" s="1"/>
  <c r="N248" i="18"/>
  <c r="L248" i="18"/>
  <c r="T248" i="18"/>
  <c r="F248" i="18" s="1"/>
  <c r="AS248" i="18"/>
  <c r="AL248" i="18"/>
  <c r="AB182" i="20" l="1"/>
  <c r="X182" i="20" s="1"/>
  <c r="O183" i="20"/>
  <c r="M183" i="20"/>
  <c r="Z183" i="20" s="1"/>
  <c r="I183" i="20"/>
  <c r="N183" i="20"/>
  <c r="H183" i="20"/>
  <c r="E183" i="20"/>
  <c r="F183" i="20" s="1"/>
  <c r="T183" i="20" s="1"/>
  <c r="V183" i="20"/>
  <c r="U183" i="20"/>
  <c r="Q183" i="20"/>
  <c r="G183" i="20" s="1"/>
  <c r="K183" i="20" s="1"/>
  <c r="H248" i="18"/>
  <c r="D248" i="18"/>
  <c r="X248" i="18" s="1"/>
  <c r="AM248" i="18"/>
  <c r="D184" i="20" l="1"/>
  <c r="J184" i="20" s="1"/>
  <c r="C184" i="20"/>
  <c r="S183" i="20"/>
  <c r="AA183" i="20"/>
  <c r="V248" i="18"/>
  <c r="R249" i="18"/>
  <c r="B249" i="18"/>
  <c r="AB183" i="20" l="1"/>
  <c r="X183" i="20" s="1"/>
  <c r="I184" i="20"/>
  <c r="Q184" i="20"/>
  <c r="G184" i="20" s="1"/>
  <c r="K184" i="20" s="1"/>
  <c r="U184" i="20"/>
  <c r="E184" i="20"/>
  <c r="F184" i="20" s="1"/>
  <c r="T184" i="20" s="1"/>
  <c r="N184" i="20"/>
  <c r="H184" i="20"/>
  <c r="V184" i="20"/>
  <c r="O184" i="20"/>
  <c r="M184" i="20"/>
  <c r="Z184" i="20" s="1"/>
  <c r="C249" i="18"/>
  <c r="J249" i="18" s="1"/>
  <c r="N249" i="18"/>
  <c r="L249" i="18"/>
  <c r="T249" i="18"/>
  <c r="F249" i="18" s="1"/>
  <c r="H249" i="18" s="1"/>
  <c r="AL249" i="18"/>
  <c r="AS249" i="18"/>
  <c r="D185" i="20" l="1"/>
  <c r="J185" i="20" s="1"/>
  <c r="C185" i="20"/>
  <c r="S184" i="20"/>
  <c r="AA184" i="20"/>
  <c r="D249" i="18"/>
  <c r="V249" i="18" s="1"/>
  <c r="AM249" i="18"/>
  <c r="X249" i="18" l="1"/>
  <c r="B250" i="18" s="1"/>
  <c r="AB184" i="20"/>
  <c r="X184" i="20" s="1"/>
  <c r="V185" i="20"/>
  <c r="E185" i="20"/>
  <c r="M185" i="20"/>
  <c r="Z185" i="20" s="1"/>
  <c r="O185" i="20"/>
  <c r="H185" i="20"/>
  <c r="U185" i="20"/>
  <c r="I185" i="20"/>
  <c r="Q185" i="20"/>
  <c r="G185" i="20" s="1"/>
  <c r="K185" i="20" s="1"/>
  <c r="N185" i="20"/>
  <c r="C250" i="18"/>
  <c r="J250" i="18" s="1"/>
  <c r="N250" i="18"/>
  <c r="L250" i="18"/>
  <c r="T250" i="18"/>
  <c r="F250" i="18" s="1"/>
  <c r="AS250" i="18"/>
  <c r="AL250" i="18"/>
  <c r="F185" i="20" l="1"/>
  <c r="T185" i="20" s="1"/>
  <c r="S185" i="20"/>
  <c r="C186" i="20"/>
  <c r="D186" i="20"/>
  <c r="J186" i="20" s="1"/>
  <c r="AA185" i="20"/>
  <c r="AB185" i="20" s="1"/>
  <c r="X185" i="20" s="1"/>
  <c r="H250" i="18"/>
  <c r="D250" i="18"/>
  <c r="AM250" i="18"/>
  <c r="V250" i="18" l="1"/>
  <c r="O186" i="20"/>
  <c r="M186" i="20"/>
  <c r="H186" i="20"/>
  <c r="U186" i="20"/>
  <c r="E186" i="20"/>
  <c r="Q186" i="20"/>
  <c r="G186" i="20" s="1"/>
  <c r="K186" i="20" s="1"/>
  <c r="S186" i="20" s="1"/>
  <c r="V186" i="20"/>
  <c r="I186" i="20"/>
  <c r="N186" i="20"/>
  <c r="X250" i="18"/>
  <c r="R251" i="18" s="1"/>
  <c r="F186" i="20" l="1"/>
  <c r="T186" i="20" s="1"/>
  <c r="B251" i="18"/>
  <c r="L251" i="18" s="1"/>
  <c r="X186" i="20"/>
  <c r="AA186" i="20"/>
  <c r="AB186" i="20" s="1"/>
  <c r="Z186" i="20"/>
  <c r="D187" i="20"/>
  <c r="J187" i="20" s="1"/>
  <c r="C187" i="20"/>
  <c r="C251" i="18"/>
  <c r="J251" i="18" s="1"/>
  <c r="T251" i="18"/>
  <c r="F251" i="18" s="1"/>
  <c r="H251" i="18" s="1"/>
  <c r="AL251" i="18" l="1"/>
  <c r="AS251" i="18"/>
  <c r="N251" i="18"/>
  <c r="AM251" i="18" s="1"/>
  <c r="D251" i="18"/>
  <c r="O187" i="20"/>
  <c r="H187" i="20"/>
  <c r="N187" i="20"/>
  <c r="V187" i="20"/>
  <c r="Q187" i="20"/>
  <c r="G187" i="20" s="1"/>
  <c r="E187" i="20"/>
  <c r="I187" i="20"/>
  <c r="U187" i="20"/>
  <c r="M187" i="20"/>
  <c r="X251" i="18"/>
  <c r="B252" i="18" s="1"/>
  <c r="V251" i="18" l="1"/>
  <c r="F187" i="20"/>
  <c r="T187" i="20" s="1"/>
  <c r="D188" i="20" s="1"/>
  <c r="J188" i="20" s="1"/>
  <c r="C188" i="20"/>
  <c r="K187" i="20"/>
  <c r="S187" i="20" s="1"/>
  <c r="AA187" i="20"/>
  <c r="AB187" i="20" s="1"/>
  <c r="X187" i="20" s="1"/>
  <c r="Z187" i="20"/>
  <c r="C252" i="18"/>
  <c r="J252" i="18" s="1"/>
  <c r="L252" i="18"/>
  <c r="N252" i="18"/>
  <c r="AL252" i="18"/>
  <c r="AS252" i="18"/>
  <c r="T252" i="18"/>
  <c r="F252" i="18" s="1"/>
  <c r="H252" i="18" s="1"/>
  <c r="D252" i="18" l="1"/>
  <c r="V252" i="18" s="1"/>
  <c r="E188" i="20"/>
  <c r="N188" i="20"/>
  <c r="Q188" i="20"/>
  <c r="G188" i="20" s="1"/>
  <c r="I188" i="20"/>
  <c r="U188" i="20"/>
  <c r="M188" i="20"/>
  <c r="O188" i="20"/>
  <c r="V188" i="20"/>
  <c r="H188" i="20"/>
  <c r="X252" i="18"/>
  <c r="AM252" i="18"/>
  <c r="K188" i="20" l="1"/>
  <c r="S188" i="20" s="1"/>
  <c r="F188" i="20"/>
  <c r="T188" i="20" s="1"/>
  <c r="AA188" i="20"/>
  <c r="AB188" i="20" s="1"/>
  <c r="X188" i="20" s="1"/>
  <c r="Z188" i="20"/>
  <c r="R253" i="18"/>
  <c r="B253" i="18"/>
  <c r="D189" i="20" l="1"/>
  <c r="J189" i="20" s="1"/>
  <c r="C189" i="20"/>
  <c r="C253" i="18"/>
  <c r="J253" i="18" s="1"/>
  <c r="L253" i="18"/>
  <c r="N253" i="18"/>
  <c r="AL253" i="18"/>
  <c r="AS253" i="18"/>
  <c r="T253" i="18"/>
  <c r="F253" i="18" s="1"/>
  <c r="H253" i="18" l="1"/>
  <c r="D253" i="18"/>
  <c r="V189" i="20"/>
  <c r="U189" i="20"/>
  <c r="Q189" i="20"/>
  <c r="O189" i="20"/>
  <c r="M189" i="20"/>
  <c r="I189" i="20"/>
  <c r="E189" i="20"/>
  <c r="H189" i="20"/>
  <c r="R189" i="20"/>
  <c r="N189" i="20"/>
  <c r="X253" i="18"/>
  <c r="B254" i="18" s="1"/>
  <c r="AM253" i="18"/>
  <c r="AA189" i="20" l="1"/>
  <c r="Z189" i="20"/>
  <c r="G189" i="20"/>
  <c r="V253" i="18"/>
  <c r="C254" i="18"/>
  <c r="J254" i="18" s="1"/>
  <c r="L254" i="18"/>
  <c r="N254" i="18"/>
  <c r="AL254" i="18"/>
  <c r="AS254" i="18"/>
  <c r="T254" i="18"/>
  <c r="F254" i="18" s="1"/>
  <c r="H254" i="18" s="1"/>
  <c r="AB189" i="20" l="1"/>
  <c r="X189" i="20" s="1"/>
  <c r="K189" i="20"/>
  <c r="S189" i="20" s="1"/>
  <c r="F189" i="20"/>
  <c r="T189" i="20" s="1"/>
  <c r="D254" i="18"/>
  <c r="V254" i="18" s="1"/>
  <c r="AM254" i="18"/>
  <c r="X254" i="18" l="1"/>
  <c r="D190" i="20"/>
  <c r="J190" i="20" s="1"/>
  <c r="C190" i="20"/>
  <c r="R255" i="18"/>
  <c r="B255" i="18"/>
  <c r="V190" i="20" l="1"/>
  <c r="U190" i="20"/>
  <c r="E190" i="20"/>
  <c r="Q190" i="20"/>
  <c r="G190" i="20" s="1"/>
  <c r="K190" i="20" s="1"/>
  <c r="H190" i="20"/>
  <c r="O190" i="20"/>
  <c r="I190" i="20"/>
  <c r="N190" i="20"/>
  <c r="M190" i="20"/>
  <c r="C255" i="18"/>
  <c r="J255" i="18" s="1"/>
  <c r="N255" i="18"/>
  <c r="L255" i="18"/>
  <c r="T255" i="18"/>
  <c r="F255" i="18" s="1"/>
  <c r="H255" i="18" s="1"/>
  <c r="AL255" i="18"/>
  <c r="D255" i="18" s="1"/>
  <c r="AS255" i="18"/>
  <c r="V255" i="18" l="1"/>
  <c r="S190" i="20"/>
  <c r="F190" i="20"/>
  <c r="T190" i="20" s="1"/>
  <c r="AA190" i="20"/>
  <c r="AB190" i="20" s="1"/>
  <c r="X190" i="20" s="1"/>
  <c r="Z190" i="20"/>
  <c r="X255" i="18"/>
  <c r="B256" i="18" s="1"/>
  <c r="AM255" i="18"/>
  <c r="D191" i="20" l="1"/>
  <c r="J191" i="20" s="1"/>
  <c r="C191" i="20"/>
  <c r="C256" i="18"/>
  <c r="J256" i="18" s="1"/>
  <c r="N256" i="18"/>
  <c r="L256" i="18"/>
  <c r="T256" i="18"/>
  <c r="F256" i="18" s="1"/>
  <c r="H256" i="18" s="1"/>
  <c r="U256" i="18"/>
  <c r="AS256" i="18"/>
  <c r="AL256" i="18"/>
  <c r="D256" i="18" l="1"/>
  <c r="V256" i="18" s="1"/>
  <c r="M191" i="20"/>
  <c r="Q191" i="20"/>
  <c r="G191" i="20" s="1"/>
  <c r="K191" i="20" s="1"/>
  <c r="E191" i="20"/>
  <c r="H191" i="20"/>
  <c r="U191" i="20"/>
  <c r="V191" i="20"/>
  <c r="I191" i="20"/>
  <c r="O191" i="20"/>
  <c r="N191" i="20"/>
  <c r="X256" i="18"/>
  <c r="AM256" i="18"/>
  <c r="S191" i="20" l="1"/>
  <c r="F191" i="20"/>
  <c r="T191" i="20" s="1"/>
  <c r="AA191" i="20"/>
  <c r="AB191" i="20" s="1"/>
  <c r="X191" i="20" s="1"/>
  <c r="Z191" i="20"/>
  <c r="R257" i="18"/>
  <c r="B257" i="18"/>
  <c r="D192" i="20" l="1"/>
  <c r="J192" i="20" s="1"/>
  <c r="C192" i="20"/>
  <c r="C257" i="18"/>
  <c r="J257" i="18" s="1"/>
  <c r="N257" i="18"/>
  <c r="L257" i="18"/>
  <c r="AL257" i="18"/>
  <c r="T257" i="18"/>
  <c r="F257" i="18" s="1"/>
  <c r="H257" i="18" s="1"/>
  <c r="AS257" i="18"/>
  <c r="D257" i="18" l="1"/>
  <c r="V257" i="18" s="1"/>
  <c r="O192" i="20"/>
  <c r="Q192" i="20"/>
  <c r="H192" i="20"/>
  <c r="U192" i="20"/>
  <c r="M192" i="20"/>
  <c r="E192" i="20"/>
  <c r="G192" i="20"/>
  <c r="K192" i="20" s="1"/>
  <c r="V192" i="20"/>
  <c r="N192" i="20"/>
  <c r="I192" i="20"/>
  <c r="X257" i="18"/>
  <c r="B258" i="18" s="1"/>
  <c r="AM257" i="18"/>
  <c r="F192" i="20" l="1"/>
  <c r="T192" i="20" s="1"/>
  <c r="D193" i="20" s="1"/>
  <c r="J193" i="20" s="1"/>
  <c r="C193" i="20"/>
  <c r="S192" i="20"/>
  <c r="AA192" i="20"/>
  <c r="AB192" i="20" s="1"/>
  <c r="X192" i="20" s="1"/>
  <c r="Z192" i="20"/>
  <c r="C258" i="18"/>
  <c r="J258" i="18" s="1"/>
  <c r="N258" i="18"/>
  <c r="L258" i="18"/>
  <c r="T258" i="18"/>
  <c r="F258" i="18" s="1"/>
  <c r="H258" i="18" s="1"/>
  <c r="AS258" i="18"/>
  <c r="AL258" i="18"/>
  <c r="D258" i="18" l="1"/>
  <c r="V258" i="18" s="1"/>
  <c r="E193" i="20"/>
  <c r="I193" i="20"/>
  <c r="Q193" i="20"/>
  <c r="V193" i="20"/>
  <c r="H193" i="20"/>
  <c r="N193" i="20"/>
  <c r="G193" i="20"/>
  <c r="K193" i="20" s="1"/>
  <c r="S193" i="20" s="1"/>
  <c r="U193" i="20"/>
  <c r="O193" i="20"/>
  <c r="M193" i="20"/>
  <c r="X258" i="18"/>
  <c r="AM258" i="18"/>
  <c r="F193" i="20" l="1"/>
  <c r="T193" i="20" s="1"/>
  <c r="AA193" i="20"/>
  <c r="AB193" i="20" s="1"/>
  <c r="X193" i="20" s="1"/>
  <c r="Z193" i="20"/>
  <c r="R259" i="18"/>
  <c r="B259" i="18"/>
  <c r="D194" i="20" l="1"/>
  <c r="J194" i="20" s="1"/>
  <c r="C194" i="20"/>
  <c r="C259" i="18"/>
  <c r="J259" i="18" s="1"/>
  <c r="L259" i="18"/>
  <c r="N259" i="18"/>
  <c r="F259" i="18"/>
  <c r="H259" i="18" s="1"/>
  <c r="AS259" i="18"/>
  <c r="AL259" i="18"/>
  <c r="D259" i="18" s="1"/>
  <c r="T259" i="18"/>
  <c r="V259" i="18" l="1"/>
  <c r="I194" i="20"/>
  <c r="E194" i="20"/>
  <c r="N194" i="20"/>
  <c r="M194" i="20"/>
  <c r="U194" i="20"/>
  <c r="Q194" i="20"/>
  <c r="G194" i="20" s="1"/>
  <c r="K194" i="20" s="1"/>
  <c r="V194" i="20"/>
  <c r="H194" i="20"/>
  <c r="O194" i="20"/>
  <c r="X259" i="18"/>
  <c r="B260" i="18" s="1"/>
  <c r="AM259" i="18"/>
  <c r="S194" i="20" l="1"/>
  <c r="AA194" i="20"/>
  <c r="AB194" i="20" s="1"/>
  <c r="X194" i="20" s="1"/>
  <c r="Z194" i="20"/>
  <c r="F194" i="20"/>
  <c r="T194" i="20" s="1"/>
  <c r="C260" i="18"/>
  <c r="J260" i="18" s="1"/>
  <c r="L260" i="18"/>
  <c r="N260" i="18"/>
  <c r="AS260" i="18"/>
  <c r="AL260" i="18"/>
  <c r="T260" i="18"/>
  <c r="F260" i="18" s="1"/>
  <c r="H260" i="18" s="1"/>
  <c r="D260" i="18" l="1"/>
  <c r="V260" i="18" s="1"/>
  <c r="D195" i="20"/>
  <c r="J195" i="20" s="1"/>
  <c r="C195" i="20"/>
  <c r="X260" i="18"/>
  <c r="AM260" i="18"/>
  <c r="M195" i="20" l="1"/>
  <c r="E195" i="20"/>
  <c r="Q195" i="20"/>
  <c r="O195" i="20"/>
  <c r="V195" i="20"/>
  <c r="G195" i="20"/>
  <c r="K195" i="20" s="1"/>
  <c r="S195" i="20" s="1"/>
  <c r="U195" i="20"/>
  <c r="I195" i="20"/>
  <c r="H195" i="20"/>
  <c r="N195" i="20"/>
  <c r="R261" i="18"/>
  <c r="B261" i="18"/>
  <c r="F195" i="20" l="1"/>
  <c r="T195" i="20" s="1"/>
  <c r="AA195" i="20"/>
  <c r="Z195" i="20"/>
  <c r="C261" i="18"/>
  <c r="J261" i="18" s="1"/>
  <c r="L261" i="18"/>
  <c r="N261" i="18"/>
  <c r="AS261" i="18"/>
  <c r="AL261" i="18"/>
  <c r="D261" i="18" s="1"/>
  <c r="T261" i="18"/>
  <c r="F261" i="18" s="1"/>
  <c r="H261" i="18" s="1"/>
  <c r="AB195" i="20" l="1"/>
  <c r="X195" i="20" s="1"/>
  <c r="V261" i="18"/>
  <c r="D196" i="20"/>
  <c r="J196" i="20" s="1"/>
  <c r="C196" i="20"/>
  <c r="X261" i="18"/>
  <c r="B262" i="18" s="1"/>
  <c r="AM261" i="18"/>
  <c r="M196" i="20" l="1"/>
  <c r="N196" i="20"/>
  <c r="Q196" i="20"/>
  <c r="G196" i="20" s="1"/>
  <c r="K196" i="20" s="1"/>
  <c r="U196" i="20"/>
  <c r="O196" i="20"/>
  <c r="V196" i="20"/>
  <c r="I196" i="20"/>
  <c r="H196" i="20"/>
  <c r="E196" i="20"/>
  <c r="C262" i="18"/>
  <c r="J262" i="18" s="1"/>
  <c r="L262" i="18"/>
  <c r="N262" i="18"/>
  <c r="AS262" i="18"/>
  <c r="AL262" i="18"/>
  <c r="T262" i="18"/>
  <c r="F262" i="18" s="1"/>
  <c r="H262" i="18" s="1"/>
  <c r="D262" i="18" l="1"/>
  <c r="V262" i="18" s="1"/>
  <c r="S196" i="20"/>
  <c r="F196" i="20"/>
  <c r="T196" i="20" s="1"/>
  <c r="AA196" i="20"/>
  <c r="AB196" i="20" s="1"/>
  <c r="X196" i="20" s="1"/>
  <c r="Z196" i="20"/>
  <c r="X262" i="18"/>
  <c r="AM262" i="18"/>
  <c r="D197" i="20" l="1"/>
  <c r="J197" i="20" s="1"/>
  <c r="C197" i="20"/>
  <c r="R263" i="18"/>
  <c r="B263" i="18"/>
  <c r="N197" i="20" l="1"/>
  <c r="H197" i="20"/>
  <c r="O197" i="20"/>
  <c r="V197" i="20"/>
  <c r="E197" i="20"/>
  <c r="I197" i="20"/>
  <c r="M197" i="20"/>
  <c r="U197" i="20"/>
  <c r="Q197" i="20"/>
  <c r="G197" i="20" s="1"/>
  <c r="C263" i="18"/>
  <c r="J263" i="18" s="1"/>
  <c r="N263" i="18"/>
  <c r="L263" i="18"/>
  <c r="T263" i="18"/>
  <c r="F263" i="18" s="1"/>
  <c r="H263" i="18" s="1"/>
  <c r="AL263" i="18"/>
  <c r="AS263" i="18"/>
  <c r="D263" i="18" l="1"/>
  <c r="V263" i="18" s="1"/>
  <c r="K197" i="20"/>
  <c r="S197" i="20" s="1"/>
  <c r="F197" i="20"/>
  <c r="T197" i="20" s="1"/>
  <c r="AA197" i="20"/>
  <c r="AB197" i="20" s="1"/>
  <c r="X197" i="20" s="1"/>
  <c r="Z197" i="20"/>
  <c r="X263" i="18"/>
  <c r="B264" i="18" s="1"/>
  <c r="AM263" i="18"/>
  <c r="D198" i="20" l="1"/>
  <c r="J198" i="20" s="1"/>
  <c r="C198" i="20"/>
  <c r="C264" i="18"/>
  <c r="J264" i="18" s="1"/>
  <c r="N264" i="18"/>
  <c r="L264" i="18"/>
  <c r="T264" i="18"/>
  <c r="F264" i="18" s="1"/>
  <c r="H264" i="18" s="1"/>
  <c r="AS264" i="18"/>
  <c r="AL264" i="18"/>
  <c r="D264" i="18" l="1"/>
  <c r="V264" i="18" s="1"/>
  <c r="U198" i="20"/>
  <c r="M198" i="20"/>
  <c r="I198" i="20"/>
  <c r="E198" i="20"/>
  <c r="N198" i="20"/>
  <c r="H198" i="20"/>
  <c r="V198" i="20"/>
  <c r="Q198" i="20"/>
  <c r="G198" i="20" s="1"/>
  <c r="K198" i="20" s="1"/>
  <c r="O198" i="20"/>
  <c r="X264" i="18"/>
  <c r="AM264" i="18"/>
  <c r="F198" i="20" l="1"/>
  <c r="T198" i="20" s="1"/>
  <c r="S198" i="20"/>
  <c r="AA198" i="20"/>
  <c r="AB198" i="20" s="1"/>
  <c r="X198" i="20" s="1"/>
  <c r="Z198" i="20"/>
  <c r="R265" i="18"/>
  <c r="B265" i="18"/>
  <c r="D199" i="20" l="1"/>
  <c r="J199" i="20" s="1"/>
  <c r="C199" i="20"/>
  <c r="C265" i="18"/>
  <c r="J265" i="18" s="1"/>
  <c r="N265" i="18"/>
  <c r="L265" i="18"/>
  <c r="AL265" i="18"/>
  <c r="T265" i="18"/>
  <c r="F265" i="18" s="1"/>
  <c r="H265" i="18" s="1"/>
  <c r="AS265" i="18"/>
  <c r="D265" i="18" l="1"/>
  <c r="V265" i="18" s="1"/>
  <c r="I199" i="20"/>
  <c r="M199" i="20"/>
  <c r="U199" i="20"/>
  <c r="V199" i="20"/>
  <c r="E199" i="20"/>
  <c r="N199" i="20"/>
  <c r="O199" i="20"/>
  <c r="Q199" i="20"/>
  <c r="G199" i="20" s="1"/>
  <c r="H199" i="20"/>
  <c r="X265" i="18"/>
  <c r="B266" i="18" s="1"/>
  <c r="AM265" i="18"/>
  <c r="K199" i="20" l="1"/>
  <c r="F199" i="20"/>
  <c r="T199" i="20" s="1"/>
  <c r="S199" i="20"/>
  <c r="AA199" i="20"/>
  <c r="AB199" i="20" s="1"/>
  <c r="X199" i="20" s="1"/>
  <c r="Z199" i="20"/>
  <c r="C266" i="18"/>
  <c r="J266" i="18" s="1"/>
  <c r="N266" i="18"/>
  <c r="L266" i="18"/>
  <c r="T266" i="18"/>
  <c r="F266" i="18" s="1"/>
  <c r="H266" i="18" s="1"/>
  <c r="AL266" i="18"/>
  <c r="AS266" i="18"/>
  <c r="D266" i="18" l="1"/>
  <c r="V266" i="18" s="1"/>
  <c r="D200" i="20"/>
  <c r="J200" i="20" s="1"/>
  <c r="C200" i="20"/>
  <c r="X266" i="18"/>
  <c r="AM266" i="18"/>
  <c r="U200" i="20" l="1"/>
  <c r="E200" i="20"/>
  <c r="I200" i="20"/>
  <c r="Q200" i="20"/>
  <c r="G200" i="20" s="1"/>
  <c r="K200" i="20" s="1"/>
  <c r="M200" i="20"/>
  <c r="V200" i="20"/>
  <c r="H200" i="20"/>
  <c r="N200" i="20"/>
  <c r="O200" i="20"/>
  <c r="R267" i="18"/>
  <c r="B267" i="18"/>
  <c r="F200" i="20" l="1"/>
  <c r="T200" i="20" s="1"/>
  <c r="AA200" i="20"/>
  <c r="AB200" i="20" s="1"/>
  <c r="X200" i="20" s="1"/>
  <c r="Z200" i="20"/>
  <c r="S200" i="20"/>
  <c r="C267" i="18"/>
  <c r="J267" i="18" s="1"/>
  <c r="L267" i="18"/>
  <c r="N267" i="18"/>
  <c r="AS267" i="18"/>
  <c r="T267" i="18"/>
  <c r="F267" i="18" s="1"/>
  <c r="H267" i="18" s="1"/>
  <c r="AL267" i="18"/>
  <c r="D267" i="18" l="1"/>
  <c r="V267" i="18" s="1"/>
  <c r="D201" i="20"/>
  <c r="J201" i="20" s="1"/>
  <c r="C201" i="20"/>
  <c r="X267" i="18"/>
  <c r="B268" i="18" s="1"/>
  <c r="AM267" i="18"/>
  <c r="H201" i="20" l="1"/>
  <c r="M201" i="20"/>
  <c r="V201" i="20"/>
  <c r="E201" i="20"/>
  <c r="N201" i="20"/>
  <c r="O201" i="20"/>
  <c r="U201" i="20"/>
  <c r="R201" i="20"/>
  <c r="I201" i="20"/>
  <c r="Q201" i="20"/>
  <c r="G201" i="20" s="1"/>
  <c r="K201" i="20" s="1"/>
  <c r="C268" i="18"/>
  <c r="J268" i="18" s="1"/>
  <c r="L268" i="18"/>
  <c r="N268" i="18"/>
  <c r="T268" i="18"/>
  <c r="F268" i="18" s="1"/>
  <c r="AS268" i="18"/>
  <c r="U268" i="18"/>
  <c r="AL268" i="18"/>
  <c r="S201" i="20" l="1"/>
  <c r="H268" i="18"/>
  <c r="D268" i="18"/>
  <c r="F201" i="20"/>
  <c r="T201" i="20" s="1"/>
  <c r="X201" i="20"/>
  <c r="AA201" i="20"/>
  <c r="AB201" i="20" s="1"/>
  <c r="Z201" i="20"/>
  <c r="X268" i="18"/>
  <c r="AM268" i="18"/>
  <c r="D202" i="20" l="1"/>
  <c r="J202" i="20" s="1"/>
  <c r="C202" i="20"/>
  <c r="V268" i="18"/>
  <c r="R269" i="18"/>
  <c r="B269" i="18"/>
  <c r="U202" i="20" l="1"/>
  <c r="I202" i="20"/>
  <c r="H202" i="20"/>
  <c r="E202" i="20"/>
  <c r="M202" i="20"/>
  <c r="Q202" i="20"/>
  <c r="G202" i="20" s="1"/>
  <c r="K202" i="20" s="1"/>
  <c r="N202" i="20"/>
  <c r="V202" i="20"/>
  <c r="O202" i="20"/>
  <c r="C269" i="18"/>
  <c r="J269" i="18"/>
  <c r="L269" i="18"/>
  <c r="N269" i="18"/>
  <c r="AL269" i="18"/>
  <c r="T269" i="18"/>
  <c r="F269" i="18" s="1"/>
  <c r="H269" i="18" s="1"/>
  <c r="AS269" i="18"/>
  <c r="F202" i="20" l="1"/>
  <c r="T202" i="20" s="1"/>
  <c r="D203" i="20" s="1"/>
  <c r="J203" i="20" s="1"/>
  <c r="D269" i="18"/>
  <c r="V269" i="18" s="1"/>
  <c r="S202" i="20"/>
  <c r="AA202" i="20"/>
  <c r="AB202" i="20" s="1"/>
  <c r="X202" i="20" s="1"/>
  <c r="Z202" i="20"/>
  <c r="X269" i="18"/>
  <c r="B270" i="18" s="1"/>
  <c r="AM269" i="18"/>
  <c r="C203" i="20" l="1"/>
  <c r="E203" i="20" s="1"/>
  <c r="H203" i="20"/>
  <c r="U203" i="20"/>
  <c r="I203" i="20"/>
  <c r="N203" i="20"/>
  <c r="C270" i="18"/>
  <c r="J270" i="18" s="1"/>
  <c r="L270" i="18"/>
  <c r="N270" i="18"/>
  <c r="AL270" i="18"/>
  <c r="AS270" i="18"/>
  <c r="T270" i="18"/>
  <c r="F270" i="18" s="1"/>
  <c r="H270" i="18" s="1"/>
  <c r="O203" i="20" l="1"/>
  <c r="V203" i="20"/>
  <c r="M203" i="20"/>
  <c r="Q203" i="20"/>
  <c r="G203" i="20" s="1"/>
  <c r="F203" i="20" s="1"/>
  <c r="T203" i="20" s="1"/>
  <c r="D270" i="18"/>
  <c r="V270" i="18" s="1"/>
  <c r="K203" i="20"/>
  <c r="S203" i="20" s="1"/>
  <c r="AA203" i="20"/>
  <c r="AB203" i="20" s="1"/>
  <c r="X203" i="20" s="1"/>
  <c r="Z203" i="20"/>
  <c r="AM270" i="18"/>
  <c r="X270" i="18" l="1"/>
  <c r="D204" i="20"/>
  <c r="J204" i="20" s="1"/>
  <c r="C204" i="20"/>
  <c r="R271" i="18"/>
  <c r="B271" i="18"/>
  <c r="H204" i="20" l="1"/>
  <c r="V204" i="20"/>
  <c r="O204" i="20"/>
  <c r="I204" i="20"/>
  <c r="G204" i="20"/>
  <c r="K204" i="20" s="1"/>
  <c r="U204" i="20"/>
  <c r="N204" i="20"/>
  <c r="E204" i="20"/>
  <c r="S204" i="20" s="1"/>
  <c r="M204" i="20"/>
  <c r="Q204" i="20"/>
  <c r="C271" i="18"/>
  <c r="J271" i="18" s="1"/>
  <c r="N271" i="18"/>
  <c r="L271" i="18"/>
  <c r="AS271" i="18"/>
  <c r="T271" i="18"/>
  <c r="F271" i="18" s="1"/>
  <c r="AL271" i="18"/>
  <c r="H271" i="18" l="1"/>
  <c r="D271" i="18"/>
  <c r="AA204" i="20"/>
  <c r="AB204" i="20" s="1"/>
  <c r="X204" i="20" s="1"/>
  <c r="Z204" i="20"/>
  <c r="F204" i="20"/>
  <c r="T204" i="20" s="1"/>
  <c r="X271" i="18"/>
  <c r="B272" i="18" s="1"/>
  <c r="AM271" i="18"/>
  <c r="D205" i="20" l="1"/>
  <c r="J205" i="20" s="1"/>
  <c r="C205" i="20"/>
  <c r="V271" i="18"/>
  <c r="C272" i="18"/>
  <c r="J272" i="18" s="1"/>
  <c r="N272" i="18"/>
  <c r="L272" i="18"/>
  <c r="AL272" i="18"/>
  <c r="T272" i="18"/>
  <c r="F272" i="18" s="1"/>
  <c r="AS272" i="18"/>
  <c r="H272" i="18" l="1"/>
  <c r="D272" i="18"/>
  <c r="O205" i="20"/>
  <c r="M205" i="20"/>
  <c r="U205" i="20"/>
  <c r="I205" i="20"/>
  <c r="G205" i="20"/>
  <c r="K205" i="20" s="1"/>
  <c r="V205" i="20"/>
  <c r="H205" i="20"/>
  <c r="E205" i="20"/>
  <c r="N205" i="20"/>
  <c r="Q205" i="20"/>
  <c r="X272" i="18"/>
  <c r="AM272" i="18"/>
  <c r="F205" i="20" l="1"/>
  <c r="T205" i="20" s="1"/>
  <c r="D206" i="20" s="1"/>
  <c r="J206" i="20" s="1"/>
  <c r="S205" i="20"/>
  <c r="C206" i="20"/>
  <c r="AA205" i="20"/>
  <c r="AB205" i="20" s="1"/>
  <c r="X205" i="20" s="1"/>
  <c r="Z205" i="20"/>
  <c r="V272" i="18"/>
  <c r="R273" i="18"/>
  <c r="B273" i="18"/>
  <c r="U206" i="20" l="1"/>
  <c r="H206" i="20"/>
  <c r="M206" i="20"/>
  <c r="I206" i="20"/>
  <c r="V206" i="20"/>
  <c r="E206" i="20"/>
  <c r="O206" i="20"/>
  <c r="N206" i="20"/>
  <c r="Q206" i="20"/>
  <c r="G206" i="20" s="1"/>
  <c r="C273" i="18"/>
  <c r="J273" i="18" s="1"/>
  <c r="N273" i="18"/>
  <c r="L273" i="18"/>
  <c r="T273" i="18"/>
  <c r="F273" i="18" s="1"/>
  <c r="H273" i="18" s="1"/>
  <c r="AL273" i="18"/>
  <c r="D273" i="18" s="1"/>
  <c r="AS273" i="18"/>
  <c r="V273" i="18" l="1"/>
  <c r="K206" i="20"/>
  <c r="S206" i="20" s="1"/>
  <c r="F206" i="20"/>
  <c r="T206" i="20" s="1"/>
  <c r="AA206" i="20"/>
  <c r="AB206" i="20" s="1"/>
  <c r="X206" i="20" s="1"/>
  <c r="Z206" i="20"/>
  <c r="X273" i="18"/>
  <c r="B274" i="18" s="1"/>
  <c r="AM273" i="18"/>
  <c r="D207" i="20" l="1"/>
  <c r="J207" i="20" s="1"/>
  <c r="C207" i="20"/>
  <c r="C274" i="18"/>
  <c r="J274" i="18" s="1"/>
  <c r="N274" i="18"/>
  <c r="L274" i="18"/>
  <c r="AS274" i="18"/>
  <c r="T274" i="18"/>
  <c r="F274" i="18" s="1"/>
  <c r="H274" i="18" l="1"/>
  <c r="AL274" i="18"/>
  <c r="D274" i="18" s="1"/>
  <c r="U207" i="20"/>
  <c r="O207" i="20"/>
  <c r="H207" i="20"/>
  <c r="V207" i="20"/>
  <c r="Q207" i="20"/>
  <c r="G207" i="20" s="1"/>
  <c r="K207" i="20" s="1"/>
  <c r="I207" i="20"/>
  <c r="E207" i="20"/>
  <c r="M207" i="20"/>
  <c r="N207" i="20"/>
  <c r="X274" i="18"/>
  <c r="AM274" i="18"/>
  <c r="V274" i="18" l="1"/>
  <c r="S207" i="20"/>
  <c r="AA207" i="20"/>
  <c r="AB207" i="20" s="1"/>
  <c r="X207" i="20" s="1"/>
  <c r="Z207" i="20"/>
  <c r="F207" i="20"/>
  <c r="T207" i="20" s="1"/>
  <c r="R275" i="18"/>
  <c r="B275" i="18"/>
  <c r="D208" i="20" l="1"/>
  <c r="J208" i="20" s="1"/>
  <c r="C208" i="20"/>
  <c r="V275" i="18"/>
  <c r="C275" i="18"/>
  <c r="J275" i="18"/>
  <c r="L275" i="18"/>
  <c r="N275" i="18"/>
  <c r="F275" i="18"/>
  <c r="H275" i="18" s="1"/>
  <c r="D275" i="18"/>
  <c r="AS275" i="18"/>
  <c r="AL275" i="18"/>
  <c r="T275" i="18"/>
  <c r="H208" i="20" l="1"/>
  <c r="O208" i="20"/>
  <c r="U208" i="20"/>
  <c r="I208" i="20"/>
  <c r="N208" i="20"/>
  <c r="Q208" i="20"/>
  <c r="G208" i="20" s="1"/>
  <c r="K208" i="20" s="1"/>
  <c r="V208" i="20"/>
  <c r="M208" i="20"/>
  <c r="E208" i="20"/>
  <c r="X275" i="18"/>
  <c r="B276" i="18" s="1"/>
  <c r="AM275" i="18"/>
  <c r="S208" i="20" l="1"/>
  <c r="F208" i="20"/>
  <c r="T208" i="20" s="1"/>
  <c r="AA208" i="20"/>
  <c r="AB208" i="20" s="1"/>
  <c r="X208" i="20" s="1"/>
  <c r="Z208" i="20"/>
  <c r="V276" i="18"/>
  <c r="C276" i="18"/>
  <c r="J276" i="18"/>
  <c r="L276" i="18"/>
  <c r="N276" i="18"/>
  <c r="F276" i="18"/>
  <c r="H276" i="18" s="1"/>
  <c r="D276" i="18"/>
  <c r="T276" i="18"/>
  <c r="AS276" i="18"/>
  <c r="AL276" i="18"/>
  <c r="D209" i="20" l="1"/>
  <c r="J209" i="20" s="1"/>
  <c r="C209" i="20"/>
  <c r="X276" i="18"/>
  <c r="AM276" i="18"/>
  <c r="V209" i="20" l="1"/>
  <c r="U209" i="20"/>
  <c r="O209" i="20"/>
  <c r="N209" i="20"/>
  <c r="M209" i="20"/>
  <c r="E209" i="20"/>
  <c r="H209" i="20"/>
  <c r="I209" i="20"/>
  <c r="Q209" i="20"/>
  <c r="R277" i="18"/>
  <c r="B277" i="18"/>
  <c r="G209" i="20" l="1"/>
  <c r="K209" i="20" s="1"/>
  <c r="S209" i="20" s="1"/>
  <c r="AA209" i="20"/>
  <c r="AB209" i="20" s="1"/>
  <c r="X209" i="20" s="1"/>
  <c r="Z209" i="20"/>
  <c r="V277" i="18"/>
  <c r="C277" i="18"/>
  <c r="J277" i="18"/>
  <c r="L277" i="18"/>
  <c r="N277" i="18"/>
  <c r="D277" i="18"/>
  <c r="F277" i="18"/>
  <c r="H277" i="18" s="1"/>
  <c r="AS277" i="18"/>
  <c r="AL277" i="18"/>
  <c r="T277" i="18"/>
  <c r="F209" i="20" l="1"/>
  <c r="T209" i="20" s="1"/>
  <c r="X277" i="18"/>
  <c r="B278" i="18" s="1"/>
  <c r="AM277" i="18"/>
  <c r="D210" i="20" l="1"/>
  <c r="J210" i="20" s="1"/>
  <c r="C210" i="20"/>
  <c r="V278" i="18"/>
  <c r="C278" i="18"/>
  <c r="J278" i="18"/>
  <c r="L278" i="18"/>
  <c r="D278" i="18"/>
  <c r="N278" i="18"/>
  <c r="F278" i="18"/>
  <c r="H278" i="18" s="1"/>
  <c r="T278" i="18"/>
  <c r="AL278" i="18"/>
  <c r="AS278" i="18"/>
  <c r="N210" i="20" l="1"/>
  <c r="E210" i="20"/>
  <c r="U210" i="20"/>
  <c r="V210" i="20"/>
  <c r="O210" i="20"/>
  <c r="Q210" i="20"/>
  <c r="G210" i="20" s="1"/>
  <c r="M210" i="20"/>
  <c r="I210" i="20"/>
  <c r="H210" i="20"/>
  <c r="X278" i="18"/>
  <c r="AM278" i="18"/>
  <c r="K210" i="20" l="1"/>
  <c r="S210" i="20" s="1"/>
  <c r="F210" i="20"/>
  <c r="T210" i="20" s="1"/>
  <c r="AA210" i="20"/>
  <c r="Z210" i="20"/>
  <c r="R279" i="18"/>
  <c r="B279" i="18"/>
  <c r="AB210" i="20" l="1"/>
  <c r="X210" i="20" s="1"/>
  <c r="D211" i="20"/>
  <c r="J211" i="20" s="1"/>
  <c r="C211" i="20"/>
  <c r="V279" i="18"/>
  <c r="C279" i="18"/>
  <c r="J279" i="18"/>
  <c r="N279" i="18"/>
  <c r="L279" i="18"/>
  <c r="D279" i="18"/>
  <c r="F279" i="18"/>
  <c r="H279" i="18" s="1"/>
  <c r="T279" i="18"/>
  <c r="AL279" i="18"/>
  <c r="AS279" i="18"/>
  <c r="M211" i="20" l="1"/>
  <c r="I211" i="20"/>
  <c r="V211" i="20"/>
  <c r="O211" i="20"/>
  <c r="E211" i="20"/>
  <c r="H211" i="20"/>
  <c r="Q211" i="20"/>
  <c r="G211" i="20" s="1"/>
  <c r="N211" i="20"/>
  <c r="U211" i="20"/>
  <c r="X279" i="18"/>
  <c r="B280" i="18" s="1"/>
  <c r="AM279" i="18"/>
  <c r="K211" i="20" l="1"/>
  <c r="S211" i="20" s="1"/>
  <c r="F211" i="20"/>
  <c r="T211" i="20" s="1"/>
  <c r="AA211" i="20"/>
  <c r="AB211" i="20" s="1"/>
  <c r="X211" i="20" s="1"/>
  <c r="Z211" i="20"/>
  <c r="V280" i="18"/>
  <c r="C280" i="18"/>
  <c r="J280" i="18"/>
  <c r="N280" i="18"/>
  <c r="L280" i="18"/>
  <c r="D280" i="18"/>
  <c r="F280" i="18"/>
  <c r="H280" i="18" s="1"/>
  <c r="AL280" i="18"/>
  <c r="T280" i="18"/>
  <c r="AS280" i="18"/>
  <c r="U280" i="18"/>
  <c r="D212" i="20" l="1"/>
  <c r="J212" i="20" s="1"/>
  <c r="C212" i="20"/>
  <c r="X280" i="18"/>
  <c r="AM280" i="18"/>
  <c r="Q212" i="20" l="1"/>
  <c r="N212" i="20"/>
  <c r="I212" i="20"/>
  <c r="E212" i="20"/>
  <c r="H212" i="20"/>
  <c r="M212" i="20"/>
  <c r="U212" i="20"/>
  <c r="G212" i="20"/>
  <c r="K212" i="20" s="1"/>
  <c r="O212" i="20"/>
  <c r="V212" i="20"/>
  <c r="R281" i="18"/>
  <c r="B281" i="18"/>
  <c r="S212" i="20" l="1"/>
  <c r="AA212" i="20"/>
  <c r="Z212" i="20"/>
  <c r="F212" i="20"/>
  <c r="T212" i="20" s="1"/>
  <c r="V281" i="18"/>
  <c r="C281" i="18"/>
  <c r="J281" i="18"/>
  <c r="N281" i="18"/>
  <c r="L281" i="18"/>
  <c r="F281" i="18"/>
  <c r="H281" i="18" s="1"/>
  <c r="D281" i="18"/>
  <c r="T281" i="18"/>
  <c r="AL281" i="18"/>
  <c r="AS281" i="18"/>
  <c r="AB212" i="20" l="1"/>
  <c r="X212" i="20" s="1"/>
  <c r="D213" i="20"/>
  <c r="J213" i="20" s="1"/>
  <c r="C213" i="20"/>
  <c r="X281" i="18"/>
  <c r="B282" i="18" s="1"/>
  <c r="AM281" i="18"/>
  <c r="M213" i="20" l="1"/>
  <c r="E213" i="20"/>
  <c r="Q213" i="20"/>
  <c r="G213" i="20" s="1"/>
  <c r="N213" i="20"/>
  <c r="U213" i="20"/>
  <c r="R213" i="20"/>
  <c r="I213" i="20"/>
  <c r="O213" i="20"/>
  <c r="H213" i="20"/>
  <c r="V213" i="20"/>
  <c r="V282" i="18"/>
  <c r="C282" i="18"/>
  <c r="J282" i="18"/>
  <c r="N282" i="18"/>
  <c r="F282" i="18"/>
  <c r="H282" i="18" s="1"/>
  <c r="L282" i="18"/>
  <c r="D282" i="18"/>
  <c r="T282" i="18"/>
  <c r="AS282" i="18"/>
  <c r="AL282" i="18"/>
  <c r="K213" i="20" l="1"/>
  <c r="S213" i="20" s="1"/>
  <c r="F213" i="20"/>
  <c r="T213" i="20" s="1"/>
  <c r="D214" i="20" s="1"/>
  <c r="J214" i="20" s="1"/>
  <c r="AA213" i="20"/>
  <c r="Z213" i="20"/>
  <c r="X282" i="18"/>
  <c r="AM282" i="18"/>
  <c r="C214" i="20" l="1"/>
  <c r="E214" i="20" s="1"/>
  <c r="AB213" i="20"/>
  <c r="X213" i="20" s="1"/>
  <c r="H214" i="20"/>
  <c r="O214" i="20"/>
  <c r="Q214" i="20"/>
  <c r="G214" i="20" s="1"/>
  <c r="V214" i="20"/>
  <c r="N214" i="20"/>
  <c r="M214" i="20"/>
  <c r="I214" i="20"/>
  <c r="R283" i="18"/>
  <c r="B283" i="18"/>
  <c r="U214" i="20" l="1"/>
  <c r="K214" i="20"/>
  <c r="F214" i="20"/>
  <c r="T214" i="20" s="1"/>
  <c r="S214" i="20"/>
  <c r="AA214" i="20"/>
  <c r="Z214" i="20"/>
  <c r="V283" i="18"/>
  <c r="C283" i="18"/>
  <c r="J283" i="18"/>
  <c r="L283" i="18"/>
  <c r="N283" i="18"/>
  <c r="F283" i="18"/>
  <c r="H283" i="18" s="1"/>
  <c r="D283" i="18"/>
  <c r="T283" i="18"/>
  <c r="AL283" i="18"/>
  <c r="AS283" i="18"/>
  <c r="AB214" i="20" l="1"/>
  <c r="X214" i="20" s="1"/>
  <c r="D215" i="20"/>
  <c r="J215" i="20" s="1"/>
  <c r="C215" i="20"/>
  <c r="X283" i="18"/>
  <c r="B284" i="18" s="1"/>
  <c r="AM283" i="18"/>
  <c r="V215" i="20" l="1"/>
  <c r="N215" i="20"/>
  <c r="M215" i="20"/>
  <c r="I215" i="20"/>
  <c r="U215" i="20"/>
  <c r="E215" i="20"/>
  <c r="Q215" i="20"/>
  <c r="G215" i="20" s="1"/>
  <c r="K215" i="20" s="1"/>
  <c r="H215" i="20"/>
  <c r="O215" i="20"/>
  <c r="V284" i="18"/>
  <c r="C284" i="18"/>
  <c r="J284" i="18"/>
  <c r="L284" i="18"/>
  <c r="N284" i="18"/>
  <c r="F284" i="18"/>
  <c r="H284" i="18" s="1"/>
  <c r="D284" i="18"/>
  <c r="AS284" i="18"/>
  <c r="T284" i="18"/>
  <c r="AL284" i="18"/>
  <c r="F215" i="20" l="1"/>
  <c r="T215" i="20" s="1"/>
  <c r="D216" i="20" s="1"/>
  <c r="J216" i="20" s="1"/>
  <c r="S215" i="20"/>
  <c r="AA215" i="20"/>
  <c r="AB215" i="20" s="1"/>
  <c r="X215" i="20" s="1"/>
  <c r="Z215" i="20"/>
  <c r="X284" i="18"/>
  <c r="AM284" i="18"/>
  <c r="C216" i="20" l="1"/>
  <c r="V216" i="20" s="1"/>
  <c r="R285" i="18"/>
  <c r="B285" i="18"/>
  <c r="O216" i="20" l="1"/>
  <c r="N216" i="20"/>
  <c r="M216" i="20"/>
  <c r="AA216" i="20" s="1"/>
  <c r="AB216" i="20" s="1"/>
  <c r="U216" i="20"/>
  <c r="E216" i="20"/>
  <c r="Q216" i="20"/>
  <c r="G216" i="20" s="1"/>
  <c r="K216" i="20" s="1"/>
  <c r="I216" i="20"/>
  <c r="H216" i="20"/>
  <c r="V285" i="18"/>
  <c r="C285" i="18"/>
  <c r="J285" i="18"/>
  <c r="L285" i="18"/>
  <c r="N285" i="18"/>
  <c r="D285" i="18"/>
  <c r="F285" i="18"/>
  <c r="H285" i="18" s="1"/>
  <c r="AS285" i="18"/>
  <c r="AL285" i="18"/>
  <c r="T285" i="18"/>
  <c r="Z216" i="20" l="1"/>
  <c r="F216" i="20"/>
  <c r="T216" i="20" s="1"/>
  <c r="C217" i="20"/>
  <c r="U217" i="20" s="1"/>
  <c r="D217" i="20"/>
  <c r="J217" i="20" s="1"/>
  <c r="X216" i="20"/>
  <c r="S216" i="20"/>
  <c r="E217" i="20"/>
  <c r="X285" i="18"/>
  <c r="B286" i="18" s="1"/>
  <c r="AM285" i="18"/>
  <c r="O217" i="20" l="1"/>
  <c r="H217" i="20"/>
  <c r="Q217" i="20"/>
  <c r="G217" i="20" s="1"/>
  <c r="K217" i="20" s="1"/>
  <c r="M217" i="20"/>
  <c r="Z217" i="20" s="1"/>
  <c r="I217" i="20"/>
  <c r="S217" i="20" s="1"/>
  <c r="V217" i="20"/>
  <c r="N217" i="20"/>
  <c r="F217" i="20"/>
  <c r="T217" i="20" s="1"/>
  <c r="V286" i="18"/>
  <c r="C286" i="18"/>
  <c r="J286" i="18"/>
  <c r="L286" i="18"/>
  <c r="D286" i="18"/>
  <c r="F286" i="18"/>
  <c r="H286" i="18" s="1"/>
  <c r="N286" i="18"/>
  <c r="AS286" i="18"/>
  <c r="AL286" i="18"/>
  <c r="T286" i="18"/>
  <c r="AA217" i="20" l="1"/>
  <c r="AB217" i="20" s="1"/>
  <c r="X217" i="20" s="1"/>
  <c r="D218" i="20"/>
  <c r="J218" i="20" s="1"/>
  <c r="C218" i="20"/>
  <c r="X286" i="18"/>
  <c r="AM286" i="18"/>
  <c r="E218" i="20" l="1"/>
  <c r="Q218" i="20"/>
  <c r="V218" i="20"/>
  <c r="U218" i="20"/>
  <c r="O218" i="20"/>
  <c r="G218" i="20"/>
  <c r="K218" i="20" s="1"/>
  <c r="I218" i="20"/>
  <c r="H218" i="20"/>
  <c r="M218" i="20"/>
  <c r="N218" i="20"/>
  <c r="R287" i="18"/>
  <c r="B287" i="18"/>
  <c r="F218" i="20" l="1"/>
  <c r="T218" i="20" s="1"/>
  <c r="D219" i="20" s="1"/>
  <c r="J219" i="20" s="1"/>
  <c r="AA218" i="20"/>
  <c r="Z218" i="20"/>
  <c r="S218" i="20"/>
  <c r="V287" i="18"/>
  <c r="C287" i="18"/>
  <c r="J287" i="18"/>
  <c r="N287" i="18"/>
  <c r="L287" i="18"/>
  <c r="D287" i="18"/>
  <c r="F287" i="18"/>
  <c r="H287" i="18" s="1"/>
  <c r="T287" i="18"/>
  <c r="AL287" i="18"/>
  <c r="AS287" i="18"/>
  <c r="AB218" i="20" l="1"/>
  <c r="X218" i="20" s="1"/>
  <c r="C219" i="20"/>
  <c r="I219" i="20" s="1"/>
  <c r="X287" i="18"/>
  <c r="B288" i="18" s="1"/>
  <c r="AM287" i="18"/>
  <c r="M219" i="20" l="1"/>
  <c r="V219" i="20"/>
  <c r="H219" i="20"/>
  <c r="N219" i="20"/>
  <c r="Q219" i="20"/>
  <c r="G219" i="20" s="1"/>
  <c r="K219" i="20" s="1"/>
  <c r="U219" i="20"/>
  <c r="E219" i="20"/>
  <c r="O219" i="20"/>
  <c r="AA219" i="20"/>
  <c r="AB219" i="20" s="1"/>
  <c r="Z219" i="20"/>
  <c r="V288" i="18"/>
  <c r="C288" i="18"/>
  <c r="J288" i="18"/>
  <c r="N288" i="18"/>
  <c r="L288" i="18"/>
  <c r="D288" i="18"/>
  <c r="F288" i="18"/>
  <c r="H288" i="18" s="1"/>
  <c r="T288" i="18"/>
  <c r="AS288" i="18"/>
  <c r="AL288" i="18"/>
  <c r="S219" i="20" l="1"/>
  <c r="F219" i="20"/>
  <c r="T219" i="20" s="1"/>
  <c r="D220" i="20" s="1"/>
  <c r="J220" i="20" s="1"/>
  <c r="X219" i="20"/>
  <c r="X288" i="18"/>
  <c r="AM288" i="18"/>
  <c r="C220" i="20" l="1"/>
  <c r="E220" i="20" s="1"/>
  <c r="I220" i="20"/>
  <c r="O220" i="20"/>
  <c r="Q220" i="20"/>
  <c r="G220" i="20" s="1"/>
  <c r="K220" i="20" s="1"/>
  <c r="M220" i="20"/>
  <c r="V220" i="20"/>
  <c r="H220" i="20"/>
  <c r="R289" i="18"/>
  <c r="B289" i="18"/>
  <c r="U220" i="20" l="1"/>
  <c r="N220" i="20"/>
  <c r="S220" i="20"/>
  <c r="AA220" i="20"/>
  <c r="AB220" i="20" s="1"/>
  <c r="X220" i="20" s="1"/>
  <c r="Z220" i="20"/>
  <c r="F220" i="20"/>
  <c r="T220" i="20" s="1"/>
  <c r="V289" i="18"/>
  <c r="C289" i="18"/>
  <c r="J289" i="18"/>
  <c r="N289" i="18"/>
  <c r="L289" i="18"/>
  <c r="F289" i="18"/>
  <c r="H289" i="18" s="1"/>
  <c r="D289" i="18"/>
  <c r="T289" i="18"/>
  <c r="AL289" i="18"/>
  <c r="AS289" i="18"/>
  <c r="D221" i="20" l="1"/>
  <c r="J221" i="20" s="1"/>
  <c r="C221" i="20"/>
  <c r="X289" i="18"/>
  <c r="B290" i="18" s="1"/>
  <c r="AM289" i="18"/>
  <c r="M221" i="20" l="1"/>
  <c r="O221" i="20"/>
  <c r="I221" i="20"/>
  <c r="V221" i="20"/>
  <c r="Q221" i="20"/>
  <c r="G221" i="20" s="1"/>
  <c r="N221" i="20"/>
  <c r="E221" i="20"/>
  <c r="U221" i="20"/>
  <c r="H221" i="20"/>
  <c r="V290" i="18"/>
  <c r="C290" i="18"/>
  <c r="J290" i="18"/>
  <c r="N290" i="18"/>
  <c r="F290" i="18"/>
  <c r="H290" i="18" s="1"/>
  <c r="L290" i="18"/>
  <c r="D290" i="18"/>
  <c r="AS290" i="18"/>
  <c r="AL290" i="18"/>
  <c r="T290" i="18"/>
  <c r="K221" i="20" l="1"/>
  <c r="S221" i="20" s="1"/>
  <c r="F221" i="20"/>
  <c r="T221" i="20" s="1"/>
  <c r="AA221" i="20"/>
  <c r="AB221" i="20" s="1"/>
  <c r="X221" i="20" s="1"/>
  <c r="Z221" i="20"/>
  <c r="X290" i="18"/>
  <c r="AM290" i="18"/>
  <c r="D222" i="20" l="1"/>
  <c r="J222" i="20" s="1"/>
  <c r="C222" i="20"/>
  <c r="R291" i="18"/>
  <c r="B291" i="18"/>
  <c r="H222" i="20" l="1"/>
  <c r="V222" i="20"/>
  <c r="M222" i="20"/>
  <c r="E222" i="20"/>
  <c r="U222" i="20"/>
  <c r="O222" i="20"/>
  <c r="N222" i="20"/>
  <c r="Q222" i="20"/>
  <c r="G222" i="20" s="1"/>
  <c r="K222" i="20" s="1"/>
  <c r="I222" i="20"/>
  <c r="V291" i="18"/>
  <c r="C291" i="18"/>
  <c r="J291" i="18"/>
  <c r="L291" i="18"/>
  <c r="N291" i="18"/>
  <c r="F291" i="18"/>
  <c r="H291" i="18" s="1"/>
  <c r="D291" i="18"/>
  <c r="T291" i="18"/>
  <c r="AL291" i="18"/>
  <c r="AS291" i="18"/>
  <c r="F222" i="20" l="1"/>
  <c r="T222" i="20" s="1"/>
  <c r="S222" i="20"/>
  <c r="AA222" i="20"/>
  <c r="AB222" i="20" s="1"/>
  <c r="X222" i="20" s="1"/>
  <c r="Z222" i="20"/>
  <c r="X291" i="18"/>
  <c r="B292" i="18" s="1"/>
  <c r="AM291" i="18"/>
  <c r="D223" i="20" l="1"/>
  <c r="J223" i="20" s="1"/>
  <c r="C223" i="20"/>
  <c r="V292" i="18"/>
  <c r="C292" i="18"/>
  <c r="J292" i="18"/>
  <c r="L292" i="18"/>
  <c r="N292" i="18"/>
  <c r="D292" i="18"/>
  <c r="F292" i="18"/>
  <c r="H292" i="18" s="1"/>
  <c r="T292" i="18"/>
  <c r="AS292" i="18"/>
  <c r="U292" i="18"/>
  <c r="AL292" i="18"/>
  <c r="Q223" i="20" l="1"/>
  <c r="H223" i="20"/>
  <c r="G223" i="20"/>
  <c r="K223" i="20" s="1"/>
  <c r="I223" i="20"/>
  <c r="O223" i="20"/>
  <c r="N223" i="20"/>
  <c r="M223" i="20"/>
  <c r="U223" i="20"/>
  <c r="V223" i="20"/>
  <c r="E223" i="20"/>
  <c r="X292" i="18"/>
  <c r="AM292" i="18"/>
  <c r="S223" i="20" l="1"/>
  <c r="F223" i="20"/>
  <c r="T223" i="20" s="1"/>
  <c r="AA223" i="20"/>
  <c r="AB223" i="20" s="1"/>
  <c r="X223" i="20" s="1"/>
  <c r="Z223" i="20"/>
  <c r="R293" i="18"/>
  <c r="B293" i="18"/>
  <c r="D224" i="20" l="1"/>
  <c r="J224" i="20" s="1"/>
  <c r="C224" i="20"/>
  <c r="V293" i="18"/>
  <c r="C293" i="18"/>
  <c r="J293" i="18"/>
  <c r="L293" i="18"/>
  <c r="N293" i="18"/>
  <c r="D293" i="18"/>
  <c r="F293" i="18"/>
  <c r="H293" i="18" s="1"/>
  <c r="AS293" i="18"/>
  <c r="T293" i="18"/>
  <c r="AL293" i="18"/>
  <c r="E224" i="20" l="1"/>
  <c r="U224" i="20"/>
  <c r="N224" i="20"/>
  <c r="H224" i="20"/>
  <c r="G224" i="20"/>
  <c r="K224" i="20" s="1"/>
  <c r="M224" i="20"/>
  <c r="I224" i="20"/>
  <c r="O224" i="20"/>
  <c r="Q224" i="20"/>
  <c r="V224" i="20"/>
  <c r="X293" i="18"/>
  <c r="B294" i="18" s="1"/>
  <c r="AM293" i="18"/>
  <c r="S224" i="20" l="1"/>
  <c r="F224" i="20"/>
  <c r="T224" i="20" s="1"/>
  <c r="C225" i="20" s="1"/>
  <c r="AA224" i="20"/>
  <c r="Z224" i="20"/>
  <c r="V294" i="18"/>
  <c r="C294" i="18"/>
  <c r="J294" i="18"/>
  <c r="L294" i="18"/>
  <c r="D294" i="18"/>
  <c r="N294" i="18"/>
  <c r="F294" i="18"/>
  <c r="H294" i="18" s="1"/>
  <c r="T294" i="18"/>
  <c r="AL294" i="18"/>
  <c r="AS294" i="18"/>
  <c r="D225" i="20" l="1"/>
  <c r="J225" i="20" s="1"/>
  <c r="AB224" i="20"/>
  <c r="X224" i="20" s="1"/>
  <c r="E225" i="20"/>
  <c r="I225" i="20"/>
  <c r="Q225" i="20"/>
  <c r="G225" i="20" s="1"/>
  <c r="K225" i="20" s="1"/>
  <c r="M225" i="20"/>
  <c r="N225" i="20"/>
  <c r="V225" i="20"/>
  <c r="H225" i="20"/>
  <c r="O225" i="20"/>
  <c r="U225" i="20"/>
  <c r="R225" i="20"/>
  <c r="X294" i="18"/>
  <c r="AM294" i="18"/>
  <c r="S225" i="20" l="1"/>
  <c r="AA225" i="20"/>
  <c r="AB225" i="20" s="1"/>
  <c r="X225" i="20" s="1"/>
  <c r="Z225" i="20"/>
  <c r="F225" i="20"/>
  <c r="T225" i="20" s="1"/>
  <c r="R295" i="18"/>
  <c r="B295" i="18"/>
  <c r="D226" i="20" l="1"/>
  <c r="J226" i="20" s="1"/>
  <c r="C226" i="20"/>
  <c r="V295" i="18"/>
  <c r="C295" i="18"/>
  <c r="J295" i="18"/>
  <c r="N295" i="18"/>
  <c r="L295" i="18"/>
  <c r="D295" i="18"/>
  <c r="F295" i="18"/>
  <c r="H295" i="18" s="1"/>
  <c r="T295" i="18"/>
  <c r="AS295" i="18"/>
  <c r="AL295" i="18"/>
  <c r="V226" i="20" l="1"/>
  <c r="O226" i="20"/>
  <c r="Q226" i="20"/>
  <c r="I226" i="20"/>
  <c r="G226" i="20"/>
  <c r="K226" i="20" s="1"/>
  <c r="E226" i="20"/>
  <c r="F226" i="20" s="1"/>
  <c r="T226" i="20" s="1"/>
  <c r="H226" i="20"/>
  <c r="N226" i="20"/>
  <c r="M226" i="20"/>
  <c r="U226" i="20"/>
  <c r="X295" i="18"/>
  <c r="B296" i="18" s="1"/>
  <c r="AM295" i="18"/>
  <c r="D227" i="20" l="1"/>
  <c r="J227" i="20" s="1"/>
  <c r="C227" i="20"/>
  <c r="S226" i="20"/>
  <c r="AA226" i="20"/>
  <c r="Z226" i="20"/>
  <c r="V296" i="18"/>
  <c r="C296" i="18"/>
  <c r="J296" i="18"/>
  <c r="N296" i="18"/>
  <c r="L296" i="18"/>
  <c r="D296" i="18"/>
  <c r="F296" i="18"/>
  <c r="H296" i="18" s="1"/>
  <c r="AS296" i="18"/>
  <c r="T296" i="18"/>
  <c r="AL296" i="18"/>
  <c r="AB226" i="20" l="1"/>
  <c r="X226" i="20" s="1"/>
  <c r="N227" i="20"/>
  <c r="U227" i="20"/>
  <c r="M227" i="20"/>
  <c r="Q227" i="20"/>
  <c r="G227" i="20" s="1"/>
  <c r="K227" i="20" s="1"/>
  <c r="V227" i="20"/>
  <c r="H227" i="20"/>
  <c r="O227" i="20"/>
  <c r="I227" i="20"/>
  <c r="E227" i="20"/>
  <c r="X296" i="18"/>
  <c r="AM296" i="18"/>
  <c r="F227" i="20" l="1"/>
  <c r="T227" i="20" s="1"/>
  <c r="C228" i="20" s="1"/>
  <c r="AA227" i="20"/>
  <c r="AB227" i="20" s="1"/>
  <c r="X227" i="20" s="1"/>
  <c r="Z227" i="20"/>
  <c r="S227" i="20"/>
  <c r="R297" i="18"/>
  <c r="B297" i="18"/>
  <c r="D228" i="20" l="1"/>
  <c r="J228" i="20" s="1"/>
  <c r="U228" i="20"/>
  <c r="I228" i="20"/>
  <c r="V228" i="20"/>
  <c r="N228" i="20"/>
  <c r="H228" i="20"/>
  <c r="O228" i="20"/>
  <c r="Q228" i="20"/>
  <c r="G228" i="20" s="1"/>
  <c r="K228" i="20" s="1"/>
  <c r="M228" i="20"/>
  <c r="E228" i="20"/>
  <c r="V297" i="18"/>
  <c r="C297" i="18"/>
  <c r="J297" i="18"/>
  <c r="N297" i="18"/>
  <c r="L297" i="18"/>
  <c r="F297" i="18"/>
  <c r="H297" i="18" s="1"/>
  <c r="D297" i="18"/>
  <c r="T297" i="18"/>
  <c r="AS297" i="18"/>
  <c r="AL297" i="18"/>
  <c r="S228" i="20" l="1"/>
  <c r="F228" i="20"/>
  <c r="T228" i="20" s="1"/>
  <c r="AA228" i="20"/>
  <c r="AB228" i="20" s="1"/>
  <c r="X228" i="20" s="1"/>
  <c r="Z228" i="20"/>
  <c r="X297" i="18"/>
  <c r="B298" i="18" s="1"/>
  <c r="AM297" i="18"/>
  <c r="D229" i="20" l="1"/>
  <c r="J229" i="20" s="1"/>
  <c r="C229" i="20"/>
  <c r="V298" i="18"/>
  <c r="C298" i="18"/>
  <c r="J298" i="18"/>
  <c r="N298" i="18"/>
  <c r="F298" i="18"/>
  <c r="H298" i="18" s="1"/>
  <c r="L298" i="18"/>
  <c r="D298" i="18"/>
  <c r="AL298" i="18"/>
  <c r="T298" i="18"/>
  <c r="AS298" i="18"/>
  <c r="N229" i="20" l="1"/>
  <c r="H229" i="20"/>
  <c r="Q229" i="20"/>
  <c r="O229" i="20"/>
  <c r="G229" i="20"/>
  <c r="K229" i="20" s="1"/>
  <c r="U229" i="20"/>
  <c r="M229" i="20"/>
  <c r="V229" i="20"/>
  <c r="E229" i="20"/>
  <c r="I229" i="20"/>
  <c r="X298" i="18"/>
  <c r="AM298" i="18"/>
  <c r="S229" i="20" l="1"/>
  <c r="AA229" i="20"/>
  <c r="AB229" i="20" s="1"/>
  <c r="X229" i="20" s="1"/>
  <c r="Z229" i="20"/>
  <c r="F229" i="20"/>
  <c r="T229" i="20" s="1"/>
  <c r="R299" i="18"/>
  <c r="B299" i="18"/>
  <c r="D230" i="20" l="1"/>
  <c r="J230" i="20" s="1"/>
  <c r="C230" i="20"/>
  <c r="V299" i="18"/>
  <c r="C299" i="18"/>
  <c r="J299" i="18"/>
  <c r="L299" i="18"/>
  <c r="N299" i="18"/>
  <c r="F299" i="18"/>
  <c r="H299" i="18" s="1"/>
  <c r="D299" i="18"/>
  <c r="T299" i="18"/>
  <c r="AS299" i="18"/>
  <c r="AL299" i="18"/>
  <c r="I230" i="20" l="1"/>
  <c r="U230" i="20"/>
  <c r="H230" i="20"/>
  <c r="N230" i="20"/>
  <c r="Q230" i="20"/>
  <c r="G230" i="20" s="1"/>
  <c r="K230" i="20" s="1"/>
  <c r="E230" i="20"/>
  <c r="O230" i="20"/>
  <c r="V230" i="20"/>
  <c r="M230" i="20"/>
  <c r="X299" i="18"/>
  <c r="B300" i="18" s="1"/>
  <c r="AM299" i="18"/>
  <c r="S230" i="20" l="1"/>
  <c r="AA230" i="20"/>
  <c r="AB230" i="20" s="1"/>
  <c r="X230" i="20" s="1"/>
  <c r="Z230" i="20"/>
  <c r="F230" i="20"/>
  <c r="T230" i="20" s="1"/>
  <c r="V300" i="18"/>
  <c r="C300" i="18"/>
  <c r="J300" i="18"/>
  <c r="L300" i="18"/>
  <c r="N300" i="18"/>
  <c r="D300" i="18"/>
  <c r="AL300" i="18"/>
  <c r="T300" i="18"/>
  <c r="F300" i="18"/>
  <c r="H300" i="18" s="1"/>
  <c r="AS300" i="18"/>
  <c r="D231" i="20" l="1"/>
  <c r="J231" i="20" s="1"/>
  <c r="C231" i="20"/>
  <c r="X300" i="18"/>
  <c r="AM300" i="18"/>
  <c r="I231" i="20" l="1"/>
  <c r="E231" i="20"/>
  <c r="N231" i="20"/>
  <c r="M231" i="20"/>
  <c r="U231" i="20"/>
  <c r="O231" i="20"/>
  <c r="V231" i="20"/>
  <c r="G231" i="20"/>
  <c r="K231" i="20" s="1"/>
  <c r="Q231" i="20"/>
  <c r="H231" i="20"/>
  <c r="R301" i="18"/>
  <c r="B301" i="18"/>
  <c r="F231" i="20" l="1"/>
  <c r="T231" i="20" s="1"/>
  <c r="D232" i="20" s="1"/>
  <c r="J232" i="20" s="1"/>
  <c r="AA231" i="20"/>
  <c r="Z231" i="20"/>
  <c r="S231" i="20"/>
  <c r="V301" i="18"/>
  <c r="C301" i="18"/>
  <c r="J301" i="18"/>
  <c r="L301" i="18"/>
  <c r="N301" i="18"/>
  <c r="D301" i="18"/>
  <c r="F301" i="18"/>
  <c r="H301" i="18" s="1"/>
  <c r="T301" i="18"/>
  <c r="AS301" i="18"/>
  <c r="AL301" i="18"/>
  <c r="C232" i="20" l="1"/>
  <c r="U232" i="20" s="1"/>
  <c r="AB231" i="20"/>
  <c r="X231" i="20" s="1"/>
  <c r="I232" i="20"/>
  <c r="M232" i="20"/>
  <c r="Q232" i="20"/>
  <c r="G232" i="20" s="1"/>
  <c r="K232" i="20" s="1"/>
  <c r="V232" i="20"/>
  <c r="O232" i="20"/>
  <c r="E232" i="20"/>
  <c r="N232" i="20"/>
  <c r="H232" i="20"/>
  <c r="X301" i="18"/>
  <c r="B302" i="18" s="1"/>
  <c r="AM301" i="18"/>
  <c r="F232" i="20" l="1"/>
  <c r="T232" i="20" s="1"/>
  <c r="D233" i="20" s="1"/>
  <c r="J233" i="20" s="1"/>
  <c r="S232" i="20"/>
  <c r="AA232" i="20"/>
  <c r="AB232" i="20" s="1"/>
  <c r="X232" i="20" s="1"/>
  <c r="Z232" i="20"/>
  <c r="V302" i="18"/>
  <c r="C302" i="18"/>
  <c r="J302" i="18"/>
  <c r="L302" i="18"/>
  <c r="N302" i="18"/>
  <c r="D302" i="18"/>
  <c r="T302" i="18"/>
  <c r="AS302" i="18"/>
  <c r="AL302" i="18"/>
  <c r="F302" i="18"/>
  <c r="H302" i="18" s="1"/>
  <c r="C233" i="20" l="1"/>
  <c r="U233" i="20" s="1"/>
  <c r="I233" i="20"/>
  <c r="H233" i="20"/>
  <c r="M233" i="20"/>
  <c r="Q233" i="20"/>
  <c r="G233" i="20" s="1"/>
  <c r="K233" i="20" s="1"/>
  <c r="V233" i="20"/>
  <c r="E233" i="20"/>
  <c r="X302" i="18"/>
  <c r="AM302" i="18"/>
  <c r="O233" i="20" l="1"/>
  <c r="N233" i="20"/>
  <c r="F233" i="20"/>
  <c r="T233" i="20" s="1"/>
  <c r="S233" i="20"/>
  <c r="X233" i="20"/>
  <c r="AA233" i="20"/>
  <c r="AB233" i="20" s="1"/>
  <c r="Z233" i="20"/>
  <c r="R303" i="18"/>
  <c r="B303" i="18"/>
  <c r="D234" i="20" l="1"/>
  <c r="J234" i="20" s="1"/>
  <c r="C234" i="20"/>
  <c r="V303" i="18"/>
  <c r="C303" i="18"/>
  <c r="J303" i="18"/>
  <c r="N303" i="18"/>
  <c r="L303" i="18"/>
  <c r="D303" i="18"/>
  <c r="F303" i="18"/>
  <c r="H303" i="18" s="1"/>
  <c r="AL303" i="18"/>
  <c r="T303" i="18"/>
  <c r="AS303" i="18"/>
  <c r="E234" i="20" l="1"/>
  <c r="M234" i="20"/>
  <c r="I234" i="20"/>
  <c r="V234" i="20"/>
  <c r="H234" i="20"/>
  <c r="O234" i="20"/>
  <c r="U234" i="20"/>
  <c r="Q234" i="20"/>
  <c r="G234" i="20" s="1"/>
  <c r="K234" i="20" s="1"/>
  <c r="N234" i="20"/>
  <c r="X303" i="18"/>
  <c r="B304" i="18" s="1"/>
  <c r="AM303" i="18"/>
  <c r="F234" i="20" l="1"/>
  <c r="T234" i="20" s="1"/>
  <c r="AA234" i="20"/>
  <c r="AB234" i="20" s="1"/>
  <c r="X234" i="20" s="1"/>
  <c r="Z234" i="20"/>
  <c r="S234" i="20"/>
  <c r="V304" i="18"/>
  <c r="C304" i="18"/>
  <c r="J304" i="18"/>
  <c r="N304" i="18"/>
  <c r="L304" i="18"/>
  <c r="D304" i="18"/>
  <c r="F304" i="18"/>
  <c r="H304" i="18" s="1"/>
  <c r="AL304" i="18"/>
  <c r="T304" i="18"/>
  <c r="AS304" i="18"/>
  <c r="U304" i="18"/>
  <c r="D235" i="20" l="1"/>
  <c r="J235" i="20" s="1"/>
  <c r="C235" i="20"/>
  <c r="X304" i="18"/>
  <c r="AM304" i="18"/>
  <c r="Q235" i="20" l="1"/>
  <c r="H235" i="20"/>
  <c r="E235" i="20"/>
  <c r="G235" i="20"/>
  <c r="K235" i="20" s="1"/>
  <c r="M235" i="20"/>
  <c r="U235" i="20"/>
  <c r="V235" i="20"/>
  <c r="O235" i="20"/>
  <c r="I235" i="20"/>
  <c r="N235" i="20"/>
  <c r="R305" i="18"/>
  <c r="B305" i="18"/>
  <c r="F235" i="20" l="1"/>
  <c r="T235" i="20" s="1"/>
  <c r="D236" i="20" s="1"/>
  <c r="J236" i="20" s="1"/>
  <c r="AA235" i="20"/>
  <c r="AB235" i="20" s="1"/>
  <c r="X235" i="20" s="1"/>
  <c r="Z235" i="20"/>
  <c r="S235" i="20"/>
  <c r="V305" i="18"/>
  <c r="C305" i="18"/>
  <c r="J305" i="18"/>
  <c r="N305" i="18"/>
  <c r="L305" i="18"/>
  <c r="F305" i="18"/>
  <c r="H305" i="18" s="1"/>
  <c r="D305" i="18"/>
  <c r="T305" i="18"/>
  <c r="AS305" i="18"/>
  <c r="AL305" i="18"/>
  <c r="C236" i="20" l="1"/>
  <c r="H236" i="20" s="1"/>
  <c r="X305" i="18"/>
  <c r="B306" i="18" s="1"/>
  <c r="AM305" i="18"/>
  <c r="Q236" i="20" l="1"/>
  <c r="G236" i="20" s="1"/>
  <c r="K236" i="20" s="1"/>
  <c r="N236" i="20"/>
  <c r="M236" i="20"/>
  <c r="AA236" i="20" s="1"/>
  <c r="U236" i="20"/>
  <c r="E236" i="20"/>
  <c r="F236" i="20" s="1"/>
  <c r="T236" i="20" s="1"/>
  <c r="D237" i="20" s="1"/>
  <c r="J237" i="20" s="1"/>
  <c r="V236" i="20"/>
  <c r="I236" i="20"/>
  <c r="O236" i="20"/>
  <c r="Z236" i="20"/>
  <c r="V306" i="18"/>
  <c r="C306" i="18"/>
  <c r="J306" i="18"/>
  <c r="N306" i="18"/>
  <c r="F306" i="18"/>
  <c r="H306" i="18" s="1"/>
  <c r="D306" i="18"/>
  <c r="L306" i="18"/>
  <c r="T306" i="18"/>
  <c r="AS306" i="18"/>
  <c r="AL306" i="18"/>
  <c r="S236" i="20" l="1"/>
  <c r="C237" i="20"/>
  <c r="I237" i="20" s="1"/>
  <c r="AB236" i="20"/>
  <c r="X236" i="20" s="1"/>
  <c r="Q237" i="20"/>
  <c r="G237" i="20" s="1"/>
  <c r="K237" i="20" s="1"/>
  <c r="O237" i="20"/>
  <c r="M237" i="20"/>
  <c r="R237" i="20"/>
  <c r="H237" i="20"/>
  <c r="E237" i="20"/>
  <c r="X306" i="18"/>
  <c r="AM306" i="18"/>
  <c r="U237" i="20" l="1"/>
  <c r="N237" i="20"/>
  <c r="V237" i="20"/>
  <c r="S237" i="20"/>
  <c r="F237" i="20"/>
  <c r="T237" i="20" s="1"/>
  <c r="AA237" i="20"/>
  <c r="AB237" i="20" s="1"/>
  <c r="X237" i="20" s="1"/>
  <c r="Z237" i="20"/>
  <c r="R307" i="18"/>
  <c r="B307" i="18"/>
  <c r="D238" i="20" l="1"/>
  <c r="J238" i="20" s="1"/>
  <c r="C238" i="20"/>
  <c r="V307" i="18"/>
  <c r="C307" i="18"/>
  <c r="J307" i="18"/>
  <c r="L307" i="18"/>
  <c r="N307" i="18"/>
  <c r="F307" i="18"/>
  <c r="H307" i="18" s="1"/>
  <c r="D307" i="18"/>
  <c r="T307" i="18"/>
  <c r="AL307" i="18"/>
  <c r="AS307" i="18"/>
  <c r="V238" i="20" l="1"/>
  <c r="O238" i="20"/>
  <c r="H238" i="20"/>
  <c r="N238" i="20"/>
  <c r="I238" i="20"/>
  <c r="E238" i="20"/>
  <c r="U238" i="20"/>
  <c r="M238" i="20"/>
  <c r="Q238" i="20"/>
  <c r="G238" i="20" s="1"/>
  <c r="K238" i="20" s="1"/>
  <c r="X307" i="18"/>
  <c r="B308" i="18" s="1"/>
  <c r="AM307" i="18"/>
  <c r="S238" i="20" l="1"/>
  <c r="F238" i="20"/>
  <c r="T238" i="20" s="1"/>
  <c r="AA238" i="20"/>
  <c r="AB238" i="20" s="1"/>
  <c r="X238" i="20" s="1"/>
  <c r="Z238" i="20"/>
  <c r="V308" i="18"/>
  <c r="C308" i="18"/>
  <c r="J308" i="18"/>
  <c r="L308" i="18"/>
  <c r="N308" i="18"/>
  <c r="D308" i="18"/>
  <c r="T308" i="18"/>
  <c r="AS308" i="18"/>
  <c r="AL308" i="18"/>
  <c r="F308" i="18"/>
  <c r="H308" i="18" s="1"/>
  <c r="D239" i="20" l="1"/>
  <c r="J239" i="20" s="1"/>
  <c r="C239" i="20"/>
  <c r="X308" i="18"/>
  <c r="AM308" i="18"/>
  <c r="Q239" i="20" l="1"/>
  <c r="G239" i="20" s="1"/>
  <c r="K239" i="20" s="1"/>
  <c r="V239" i="20"/>
  <c r="M239" i="20"/>
  <c r="U239" i="20"/>
  <c r="N239" i="20"/>
  <c r="O239" i="20"/>
  <c r="H239" i="20"/>
  <c r="I239" i="20"/>
  <c r="E239" i="20"/>
  <c r="R309" i="18"/>
  <c r="B309" i="18"/>
  <c r="F239" i="20" l="1"/>
  <c r="T239" i="20" s="1"/>
  <c r="D240" i="20" s="1"/>
  <c r="J240" i="20" s="1"/>
  <c r="AA239" i="20"/>
  <c r="AB239" i="20" s="1"/>
  <c r="X239" i="20" s="1"/>
  <c r="Z239" i="20"/>
  <c r="S239" i="20"/>
  <c r="V309" i="18"/>
  <c r="C309" i="18"/>
  <c r="L309" i="18"/>
  <c r="J309" i="18"/>
  <c r="N309" i="18"/>
  <c r="D309" i="18"/>
  <c r="F309" i="18"/>
  <c r="H309" i="18" s="1"/>
  <c r="T309" i="18"/>
  <c r="AS309" i="18"/>
  <c r="AL309" i="18"/>
  <c r="C240" i="20" l="1"/>
  <c r="Q240" i="20" s="1"/>
  <c r="G240" i="20" s="1"/>
  <c r="K240" i="20" s="1"/>
  <c r="X309" i="18"/>
  <c r="B310" i="18" s="1"/>
  <c r="AM309" i="18"/>
  <c r="E240" i="20" l="1"/>
  <c r="F240" i="20" s="1"/>
  <c r="T240" i="20" s="1"/>
  <c r="M240" i="20"/>
  <c r="O240" i="20"/>
  <c r="N240" i="20"/>
  <c r="V240" i="20"/>
  <c r="I240" i="20"/>
  <c r="H240" i="20"/>
  <c r="U240" i="20"/>
  <c r="AA240" i="20"/>
  <c r="AB240" i="20" s="1"/>
  <c r="Z240" i="20"/>
  <c r="V310" i="18"/>
  <c r="C310" i="18"/>
  <c r="J310" i="18"/>
  <c r="L310" i="18"/>
  <c r="N310" i="18"/>
  <c r="D310" i="18"/>
  <c r="AL310" i="18"/>
  <c r="AS310" i="18"/>
  <c r="T310" i="18"/>
  <c r="F310" i="18"/>
  <c r="H310" i="18" s="1"/>
  <c r="S240" i="20" l="1"/>
  <c r="X240" i="20"/>
  <c r="D241" i="20"/>
  <c r="J241" i="20" s="1"/>
  <c r="C241" i="20"/>
  <c r="X310" i="18"/>
  <c r="AM310" i="18"/>
  <c r="M241" i="20" l="1"/>
  <c r="V241" i="20"/>
  <c r="I241" i="20"/>
  <c r="H241" i="20"/>
  <c r="O241" i="20"/>
  <c r="E241" i="20"/>
  <c r="U241" i="20"/>
  <c r="N241" i="20"/>
  <c r="Q241" i="20"/>
  <c r="G241" i="20" s="1"/>
  <c r="R311" i="18"/>
  <c r="B311" i="18"/>
  <c r="K241" i="20" l="1"/>
  <c r="S241" i="20" s="1"/>
  <c r="F241" i="20"/>
  <c r="T241" i="20" s="1"/>
  <c r="AA241" i="20"/>
  <c r="AB241" i="20" s="1"/>
  <c r="X241" i="20" s="1"/>
  <c r="Z241" i="20"/>
  <c r="V311" i="18"/>
  <c r="C311" i="18"/>
  <c r="J311" i="18"/>
  <c r="N311" i="18"/>
  <c r="L311" i="18"/>
  <c r="D311" i="18"/>
  <c r="F311" i="18"/>
  <c r="H311" i="18" s="1"/>
  <c r="T311" i="18"/>
  <c r="AS311" i="18"/>
  <c r="AL311" i="18"/>
  <c r="D242" i="20" l="1"/>
  <c r="J242" i="20" s="1"/>
  <c r="C242" i="20"/>
  <c r="X311" i="18"/>
  <c r="B312" i="18" s="1"/>
  <c r="AM311" i="18"/>
  <c r="H242" i="20" l="1"/>
  <c r="E242" i="20"/>
  <c r="M242" i="20"/>
  <c r="N242" i="20"/>
  <c r="Q242" i="20"/>
  <c r="G242" i="20" s="1"/>
  <c r="I242" i="20"/>
  <c r="O242" i="20"/>
  <c r="U242" i="20"/>
  <c r="V242" i="20"/>
  <c r="V312" i="18"/>
  <c r="C312" i="18"/>
  <c r="J312" i="18"/>
  <c r="N312" i="18"/>
  <c r="L312" i="18"/>
  <c r="D312" i="18"/>
  <c r="F312" i="18"/>
  <c r="H312" i="18" s="1"/>
  <c r="AS312" i="18"/>
  <c r="T312" i="18"/>
  <c r="AL312" i="18"/>
  <c r="K242" i="20" l="1"/>
  <c r="S242" i="20" s="1"/>
  <c r="F242" i="20"/>
  <c r="T242" i="20" s="1"/>
  <c r="AA242" i="20"/>
  <c r="AB242" i="20" s="1"/>
  <c r="X242" i="20" s="1"/>
  <c r="Z242" i="20"/>
  <c r="X312" i="18"/>
  <c r="AM312" i="18"/>
  <c r="D243" i="20" l="1"/>
  <c r="J243" i="20" s="1"/>
  <c r="C243" i="20"/>
  <c r="R313" i="18"/>
  <c r="B313" i="18"/>
  <c r="E243" i="20" l="1"/>
  <c r="I243" i="20"/>
  <c r="N243" i="20"/>
  <c r="M243" i="20"/>
  <c r="V243" i="20"/>
  <c r="H243" i="20"/>
  <c r="O243" i="20"/>
  <c r="Q243" i="20"/>
  <c r="G243" i="20" s="1"/>
  <c r="U243" i="20"/>
  <c r="V313" i="18"/>
  <c r="C313" i="18"/>
  <c r="J313" i="18"/>
  <c r="N313" i="18"/>
  <c r="L313" i="18"/>
  <c r="F313" i="18"/>
  <c r="H313" i="18" s="1"/>
  <c r="D313" i="18"/>
  <c r="AL313" i="18"/>
  <c r="T313" i="18"/>
  <c r="AS313" i="18"/>
  <c r="K243" i="20" l="1"/>
  <c r="S243" i="20" s="1"/>
  <c r="F243" i="20"/>
  <c r="T243" i="20" s="1"/>
  <c r="AA243" i="20"/>
  <c r="AB243" i="20" s="1"/>
  <c r="X243" i="20" s="1"/>
  <c r="Z243" i="20"/>
  <c r="X313" i="18"/>
  <c r="B314" i="18" s="1"/>
  <c r="AM313" i="18"/>
  <c r="D244" i="20" l="1"/>
  <c r="J244" i="20" s="1"/>
  <c r="C244" i="20"/>
  <c r="V314" i="18"/>
  <c r="C314" i="18"/>
  <c r="J314" i="18"/>
  <c r="N314" i="18"/>
  <c r="F314" i="18"/>
  <c r="H314" i="18" s="1"/>
  <c r="D314" i="18"/>
  <c r="L314" i="18"/>
  <c r="AL314" i="18"/>
  <c r="AS314" i="18"/>
  <c r="T314" i="18"/>
  <c r="I244" i="20" l="1"/>
  <c r="N244" i="20"/>
  <c r="U244" i="20"/>
  <c r="M244" i="20"/>
  <c r="Q244" i="20"/>
  <c r="G244" i="20" s="1"/>
  <c r="K244" i="20" s="1"/>
  <c r="H244" i="20"/>
  <c r="V244" i="20"/>
  <c r="O244" i="20"/>
  <c r="E244" i="20"/>
  <c r="X314" i="18"/>
  <c r="AM314" i="18"/>
  <c r="S244" i="20" l="1"/>
  <c r="F244" i="20"/>
  <c r="T244" i="20" s="1"/>
  <c r="AA244" i="20"/>
  <c r="Z244" i="20"/>
  <c r="R315" i="18"/>
  <c r="B315" i="18"/>
  <c r="AB244" i="20" l="1"/>
  <c r="X244" i="20" s="1"/>
  <c r="D245" i="20"/>
  <c r="J245" i="20" s="1"/>
  <c r="C245" i="20"/>
  <c r="V315" i="18"/>
  <c r="C315" i="18"/>
  <c r="J315" i="18"/>
  <c r="L315" i="18"/>
  <c r="N315" i="18"/>
  <c r="F315" i="18"/>
  <c r="H315" i="18" s="1"/>
  <c r="D315" i="18"/>
  <c r="T315" i="18"/>
  <c r="AL315" i="18"/>
  <c r="AS315" i="18"/>
  <c r="I245" i="20" l="1"/>
  <c r="H245" i="20"/>
  <c r="N245" i="20"/>
  <c r="U245" i="20"/>
  <c r="Q245" i="20"/>
  <c r="G245" i="20" s="1"/>
  <c r="K245" i="20" s="1"/>
  <c r="V245" i="20"/>
  <c r="M245" i="20"/>
  <c r="O245" i="20"/>
  <c r="E245" i="20"/>
  <c r="X315" i="18"/>
  <c r="B316" i="18" s="1"/>
  <c r="AM315" i="18"/>
  <c r="F245" i="20" l="1"/>
  <c r="T245" i="20" s="1"/>
  <c r="S245" i="20"/>
  <c r="AA245" i="20"/>
  <c r="AB245" i="20" s="1"/>
  <c r="X245" i="20" s="1"/>
  <c r="Z245" i="20"/>
  <c r="V316" i="18"/>
  <c r="C316" i="18"/>
  <c r="J316" i="18"/>
  <c r="L316" i="18"/>
  <c r="N316" i="18"/>
  <c r="D316" i="18"/>
  <c r="F316" i="18"/>
  <c r="H316" i="18" s="1"/>
  <c r="T316" i="18"/>
  <c r="AS316" i="18"/>
  <c r="U316" i="18"/>
  <c r="AL316" i="18"/>
  <c r="D246" i="20" l="1"/>
  <c r="J246" i="20" s="1"/>
  <c r="C246" i="20"/>
  <c r="X316" i="18"/>
  <c r="AM316" i="18"/>
  <c r="N246" i="20" l="1"/>
  <c r="U246" i="20"/>
  <c r="V246" i="20"/>
  <c r="O246" i="20"/>
  <c r="H246" i="20"/>
  <c r="E246" i="20"/>
  <c r="I246" i="20"/>
  <c r="Q246" i="20"/>
  <c r="G246" i="20" s="1"/>
  <c r="K246" i="20" s="1"/>
  <c r="S246" i="20" s="1"/>
  <c r="M246" i="20"/>
  <c r="R317" i="18"/>
  <c r="B317" i="18"/>
  <c r="F246" i="20" l="1"/>
  <c r="T246" i="20" s="1"/>
  <c r="AA246" i="20"/>
  <c r="AB246" i="20" s="1"/>
  <c r="X246" i="20" s="1"/>
  <c r="Z246" i="20"/>
  <c r="V317" i="18"/>
  <c r="C317" i="18"/>
  <c r="L317" i="18"/>
  <c r="J317" i="18"/>
  <c r="N317" i="18"/>
  <c r="D317" i="18"/>
  <c r="F317" i="18"/>
  <c r="H317" i="18" s="1"/>
  <c r="T317" i="18"/>
  <c r="AS317" i="18"/>
  <c r="AL317" i="18"/>
  <c r="D247" i="20" l="1"/>
  <c r="J247" i="20" s="1"/>
  <c r="C247" i="20"/>
  <c r="X317" i="18"/>
  <c r="B318" i="18" s="1"/>
  <c r="AM317" i="18"/>
  <c r="I247" i="20" l="1"/>
  <c r="E247" i="20"/>
  <c r="O247" i="20"/>
  <c r="V247" i="20"/>
  <c r="U247" i="20"/>
  <c r="H247" i="20"/>
  <c r="N247" i="20"/>
  <c r="Q247" i="20"/>
  <c r="G247" i="20" s="1"/>
  <c r="K247" i="20" s="1"/>
  <c r="M247" i="20"/>
  <c r="V318" i="18"/>
  <c r="C318" i="18"/>
  <c r="J318" i="18"/>
  <c r="L318" i="18"/>
  <c r="D318" i="18"/>
  <c r="N318" i="18"/>
  <c r="AL318" i="18"/>
  <c r="F318" i="18"/>
  <c r="H318" i="18" s="1"/>
  <c r="AS318" i="18"/>
  <c r="T318" i="18"/>
  <c r="S247" i="20" l="1"/>
  <c r="AA247" i="20"/>
  <c r="AB247" i="20" s="1"/>
  <c r="X247" i="20" s="1"/>
  <c r="Z247" i="20"/>
  <c r="F247" i="20"/>
  <c r="T247" i="20" s="1"/>
  <c r="X318" i="18"/>
  <c r="AM318" i="18"/>
  <c r="D248" i="20" l="1"/>
  <c r="J248" i="20" s="1"/>
  <c r="C248" i="20"/>
  <c r="R319" i="18"/>
  <c r="B319" i="18"/>
  <c r="V248" i="20" l="1"/>
  <c r="Q248" i="20"/>
  <c r="O248" i="20"/>
  <c r="E248" i="20"/>
  <c r="M248" i="20"/>
  <c r="H248" i="20"/>
  <c r="I248" i="20"/>
  <c r="G248" i="20"/>
  <c r="K248" i="20" s="1"/>
  <c r="N248" i="20"/>
  <c r="U248" i="20"/>
  <c r="V319" i="18"/>
  <c r="C319" i="18"/>
  <c r="J319" i="18"/>
  <c r="N319" i="18"/>
  <c r="L319" i="18"/>
  <c r="D319" i="18"/>
  <c r="F319" i="18"/>
  <c r="H319" i="18" s="1"/>
  <c r="AS319" i="18"/>
  <c r="AL319" i="18"/>
  <c r="T319" i="18"/>
  <c r="F248" i="20" l="1"/>
  <c r="T248" i="20" s="1"/>
  <c r="D249" i="20" s="1"/>
  <c r="J249" i="20" s="1"/>
  <c r="AA248" i="20"/>
  <c r="AB248" i="20" s="1"/>
  <c r="X248" i="20" s="1"/>
  <c r="Z248" i="20"/>
  <c r="S248" i="20"/>
  <c r="X319" i="18"/>
  <c r="B320" i="18" s="1"/>
  <c r="AM319" i="18"/>
  <c r="C249" i="20" l="1"/>
  <c r="I249" i="20" s="1"/>
  <c r="U249" i="20"/>
  <c r="N249" i="20"/>
  <c r="R249" i="20"/>
  <c r="V320" i="18"/>
  <c r="C320" i="18"/>
  <c r="J320" i="18"/>
  <c r="N320" i="18"/>
  <c r="L320" i="18"/>
  <c r="D320" i="18"/>
  <c r="F320" i="18"/>
  <c r="H320" i="18" s="1"/>
  <c r="T320" i="18"/>
  <c r="AL320" i="18"/>
  <c r="AS320" i="18"/>
  <c r="H249" i="20" l="1"/>
  <c r="E249" i="20"/>
  <c r="V249" i="20"/>
  <c r="Q249" i="20"/>
  <c r="G249" i="20" s="1"/>
  <c r="K249" i="20" s="1"/>
  <c r="S249" i="20" s="1"/>
  <c r="O249" i="20"/>
  <c r="M249" i="20"/>
  <c r="AA249" i="20" s="1"/>
  <c r="AB249" i="20" s="1"/>
  <c r="X249" i="20" s="1"/>
  <c r="F249" i="20"/>
  <c r="T249" i="20" s="1"/>
  <c r="Z249" i="20"/>
  <c r="X320" i="18"/>
  <c r="AM320" i="18"/>
  <c r="D250" i="20" l="1"/>
  <c r="J250" i="20" s="1"/>
  <c r="C250" i="20"/>
  <c r="R321" i="18"/>
  <c r="B321" i="18"/>
  <c r="M250" i="20" l="1"/>
  <c r="V250" i="20"/>
  <c r="Q250" i="20"/>
  <c r="G250" i="20" s="1"/>
  <c r="U250" i="20"/>
  <c r="N250" i="20"/>
  <c r="E250" i="20"/>
  <c r="I250" i="20"/>
  <c r="H250" i="20"/>
  <c r="O250" i="20"/>
  <c r="C321" i="18"/>
  <c r="J321" i="18"/>
  <c r="V321" i="18"/>
  <c r="N321" i="18"/>
  <c r="L321" i="18"/>
  <c r="F321" i="18"/>
  <c r="H321" i="18" s="1"/>
  <c r="D321" i="18"/>
  <c r="AS321" i="18"/>
  <c r="AL321" i="18"/>
  <c r="T321" i="18"/>
  <c r="K250" i="20" l="1"/>
  <c r="S250" i="20" s="1"/>
  <c r="F250" i="20"/>
  <c r="T250" i="20" s="1"/>
  <c r="AA250" i="20"/>
  <c r="AB250" i="20" s="1"/>
  <c r="X250" i="20" s="1"/>
  <c r="Z250" i="20"/>
  <c r="X321" i="18"/>
  <c r="B322" i="18" s="1"/>
  <c r="AM321" i="18"/>
  <c r="D251" i="20" l="1"/>
  <c r="J251" i="20" s="1"/>
  <c r="C251" i="20"/>
  <c r="V322" i="18"/>
  <c r="C322" i="18"/>
  <c r="J322" i="18"/>
  <c r="N322" i="18"/>
  <c r="L322" i="18"/>
  <c r="F322" i="18"/>
  <c r="H322" i="18" s="1"/>
  <c r="D322" i="18"/>
  <c r="T322" i="18"/>
  <c r="AL322" i="18"/>
  <c r="AS322" i="18"/>
  <c r="H251" i="20" l="1"/>
  <c r="I251" i="20"/>
  <c r="U251" i="20"/>
  <c r="V251" i="20"/>
  <c r="Q251" i="20"/>
  <c r="G251" i="20" s="1"/>
  <c r="K251" i="20" s="1"/>
  <c r="N251" i="20"/>
  <c r="O251" i="20"/>
  <c r="E251" i="20"/>
  <c r="M251" i="20"/>
  <c r="X322" i="18"/>
  <c r="B323" i="18" s="1"/>
  <c r="AM322" i="18"/>
  <c r="S251" i="20" l="1"/>
  <c r="AA251" i="20"/>
  <c r="AB251" i="20" s="1"/>
  <c r="X251" i="20" s="1"/>
  <c r="Z251" i="20"/>
  <c r="F251" i="20"/>
  <c r="T251" i="20" s="1"/>
  <c r="C323" i="18"/>
  <c r="J323" i="18"/>
  <c r="V323" i="18"/>
  <c r="L323" i="18"/>
  <c r="N323" i="18"/>
  <c r="F323" i="18"/>
  <c r="H323" i="18" s="1"/>
  <c r="D323" i="18"/>
  <c r="AL323" i="18"/>
  <c r="AS323" i="18"/>
  <c r="T323" i="18"/>
  <c r="D252" i="20" l="1"/>
  <c r="J252" i="20" s="1"/>
  <c r="C252" i="20"/>
  <c r="X323" i="18"/>
  <c r="AM323" i="18"/>
  <c r="I252" i="20" l="1"/>
  <c r="N252" i="20"/>
  <c r="O252" i="20"/>
  <c r="V252" i="20"/>
  <c r="H252" i="20"/>
  <c r="E252" i="20"/>
  <c r="Q252" i="20"/>
  <c r="G252" i="20" s="1"/>
  <c r="U252" i="20"/>
  <c r="M252" i="20"/>
  <c r="R324" i="18"/>
  <c r="B324" i="18"/>
  <c r="K252" i="20" l="1"/>
  <c r="S252" i="20" s="1"/>
  <c r="F252" i="20"/>
  <c r="T252" i="20" s="1"/>
  <c r="AA252" i="20"/>
  <c r="AB252" i="20" s="1"/>
  <c r="X252" i="20" s="1"/>
  <c r="Z252" i="20"/>
  <c r="C324" i="18"/>
  <c r="J324" i="18"/>
  <c r="V324" i="18"/>
  <c r="L324" i="18"/>
  <c r="N324" i="18"/>
  <c r="D324" i="18"/>
  <c r="AL324" i="18"/>
  <c r="F324" i="18"/>
  <c r="H324" i="18" s="1"/>
  <c r="AS324" i="18"/>
  <c r="T324" i="18"/>
  <c r="D253" i="20" l="1"/>
  <c r="J253" i="20" s="1"/>
  <c r="C253" i="20"/>
  <c r="X324" i="18"/>
  <c r="B325" i="18" s="1"/>
  <c r="AM324" i="18"/>
  <c r="E253" i="20" l="1"/>
  <c r="Q253" i="20"/>
  <c r="G253" i="20" s="1"/>
  <c r="O253" i="20"/>
  <c r="U253" i="20"/>
  <c r="M253" i="20"/>
  <c r="V253" i="20"/>
  <c r="N253" i="20"/>
  <c r="H253" i="20"/>
  <c r="I253" i="20"/>
  <c r="C325" i="18"/>
  <c r="V325" i="18"/>
  <c r="L325" i="18"/>
  <c r="J325" i="18"/>
  <c r="N325" i="18"/>
  <c r="D325" i="18"/>
  <c r="F325" i="18"/>
  <c r="H325" i="18" s="1"/>
  <c r="AL325" i="18"/>
  <c r="AS325" i="18"/>
  <c r="T325" i="18"/>
  <c r="K253" i="20" l="1"/>
  <c r="S253" i="20" s="1"/>
  <c r="F253" i="20"/>
  <c r="T253" i="20" s="1"/>
  <c r="C254" i="20" s="1"/>
  <c r="AA253" i="20"/>
  <c r="Z253" i="20"/>
  <c r="X325" i="18"/>
  <c r="AM325" i="18"/>
  <c r="D254" i="20" l="1"/>
  <c r="J254" i="20" s="1"/>
  <c r="AB253" i="20"/>
  <c r="X253" i="20" s="1"/>
  <c r="Q254" i="20"/>
  <c r="M254" i="20"/>
  <c r="V254" i="20"/>
  <c r="G254" i="20"/>
  <c r="K254" i="20" s="1"/>
  <c r="O254" i="20"/>
  <c r="N254" i="20"/>
  <c r="U254" i="20"/>
  <c r="E254" i="20"/>
  <c r="I254" i="20"/>
  <c r="H254" i="20"/>
  <c r="R326" i="18"/>
  <c r="B326" i="18"/>
  <c r="F254" i="20" l="1"/>
  <c r="T254" i="20" s="1"/>
  <c r="S254" i="20"/>
  <c r="D255" i="20"/>
  <c r="J255" i="20" s="1"/>
  <c r="C255" i="20"/>
  <c r="AA254" i="20"/>
  <c r="AB254" i="20" s="1"/>
  <c r="X254" i="20" s="1"/>
  <c r="Z254" i="20"/>
  <c r="C326" i="18"/>
  <c r="J326" i="18"/>
  <c r="V326" i="18"/>
  <c r="L326" i="18"/>
  <c r="D326" i="18"/>
  <c r="N326" i="18"/>
  <c r="AS326" i="18"/>
  <c r="F326" i="18"/>
  <c r="H326" i="18" s="1"/>
  <c r="AL326" i="18"/>
  <c r="T326" i="18"/>
  <c r="I255" i="20" l="1"/>
  <c r="Q255" i="20"/>
  <c r="V255" i="20"/>
  <c r="M255" i="20"/>
  <c r="H255" i="20"/>
  <c r="G255" i="20"/>
  <c r="K255" i="20" s="1"/>
  <c r="N255" i="20"/>
  <c r="U255" i="20"/>
  <c r="O255" i="20"/>
  <c r="E255" i="20"/>
  <c r="X326" i="18"/>
  <c r="B327" i="18" s="1"/>
  <c r="AM326" i="18"/>
  <c r="S255" i="20" l="1"/>
  <c r="AA255" i="20"/>
  <c r="AB255" i="20" s="1"/>
  <c r="X255" i="20" s="1"/>
  <c r="Z255" i="20"/>
  <c r="F255" i="20"/>
  <c r="T255" i="20" s="1"/>
  <c r="C327" i="18"/>
  <c r="J327" i="18"/>
  <c r="V327" i="18"/>
  <c r="N327" i="18"/>
  <c r="L327" i="18"/>
  <c r="D327" i="18"/>
  <c r="F327" i="18"/>
  <c r="H327" i="18" s="1"/>
  <c r="AL327" i="18"/>
  <c r="AS327" i="18"/>
  <c r="T327" i="18"/>
  <c r="D256" i="20" l="1"/>
  <c r="J256" i="20" s="1"/>
  <c r="C256" i="20"/>
  <c r="X327" i="18"/>
  <c r="AM327" i="18"/>
  <c r="E256" i="20" l="1"/>
  <c r="V256" i="20"/>
  <c r="M256" i="20"/>
  <c r="U256" i="20"/>
  <c r="I256" i="20"/>
  <c r="N256" i="20"/>
  <c r="Q256" i="20"/>
  <c r="G256" i="20" s="1"/>
  <c r="H256" i="20"/>
  <c r="O256" i="20"/>
  <c r="R328" i="18"/>
  <c r="B328" i="18"/>
  <c r="K256" i="20" l="1"/>
  <c r="S256" i="20" s="1"/>
  <c r="F256" i="20"/>
  <c r="T256" i="20" s="1"/>
  <c r="AA256" i="20"/>
  <c r="AB256" i="20" s="1"/>
  <c r="X256" i="20" s="1"/>
  <c r="Z256" i="20"/>
  <c r="C328" i="18"/>
  <c r="V328" i="18"/>
  <c r="J328" i="18"/>
  <c r="N328" i="18"/>
  <c r="L328" i="18"/>
  <c r="D328" i="18"/>
  <c r="F328" i="18"/>
  <c r="H328" i="18" s="1"/>
  <c r="AS328" i="18"/>
  <c r="T328" i="18"/>
  <c r="AL328" i="18"/>
  <c r="U328" i="18"/>
  <c r="D257" i="20" l="1"/>
  <c r="J257" i="20" s="1"/>
  <c r="C257" i="20"/>
  <c r="X328" i="18"/>
  <c r="B329" i="18" s="1"/>
  <c r="AM328" i="18"/>
  <c r="E257" i="20" l="1"/>
  <c r="I257" i="20"/>
  <c r="U257" i="20"/>
  <c r="O257" i="20"/>
  <c r="N257" i="20"/>
  <c r="M257" i="20"/>
  <c r="Q257" i="20"/>
  <c r="G257" i="20" s="1"/>
  <c r="K257" i="20" s="1"/>
  <c r="V257" i="20"/>
  <c r="H257" i="20"/>
  <c r="C329" i="18"/>
  <c r="J329" i="18"/>
  <c r="V329" i="18"/>
  <c r="N329" i="18"/>
  <c r="L329" i="18"/>
  <c r="F329" i="18"/>
  <c r="H329" i="18" s="1"/>
  <c r="D329" i="18"/>
  <c r="AS329" i="18"/>
  <c r="T329" i="18"/>
  <c r="AL329" i="18"/>
  <c r="S257" i="20" l="1"/>
  <c r="F257" i="20"/>
  <c r="T257" i="20" s="1"/>
  <c r="AA257" i="20"/>
  <c r="AB257" i="20" s="1"/>
  <c r="X257" i="20" s="1"/>
  <c r="Z257" i="20"/>
  <c r="X329" i="18"/>
  <c r="AM329" i="18"/>
  <c r="D258" i="20" l="1"/>
  <c r="J258" i="20" s="1"/>
  <c r="C258" i="20"/>
  <c r="R330" i="18"/>
  <c r="B330" i="18"/>
  <c r="V258" i="20" l="1"/>
  <c r="Q258" i="20"/>
  <c r="G258" i="20" s="1"/>
  <c r="K258" i="20" s="1"/>
  <c r="H258" i="20"/>
  <c r="U258" i="20"/>
  <c r="N258" i="20"/>
  <c r="E258" i="20"/>
  <c r="M258" i="20"/>
  <c r="O258" i="20"/>
  <c r="I258" i="20"/>
  <c r="C330" i="18"/>
  <c r="J330" i="18"/>
  <c r="V330" i="18"/>
  <c r="N330" i="18"/>
  <c r="L330" i="18"/>
  <c r="F330" i="18"/>
  <c r="H330" i="18" s="1"/>
  <c r="D330" i="18"/>
  <c r="AS330" i="18"/>
  <c r="T330" i="18"/>
  <c r="AL330" i="18"/>
  <c r="S258" i="20" l="1"/>
  <c r="F258" i="20"/>
  <c r="T258" i="20" s="1"/>
  <c r="AA258" i="20"/>
  <c r="AB258" i="20" s="1"/>
  <c r="X258" i="20" s="1"/>
  <c r="Z258" i="20"/>
  <c r="X330" i="18"/>
  <c r="B331" i="18" s="1"/>
  <c r="AM330" i="18"/>
  <c r="D259" i="20" l="1"/>
  <c r="J259" i="20" s="1"/>
  <c r="C259" i="20"/>
  <c r="C331" i="18"/>
  <c r="J331" i="18"/>
  <c r="V331" i="18"/>
  <c r="L331" i="18"/>
  <c r="N331" i="18"/>
  <c r="F331" i="18"/>
  <c r="H331" i="18" s="1"/>
  <c r="D331" i="18"/>
  <c r="T331" i="18"/>
  <c r="AL331" i="18"/>
  <c r="AS331" i="18"/>
  <c r="N259" i="20" l="1"/>
  <c r="E259" i="20"/>
  <c r="H259" i="20"/>
  <c r="U259" i="20"/>
  <c r="V259" i="20"/>
  <c r="Q259" i="20"/>
  <c r="G259" i="20" s="1"/>
  <c r="K259" i="20" s="1"/>
  <c r="M259" i="20"/>
  <c r="O259" i="20"/>
  <c r="I259" i="20"/>
  <c r="X331" i="18"/>
  <c r="AM331" i="18"/>
  <c r="S259" i="20" l="1"/>
  <c r="F259" i="20"/>
  <c r="T259" i="20" s="1"/>
  <c r="AA259" i="20"/>
  <c r="AB259" i="20" s="1"/>
  <c r="X259" i="20" s="1"/>
  <c r="Z259" i="20"/>
  <c r="R332" i="18"/>
  <c r="B332" i="18"/>
  <c r="D260" i="20" l="1"/>
  <c r="J260" i="20" s="1"/>
  <c r="C260" i="20"/>
  <c r="C332" i="18"/>
  <c r="J332" i="18"/>
  <c r="V332" i="18"/>
  <c r="L332" i="18"/>
  <c r="N332" i="18"/>
  <c r="D332" i="18"/>
  <c r="F332" i="18"/>
  <c r="H332" i="18" s="1"/>
  <c r="AS332" i="18"/>
  <c r="T332" i="18"/>
  <c r="AL332" i="18"/>
  <c r="N260" i="20" l="1"/>
  <c r="I260" i="20"/>
  <c r="M260" i="20"/>
  <c r="Q260" i="20"/>
  <c r="G260" i="20" s="1"/>
  <c r="K260" i="20" s="1"/>
  <c r="U260" i="20"/>
  <c r="H260" i="20"/>
  <c r="V260" i="20"/>
  <c r="O260" i="20"/>
  <c r="X332" i="18"/>
  <c r="B333" i="18" s="1"/>
  <c r="AM332" i="18"/>
  <c r="AA260" i="20" l="1"/>
  <c r="AB260" i="20" s="1"/>
  <c r="X260" i="20" s="1"/>
  <c r="Z260" i="20"/>
  <c r="E260" i="20"/>
  <c r="C333" i="18"/>
  <c r="V333" i="18"/>
  <c r="L333" i="18"/>
  <c r="J333" i="18"/>
  <c r="N333" i="18"/>
  <c r="D333" i="18"/>
  <c r="F333" i="18"/>
  <c r="H333" i="18" s="1"/>
  <c r="AL333" i="18"/>
  <c r="AS333" i="18"/>
  <c r="T333" i="18"/>
  <c r="S260" i="20" l="1"/>
  <c r="F260" i="20"/>
  <c r="T260" i="20" s="1"/>
  <c r="X333" i="18"/>
  <c r="AM333" i="18"/>
  <c r="D261" i="20" l="1"/>
  <c r="J261" i="20" s="1"/>
  <c r="C261" i="20"/>
  <c r="R334" i="18"/>
  <c r="B334" i="18"/>
  <c r="H261" i="20" l="1"/>
  <c r="T261" i="20"/>
  <c r="D262" i="20" s="1"/>
  <c r="J262" i="20" s="1"/>
  <c r="X261" i="20"/>
  <c r="S261" i="20"/>
  <c r="U261" i="20"/>
  <c r="V261" i="20"/>
  <c r="R261" i="20"/>
  <c r="O261" i="20"/>
  <c r="E261" i="20"/>
  <c r="F261" i="20"/>
  <c r="N261" i="20"/>
  <c r="I261" i="20"/>
  <c r="Q261" i="20"/>
  <c r="C262" i="20"/>
  <c r="M261" i="20"/>
  <c r="G261" i="20"/>
  <c r="K261" i="20" s="1"/>
  <c r="C334" i="18"/>
  <c r="J334" i="18"/>
  <c r="V334" i="18"/>
  <c r="L334" i="18"/>
  <c r="D334" i="18"/>
  <c r="N334" i="18"/>
  <c r="F334" i="18"/>
  <c r="H334" i="18" s="1"/>
  <c r="AS334" i="18"/>
  <c r="T334" i="18"/>
  <c r="AL334" i="18"/>
  <c r="H262" i="20" l="1"/>
  <c r="E262" i="20"/>
  <c r="N262" i="20"/>
  <c r="G262" i="20"/>
  <c r="K262" i="20" s="1"/>
  <c r="U262" i="20"/>
  <c r="F262" i="20"/>
  <c r="V262" i="20"/>
  <c r="S262" i="20"/>
  <c r="X262" i="20"/>
  <c r="I262" i="20"/>
  <c r="Q262" i="20"/>
  <c r="T262" i="20"/>
  <c r="D263" i="20" s="1"/>
  <c r="J263" i="20" s="1"/>
  <c r="O262" i="20"/>
  <c r="M262" i="20"/>
  <c r="AA261" i="20"/>
  <c r="Z261" i="20"/>
  <c r="X334" i="18"/>
  <c r="B335" i="18" s="1"/>
  <c r="AM334" i="18"/>
  <c r="AB261" i="20" l="1"/>
  <c r="C263" i="20"/>
  <c r="F263" i="20" s="1"/>
  <c r="Q263" i="20"/>
  <c r="I263" i="20"/>
  <c r="AA262" i="20"/>
  <c r="Z262" i="20"/>
  <c r="C335" i="18"/>
  <c r="J335" i="18"/>
  <c r="V335" i="18"/>
  <c r="N335" i="18"/>
  <c r="L335" i="18"/>
  <c r="D335" i="18"/>
  <c r="F335" i="18"/>
  <c r="H335" i="18" s="1"/>
  <c r="AS335" i="18"/>
  <c r="AL335" i="18"/>
  <c r="T335" i="18"/>
  <c r="M263" i="20" l="1"/>
  <c r="E263" i="20"/>
  <c r="O263" i="20"/>
  <c r="S263" i="20"/>
  <c r="N263" i="20"/>
  <c r="V263" i="20"/>
  <c r="U263" i="20"/>
  <c r="X263" i="20"/>
  <c r="T263" i="20"/>
  <c r="D264" i="20" s="1"/>
  <c r="J264" i="20" s="1"/>
  <c r="G263" i="20"/>
  <c r="K263" i="20" s="1"/>
  <c r="H263" i="20"/>
  <c r="AB262" i="20"/>
  <c r="AA263" i="20"/>
  <c r="Z263" i="20"/>
  <c r="X335" i="18"/>
  <c r="AM335" i="18"/>
  <c r="C264" i="20" l="1"/>
  <c r="F264" i="20" s="1"/>
  <c r="AB263" i="20"/>
  <c r="R336" i="18"/>
  <c r="B336" i="18"/>
  <c r="E264" i="20" l="1"/>
  <c r="T264" i="20"/>
  <c r="D265" i="20" s="1"/>
  <c r="J265" i="20" s="1"/>
  <c r="V264" i="20"/>
  <c r="S264" i="20"/>
  <c r="U264" i="20"/>
  <c r="N264" i="20"/>
  <c r="Q264" i="20"/>
  <c r="M264" i="20"/>
  <c r="AA264" i="20" s="1"/>
  <c r="H264" i="20"/>
  <c r="G264" i="20"/>
  <c r="K264" i="20" s="1"/>
  <c r="O264" i="20"/>
  <c r="X264" i="20"/>
  <c r="I264" i="20"/>
  <c r="C336" i="18"/>
  <c r="V336" i="18"/>
  <c r="J336" i="18"/>
  <c r="N336" i="18"/>
  <c r="L336" i="18"/>
  <c r="D336" i="18"/>
  <c r="F336" i="18"/>
  <c r="H336" i="18" s="1"/>
  <c r="AS336" i="18"/>
  <c r="T336" i="18"/>
  <c r="AL336" i="18"/>
  <c r="Z264" i="20" l="1"/>
  <c r="AB264" i="20" s="1"/>
  <c r="C265" i="20"/>
  <c r="X336" i="18"/>
  <c r="B337" i="18" s="1"/>
  <c r="AM336" i="18"/>
  <c r="N265" i="20" l="1"/>
  <c r="U265" i="20"/>
  <c r="F265" i="20"/>
  <c r="V265" i="20"/>
  <c r="H265" i="20"/>
  <c r="G265" i="20"/>
  <c r="K265" i="20" s="1"/>
  <c r="I265" i="20"/>
  <c r="O265" i="20"/>
  <c r="S265" i="20"/>
  <c r="Q265" i="20"/>
  <c r="E265" i="20"/>
  <c r="M265" i="20"/>
  <c r="X265" i="20"/>
  <c r="T265" i="20"/>
  <c r="D266" i="20" s="1"/>
  <c r="J266" i="20" s="1"/>
  <c r="C337" i="18"/>
  <c r="J337" i="18"/>
  <c r="V337" i="18"/>
  <c r="N337" i="18"/>
  <c r="L337" i="18"/>
  <c r="F337" i="18"/>
  <c r="H337" i="18" s="1"/>
  <c r="D337" i="18"/>
  <c r="AL337" i="18"/>
  <c r="T337" i="18"/>
  <c r="AS337" i="18"/>
  <c r="AA265" i="20" l="1"/>
  <c r="Z265" i="20"/>
  <c r="C266" i="20"/>
  <c r="X337" i="18"/>
  <c r="AM337" i="18"/>
  <c r="AB265" i="20" l="1"/>
  <c r="V266" i="20"/>
  <c r="S266" i="20"/>
  <c r="X266" i="20"/>
  <c r="Q266" i="20"/>
  <c r="O266" i="20"/>
  <c r="E266" i="20"/>
  <c r="G266" i="20"/>
  <c r="K266" i="20" s="1"/>
  <c r="N266" i="20"/>
  <c r="U266" i="20"/>
  <c r="T266" i="20"/>
  <c r="I266" i="20"/>
  <c r="F266" i="20"/>
  <c r="H266" i="20"/>
  <c r="M266" i="20"/>
  <c r="R338" i="18"/>
  <c r="B338" i="18"/>
  <c r="AA266" i="20" l="1"/>
  <c r="Z266" i="20"/>
  <c r="D267" i="20"/>
  <c r="J267" i="20" s="1"/>
  <c r="C267" i="20"/>
  <c r="C338" i="18"/>
  <c r="J338" i="18"/>
  <c r="V338" i="18"/>
  <c r="N338" i="18"/>
  <c r="F338" i="18"/>
  <c r="H338" i="18" s="1"/>
  <c r="L338" i="18"/>
  <c r="D338" i="18"/>
  <c r="AS338" i="18"/>
  <c r="T338" i="18"/>
  <c r="AL338" i="18"/>
  <c r="AB266" i="20" l="1"/>
  <c r="M267" i="20"/>
  <c r="O267" i="20"/>
  <c r="U267" i="20"/>
  <c r="I267" i="20"/>
  <c r="Q267" i="20"/>
  <c r="S267" i="20"/>
  <c r="V267" i="20"/>
  <c r="X267" i="20"/>
  <c r="N267" i="20"/>
  <c r="G267" i="20"/>
  <c r="K267" i="20" s="1"/>
  <c r="E267" i="20"/>
  <c r="H267" i="20"/>
  <c r="F267" i="20"/>
  <c r="T267" i="20"/>
  <c r="D268" i="20" s="1"/>
  <c r="J268" i="20" s="1"/>
  <c r="X338" i="18"/>
  <c r="B339" i="18" s="1"/>
  <c r="AM338" i="18"/>
  <c r="AA267" i="20" l="1"/>
  <c r="Z267" i="20"/>
  <c r="C268" i="20"/>
  <c r="C339" i="18"/>
  <c r="J339" i="18"/>
  <c r="V339" i="18"/>
  <c r="L339" i="18"/>
  <c r="N339" i="18"/>
  <c r="F339" i="18"/>
  <c r="H339" i="18" s="1"/>
  <c r="D339" i="18"/>
  <c r="T339" i="18"/>
  <c r="AL339" i="18"/>
  <c r="AS339" i="18"/>
  <c r="AB267" i="20" l="1"/>
  <c r="V268" i="20"/>
  <c r="O268" i="20"/>
  <c r="G268" i="20"/>
  <c r="K268" i="20" s="1"/>
  <c r="S268" i="20"/>
  <c r="M268" i="20"/>
  <c r="F268" i="20"/>
  <c r="U268" i="20"/>
  <c r="I268" i="20"/>
  <c r="Q268" i="20"/>
  <c r="E268" i="20"/>
  <c r="X268" i="20"/>
  <c r="H268" i="20"/>
  <c r="N268" i="20"/>
  <c r="T268" i="20"/>
  <c r="D269" i="20" s="1"/>
  <c r="J269" i="20" s="1"/>
  <c r="X339" i="18"/>
  <c r="AM339" i="18"/>
  <c r="C269" i="20" l="1"/>
  <c r="AA268" i="20"/>
  <c r="Z268" i="20"/>
  <c r="F269" i="20"/>
  <c r="T269" i="20"/>
  <c r="D270" i="20" s="1"/>
  <c r="J270" i="20" s="1"/>
  <c r="N269" i="20"/>
  <c r="G269" i="20"/>
  <c r="K269" i="20" s="1"/>
  <c r="U269" i="20"/>
  <c r="X269" i="20"/>
  <c r="Q269" i="20"/>
  <c r="E269" i="20"/>
  <c r="S269" i="20"/>
  <c r="O269" i="20"/>
  <c r="H269" i="20"/>
  <c r="I269" i="20"/>
  <c r="M269" i="20"/>
  <c r="V269" i="20"/>
  <c r="R340" i="18"/>
  <c r="B340" i="18"/>
  <c r="AA269" i="20" l="1"/>
  <c r="Z269" i="20"/>
  <c r="C270" i="20"/>
  <c r="G270" i="20" s="1"/>
  <c r="K270" i="20" s="1"/>
  <c r="AB268" i="20"/>
  <c r="N270" i="20"/>
  <c r="F270" i="20"/>
  <c r="E270" i="20"/>
  <c r="U270" i="20"/>
  <c r="C340" i="18"/>
  <c r="J340" i="18"/>
  <c r="V340" i="18"/>
  <c r="L340" i="18"/>
  <c r="N340" i="18"/>
  <c r="D340" i="18"/>
  <c r="U340" i="18"/>
  <c r="AS340" i="18"/>
  <c r="T340" i="18"/>
  <c r="F340" i="18"/>
  <c r="H340" i="18" s="1"/>
  <c r="AL340" i="18"/>
  <c r="H270" i="20" l="1"/>
  <c r="T270" i="20"/>
  <c r="D271" i="20" s="1"/>
  <c r="J271" i="20" s="1"/>
  <c r="M270" i="20"/>
  <c r="Z270" i="20" s="1"/>
  <c r="X270" i="20"/>
  <c r="I270" i="20"/>
  <c r="O270" i="20"/>
  <c r="Q270" i="20"/>
  <c r="S270" i="20"/>
  <c r="AB269" i="20"/>
  <c r="AA270" i="20"/>
  <c r="AB270" i="20" s="1"/>
  <c r="V270" i="20"/>
  <c r="X340" i="18"/>
  <c r="B341" i="18" s="1"/>
  <c r="AM340" i="18"/>
  <c r="C271" i="20" l="1"/>
  <c r="E271" i="20" s="1"/>
  <c r="N271" i="20"/>
  <c r="G271" i="20"/>
  <c r="K271" i="20" s="1"/>
  <c r="T271" i="20"/>
  <c r="D272" i="20" s="1"/>
  <c r="J272" i="20" s="1"/>
  <c r="O271" i="20"/>
  <c r="S271" i="20"/>
  <c r="X271" i="20"/>
  <c r="I271" i="20"/>
  <c r="Q271" i="20"/>
  <c r="F271" i="20"/>
  <c r="H271" i="20"/>
  <c r="M271" i="20"/>
  <c r="Z271" i="20" s="1"/>
  <c r="AA271" i="20"/>
  <c r="C341" i="18"/>
  <c r="V341" i="18"/>
  <c r="L341" i="18"/>
  <c r="N341" i="18"/>
  <c r="D341" i="18"/>
  <c r="J341" i="18"/>
  <c r="F341" i="18"/>
  <c r="H341" i="18" s="1"/>
  <c r="T341" i="18"/>
  <c r="AS341" i="18"/>
  <c r="AL341" i="18"/>
  <c r="U271" i="20" l="1"/>
  <c r="V271" i="20"/>
  <c r="C272" i="20"/>
  <c r="U272" i="20" s="1"/>
  <c r="AB271" i="20"/>
  <c r="E272" i="20"/>
  <c r="O272" i="20"/>
  <c r="S272" i="20"/>
  <c r="I272" i="20"/>
  <c r="M272" i="20"/>
  <c r="H272" i="20"/>
  <c r="Q272" i="20"/>
  <c r="X272" i="20"/>
  <c r="X341" i="18"/>
  <c r="AM341" i="18"/>
  <c r="F272" i="20" l="1"/>
  <c r="N272" i="20"/>
  <c r="V272" i="20"/>
  <c r="G272" i="20"/>
  <c r="K272" i="20" s="1"/>
  <c r="T272" i="20"/>
  <c r="D273" i="20" s="1"/>
  <c r="J273" i="20" s="1"/>
  <c r="AA272" i="20"/>
  <c r="Z272" i="20"/>
  <c r="C273" i="20"/>
  <c r="R342" i="18"/>
  <c r="B342" i="18"/>
  <c r="AB272" i="20" l="1"/>
  <c r="F273" i="20"/>
  <c r="Q273" i="20"/>
  <c r="U273" i="20"/>
  <c r="I273" i="20"/>
  <c r="R273" i="20"/>
  <c r="X273" i="20"/>
  <c r="N273" i="20"/>
  <c r="E273" i="20"/>
  <c r="H273" i="20"/>
  <c r="T273" i="20"/>
  <c r="D274" i="20" s="1"/>
  <c r="J274" i="20" s="1"/>
  <c r="M273" i="20"/>
  <c r="V273" i="20"/>
  <c r="G273" i="20"/>
  <c r="K273" i="20" s="1"/>
  <c r="S273" i="20"/>
  <c r="O273" i="20"/>
  <c r="C342" i="18"/>
  <c r="J342" i="18"/>
  <c r="V342" i="18"/>
  <c r="L342" i="18"/>
  <c r="D342" i="18"/>
  <c r="N342" i="18"/>
  <c r="AL342" i="18"/>
  <c r="AS342" i="18"/>
  <c r="T342" i="18"/>
  <c r="F342" i="18"/>
  <c r="H342" i="18" s="1"/>
  <c r="AA273" i="20" l="1"/>
  <c r="Z273" i="20"/>
  <c r="AB273" i="20" s="1"/>
  <c r="C274" i="20"/>
  <c r="X342" i="18"/>
  <c r="B343" i="18" s="1"/>
  <c r="AM342" i="18"/>
  <c r="G274" i="20" l="1"/>
  <c r="K274" i="20" s="1"/>
  <c r="X274" i="20"/>
  <c r="I274" i="20"/>
  <c r="Q274" i="20"/>
  <c r="N274" i="20"/>
  <c r="H274" i="20"/>
  <c r="T274" i="20"/>
  <c r="D275" i="20" s="1"/>
  <c r="J275" i="20" s="1"/>
  <c r="E274" i="20"/>
  <c r="V274" i="20"/>
  <c r="U274" i="20"/>
  <c r="M274" i="20"/>
  <c r="O274" i="20"/>
  <c r="S274" i="20"/>
  <c r="F274" i="20"/>
  <c r="C343" i="18"/>
  <c r="V343" i="18"/>
  <c r="J343" i="18"/>
  <c r="N343" i="18"/>
  <c r="L343" i="18"/>
  <c r="T343" i="18"/>
  <c r="D343" i="18"/>
  <c r="AL343" i="18"/>
  <c r="F343" i="18"/>
  <c r="H343" i="18" s="1"/>
  <c r="AS343" i="18"/>
  <c r="AA274" i="20" l="1"/>
  <c r="Z274" i="20"/>
  <c r="C275" i="20"/>
  <c r="X343" i="18"/>
  <c r="AM343" i="18"/>
  <c r="AB274" i="20" l="1"/>
  <c r="O275" i="20"/>
  <c r="N275" i="20"/>
  <c r="X275" i="20"/>
  <c r="V275" i="20"/>
  <c r="E275" i="20"/>
  <c r="U275" i="20"/>
  <c r="G275" i="20"/>
  <c r="K275" i="20" s="1"/>
  <c r="T275" i="20"/>
  <c r="D276" i="20" s="1"/>
  <c r="J276" i="20" s="1"/>
  <c r="M275" i="20"/>
  <c r="H275" i="20"/>
  <c r="F275" i="20"/>
  <c r="I275" i="20"/>
  <c r="S275" i="20"/>
  <c r="Q275" i="20"/>
  <c r="R344" i="18"/>
  <c r="B344" i="18"/>
  <c r="AA275" i="20" l="1"/>
  <c r="Z275" i="20"/>
  <c r="AB275" i="20" s="1"/>
  <c r="C276" i="20"/>
  <c r="C344" i="18"/>
  <c r="V344" i="18"/>
  <c r="J344" i="18"/>
  <c r="N344" i="18"/>
  <c r="L344" i="18"/>
  <c r="D344" i="18"/>
  <c r="AL344" i="18"/>
  <c r="F344" i="18"/>
  <c r="H344" i="18" s="1"/>
  <c r="T344" i="18"/>
  <c r="AS344" i="18"/>
  <c r="O276" i="20" l="1"/>
  <c r="N276" i="20"/>
  <c r="Q276" i="20"/>
  <c r="H276" i="20"/>
  <c r="X276" i="20"/>
  <c r="E276" i="20"/>
  <c r="V276" i="20"/>
  <c r="T276" i="20"/>
  <c r="D277" i="20" s="1"/>
  <c r="J277" i="20" s="1"/>
  <c r="U276" i="20"/>
  <c r="I276" i="20"/>
  <c r="G276" i="20"/>
  <c r="K276" i="20" s="1"/>
  <c r="M276" i="20"/>
  <c r="S276" i="20"/>
  <c r="F276" i="20"/>
  <c r="X344" i="18"/>
  <c r="B345" i="18" s="1"/>
  <c r="AM344" i="18"/>
  <c r="AA276" i="20" l="1"/>
  <c r="Z276" i="20"/>
  <c r="C277" i="20"/>
  <c r="C345" i="18"/>
  <c r="J345" i="18"/>
  <c r="V345" i="18"/>
  <c r="N345" i="18"/>
  <c r="L345" i="18"/>
  <c r="F345" i="18"/>
  <c r="H345" i="18" s="1"/>
  <c r="AL345" i="18"/>
  <c r="D345" i="18"/>
  <c r="T345" i="18"/>
  <c r="AS345" i="18"/>
  <c r="AB276" i="20" l="1"/>
  <c r="E277" i="20"/>
  <c r="T277" i="20"/>
  <c r="D278" i="20" s="1"/>
  <c r="J278" i="20" s="1"/>
  <c r="S277" i="20"/>
  <c r="F277" i="20"/>
  <c r="U277" i="20"/>
  <c r="H277" i="20"/>
  <c r="Q277" i="20"/>
  <c r="O277" i="20"/>
  <c r="M277" i="20"/>
  <c r="X277" i="20"/>
  <c r="N277" i="20"/>
  <c r="G277" i="20"/>
  <c r="K277" i="20" s="1"/>
  <c r="I277" i="20"/>
  <c r="V277" i="20"/>
  <c r="C278" i="20"/>
  <c r="X345" i="18"/>
  <c r="AM345" i="18"/>
  <c r="AA277" i="20" l="1"/>
  <c r="Z277" i="20"/>
  <c r="AB277" i="20" s="1"/>
  <c r="E278" i="20"/>
  <c r="I278" i="20"/>
  <c r="N278" i="20"/>
  <c r="G278" i="20"/>
  <c r="K278" i="20" s="1"/>
  <c r="F278" i="20"/>
  <c r="S278" i="20"/>
  <c r="V278" i="20"/>
  <c r="T278" i="20"/>
  <c r="D279" i="20" s="1"/>
  <c r="J279" i="20" s="1"/>
  <c r="O278" i="20"/>
  <c r="X278" i="20"/>
  <c r="Q278" i="20"/>
  <c r="M278" i="20"/>
  <c r="H278" i="20"/>
  <c r="U278" i="20"/>
  <c r="R346" i="18"/>
  <c r="B346" i="18"/>
  <c r="AA278" i="20" l="1"/>
  <c r="Z278" i="20"/>
  <c r="AB278" i="20" s="1"/>
  <c r="C279" i="20"/>
  <c r="C346" i="18"/>
  <c r="J346" i="18"/>
  <c r="V346" i="18"/>
  <c r="N346" i="18"/>
  <c r="T346" i="18"/>
  <c r="F346" i="18"/>
  <c r="H346" i="18" s="1"/>
  <c r="L346" i="18"/>
  <c r="D346" i="18"/>
  <c r="AL346" i="18"/>
  <c r="AS346" i="18"/>
  <c r="N279" i="20" l="1"/>
  <c r="O279" i="20"/>
  <c r="S279" i="20"/>
  <c r="V279" i="20"/>
  <c r="T279" i="20"/>
  <c r="D280" i="20" s="1"/>
  <c r="J280" i="20" s="1"/>
  <c r="H279" i="20"/>
  <c r="Q279" i="20"/>
  <c r="F279" i="20"/>
  <c r="X279" i="20"/>
  <c r="I279" i="20"/>
  <c r="M279" i="20"/>
  <c r="G279" i="20"/>
  <c r="K279" i="20" s="1"/>
  <c r="U279" i="20"/>
  <c r="E279" i="20"/>
  <c r="X346" i="18"/>
  <c r="B347" i="18" s="1"/>
  <c r="AM346" i="18"/>
  <c r="AA279" i="20" l="1"/>
  <c r="Z279" i="20"/>
  <c r="AB279" i="20" s="1"/>
  <c r="C280" i="20"/>
  <c r="C347" i="18"/>
  <c r="J347" i="18"/>
  <c r="V347" i="18"/>
  <c r="L347" i="18"/>
  <c r="N347" i="18"/>
  <c r="F347" i="18"/>
  <c r="H347" i="18" s="1"/>
  <c r="T347" i="18"/>
  <c r="D347" i="18"/>
  <c r="AS347" i="18"/>
  <c r="AL347" i="18"/>
  <c r="H280" i="20" l="1"/>
  <c r="V280" i="20"/>
  <c r="G280" i="20"/>
  <c r="K280" i="20" s="1"/>
  <c r="T280" i="20"/>
  <c r="D281" i="20" s="1"/>
  <c r="J281" i="20" s="1"/>
  <c r="Q280" i="20"/>
  <c r="I280" i="20"/>
  <c r="X280" i="20"/>
  <c r="S280" i="20"/>
  <c r="M280" i="20"/>
  <c r="U280" i="20"/>
  <c r="O280" i="20"/>
  <c r="E280" i="20"/>
  <c r="N280" i="20"/>
  <c r="F280" i="20"/>
  <c r="X347" i="18"/>
  <c r="AM347" i="18"/>
  <c r="AA280" i="20" l="1"/>
  <c r="Z280" i="20"/>
  <c r="AB280" i="20" s="1"/>
  <c r="C281" i="20"/>
  <c r="R348" i="18"/>
  <c r="B348" i="18"/>
  <c r="M281" i="20" l="1"/>
  <c r="N281" i="20"/>
  <c r="E281" i="20"/>
  <c r="G281" i="20"/>
  <c r="K281" i="20" s="1"/>
  <c r="X281" i="20"/>
  <c r="U281" i="20"/>
  <c r="T281" i="20"/>
  <c r="D282" i="20" s="1"/>
  <c r="J282" i="20" s="1"/>
  <c r="O281" i="20"/>
  <c r="F281" i="20"/>
  <c r="S281" i="20"/>
  <c r="I281" i="20"/>
  <c r="V281" i="20"/>
  <c r="Q281" i="20"/>
  <c r="H281" i="20"/>
  <c r="C348" i="18"/>
  <c r="J348" i="18"/>
  <c r="V348" i="18"/>
  <c r="L348" i="18"/>
  <c r="N348" i="18"/>
  <c r="T348" i="18"/>
  <c r="AS348" i="18"/>
  <c r="D348" i="18"/>
  <c r="AL348" i="18"/>
  <c r="F348" i="18"/>
  <c r="H348" i="18" s="1"/>
  <c r="C282" i="20" l="1"/>
  <c r="T282" i="20" s="1"/>
  <c r="D283" i="20" s="1"/>
  <c r="J283" i="20" s="1"/>
  <c r="AA281" i="20"/>
  <c r="Z281" i="20"/>
  <c r="AB281" i="20" s="1"/>
  <c r="S282" i="20"/>
  <c r="X282" i="20"/>
  <c r="U282" i="20"/>
  <c r="G282" i="20"/>
  <c r="K282" i="20" s="1"/>
  <c r="F282" i="20"/>
  <c r="H282" i="20"/>
  <c r="O282" i="20"/>
  <c r="M282" i="20"/>
  <c r="Z282" i="20" s="1"/>
  <c r="E282" i="20"/>
  <c r="I282" i="20"/>
  <c r="V282" i="20"/>
  <c r="Q282" i="20"/>
  <c r="N282" i="20"/>
  <c r="X348" i="18"/>
  <c r="B349" i="18" s="1"/>
  <c r="AM348" i="18"/>
  <c r="AA282" i="20" l="1"/>
  <c r="C283" i="20"/>
  <c r="F283" i="20" s="1"/>
  <c r="O283" i="20"/>
  <c r="S283" i="20"/>
  <c r="G283" i="20"/>
  <c r="K283" i="20" s="1"/>
  <c r="U283" i="20"/>
  <c r="H283" i="20"/>
  <c r="X283" i="20"/>
  <c r="T283" i="20"/>
  <c r="D284" i="20" s="1"/>
  <c r="J284" i="20" s="1"/>
  <c r="Q283" i="20"/>
  <c r="E283" i="20"/>
  <c r="AB282" i="20"/>
  <c r="C349" i="18"/>
  <c r="V349" i="18"/>
  <c r="J349" i="18"/>
  <c r="L349" i="18"/>
  <c r="N349" i="18"/>
  <c r="D349" i="18"/>
  <c r="F349" i="18"/>
  <c r="H349" i="18" s="1"/>
  <c r="T349" i="18"/>
  <c r="AS349" i="18"/>
  <c r="AL349" i="18"/>
  <c r="N283" i="20" l="1"/>
  <c r="V283" i="20"/>
  <c r="M283" i="20"/>
  <c r="Z283" i="20" s="1"/>
  <c r="I283" i="20"/>
  <c r="C284" i="20"/>
  <c r="F284" i="20" s="1"/>
  <c r="X349" i="18"/>
  <c r="AM349" i="18"/>
  <c r="N284" i="20" l="1"/>
  <c r="V284" i="20"/>
  <c r="AA283" i="20"/>
  <c r="AB283" i="20" s="1"/>
  <c r="X284" i="20"/>
  <c r="G284" i="20"/>
  <c r="K284" i="20" s="1"/>
  <c r="E284" i="20"/>
  <c r="S284" i="20"/>
  <c r="Q284" i="20"/>
  <c r="H284" i="20"/>
  <c r="T284" i="20"/>
  <c r="U284" i="20"/>
  <c r="I284" i="20"/>
  <c r="O284" i="20"/>
  <c r="M284" i="20"/>
  <c r="R350" i="18"/>
  <c r="B350" i="18"/>
  <c r="D285" i="20" l="1"/>
  <c r="J285" i="20" s="1"/>
  <c r="C285" i="20"/>
  <c r="Z284" i="20"/>
  <c r="AA284" i="20"/>
  <c r="AB284" i="20" s="1"/>
  <c r="C350" i="18"/>
  <c r="J350" i="18"/>
  <c r="V350" i="18"/>
  <c r="L350" i="18"/>
  <c r="AS350" i="18"/>
  <c r="D350" i="18"/>
  <c r="AL350" i="18"/>
  <c r="T350" i="18"/>
  <c r="N350" i="18"/>
  <c r="F350" i="18"/>
  <c r="H350" i="18" s="1"/>
  <c r="S285" i="20" l="1"/>
  <c r="H285" i="20"/>
  <c r="R285" i="20"/>
  <c r="O285" i="20"/>
  <c r="M285" i="20"/>
  <c r="AA285" i="20" s="1"/>
  <c r="E285" i="20"/>
  <c r="Q285" i="20"/>
  <c r="G285" i="20"/>
  <c r="K285" i="20" s="1"/>
  <c r="U285" i="20"/>
  <c r="T285" i="20"/>
  <c r="F285" i="20"/>
  <c r="I285" i="20"/>
  <c r="X285" i="20"/>
  <c r="V285" i="20"/>
  <c r="N285" i="20"/>
  <c r="Z285" i="20"/>
  <c r="X350" i="18"/>
  <c r="B351" i="18" s="1"/>
  <c r="AM350" i="18"/>
  <c r="AB285" i="20" l="1"/>
  <c r="D286" i="20"/>
  <c r="J286" i="20" s="1"/>
  <c r="C286" i="20"/>
  <c r="C351" i="18"/>
  <c r="V351" i="18"/>
  <c r="N351" i="18"/>
  <c r="J351" i="18"/>
  <c r="L351" i="18"/>
  <c r="D351" i="18"/>
  <c r="F351" i="18"/>
  <c r="H351" i="18" s="1"/>
  <c r="T351" i="18"/>
  <c r="AS351" i="18"/>
  <c r="AL351" i="18"/>
  <c r="I286" i="20" l="1"/>
  <c r="M286" i="20"/>
  <c r="O286" i="20"/>
  <c r="U286" i="20"/>
  <c r="S286" i="20"/>
  <c r="X286" i="20"/>
  <c r="Q286" i="20"/>
  <c r="G286" i="20"/>
  <c r="K286" i="20" s="1"/>
  <c r="F286" i="20"/>
  <c r="V286" i="20"/>
  <c r="T286" i="20"/>
  <c r="N286" i="20"/>
  <c r="H286" i="20"/>
  <c r="E286" i="20"/>
  <c r="X351" i="18"/>
  <c r="AM351" i="18"/>
  <c r="D287" i="20" l="1"/>
  <c r="J287" i="20" s="1"/>
  <c r="C287" i="20"/>
  <c r="AA286" i="20"/>
  <c r="Z286" i="20"/>
  <c r="R352" i="18"/>
  <c r="B352" i="18"/>
  <c r="AB286" i="20" l="1"/>
  <c r="E287" i="20"/>
  <c r="Q287" i="20"/>
  <c r="G287" i="20"/>
  <c r="K287" i="20" s="1"/>
  <c r="U287" i="20"/>
  <c r="S287" i="20"/>
  <c r="O287" i="20"/>
  <c r="H287" i="20"/>
  <c r="V287" i="20"/>
  <c r="I287" i="20"/>
  <c r="X287" i="20"/>
  <c r="M287" i="20"/>
  <c r="Z287" i="20" s="1"/>
  <c r="N287" i="20"/>
  <c r="F287" i="20"/>
  <c r="T287" i="20"/>
  <c r="C352" i="18"/>
  <c r="V352" i="18"/>
  <c r="N352" i="18"/>
  <c r="J352" i="18"/>
  <c r="L352" i="18"/>
  <c r="AL352" i="18"/>
  <c r="AS352" i="18"/>
  <c r="T352" i="18"/>
  <c r="D352" i="18"/>
  <c r="F352" i="18"/>
  <c r="H352" i="18" s="1"/>
  <c r="U352" i="18"/>
  <c r="D288" i="20" l="1"/>
  <c r="J288" i="20" s="1"/>
  <c r="C288" i="20"/>
  <c r="AA287" i="20"/>
  <c r="AB287" i="20" s="1"/>
  <c r="X352" i="18"/>
  <c r="B353" i="18" s="1"/>
  <c r="AM352" i="18"/>
  <c r="X288" i="20" l="1"/>
  <c r="O288" i="20"/>
  <c r="M288" i="20"/>
  <c r="I288" i="20"/>
  <c r="N288" i="20"/>
  <c r="S288" i="20"/>
  <c r="F288" i="20"/>
  <c r="U288" i="20"/>
  <c r="G288" i="20"/>
  <c r="K288" i="20" s="1"/>
  <c r="V288" i="20"/>
  <c r="E288" i="20"/>
  <c r="Q288" i="20"/>
  <c r="T288" i="20"/>
  <c r="H288" i="20"/>
  <c r="C353" i="18"/>
  <c r="J353" i="18"/>
  <c r="V353" i="18"/>
  <c r="N353" i="18"/>
  <c r="L353" i="18"/>
  <c r="F353" i="18"/>
  <c r="H353" i="18" s="1"/>
  <c r="D353" i="18"/>
  <c r="AL353" i="18"/>
  <c r="T353" i="18"/>
  <c r="AS353" i="18"/>
  <c r="D289" i="20" l="1"/>
  <c r="J289" i="20" s="1"/>
  <c r="C289" i="20"/>
  <c r="AA288" i="20"/>
  <c r="Z288" i="20"/>
  <c r="X353" i="18"/>
  <c r="AM353" i="18"/>
  <c r="AB288" i="20" l="1"/>
  <c r="M289" i="20"/>
  <c r="Z289" i="20" s="1"/>
  <c r="F289" i="20"/>
  <c r="E289" i="20"/>
  <c r="U289" i="20"/>
  <c r="X289" i="20"/>
  <c r="N289" i="20"/>
  <c r="G289" i="20"/>
  <c r="K289" i="20" s="1"/>
  <c r="H289" i="20"/>
  <c r="V289" i="20"/>
  <c r="O289" i="20"/>
  <c r="I289" i="20"/>
  <c r="S289" i="20"/>
  <c r="T289" i="20"/>
  <c r="D290" i="20" s="1"/>
  <c r="J290" i="20" s="1"/>
  <c r="Q289" i="20"/>
  <c r="R354" i="18"/>
  <c r="B354" i="18"/>
  <c r="C290" i="20" l="1"/>
  <c r="AA289" i="20"/>
  <c r="C354" i="18"/>
  <c r="J354" i="18"/>
  <c r="V354" i="18"/>
  <c r="N354" i="18"/>
  <c r="F354" i="18"/>
  <c r="H354" i="18" s="1"/>
  <c r="T354" i="18"/>
  <c r="AS354" i="18"/>
  <c r="L354" i="18"/>
  <c r="D354" i="18"/>
  <c r="AL354" i="18"/>
  <c r="O290" i="20" l="1"/>
  <c r="H290" i="20"/>
  <c r="X290" i="20"/>
  <c r="V290" i="20"/>
  <c r="N290" i="20"/>
  <c r="T290" i="20"/>
  <c r="D291" i="20" s="1"/>
  <c r="J291" i="20" s="1"/>
  <c r="S290" i="20"/>
  <c r="M290" i="20"/>
  <c r="Z290" i="20" s="1"/>
  <c r="I290" i="20"/>
  <c r="G290" i="20"/>
  <c r="K290" i="20" s="1"/>
  <c r="E290" i="20"/>
  <c r="U290" i="20"/>
  <c r="F290" i="20"/>
  <c r="Q290" i="20"/>
  <c r="AB289" i="20"/>
  <c r="X354" i="18"/>
  <c r="B355" i="18" s="1"/>
  <c r="AM354" i="18"/>
  <c r="C291" i="20" l="1"/>
  <c r="E291" i="20" s="1"/>
  <c r="S291" i="20"/>
  <c r="U291" i="20"/>
  <c r="T291" i="20"/>
  <c r="D292" i="20" s="1"/>
  <c r="J292" i="20" s="1"/>
  <c r="F291" i="20"/>
  <c r="H291" i="20"/>
  <c r="Q291" i="20"/>
  <c r="M291" i="20"/>
  <c r="I291" i="20"/>
  <c r="V291" i="20"/>
  <c r="X291" i="20"/>
  <c r="G291" i="20"/>
  <c r="K291" i="20" s="1"/>
  <c r="O291" i="20"/>
  <c r="C292" i="20"/>
  <c r="AA290" i="20"/>
  <c r="C355" i="18"/>
  <c r="J355" i="18"/>
  <c r="V355" i="18"/>
  <c r="L355" i="18"/>
  <c r="N355" i="18"/>
  <c r="AL355" i="18"/>
  <c r="F355" i="18"/>
  <c r="H355" i="18" s="1"/>
  <c r="D355" i="18"/>
  <c r="T355" i="18"/>
  <c r="AS355" i="18"/>
  <c r="N291" i="20" l="1"/>
  <c r="I292" i="20"/>
  <c r="F292" i="20"/>
  <c r="O292" i="20"/>
  <c r="T292" i="20"/>
  <c r="D293" i="20" s="1"/>
  <c r="J293" i="20" s="1"/>
  <c r="U292" i="20"/>
  <c r="N292" i="20"/>
  <c r="X292" i="20"/>
  <c r="S292" i="20"/>
  <c r="G292" i="20"/>
  <c r="K292" i="20" s="1"/>
  <c r="Q292" i="20"/>
  <c r="H292" i="20"/>
  <c r="E292" i="20"/>
  <c r="V292" i="20"/>
  <c r="M292" i="20"/>
  <c r="AB290" i="20"/>
  <c r="AA291" i="20"/>
  <c r="Z291" i="20"/>
  <c r="X355" i="18"/>
  <c r="AM355" i="18"/>
  <c r="Z292" i="20" l="1"/>
  <c r="AB291" i="20"/>
  <c r="AA292" i="20"/>
  <c r="C293" i="20"/>
  <c r="R356" i="18"/>
  <c r="B356" i="18"/>
  <c r="X293" i="20" l="1"/>
  <c r="E293" i="20"/>
  <c r="V293" i="20"/>
  <c r="I293" i="20"/>
  <c r="U293" i="20"/>
  <c r="S293" i="20"/>
  <c r="O293" i="20"/>
  <c r="F293" i="20"/>
  <c r="G293" i="20"/>
  <c r="K293" i="20" s="1"/>
  <c r="N293" i="20"/>
  <c r="T293" i="20"/>
  <c r="D294" i="20" s="1"/>
  <c r="J294" i="20" s="1"/>
  <c r="M293" i="20"/>
  <c r="Z293" i="20" s="1"/>
  <c r="H293" i="20"/>
  <c r="Q293" i="20"/>
  <c r="C294" i="20"/>
  <c r="AB292" i="20"/>
  <c r="C356" i="18"/>
  <c r="J356" i="18"/>
  <c r="V356" i="18"/>
  <c r="L356" i="18"/>
  <c r="N356" i="18"/>
  <c r="AL356" i="18"/>
  <c r="AS356" i="18"/>
  <c r="D356" i="18"/>
  <c r="F356" i="18"/>
  <c r="H356" i="18" s="1"/>
  <c r="T356" i="18"/>
  <c r="Q294" i="20" l="1"/>
  <c r="N294" i="20"/>
  <c r="T294" i="20"/>
  <c r="D295" i="20" s="1"/>
  <c r="J295" i="20" s="1"/>
  <c r="O294" i="20"/>
  <c r="U294" i="20"/>
  <c r="I294" i="20"/>
  <c r="X294" i="20"/>
  <c r="E294" i="20"/>
  <c r="F294" i="20"/>
  <c r="H294" i="20"/>
  <c r="G294" i="20"/>
  <c r="K294" i="20" s="1"/>
  <c r="V294" i="20"/>
  <c r="M294" i="20"/>
  <c r="S294" i="20"/>
  <c r="AA293" i="20"/>
  <c r="AB293" i="20" s="1"/>
  <c r="X356" i="18"/>
  <c r="B357" i="18" s="1"/>
  <c r="AM356" i="18"/>
  <c r="Z294" i="20" l="1"/>
  <c r="C295" i="20"/>
  <c r="S295" i="20" s="1"/>
  <c r="F295" i="20"/>
  <c r="O295" i="20"/>
  <c r="G295" i="20"/>
  <c r="K295" i="20" s="1"/>
  <c r="V295" i="20"/>
  <c r="E295" i="20"/>
  <c r="H295" i="20"/>
  <c r="M295" i="20"/>
  <c r="U295" i="20"/>
  <c r="I295" i="20"/>
  <c r="X295" i="20"/>
  <c r="AA294" i="20"/>
  <c r="AB294" i="20" s="1"/>
  <c r="V357" i="18"/>
  <c r="C357" i="18"/>
  <c r="L357" i="18"/>
  <c r="J357" i="18"/>
  <c r="N357" i="18"/>
  <c r="D357" i="18"/>
  <c r="AS357" i="18"/>
  <c r="AL357" i="18"/>
  <c r="F357" i="18"/>
  <c r="H357" i="18" s="1"/>
  <c r="T357" i="18"/>
  <c r="N295" i="20" l="1"/>
  <c r="T295" i="20"/>
  <c r="D296" i="20" s="1"/>
  <c r="J296" i="20" s="1"/>
  <c r="Z295" i="20"/>
  <c r="Q295" i="20"/>
  <c r="AA295" i="20"/>
  <c r="AB295" i="20" s="1"/>
  <c r="C296" i="20"/>
  <c r="AM357" i="18"/>
  <c r="X357" i="18"/>
  <c r="U296" i="20" l="1"/>
  <c r="E296" i="20"/>
  <c r="M296" i="20"/>
  <c r="V296" i="20"/>
  <c r="C297" i="20"/>
  <c r="I296" i="20"/>
  <c r="O296" i="20"/>
  <c r="G296" i="20"/>
  <c r="K296" i="20" s="1"/>
  <c r="N296" i="20"/>
  <c r="T296" i="20"/>
  <c r="D297" i="20" s="1"/>
  <c r="J297" i="20" s="1"/>
  <c r="H296" i="20"/>
  <c r="Q296" i="20"/>
  <c r="X296" i="20"/>
  <c r="S296" i="20"/>
  <c r="F296" i="20"/>
  <c r="R358" i="18"/>
  <c r="B358" i="18"/>
  <c r="X297" i="20" l="1"/>
  <c r="I297" i="20"/>
  <c r="U297" i="20"/>
  <c r="V297" i="20"/>
  <c r="N297" i="20"/>
  <c r="H297" i="20"/>
  <c r="Q297" i="20"/>
  <c r="S297" i="20"/>
  <c r="R297" i="20"/>
  <c r="E297" i="20"/>
  <c r="T297" i="20"/>
  <c r="D298" i="20" s="1"/>
  <c r="J298" i="20" s="1"/>
  <c r="G297" i="20"/>
  <c r="K297" i="20" s="1"/>
  <c r="M297" i="20"/>
  <c r="F297" i="20"/>
  <c r="O297" i="20"/>
  <c r="AA296" i="20"/>
  <c r="Z296" i="20"/>
  <c r="V358" i="18"/>
  <c r="C358" i="18"/>
  <c r="J358" i="18"/>
  <c r="L358" i="18"/>
  <c r="D358" i="18"/>
  <c r="AL358" i="18"/>
  <c r="N358" i="18"/>
  <c r="AS358" i="18"/>
  <c r="T358" i="18"/>
  <c r="F358" i="18"/>
  <c r="H358" i="18" s="1"/>
  <c r="AB296" i="20" l="1"/>
  <c r="AA297" i="20"/>
  <c r="Z297" i="20"/>
  <c r="AB297" i="20" s="1"/>
  <c r="C298" i="20"/>
  <c r="X358" i="18"/>
  <c r="B359" i="18" s="1"/>
  <c r="AM358" i="18"/>
  <c r="O298" i="20" l="1"/>
  <c r="Q298" i="20"/>
  <c r="X298" i="20"/>
  <c r="N298" i="20"/>
  <c r="S298" i="20"/>
  <c r="U298" i="20"/>
  <c r="H298" i="20"/>
  <c r="G298" i="20"/>
  <c r="K298" i="20" s="1"/>
  <c r="M298" i="20"/>
  <c r="I298" i="20"/>
  <c r="F298" i="20"/>
  <c r="V298" i="20"/>
  <c r="T298" i="20"/>
  <c r="D299" i="20" s="1"/>
  <c r="J299" i="20" s="1"/>
  <c r="E298" i="20"/>
  <c r="V359" i="18"/>
  <c r="C359" i="18"/>
  <c r="N359" i="18"/>
  <c r="L359" i="18"/>
  <c r="J359" i="18"/>
  <c r="T359" i="18"/>
  <c r="AL359" i="18"/>
  <c r="D359" i="18"/>
  <c r="AS359" i="18"/>
  <c r="F359" i="18"/>
  <c r="H359" i="18" s="1"/>
  <c r="Z298" i="20" l="1"/>
  <c r="AA298" i="20"/>
  <c r="C299" i="20"/>
  <c r="AM359" i="18"/>
  <c r="X359" i="18"/>
  <c r="E299" i="20" l="1"/>
  <c r="M299" i="20"/>
  <c r="Z299" i="20" s="1"/>
  <c r="G299" i="20"/>
  <c r="K299" i="20" s="1"/>
  <c r="U299" i="20"/>
  <c r="O299" i="20"/>
  <c r="S299" i="20"/>
  <c r="F299" i="20"/>
  <c r="X299" i="20"/>
  <c r="N299" i="20"/>
  <c r="I299" i="20"/>
  <c r="H299" i="20"/>
  <c r="V299" i="20"/>
  <c r="T299" i="20"/>
  <c r="D300" i="20" s="1"/>
  <c r="J300" i="20" s="1"/>
  <c r="Q299" i="20"/>
  <c r="C300" i="20"/>
  <c r="AA299" i="20"/>
  <c r="AB299" i="20" s="1"/>
  <c r="AB298" i="20"/>
  <c r="R360" i="18"/>
  <c r="B360" i="18"/>
  <c r="T300" i="20" l="1"/>
  <c r="D301" i="20" s="1"/>
  <c r="J301" i="20" s="1"/>
  <c r="U300" i="20"/>
  <c r="I300" i="20"/>
  <c r="E300" i="20"/>
  <c r="O300" i="20"/>
  <c r="Q300" i="20"/>
  <c r="S300" i="20"/>
  <c r="V300" i="20"/>
  <c r="F300" i="20"/>
  <c r="N300" i="20"/>
  <c r="G300" i="20"/>
  <c r="K300" i="20" s="1"/>
  <c r="M300" i="20"/>
  <c r="Z300" i="20" s="1"/>
  <c r="H300" i="20"/>
  <c r="X300" i="20"/>
  <c r="V360" i="18"/>
  <c r="C360" i="18"/>
  <c r="N360" i="18"/>
  <c r="L360" i="18"/>
  <c r="J360" i="18"/>
  <c r="D360" i="18"/>
  <c r="AL360" i="18"/>
  <c r="AS360" i="18"/>
  <c r="F360" i="18"/>
  <c r="H360" i="18" s="1"/>
  <c r="T360" i="18"/>
  <c r="AA300" i="20" l="1"/>
  <c r="C301" i="20"/>
  <c r="X360" i="18"/>
  <c r="B361" i="18" s="1"/>
  <c r="AM360" i="18"/>
  <c r="V301" i="20" l="1"/>
  <c r="N301" i="20"/>
  <c r="G301" i="20"/>
  <c r="K301" i="20" s="1"/>
  <c r="E301" i="20"/>
  <c r="I301" i="20"/>
  <c r="F301" i="20"/>
  <c r="S301" i="20"/>
  <c r="T301" i="20"/>
  <c r="D302" i="20" s="1"/>
  <c r="J302" i="20" s="1"/>
  <c r="M301" i="20"/>
  <c r="Z301" i="20" s="1"/>
  <c r="U301" i="20"/>
  <c r="X301" i="20"/>
  <c r="Q301" i="20"/>
  <c r="H301" i="20"/>
  <c r="O301" i="20"/>
  <c r="AB300" i="20"/>
  <c r="AA301" i="20"/>
  <c r="AB301" i="20" s="1"/>
  <c r="J361" i="18"/>
  <c r="V361" i="18"/>
  <c r="C361" i="18"/>
  <c r="N361" i="18"/>
  <c r="L361" i="18"/>
  <c r="F361" i="18"/>
  <c r="H361" i="18" s="1"/>
  <c r="AL361" i="18"/>
  <c r="T361" i="18"/>
  <c r="D361" i="18"/>
  <c r="AS361" i="18"/>
  <c r="C302" i="20" l="1"/>
  <c r="AM361" i="18"/>
  <c r="X361" i="18"/>
  <c r="E302" i="20" l="1"/>
  <c r="Q302" i="20"/>
  <c r="O302" i="20"/>
  <c r="F302" i="20"/>
  <c r="I302" i="20"/>
  <c r="S302" i="20"/>
  <c r="M302" i="20"/>
  <c r="H302" i="20"/>
  <c r="X302" i="20"/>
  <c r="V302" i="20"/>
  <c r="U302" i="20"/>
  <c r="N302" i="20"/>
  <c r="G302" i="20"/>
  <c r="K302" i="20" s="1"/>
  <c r="T302" i="20"/>
  <c r="D303" i="20" s="1"/>
  <c r="J303" i="20" s="1"/>
  <c r="C303" i="20"/>
  <c r="R362" i="18"/>
  <c r="B362" i="18"/>
  <c r="Z302" i="20" l="1"/>
  <c r="AA302" i="20"/>
  <c r="H303" i="20"/>
  <c r="I303" i="20"/>
  <c r="T303" i="20"/>
  <c r="D304" i="20" s="1"/>
  <c r="J304" i="20" s="1"/>
  <c r="U303" i="20"/>
  <c r="F303" i="20"/>
  <c r="Q303" i="20"/>
  <c r="S303" i="20"/>
  <c r="V303" i="20"/>
  <c r="E303" i="20"/>
  <c r="M303" i="20"/>
  <c r="Z303" i="20" s="1"/>
  <c r="N303" i="20"/>
  <c r="X303" i="20"/>
  <c r="C304" i="20"/>
  <c r="O303" i="20"/>
  <c r="G303" i="20"/>
  <c r="K303" i="20" s="1"/>
  <c r="V362" i="18"/>
  <c r="J362" i="18"/>
  <c r="C362" i="18"/>
  <c r="N362" i="18"/>
  <c r="F362" i="18"/>
  <c r="H362" i="18" s="1"/>
  <c r="L362" i="18"/>
  <c r="D362" i="18"/>
  <c r="T362" i="18"/>
  <c r="AL362" i="18"/>
  <c r="AS362" i="18"/>
  <c r="M304" i="20" l="1"/>
  <c r="S304" i="20"/>
  <c r="V304" i="20"/>
  <c r="T304" i="20"/>
  <c r="D305" i="20" s="1"/>
  <c r="J305" i="20" s="1"/>
  <c r="X304" i="20"/>
  <c r="O304" i="20"/>
  <c r="N304" i="20"/>
  <c r="H304" i="20"/>
  <c r="E304" i="20"/>
  <c r="F304" i="20"/>
  <c r="G304" i="20"/>
  <c r="K304" i="20" s="1"/>
  <c r="U304" i="20"/>
  <c r="Q304" i="20"/>
  <c r="I304" i="20"/>
  <c r="AB303" i="20"/>
  <c r="AB302" i="20"/>
  <c r="AA303" i="20"/>
  <c r="AA304" i="20" s="1"/>
  <c r="AM362" i="18"/>
  <c r="X362" i="18"/>
  <c r="B363" i="18" s="1"/>
  <c r="C305" i="20" l="1"/>
  <c r="S305" i="20" s="1"/>
  <c r="E305" i="20"/>
  <c r="Q305" i="20"/>
  <c r="N305" i="20"/>
  <c r="G305" i="20"/>
  <c r="K305" i="20" s="1"/>
  <c r="U305" i="20"/>
  <c r="I305" i="20"/>
  <c r="H305" i="20"/>
  <c r="O305" i="20"/>
  <c r="V305" i="20"/>
  <c r="M305" i="20"/>
  <c r="F305" i="20"/>
  <c r="AB304" i="20"/>
  <c r="X305" i="20"/>
  <c r="Z304" i="20"/>
  <c r="C363" i="18"/>
  <c r="J363" i="18"/>
  <c r="J365" i="18" s="1"/>
  <c r="V363" i="18"/>
  <c r="T363" i="18"/>
  <c r="AS363" i="18"/>
  <c r="L363" i="18"/>
  <c r="L365" i="18" s="1"/>
  <c r="N363" i="18"/>
  <c r="N365" i="18" s="1"/>
  <c r="F363" i="18"/>
  <c r="AL363" i="18"/>
  <c r="D363" i="18"/>
  <c r="D365" i="18" s="1"/>
  <c r="AR63" i="18"/>
  <c r="T305" i="20" l="1"/>
  <c r="Z305" i="20"/>
  <c r="AA305" i="20"/>
  <c r="AB305" i="20" s="1"/>
  <c r="F365" i="18"/>
  <c r="H363" i="18"/>
  <c r="V365" i="18"/>
  <c r="S26" i="18"/>
  <c r="AL39" i="18"/>
  <c r="AM363" i="18"/>
  <c r="S27" i="18" s="1"/>
  <c r="CK50" i="18" s="1"/>
  <c r="X363" i="18"/>
  <c r="D306" i="20" l="1"/>
  <c r="J306" i="20" s="1"/>
  <c r="C306" i="20"/>
  <c r="BV50" i="18"/>
  <c r="E41" i="18"/>
  <c r="B41" i="18"/>
  <c r="B42" i="18"/>
  <c r="I41" i="18"/>
  <c r="N306" i="20" l="1"/>
  <c r="U306" i="20"/>
  <c r="T306" i="20"/>
  <c r="X306" i="20"/>
  <c r="S306" i="20"/>
  <c r="V306" i="20"/>
  <c r="F306" i="20"/>
  <c r="Q306" i="20"/>
  <c r="I306" i="20"/>
  <c r="E306" i="20"/>
  <c r="O306" i="20"/>
  <c r="G306" i="20"/>
  <c r="K306" i="20" s="1"/>
  <c r="M306" i="20"/>
  <c r="H306" i="20"/>
  <c r="D307" i="20" l="1"/>
  <c r="J307" i="20" s="1"/>
  <c r="C307" i="20"/>
  <c r="Z306" i="20"/>
  <c r="AA306" i="20"/>
  <c r="AB306" i="20" s="1"/>
  <c r="U307" i="20" l="1"/>
  <c r="T307" i="20"/>
  <c r="E307" i="20"/>
  <c r="V307" i="20"/>
  <c r="N307" i="20"/>
  <c r="O307" i="20"/>
  <c r="H307" i="20"/>
  <c r="Q307" i="20"/>
  <c r="G307" i="20"/>
  <c r="K307" i="20" s="1"/>
  <c r="M307" i="20"/>
  <c r="Z307" i="20" s="1"/>
  <c r="S307" i="20"/>
  <c r="F307" i="20"/>
  <c r="X307" i="20"/>
  <c r="I307" i="20"/>
  <c r="D308" i="20" l="1"/>
  <c r="J308" i="20" s="1"/>
  <c r="C308" i="20"/>
  <c r="AA307" i="20"/>
  <c r="AB307" i="20" s="1"/>
  <c r="O308" i="20" l="1"/>
  <c r="G308" i="20"/>
  <c r="K308" i="20" s="1"/>
  <c r="T308" i="20"/>
  <c r="D309" i="20" s="1"/>
  <c r="J309" i="20" s="1"/>
  <c r="X308" i="20"/>
  <c r="F308" i="20"/>
  <c r="U308" i="20"/>
  <c r="S308" i="20"/>
  <c r="N308" i="20"/>
  <c r="Q308" i="20"/>
  <c r="E308" i="20"/>
  <c r="H308" i="20"/>
  <c r="V308" i="20"/>
  <c r="M308" i="20"/>
  <c r="Z308" i="20" s="1"/>
  <c r="I308" i="20"/>
  <c r="C309" i="20"/>
  <c r="G309" i="20" s="1"/>
  <c r="K309" i="20" s="1"/>
  <c r="F309" i="20" l="1"/>
  <c r="O309" i="20"/>
  <c r="S309" i="20"/>
  <c r="X309" i="20"/>
  <c r="U309" i="20"/>
  <c r="N309" i="20"/>
  <c r="V309" i="20"/>
  <c r="Q309" i="20"/>
  <c r="T309" i="20"/>
  <c r="D310" i="20" s="1"/>
  <c r="J310" i="20" s="1"/>
  <c r="R309" i="20"/>
  <c r="H309" i="20"/>
  <c r="E309" i="20"/>
  <c r="M309" i="20"/>
  <c r="I309" i="20"/>
  <c r="AA308" i="20"/>
  <c r="AB308" i="20" s="1"/>
  <c r="C310" i="20"/>
  <c r="Z309" i="20" l="1"/>
  <c r="AA309" i="20"/>
  <c r="X310" i="20"/>
  <c r="H310" i="20"/>
  <c r="I310" i="20"/>
  <c r="S310" i="20"/>
  <c r="Q310" i="20"/>
  <c r="U310" i="20"/>
  <c r="M310" i="20"/>
  <c r="Z310" i="20" s="1"/>
  <c r="E310" i="20"/>
  <c r="F310" i="20"/>
  <c r="T310" i="20"/>
  <c r="D311" i="20" s="1"/>
  <c r="J311" i="20" s="1"/>
  <c r="O310" i="20"/>
  <c r="G310" i="20"/>
  <c r="K310" i="20" s="1"/>
  <c r="N310" i="20"/>
  <c r="V310" i="20"/>
  <c r="AB309" i="20"/>
  <c r="C311" i="20" l="1"/>
  <c r="AA310" i="20"/>
  <c r="AB310" i="20" l="1"/>
  <c r="X311" i="20"/>
  <c r="G311" i="20"/>
  <c r="K311" i="20" s="1"/>
  <c r="S311" i="20"/>
  <c r="M311" i="20"/>
  <c r="Z311" i="20" s="1"/>
  <c r="O311" i="20"/>
  <c r="Q311" i="20"/>
  <c r="H311" i="20"/>
  <c r="U311" i="20"/>
  <c r="N311" i="20"/>
  <c r="T311" i="20"/>
  <c r="D312" i="20" s="1"/>
  <c r="J312" i="20" s="1"/>
  <c r="F311" i="20"/>
  <c r="E311" i="20"/>
  <c r="V311" i="20"/>
  <c r="I311" i="20"/>
  <c r="AA311" i="20" l="1"/>
  <c r="AB311" i="20" s="1"/>
  <c r="C312" i="20"/>
  <c r="F312" i="20" l="1"/>
  <c r="M312" i="20"/>
  <c r="Z312" i="20" s="1"/>
  <c r="G312" i="20"/>
  <c r="K312" i="20" s="1"/>
  <c r="X312" i="20"/>
  <c r="S312" i="20"/>
  <c r="U312" i="20"/>
  <c r="E312" i="20"/>
  <c r="H312" i="20"/>
  <c r="I312" i="20"/>
  <c r="N312" i="20"/>
  <c r="O312" i="20"/>
  <c r="T312" i="20"/>
  <c r="D313" i="20" s="1"/>
  <c r="J313" i="20" s="1"/>
  <c r="V312" i="20"/>
  <c r="Q312" i="20"/>
  <c r="AA312" i="20"/>
  <c r="C313" i="20" l="1"/>
  <c r="AB312" i="20"/>
  <c r="Q313" i="20" l="1"/>
  <c r="X313" i="20"/>
  <c r="G313" i="20"/>
  <c r="K313" i="20" s="1"/>
  <c r="E313" i="20"/>
  <c r="T313" i="20"/>
  <c r="D314" i="20" s="1"/>
  <c r="J314" i="20" s="1"/>
  <c r="N313" i="20"/>
  <c r="I313" i="20"/>
  <c r="F313" i="20"/>
  <c r="O313" i="20"/>
  <c r="S313" i="20"/>
  <c r="H313" i="20"/>
  <c r="M313" i="20"/>
  <c r="V313" i="20"/>
  <c r="U313" i="20"/>
  <c r="C314" i="20"/>
  <c r="N314" i="20" l="1"/>
  <c r="G314" i="20"/>
  <c r="K314" i="20" s="1"/>
  <c r="Q314" i="20"/>
  <c r="V314" i="20"/>
  <c r="X314" i="20"/>
  <c r="O314" i="20"/>
  <c r="M314" i="20"/>
  <c r="Z314" i="20" s="1"/>
  <c r="E314" i="20"/>
  <c r="T314" i="20"/>
  <c r="D315" i="20" s="1"/>
  <c r="J315" i="20" s="1"/>
  <c r="S314" i="20"/>
  <c r="U314" i="20"/>
  <c r="I314" i="20"/>
  <c r="C315" i="20"/>
  <c r="F314" i="20"/>
  <c r="H314" i="20"/>
  <c r="Z313" i="20"/>
  <c r="AA313" i="20"/>
  <c r="M315" i="20" l="1"/>
  <c r="Q315" i="20"/>
  <c r="O315" i="20"/>
  <c r="V315" i="20"/>
  <c r="S315" i="20"/>
  <c r="F315" i="20"/>
  <c r="X315" i="20"/>
  <c r="G315" i="20"/>
  <c r="K315" i="20" s="1"/>
  <c r="T315" i="20"/>
  <c r="D316" i="20" s="1"/>
  <c r="J316" i="20" s="1"/>
  <c r="U315" i="20"/>
  <c r="E315" i="20"/>
  <c r="N315" i="20"/>
  <c r="I315" i="20"/>
  <c r="H315" i="20"/>
  <c r="C316" i="20"/>
  <c r="AB313" i="20"/>
  <c r="AA314" i="20"/>
  <c r="AA315" i="20" s="1"/>
  <c r="Z315" i="20" l="1"/>
  <c r="AB315" i="20" s="1"/>
  <c r="S316" i="20"/>
  <c r="Q316" i="20"/>
  <c r="V316" i="20"/>
  <c r="N316" i="20"/>
  <c r="I316" i="20"/>
  <c r="O316" i="20"/>
  <c r="F316" i="20"/>
  <c r="E316" i="20"/>
  <c r="T316" i="20"/>
  <c r="D317" i="20" s="1"/>
  <c r="J317" i="20" s="1"/>
  <c r="X316" i="20"/>
  <c r="G316" i="20"/>
  <c r="K316" i="20" s="1"/>
  <c r="M316" i="20"/>
  <c r="Z316" i="20" s="1"/>
  <c r="H316" i="20"/>
  <c r="U316" i="20"/>
  <c r="AB314" i="20"/>
  <c r="AA316" i="20" l="1"/>
  <c r="C317" i="20"/>
  <c r="V317" i="20" l="1"/>
  <c r="N317" i="20"/>
  <c r="M317" i="20"/>
  <c r="Z317" i="20" s="1"/>
  <c r="H317" i="20"/>
  <c r="T317" i="20"/>
  <c r="D318" i="20" s="1"/>
  <c r="J318" i="20" s="1"/>
  <c r="E317" i="20"/>
  <c r="I317" i="20"/>
  <c r="G317" i="20"/>
  <c r="K317" i="20" s="1"/>
  <c r="F317" i="20"/>
  <c r="X317" i="20"/>
  <c r="S317" i="20"/>
  <c r="U317" i="20"/>
  <c r="O317" i="20"/>
  <c r="Q317" i="20"/>
  <c r="C318" i="20"/>
  <c r="AB316" i="20"/>
  <c r="E318" i="20" l="1"/>
  <c r="I318" i="20"/>
  <c r="Q318" i="20"/>
  <c r="G318" i="20"/>
  <c r="K318" i="20" s="1"/>
  <c r="S318" i="20"/>
  <c r="U318" i="20"/>
  <c r="T318" i="20"/>
  <c r="D319" i="20" s="1"/>
  <c r="J319" i="20" s="1"/>
  <c r="F318" i="20"/>
  <c r="X318" i="20"/>
  <c r="V318" i="20"/>
  <c r="M318" i="20"/>
  <c r="H318" i="20"/>
  <c r="N318" i="20"/>
  <c r="O318" i="20"/>
  <c r="AA317" i="20"/>
  <c r="AB317" i="20" l="1"/>
  <c r="AA318" i="20"/>
  <c r="Z318" i="20"/>
  <c r="C319" i="20"/>
  <c r="I319" i="20" l="1"/>
  <c r="S319" i="20"/>
  <c r="X319" i="20"/>
  <c r="O319" i="20"/>
  <c r="N319" i="20"/>
  <c r="U319" i="20"/>
  <c r="V319" i="20"/>
  <c r="H319" i="20"/>
  <c r="M319" i="20"/>
  <c r="E319" i="20"/>
  <c r="T319" i="20"/>
  <c r="D320" i="20" s="1"/>
  <c r="J320" i="20" s="1"/>
  <c r="J322" i="20" s="1"/>
  <c r="F319" i="20"/>
  <c r="Q319" i="20"/>
  <c r="G319" i="20"/>
  <c r="C320" i="20"/>
  <c r="G15" i="20"/>
  <c r="AA319" i="20"/>
  <c r="AB318" i="20"/>
  <c r="G320" i="20" l="1"/>
  <c r="K320" i="20" s="1"/>
  <c r="U320" i="20"/>
  <c r="U322" i="20" s="1"/>
  <c r="X320" i="20"/>
  <c r="J17" i="20" s="1"/>
  <c r="V320" i="20"/>
  <c r="M320" i="20"/>
  <c r="Z320" i="20" s="1"/>
  <c r="S320" i="20"/>
  <c r="S322" i="20" s="1"/>
  <c r="BZ50" i="18" s="1"/>
  <c r="I42" i="18" s="1"/>
  <c r="O320" i="20"/>
  <c r="O322" i="20" s="1"/>
  <c r="E320" i="20"/>
  <c r="E322" i="20" s="1"/>
  <c r="I320" i="20"/>
  <c r="I322" i="20" s="1"/>
  <c r="N320" i="20"/>
  <c r="N322" i="20" s="1"/>
  <c r="T320" i="20"/>
  <c r="F320" i="20"/>
  <c r="F322" i="20" s="1"/>
  <c r="H320" i="20"/>
  <c r="H322" i="20" s="1"/>
  <c r="Q320" i="20"/>
  <c r="K319" i="20"/>
  <c r="G322" i="20"/>
  <c r="AA320" i="20"/>
  <c r="Z319" i="20"/>
  <c r="AB319" i="20" s="1"/>
  <c r="Z20" i="20"/>
  <c r="M322" i="20"/>
  <c r="AB320" i="20" l="1"/>
  <c r="CH50" i="18"/>
  <c r="E42" i="18" s="1"/>
  <c r="CD50" i="18"/>
  <c r="K322"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<sst xmlns="http://schemas.openxmlformats.org/spreadsheetml/2006/main" count="24457" uniqueCount="488">
  <si>
    <t>Plazo</t>
  </si>
  <si>
    <t>Factor de Pago</t>
  </si>
  <si>
    <t>Tabla de amortización</t>
  </si>
  <si>
    <t>CREDITO HIPOTECARIO</t>
  </si>
  <si>
    <t>Datos Generales</t>
  </si>
  <si>
    <t>Producto</t>
  </si>
  <si>
    <t>Datos del crédito</t>
  </si>
  <si>
    <t>Monto de Vivienda</t>
  </si>
  <si>
    <t>Plazo para liquidación</t>
  </si>
  <si>
    <t>CAT*</t>
  </si>
  <si>
    <t>Saldo Inicial</t>
  </si>
  <si>
    <t>Pago a Capital</t>
  </si>
  <si>
    <t>Intereses</t>
  </si>
  <si>
    <t xml:space="preserve">Seguro de Vida </t>
  </si>
  <si>
    <t xml:space="preserve">Seguro de Daños </t>
  </si>
  <si>
    <t>Saldo Final</t>
  </si>
  <si>
    <t>Comisión Pago Anticipado</t>
  </si>
  <si>
    <t xml:space="preserve">IVA Comisión P. Anticipado </t>
  </si>
  <si>
    <t>Aportación Infonavit</t>
  </si>
  <si>
    <t>Opciones de pago</t>
  </si>
  <si>
    <t>Monto de Crédito</t>
  </si>
  <si>
    <t>Destino</t>
  </si>
  <si>
    <t>Factor Pago</t>
  </si>
  <si>
    <t>Tasa Techo</t>
  </si>
  <si>
    <t>Tipo de financiamiento</t>
  </si>
  <si>
    <t>Esquema</t>
  </si>
  <si>
    <t>Tasa Piso</t>
  </si>
  <si>
    <t>Costo Avaluos</t>
  </si>
  <si>
    <t>De</t>
  </si>
  <si>
    <t>Costo</t>
  </si>
  <si>
    <t>Costo de Avaluo</t>
  </si>
  <si>
    <t>Tasa</t>
  </si>
  <si>
    <t>Pago Puntual</t>
  </si>
  <si>
    <t>Relacionamiento</t>
  </si>
  <si>
    <t>Factor de Vida</t>
  </si>
  <si>
    <t>Factor de Daños</t>
  </si>
  <si>
    <t>Comisión Por PREPAGO</t>
  </si>
  <si>
    <t>Año</t>
  </si>
  <si>
    <t>Tasa periodo</t>
  </si>
  <si>
    <t>Tasa Inicial</t>
  </si>
  <si>
    <t>Si puntual</t>
  </si>
  <si>
    <t>No puntual</t>
  </si>
  <si>
    <t>Inicio pago puntual despues del año</t>
  </si>
  <si>
    <t>Inicio relacionamiento despues del año</t>
  </si>
  <si>
    <t>Años de crédito</t>
  </si>
  <si>
    <t>Incremento anual</t>
  </si>
  <si>
    <t>No Relacionamiento</t>
  </si>
  <si>
    <t>Puntos Ganados por Pago Puntal</t>
  </si>
  <si>
    <t>Puntos Ganados por Relacionamiento</t>
  </si>
  <si>
    <t>Cumple Pago
Puntual</t>
  </si>
  <si>
    <t>Cumple
Relacionamiento</t>
  </si>
  <si>
    <t>Acumulado de Pago Puntual</t>
  </si>
  <si>
    <t>Acumulado de Relacionamiento</t>
  </si>
  <si>
    <t>¿Con Relacionamiento?</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</si>
  <si>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</si>
  <si>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</si>
  <si>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</si>
  <si>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</si>
  <si>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</si>
  <si>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</si>
  <si>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</si>
  <si>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</si>
  <si>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</si>
  <si>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</si>
  <si>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</si>
  <si>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</si>
  <si>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</si>
  <si>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</si>
  <si>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</si>
  <si>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</si>
  <si>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</si>
  <si>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</si>
  <si>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</si>
  <si>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</si>
  <si>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Año
21</t>
  </si>
  <si>
    <t>Año
22</t>
  </si>
  <si>
    <t>Año
23</t>
  </si>
  <si>
    <t>Año
24</t>
  </si>
  <si>
    <t>Año
25</t>
  </si>
  <si>
    <t>Estado</t>
  </si>
  <si>
    <t>Aguascalientes</t>
  </si>
  <si>
    <t>Baja California</t>
  </si>
  <si>
    <t>Baja California Sur</t>
  </si>
  <si>
    <t>Campeche</t>
  </si>
  <si>
    <t>Coahuila</t>
  </si>
  <si>
    <t>Colima</t>
  </si>
  <si>
    <t>Chiapas</t>
  </si>
  <si>
    <t>Chihuahua</t>
  </si>
  <si>
    <t>Ciudad de México</t>
  </si>
  <si>
    <t>Durango</t>
  </si>
  <si>
    <t>Estado de México</t>
  </si>
  <si>
    <t>Guanajuato</t>
  </si>
  <si>
    <t>Guerrero</t>
  </si>
  <si>
    <t>Hidalgo</t>
  </si>
  <si>
    <t>Jalisco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</si>
  <si>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</si>
  <si>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</si>
  <si>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</si>
  <si>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</si>
  <si>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</si>
  <si>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</si>
  <si>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</si>
  <si>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</si>
  <si>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</si>
  <si>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</si>
  <si>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</si>
  <si>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</si>
  <si>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</si>
  <si>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</si>
  <si>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</si>
  <si>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</si>
  <si>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</si>
  <si>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Apoyo Infonavit</t>
  </si>
  <si>
    <t>Cofinavit</t>
  </si>
  <si>
    <t>Adquisicion</t>
  </si>
  <si>
    <t>Liquidez</t>
  </si>
  <si>
    <t>Exclusiva</t>
  </si>
  <si>
    <t>Resultados</t>
  </si>
  <si>
    <t>Desembolso inicial</t>
  </si>
  <si>
    <t>Gastos de Investigación</t>
  </si>
  <si>
    <t>Gastos Notariales</t>
  </si>
  <si>
    <t>Desembolso Total</t>
  </si>
  <si>
    <t>Condiciones del crédito</t>
  </si>
  <si>
    <t>Monto de crédito Total</t>
  </si>
  <si>
    <t>Porcentaje</t>
  </si>
  <si>
    <t>Mes/Periodo</t>
  </si>
  <si>
    <t>Ajuste Pago</t>
  </si>
  <si>
    <t>Anticipos a Capital</t>
  </si>
  <si>
    <t>Comisión Por Apertura</t>
  </si>
  <si>
    <t>Destino Concatenado</t>
  </si>
  <si>
    <t>LTV</t>
  </si>
  <si>
    <t>Tipo de Persona</t>
  </si>
  <si>
    <t>PF</t>
  </si>
  <si>
    <t>Contador</t>
  </si>
  <si>
    <t>Flujo CAT</t>
  </si>
  <si>
    <t>FACTOR</t>
  </si>
  <si>
    <t>Comisión por administración</t>
  </si>
  <si>
    <t>Comisión Por Administración</t>
  </si>
  <si>
    <t>Intereses diferidos por pagar</t>
  </si>
  <si>
    <t>Prepago a saldo</t>
  </si>
  <si>
    <t>Prepago real</t>
  </si>
  <si>
    <t>NR</t>
  </si>
  <si>
    <t>1+</t>
  </si>
  <si>
    <t>Premier</t>
  </si>
  <si>
    <t>Tipo de Programa</t>
  </si>
  <si>
    <t>Perfil</t>
  </si>
  <si>
    <t>Nómina HSBC</t>
  </si>
  <si>
    <t>Si</t>
  </si>
  <si>
    <t>No</t>
  </si>
  <si>
    <t>Factor de
Línea</t>
  </si>
  <si>
    <t>Construcción</t>
  </si>
  <si>
    <t>Terreno + Construcción</t>
  </si>
  <si>
    <t>Remodelación</t>
  </si>
  <si>
    <t>Tasa Sin Relacionamiento y Sin Pago Puntual Peor Escenario</t>
  </si>
  <si>
    <t>Factor de Incremento</t>
  </si>
  <si>
    <t>CAT</t>
  </si>
  <si>
    <t>Factor de Incremento Pago Bajo Acumulado</t>
  </si>
  <si>
    <t>Perfil de Cliente HSBC</t>
  </si>
  <si>
    <t>Gastos de Investigción</t>
  </si>
  <si>
    <t>Mensualidad Total</t>
  </si>
  <si>
    <t>Pago Capital+ Interes</t>
  </si>
  <si>
    <t>Comisión por Administración</t>
  </si>
  <si>
    <t>Tasa de Interes</t>
  </si>
  <si>
    <t>Pago Anticipado</t>
  </si>
  <si>
    <t>Tipo prepago</t>
  </si>
  <si>
    <t>Flujo Sin IVA</t>
  </si>
  <si>
    <t>Pago Total</t>
  </si>
  <si>
    <t>Plazo Remanente</t>
  </si>
  <si>
    <t>PFAE</t>
  </si>
  <si>
    <t>PROF</t>
  </si>
  <si>
    <t>Pago_Bajo_Puntual</t>
  </si>
  <si>
    <t>Pago_Fijo_Puntual</t>
  </si>
  <si>
    <t>GSC</t>
  </si>
  <si>
    <t>Pago_de_Hipoteca</t>
  </si>
  <si>
    <t>Pago_Hipoteca+Liquidez</t>
  </si>
  <si>
    <t>Wealth &amp; Premier Executive</t>
  </si>
  <si>
    <t>Poder Judicial</t>
  </si>
  <si>
    <t>Tipo de Cliente</t>
  </si>
  <si>
    <t>Perfil_Cliente</t>
  </si>
  <si>
    <t>No_Premier</t>
  </si>
  <si>
    <t>Normal</t>
  </si>
  <si>
    <t>Nómina</t>
  </si>
  <si>
    <t>Nómina Especial</t>
  </si>
  <si>
    <t>Si/No</t>
  </si>
  <si>
    <t>Clientes Especiales Axa No Nómina</t>
  </si>
  <si>
    <t>Clientes Especiales Axa Nómina</t>
  </si>
  <si>
    <t>Hipoteca Con HSBC</t>
  </si>
  <si>
    <t>PagHip Mas Liquidez</t>
  </si>
  <si>
    <t>Factor de Línea</t>
  </si>
  <si>
    <t>Periodo</t>
  </si>
  <si>
    <t>Pago Anticipo a Capital</t>
  </si>
  <si>
    <t>NO</t>
  </si>
  <si>
    <t>Perfil cliente</t>
  </si>
  <si>
    <t>Datos del Crédito</t>
  </si>
  <si>
    <t>Centro Hipotecario</t>
  </si>
  <si>
    <t>Desarrollo</t>
  </si>
  <si>
    <t>Canal_de_Acceso</t>
  </si>
  <si>
    <t>Producto_Pago_Fijo_Puntual_Wealth &amp; Premier Executive</t>
  </si>
  <si>
    <t>PAGO FIJO PUNTUAL</t>
  </si>
  <si>
    <t>PAGO BAJO PUNTUAL</t>
  </si>
  <si>
    <t>Validaciones</t>
  </si>
  <si>
    <t>Desembolso adicional del cliente por el proyecto</t>
  </si>
  <si>
    <t>Valor final</t>
  </si>
  <si>
    <t>Desembolso adicional del cliente por el terreno</t>
  </si>
  <si>
    <t>2 minist remod</t>
  </si>
  <si>
    <t>Desembolso Total Inicial</t>
  </si>
  <si>
    <t>Línea de Crédito Máxima a disponer</t>
  </si>
  <si>
    <t xml:space="preserve">Tasa </t>
  </si>
  <si>
    <t>Pago Mensual del crédito solicitado</t>
  </si>
  <si>
    <t>Ingreso requerido para línea solicitada</t>
  </si>
  <si>
    <t>Comportamiento</t>
  </si>
  <si>
    <t># Ministración</t>
  </si>
  <si>
    <t>Supervisión Final</t>
  </si>
  <si>
    <t>Periodo de la ministración (mes)</t>
  </si>
  <si>
    <t>% de Ministración</t>
  </si>
  <si>
    <t>Ministración</t>
  </si>
  <si>
    <t>% avance de obra requerido</t>
  </si>
  <si>
    <t>Valor del Proyecto</t>
  </si>
  <si>
    <t>Desembolso del cliente en cada ministración</t>
  </si>
  <si>
    <t>Saldo a favor del cliente durante la construcción</t>
  </si>
  <si>
    <t>Premier20</t>
  </si>
  <si>
    <t>Premier15</t>
  </si>
  <si>
    <t>Premier10</t>
  </si>
  <si>
    <t>Aplican condiciones. Sujeto a aprobación de crédito. Consulta términos, condiciones de contratación y comisiones en www.hsbc.com.mx</t>
  </si>
  <si>
    <t>Premier5</t>
  </si>
  <si>
    <t>Información mostrada para fines informativos y de comparación exclusivamente. No constituye obligación alguna para HSBC o las Aseguradoras indicadas.</t>
  </si>
  <si>
    <t>El Seguro de Vida es registrado y operado por HSBC Seguros S.A. de CV., Grupo Financiero HSBC. El Seguro de Daños es registrado y operado por AXA Seguros S.A. de C.V.</t>
  </si>
  <si>
    <t>En caso de tener avance de obra, el crédito solicitado por el cliente no podrá ser mayor que los recursos necesarios para concluir la obra</t>
  </si>
  <si>
    <t>Ministracion</t>
  </si>
  <si>
    <t>Revisar que % aplicarían para 3 y 2 ministraciones</t>
  </si>
  <si>
    <t>Mensualidad</t>
  </si>
  <si>
    <t>plazo</t>
  </si>
  <si>
    <t>Tipo de cliente</t>
  </si>
  <si>
    <t>Avance de Obra</t>
  </si>
  <si>
    <t>Monto Ministración</t>
  </si>
  <si>
    <t>Interés</t>
  </si>
  <si>
    <t>Suma Asegurada</t>
  </si>
  <si>
    <t>Seguro de Daños</t>
  </si>
  <si>
    <t>Seguro de Vida</t>
  </si>
  <si>
    <t>Prepago</t>
  </si>
  <si>
    <t>Totales</t>
  </si>
  <si>
    <t>* CAT promedio sin IVA. Informativo. Tasa  fija anual. Cobertura Nacional. Crédito en Moneda Nacional. Información sujeta a cambios sin previo aviso.</t>
  </si>
  <si>
    <t>La información mostrada es para fines informativos y de comparación exclusivamente. No constituye obligación alguna para HSBC o las Aseguradoras que se indican.</t>
  </si>
  <si>
    <t>TIR</t>
  </si>
  <si>
    <t>FACTORES SEGUROS DE VIDA Y DAÑOS</t>
  </si>
  <si>
    <t>Daños</t>
  </si>
  <si>
    <t>Vida</t>
  </si>
  <si>
    <t>% Avance de Obra Requerido</t>
  </si>
  <si>
    <t>Línea de Crédito a Contratar</t>
  </si>
  <si>
    <t>Plazo de Obra</t>
  </si>
  <si>
    <t>Pago_de_Hipoteca
o
Pago_Hipoteca+Liquidez</t>
  </si>
  <si>
    <t>Wealth &amp; Premier Executive &amp;
Adquisicion &amp;
Tradicional</t>
  </si>
  <si>
    <t>Cofinnciamiento, Apoyo Infonavit, Exclusiva
Wealth &amp; Premier Executive &amp; Adquisicion &amp; Tradicional</t>
  </si>
  <si>
    <t>Plazo Final</t>
  </si>
  <si>
    <t>Resto de los Plazos</t>
  </si>
  <si>
    <t>Selecciona Mes de Ministracción</t>
  </si>
  <si>
    <t>Mes de la Ministración</t>
  </si>
  <si>
    <t>CONSTRUCCION Y REMODELCION</t>
  </si>
  <si>
    <t>&lt;</t>
  </si>
  <si>
    <r>
      <t xml:space="preserve">CAT </t>
    </r>
    <r>
      <rPr>
        <b/>
        <sz val="14"/>
        <color rgb="FFFF0000"/>
        <rFont val="Calibri"/>
        <family val="2"/>
        <scheme val="minor"/>
      </rPr>
      <t>***</t>
    </r>
  </si>
  <si>
    <t>*</t>
  </si>
  <si>
    <t>Broker</t>
  </si>
  <si>
    <t>Broker Desarrollo</t>
  </si>
  <si>
    <t>Monto de Ministracción</t>
  </si>
  <si>
    <t>El crédito solicitado No puede ser mayor a la línea de crédito máxima a disponer</t>
  </si>
  <si>
    <t>Usuario</t>
  </si>
  <si>
    <t>Contraseña</t>
  </si>
  <si>
    <t>Loging Administrador</t>
  </si>
  <si>
    <t/>
  </si>
  <si>
    <t>Puntos Acumulados Ganados por Relacionamiento</t>
  </si>
  <si>
    <t>Total</t>
  </si>
  <si>
    <t>¿Es cliente Nómina HSBC? *</t>
  </si>
  <si>
    <t>Monto Max por Monto</t>
  </si>
  <si>
    <t>Monto Max por Ingreso</t>
  </si>
  <si>
    <t>% Max Financiamiento</t>
  </si>
  <si>
    <t>Min Financiamiento</t>
  </si>
  <si>
    <t>Monto de Máximo</t>
  </si>
  <si>
    <t>Final</t>
  </si>
  <si>
    <t>Valor de Vivienda</t>
  </si>
  <si>
    <t>Nomina Especial</t>
  </si>
  <si>
    <t>% Monto Max</t>
  </si>
  <si>
    <t>% Cofi</t>
  </si>
  <si>
    <t>Gastos-Subcueta</t>
  </si>
  <si>
    <t>Enganche base</t>
  </si>
  <si>
    <t>Ajuste por SSV</t>
  </si>
  <si>
    <t>Tipo de Financiamiento</t>
  </si>
  <si>
    <t>Monto Maximo</t>
  </si>
  <si>
    <t>Validación</t>
  </si>
  <si>
    <t>Cumple</t>
  </si>
  <si>
    <t>HSBC + Inf &lt; 97%</t>
  </si>
  <si>
    <t>100% GyH</t>
  </si>
  <si>
    <t>Factor DTI</t>
  </si>
  <si>
    <t>Factor No Asalariado</t>
  </si>
  <si>
    <t>Ingresos Minimos</t>
  </si>
  <si>
    <t>CréditoLTV</t>
  </si>
  <si>
    <t>Credito solicitado</t>
  </si>
  <si>
    <t>Factor Comisión Mensual</t>
  </si>
  <si>
    <t>FPT</t>
  </si>
  <si>
    <t>Mercado Abierto Sin E-Visor</t>
  </si>
  <si>
    <t>Mercado Abierto Con E-Visor</t>
  </si>
  <si>
    <t>HQ Sin E-Visor</t>
  </si>
  <si>
    <t>HQ Con E-Visor</t>
  </si>
  <si>
    <t>Ingresos Mínimos Mercado Abierto</t>
  </si>
  <si>
    <t>Ingresos Mínimos HQ</t>
  </si>
  <si>
    <t>Ingreso a Considerar</t>
  </si>
  <si>
    <t>Factor Daños</t>
  </si>
  <si>
    <t>Ajuste corrección</t>
  </si>
  <si>
    <t>Factor de Línea/Tasa</t>
  </si>
  <si>
    <t>No_Premier20</t>
  </si>
  <si>
    <t>No_Premier15</t>
  </si>
  <si>
    <t>No_Premier10</t>
  </si>
  <si>
    <t>No_Premier5</t>
  </si>
  <si>
    <t>Tasa Ganada con Pago Puntual</t>
  </si>
  <si>
    <t>Tasa Considerando Pago Puntual y Relacionaiento</t>
  </si>
  <si>
    <t>No.</t>
  </si>
  <si>
    <t>Factor de Daño 2</t>
  </si>
  <si>
    <t>Comisión de Admon</t>
  </si>
  <si>
    <t>Capital</t>
  </si>
  <si>
    <t>Adquisicion
Exclusiva
Pago_de_Hipoteca
Pago_Hipoteca+Liquidez</t>
  </si>
  <si>
    <t>Construcción
Terreno + Construcción
Remodelación</t>
  </si>
  <si>
    <t>Nota: Requisitar los campos en color gris</t>
  </si>
  <si>
    <r>
      <t xml:space="preserve">Destino </t>
    </r>
    <r>
      <rPr>
        <b/>
        <sz val="14"/>
        <color rgb="FFFF0000"/>
        <rFont val="Calibri"/>
        <family val="2"/>
        <scheme val="minor"/>
      </rPr>
      <t>*</t>
    </r>
  </si>
  <si>
    <r>
      <t xml:space="preserve">Tipo Cliente </t>
    </r>
    <r>
      <rPr>
        <b/>
        <sz val="14"/>
        <color rgb="FFFF0000"/>
        <rFont val="Calibri"/>
        <family val="2"/>
        <scheme val="minor"/>
      </rPr>
      <t>*</t>
    </r>
  </si>
  <si>
    <r>
      <t xml:space="preserve">Tipo de Persona </t>
    </r>
    <r>
      <rPr>
        <b/>
        <sz val="14"/>
        <color rgb="FFFF0000"/>
        <rFont val="Calibri"/>
        <family val="2"/>
        <scheme val="minor"/>
      </rPr>
      <t>*</t>
    </r>
  </si>
  <si>
    <r>
      <t xml:space="preserve">Valor del proyecto </t>
    </r>
    <r>
      <rPr>
        <b/>
        <sz val="14"/>
        <color rgb="FFFF0000"/>
        <rFont val="Calibri"/>
        <family val="2"/>
        <scheme val="minor"/>
      </rPr>
      <t>*</t>
    </r>
  </si>
  <si>
    <r>
      <t xml:space="preserve">Plazo Crédito (Años) </t>
    </r>
    <r>
      <rPr>
        <b/>
        <sz val="14"/>
        <color rgb="FFFF0000"/>
        <rFont val="Calibri"/>
        <family val="2"/>
        <scheme val="minor"/>
      </rPr>
      <t>*</t>
    </r>
  </si>
  <si>
    <r>
      <t xml:space="preserve">Crédito solicitado por el cliente </t>
    </r>
    <r>
      <rPr>
        <sz val="14"/>
        <color rgb="FFFF0000"/>
        <rFont val="Calibri"/>
        <family val="2"/>
        <scheme val="minor"/>
      </rPr>
      <t>*</t>
    </r>
  </si>
  <si>
    <r>
      <t xml:space="preserve">¿Qué avance tiene actualmente la obra? En % </t>
    </r>
    <r>
      <rPr>
        <sz val="14"/>
        <color rgb="FFFF0000"/>
        <rFont val="Calibri"/>
        <family val="2"/>
        <scheme val="minor"/>
      </rPr>
      <t>*</t>
    </r>
  </si>
  <si>
    <r>
      <t xml:space="preserve">Ministraciones </t>
    </r>
    <r>
      <rPr>
        <sz val="14"/>
        <color rgb="FFFF0000"/>
        <rFont val="Calibri"/>
        <family val="2"/>
        <scheme val="minor"/>
      </rPr>
      <t>*</t>
    </r>
  </si>
  <si>
    <r>
      <t xml:space="preserve">Gastos notariales </t>
    </r>
    <r>
      <rPr>
        <sz val="14"/>
        <color rgb="FFFF0000"/>
        <rFont val="Calibri"/>
        <family val="2"/>
        <scheme val="minor"/>
      </rPr>
      <t>*</t>
    </r>
  </si>
  <si>
    <t>Monto Solicitado</t>
  </si>
  <si>
    <t>Monto de Ministración</t>
  </si>
  <si>
    <t>Tasa a Cotizar *</t>
  </si>
  <si>
    <r>
      <t xml:space="preserve">Esquema </t>
    </r>
    <r>
      <rPr>
        <b/>
        <sz val="14"/>
        <color theme="0"/>
        <rFont val="Calibri"/>
        <family val="2"/>
        <scheme val="minor"/>
      </rPr>
      <t>*</t>
    </r>
  </si>
  <si>
    <t>* Datos Requeridos</t>
  </si>
  <si>
    <t>** Aplica si al momento de pagar el avalúo del terreno hay avance de obra, en caso contrarío aplica en cada visita de inspección</t>
  </si>
  <si>
    <t>*** CAT promedio sin IVA. Informativo. Tasa  fija anual. Cobertura Nacional. Crédito en Moneda Nacional. Información sujeta a cambios sin previo aviso.</t>
  </si>
  <si>
    <t>** CAT promedio sin IVA. Informativo. Tasa  fija anual. Cobertura Nacional. Crédito en Moneda Nacional. Información sujeta a cambios sin previo aviso.</t>
  </si>
  <si>
    <r>
      <t xml:space="preserve">Escoja la opción de Producto </t>
    </r>
    <r>
      <rPr>
        <b/>
        <sz val="12"/>
        <color rgb="FFFF0000"/>
        <rFont val="Univers"/>
        <family val="2"/>
      </rPr>
      <t>*</t>
    </r>
  </si>
  <si>
    <r>
      <t xml:space="preserve">Esquema </t>
    </r>
    <r>
      <rPr>
        <b/>
        <sz val="12"/>
        <color rgb="FFFF0000"/>
        <rFont val="Univers"/>
        <family val="2"/>
      </rPr>
      <t>*</t>
    </r>
  </si>
  <si>
    <r>
      <t xml:space="preserve">Tipo de Persona </t>
    </r>
    <r>
      <rPr>
        <sz val="12"/>
        <color rgb="FFFF0000"/>
        <rFont val="Univers"/>
        <family val="2"/>
      </rPr>
      <t>*</t>
    </r>
  </si>
  <si>
    <r>
      <t xml:space="preserve">Gastos Notariales </t>
    </r>
    <r>
      <rPr>
        <b/>
        <sz val="12"/>
        <color rgb="FFFF0000"/>
        <rFont val="Univers"/>
        <family val="2"/>
      </rPr>
      <t>*</t>
    </r>
  </si>
  <si>
    <r>
      <t xml:space="preserve">Plazo solicitado (años) </t>
    </r>
    <r>
      <rPr>
        <b/>
        <sz val="12"/>
        <color rgb="FFFF0000"/>
        <rFont val="Univers"/>
        <family val="2"/>
      </rPr>
      <t>*</t>
    </r>
  </si>
  <si>
    <r>
      <t xml:space="preserve">Tasa a Cotizar </t>
    </r>
    <r>
      <rPr>
        <b/>
        <sz val="12"/>
        <color rgb="FFFF0000"/>
        <rFont val="Univers"/>
        <family val="2"/>
      </rPr>
      <t>*</t>
    </r>
  </si>
  <si>
    <r>
      <t xml:space="preserve">Tipo de calculo </t>
    </r>
    <r>
      <rPr>
        <b/>
        <sz val="12"/>
        <color rgb="FFFF0000"/>
        <rFont val="Univers"/>
        <family val="2"/>
      </rPr>
      <t>*</t>
    </r>
  </si>
  <si>
    <r>
      <t xml:space="preserve">Valor de la Vivienda a Adquirir </t>
    </r>
    <r>
      <rPr>
        <sz val="12"/>
        <color rgb="FFFF0000"/>
        <rFont val="Univers"/>
        <family val="2"/>
      </rPr>
      <t>*</t>
    </r>
  </si>
  <si>
    <t>TOTAL</t>
  </si>
  <si>
    <t>Mes Max</t>
  </si>
  <si>
    <t>Fila Maxima</t>
  </si>
  <si>
    <t>Pago Mensual Máximo</t>
  </si>
  <si>
    <t>Condiciones del Crédito de Liquidez</t>
  </si>
  <si>
    <t>Hasta</t>
  </si>
  <si>
    <t>No de Ministraciones</t>
  </si>
  <si>
    <t>Resultado</t>
  </si>
  <si>
    <t>¿Quieres Simular la Línea de Liquidez?</t>
  </si>
  <si>
    <t>Las condiciones de Crédito mostradas son considerando el escenario de Pago Puntual y opcional simular con o sin Relacionamiento.</t>
  </si>
  <si>
    <t>HIPOTECA FULL HSBC PATRIMONIAL</t>
  </si>
  <si>
    <r>
      <t xml:space="preserve">Perfil Cliente </t>
    </r>
    <r>
      <rPr>
        <sz val="12"/>
        <color rgb="FFFF0000"/>
        <rFont val="Univers"/>
        <family val="2"/>
      </rPr>
      <t>*</t>
    </r>
  </si>
  <si>
    <t>Acumulado</t>
  </si>
  <si>
    <t>¿Con Adhesión INFONAVIT?</t>
  </si>
  <si>
    <t>Cambio</t>
  </si>
  <si>
    <t>Responsable del cambio</t>
  </si>
  <si>
    <t>Nelson Silva Gallegos</t>
  </si>
  <si>
    <t>V1 19/06/2024</t>
  </si>
  <si>
    <t>Lanzamiento del Simulador Comercial para el producto de Hipoteca Full</t>
  </si>
  <si>
    <t>V2 09/08/2024</t>
  </si>
  <si>
    <t>Se realizan cambios en factores de pago y línea conforme a Matriz 107</t>
  </si>
  <si>
    <t>V3 04/11/2024</t>
  </si>
  <si>
    <t>Se realizan cambios para que la tabla de amortización se muestre en la  misma hoja de captura de condiciones y con esto hacer más eficiente el simulador.</t>
  </si>
  <si>
    <t>Gastos de Preoriginación - Avalúo Hipotecario</t>
  </si>
  <si>
    <t>C. Penalización Pago Anticipado</t>
  </si>
  <si>
    <t>C. Contratación Crédito</t>
  </si>
  <si>
    <t>C. Administración Renta</t>
  </si>
  <si>
    <t>IVA C. Penalización Pago Anticipado</t>
  </si>
  <si>
    <t>Gastos de Preoriginación - avalúo hipotecario</t>
  </si>
  <si>
    <r>
      <t xml:space="preserve">Gastos de Preoriginación -  Dictamen de Obra </t>
    </r>
    <r>
      <rPr>
        <b/>
        <sz val="14"/>
        <color rgb="FFFF0000"/>
        <rFont val="Calibri"/>
        <family val="2"/>
        <scheme val="minor"/>
      </rPr>
      <t>**</t>
    </r>
  </si>
  <si>
    <t>Producto_Pago_Bajo_Puntual_Wealth &amp; Premier Executive</t>
  </si>
  <si>
    <t>Catalogos de Productos</t>
  </si>
  <si>
    <t>Pago_Fijo_Puntual_Premier</t>
  </si>
  <si>
    <t>Pago_Bajo_Puntual_Premier</t>
  </si>
  <si>
    <t>Pago_Bajo_Puntual_No_Premier</t>
  </si>
  <si>
    <t>Pago_Fijo_Puntual_No_Premier</t>
  </si>
  <si>
    <t>Pago_Bajo_Puntual_Wealth_Premier_Executive</t>
  </si>
  <si>
    <t>Wealth_Premier_Executive</t>
  </si>
  <si>
    <t>Pago_Fijo_Puntual_Wealth_Premier_Executive</t>
  </si>
  <si>
    <t>1 y 2 +</t>
  </si>
  <si>
    <t>3 +</t>
  </si>
  <si>
    <t>1 y 2</t>
  </si>
  <si>
    <t>LTV &lt;= 70 % ó &gt;70 %</t>
  </si>
  <si>
    <t>LTV Mayor a 70%</t>
  </si>
  <si>
    <t>Liquidez Consolidación de Pasivos</t>
  </si>
  <si>
    <t>No eliminar estos catalogos</t>
  </si>
  <si>
    <t>- Se agrega la opción de Adhesión INFONAVIT para los destinos de Contrucción y Remodelación
 - Se realiza la actualización de Taxonomía de Comisiones.
- Se realizan cambios de Pricing autorizados y publicados el 31/08/2025</t>
  </si>
  <si>
    <t>Versión M110 V1</t>
  </si>
  <si>
    <t>Simulador Comercial Hipoteca Full HSBC</t>
  </si>
  <si>
    <t>Versión M110 V2</t>
  </si>
  <si>
    <t>Mercado_Abierto</t>
  </si>
  <si>
    <t>- Se realizan correcciones reportadas en Tasa , Premier y No Premier y cambio de Tradicional por Mercado_Abierto</t>
  </si>
  <si>
    <t>HSBC + Inf &lt; 95%</t>
  </si>
  <si>
    <t>Seguro Sin IVA</t>
  </si>
  <si>
    <t>Versión M110 V3</t>
  </si>
  <si>
    <t>- Se ingresa en los catálogos la opción de  elegir Producto Exclusiva y poder seleccionar plazos de 25 años en Mercado Abierto.
- Se activa la opción "¿Es cliente Nómina HSBC? Para incrementar LTV a 90 % para Mercado Abierto.
- Se actualiza el LTV Máximo para HQ a 95 %.
- Se corrige el que se muestre la reducción de plazo para PFAE Premier</t>
  </si>
  <si>
    <t>TABLA DE AMORTIZACIÓN DE CRÉDITO</t>
  </si>
  <si>
    <t>Fecha:</t>
  </si>
  <si>
    <t xml:space="preserve">OCTAVIO COTA MONTERO </t>
  </si>
  <si>
    <t xml:space="preserve">            Nombre del Acreditado:</t>
  </si>
  <si>
    <t>La presente carta contiene información sobre el crédito hipotecario solicitado a HSBC MÉXICO, S.A., INSTITUCIÓN DE BANCA MULTIPLE Grupo Financiera HSBC. De manera informativa le manisfestamos las fechas de pago, así como del "Pago Mensual Total" integrado por capital, intereses y seguros, que se deberán realizar para el cumplimiento de los terminos del crédito solicitado, quedando sujeto a la firma del mismo en la fecha señalada y a lo siguiente:</t>
  </si>
  <si>
    <r>
      <rPr>
        <b/>
        <sz val="12"/>
        <color theme="1"/>
        <rFont val="Arial"/>
        <family val="2"/>
      </rPr>
      <t>Destino del Crédito:</t>
    </r>
    <r>
      <rPr>
        <sz val="12"/>
        <color theme="1"/>
        <rFont val="Arial"/>
        <family val="2"/>
      </rPr>
      <t xml:space="preserve"> Hipoteca Full HSBC Partida Revolvente</t>
    </r>
  </si>
  <si>
    <t>Importe total financiado:</t>
  </si>
  <si>
    <t>Plazo en años:</t>
  </si>
  <si>
    <t>Tasa de Interés fija anual:</t>
  </si>
  <si>
    <t>Frecuancia:</t>
  </si>
  <si>
    <t>MENSUAL</t>
  </si>
  <si>
    <t>Periodos</t>
  </si>
  <si>
    <t>Fecha de Pago</t>
  </si>
  <si>
    <t>Saldo Isoluto</t>
  </si>
  <si>
    <t>Pago Capital</t>
  </si>
  <si>
    <t>Pago Interés</t>
  </si>
  <si>
    <t>IVA sobre intereses</t>
  </si>
  <si>
    <t>Erogación Neta</t>
  </si>
  <si>
    <t>Prima Vida y Desempleo</t>
  </si>
  <si>
    <t>Pago Total del Periodo</t>
  </si>
  <si>
    <t>En caso de incumplimiento de cualquier "Pago Mensual Total" posterior a la fecha de exigibilidad de dicho pago, la parte acreditada quedará obligada a pagar a HSBC hasta que permanezca la mora, un cargo por gastos administrativos de cobranza, según la tarifa que se encuentre vigente, y los seguros vencidos generados de acuerdo a lo establecido en el contrato de apertura del crédito en cuestión.</t>
  </si>
  <si>
    <t>Número de Folio:</t>
  </si>
  <si>
    <t>Fecha de Firma:</t>
  </si>
  <si>
    <t>Dia</t>
  </si>
  <si>
    <t>Mes</t>
  </si>
  <si>
    <t xml:space="preserve">&gt;&gt; Si el crédito hipotecario fue contratado con destino de "Liquidez!, el "Pago "Mensual Total" presentado en la tabal de amortización incluye el cobro del I.V.A. generado por los intereses reales del crédito. El I.V.A. sobre los intereses reales del crédito dependen de las variaciones en la inflación, así como de la tasa  de impuesto al valor agregado que cobra el estado donde se origina el crédito en cuastión. </t>
  </si>
  <si>
    <t xml:space="preserve">&gt;&gt; Esta tabla podrá cambiar por los siguientes eventos: falta de pago oportuno, pagos anticipados o IVA y/o variación en el monto de la prima del Seguros Daños, si fuera contratado a través de HSBC México conforme a lo indicado en su contrato de adhesión. </t>
  </si>
  <si>
    <t>La información aquí mostrada es para fines informativos</t>
  </si>
  <si>
    <t>Firma y fecha de recibido</t>
  </si>
  <si>
    <t>PARTE ACREDITADA</t>
  </si>
  <si>
    <t>ATENTAMENTE</t>
  </si>
  <si>
    <t>HSBC México S.A.</t>
  </si>
  <si>
    <t>Institución de Banca Multiple</t>
  </si>
  <si>
    <t>Grupo Financiaro HSBC</t>
  </si>
  <si>
    <t>Registro de Contratatos de Adhesión Núm:</t>
  </si>
  <si>
    <t xml:space="preserve">          Original: Expediente.</t>
  </si>
  <si>
    <t xml:space="preserve">          Copia: Cliente.</t>
  </si>
  <si>
    <t>Información: 01 (55) 57215817 de la Ciudad de México, área Metropolitana o del interior de la República</t>
  </si>
  <si>
    <t>www.hsbc.com.mx</t>
  </si>
  <si>
    <t>Año Nuevo</t>
  </si>
  <si>
    <t>Día de la Constitución</t>
  </si>
  <si>
    <t>Natalicio de Benito Juárez</t>
  </si>
  <si>
    <t>Día del Trabajo</t>
  </si>
  <si>
    <t>Día de la Independencia</t>
  </si>
  <si>
    <t>Día de la Revolución Mexicana</t>
  </si>
  <si>
    <t>Navidad</t>
  </si>
  <si>
    <t>Transmisión del Poder Ejecutivo Federal</t>
  </si>
  <si>
    <t>Miércoles</t>
  </si>
  <si>
    <t>Lunes</t>
  </si>
  <si>
    <t>Jueves</t>
  </si>
  <si>
    <t>Martes</t>
  </si>
  <si>
    <t>Viernes</t>
  </si>
  <si>
    <t>Sábado</t>
  </si>
  <si>
    <t>Domingo</t>
  </si>
  <si>
    <t>Fecha</t>
  </si>
  <si>
    <t>Día_de_Semana</t>
  </si>
  <si>
    <t>Motivo_del_Día_Inhábil</t>
  </si>
  <si>
    <t>Versión M110 V4</t>
  </si>
  <si>
    <t>Fecha de Cambio</t>
  </si>
  <si>
    <t>Versión</t>
  </si>
  <si>
    <t>- Se actualiza el LTV Máximo para HQ a 95 %. 
 - Se ingresa en los catálogos la opción de  elegir Producto Exclusiva y poder seleccionar plazos de 25 años en Mercado Abierto para Premier</t>
  </si>
  <si>
    <t>Versión M110 V5</t>
  </si>
  <si>
    <t>- Se realiza ajuste para que el cobro de C. Penalización Pago Anticipado de 36 meses a 60 meses</t>
  </si>
  <si>
    <t>Avalúo</t>
  </si>
  <si>
    <t>Comisión por apertura</t>
  </si>
  <si>
    <t>SI</t>
  </si>
  <si>
    <t>LTV &gt; a 70 % o LTV &lt; a 70 %</t>
  </si>
  <si>
    <t>LTV &gt; a 70 %</t>
  </si>
  <si>
    <t>LTV &lt; a 70 %</t>
  </si>
  <si>
    <t>Versión M111 V1</t>
  </si>
  <si>
    <t>- Se realiza ajuste de de tasas de Clientes Nómina y empleados de GSC de acuerdo a repricing de Matriz 111</t>
  </si>
  <si>
    <t>Por monto de crédito y valor de la vivienda</t>
  </si>
  <si>
    <t>Nómina Especial
o
GSC</t>
  </si>
  <si>
    <t>Valor de la UMA 2026</t>
  </si>
  <si>
    <t>VALOR DE LA UNA 2026</t>
  </si>
  <si>
    <t>VALOR DE LA UMA 2026</t>
  </si>
  <si>
    <t>Versión M111 V2</t>
  </si>
  <si>
    <t xml:space="preserve">- Se actualiza el valor de la UMA de 2026 a $3,566.22 </t>
  </si>
  <si>
    <t>Versión M111 V3</t>
  </si>
  <si>
    <t>- Se Topo el LTV máximo del crédito de Liquidez a 50 % y monto máximo de 1 millón de pesos.</t>
  </si>
  <si>
    <t>Validaciones Producto Pago de Hipotecas + Liquidez</t>
  </si>
  <si>
    <t>Monto máximo Integrado</t>
  </si>
  <si>
    <t>Monto de Hipoteca</t>
  </si>
  <si>
    <t>Monto de Liquidez</t>
  </si>
  <si>
    <t>Resultado de Validación</t>
  </si>
  <si>
    <t>Resultado de Validación de Monto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</si>
</sst>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quot;$&quot;#,##0_);\(&quot;$&quot;#,##0\)"/>
    <numFmt numFmtId="165" formatCode="_(* #,##0.00_);_(* \(#,##0.00\);_(* &quot;-&quot;??_);_(@_)"/>
    <numFmt numFmtId="166" formatCode="&quot;$&quot;#,##0.00_);\(&quot;$&quot;#,##0.00\)"/>
    <numFmt numFmtId="167" formatCode="_(&quot;$&quot;* #,##0.00_);_(&quot;$&quot;* \(#,##0.00\);_(&quot;$&quot;* &quot;-&quot;??_);_(@_)"/>
    <numFmt numFmtId="168" formatCode="[$-80A]d&quot; de &quot;mmmm&quot; de &quot;yyyy;@"/>
    <numFmt numFmtId="169" formatCode="&quot;$&quot;#,##0"/>
    <numFmt numFmtId="170" formatCode="&quot;$&quot;#,##0.00"/>
    <numFmt numFmtId="171" formatCode="#,##0_ ;\-#,##0\ "/>
    <numFmt numFmtId="172" formatCode="0.000000"/>
    <numFmt numFmtId="173" formatCode=";;;"/>
    <numFmt numFmtId="174" formatCode="&quot;$&quot;#,##0;[Red]&quot;$&quot;#,##0"/>
    <numFmt numFmtId="175" formatCode="0.0%"/>
    <numFmt numFmtId="176" formatCode="#,##0.00_ ;\-#,##0.00\ "/>
    <numFmt numFmtId="177" formatCode="&quot;$&quot;#,##0.0"/>
    <numFmt numFmtId="178" formatCode="&quot;$&quot;#,##0_);[Red]\(&quot;$&quot;#,##0\)"/>
    <numFmt numFmtId="179" formatCode="_-* #,##0.000_-;\-* #,##0.000_-;_-* &quot;-&quot;??_-;_-@_-"/>
    <numFmt numFmtId="180" formatCode="00.00"/>
    <numFmt numFmtId="181" formatCode="_-* #,##0.0000_-;\-* #,##0.0000_-;_-* &quot;-&quot;??_-;_-@_-"/>
    <numFmt numFmtId="182" formatCode="[$-F800]dddd\,\ mmmm\ dd\,\ yyyy"/>
    <numFmt numFmtId="183" formatCode="&quot;$&quot;#,##0.0;\-&quot;$&quot;#,##0.0"/>
    <numFmt numFmtId="184" formatCode="_-&quot;$&quot;* #,##0_-;\-&quot;$&quot;* #,##0_-;_-&quot;$&quot;* &quot;-&quot;??_-;_-@_-"/>
    <numFmt numFmtId="185" formatCode="_-* #,##0_-;\-* #,##0_-;_-* &quot;-&quot;??_-;_-@_-"/>
    <numFmt numFmtId="186" formatCode="0.0000000"/>
    <numFmt numFmtId="187" formatCode="_-\ #,##0_-;\-\ #,##0_-;_-\ &quot;-&quot;??_-;_-@_-"/>
    <numFmt numFmtId="188" formatCode="0.0000"/>
    <numFmt numFmtId="189" formatCode="_(* #,##0_);_(* \(#,##0\);_(* &quot;-&quot;??_);_(@_)"/>
    <numFmt numFmtId="190" formatCode="0.0000%"/>
    <numFmt numFmtId="191" formatCode="[$-80A]d&quot; de &quot;mmmm&quot; de &quot;yyyy"/>
    <numFmt numFmtId="192" formatCode="m/d/yyyy"/>
    <numFmt numFmtId="193" formatCode="0.000000%"/>
  </numFmts>
  <fonts count="7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0"/>
      <color theme="1"/>
      <name val="Calibri"/>
      <family val="2"/>
      <scheme val="minor"/>
    </font>
    <font>
      <b/>
      <sz val="18"/>
      <color theme="0"/>
      <name val="Calibri"/>
      <family val="2"/>
      <scheme val="minor"/>
    </font>
    <font>
      <sz val="11"/>
      <name val="Calibri"/>
      <family val="2"/>
      <scheme val="minor"/>
    </font>
    <font>
      <sz val="10"/>
      <color theme="1"/>
      <name val="Calibri"/>
      <family val="2"/>
      <scheme val="minor"/>
    </font>
    <font>
      <sz val="11"/>
      <name val="Arial"/>
      <family val="2"/>
    </font>
    <font>
      <b/>
      <sz val="8"/>
      <color theme="0"/>
      <name val="Calibri"/>
      <family val="2"/>
      <scheme val="minor"/>
    </font>
    <font>
      <sz val="10"/>
      <name val="Arial"/>
      <family val="2"/>
    </font>
    <font>
      <b/>
      <sz val="8"/>
      <color theme="8"/>
      <name val="Calibri"/>
      <family val="2"/>
      <scheme val="minor"/>
    </font>
    <font>
      <sz val="8"/>
      <name val="Calibri"/>
      <family val="2"/>
      <scheme val="minor"/>
    </font>
    <font>
      <sz val="11"/>
      <color rgb="FFFF0000"/>
      <name val="Calibri"/>
      <family val="2"/>
      <scheme val="minor"/>
    </font>
    <font>
      <b/>
      <sz val="11"/>
      <color rgb="FF00B050"/>
      <name val="Calibri"/>
      <family val="2"/>
      <scheme val="minor"/>
    </font>
    <font>
      <sz val="12"/>
      <color theme="1"/>
      <name val="Calibri"/>
      <family val="2"/>
      <scheme val="minor"/>
    </font>
    <font>
      <b/>
      <sz val="16"/>
      <color theme="1"/>
      <name val="Calibri"/>
      <family val="2"/>
      <scheme val="minor"/>
    </font>
    <font>
      <b/>
      <sz val="20"/>
      <color theme="4"/>
      <name val="Calibri"/>
      <family val="2"/>
      <scheme val="minor"/>
    </font>
    <font>
      <b/>
      <sz val="16"/>
      <color theme="4" tint="-0.499984740745262"/>
      <name val="Calibri"/>
      <family val="2"/>
      <scheme val="minor"/>
    </font>
    <font>
      <b/>
      <sz val="11"/>
      <color theme="0" tint="-0.14999847407452621"/>
      <name val="Calibri"/>
      <family val="2"/>
      <scheme val="minor"/>
    </font>
    <font>
      <sz val="11"/>
      <color theme="0"/>
      <name val="Calibri"/>
      <family val="2"/>
      <scheme val="minor"/>
    </font>
    <font>
      <b/>
      <sz val="16"/>
      <color rgb="FF00B050"/>
      <name val="Calibri"/>
      <family val="2"/>
      <scheme val="minor"/>
    </font>
    <font>
      <sz val="8"/>
      <color theme="1"/>
      <name val="Calibri"/>
      <family val="2"/>
      <scheme val="minor"/>
    </font>
    <font>
      <b/>
      <sz val="11"/>
      <color rgb="FFFF0000"/>
      <name val="Calibri"/>
      <family val="2"/>
      <scheme val="minor"/>
    </font>
    <font>
      <b/>
      <sz val="12"/>
      <color rgb="FFFF0000"/>
      <name val="Calibri"/>
      <family val="2"/>
      <scheme val="minor"/>
    </font>
    <font>
      <sz val="12"/>
      <color rgb="FFFF0000"/>
      <name val="Calibri"/>
      <family val="2"/>
      <scheme val="minor"/>
    </font>
    <font>
      <sz val="14"/>
      <color rgb="FFFF0000"/>
      <name val="Calibri"/>
      <family val="2"/>
      <scheme val="minor"/>
    </font>
    <font>
      <sz val="10"/>
      <color theme="1"/>
      <name val="Arial"/>
      <family val="2"/>
    </font>
    <font>
      <b/>
      <sz val="11"/>
      <name val="Calibri"/>
      <family val="2"/>
      <scheme val="minor"/>
    </font>
    <font>
      <u/>
      <sz val="11"/>
      <color theme="10"/>
      <name val="Calibri"/>
      <family val="2"/>
      <scheme val="minor"/>
    </font>
    <font>
      <b/>
      <sz val="14"/>
      <color rgb="FFFF0000"/>
      <name val="Calibri"/>
      <family val="2"/>
      <scheme val="minor"/>
    </font>
    <font>
      <b/>
      <sz val="16"/>
      <color theme="1"/>
      <name val="Arial"/>
      <family val="2"/>
    </font>
    <font>
      <sz val="11"/>
      <color theme="1"/>
      <name val="Webdings"/>
      <family val="1"/>
      <charset val="2"/>
    </font>
    <font>
      <sz val="14"/>
      <color theme="1"/>
      <name val="Calibri"/>
      <family val="2"/>
      <scheme val="minor"/>
    </font>
    <font>
      <b/>
      <sz val="14"/>
      <color theme="0"/>
      <name val="Calibri"/>
      <family val="2"/>
      <scheme val="minor"/>
    </font>
    <font>
      <sz val="14"/>
      <name val="Arial"/>
      <family val="2"/>
    </font>
    <font>
      <sz val="14"/>
      <name val="Calibri"/>
      <family val="2"/>
      <scheme val="minor"/>
    </font>
    <font>
      <sz val="14"/>
      <color theme="0"/>
      <name val="Calibri"/>
      <family val="2"/>
      <scheme val="minor"/>
    </font>
    <font>
      <b/>
      <sz val="14"/>
      <color rgb="FF00B050"/>
      <name val="Calibri"/>
      <family val="2"/>
      <scheme val="minor"/>
    </font>
    <font>
      <b/>
      <i/>
      <sz val="14"/>
      <color rgb="FF00B050"/>
      <name val="Calibri"/>
      <family val="2"/>
      <scheme val="minor"/>
    </font>
    <font>
      <i/>
      <sz val="14"/>
      <color theme="1"/>
      <name val="Calibri"/>
      <family val="2"/>
      <scheme val="minor"/>
    </font>
    <font>
      <b/>
      <i/>
      <sz val="14"/>
      <color theme="1"/>
      <name val="Calibri"/>
      <family val="2"/>
      <scheme val="minor"/>
    </font>
    <font>
      <sz val="14"/>
      <color theme="1"/>
      <name val="Arial"/>
      <family val="2"/>
    </font>
    <font>
      <sz val="12"/>
      <color theme="1"/>
      <name val="Univers"/>
      <family val="2"/>
    </font>
    <font>
      <b/>
      <sz val="12"/>
      <color rgb="FFFF0000"/>
      <name val="Univers"/>
      <family val="2"/>
    </font>
    <font>
      <b/>
      <sz val="12"/>
      <color theme="1"/>
      <name val="Univers"/>
      <family val="2"/>
    </font>
    <font>
      <sz val="12"/>
      <name val="Univers"/>
      <family val="2"/>
    </font>
    <font>
      <sz val="12"/>
      <color rgb="FFFF0000"/>
      <name val="Univers"/>
      <family val="2"/>
    </font>
    <font>
      <b/>
      <sz val="12"/>
      <color theme="0"/>
      <name val="Univers"/>
      <family val="2"/>
    </font>
    <font>
      <sz val="12"/>
      <color theme="0"/>
      <name val="Univers"/>
      <family val="2"/>
    </font>
    <font>
      <b/>
      <sz val="12"/>
      <color rgb="FF0070C0"/>
      <name val="Univers"/>
      <family val="2"/>
    </font>
    <font>
      <b/>
      <sz val="12"/>
      <color theme="0" tint="-0.499984740745262"/>
      <name val="Univers"/>
      <family val="2"/>
    </font>
    <font>
      <b/>
      <sz val="12"/>
      <color rgb="FF00B050"/>
      <name val="Univers"/>
      <family val="2"/>
    </font>
    <font>
      <b/>
      <sz val="12"/>
      <color theme="4"/>
      <name val="Univers"/>
      <family val="2"/>
    </font>
    <font>
      <b/>
      <sz val="12"/>
      <color theme="4" tint="-0.499984740745262"/>
      <name val="Univers"/>
      <family val="2"/>
    </font>
    <font>
      <b/>
      <sz val="12"/>
      <name val="Univers"/>
      <family val="2"/>
    </font>
    <font>
      <b/>
      <sz val="12"/>
      <color theme="0" tint="-4.9989318521683403E-2"/>
      <name val="Univers"/>
      <family val="2"/>
    </font>
    <font>
      <sz val="14"/>
      <color theme="3"/>
      <name val="Calibri"/>
      <family val="2"/>
      <scheme val="minor"/>
    </font>
    <font>
      <sz val="11"/>
      <name val="Univers"/>
      <family val="2"/>
    </font>
    <font>
      <b/>
      <sz val="11"/>
      <color theme="0"/>
      <name val="Univers"/>
      <family val="2"/>
    </font>
    <font>
      <sz val="13"/>
      <color theme="1"/>
      <name val="Calibri"/>
      <family val="2"/>
      <scheme val="minor"/>
    </font>
    <font>
      <sz val="12"/>
      <color theme="1"/>
      <name val="Arial"/>
      <family val="2"/>
    </font>
    <font>
      <b/>
      <sz val="12"/>
      <color theme="1"/>
      <name val="Arial"/>
      <family val="2"/>
    </font>
    <font>
      <b/>
      <sz val="12"/>
      <color theme="0"/>
      <name val="Arial"/>
      <family val="2"/>
    </font>
    <font>
      <sz val="12"/>
      <name val="Arial"/>
      <family val="2"/>
    </font>
    <font>
      <sz val="12"/>
      <color theme="0"/>
      <name val="Arial"/>
      <family val="2"/>
    </font>
    <font>
      <b/>
      <sz val="12"/>
      <color rgb="FFFF0000"/>
      <name val="Arial"/>
      <family val="2"/>
    </font>
    <font>
      <b/>
      <sz val="13"/>
      <color theme="1"/>
      <name val="Arial"/>
      <family val="2"/>
    </font>
  </fonts>
  <fills count="30">
    <fill>
      <patternFill patternType="none"/>
    </fill>
    <fill>
      <patternFill patternType="gray125"/>
    </fill>
    <fill>
      <patternFill patternType="solid">
        <fgColor rgb="FFFF000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patternFill patternType="solid">
        <fgColor rgb="FFDDEBF7"/>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0.34998626667073579"/>
        <bgColor indexed="64"/>
      </patternFill>
    </fill>
    <fill>
      <patternFill patternType="solid">
        <fgColor theme="6"/>
        <bgColor indexed="64"/>
      </patternFill>
    </fill>
    <fill>
      <patternFill patternType="solid">
        <fgColor theme="9" tint="0.39997558519241921"/>
        <bgColor indexed="64"/>
      </patternFill>
    </fill>
    <fill>
      <patternFill patternType="solid">
        <fgColor theme="1" tint="0.499984740745262"/>
        <bgColor indexed="64"/>
      </patternFill>
    </fill>
    <fill>
      <patternFill patternType="solid">
        <fgColor theme="9" tint="0.79998168889431442"/>
        <bgColor theme="4" tint="0.79998168889431442"/>
      </patternFill>
    </fill>
    <fill>
      <patternFill patternType="solid">
        <fgColor theme="7" tint="0.79998168889431442"/>
        <bgColor theme="4" tint="0.79998168889431442"/>
      </patternFill>
    </fill>
    <fill>
      <patternFill patternType="solid">
        <fgColor theme="6" tint="0.79998168889431442"/>
        <bgColor theme="4" tint="0.79998168889431442"/>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82">
    <border>
      <left/>
      <right/>
      <top/>
      <bottom/>
      <diagonal/>
    </border>
    <border>
      <left style="medium">
        <color theme="0"/>
      </left>
      <right style="medium">
        <color theme="0"/>
      </right>
      <top/>
      <bottom style="medium">
        <color theme="0"/>
      </bottom>
      <diagonal/>
    </border>
    <border>
      <left/>
      <right/>
      <top style="thick">
        <color theme="0"/>
      </top>
      <bottom style="thick">
        <color theme="0"/>
      </bottom>
      <diagonal/>
    </border>
    <border>
      <left/>
      <right/>
      <top/>
      <bottom style="thin">
        <color theme="8"/>
      </bottom>
      <diagonal/>
    </border>
    <border>
      <left style="thin">
        <color indexed="64"/>
      </left>
      <right style="thin">
        <color indexed="64"/>
      </right>
      <top style="thin">
        <color indexed="64"/>
      </top>
      <bottom style="thin">
        <color indexed="64"/>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thick">
        <color theme="0"/>
      </left>
      <right/>
      <top style="thick">
        <color theme="0"/>
      </top>
      <bottom/>
      <diagonal/>
    </border>
    <border>
      <left/>
      <right/>
      <top style="thick">
        <color theme="0"/>
      </top>
      <bottom/>
      <diagonal/>
    </border>
    <border>
      <left style="double">
        <color indexed="64"/>
      </left>
      <right/>
      <top style="double">
        <color indexed="64"/>
      </top>
      <bottom/>
      <diagonal/>
    </border>
    <border>
      <left/>
      <right/>
      <top style="double">
        <color indexed="64"/>
      </top>
      <bottom/>
      <diagonal/>
    </border>
    <border>
      <left style="double">
        <color indexed="64"/>
      </left>
      <right/>
      <top/>
      <bottom/>
      <diagonal/>
    </border>
    <border>
      <left style="double">
        <color indexed="64"/>
      </left>
      <right/>
      <top/>
      <bottom style="double">
        <color indexed="64"/>
      </bottom>
      <diagonal/>
    </border>
    <border>
      <left style="medium">
        <color theme="0"/>
      </left>
      <right/>
      <top/>
      <bottom/>
      <diagonal/>
    </border>
    <border>
      <left/>
      <right style="double">
        <color auto="1"/>
      </right>
      <top/>
      <bottom/>
      <diagonal/>
    </border>
    <border>
      <left/>
      <right/>
      <top/>
      <bottom style="double">
        <color auto="1"/>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double">
        <color rgb="FFFF0000"/>
      </right>
      <top style="double">
        <color rgb="FFFF0000"/>
      </top>
      <bottom style="double">
        <color rgb="FFFF0000"/>
      </bottom>
      <diagonal/>
    </border>
    <border>
      <left style="medium">
        <color theme="0"/>
      </left>
      <right style="medium">
        <color theme="0"/>
      </right>
      <top style="medium">
        <color theme="0"/>
      </top>
      <bottom style="medium">
        <color theme="0"/>
      </bottom>
      <diagonal/>
    </border>
    <border>
      <left style="double">
        <color rgb="FFFF0000"/>
      </left>
      <right/>
      <top style="double">
        <color rgb="FFFF0000"/>
      </top>
      <bottom/>
      <diagonal/>
    </border>
    <border>
      <left/>
      <right/>
      <top style="double">
        <color rgb="FFFF0000"/>
      </top>
      <bottom/>
      <diagonal/>
    </border>
    <border>
      <left/>
      <right style="double">
        <color rgb="FFFF0000"/>
      </right>
      <top style="double">
        <color rgb="FFFF0000"/>
      </top>
      <bottom/>
      <diagonal/>
    </border>
    <border>
      <left/>
      <right/>
      <top/>
      <bottom style="thick">
        <color theme="0"/>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ck">
        <color theme="0"/>
      </left>
      <right style="thick">
        <color theme="0"/>
      </right>
      <top/>
      <bottom style="thick">
        <color theme="0"/>
      </bottom>
      <diagonal/>
    </border>
    <border>
      <left style="thick">
        <color theme="0"/>
      </left>
      <right/>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indexed="64"/>
      </right>
      <top style="thin">
        <color indexed="64"/>
      </top>
      <bottom style="thin">
        <color indexed="64"/>
      </bottom>
      <diagonal/>
    </border>
    <border>
      <left style="thin">
        <color auto="1"/>
      </left>
      <right style="thin">
        <color auto="1"/>
      </right>
      <top/>
      <bottom/>
      <diagonal/>
    </border>
    <border>
      <left/>
      <right style="thick">
        <color theme="0"/>
      </right>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double">
        <color indexed="64"/>
      </right>
      <top style="double">
        <color indexed="64"/>
      </top>
      <bottom/>
      <diagonal/>
    </border>
    <border>
      <left/>
      <right style="double">
        <color indexed="64"/>
      </right>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theme="1"/>
      </left>
      <right/>
      <top/>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theme="1"/>
      </left>
      <right/>
      <top style="double">
        <color indexed="64"/>
      </top>
      <bottom/>
      <diagonal/>
    </border>
    <border>
      <left style="double">
        <color theme="1"/>
      </left>
      <right/>
      <top/>
      <bottom style="double">
        <color indexed="64"/>
      </bottom>
      <diagonal/>
    </border>
    <border>
      <left/>
      <right/>
      <top style="thin">
        <color indexed="64"/>
      </top>
      <bottom style="thin">
        <color indexed="64"/>
      </bottom>
      <diagonal/>
    </border>
    <border>
      <left style="thin">
        <color theme="4" tint="0.39997558519241921"/>
      </left>
      <right style="thin">
        <color theme="4" tint="0.39997558519241921"/>
      </right>
      <top/>
      <bottom/>
      <diagonal/>
    </border>
    <border>
      <left style="thin">
        <color theme="4" tint="0.39997558519241921"/>
      </left>
      <right style="thin">
        <color theme="4" tint="0.39997558519241921"/>
      </right>
      <top/>
      <bottom style="thin">
        <color theme="4" tint="0.39997558519241921"/>
      </bottom>
      <diagonal/>
    </border>
    <border>
      <left style="thin">
        <color indexed="64"/>
      </left>
      <right style="thin">
        <color indexed="64"/>
      </right>
      <top style="thin">
        <color indexed="64"/>
      </top>
      <bottom/>
      <diagonal/>
    </border>
  </borders>
  <cellStyleXfs count="7">
    <xf numFmtId="0" fontId="0" fillId="0" borderId="0"/>
    <xf numFmtId="165" fontId="1" fillId="0" borderId="0" applyFont="0" applyFill="0" applyBorder="0" applyAlignment="0" applyProtection="0"/>
    <xf numFmtId="167"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3" fillId="0" borderId="0"/>
    <xf numFmtId="0" fontId="32" fillId="0" borderId="0" applyNumberFormat="0" applyFill="0" applyBorder="0" applyAlignment="0" applyProtection="0"/>
  </cellStyleXfs>
  <cellXfs count="872">
    <xf numFmtId="0" fontId="0" fillId="0" borderId="0" xfId="0"/>
    <xf numFmtId="0" fontId="4" fillId="0" borderId="0" xfId="0" applyFont="1" applyAlignment="1" applyProtection="1">
      <alignment vertical="center"/>
      <protection hidden="1"/>
    </xf>
    <xf numFmtId="0" fontId="4" fillId="2" borderId="0" xfId="0" applyFont="1" applyFill="1" applyAlignment="1" applyProtection="1">
      <alignment vertical="center"/>
      <protection hidden="1"/>
    </xf>
    <xf numFmtId="0" fontId="0" fillId="0" borderId="0" xfId="0" applyAlignment="1" applyProtection="1">
      <alignment horizontal="left" vertical="center"/>
      <protection hidden="1"/>
    </xf>
    <xf numFmtId="9" fontId="7" fillId="3" borderId="1" xfId="3" applyFont="1" applyFill="1" applyBorder="1" applyAlignment="1" applyProtection="1">
      <alignment horizontal="center" vertical="center" wrapText="1"/>
      <protection hidden="1"/>
    </xf>
    <xf numFmtId="0" fontId="8" fillId="0" borderId="0" xfId="0" applyFont="1" applyAlignment="1" applyProtection="1">
      <alignment vertical="center"/>
      <protection hidden="1"/>
    </xf>
    <xf numFmtId="0" fontId="0" fillId="0" borderId="0" xfId="0" applyAlignment="1" applyProtection="1">
      <alignment vertical="center"/>
      <protection hidden="1"/>
    </xf>
    <xf numFmtId="168" fontId="0" fillId="0" borderId="0" xfId="0" applyNumberFormat="1" applyAlignment="1" applyProtection="1">
      <alignment vertical="center"/>
      <protection hidden="1"/>
    </xf>
    <xf numFmtId="0" fontId="0" fillId="2" borderId="0" xfId="0" applyFill="1" applyAlignment="1" applyProtection="1">
      <alignment vertical="center"/>
      <protection hidden="1"/>
    </xf>
    <xf numFmtId="0" fontId="6" fillId="0" borderId="0" xfId="0" applyFont="1" applyAlignment="1" applyProtection="1">
      <alignment horizontal="left" vertical="center"/>
      <protection hidden="1"/>
    </xf>
    <xf numFmtId="0" fontId="6" fillId="0" borderId="0" xfId="0" applyFont="1" applyAlignment="1" applyProtection="1">
      <alignment vertical="center"/>
      <protection hidden="1"/>
    </xf>
    <xf numFmtId="170" fontId="0" fillId="0" borderId="0" xfId="0" applyNumberFormat="1" applyAlignment="1" applyProtection="1">
      <alignment vertical="center"/>
      <protection hidden="1"/>
    </xf>
    <xf numFmtId="9" fontId="1" fillId="0" borderId="0" xfId="3" applyFont="1" applyFill="1" applyBorder="1" applyAlignment="1" applyProtection="1">
      <alignment vertical="center"/>
      <protection hidden="1"/>
    </xf>
    <xf numFmtId="10" fontId="0" fillId="0" borderId="0" xfId="0" applyNumberFormat="1" applyAlignment="1" applyProtection="1">
      <alignment horizontal="center" vertical="center"/>
      <protection hidden="1"/>
    </xf>
    <xf numFmtId="169" fontId="9" fillId="0" borderId="0" xfId="4" applyNumberFormat="1" applyFont="1" applyFill="1" applyBorder="1" applyAlignment="1" applyProtection="1">
      <alignment vertical="center"/>
      <protection hidden="1"/>
    </xf>
    <xf numFmtId="169" fontId="1" fillId="0" borderId="0" xfId="4" applyNumberFormat="1" applyFont="1" applyAlignment="1" applyProtection="1">
      <alignment vertical="center"/>
      <protection hidden="1"/>
    </xf>
    <xf numFmtId="169" fontId="1" fillId="0" borderId="0" xfId="4" applyNumberFormat="1" applyFont="1" applyFill="1" applyBorder="1" applyAlignment="1" applyProtection="1">
      <alignment vertical="center"/>
      <protection hidden="1"/>
    </xf>
    <xf numFmtId="169" fontId="1" fillId="0" borderId="0" xfId="4" applyNumberFormat="1" applyFont="1" applyFill="1" applyBorder="1" applyAlignment="1" applyProtection="1">
      <alignment horizontal="center" vertical="center"/>
      <protection hidden="1"/>
    </xf>
    <xf numFmtId="171" fontId="10" fillId="0" borderId="0" xfId="1" applyNumberFormat="1" applyFont="1" applyFill="1" applyBorder="1" applyAlignment="1" applyProtection="1">
      <alignment horizontal="center" vertical="center" wrapText="1"/>
      <protection hidden="1"/>
    </xf>
    <xf numFmtId="10" fontId="10" fillId="0" borderId="0" xfId="1" applyNumberFormat="1" applyFont="1" applyFill="1" applyBorder="1" applyAlignment="1" applyProtection="1">
      <alignment horizontal="center" vertical="center" wrapText="1"/>
      <protection hidden="1"/>
    </xf>
    <xf numFmtId="170" fontId="1" fillId="0" borderId="0" xfId="4" applyNumberFormat="1" applyFont="1" applyFill="1" applyAlignment="1" applyProtection="1">
      <alignment horizontal="center" vertical="center"/>
      <protection hidden="1"/>
    </xf>
    <xf numFmtId="170" fontId="1" fillId="0" borderId="0" xfId="4" applyNumberFormat="1" applyFont="1" applyAlignment="1" applyProtection="1">
      <alignment horizontal="center" vertical="center"/>
      <protection hidden="1"/>
    </xf>
    <xf numFmtId="170" fontId="1" fillId="0" borderId="0" xfId="2" applyNumberFormat="1" applyFont="1" applyAlignment="1" applyProtection="1">
      <alignment horizontal="center" vertical="center"/>
      <protection hidden="1"/>
    </xf>
    <xf numFmtId="170" fontId="1" fillId="0" borderId="0" xfId="4" applyNumberFormat="1" applyFont="1" applyFill="1" applyBorder="1" applyAlignment="1" applyProtection="1">
      <alignment horizontal="center" vertical="center"/>
      <protection hidden="1"/>
    </xf>
    <xf numFmtId="170" fontId="9" fillId="0" borderId="0" xfId="4" applyNumberFormat="1" applyFont="1" applyFill="1" applyBorder="1" applyAlignment="1" applyProtection="1">
      <alignment horizontal="center" vertical="center"/>
      <protection hidden="1"/>
    </xf>
    <xf numFmtId="0" fontId="2" fillId="2" borderId="0" xfId="0" applyFont="1" applyFill="1" applyAlignment="1" applyProtection="1">
      <alignment vertical="center"/>
      <protection hidden="1"/>
    </xf>
    <xf numFmtId="166" fontId="2" fillId="2" borderId="0" xfId="0" applyNumberFormat="1" applyFont="1" applyFill="1" applyAlignment="1" applyProtection="1">
      <alignment vertical="center"/>
      <protection hidden="1"/>
    </xf>
    <xf numFmtId="0" fontId="11" fillId="0" borderId="0" xfId="0" applyFont="1" applyAlignment="1" applyProtection="1">
      <alignment horizontal="center" vertical="center" wrapText="1"/>
      <protection hidden="1"/>
    </xf>
    <xf numFmtId="0" fontId="0" fillId="0" borderId="0" xfId="0" applyAlignment="1" applyProtection="1">
      <alignment horizontal="right" vertical="center"/>
      <protection hidden="1"/>
    </xf>
    <xf numFmtId="0" fontId="2" fillId="2" borderId="0" xfId="0" applyFont="1" applyFill="1" applyAlignment="1" applyProtection="1">
      <alignment horizontal="center" vertical="center"/>
      <protection hidden="1"/>
    </xf>
    <xf numFmtId="176" fontId="10" fillId="0" borderId="0" xfId="1" applyNumberFormat="1" applyFont="1" applyFill="1" applyBorder="1" applyAlignment="1" applyProtection="1">
      <alignment horizontal="center" vertical="center" wrapText="1"/>
      <protection hidden="1"/>
    </xf>
    <xf numFmtId="4" fontId="0" fillId="0" borderId="0" xfId="0" applyNumberFormat="1" applyAlignment="1" applyProtection="1">
      <alignment vertical="center"/>
      <protection hidden="1"/>
    </xf>
    <xf numFmtId="9" fontId="7" fillId="3" borderId="24" xfId="3" applyFont="1" applyFill="1" applyBorder="1" applyAlignment="1" applyProtection="1">
      <alignment horizontal="center" vertical="center" wrapText="1"/>
      <protection hidden="1"/>
    </xf>
    <xf numFmtId="178" fontId="0" fillId="0" borderId="0" xfId="0" applyNumberFormat="1" applyProtection="1">
      <protection hidden="1"/>
    </xf>
    <xf numFmtId="179" fontId="9" fillId="0" borderId="0" xfId="1" applyNumberFormat="1" applyFont="1" applyFill="1" applyAlignment="1" applyProtection="1">
      <protection hidden="1"/>
    </xf>
    <xf numFmtId="169" fontId="0" fillId="0" borderId="0" xfId="0" applyNumberFormat="1" applyProtection="1">
      <protection hidden="1"/>
    </xf>
    <xf numFmtId="172" fontId="0" fillId="0" borderId="0" xfId="0" applyNumberFormat="1" applyAlignment="1" applyProtection="1">
      <alignment horizontal="center" vertical="center"/>
      <protection hidden="1"/>
    </xf>
    <xf numFmtId="0" fontId="0" fillId="0" borderId="0" xfId="0" applyAlignment="1" applyProtection="1">
      <alignment horizontal="center" vertical="center"/>
      <protection hidden="1"/>
    </xf>
    <xf numFmtId="0" fontId="23" fillId="0" borderId="0" xfId="0" applyFont="1" applyAlignment="1" applyProtection="1">
      <alignment vertical="center"/>
      <protection hidden="1"/>
    </xf>
    <xf numFmtId="10" fontId="23" fillId="0" borderId="0" xfId="0" applyNumberFormat="1" applyFont="1" applyAlignment="1" applyProtection="1">
      <alignment horizontal="center" vertical="center"/>
      <protection hidden="1"/>
    </xf>
    <xf numFmtId="10" fontId="6" fillId="0" borderId="0" xfId="0" applyNumberFormat="1" applyFont="1" applyAlignment="1" applyProtection="1">
      <alignment horizontal="center" vertical="center"/>
      <protection hidden="1"/>
    </xf>
    <xf numFmtId="166" fontId="0" fillId="0" borderId="0" xfId="0" applyNumberFormat="1" applyAlignment="1" applyProtection="1">
      <alignment vertical="center"/>
      <protection hidden="1"/>
    </xf>
    <xf numFmtId="175" fontId="6"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3" fillId="0" borderId="4" xfId="0" applyFont="1" applyBorder="1" applyAlignment="1" applyProtection="1">
      <alignment horizontal="center" vertical="center" wrapText="1"/>
      <protection hidden="1"/>
    </xf>
    <xf numFmtId="0" fontId="3" fillId="0" borderId="4" xfId="0" applyFont="1" applyBorder="1" applyAlignment="1" applyProtection="1">
      <alignment horizontal="right" vertical="center"/>
      <protection hidden="1"/>
    </xf>
    <xf numFmtId="10" fontId="17" fillId="0" borderId="4" xfId="0" applyNumberFormat="1" applyFont="1" applyBorder="1" applyAlignment="1" applyProtection="1">
      <alignment horizontal="center" vertical="center"/>
      <protection hidden="1"/>
    </xf>
    <xf numFmtId="10" fontId="3" fillId="0" borderId="4" xfId="0" applyNumberFormat="1" applyFont="1" applyBorder="1" applyAlignment="1" applyProtection="1">
      <alignment vertical="center"/>
      <protection hidden="1"/>
    </xf>
    <xf numFmtId="10" fontId="0" fillId="0" borderId="0" xfId="0" applyNumberFormat="1" applyAlignment="1" applyProtection="1">
      <alignment vertical="center"/>
      <protection hidden="1"/>
    </xf>
    <xf numFmtId="0" fontId="0" fillId="0" borderId="26" xfId="0" applyBorder="1" applyAlignment="1" applyProtection="1">
      <alignment vertical="center"/>
      <protection hidden="1"/>
    </xf>
    <xf numFmtId="0" fontId="0" fillId="0" borderId="19" xfId="0" applyBorder="1" applyAlignment="1" applyProtection="1">
      <alignment vertical="center"/>
      <protection hidden="1"/>
    </xf>
    <xf numFmtId="173" fontId="0" fillId="0" borderId="4" xfId="0" applyNumberFormat="1" applyBorder="1" applyAlignment="1" applyProtection="1">
      <alignment vertical="center"/>
      <protection locked="0" hidden="1"/>
    </xf>
    <xf numFmtId="170" fontId="0" fillId="0" borderId="0" xfId="0" applyNumberFormat="1" applyAlignment="1" applyProtection="1">
      <alignment horizontal="center" vertical="center"/>
      <protection hidden="1"/>
    </xf>
    <xf numFmtId="9" fontId="1" fillId="0" borderId="0" xfId="3" applyFont="1" applyFill="1" applyBorder="1" applyAlignment="1" applyProtection="1">
      <alignment horizontal="center" vertical="center"/>
      <protection hidden="1"/>
    </xf>
    <xf numFmtId="0" fontId="19" fillId="0" borderId="26" xfId="0" applyFont="1" applyBorder="1" applyAlignment="1" applyProtection="1">
      <alignment vertical="center"/>
      <protection hidden="1"/>
    </xf>
    <xf numFmtId="0" fontId="19" fillId="0" borderId="0" xfId="0" applyFont="1" applyAlignment="1" applyProtection="1">
      <alignment vertical="center"/>
      <protection hidden="1"/>
    </xf>
    <xf numFmtId="169" fontId="21" fillId="0" borderId="0" xfId="0" applyNumberFormat="1" applyFont="1" applyAlignment="1" applyProtection="1">
      <alignment vertical="center"/>
      <protection hidden="1"/>
    </xf>
    <xf numFmtId="0" fontId="3" fillId="0" borderId="0" xfId="0" applyFont="1" applyAlignment="1" applyProtection="1">
      <alignment horizontal="center" vertical="center"/>
      <protection hidden="1"/>
    </xf>
    <xf numFmtId="9" fontId="3" fillId="0" borderId="0" xfId="3" applyFont="1" applyFill="1" applyBorder="1" applyAlignment="1" applyProtection="1">
      <alignment horizontal="center" vertical="center"/>
      <protection hidden="1"/>
    </xf>
    <xf numFmtId="180" fontId="3" fillId="0" borderId="0" xfId="0" applyNumberFormat="1" applyFont="1" applyAlignment="1" applyProtection="1">
      <alignment horizontal="center" vertical="center"/>
      <protection hidden="1"/>
    </xf>
    <xf numFmtId="170" fontId="3" fillId="0" borderId="0" xfId="0" applyNumberFormat="1" applyFont="1" applyAlignment="1" applyProtection="1">
      <alignment horizontal="center" vertical="center"/>
      <protection hidden="1"/>
    </xf>
    <xf numFmtId="10" fontId="3" fillId="0" borderId="0" xfId="0" applyNumberFormat="1" applyFont="1" applyAlignment="1" applyProtection="1">
      <alignment horizontal="center" vertical="center"/>
      <protection hidden="1"/>
    </xf>
    <xf numFmtId="172" fontId="3" fillId="0" borderId="0" xfId="0" applyNumberFormat="1" applyFont="1" applyAlignment="1" applyProtection="1">
      <alignment horizontal="center" vertical="center"/>
      <protection hidden="1"/>
    </xf>
    <xf numFmtId="0" fontId="0" fillId="0" borderId="0" xfId="0" applyProtection="1">
      <protection hidden="1"/>
    </xf>
    <xf numFmtId="0" fontId="5" fillId="0" borderId="0" xfId="0" applyFont="1" applyAlignment="1" applyProtection="1">
      <alignment horizontal="center" vertical="center"/>
      <protection hidden="1"/>
    </xf>
    <xf numFmtId="0" fontId="0" fillId="2" borderId="0" xfId="0" applyFill="1" applyProtection="1">
      <protection hidden="1"/>
    </xf>
    <xf numFmtId="170" fontId="0" fillId="0" borderId="0" xfId="0" applyNumberFormat="1" applyProtection="1">
      <protection hidden="1"/>
    </xf>
    <xf numFmtId="0" fontId="0" fillId="5" borderId="4" xfId="0" applyFill="1" applyBorder="1" applyAlignment="1" applyProtection="1">
      <alignment horizontal="center" vertical="center" wrapText="1"/>
      <protection hidden="1"/>
    </xf>
    <xf numFmtId="0" fontId="22" fillId="2" borderId="4" xfId="0" applyFont="1" applyFill="1" applyBorder="1" applyAlignment="1" applyProtection="1">
      <alignment horizontal="center" vertical="center" wrapText="1"/>
      <protection hidden="1"/>
    </xf>
    <xf numFmtId="10" fontId="0" fillId="0" borderId="4" xfId="0" applyNumberFormat="1" applyBorder="1" applyAlignment="1" applyProtection="1">
      <alignment horizontal="center" vertical="center"/>
      <protection hidden="1"/>
    </xf>
    <xf numFmtId="10" fontId="0" fillId="0" borderId="4" xfId="0" applyNumberFormat="1" applyBorder="1" applyProtection="1">
      <protection hidden="1"/>
    </xf>
    <xf numFmtId="0" fontId="0" fillId="0" borderId="4" xfId="0" applyBorder="1" applyProtection="1">
      <protection hidden="1"/>
    </xf>
    <xf numFmtId="0" fontId="2" fillId="8" borderId="4" xfId="0" applyFont="1" applyFill="1" applyBorder="1" applyAlignment="1" applyProtection="1">
      <alignment horizontal="center" vertical="center" wrapText="1"/>
      <protection hidden="1"/>
    </xf>
    <xf numFmtId="0" fontId="2" fillId="7" borderId="4" xfId="0" applyFont="1" applyFill="1" applyBorder="1" applyAlignment="1" applyProtection="1">
      <alignment horizontal="center" vertical="center" wrapText="1"/>
      <protection hidden="1"/>
    </xf>
    <xf numFmtId="0" fontId="2" fillId="7" borderId="4" xfId="0" applyFont="1" applyFill="1" applyBorder="1" applyAlignment="1" applyProtection="1">
      <alignment horizontal="center" vertical="center"/>
      <protection hidden="1"/>
    </xf>
    <xf numFmtId="0" fontId="0" fillId="0" borderId="4" xfId="0" applyBorder="1" applyAlignment="1" applyProtection="1">
      <alignment horizontal="left" vertical="center"/>
      <protection hidden="1"/>
    </xf>
    <xf numFmtId="0" fontId="0" fillId="0" borderId="4" xfId="0" applyBorder="1" applyAlignment="1" applyProtection="1">
      <alignment horizontal="center" vertical="center"/>
      <protection hidden="1"/>
    </xf>
    <xf numFmtId="180" fontId="0" fillId="0" borderId="4" xfId="0" applyNumberFormat="1" applyBorder="1" applyAlignment="1" applyProtection="1">
      <alignment horizontal="center" vertical="center"/>
      <protection hidden="1"/>
    </xf>
    <xf numFmtId="172" fontId="0" fillId="0" borderId="4" xfId="0" applyNumberFormat="1" applyBorder="1" applyAlignment="1" applyProtection="1">
      <alignment horizontal="center" vertical="center"/>
      <protection hidden="1"/>
    </xf>
    <xf numFmtId="0" fontId="0" fillId="9" borderId="4" xfId="0" applyFill="1" applyBorder="1" applyAlignment="1" applyProtection="1">
      <alignment horizontal="left" vertical="center"/>
      <protection hidden="1"/>
    </xf>
    <xf numFmtId="0" fontId="0" fillId="9" borderId="4" xfId="0" applyFill="1" applyBorder="1" applyAlignment="1" applyProtection="1">
      <alignment horizontal="center" vertical="center"/>
      <protection hidden="1"/>
    </xf>
    <xf numFmtId="180" fontId="0" fillId="9" borderId="4" xfId="0" applyNumberFormat="1" applyFill="1" applyBorder="1" applyAlignment="1" applyProtection="1">
      <alignment horizontal="center" vertical="center"/>
      <protection hidden="1"/>
    </xf>
    <xf numFmtId="10" fontId="0" fillId="9" borderId="4" xfId="0" applyNumberFormat="1" applyFill="1" applyBorder="1" applyAlignment="1" applyProtection="1">
      <alignment horizontal="center" vertical="center"/>
      <protection hidden="1"/>
    </xf>
    <xf numFmtId="0" fontId="14" fillId="0" borderId="3" xfId="5" applyFont="1" applyBorder="1" applyAlignment="1" applyProtection="1">
      <alignment horizontal="center" vertical="center"/>
      <protection hidden="1"/>
    </xf>
    <xf numFmtId="169" fontId="15" fillId="0" borderId="0" xfId="2" applyNumberFormat="1" applyFont="1" applyFill="1" applyBorder="1" applyAlignment="1" applyProtection="1">
      <alignment vertical="center"/>
      <protection hidden="1"/>
    </xf>
    <xf numFmtId="169" fontId="15" fillId="0" borderId="0" xfId="2" applyNumberFormat="1" applyFont="1" applyFill="1" applyBorder="1" applyAlignment="1" applyProtection="1">
      <alignment horizontal="center" vertical="center"/>
      <protection hidden="1"/>
    </xf>
    <xf numFmtId="0" fontId="2" fillId="2" borderId="0" xfId="0" applyFont="1" applyFill="1" applyAlignment="1" applyProtection="1">
      <alignment horizontal="center"/>
      <protection hidden="1"/>
    </xf>
    <xf numFmtId="10" fontId="0" fillId="0" borderId="0" xfId="3" applyNumberFormat="1" applyFont="1" applyProtection="1">
      <protection hidden="1"/>
    </xf>
    <xf numFmtId="9" fontId="7" fillId="0" borderId="1" xfId="3" applyFont="1" applyFill="1" applyBorder="1" applyAlignment="1" applyProtection="1">
      <alignment horizontal="center" vertical="center" wrapText="1"/>
      <protection hidden="1"/>
    </xf>
    <xf numFmtId="0" fontId="2" fillId="0" borderId="0" xfId="0" applyFont="1" applyAlignment="1" applyProtection="1">
      <alignment vertical="center"/>
      <protection hidden="1"/>
    </xf>
    <xf numFmtId="0" fontId="2" fillId="0" borderId="0" xfId="0" applyFont="1" applyAlignment="1" applyProtection="1">
      <alignment horizontal="center" vertical="center"/>
      <protection hidden="1"/>
    </xf>
    <xf numFmtId="0" fontId="0" fillId="0" borderId="0" xfId="0" applyAlignment="1" applyProtection="1">
      <alignment horizontal="center"/>
      <protection hidden="1"/>
    </xf>
    <xf numFmtId="10" fontId="0" fillId="0" borderId="0" xfId="0" applyNumberFormat="1" applyProtection="1">
      <protection hidden="1"/>
    </xf>
    <xf numFmtId="0" fontId="0" fillId="12" borderId="30" xfId="0" applyFill="1" applyBorder="1"/>
    <xf numFmtId="0" fontId="0" fillId="0" borderId="30" xfId="0" applyBorder="1"/>
    <xf numFmtId="0" fontId="2" fillId="11" borderId="0" xfId="0" applyFont="1" applyFill="1"/>
    <xf numFmtId="0" fontId="2" fillId="0" borderId="0" xfId="0" applyFont="1"/>
    <xf numFmtId="0" fontId="2" fillId="2" borderId="29" xfId="0" applyFont="1" applyFill="1" applyBorder="1" applyAlignment="1">
      <alignment horizontal="center"/>
    </xf>
    <xf numFmtId="0" fontId="2" fillId="2" borderId="31" xfId="0" applyFont="1" applyFill="1" applyBorder="1" applyAlignment="1">
      <alignment horizontal="center"/>
    </xf>
    <xf numFmtId="0" fontId="23" fillId="0" borderId="0" xfId="0" applyFont="1"/>
    <xf numFmtId="169" fontId="1" fillId="0" borderId="0" xfId="4" applyNumberFormat="1" applyFont="1" applyFill="1" applyBorder="1" applyAlignment="1" applyProtection="1">
      <alignment horizontal="center" vertical="center"/>
      <protection locked="0" hidden="1"/>
    </xf>
    <xf numFmtId="0" fontId="0" fillId="0" borderId="0" xfId="0" applyAlignment="1">
      <alignment horizontal="center"/>
    </xf>
    <xf numFmtId="0" fontId="26" fillId="0" borderId="0" xfId="0" applyFont="1" applyProtection="1">
      <protection hidden="1"/>
    </xf>
    <xf numFmtId="175" fontId="26" fillId="0" borderId="0" xfId="0" applyNumberFormat="1" applyFont="1" applyAlignment="1" applyProtection="1">
      <alignment horizontal="center"/>
      <protection hidden="1"/>
    </xf>
    <xf numFmtId="175" fontId="26" fillId="0" borderId="40" xfId="0" applyNumberFormat="1" applyFont="1" applyBorder="1" applyAlignment="1" applyProtection="1">
      <alignment horizontal="center"/>
      <protection hidden="1"/>
    </xf>
    <xf numFmtId="169" fontId="1" fillId="0" borderId="0" xfId="2" applyNumberFormat="1" applyFont="1" applyFill="1" applyBorder="1" applyAlignment="1" applyProtection="1">
      <alignment horizontal="center"/>
      <protection hidden="1"/>
    </xf>
    <xf numFmtId="169" fontId="1" fillId="0" borderId="40" xfId="2" applyNumberFormat="1" applyFont="1" applyFill="1" applyBorder="1" applyAlignment="1" applyProtection="1">
      <alignment horizontal="center"/>
      <protection hidden="1"/>
    </xf>
    <xf numFmtId="9" fontId="17" fillId="0" borderId="36" xfId="3" applyFont="1" applyBorder="1" applyAlignment="1" applyProtection="1">
      <alignment horizontal="center"/>
      <protection hidden="1"/>
    </xf>
    <xf numFmtId="9" fontId="17" fillId="0" borderId="37" xfId="3" applyFont="1" applyBorder="1" applyAlignment="1" applyProtection="1">
      <alignment horizontal="center"/>
      <protection hidden="1"/>
    </xf>
    <xf numFmtId="169" fontId="16" fillId="13" borderId="0" xfId="0" applyNumberFormat="1" applyFont="1" applyFill="1" applyProtection="1">
      <protection hidden="1"/>
    </xf>
    <xf numFmtId="169" fontId="23" fillId="0" borderId="0" xfId="0" applyNumberFormat="1" applyFont="1" applyProtection="1">
      <protection hidden="1"/>
    </xf>
    <xf numFmtId="0" fontId="18" fillId="9" borderId="32" xfId="0" applyFont="1" applyFill="1" applyBorder="1" applyProtection="1">
      <protection hidden="1"/>
    </xf>
    <xf numFmtId="170" fontId="0" fillId="0" borderId="33" xfId="0" applyNumberFormat="1" applyBorder="1" applyProtection="1">
      <protection hidden="1"/>
    </xf>
    <xf numFmtId="170" fontId="0" fillId="0" borderId="34" xfId="0" applyNumberFormat="1" applyBorder="1" applyProtection="1">
      <protection hidden="1"/>
    </xf>
    <xf numFmtId="170" fontId="0" fillId="0" borderId="36" xfId="0" applyNumberFormat="1" applyBorder="1" applyProtection="1">
      <protection hidden="1"/>
    </xf>
    <xf numFmtId="170" fontId="0" fillId="0" borderId="37" xfId="0" applyNumberFormat="1" applyBorder="1" applyProtection="1">
      <protection hidden="1"/>
    </xf>
    <xf numFmtId="169" fontId="0" fillId="0" borderId="0" xfId="0" applyNumberFormat="1"/>
    <xf numFmtId="168" fontId="0" fillId="0" borderId="0" xfId="0" applyNumberFormat="1" applyProtection="1">
      <protection hidden="1"/>
    </xf>
    <xf numFmtId="168" fontId="23" fillId="13" borderId="0" xfId="0" applyNumberFormat="1" applyFont="1" applyFill="1" applyProtection="1">
      <protection hidden="1"/>
    </xf>
    <xf numFmtId="0" fontId="23" fillId="13" borderId="0" xfId="0" applyFont="1" applyFill="1" applyProtection="1">
      <protection hidden="1"/>
    </xf>
    <xf numFmtId="0" fontId="4" fillId="0" borderId="0" xfId="0" applyFont="1" applyAlignment="1">
      <alignment vertical="center"/>
    </xf>
    <xf numFmtId="0" fontId="6" fillId="2" borderId="0" xfId="0" applyFont="1" applyFill="1" applyProtection="1">
      <protection hidden="1"/>
    </xf>
    <xf numFmtId="0" fontId="23" fillId="2" borderId="0" xfId="0" applyFont="1" applyFill="1" applyProtection="1">
      <protection hidden="1"/>
    </xf>
    <xf numFmtId="0" fontId="6" fillId="0" borderId="0" xfId="0" applyFont="1" applyAlignment="1" applyProtection="1">
      <alignment horizontal="left"/>
      <protection hidden="1"/>
    </xf>
    <xf numFmtId="0" fontId="6" fillId="0" borderId="0" xfId="0" applyFont="1" applyProtection="1">
      <protection hidden="1"/>
    </xf>
    <xf numFmtId="0" fontId="0" fillId="0" borderId="28" xfId="0" applyBorder="1" applyAlignment="1" applyProtection="1">
      <alignment horizontal="center"/>
      <protection hidden="1"/>
    </xf>
    <xf numFmtId="164" fontId="3" fillId="18" borderId="5" xfId="1" applyNumberFormat="1" applyFont="1" applyFill="1" applyBorder="1" applyAlignment="1" applyProtection="1">
      <alignment vertical="center"/>
      <protection hidden="1"/>
    </xf>
    <xf numFmtId="164" fontId="2" fillId="18" borderId="2" xfId="1" applyNumberFormat="1" applyFont="1" applyFill="1" applyBorder="1" applyAlignment="1" applyProtection="1">
      <alignment vertical="center"/>
      <protection hidden="1"/>
    </xf>
    <xf numFmtId="9" fontId="1" fillId="0" borderId="0" xfId="3" applyFont="1" applyFill="1" applyBorder="1" applyAlignment="1" applyProtection="1">
      <protection hidden="1"/>
    </xf>
    <xf numFmtId="0" fontId="0" fillId="0" borderId="0" xfId="0" applyAlignment="1" applyProtection="1">
      <alignment horizontal="left"/>
      <protection hidden="1"/>
    </xf>
    <xf numFmtId="0" fontId="23" fillId="13" borderId="0" xfId="0" applyFont="1" applyFill="1" applyAlignment="1" applyProtection="1">
      <alignment horizontal="center"/>
      <protection hidden="1"/>
    </xf>
    <xf numFmtId="169" fontId="9" fillId="0" borderId="0" xfId="4" applyNumberFormat="1" applyFont="1" applyFill="1" applyBorder="1" applyAlignment="1" applyProtection="1">
      <protection hidden="1"/>
    </xf>
    <xf numFmtId="10" fontId="1" fillId="0" borderId="0" xfId="3" applyNumberFormat="1" applyFont="1" applyFill="1" applyBorder="1" applyAlignment="1" applyProtection="1">
      <protection hidden="1"/>
    </xf>
    <xf numFmtId="0" fontId="6" fillId="0" borderId="28" xfId="0" applyFont="1" applyBorder="1" applyAlignment="1" applyProtection="1">
      <alignment horizontal="left"/>
      <protection hidden="1"/>
    </xf>
    <xf numFmtId="0" fontId="0" fillId="0" borderId="28" xfId="0" applyBorder="1" applyProtection="1">
      <protection hidden="1"/>
    </xf>
    <xf numFmtId="177" fontId="0" fillId="0" borderId="0" xfId="0" applyNumberFormat="1"/>
    <xf numFmtId="9" fontId="0" fillId="0" borderId="0" xfId="0" applyNumberFormat="1" applyAlignment="1" applyProtection="1">
      <alignment horizontal="center" vertical="center"/>
      <protection hidden="1"/>
    </xf>
    <xf numFmtId="169" fontId="0" fillId="0" borderId="0" xfId="0" applyNumberFormat="1" applyAlignment="1" applyProtection="1">
      <alignment horizontal="center" vertical="center"/>
      <protection hidden="1"/>
    </xf>
    <xf numFmtId="169" fontId="0" fillId="0" borderId="0" xfId="0" applyNumberFormat="1" applyAlignment="1" applyProtection="1">
      <alignment horizontal="center" vertical="center"/>
      <protection locked="0"/>
    </xf>
    <xf numFmtId="169" fontId="23" fillId="2" borderId="0" xfId="0" applyNumberFormat="1" applyFont="1" applyFill="1" applyAlignment="1" applyProtection="1">
      <alignment horizontal="center" vertical="center"/>
      <protection hidden="1"/>
    </xf>
    <xf numFmtId="0" fontId="23" fillId="13" borderId="0" xfId="0" applyFont="1" applyFill="1" applyAlignment="1" applyProtection="1">
      <alignment vertical="center"/>
      <protection hidden="1"/>
    </xf>
    <xf numFmtId="9" fontId="23" fillId="13" borderId="0" xfId="3" applyFont="1" applyFill="1" applyBorder="1" applyAlignment="1" applyProtection="1">
      <alignment horizontal="center" vertical="center"/>
      <protection hidden="1"/>
    </xf>
    <xf numFmtId="185" fontId="0" fillId="0" borderId="0" xfId="1" applyNumberFormat="1" applyFont="1" applyFill="1" applyProtection="1">
      <protection hidden="1"/>
    </xf>
    <xf numFmtId="179" fontId="0" fillId="0" borderId="0" xfId="1" applyNumberFormat="1" applyFont="1" applyFill="1" applyProtection="1">
      <protection hidden="1"/>
    </xf>
    <xf numFmtId="9" fontId="7" fillId="0" borderId="24" xfId="3" applyFont="1" applyFill="1" applyBorder="1" applyAlignment="1" applyProtection="1">
      <alignment horizontal="center" vertical="center" wrapText="1"/>
      <protection hidden="1"/>
    </xf>
    <xf numFmtId="10" fontId="0" fillId="0" borderId="0" xfId="3" applyNumberFormat="1" applyFont="1" applyFill="1"/>
    <xf numFmtId="184" fontId="0" fillId="0" borderId="0" xfId="0" applyNumberFormat="1" applyProtection="1">
      <protection hidden="1"/>
    </xf>
    <xf numFmtId="0" fontId="0" fillId="17" borderId="0" xfId="0" applyFill="1"/>
    <xf numFmtId="175" fontId="27" fillId="0" borderId="0" xfId="0" applyNumberFormat="1" applyFont="1" applyAlignment="1" applyProtection="1">
      <alignment horizontal="center"/>
      <protection hidden="1"/>
    </xf>
    <xf numFmtId="171" fontId="1" fillId="9" borderId="44" xfId="1" applyNumberFormat="1" applyFont="1" applyFill="1" applyBorder="1" applyAlignment="1" applyProtection="1">
      <alignment horizontal="center" vertical="center"/>
      <protection hidden="1"/>
    </xf>
    <xf numFmtId="171" fontId="1" fillId="9" borderId="45" xfId="1" applyNumberFormat="1" applyFont="1" applyFill="1" applyBorder="1" applyAlignment="1" applyProtection="1">
      <alignment horizontal="center" vertical="center"/>
      <protection hidden="1"/>
    </xf>
    <xf numFmtId="0" fontId="30" fillId="0" borderId="0" xfId="0" applyFont="1" applyAlignment="1" applyProtection="1">
      <alignment vertical="center"/>
      <protection hidden="1"/>
    </xf>
    <xf numFmtId="0" fontId="2" fillId="11" borderId="54" xfId="0" applyFont="1" applyFill="1" applyBorder="1"/>
    <xf numFmtId="0" fontId="2" fillId="11" borderId="30" xfId="0" applyFont="1" applyFill="1" applyBorder="1"/>
    <xf numFmtId="0" fontId="2" fillId="11" borderId="55" xfId="0" applyFont="1" applyFill="1" applyBorder="1"/>
    <xf numFmtId="0" fontId="0" fillId="12" borderId="4" xfId="0" applyFill="1" applyBorder="1"/>
    <xf numFmtId="0" fontId="0" fillId="0" borderId="4" xfId="0" applyBorder="1"/>
    <xf numFmtId="0" fontId="2" fillId="11" borderId="4" xfId="0" applyFont="1" applyFill="1" applyBorder="1" applyAlignment="1">
      <alignment horizontal="center" vertical="center"/>
    </xf>
    <xf numFmtId="0" fontId="2" fillId="11" borderId="4" xfId="0" applyFont="1" applyFill="1" applyBorder="1" applyAlignment="1">
      <alignment horizontal="center" vertical="center" wrapText="1"/>
    </xf>
    <xf numFmtId="0" fontId="16" fillId="0" borderId="0" xfId="0" applyFont="1"/>
    <xf numFmtId="0" fontId="30" fillId="20" borderId="0" xfId="0" applyFont="1" applyFill="1" applyAlignment="1" applyProtection="1">
      <alignment vertical="center"/>
      <protection hidden="1"/>
    </xf>
    <xf numFmtId="0" fontId="30" fillId="20" borderId="0" xfId="0" quotePrefix="1" applyFont="1" applyFill="1" applyAlignment="1" applyProtection="1">
      <alignment vertical="center"/>
      <protection hidden="1"/>
    </xf>
    <xf numFmtId="10" fontId="30" fillId="20" borderId="0" xfId="0" applyNumberFormat="1" applyFont="1" applyFill="1" applyAlignment="1" applyProtection="1">
      <alignment horizontal="center" vertical="center"/>
      <protection hidden="1"/>
    </xf>
    <xf numFmtId="175" fontId="27" fillId="20" borderId="0" xfId="0" applyNumberFormat="1" applyFont="1" applyFill="1" applyAlignment="1" applyProtection="1">
      <alignment horizontal="center"/>
      <protection hidden="1"/>
    </xf>
    <xf numFmtId="0" fontId="0" fillId="0" borderId="0" xfId="0" applyAlignment="1">
      <alignment horizontal="center" vertical="center"/>
    </xf>
    <xf numFmtId="0" fontId="3" fillId="0" borderId="0" xfId="0" applyFont="1" applyAlignment="1" applyProtection="1">
      <alignment horizontal="center" vertical="center" wrapText="1"/>
      <protection hidden="1"/>
    </xf>
    <xf numFmtId="0" fontId="20" fillId="0" borderId="0" xfId="0" applyFont="1" applyAlignment="1" applyProtection="1">
      <alignment vertical="center"/>
      <protection hidden="1"/>
    </xf>
    <xf numFmtId="169" fontId="24" fillId="0" borderId="0" xfId="0" applyNumberFormat="1" applyFont="1" applyAlignment="1" applyProtection="1">
      <alignment vertical="center"/>
      <protection hidden="1"/>
    </xf>
    <xf numFmtId="170" fontId="21" fillId="0" borderId="0" xfId="0" applyNumberFormat="1" applyFont="1" applyAlignment="1" applyProtection="1">
      <alignment vertical="center"/>
      <protection hidden="1"/>
    </xf>
    <xf numFmtId="0" fontId="19" fillId="0" borderId="19" xfId="0" applyFont="1" applyBorder="1" applyAlignment="1" applyProtection="1">
      <alignment vertical="center"/>
      <protection hidden="1"/>
    </xf>
    <xf numFmtId="170" fontId="19" fillId="0" borderId="19" xfId="0" applyNumberFormat="1" applyFont="1" applyBorder="1" applyAlignment="1" applyProtection="1">
      <alignment vertical="center"/>
      <protection hidden="1"/>
    </xf>
    <xf numFmtId="0" fontId="19" fillId="0" borderId="16" xfId="0" applyFont="1" applyBorder="1" applyAlignment="1" applyProtection="1">
      <alignment vertical="center"/>
      <protection hidden="1"/>
    </xf>
    <xf numFmtId="166" fontId="19" fillId="0" borderId="0" xfId="0" applyNumberFormat="1" applyFont="1" applyAlignment="1" applyProtection="1">
      <alignment vertical="center"/>
      <protection hidden="1"/>
    </xf>
    <xf numFmtId="170" fontId="21" fillId="0" borderId="20" xfId="0" applyNumberFormat="1" applyFont="1" applyBorder="1" applyAlignment="1" applyProtection="1">
      <alignment vertical="center"/>
      <protection hidden="1"/>
    </xf>
    <xf numFmtId="175" fontId="6" fillId="0" borderId="28" xfId="3" applyNumberFormat="1" applyFont="1" applyFill="1" applyBorder="1" applyAlignment="1" applyProtection="1">
      <alignment horizontal="center"/>
      <protection hidden="1"/>
    </xf>
    <xf numFmtId="169" fontId="31" fillId="0" borderId="5" xfId="4" applyNumberFormat="1" applyFont="1" applyFill="1" applyBorder="1" applyAlignment="1" applyProtection="1">
      <alignment horizontal="center"/>
      <protection hidden="1"/>
    </xf>
    <xf numFmtId="10" fontId="3" fillId="0" borderId="5" xfId="3" applyNumberFormat="1" applyFont="1" applyFill="1" applyBorder="1" applyAlignment="1" applyProtection="1">
      <alignment horizontal="center"/>
      <protection hidden="1"/>
    </xf>
    <xf numFmtId="0" fontId="31" fillId="0" borderId="5" xfId="4" applyNumberFormat="1" applyFont="1" applyFill="1" applyBorder="1" applyAlignment="1" applyProtection="1">
      <alignment horizontal="center"/>
      <protection hidden="1"/>
    </xf>
    <xf numFmtId="164" fontId="31" fillId="0" borderId="5" xfId="2" applyNumberFormat="1" applyFont="1" applyFill="1" applyBorder="1" applyAlignment="1" applyProtection="1">
      <alignment horizontal="center"/>
      <protection hidden="1"/>
    </xf>
    <xf numFmtId="164" fontId="31" fillId="0" borderId="7" xfId="4" applyNumberFormat="1" applyFont="1" applyFill="1" applyBorder="1" applyAlignment="1" applyProtection="1">
      <alignment horizontal="center"/>
      <protection hidden="1"/>
    </xf>
    <xf numFmtId="2" fontId="31" fillId="0" borderId="5" xfId="4" applyNumberFormat="1" applyFont="1" applyFill="1" applyBorder="1" applyAlignment="1" applyProtection="1">
      <alignment horizontal="center"/>
      <protection hidden="1"/>
    </xf>
    <xf numFmtId="0" fontId="31" fillId="19" borderId="0" xfId="0" applyFont="1" applyFill="1" applyAlignment="1">
      <alignment horizontal="center" vertical="center" wrapText="1"/>
    </xf>
    <xf numFmtId="185" fontId="31" fillId="19" borderId="0" xfId="1" applyNumberFormat="1" applyFont="1" applyFill="1" applyAlignment="1">
      <alignment horizontal="center" vertical="center" wrapText="1"/>
    </xf>
    <xf numFmtId="169" fontId="23" fillId="0" borderId="0" xfId="0" applyNumberFormat="1" applyFont="1" applyAlignment="1" applyProtection="1">
      <alignment horizontal="center" vertical="center"/>
      <protection hidden="1"/>
    </xf>
    <xf numFmtId="169" fontId="2" fillId="2" borderId="0" xfId="0" applyNumberFormat="1" applyFont="1" applyFill="1" applyAlignment="1" applyProtection="1">
      <alignment horizontal="center" vertical="center"/>
      <protection hidden="1"/>
    </xf>
    <xf numFmtId="0" fontId="0" fillId="0" borderId="0" xfId="0" applyAlignment="1" applyProtection="1">
      <alignment horizontal="center" vertical="center" wrapText="1"/>
      <protection hidden="1"/>
    </xf>
    <xf numFmtId="0" fontId="3" fillId="0" borderId="0" xfId="0" applyFont="1"/>
    <xf numFmtId="0" fontId="0" fillId="6" borderId="0" xfId="0" applyFill="1"/>
    <xf numFmtId="49" fontId="0" fillId="0" borderId="0" xfId="0" applyNumberFormat="1"/>
    <xf numFmtId="0" fontId="10" fillId="0" borderId="0" xfId="0" applyFont="1"/>
    <xf numFmtId="49" fontId="0" fillId="0" borderId="4" xfId="0" applyNumberFormat="1" applyBorder="1" applyProtection="1">
      <protection locked="0"/>
    </xf>
    <xf numFmtId="9" fontId="0" fillId="0" borderId="0" xfId="0" applyNumberFormat="1" applyProtection="1">
      <protection hidden="1"/>
    </xf>
    <xf numFmtId="10" fontId="0" fillId="0" borderId="0" xfId="0" applyNumberFormat="1" applyAlignment="1" applyProtection="1">
      <alignment horizontal="center"/>
      <protection hidden="1"/>
    </xf>
    <xf numFmtId="0" fontId="0" fillId="0" borderId="0" xfId="0" applyAlignment="1" applyProtection="1">
      <alignment wrapText="1"/>
      <protection hidden="1"/>
    </xf>
    <xf numFmtId="0" fontId="35" fillId="0" borderId="0" xfId="0" applyFont="1"/>
    <xf numFmtId="49" fontId="35" fillId="0" borderId="4" xfId="0" applyNumberFormat="1" applyFont="1" applyBorder="1" applyProtection="1">
      <protection locked="0"/>
    </xf>
    <xf numFmtId="166" fontId="26" fillId="2" borderId="0" xfId="0" applyNumberFormat="1" applyFont="1" applyFill="1" applyAlignment="1" applyProtection="1">
      <alignment vertical="center"/>
      <protection hidden="1"/>
    </xf>
    <xf numFmtId="0" fontId="26" fillId="2" borderId="0" xfId="0" applyFont="1" applyFill="1" applyAlignment="1" applyProtection="1">
      <alignment vertical="center"/>
      <protection hidden="1"/>
    </xf>
    <xf numFmtId="10" fontId="0" fillId="0" borderId="0" xfId="0" applyNumberFormat="1" applyAlignment="1" applyProtection="1">
      <alignment horizontal="center" vertical="center" wrapText="1"/>
      <protection hidden="1"/>
    </xf>
    <xf numFmtId="10" fontId="0" fillId="0" borderId="41" xfId="0" applyNumberFormat="1" applyBorder="1" applyAlignment="1" applyProtection="1">
      <alignment horizontal="center" vertical="center"/>
      <protection hidden="1"/>
    </xf>
    <xf numFmtId="10" fontId="0" fillId="0" borderId="4" xfId="0" quotePrefix="1" applyNumberFormat="1" applyBorder="1" applyAlignment="1" applyProtection="1">
      <alignment horizontal="center" vertical="center"/>
      <protection hidden="1"/>
    </xf>
    <xf numFmtId="10" fontId="0" fillId="0" borderId="4" xfId="0" quotePrefix="1" applyNumberFormat="1" applyBorder="1" applyAlignment="1" applyProtection="1">
      <alignment horizontal="center" vertical="center" wrapText="1"/>
      <protection hidden="1"/>
    </xf>
    <xf numFmtId="10" fontId="0" fillId="5" borderId="4" xfId="0" applyNumberFormat="1" applyFill="1" applyBorder="1" applyAlignment="1" applyProtection="1">
      <alignment horizontal="center" vertical="center" wrapText="1"/>
      <protection hidden="1"/>
    </xf>
    <xf numFmtId="0" fontId="0" fillId="0" borderId="4" xfId="0" applyBorder="1" applyAlignment="1">
      <alignment horizontal="center" vertical="center"/>
    </xf>
    <xf numFmtId="10" fontId="0" fillId="0" borderId="4" xfId="0" applyNumberFormat="1" applyBorder="1" applyAlignment="1">
      <alignment horizontal="center" vertical="center"/>
    </xf>
    <xf numFmtId="0" fontId="3" fillId="12" borderId="4" xfId="0" applyFont="1" applyFill="1" applyBorder="1" applyAlignment="1">
      <alignment horizontal="center" vertical="center"/>
    </xf>
    <xf numFmtId="10" fontId="0" fillId="0" borderId="0" xfId="0" applyNumberFormat="1" applyAlignment="1">
      <alignment horizontal="center" vertical="center"/>
    </xf>
    <xf numFmtId="0" fontId="36" fillId="0" borderId="0" xfId="0" applyFont="1" applyAlignment="1" applyProtection="1">
      <alignment vertical="center"/>
      <protection hidden="1"/>
    </xf>
    <xf numFmtId="0" fontId="36" fillId="0" borderId="0" xfId="0" applyFont="1" applyAlignment="1" applyProtection="1">
      <alignment horizontal="left" vertical="center"/>
      <protection hidden="1"/>
    </xf>
    <xf numFmtId="10" fontId="36" fillId="0" borderId="4" xfId="0" applyNumberFormat="1" applyFont="1" applyBorder="1" applyAlignment="1" applyProtection="1">
      <alignment horizontal="center" vertical="center"/>
      <protection hidden="1"/>
    </xf>
    <xf numFmtId="0" fontId="36" fillId="0" borderId="50" xfId="0" applyFont="1" applyBorder="1" applyAlignment="1" applyProtection="1">
      <alignment vertical="center"/>
      <protection hidden="1"/>
    </xf>
    <xf numFmtId="49" fontId="36" fillId="0" borderId="0" xfId="2" applyNumberFormat="1" applyFont="1" applyFill="1" applyBorder="1" applyAlignment="1" applyProtection="1">
      <alignment horizontal="center" vertical="center"/>
      <protection hidden="1"/>
    </xf>
    <xf numFmtId="164" fontId="6" fillId="0" borderId="0" xfId="2" applyNumberFormat="1" applyFont="1" applyFill="1" applyBorder="1" applyAlignment="1" applyProtection="1">
      <alignment horizontal="center" vertical="center"/>
      <protection hidden="1"/>
    </xf>
    <xf numFmtId="175" fontId="33" fillId="0" borderId="0" xfId="0" applyNumberFormat="1" applyFont="1" applyProtection="1">
      <protection hidden="1"/>
    </xf>
    <xf numFmtId="184" fontId="0" fillId="0" borderId="0" xfId="0" applyNumberFormat="1" applyAlignment="1" applyProtection="1">
      <alignment horizontal="center" vertical="center"/>
      <protection hidden="1"/>
    </xf>
    <xf numFmtId="0" fontId="6" fillId="0" borderId="0" xfId="0" applyFont="1" applyAlignment="1" applyProtection="1">
      <alignment horizontal="center" vertical="center"/>
      <protection hidden="1"/>
    </xf>
    <xf numFmtId="177" fontId="27" fillId="20" borderId="0" xfId="0" applyNumberFormat="1" applyFont="1" applyFill="1" applyAlignment="1" applyProtection="1">
      <alignment horizontal="center"/>
      <protection hidden="1"/>
    </xf>
    <xf numFmtId="0" fontId="25" fillId="0" borderId="0" xfId="0" applyFont="1" applyAlignment="1" applyProtection="1">
      <alignment vertical="center" wrapText="1"/>
      <protection hidden="1"/>
    </xf>
    <xf numFmtId="181" fontId="1" fillId="0" borderId="0" xfId="1" applyNumberFormat="1" applyFont="1" applyFill="1" applyAlignment="1" applyProtection="1">
      <alignment vertical="center"/>
      <protection hidden="1"/>
    </xf>
    <xf numFmtId="0" fontId="23" fillId="2" borderId="0" xfId="0" applyFont="1" applyFill="1" applyAlignment="1" applyProtection="1">
      <alignment horizontal="center" vertical="center"/>
      <protection hidden="1"/>
    </xf>
    <xf numFmtId="171" fontId="3" fillId="0" borderId="0" xfId="2" applyNumberFormat="1" applyFont="1" applyFill="1" applyBorder="1" applyAlignment="1" applyProtection="1">
      <alignment horizontal="center" vertical="center"/>
      <protection hidden="1"/>
    </xf>
    <xf numFmtId="0" fontId="6" fillId="0" borderId="0" xfId="0" applyFont="1" applyAlignment="1" applyProtection="1">
      <alignment horizontal="right"/>
      <protection hidden="1"/>
    </xf>
    <xf numFmtId="183" fontId="0" fillId="0" borderId="0" xfId="0" applyNumberFormat="1" applyProtection="1">
      <protection hidden="1"/>
    </xf>
    <xf numFmtId="0" fontId="0" fillId="14" borderId="0" xfId="0" applyFill="1" applyProtection="1">
      <protection hidden="1"/>
    </xf>
    <xf numFmtId="0" fontId="6" fillId="20" borderId="0" xfId="0" applyFont="1" applyFill="1" applyProtection="1">
      <protection hidden="1"/>
    </xf>
    <xf numFmtId="171" fontId="0" fillId="0" borderId="0" xfId="0" applyNumberFormat="1" applyProtection="1">
      <protection hidden="1"/>
    </xf>
    <xf numFmtId="175" fontId="0" fillId="0" borderId="0" xfId="0" applyNumberFormat="1" applyProtection="1">
      <protection hidden="1"/>
    </xf>
    <xf numFmtId="9" fontId="1" fillId="0" borderId="0" xfId="3" applyFont="1" applyProtection="1">
      <protection hidden="1"/>
    </xf>
    <xf numFmtId="164" fontId="36" fillId="0" borderId="0" xfId="2" applyNumberFormat="1" applyFont="1" applyFill="1" applyBorder="1" applyAlignment="1" applyProtection="1">
      <alignment horizontal="center" vertical="center"/>
      <protection hidden="1"/>
    </xf>
    <xf numFmtId="185" fontId="3" fillId="0" borderId="0" xfId="2" applyNumberFormat="1" applyFont="1" applyBorder="1" applyAlignment="1" applyProtection="1">
      <alignment horizontal="center"/>
      <protection hidden="1"/>
    </xf>
    <xf numFmtId="0" fontId="15" fillId="0" borderId="0" xfId="0" applyFont="1" applyAlignment="1" applyProtection="1">
      <alignment vertical="center" wrapText="1"/>
      <protection hidden="1"/>
    </xf>
    <xf numFmtId="0" fontId="36" fillId="0" borderId="0" xfId="0" applyFont="1" applyAlignment="1" applyProtection="1">
      <alignment horizontal="left"/>
      <protection hidden="1"/>
    </xf>
    <xf numFmtId="0" fontId="40" fillId="0" borderId="0" xfId="0" applyFont="1" applyAlignment="1" applyProtection="1">
      <alignment horizontal="left" vertical="center"/>
      <protection hidden="1"/>
    </xf>
    <xf numFmtId="0" fontId="18" fillId="0" borderId="0" xfId="0" applyFont="1" applyProtection="1">
      <protection hidden="1"/>
    </xf>
    <xf numFmtId="164" fontId="0" fillId="0" borderId="0" xfId="0" applyNumberFormat="1" applyProtection="1">
      <protection hidden="1"/>
    </xf>
    <xf numFmtId="0" fontId="18" fillId="9" borderId="39" xfId="0" applyFont="1" applyFill="1" applyBorder="1" applyAlignment="1" applyProtection="1">
      <alignment vertical="center"/>
      <protection hidden="1"/>
    </xf>
    <xf numFmtId="171" fontId="3" fillId="5" borderId="38" xfId="1" applyNumberFormat="1" applyFont="1" applyFill="1" applyBorder="1" applyAlignment="1" applyProtection="1">
      <alignment horizontal="center" vertical="center" wrapText="1"/>
      <protection hidden="1"/>
    </xf>
    <xf numFmtId="171" fontId="1" fillId="9" borderId="0" xfId="1" applyNumberFormat="1" applyFont="1" applyFill="1" applyBorder="1" applyAlignment="1" applyProtection="1">
      <alignment horizontal="center" vertical="center"/>
      <protection hidden="1"/>
    </xf>
    <xf numFmtId="171" fontId="1" fillId="15" borderId="0" xfId="1" applyNumberFormat="1" applyFont="1" applyFill="1" applyBorder="1" applyAlignment="1" applyProtection="1">
      <alignment horizontal="center" vertical="center"/>
      <protection hidden="1"/>
    </xf>
    <xf numFmtId="171" fontId="3" fillId="9" borderId="40" xfId="1" applyNumberFormat="1" applyFont="1" applyFill="1" applyBorder="1" applyAlignment="1" applyProtection="1">
      <alignment horizontal="center" vertical="center" wrapText="1"/>
      <protection hidden="1"/>
    </xf>
    <xf numFmtId="3" fontId="0" fillId="0" borderId="0" xfId="0" applyNumberFormat="1" applyProtection="1">
      <protection hidden="1"/>
    </xf>
    <xf numFmtId="0" fontId="18" fillId="9" borderId="39" xfId="0" applyFont="1" applyFill="1" applyBorder="1" applyProtection="1">
      <protection hidden="1"/>
    </xf>
    <xf numFmtId="0" fontId="6" fillId="0" borderId="36" xfId="0" applyFont="1" applyBorder="1" applyAlignment="1" applyProtection="1">
      <alignment vertical="center"/>
      <protection hidden="1"/>
    </xf>
    <xf numFmtId="0" fontId="0" fillId="16" borderId="0" xfId="0" applyFill="1" applyProtection="1">
      <protection hidden="1"/>
    </xf>
    <xf numFmtId="185" fontId="1" fillId="0" borderId="0" xfId="1" applyNumberFormat="1" applyFont="1" applyProtection="1">
      <protection hidden="1"/>
    </xf>
    <xf numFmtId="184" fontId="41" fillId="0" borderId="0" xfId="2" applyNumberFormat="1" applyFont="1" applyFill="1" applyBorder="1" applyAlignment="1" applyProtection="1">
      <alignment horizontal="center" vertical="center"/>
      <protection hidden="1"/>
    </xf>
    <xf numFmtId="164" fontId="36" fillId="0" borderId="0" xfId="0" applyNumberFormat="1" applyFont="1" applyAlignment="1" applyProtection="1">
      <alignment vertical="center"/>
      <protection hidden="1"/>
    </xf>
    <xf numFmtId="186" fontId="0" fillId="0" borderId="0" xfId="0" applyNumberFormat="1" applyProtection="1">
      <protection hidden="1"/>
    </xf>
    <xf numFmtId="0" fontId="18" fillId="9" borderId="35" xfId="0" applyFont="1" applyFill="1" applyBorder="1" applyProtection="1">
      <protection hidden="1"/>
    </xf>
    <xf numFmtId="184" fontId="42" fillId="0" borderId="0" xfId="2" applyNumberFormat="1" applyFont="1" applyFill="1" applyBorder="1" applyAlignment="1" applyProtection="1">
      <alignment horizontal="center" vertical="center"/>
      <protection hidden="1"/>
    </xf>
    <xf numFmtId="186" fontId="0" fillId="0" borderId="4" xfId="0" applyNumberFormat="1" applyBorder="1" applyProtection="1">
      <protection hidden="1"/>
    </xf>
    <xf numFmtId="3" fontId="0" fillId="0" borderId="0" xfId="0" applyNumberFormat="1" applyAlignment="1" applyProtection="1">
      <alignment vertical="center"/>
      <protection hidden="1"/>
    </xf>
    <xf numFmtId="0" fontId="36" fillId="0" borderId="0" xfId="0" applyFont="1" applyAlignment="1" applyProtection="1">
      <alignment horizontal="right"/>
      <protection hidden="1"/>
    </xf>
    <xf numFmtId="188" fontId="0" fillId="0" borderId="4" xfId="0" applyNumberFormat="1" applyBorder="1" applyProtection="1">
      <protection hidden="1"/>
    </xf>
    <xf numFmtId="2" fontId="0" fillId="0" borderId="4" xfId="0" applyNumberFormat="1" applyBorder="1" applyProtection="1">
      <protection hidden="1"/>
    </xf>
    <xf numFmtId="0" fontId="29" fillId="0" borderId="0" xfId="0" applyFont="1" applyProtection="1">
      <protection hidden="1"/>
    </xf>
    <xf numFmtId="171" fontId="3" fillId="0" borderId="0" xfId="2" applyNumberFormat="1" applyFont="1" applyFill="1" applyBorder="1" applyAlignment="1" applyProtection="1">
      <alignment horizontal="center"/>
      <protection hidden="1"/>
    </xf>
    <xf numFmtId="172" fontId="0" fillId="0" borderId="0" xfId="0" applyNumberFormat="1" applyProtection="1">
      <protection hidden="1"/>
    </xf>
    <xf numFmtId="10" fontId="1" fillId="0" borderId="0" xfId="3" applyNumberFormat="1" applyFont="1" applyProtection="1">
      <protection hidden="1"/>
    </xf>
    <xf numFmtId="0" fontId="18" fillId="0" borderId="25" xfId="0" applyFont="1" applyBorder="1" applyProtection="1">
      <protection hidden="1"/>
    </xf>
    <xf numFmtId="0" fontId="0" fillId="0" borderId="26" xfId="0" applyBorder="1" applyProtection="1">
      <protection hidden="1"/>
    </xf>
    <xf numFmtId="0" fontId="18" fillId="0" borderId="18" xfId="0" applyFont="1" applyBorder="1" applyProtection="1">
      <protection hidden="1"/>
    </xf>
    <xf numFmtId="0" fontId="23" fillId="0" borderId="0" xfId="0" applyFont="1" applyAlignment="1" applyProtection="1">
      <alignment horizontal="center" vertical="center" wrapText="1"/>
      <protection hidden="1"/>
    </xf>
    <xf numFmtId="0" fontId="37" fillId="2" borderId="0" xfId="0" applyFont="1" applyFill="1" applyAlignment="1" applyProtection="1">
      <alignment horizontal="center" vertical="center" wrapText="1"/>
      <protection hidden="1"/>
    </xf>
    <xf numFmtId="0" fontId="23" fillId="0" borderId="0" xfId="0" applyFont="1" applyAlignment="1" applyProtection="1">
      <alignment vertical="center" wrapText="1"/>
      <protection hidden="1"/>
    </xf>
    <xf numFmtId="0" fontId="2" fillId="2" borderId="4" xfId="0" applyFont="1" applyFill="1" applyBorder="1" applyAlignment="1" applyProtection="1">
      <alignment horizontal="center" vertical="center"/>
      <protection hidden="1"/>
    </xf>
    <xf numFmtId="0" fontId="2" fillId="2" borderId="4" xfId="0" applyFont="1" applyFill="1" applyBorder="1" applyAlignment="1" applyProtection="1">
      <alignment horizontal="center" vertical="center" wrapText="1"/>
      <protection hidden="1"/>
    </xf>
    <xf numFmtId="9" fontId="36" fillId="0" borderId="0" xfId="0" applyNumberFormat="1" applyFont="1" applyAlignment="1" applyProtection="1">
      <alignment horizontal="center"/>
      <protection hidden="1"/>
    </xf>
    <xf numFmtId="10" fontId="36" fillId="0" borderId="0" xfId="0" applyNumberFormat="1" applyFont="1" applyProtection="1">
      <protection hidden="1"/>
    </xf>
    <xf numFmtId="0" fontId="0" fillId="17" borderId="0" xfId="0" applyFill="1" applyProtection="1">
      <protection hidden="1"/>
    </xf>
    <xf numFmtId="9" fontId="0" fillId="0" borderId="4" xfId="0" applyNumberFormat="1" applyBorder="1" applyAlignment="1" applyProtection="1">
      <alignment horizontal="center" vertical="center"/>
      <protection hidden="1"/>
    </xf>
    <xf numFmtId="167" fontId="0" fillId="0" borderId="0" xfId="0" applyNumberFormat="1" applyProtection="1">
      <protection hidden="1"/>
    </xf>
    <xf numFmtId="0" fontId="0" fillId="0" borderId="4" xfId="0" applyBorder="1" applyAlignment="1" applyProtection="1">
      <alignment vertical="center"/>
      <protection hidden="1"/>
    </xf>
    <xf numFmtId="0" fontId="36" fillId="0" borderId="0" xfId="0" applyFont="1" applyProtection="1">
      <protection hidden="1"/>
    </xf>
    <xf numFmtId="169" fontId="0" fillId="0" borderId="0" xfId="0" applyNumberFormat="1" applyAlignment="1" applyProtection="1">
      <alignment horizontal="center"/>
      <protection hidden="1"/>
    </xf>
    <xf numFmtId="0" fontId="3" fillId="23" borderId="4" xfId="0" applyFont="1" applyFill="1" applyBorder="1" applyAlignment="1">
      <alignment horizontal="center" vertical="center" wrapText="1"/>
    </xf>
    <xf numFmtId="0" fontId="3" fillId="24" borderId="4" xfId="0" applyFont="1" applyFill="1" applyBorder="1" applyAlignment="1">
      <alignment horizontal="center" vertical="center" wrapText="1"/>
    </xf>
    <xf numFmtId="0" fontId="3" fillId="25" borderId="4" xfId="0" applyFont="1" applyFill="1" applyBorder="1" applyAlignment="1">
      <alignment horizontal="center" vertical="center" wrapText="1"/>
    </xf>
    <xf numFmtId="0" fontId="2" fillId="2" borderId="4" xfId="0" applyFont="1" applyFill="1" applyBorder="1" applyProtection="1">
      <protection hidden="1"/>
    </xf>
    <xf numFmtId="170" fontId="3" fillId="0" borderId="4" xfId="0" applyNumberFormat="1" applyFont="1" applyBorder="1" applyProtection="1">
      <protection hidden="1"/>
    </xf>
    <xf numFmtId="0" fontId="2" fillId="2" borderId="4" xfId="0" applyFont="1" applyFill="1" applyBorder="1" applyAlignment="1" applyProtection="1">
      <alignment horizontal="left" vertical="center"/>
      <protection hidden="1"/>
    </xf>
    <xf numFmtId="0" fontId="2" fillId="2" borderId="4" xfId="0" applyFont="1" applyFill="1" applyBorder="1" applyAlignment="1" applyProtection="1">
      <alignment vertical="center"/>
      <protection hidden="1"/>
    </xf>
    <xf numFmtId="0" fontId="36" fillId="0" borderId="0" xfId="0" applyFont="1" applyAlignment="1" applyProtection="1">
      <alignment horizontal="center" vertical="center"/>
      <protection hidden="1"/>
    </xf>
    <xf numFmtId="0" fontId="36" fillId="0" borderId="0" xfId="0" applyFont="1" applyAlignment="1" applyProtection="1">
      <alignment horizontal="right" vertical="center"/>
      <protection hidden="1"/>
    </xf>
    <xf numFmtId="171" fontId="6" fillId="0" borderId="0" xfId="2" applyNumberFormat="1" applyFont="1" applyFill="1" applyBorder="1" applyAlignment="1" applyProtection="1">
      <alignment horizontal="center" vertical="center"/>
      <protection hidden="1"/>
    </xf>
    <xf numFmtId="171" fontId="37" fillId="0" borderId="0" xfId="2" applyNumberFormat="1" applyFont="1" applyFill="1" applyBorder="1" applyAlignment="1" applyProtection="1">
      <alignment horizontal="center" vertical="center"/>
      <protection hidden="1"/>
    </xf>
    <xf numFmtId="10" fontId="0" fillId="5" borderId="41" xfId="0" applyNumberFormat="1" applyFill="1" applyBorder="1" applyAlignment="1" applyProtection="1">
      <alignment horizontal="center" vertical="center" wrapText="1"/>
      <protection hidden="1"/>
    </xf>
    <xf numFmtId="0" fontId="33" fillId="0" borderId="0" xfId="0" applyFont="1" applyAlignment="1" applyProtection="1">
      <alignment vertical="center"/>
      <protection hidden="1"/>
    </xf>
    <xf numFmtId="185" fontId="6" fillId="0" borderId="0" xfId="1" applyNumberFormat="1" applyFont="1" applyFill="1" applyBorder="1" applyAlignment="1" applyProtection="1">
      <alignment horizontal="center" vertical="center"/>
      <protection hidden="1"/>
    </xf>
    <xf numFmtId="164" fontId="36" fillId="0" borderId="0" xfId="0" applyNumberFormat="1" applyFont="1" applyProtection="1">
      <protection hidden="1"/>
    </xf>
    <xf numFmtId="0" fontId="29" fillId="0" borderId="0" xfId="0" applyFont="1" applyAlignment="1" applyProtection="1">
      <alignment vertical="center"/>
      <protection hidden="1"/>
    </xf>
    <xf numFmtId="0" fontId="33" fillId="0" borderId="0" xfId="0" applyFont="1" applyProtection="1">
      <protection hidden="1"/>
    </xf>
    <xf numFmtId="9" fontId="33" fillId="0" borderId="0" xfId="3" applyFont="1" applyFill="1" applyAlignment="1" applyProtection="1">
      <alignment horizontal="center" vertical="center"/>
      <protection hidden="1"/>
    </xf>
    <xf numFmtId="184" fontId="43" fillId="0" borderId="0" xfId="2" applyNumberFormat="1" applyFont="1" applyFill="1" applyBorder="1" applyAlignment="1" applyProtection="1">
      <alignment horizontal="center" vertical="center"/>
      <protection hidden="1"/>
    </xf>
    <xf numFmtId="9" fontId="44" fillId="0" borderId="0" xfId="3" applyFont="1" applyFill="1" applyBorder="1" applyAlignment="1" applyProtection="1">
      <alignment horizontal="center" vertical="center"/>
      <protection hidden="1"/>
    </xf>
    <xf numFmtId="171" fontId="6" fillId="0" borderId="0" xfId="2" applyNumberFormat="1" applyFont="1" applyFill="1" applyBorder="1" applyAlignment="1" applyProtection="1">
      <alignment horizontal="center"/>
      <protection hidden="1"/>
    </xf>
    <xf numFmtId="166" fontId="36" fillId="0" borderId="0" xfId="0" applyNumberFormat="1" applyFont="1" applyProtection="1">
      <protection hidden="1"/>
    </xf>
    <xf numFmtId="184" fontId="36" fillId="0" borderId="0" xfId="0" applyNumberFormat="1" applyFont="1" applyProtection="1">
      <protection hidden="1"/>
    </xf>
    <xf numFmtId="0" fontId="36" fillId="0" borderId="46" xfId="0" applyFont="1" applyBorder="1" applyProtection="1">
      <protection hidden="1"/>
    </xf>
    <xf numFmtId="0" fontId="36" fillId="0" borderId="47" xfId="0" applyFont="1" applyBorder="1" applyProtection="1">
      <protection hidden="1"/>
    </xf>
    <xf numFmtId="0" fontId="36" fillId="0" borderId="48" xfId="0" applyFont="1" applyBorder="1" applyProtection="1">
      <protection hidden="1"/>
    </xf>
    <xf numFmtId="0" fontId="36" fillId="0" borderId="49" xfId="0" applyFont="1" applyBorder="1" applyProtection="1">
      <protection hidden="1"/>
    </xf>
    <xf numFmtId="0" fontId="36" fillId="0" borderId="49" xfId="0" applyFont="1" applyBorder="1" applyAlignment="1" applyProtection="1">
      <alignment horizontal="right"/>
      <protection hidden="1"/>
    </xf>
    <xf numFmtId="0" fontId="36" fillId="0" borderId="50" xfId="0" applyFont="1" applyBorder="1" applyProtection="1">
      <protection hidden="1"/>
    </xf>
    <xf numFmtId="0" fontId="36" fillId="0" borderId="51" xfId="0" applyFont="1" applyBorder="1" applyProtection="1">
      <protection hidden="1"/>
    </xf>
    <xf numFmtId="0" fontId="36" fillId="0" borderId="52" xfId="0" applyFont="1" applyBorder="1" applyProtection="1">
      <protection hidden="1"/>
    </xf>
    <xf numFmtId="0" fontId="45" fillId="0" borderId="0" xfId="0" applyFont="1" applyAlignment="1" applyProtection="1">
      <alignment vertical="center"/>
      <protection hidden="1"/>
    </xf>
    <xf numFmtId="0" fontId="38" fillId="0" borderId="0" xfId="0" applyFont="1" applyAlignment="1" applyProtection="1">
      <alignment vertical="center" wrapText="1"/>
      <protection hidden="1"/>
    </xf>
    <xf numFmtId="0" fontId="36" fillId="0" borderId="0" xfId="0" applyFont="1" applyAlignment="1" applyProtection="1">
      <alignment horizontal="center"/>
      <protection hidden="1"/>
    </xf>
    <xf numFmtId="0" fontId="36" fillId="0" borderId="47" xfId="0" applyFont="1" applyBorder="1" applyAlignment="1" applyProtection="1">
      <alignment horizontal="right" vertical="center"/>
      <protection hidden="1"/>
    </xf>
    <xf numFmtId="0" fontId="36" fillId="0" borderId="49" xfId="0" applyFont="1" applyBorder="1" applyAlignment="1" applyProtection="1">
      <alignment horizontal="right" vertical="center"/>
      <protection hidden="1"/>
    </xf>
    <xf numFmtId="170" fontId="36" fillId="0" borderId="0" xfId="0" applyNumberFormat="1" applyFont="1" applyAlignment="1" applyProtection="1">
      <alignment horizontal="center" vertical="center"/>
      <protection hidden="1"/>
    </xf>
    <xf numFmtId="10" fontId="36" fillId="0" borderId="0" xfId="0" applyNumberFormat="1" applyFont="1" applyAlignment="1" applyProtection="1">
      <alignment horizontal="center" vertical="center"/>
      <protection hidden="1"/>
    </xf>
    <xf numFmtId="170" fontId="36" fillId="0" borderId="0" xfId="0" quotePrefix="1" applyNumberFormat="1" applyFont="1" applyAlignment="1" applyProtection="1">
      <alignment horizontal="center" vertical="center"/>
      <protection hidden="1"/>
    </xf>
    <xf numFmtId="0" fontId="36" fillId="0" borderId="52" xfId="0" applyFont="1" applyBorder="1" applyAlignment="1" applyProtection="1">
      <alignment horizontal="right" vertical="center"/>
      <protection hidden="1"/>
    </xf>
    <xf numFmtId="0" fontId="36" fillId="0" borderId="52" xfId="0" applyFont="1" applyBorder="1" applyAlignment="1" applyProtection="1">
      <alignment vertical="center"/>
      <protection hidden="1"/>
    </xf>
    <xf numFmtId="0" fontId="36" fillId="0" borderId="47" xfId="0" applyFont="1" applyBorder="1" applyAlignment="1" applyProtection="1">
      <alignment horizontal="center" vertical="center"/>
      <protection hidden="1"/>
    </xf>
    <xf numFmtId="175" fontId="36" fillId="0" borderId="0" xfId="0" applyNumberFormat="1" applyFont="1" applyAlignment="1" applyProtection="1">
      <alignment horizontal="center" vertical="center"/>
      <protection hidden="1"/>
    </xf>
    <xf numFmtId="169" fontId="37" fillId="0" borderId="0" xfId="0" applyNumberFormat="1" applyFont="1" applyProtection="1">
      <protection hidden="1"/>
    </xf>
    <xf numFmtId="0" fontId="39" fillId="0" borderId="0" xfId="0" applyFont="1" applyAlignment="1" applyProtection="1">
      <alignment vertical="center" wrapText="1"/>
      <protection hidden="1"/>
    </xf>
    <xf numFmtId="0" fontId="45" fillId="0" borderId="48" xfId="0" applyFont="1" applyBorder="1" applyAlignment="1" applyProtection="1">
      <alignment vertical="center"/>
      <protection hidden="1"/>
    </xf>
    <xf numFmtId="0" fontId="29" fillId="0" borderId="51" xfId="0" applyFont="1" applyBorder="1" applyProtection="1">
      <protection hidden="1"/>
    </xf>
    <xf numFmtId="0" fontId="29" fillId="0" borderId="52" xfId="0" applyFont="1" applyBorder="1" applyProtection="1">
      <protection hidden="1"/>
    </xf>
    <xf numFmtId="0" fontId="45" fillId="0" borderId="53" xfId="0" applyFont="1" applyBorder="1" applyAlignment="1" applyProtection="1">
      <alignment vertical="center"/>
      <protection hidden="1"/>
    </xf>
    <xf numFmtId="0" fontId="46" fillId="0" borderId="0" xfId="0" applyFont="1" applyAlignment="1" applyProtection="1">
      <alignment vertical="center"/>
      <protection hidden="1"/>
    </xf>
    <xf numFmtId="0" fontId="48" fillId="0" borderId="0" xfId="0" applyFont="1" applyAlignment="1" applyProtection="1">
      <alignment vertical="center"/>
      <protection hidden="1"/>
    </xf>
    <xf numFmtId="168" fontId="46" fillId="0" borderId="0" xfId="0" applyNumberFormat="1" applyFont="1" applyAlignment="1" applyProtection="1">
      <alignment horizontal="center" vertical="center"/>
      <protection hidden="1"/>
    </xf>
    <xf numFmtId="166" fontId="46" fillId="0" borderId="0" xfId="0" applyNumberFormat="1" applyFont="1" applyAlignment="1" applyProtection="1">
      <alignment vertical="center"/>
      <protection hidden="1"/>
    </xf>
    <xf numFmtId="0" fontId="48" fillId="2" borderId="0" xfId="0" applyFont="1" applyFill="1" applyAlignment="1" applyProtection="1">
      <alignment vertical="center"/>
      <protection hidden="1"/>
    </xf>
    <xf numFmtId="0" fontId="46" fillId="2" borderId="0" xfId="0" applyFont="1" applyFill="1" applyAlignment="1" applyProtection="1">
      <alignment vertical="center"/>
      <protection hidden="1"/>
    </xf>
    <xf numFmtId="0" fontId="50" fillId="0" borderId="0" xfId="0" applyFont="1" applyAlignment="1" applyProtection="1">
      <alignment vertical="center"/>
      <protection hidden="1"/>
    </xf>
    <xf numFmtId="0" fontId="50" fillId="0" borderId="0" xfId="0" applyFont="1" applyAlignment="1" applyProtection="1">
      <alignment horizontal="left" vertical="center"/>
      <protection hidden="1"/>
    </xf>
    <xf numFmtId="10" fontId="46" fillId="0" borderId="0" xfId="3" applyNumberFormat="1" applyFont="1" applyAlignment="1" applyProtection="1">
      <alignment vertical="center"/>
      <protection hidden="1"/>
    </xf>
    <xf numFmtId="0" fontId="51" fillId="0" borderId="0" xfId="0" applyFont="1" applyAlignment="1" applyProtection="1">
      <alignment vertical="center"/>
      <protection hidden="1"/>
    </xf>
    <xf numFmtId="0" fontId="46" fillId="0" borderId="2" xfId="0" applyFont="1" applyBorder="1" applyAlignment="1" applyProtection="1">
      <alignment vertical="center"/>
      <protection hidden="1"/>
    </xf>
    <xf numFmtId="0" fontId="46" fillId="0" borderId="6" xfId="0" applyFont="1" applyBorder="1" applyAlignment="1" applyProtection="1">
      <alignment vertical="center"/>
      <protection hidden="1"/>
    </xf>
    <xf numFmtId="0" fontId="46" fillId="0" borderId="0" xfId="0" applyFont="1" applyAlignment="1" applyProtection="1">
      <alignment horizontal="left" vertical="center"/>
      <protection hidden="1"/>
    </xf>
    <xf numFmtId="169" fontId="46" fillId="0" borderId="0" xfId="3" applyNumberFormat="1" applyFont="1" applyFill="1" applyBorder="1" applyAlignment="1" applyProtection="1">
      <alignment horizontal="center" vertical="center"/>
      <protection hidden="1"/>
    </xf>
    <xf numFmtId="165" fontId="46" fillId="0" borderId="0" xfId="1" applyFont="1" applyFill="1" applyAlignment="1" applyProtection="1">
      <alignment horizontal="center" vertical="center"/>
      <protection hidden="1"/>
    </xf>
    <xf numFmtId="170" fontId="46" fillId="0" borderId="0" xfId="3" applyNumberFormat="1" applyFont="1" applyFill="1" applyBorder="1" applyAlignment="1" applyProtection="1">
      <alignment vertical="center"/>
      <protection hidden="1"/>
    </xf>
    <xf numFmtId="169" fontId="52" fillId="8" borderId="5" xfId="3" applyNumberFormat="1" applyFont="1" applyFill="1" applyBorder="1" applyAlignment="1" applyProtection="1">
      <alignment horizontal="center" vertical="center"/>
      <protection hidden="1"/>
    </xf>
    <xf numFmtId="170" fontId="46" fillId="0" borderId="0" xfId="0" applyNumberFormat="1" applyFont="1" applyAlignment="1" applyProtection="1">
      <alignment vertical="center"/>
      <protection hidden="1"/>
    </xf>
    <xf numFmtId="0" fontId="51" fillId="4" borderId="0" xfId="0" applyFont="1" applyFill="1" applyAlignment="1" applyProtection="1">
      <alignment vertical="center"/>
      <protection hidden="1"/>
    </xf>
    <xf numFmtId="0" fontId="51" fillId="2" borderId="4" xfId="0" applyFont="1" applyFill="1" applyBorder="1" applyAlignment="1" applyProtection="1">
      <alignment horizontal="center" vertical="center"/>
      <protection hidden="1"/>
    </xf>
    <xf numFmtId="0" fontId="51" fillId="2" borderId="4" xfId="0" applyFont="1" applyFill="1" applyBorder="1" applyAlignment="1" applyProtection="1">
      <alignment horizontal="center" vertical="center" wrapText="1"/>
      <protection hidden="1"/>
    </xf>
    <xf numFmtId="0" fontId="48" fillId="10" borderId="4" xfId="0" applyFont="1" applyFill="1" applyBorder="1" applyAlignment="1" applyProtection="1">
      <alignment horizontal="center" vertical="center" wrapText="1"/>
      <protection hidden="1"/>
    </xf>
    <xf numFmtId="0" fontId="48" fillId="6" borderId="4" xfId="0" applyFont="1" applyFill="1" applyBorder="1" applyAlignment="1" applyProtection="1">
      <alignment horizontal="center" vertical="center" wrapText="1"/>
      <protection hidden="1"/>
    </xf>
    <xf numFmtId="0" fontId="51" fillId="22" borderId="57" xfId="0" applyFont="1" applyFill="1" applyBorder="1" applyAlignment="1" applyProtection="1">
      <alignment horizontal="center" vertical="center" wrapText="1"/>
      <protection hidden="1"/>
    </xf>
    <xf numFmtId="0" fontId="51" fillId="4" borderId="4" xfId="0" applyFont="1" applyFill="1" applyBorder="1" applyAlignment="1" applyProtection="1">
      <alignment horizontal="center" vertical="center"/>
      <protection hidden="1"/>
    </xf>
    <xf numFmtId="175" fontId="46" fillId="0" borderId="0" xfId="3" applyNumberFormat="1" applyFont="1" applyFill="1" applyBorder="1" applyAlignment="1" applyProtection="1">
      <alignment vertical="center"/>
      <protection hidden="1"/>
    </xf>
    <xf numFmtId="169" fontId="46" fillId="0" borderId="0" xfId="0" applyNumberFormat="1" applyFont="1" applyAlignment="1" applyProtection="1">
      <alignment horizontal="center" vertical="center"/>
      <protection hidden="1"/>
    </xf>
    <xf numFmtId="9" fontId="46" fillId="21" borderId="0" xfId="3" applyFont="1" applyFill="1" applyAlignment="1" applyProtection="1">
      <alignment horizontal="center" vertical="center"/>
      <protection hidden="1"/>
    </xf>
    <xf numFmtId="189" fontId="46" fillId="0" borderId="0" xfId="1" applyNumberFormat="1" applyFont="1" applyAlignment="1" applyProtection="1">
      <alignment horizontal="center" vertical="center"/>
      <protection hidden="1"/>
    </xf>
    <xf numFmtId="0" fontId="46" fillId="0" borderId="4" xfId="0" applyFont="1" applyBorder="1" applyAlignment="1" applyProtection="1">
      <alignment horizontal="center" vertical="center"/>
      <protection hidden="1"/>
    </xf>
    <xf numFmtId="10" fontId="46" fillId="0" borderId="4" xfId="0" applyNumberFormat="1" applyFont="1" applyBorder="1" applyAlignment="1" applyProtection="1">
      <alignment horizontal="center" vertical="center"/>
      <protection hidden="1"/>
    </xf>
    <xf numFmtId="9" fontId="46" fillId="0" borderId="4" xfId="1" applyNumberFormat="1" applyFont="1" applyFill="1" applyBorder="1" applyAlignment="1" applyProtection="1">
      <alignment horizontal="center" vertical="center"/>
      <protection hidden="1"/>
    </xf>
    <xf numFmtId="170" fontId="46" fillId="0" borderId="4" xfId="0" applyNumberFormat="1" applyFont="1" applyBorder="1" applyAlignment="1" applyProtection="1">
      <alignment horizontal="center" vertical="center"/>
      <protection hidden="1"/>
    </xf>
    <xf numFmtId="170" fontId="51" fillId="7" borderId="4" xfId="0" applyNumberFormat="1" applyFont="1" applyFill="1" applyBorder="1" applyAlignment="1" applyProtection="1">
      <alignment horizontal="center" vertical="center"/>
      <protection hidden="1"/>
    </xf>
    <xf numFmtId="0" fontId="47" fillId="0" borderId="0" xfId="0" applyFont="1" applyAlignment="1" applyProtection="1">
      <alignment horizontal="right" vertical="center"/>
      <protection hidden="1"/>
    </xf>
    <xf numFmtId="9" fontId="46" fillId="0" borderId="0" xfId="3" applyFont="1" applyAlignment="1" applyProtection="1">
      <alignment horizontal="center" vertical="center"/>
      <protection hidden="1"/>
    </xf>
    <xf numFmtId="0" fontId="46" fillId="0" borderId="0" xfId="3" applyNumberFormat="1" applyFont="1" applyFill="1" applyBorder="1" applyAlignment="1" applyProtection="1">
      <alignment vertical="center"/>
      <protection hidden="1"/>
    </xf>
    <xf numFmtId="0" fontId="52" fillId="4" borderId="0" xfId="0" applyFont="1" applyFill="1" applyAlignment="1" applyProtection="1">
      <alignment vertical="center"/>
      <protection hidden="1"/>
    </xf>
    <xf numFmtId="9" fontId="46" fillId="0" borderId="0" xfId="0" applyNumberFormat="1" applyFont="1" applyAlignment="1" applyProtection="1">
      <alignment horizontal="center" vertical="center"/>
      <protection hidden="1"/>
    </xf>
    <xf numFmtId="9" fontId="46" fillId="2" borderId="4" xfId="1" applyNumberFormat="1" applyFont="1" applyFill="1" applyBorder="1" applyAlignment="1" applyProtection="1">
      <alignment horizontal="center" vertical="center"/>
      <protection hidden="1"/>
    </xf>
    <xf numFmtId="10" fontId="46" fillId="0" borderId="0" xfId="0" applyNumberFormat="1" applyFont="1" applyAlignment="1" applyProtection="1">
      <alignment horizontal="center" vertical="center"/>
      <protection hidden="1"/>
    </xf>
    <xf numFmtId="170" fontId="46" fillId="0" borderId="0" xfId="0" applyNumberFormat="1" applyFont="1" applyAlignment="1" applyProtection="1">
      <alignment horizontal="center" vertical="center"/>
      <protection hidden="1"/>
    </xf>
    <xf numFmtId="0" fontId="51" fillId="4" borderId="4" xfId="0" applyFont="1" applyFill="1" applyBorder="1" applyAlignment="1" applyProtection="1">
      <alignment vertical="center"/>
      <protection hidden="1"/>
    </xf>
    <xf numFmtId="0" fontId="46" fillId="0" borderId="4" xfId="0" applyFont="1" applyBorder="1" applyAlignment="1" applyProtection="1">
      <alignment horizontal="left" vertical="center"/>
      <protection hidden="1"/>
    </xf>
    <xf numFmtId="169" fontId="46" fillId="0" borderId="4" xfId="3" applyNumberFormat="1" applyFont="1" applyFill="1" applyBorder="1" applyAlignment="1" applyProtection="1">
      <alignment horizontal="center" vertical="center"/>
      <protection hidden="1"/>
    </xf>
    <xf numFmtId="165" fontId="46" fillId="5" borderId="4" xfId="1" applyFont="1" applyFill="1" applyBorder="1" applyAlignment="1" applyProtection="1">
      <alignment horizontal="center" vertical="center"/>
      <protection hidden="1"/>
    </xf>
    <xf numFmtId="169" fontId="46" fillId="0" borderId="4" xfId="0" applyNumberFormat="1" applyFont="1" applyBorder="1" applyAlignment="1" applyProtection="1">
      <alignment horizontal="center" vertical="center"/>
      <protection hidden="1"/>
    </xf>
    <xf numFmtId="0" fontId="49" fillId="0" borderId="0" xfId="0" applyFont="1" applyAlignment="1" applyProtection="1">
      <alignment horizontal="left" vertical="center"/>
      <protection hidden="1"/>
    </xf>
    <xf numFmtId="177" fontId="46" fillId="0" borderId="0" xfId="3" applyNumberFormat="1" applyFont="1" applyFill="1" applyBorder="1" applyAlignment="1" applyProtection="1">
      <alignment horizontal="center" vertical="center"/>
      <protection hidden="1"/>
    </xf>
    <xf numFmtId="165" fontId="46" fillId="5" borderId="4" xfId="3" applyNumberFormat="1" applyFont="1" applyFill="1" applyBorder="1" applyAlignment="1" applyProtection="1">
      <alignment horizontal="center" vertical="center"/>
      <protection hidden="1"/>
    </xf>
    <xf numFmtId="172" fontId="46" fillId="0" borderId="0" xfId="0" applyNumberFormat="1" applyFont="1" applyAlignment="1" applyProtection="1">
      <alignment vertical="center"/>
      <protection hidden="1"/>
    </xf>
    <xf numFmtId="0" fontId="46" fillId="0" borderId="4" xfId="0" applyFont="1" applyBorder="1" applyAlignment="1" applyProtection="1">
      <alignment vertical="center"/>
      <protection hidden="1"/>
    </xf>
    <xf numFmtId="0" fontId="52" fillId="2" borderId="4" xfId="0" applyFont="1" applyFill="1" applyBorder="1" applyAlignment="1" applyProtection="1">
      <alignment vertical="center"/>
      <protection hidden="1"/>
    </xf>
    <xf numFmtId="9" fontId="46" fillId="0" borderId="4" xfId="0" applyNumberFormat="1" applyFont="1" applyBorder="1" applyAlignment="1" applyProtection="1">
      <alignment horizontal="center" vertical="center"/>
      <protection hidden="1"/>
    </xf>
    <xf numFmtId="170" fontId="46" fillId="14" borderId="4" xfId="0" applyNumberFormat="1" applyFont="1" applyFill="1" applyBorder="1" applyAlignment="1" applyProtection="1">
      <alignment horizontal="center" vertical="center"/>
      <protection hidden="1"/>
    </xf>
    <xf numFmtId="172" fontId="46" fillId="0" borderId="4" xfId="0" applyNumberFormat="1" applyFont="1" applyBorder="1" applyAlignment="1" applyProtection="1">
      <alignment vertical="center"/>
      <protection hidden="1"/>
    </xf>
    <xf numFmtId="0" fontId="46" fillId="18" borderId="0" xfId="0" applyFont="1" applyFill="1" applyAlignment="1" applyProtection="1">
      <alignment vertical="center"/>
      <protection hidden="1"/>
    </xf>
    <xf numFmtId="2" fontId="46" fillId="14" borderId="4" xfId="0" applyNumberFormat="1" applyFont="1" applyFill="1" applyBorder="1" applyAlignment="1" applyProtection="1">
      <alignment horizontal="center" vertical="center"/>
      <protection hidden="1"/>
    </xf>
    <xf numFmtId="180" fontId="48" fillId="0" borderId="4" xfId="0" applyNumberFormat="1" applyFont="1" applyBorder="1" applyAlignment="1" applyProtection="1">
      <alignment horizontal="center" vertical="center"/>
      <protection hidden="1"/>
    </xf>
    <xf numFmtId="0" fontId="46" fillId="0" borderId="46" xfId="0" applyFont="1" applyBorder="1" applyAlignment="1" applyProtection="1">
      <alignment vertical="center"/>
      <protection hidden="1"/>
    </xf>
    <xf numFmtId="170" fontId="46" fillId="0" borderId="48" xfId="0" applyNumberFormat="1" applyFont="1" applyBorder="1" applyAlignment="1" applyProtection="1">
      <alignment vertical="center"/>
      <protection hidden="1"/>
    </xf>
    <xf numFmtId="0" fontId="48" fillId="0" borderId="4" xfId="0" applyFont="1" applyBorder="1" applyAlignment="1" applyProtection="1">
      <alignment horizontal="center" vertical="center" wrapText="1"/>
      <protection hidden="1"/>
    </xf>
    <xf numFmtId="0" fontId="46" fillId="0" borderId="49" xfId="0" applyFont="1" applyBorder="1" applyAlignment="1" applyProtection="1">
      <alignment vertical="center"/>
      <protection hidden="1"/>
    </xf>
    <xf numFmtId="170" fontId="46" fillId="0" borderId="50" xfId="0" applyNumberFormat="1" applyFont="1" applyBorder="1" applyAlignment="1" applyProtection="1">
      <alignment vertical="center"/>
      <protection hidden="1"/>
    </xf>
    <xf numFmtId="0" fontId="48" fillId="0" borderId="4" xfId="0" applyFont="1" applyBorder="1" applyAlignment="1" applyProtection="1">
      <alignment horizontal="right" vertical="center"/>
      <protection hidden="1"/>
    </xf>
    <xf numFmtId="173" fontId="46" fillId="0" borderId="4" xfId="0" applyNumberFormat="1" applyFont="1" applyBorder="1" applyAlignment="1" applyProtection="1">
      <alignment vertical="center"/>
      <protection locked="0" hidden="1"/>
    </xf>
    <xf numFmtId="10" fontId="55" fillId="0" borderId="4" xfId="0" applyNumberFormat="1" applyFont="1" applyBorder="1" applyAlignment="1" applyProtection="1">
      <alignment horizontal="center" vertical="center"/>
      <protection hidden="1"/>
    </xf>
    <xf numFmtId="0" fontId="46" fillId="0" borderId="50" xfId="0" applyFont="1" applyBorder="1" applyAlignment="1" applyProtection="1">
      <alignment vertical="center"/>
      <protection hidden="1"/>
    </xf>
    <xf numFmtId="0" fontId="46" fillId="0" borderId="51" xfId="0" applyFont="1" applyBorder="1" applyAlignment="1" applyProtection="1">
      <alignment vertical="center"/>
      <protection hidden="1"/>
    </xf>
    <xf numFmtId="170" fontId="46" fillId="0" borderId="53" xfId="0" applyNumberFormat="1" applyFont="1" applyBorder="1" applyAlignment="1" applyProtection="1">
      <alignment vertical="center"/>
      <protection hidden="1"/>
    </xf>
    <xf numFmtId="10" fontId="48" fillId="0" borderId="4" xfId="0" applyNumberFormat="1" applyFont="1" applyBorder="1" applyAlignment="1" applyProtection="1">
      <alignment horizontal="center" vertical="center"/>
      <protection hidden="1"/>
    </xf>
    <xf numFmtId="10" fontId="46" fillId="18" borderId="0" xfId="0" applyNumberFormat="1" applyFont="1" applyFill="1" applyAlignment="1" applyProtection="1">
      <alignment horizontal="center" vertical="center"/>
      <protection hidden="1"/>
    </xf>
    <xf numFmtId="170" fontId="46" fillId="18" borderId="0" xfId="0" applyNumberFormat="1" applyFont="1" applyFill="1" applyAlignment="1" applyProtection="1">
      <alignment vertical="center"/>
      <protection hidden="1"/>
    </xf>
    <xf numFmtId="0" fontId="46" fillId="0" borderId="25" xfId="0" applyFont="1" applyBorder="1" applyAlignment="1" applyProtection="1">
      <alignment vertical="center"/>
      <protection hidden="1"/>
    </xf>
    <xf numFmtId="0" fontId="46" fillId="0" borderId="26" xfId="0" applyFont="1" applyBorder="1" applyAlignment="1" applyProtection="1">
      <alignment vertical="center"/>
      <protection hidden="1"/>
    </xf>
    <xf numFmtId="0" fontId="48" fillId="0" borderId="26" xfId="0" applyFont="1" applyBorder="1" applyAlignment="1" applyProtection="1">
      <alignment vertical="center"/>
      <protection hidden="1"/>
    </xf>
    <xf numFmtId="0" fontId="48" fillId="0" borderId="27" xfId="0" applyFont="1" applyBorder="1" applyAlignment="1" applyProtection="1">
      <alignment horizontal="center" vertical="center"/>
      <protection hidden="1"/>
    </xf>
    <xf numFmtId="0" fontId="46" fillId="0" borderId="16" xfId="0" applyFont="1" applyBorder="1" applyAlignment="1" applyProtection="1">
      <alignment vertical="center"/>
      <protection hidden="1"/>
    </xf>
    <xf numFmtId="169" fontId="57" fillId="0" borderId="0" xfId="0" applyNumberFormat="1" applyFont="1" applyAlignment="1" applyProtection="1">
      <alignment vertical="center"/>
      <protection hidden="1"/>
    </xf>
    <xf numFmtId="175" fontId="48" fillId="0" borderId="17" xfId="0" applyNumberFormat="1" applyFont="1" applyBorder="1" applyAlignment="1" applyProtection="1">
      <alignment horizontal="center" vertical="center"/>
      <protection hidden="1"/>
    </xf>
    <xf numFmtId="0" fontId="46" fillId="0" borderId="18" xfId="0" applyFont="1" applyBorder="1" applyAlignment="1" applyProtection="1">
      <alignment vertical="center"/>
      <protection hidden="1"/>
    </xf>
    <xf numFmtId="0" fontId="46" fillId="0" borderId="19" xfId="0" applyFont="1" applyBorder="1" applyAlignment="1" applyProtection="1">
      <alignment vertical="center"/>
      <protection hidden="1"/>
    </xf>
    <xf numFmtId="0" fontId="46" fillId="0" borderId="20" xfId="0" applyFont="1" applyBorder="1" applyAlignment="1" applyProtection="1">
      <alignment vertical="center"/>
      <protection hidden="1"/>
    </xf>
    <xf numFmtId="9" fontId="46" fillId="18" borderId="0" xfId="3" applyFont="1" applyFill="1" applyAlignment="1" applyProtection="1">
      <alignment vertical="center"/>
      <protection hidden="1"/>
    </xf>
    <xf numFmtId="0" fontId="48" fillId="18" borderId="0" xfId="0" applyFont="1" applyFill="1" applyAlignment="1" applyProtection="1">
      <alignment vertical="center"/>
      <protection hidden="1"/>
    </xf>
    <xf numFmtId="10" fontId="46" fillId="18" borderId="0" xfId="3" applyNumberFormat="1" applyFont="1" applyFill="1" applyAlignment="1" applyProtection="1">
      <alignment vertical="center"/>
      <protection hidden="1"/>
    </xf>
    <xf numFmtId="10" fontId="46" fillId="0" borderId="0" xfId="3" applyNumberFormat="1" applyFont="1" applyFill="1" applyAlignment="1" applyProtection="1">
      <alignment vertical="center"/>
      <protection hidden="1"/>
    </xf>
    <xf numFmtId="166" fontId="48" fillId="18" borderId="0" xfId="0" applyNumberFormat="1" applyFont="1" applyFill="1" applyAlignment="1" applyProtection="1">
      <alignment vertical="center"/>
      <protection hidden="1"/>
    </xf>
    <xf numFmtId="170" fontId="48" fillId="18" borderId="0" xfId="0" applyNumberFormat="1" applyFont="1" applyFill="1" applyAlignment="1" applyProtection="1">
      <alignment vertical="center"/>
      <protection hidden="1"/>
    </xf>
    <xf numFmtId="0" fontId="51" fillId="18" borderId="0" xfId="0" applyFont="1" applyFill="1" applyAlignment="1" applyProtection="1">
      <alignment vertical="center"/>
      <protection hidden="1"/>
    </xf>
    <xf numFmtId="10" fontId="48" fillId="18" borderId="0" xfId="3" applyNumberFormat="1" applyFont="1" applyFill="1" applyBorder="1" applyAlignment="1" applyProtection="1">
      <alignment vertical="center"/>
      <protection hidden="1"/>
    </xf>
    <xf numFmtId="9" fontId="51" fillId="2" borderId="4" xfId="3" applyFont="1" applyFill="1" applyBorder="1" applyAlignment="1" applyProtection="1">
      <alignment horizontal="center" vertical="center" wrapText="1"/>
      <protection hidden="1"/>
    </xf>
    <xf numFmtId="9" fontId="48" fillId="3" borderId="1" xfId="3" applyFont="1" applyFill="1" applyBorder="1" applyAlignment="1" applyProtection="1">
      <alignment horizontal="center" vertical="center" wrapText="1"/>
      <protection hidden="1"/>
    </xf>
    <xf numFmtId="9" fontId="48" fillId="3" borderId="24" xfId="3" applyFont="1" applyFill="1" applyBorder="1" applyAlignment="1" applyProtection="1">
      <alignment horizontal="center" vertical="center" wrapText="1"/>
      <protection hidden="1"/>
    </xf>
    <xf numFmtId="0" fontId="49" fillId="0" borderId="0" xfId="0" applyFont="1" applyAlignment="1" applyProtection="1">
      <alignment horizontal="center" vertical="center" wrapText="1"/>
      <protection hidden="1"/>
    </xf>
    <xf numFmtId="3" fontId="46" fillId="0" borderId="0" xfId="4" applyNumberFormat="1" applyFont="1" applyFill="1" applyAlignment="1" applyProtection="1">
      <alignment horizontal="center" vertical="center"/>
      <protection hidden="1"/>
    </xf>
    <xf numFmtId="170" fontId="46" fillId="0" borderId="0" xfId="4" applyNumberFormat="1" applyFont="1" applyFill="1" applyAlignment="1" applyProtection="1">
      <alignment horizontal="center" vertical="center"/>
      <protection hidden="1"/>
    </xf>
    <xf numFmtId="170" fontId="46" fillId="0" borderId="0" xfId="4" applyNumberFormat="1" applyFont="1" applyFill="1" applyBorder="1" applyAlignment="1" applyProtection="1">
      <alignment horizontal="center" vertical="center"/>
      <protection hidden="1"/>
    </xf>
    <xf numFmtId="170" fontId="46" fillId="0" borderId="0" xfId="0" applyNumberFormat="1" applyFont="1" applyProtection="1">
      <protection hidden="1"/>
    </xf>
    <xf numFmtId="169" fontId="46" fillId="0" borderId="0" xfId="4" applyNumberFormat="1" applyFont="1" applyFill="1" applyAlignment="1" applyProtection="1">
      <alignment horizontal="center" vertical="center"/>
      <protection hidden="1"/>
    </xf>
    <xf numFmtId="10" fontId="46" fillId="0" borderId="0" xfId="1" applyNumberFormat="1" applyFont="1" applyFill="1" applyBorder="1" applyAlignment="1" applyProtection="1">
      <alignment horizontal="center" vertical="center" wrapText="1"/>
      <protection hidden="1"/>
    </xf>
    <xf numFmtId="170" fontId="46" fillId="0" borderId="0" xfId="1" applyNumberFormat="1" applyFont="1" applyFill="1" applyBorder="1" applyAlignment="1" applyProtection="1">
      <alignment horizontal="center" vertical="center" wrapText="1"/>
      <protection hidden="1"/>
    </xf>
    <xf numFmtId="0" fontId="46" fillId="0" borderId="0" xfId="0" applyFont="1" applyAlignment="1" applyProtection="1">
      <alignment horizontal="center" vertical="center"/>
      <protection hidden="1"/>
    </xf>
    <xf numFmtId="4" fontId="46" fillId="0" borderId="0" xfId="0" applyNumberFormat="1" applyFont="1" applyAlignment="1" applyProtection="1">
      <alignment vertical="center"/>
      <protection hidden="1"/>
    </xf>
    <xf numFmtId="171" fontId="46" fillId="0" borderId="0" xfId="1" applyNumberFormat="1" applyFont="1" applyFill="1" applyBorder="1" applyAlignment="1" applyProtection="1">
      <alignment horizontal="center" vertical="center" wrapText="1"/>
      <protection hidden="1"/>
    </xf>
    <xf numFmtId="0" fontId="52" fillId="0" borderId="63" xfId="0" applyFont="1" applyBorder="1" applyAlignment="1" applyProtection="1">
      <alignment vertical="center"/>
      <protection hidden="1"/>
    </xf>
    <xf numFmtId="0" fontId="59" fillId="0" borderId="0" xfId="0" applyFont="1" applyAlignment="1" applyProtection="1">
      <alignment vertical="center"/>
      <protection hidden="1"/>
    </xf>
    <xf numFmtId="0" fontId="59" fillId="0" borderId="0" xfId="0" applyFont="1" applyAlignment="1" applyProtection="1">
      <alignment horizontal="center" vertical="center"/>
      <protection hidden="1"/>
    </xf>
    <xf numFmtId="0" fontId="6" fillId="0" borderId="62" xfId="0" applyFont="1" applyBorder="1" applyProtection="1">
      <protection hidden="1"/>
    </xf>
    <xf numFmtId="169" fontId="37" fillId="0" borderId="63" xfId="0" applyNumberFormat="1" applyFont="1" applyBorder="1" applyProtection="1">
      <protection hidden="1"/>
    </xf>
    <xf numFmtId="0" fontId="37" fillId="0" borderId="63" xfId="0" applyFont="1" applyBorder="1" applyAlignment="1" applyProtection="1">
      <alignment horizontal="center" vertical="center"/>
      <protection hidden="1"/>
    </xf>
    <xf numFmtId="0" fontId="46" fillId="0" borderId="15" xfId="0" applyFont="1" applyBorder="1" applyAlignment="1" applyProtection="1">
      <alignment vertical="center"/>
      <protection hidden="1"/>
    </xf>
    <xf numFmtId="0" fontId="36" fillId="0" borderId="15" xfId="0" applyFont="1" applyBorder="1" applyAlignment="1" applyProtection="1">
      <alignment vertical="center"/>
      <protection hidden="1"/>
    </xf>
    <xf numFmtId="171" fontId="37" fillId="0" borderId="15" xfId="2" applyNumberFormat="1" applyFont="1" applyFill="1" applyBorder="1" applyAlignment="1" applyProtection="1">
      <alignment horizontal="center" vertical="center"/>
      <protection hidden="1"/>
    </xf>
    <xf numFmtId="0" fontId="36" fillId="0" borderId="72" xfId="0" applyFont="1" applyBorder="1" applyAlignment="1" applyProtection="1">
      <alignment vertical="center"/>
      <protection hidden="1"/>
    </xf>
    <xf numFmtId="0" fontId="6" fillId="0" borderId="77" xfId="0" applyFont="1" applyBorder="1" applyAlignment="1" applyProtection="1">
      <alignment vertical="center"/>
      <protection hidden="1"/>
    </xf>
    <xf numFmtId="10" fontId="36" fillId="0" borderId="52" xfId="0" applyNumberFormat="1" applyFont="1" applyBorder="1" applyAlignment="1" applyProtection="1">
      <alignment horizontal="center" vertical="center"/>
      <protection hidden="1"/>
    </xf>
    <xf numFmtId="170" fontId="48" fillId="0" borderId="0" xfId="0" applyNumberFormat="1" applyFont="1" applyAlignment="1" applyProtection="1">
      <alignment vertical="center"/>
      <protection hidden="1"/>
    </xf>
    <xf numFmtId="0" fontId="51" fillId="2" borderId="0" xfId="0" applyFont="1" applyFill="1" applyAlignment="1" applyProtection="1">
      <alignment horizontal="center" vertical="center"/>
      <protection hidden="1"/>
    </xf>
    <xf numFmtId="0" fontId="46" fillId="0" borderId="62" xfId="0" applyFont="1" applyBorder="1" applyAlignment="1" applyProtection="1">
      <alignment vertical="center"/>
      <protection hidden="1"/>
    </xf>
    <xf numFmtId="170" fontId="58" fillId="0" borderId="63" xfId="0" applyNumberFormat="1" applyFont="1" applyBorder="1" applyAlignment="1" applyProtection="1">
      <alignment horizontal="center" vertical="center"/>
      <protection hidden="1"/>
    </xf>
    <xf numFmtId="0" fontId="46" fillId="0" borderId="0" xfId="0" applyFont="1" applyProtection="1">
      <protection hidden="1"/>
    </xf>
    <xf numFmtId="0" fontId="51" fillId="0" borderId="0" xfId="0" applyFont="1" applyAlignment="1" applyProtection="1">
      <alignment horizontal="center" vertical="center"/>
      <protection hidden="1"/>
    </xf>
    <xf numFmtId="10" fontId="51" fillId="0" borderId="0" xfId="0" applyNumberFormat="1" applyFont="1" applyAlignment="1" applyProtection="1">
      <alignment vertical="center"/>
      <protection hidden="1"/>
    </xf>
    <xf numFmtId="175" fontId="51" fillId="0" borderId="0" xfId="0" applyNumberFormat="1" applyFont="1" applyAlignment="1" applyProtection="1">
      <alignment horizontal="center" vertical="center"/>
      <protection hidden="1"/>
    </xf>
    <xf numFmtId="0" fontId="3" fillId="5" borderId="0" xfId="0" applyFont="1" applyFill="1" applyAlignment="1" applyProtection="1">
      <alignment horizontal="center" vertical="center"/>
      <protection hidden="1"/>
    </xf>
    <xf numFmtId="170" fontId="3" fillId="5" borderId="0" xfId="0" applyNumberFormat="1" applyFont="1" applyFill="1" applyAlignment="1" applyProtection="1">
      <alignment horizontal="center" vertical="center"/>
      <protection hidden="1"/>
    </xf>
    <xf numFmtId="0" fontId="54" fillId="0" borderId="0" xfId="0" applyFont="1" applyAlignment="1" applyProtection="1">
      <alignment horizontal="left" vertical="center"/>
      <protection hidden="1"/>
    </xf>
    <xf numFmtId="0" fontId="51" fillId="0" borderId="0" xfId="0" applyFont="1" applyAlignment="1" applyProtection="1">
      <alignment horizontal="center" vertical="center"/>
      <protection locked="0" hidden="1"/>
    </xf>
    <xf numFmtId="0" fontId="0" fillId="5" borderId="0" xfId="0" applyFill="1" applyAlignment="1" applyProtection="1">
      <alignment horizontal="center" vertical="center"/>
      <protection hidden="1"/>
    </xf>
    <xf numFmtId="10" fontId="51" fillId="0" borderId="0" xfId="0" applyNumberFormat="1" applyFont="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0" fillId="13" borderId="4" xfId="0" applyFill="1" applyBorder="1" applyAlignment="1" applyProtection="1">
      <alignment horizontal="center" vertical="center"/>
      <protection hidden="1"/>
    </xf>
    <xf numFmtId="9" fontId="0" fillId="13" borderId="4" xfId="0" applyNumberFormat="1" applyFill="1" applyBorder="1" applyAlignment="1" applyProtection="1">
      <alignment horizontal="center" vertical="center"/>
      <protection hidden="1"/>
    </xf>
    <xf numFmtId="190" fontId="0" fillId="13" borderId="4" xfId="0" applyNumberFormat="1" applyFill="1" applyBorder="1" applyAlignment="1" applyProtection="1">
      <alignment horizontal="center" vertical="center"/>
      <protection hidden="1"/>
    </xf>
    <xf numFmtId="10" fontId="0" fillId="13" borderId="4" xfId="0" applyNumberFormat="1" applyFill="1" applyBorder="1" applyAlignment="1" applyProtection="1">
      <alignment horizontal="center" vertical="center"/>
      <protection hidden="1"/>
    </xf>
    <xf numFmtId="0" fontId="23" fillId="8" borderId="4" xfId="0" applyFont="1" applyFill="1" applyBorder="1" applyAlignment="1" applyProtection="1">
      <alignment horizontal="center" vertical="center"/>
      <protection hidden="1"/>
    </xf>
    <xf numFmtId="0" fontId="3" fillId="0" borderId="4" xfId="0" applyFont="1" applyBorder="1" applyAlignment="1" applyProtection="1">
      <alignment horizontal="center" vertical="center"/>
      <protection hidden="1"/>
    </xf>
    <xf numFmtId="0" fontId="33" fillId="0" borderId="0" xfId="0" applyFont="1" applyAlignment="1" applyProtection="1">
      <alignment horizontal="right"/>
      <protection hidden="1"/>
    </xf>
    <xf numFmtId="0" fontId="46" fillId="5" borderId="0" xfId="0" applyFont="1" applyFill="1" applyAlignment="1" applyProtection="1">
      <alignment horizontal="center" vertical="center"/>
      <protection locked="0" hidden="1"/>
    </xf>
    <xf numFmtId="0" fontId="34" fillId="0" borderId="0" xfId="0" applyFont="1" applyProtection="1">
      <protection hidden="1"/>
    </xf>
    <xf numFmtId="171" fontId="0" fillId="0" borderId="4" xfId="0" applyNumberFormat="1" applyBorder="1" applyAlignment="1" applyProtection="1">
      <alignment horizontal="center" vertical="center"/>
      <protection hidden="1"/>
    </xf>
    <xf numFmtId="170" fontId="0" fillId="0" borderId="4" xfId="0" applyNumberFormat="1" applyBorder="1" applyAlignment="1" applyProtection="1">
      <alignment horizontal="center"/>
      <protection hidden="1"/>
    </xf>
    <xf numFmtId="170" fontId="0" fillId="0" borderId="4" xfId="0" applyNumberFormat="1" applyBorder="1" applyProtection="1">
      <protection hidden="1"/>
    </xf>
    <xf numFmtId="164" fontId="0" fillId="0" borderId="4" xfId="0" applyNumberFormat="1" applyBorder="1" applyProtection="1">
      <protection hidden="1"/>
    </xf>
    <xf numFmtId="167" fontId="0" fillId="0" borderId="4" xfId="0" applyNumberFormat="1" applyBorder="1" applyProtection="1">
      <protection hidden="1"/>
    </xf>
    <xf numFmtId="170" fontId="0" fillId="0" borderId="0" xfId="0" applyNumberFormat="1" applyAlignment="1" applyProtection="1">
      <alignment horizontal="center"/>
      <protection hidden="1"/>
    </xf>
    <xf numFmtId="9" fontId="0" fillId="0" borderId="4" xfId="3" applyFont="1" applyBorder="1" applyAlignment="1" applyProtection="1">
      <alignment horizontal="center" vertical="center"/>
      <protection hidden="1"/>
    </xf>
    <xf numFmtId="0" fontId="2" fillId="2" borderId="4" xfId="0" applyFont="1" applyFill="1" applyBorder="1" applyAlignment="1" applyProtection="1">
      <alignment vertical="center" wrapText="1"/>
      <protection hidden="1"/>
    </xf>
    <xf numFmtId="0" fontId="31" fillId="0" borderId="0" xfId="0" applyFont="1" applyAlignment="1" applyProtection="1">
      <alignment vertical="center" wrapText="1"/>
      <protection hidden="1"/>
    </xf>
    <xf numFmtId="0" fontId="9" fillId="0" borderId="0" xfId="0" applyFont="1" applyAlignment="1" applyProtection="1">
      <alignment vertical="center"/>
      <protection hidden="1"/>
    </xf>
    <xf numFmtId="0" fontId="9" fillId="0" borderId="0" xfId="0" applyFont="1" applyProtection="1">
      <protection hidden="1"/>
    </xf>
    <xf numFmtId="9" fontId="7" fillId="2" borderId="1" xfId="3" applyFont="1" applyFill="1" applyBorder="1" applyAlignment="1" applyProtection="1">
      <alignment horizontal="center" vertical="center" wrapText="1"/>
      <protection hidden="1"/>
    </xf>
    <xf numFmtId="180" fontId="0" fillId="26" borderId="0" xfId="0" applyNumberFormat="1" applyFill="1" applyAlignment="1" applyProtection="1">
      <alignment horizontal="center" vertical="center"/>
      <protection hidden="1"/>
    </xf>
    <xf numFmtId="0" fontId="0" fillId="18" borderId="0" xfId="0" applyFill="1" applyAlignment="1" applyProtection="1">
      <alignment horizontal="center" vertical="center"/>
      <protection hidden="1"/>
    </xf>
    <xf numFmtId="180" fontId="0" fillId="27" borderId="0" xfId="0" applyNumberFormat="1" applyFill="1" applyAlignment="1" applyProtection="1">
      <alignment horizontal="center" vertical="center"/>
      <protection locked="0" hidden="1"/>
    </xf>
    <xf numFmtId="180" fontId="0" fillId="6" borderId="0" xfId="0" applyNumberFormat="1" applyFill="1" applyAlignment="1" applyProtection="1">
      <alignment horizontal="center" vertical="center"/>
      <protection locked="0" hidden="1"/>
    </xf>
    <xf numFmtId="169" fontId="46" fillId="2" borderId="0" xfId="3" applyNumberFormat="1" applyFont="1" applyFill="1" applyBorder="1" applyAlignment="1" applyProtection="1">
      <alignment horizontal="center" vertical="center"/>
      <protection hidden="1"/>
    </xf>
    <xf numFmtId="169" fontId="46" fillId="0" borderId="0" xfId="0" applyNumberFormat="1" applyFont="1" applyAlignment="1" applyProtection="1">
      <alignment vertical="center"/>
      <protection hidden="1"/>
    </xf>
    <xf numFmtId="9" fontId="46" fillId="0" borderId="0" xfId="0" quotePrefix="1" applyNumberFormat="1" applyFont="1" applyAlignment="1" applyProtection="1">
      <alignment horizontal="center" vertical="center" wrapText="1"/>
      <protection hidden="1"/>
    </xf>
    <xf numFmtId="177" fontId="0" fillId="0" borderId="0" xfId="0" applyNumberFormat="1" applyProtection="1">
      <protection hidden="1"/>
    </xf>
    <xf numFmtId="0" fontId="36" fillId="0" borderId="0" xfId="0" applyFont="1" applyProtection="1">
      <protection locked="0" hidden="1"/>
    </xf>
    <xf numFmtId="0" fontId="23" fillId="7" borderId="0" xfId="0" applyFont="1" applyFill="1" applyAlignment="1">
      <alignment horizontal="center" vertical="center"/>
    </xf>
    <xf numFmtId="0" fontId="0" fillId="0" borderId="0" xfId="0" applyAlignment="1">
      <alignment wrapText="1"/>
    </xf>
    <xf numFmtId="0" fontId="0" fillId="0" borderId="0" xfId="0" applyAlignment="1">
      <alignment vertical="center"/>
    </xf>
    <xf numFmtId="14" fontId="0" fillId="0" borderId="0" xfId="0" applyNumberFormat="1" applyAlignment="1">
      <alignment vertical="center" wrapText="1"/>
    </xf>
    <xf numFmtId="0" fontId="0" fillId="0" borderId="0" xfId="0" applyAlignment="1">
      <alignment vertical="center" wrapText="1"/>
    </xf>
    <xf numFmtId="14" fontId="0" fillId="0" borderId="0" xfId="0" applyNumberFormat="1" applyAlignment="1">
      <alignment horizontal="center" vertical="center"/>
    </xf>
    <xf numFmtId="0" fontId="0" fillId="0" borderId="0" xfId="0" applyAlignment="1">
      <alignment horizontal="left" vertical="center"/>
    </xf>
    <xf numFmtId="0" fontId="10" fillId="0" borderId="0" xfId="0" applyFont="1" applyAlignment="1" applyProtection="1">
      <alignment horizontal="left" vertical="center"/>
      <protection hidden="1"/>
    </xf>
    <xf numFmtId="0" fontId="10" fillId="0" borderId="0" xfId="0" applyFont="1" applyAlignment="1" applyProtection="1">
      <alignment vertical="center"/>
      <protection hidden="1"/>
    </xf>
    <xf numFmtId="0" fontId="0" fillId="0" borderId="0" xfId="0" applyAlignment="1" applyProtection="1">
      <alignment vertical="center" wrapText="1"/>
      <protection hidden="1"/>
    </xf>
    <xf numFmtId="14" fontId="0" fillId="0" borderId="0" xfId="0" quotePrefix="1" applyNumberFormat="1" applyAlignment="1">
      <alignment vertical="center" wrapText="1"/>
    </xf>
    <xf numFmtId="0" fontId="0" fillId="18" borderId="0" xfId="0" applyFill="1"/>
    <xf numFmtId="0" fontId="2" fillId="2" borderId="79" xfId="0" applyFont="1" applyFill="1" applyBorder="1" applyAlignment="1">
      <alignment horizontal="center"/>
    </xf>
    <xf numFmtId="0" fontId="2" fillId="2" borderId="80" xfId="0" applyFont="1" applyFill="1" applyBorder="1" applyAlignment="1">
      <alignment horizontal="center"/>
    </xf>
    <xf numFmtId="10" fontId="0" fillId="10" borderId="4" xfId="0" applyNumberFormat="1" applyFill="1" applyBorder="1" applyAlignment="1" applyProtection="1">
      <alignment horizontal="center" vertical="center"/>
      <protection hidden="1"/>
    </xf>
    <xf numFmtId="0" fontId="0" fillId="10" borderId="4" xfId="0" applyFill="1" applyBorder="1" applyAlignment="1" applyProtection="1">
      <alignment horizontal="center" vertical="center"/>
      <protection hidden="1"/>
    </xf>
    <xf numFmtId="180" fontId="0" fillId="10" borderId="4" xfId="0" applyNumberFormat="1" applyFill="1" applyBorder="1" applyAlignment="1" applyProtection="1">
      <alignment horizontal="center" vertical="center"/>
      <protection hidden="1"/>
    </xf>
    <xf numFmtId="0" fontId="0" fillId="5" borderId="4" xfId="0" applyFill="1" applyBorder="1" applyAlignment="1" applyProtection="1">
      <alignment horizontal="center" vertical="center"/>
      <protection hidden="1"/>
    </xf>
    <xf numFmtId="180" fontId="0" fillId="5" borderId="4" xfId="0" applyNumberFormat="1" applyFill="1" applyBorder="1" applyAlignment="1" applyProtection="1">
      <alignment horizontal="center" vertical="center"/>
      <protection hidden="1"/>
    </xf>
    <xf numFmtId="10" fontId="0" fillId="5" borderId="4" xfId="0" applyNumberFormat="1" applyFill="1" applyBorder="1" applyAlignment="1" applyProtection="1">
      <alignment horizontal="center" vertical="center"/>
      <protection hidden="1"/>
    </xf>
    <xf numFmtId="0" fontId="52" fillId="7" borderId="4" xfId="0" applyFont="1" applyFill="1" applyBorder="1" applyAlignment="1" applyProtection="1">
      <alignment vertical="center"/>
      <protection hidden="1"/>
    </xf>
    <xf numFmtId="10" fontId="0" fillId="28" borderId="4" xfId="0" applyNumberFormat="1" applyFill="1" applyBorder="1" applyAlignment="1" applyProtection="1">
      <alignment horizontal="center" vertical="center"/>
      <protection hidden="1"/>
    </xf>
    <xf numFmtId="0" fontId="0" fillId="0" borderId="0" xfId="0" quotePrefix="1" applyProtection="1">
      <protection hidden="1"/>
    </xf>
    <xf numFmtId="0" fontId="0" fillId="0" borderId="4" xfId="0" quotePrefix="1" applyBorder="1"/>
    <xf numFmtId="0" fontId="0" fillId="0" borderId="0" xfId="0" quotePrefix="1" applyAlignment="1" applyProtection="1">
      <alignment wrapText="1"/>
      <protection hidden="1"/>
    </xf>
    <xf numFmtId="0" fontId="46" fillId="0" borderId="48" xfId="0" applyFont="1" applyBorder="1" applyAlignment="1" applyProtection="1">
      <alignment vertical="center"/>
      <protection hidden="1"/>
    </xf>
    <xf numFmtId="0" fontId="50" fillId="0" borderId="49" xfId="0" applyFont="1" applyBorder="1" applyAlignment="1" applyProtection="1">
      <alignment vertical="center"/>
      <protection hidden="1"/>
    </xf>
    <xf numFmtId="0" fontId="50" fillId="0" borderId="51" xfId="0" applyFont="1" applyBorder="1" applyAlignment="1" applyProtection="1">
      <alignment vertical="center"/>
      <protection hidden="1"/>
    </xf>
    <xf numFmtId="0" fontId="46" fillId="0" borderId="53" xfId="0" applyFont="1" applyBorder="1" applyAlignment="1" applyProtection="1">
      <alignment vertical="center"/>
      <protection hidden="1"/>
    </xf>
    <xf numFmtId="0" fontId="50" fillId="0" borderId="46" xfId="0" applyFont="1" applyBorder="1" applyAlignment="1" applyProtection="1">
      <alignment vertical="center"/>
      <protection hidden="1"/>
    </xf>
    <xf numFmtId="0" fontId="0" fillId="29" borderId="4" xfId="0" applyFill="1" applyBorder="1" applyAlignment="1" applyProtection="1">
      <alignment horizontal="center" vertical="center"/>
      <protection hidden="1"/>
    </xf>
    <xf numFmtId="180" fontId="0" fillId="29" borderId="4" xfId="0" applyNumberFormat="1" applyFill="1" applyBorder="1" applyAlignment="1" applyProtection="1">
      <alignment horizontal="center" vertical="center"/>
      <protection hidden="1"/>
    </xf>
    <xf numFmtId="10" fontId="0" fillId="29" borderId="4" xfId="0" applyNumberFormat="1" applyFill="1" applyBorder="1" applyAlignment="1" applyProtection="1">
      <alignment horizontal="center" vertical="center"/>
      <protection hidden="1"/>
    </xf>
    <xf numFmtId="0" fontId="0" fillId="28" borderId="4" xfId="0" applyFill="1" applyBorder="1" applyAlignment="1" applyProtection="1">
      <alignment horizontal="center" vertical="center"/>
      <protection hidden="1"/>
    </xf>
    <xf numFmtId="180" fontId="0" fillId="28" borderId="4" xfId="0" applyNumberFormat="1" applyFill="1" applyBorder="1" applyAlignment="1" applyProtection="1">
      <alignment horizontal="center" vertical="center"/>
      <protection hidden="1"/>
    </xf>
    <xf numFmtId="180" fontId="9" fillId="28" borderId="4" xfId="0" applyNumberFormat="1" applyFont="1" applyFill="1" applyBorder="1" applyAlignment="1" applyProtection="1">
      <alignment horizontal="center" vertical="center"/>
      <protection hidden="1"/>
    </xf>
    <xf numFmtId="1" fontId="46" fillId="0" borderId="0" xfId="0" applyNumberFormat="1" applyFont="1" applyAlignment="1" applyProtection="1">
      <alignment vertical="center"/>
      <protection hidden="1"/>
    </xf>
    <xf numFmtId="0" fontId="0" fillId="14" borderId="4" xfId="0" applyFill="1" applyBorder="1" applyAlignment="1" applyProtection="1">
      <alignment horizontal="center" vertical="center"/>
      <protection hidden="1"/>
    </xf>
    <xf numFmtId="0" fontId="0" fillId="6" borderId="4" xfId="0" applyFill="1" applyBorder="1" applyAlignment="1" applyProtection="1">
      <alignment horizontal="center" vertical="center"/>
      <protection hidden="1"/>
    </xf>
    <xf numFmtId="180" fontId="0" fillId="6" borderId="4" xfId="0" applyNumberFormat="1" applyFill="1" applyBorder="1" applyAlignment="1" applyProtection="1">
      <alignment horizontal="center" vertical="center"/>
      <protection hidden="1"/>
    </xf>
    <xf numFmtId="10" fontId="0" fillId="6" borderId="4" xfId="0" applyNumberFormat="1" applyFill="1" applyBorder="1" applyAlignment="1" applyProtection="1">
      <alignment horizontal="center" vertical="center"/>
      <protection hidden="1"/>
    </xf>
    <xf numFmtId="0" fontId="64" fillId="0" borderId="0" xfId="0" applyFont="1" applyAlignment="1" applyProtection="1">
      <alignment vertical="center"/>
      <protection hidden="1"/>
    </xf>
    <xf numFmtId="168" fontId="64" fillId="0" borderId="0" xfId="0" applyNumberFormat="1" applyFont="1" applyAlignment="1" applyProtection="1">
      <alignment vertical="center"/>
      <protection hidden="1"/>
    </xf>
    <xf numFmtId="0" fontId="64" fillId="0" borderId="0" xfId="0" applyFont="1" applyProtection="1">
      <protection hidden="1"/>
    </xf>
    <xf numFmtId="170" fontId="64" fillId="0" borderId="0" xfId="0" applyNumberFormat="1" applyFont="1" applyAlignment="1" applyProtection="1">
      <alignment vertical="center"/>
      <protection hidden="1"/>
    </xf>
    <xf numFmtId="170" fontId="65" fillId="0" borderId="0" xfId="0" applyNumberFormat="1" applyFont="1" applyAlignment="1" applyProtection="1">
      <alignment horizontal="right" vertical="center"/>
      <protection hidden="1"/>
    </xf>
    <xf numFmtId="0" fontId="65" fillId="0" borderId="0" xfId="0" applyFont="1" applyAlignment="1" applyProtection="1">
      <alignment horizontal="center" vertical="center"/>
      <protection hidden="1"/>
    </xf>
    <xf numFmtId="0" fontId="65" fillId="0" borderId="0" xfId="0" applyFont="1" applyAlignment="1" applyProtection="1">
      <alignment vertical="center"/>
      <protection hidden="1"/>
    </xf>
    <xf numFmtId="0" fontId="66" fillId="0" borderId="0" xfId="0" applyFont="1" applyAlignment="1" applyProtection="1">
      <alignment vertical="center"/>
      <protection hidden="1"/>
    </xf>
    <xf numFmtId="0" fontId="65" fillId="0" borderId="0" xfId="0" applyFont="1" applyAlignment="1" applyProtection="1">
      <alignment horizontal="left" vertical="center"/>
      <protection hidden="1"/>
    </xf>
    <xf numFmtId="0" fontId="64" fillId="0" borderId="0" xfId="0" applyFont="1" applyAlignment="1" applyProtection="1">
      <alignment horizontal="left" vertical="center"/>
      <protection hidden="1"/>
    </xf>
    <xf numFmtId="170" fontId="65" fillId="0" borderId="0" xfId="0" applyNumberFormat="1" applyFont="1" applyAlignment="1" applyProtection="1">
      <alignment horizontal="center" vertical="center"/>
      <protection hidden="1"/>
    </xf>
    <xf numFmtId="170" fontId="64" fillId="0" borderId="0" xfId="0" applyNumberFormat="1" applyFont="1" applyAlignment="1" applyProtection="1">
      <alignment horizontal="center" vertical="center"/>
      <protection hidden="1"/>
    </xf>
    <xf numFmtId="9" fontId="64" fillId="0" borderId="0" xfId="3" applyFont="1" applyFill="1" applyBorder="1" applyAlignment="1" applyProtection="1">
      <alignment vertical="center"/>
      <protection hidden="1"/>
    </xf>
    <xf numFmtId="0" fontId="64" fillId="0" borderId="0" xfId="0" applyFont="1" applyAlignment="1" applyProtection="1">
      <alignment horizontal="right" vertical="center"/>
      <protection hidden="1"/>
    </xf>
    <xf numFmtId="10" fontId="65" fillId="0" borderId="0" xfId="0" applyNumberFormat="1" applyFont="1" applyAlignment="1" applyProtection="1">
      <alignment horizontal="center" vertical="center"/>
      <protection hidden="1"/>
    </xf>
    <xf numFmtId="0" fontId="68" fillId="13" borderId="0" xfId="0" applyFont="1" applyFill="1" applyAlignment="1" applyProtection="1">
      <alignment vertical="center"/>
      <protection hidden="1"/>
    </xf>
    <xf numFmtId="9" fontId="68" fillId="13" borderId="0" xfId="3" applyFont="1" applyFill="1" applyBorder="1" applyAlignment="1" applyProtection="1">
      <alignment horizontal="center" vertical="center"/>
      <protection hidden="1"/>
    </xf>
    <xf numFmtId="175" fontId="65" fillId="0" borderId="0" xfId="0" applyNumberFormat="1" applyFont="1" applyAlignment="1" applyProtection="1">
      <alignment horizontal="center" vertical="center"/>
      <protection hidden="1"/>
    </xf>
    <xf numFmtId="0" fontId="68" fillId="0" borderId="0" xfId="0" applyFont="1" applyAlignment="1" applyProtection="1">
      <alignment vertical="center"/>
      <protection hidden="1"/>
    </xf>
    <xf numFmtId="9" fontId="65" fillId="3" borderId="1" xfId="3" applyFont="1" applyFill="1" applyBorder="1" applyAlignment="1" applyProtection="1">
      <alignment horizontal="center" vertical="center" wrapText="1"/>
      <protection hidden="1"/>
    </xf>
    <xf numFmtId="9" fontId="65" fillId="0" borderId="1" xfId="3" applyFont="1" applyFill="1" applyBorder="1" applyAlignment="1" applyProtection="1">
      <alignment horizontal="center" vertical="center" wrapText="1"/>
      <protection hidden="1"/>
    </xf>
    <xf numFmtId="9" fontId="65" fillId="3" borderId="24" xfId="3" applyFont="1" applyFill="1" applyBorder="1" applyAlignment="1" applyProtection="1">
      <alignment horizontal="center" vertical="center" wrapText="1"/>
      <protection hidden="1"/>
    </xf>
    <xf numFmtId="0" fontId="67" fillId="0" borderId="0" xfId="0" applyFont="1" applyAlignment="1" applyProtection="1">
      <alignment horizontal="center" vertical="center" wrapText="1"/>
      <protection hidden="1"/>
    </xf>
    <xf numFmtId="169" fontId="64" fillId="0" borderId="0" xfId="4" applyNumberFormat="1" applyFont="1" applyAlignment="1" applyProtection="1">
      <alignment vertical="center"/>
      <protection hidden="1"/>
    </xf>
    <xf numFmtId="169" fontId="64" fillId="0" borderId="0" xfId="4" applyNumberFormat="1" applyFont="1" applyFill="1" applyBorder="1" applyAlignment="1" applyProtection="1">
      <alignment vertical="center"/>
      <protection hidden="1"/>
    </xf>
    <xf numFmtId="170" fontId="64" fillId="0" borderId="0" xfId="2" applyNumberFormat="1" applyFont="1" applyAlignment="1" applyProtection="1">
      <alignment horizontal="center" vertical="center"/>
      <protection hidden="1"/>
    </xf>
    <xf numFmtId="178" fontId="64" fillId="0" borderId="0" xfId="0" applyNumberFormat="1" applyFont="1" applyProtection="1">
      <protection hidden="1"/>
    </xf>
    <xf numFmtId="170" fontId="64" fillId="0" borderId="0" xfId="0" applyNumberFormat="1" applyFont="1" applyProtection="1">
      <protection hidden="1"/>
    </xf>
    <xf numFmtId="176" fontId="64" fillId="0" borderId="0" xfId="1" applyNumberFormat="1" applyFont="1" applyFill="1" applyBorder="1" applyAlignment="1" applyProtection="1">
      <alignment horizontal="center" vertical="center" wrapText="1"/>
      <protection hidden="1"/>
    </xf>
    <xf numFmtId="170" fontId="64" fillId="0" borderId="0" xfId="4" applyNumberFormat="1" applyFont="1" applyFill="1" applyAlignment="1" applyProtection="1">
      <alignment horizontal="center" vertical="center"/>
      <protection hidden="1"/>
    </xf>
    <xf numFmtId="170" fontId="67" fillId="0" borderId="0" xfId="4" applyNumberFormat="1" applyFont="1" applyFill="1" applyBorder="1" applyAlignment="1" applyProtection="1">
      <alignment horizontal="center" vertical="center"/>
      <protection hidden="1"/>
    </xf>
    <xf numFmtId="170" fontId="64" fillId="0" borderId="0" xfId="4" applyNumberFormat="1" applyFont="1" applyFill="1" applyBorder="1" applyAlignment="1" applyProtection="1">
      <alignment horizontal="center" vertical="center"/>
      <protection hidden="1"/>
    </xf>
    <xf numFmtId="4" fontId="64" fillId="0" borderId="0" xfId="0" applyNumberFormat="1" applyFont="1" applyAlignment="1" applyProtection="1">
      <alignment vertical="center"/>
      <protection hidden="1"/>
    </xf>
    <xf numFmtId="0" fontId="66" fillId="2" borderId="0" xfId="0" applyFont="1" applyFill="1" applyAlignment="1" applyProtection="1">
      <alignment vertical="center"/>
      <protection hidden="1"/>
    </xf>
    <xf numFmtId="166" fontId="69" fillId="2" borderId="0" xfId="0" applyNumberFormat="1" applyFont="1" applyFill="1" applyAlignment="1" applyProtection="1">
      <alignment vertical="center"/>
      <protection hidden="1"/>
    </xf>
    <xf numFmtId="166" fontId="66" fillId="2" borderId="0" xfId="0" applyNumberFormat="1" applyFont="1" applyFill="1" applyAlignment="1" applyProtection="1">
      <alignment vertical="center"/>
      <protection hidden="1"/>
    </xf>
    <xf numFmtId="166" fontId="64" fillId="0" borderId="0" xfId="0" applyNumberFormat="1" applyFont="1" applyAlignment="1" applyProtection="1">
      <alignment vertical="center"/>
      <protection hidden="1"/>
    </xf>
    <xf numFmtId="0" fontId="70" fillId="0" borderId="0" xfId="0" applyFont="1" applyAlignment="1" applyProtection="1">
      <alignment vertical="center"/>
      <protection hidden="1"/>
    </xf>
    <xf numFmtId="10" fontId="64" fillId="0" borderId="0" xfId="0" applyNumberFormat="1" applyFont="1" applyAlignment="1" applyProtection="1">
      <alignment horizontal="left" vertical="center"/>
      <protection hidden="1"/>
    </xf>
    <xf numFmtId="170" fontId="64" fillId="0" borderId="0" xfId="0" applyNumberFormat="1" applyFont="1" applyAlignment="1" applyProtection="1">
      <alignment horizontal="left" vertical="center"/>
      <protection hidden="1"/>
    </xf>
    <xf numFmtId="0" fontId="65" fillId="0" borderId="0" xfId="0" applyFont="1" applyAlignment="1" applyProtection="1">
      <alignment horizontal="right"/>
      <protection hidden="1"/>
    </xf>
    <xf numFmtId="0" fontId="0" fillId="13" borderId="0" xfId="0" applyFill="1" applyAlignment="1" applyProtection="1">
      <alignment vertical="center"/>
      <protection hidden="1"/>
    </xf>
    <xf numFmtId="0" fontId="64" fillId="13" borderId="0" xfId="0" applyFont="1" applyFill="1" applyAlignment="1" applyProtection="1">
      <alignment vertical="center"/>
      <protection hidden="1"/>
    </xf>
    <xf numFmtId="0" fontId="65" fillId="13" borderId="0" xfId="0" applyFont="1" applyFill="1" applyAlignment="1" applyProtection="1">
      <alignment vertical="center"/>
      <protection hidden="1"/>
    </xf>
    <xf numFmtId="0" fontId="65" fillId="13" borderId="0" xfId="0" applyFont="1" applyFill="1" applyAlignment="1" applyProtection="1">
      <alignment horizontal="left" vertical="center"/>
      <protection hidden="1"/>
    </xf>
    <xf numFmtId="0" fontId="64" fillId="13" borderId="0" xfId="0" applyFont="1" applyFill="1" applyAlignment="1" applyProtection="1">
      <alignment horizontal="left" vertical="center"/>
      <protection hidden="1"/>
    </xf>
    <xf numFmtId="169" fontId="64" fillId="13" borderId="0" xfId="4" applyNumberFormat="1" applyFont="1" applyFill="1" applyBorder="1" applyAlignment="1" applyProtection="1">
      <alignment vertical="center"/>
      <protection hidden="1"/>
    </xf>
    <xf numFmtId="170" fontId="64" fillId="13" borderId="0" xfId="4" applyNumberFormat="1" applyFont="1" applyFill="1" applyAlignment="1" applyProtection="1">
      <alignment horizontal="center" vertical="center"/>
      <protection hidden="1"/>
    </xf>
    <xf numFmtId="166" fontId="69" fillId="13" borderId="0" xfId="0" applyNumberFormat="1" applyFont="1" applyFill="1" applyAlignment="1" applyProtection="1">
      <alignment vertical="center"/>
      <protection hidden="1"/>
    </xf>
    <xf numFmtId="14" fontId="67" fillId="0" borderId="0" xfId="0" applyNumberFormat="1" applyFont="1" applyAlignment="1" applyProtection="1">
      <alignment horizontal="center" vertical="center" wrapText="1"/>
      <protection hidden="1"/>
    </xf>
    <xf numFmtId="0" fontId="64" fillId="13" borderId="0" xfId="4" applyNumberFormat="1" applyFont="1" applyFill="1" applyAlignment="1" applyProtection="1">
      <alignment horizontal="center" vertical="center"/>
      <protection hidden="1"/>
    </xf>
    <xf numFmtId="14" fontId="64" fillId="0" borderId="0" xfId="0" applyNumberFormat="1" applyFont="1" applyAlignment="1" applyProtection="1">
      <alignment vertical="center"/>
      <protection hidden="1"/>
    </xf>
    <xf numFmtId="166" fontId="66" fillId="0" borderId="0" xfId="0" applyNumberFormat="1" applyFont="1" applyAlignment="1" applyProtection="1">
      <alignment vertical="center"/>
      <protection hidden="1"/>
    </xf>
    <xf numFmtId="0" fontId="64" fillId="0" borderId="36" xfId="0" applyFont="1" applyBorder="1" applyAlignment="1" applyProtection="1">
      <alignment vertical="center"/>
      <protection hidden="1"/>
    </xf>
    <xf numFmtId="0" fontId="3" fillId="0" borderId="38" xfId="0" applyFont="1" applyBorder="1" applyAlignment="1">
      <alignment horizontal="center" vertical="top"/>
    </xf>
    <xf numFmtId="14" fontId="0" fillId="0" borderId="0" xfId="0" applyNumberFormat="1"/>
    <xf numFmtId="14" fontId="3" fillId="0" borderId="38" xfId="0" applyNumberFormat="1" applyFont="1" applyBorder="1" applyAlignment="1">
      <alignment horizontal="center" vertical="top"/>
    </xf>
    <xf numFmtId="192" fontId="0" fillId="0" borderId="0" xfId="0" quotePrefix="1" applyNumberFormat="1" applyAlignment="1">
      <alignment vertical="center" wrapText="1"/>
    </xf>
    <xf numFmtId="14" fontId="23" fillId="7" borderId="0" xfId="0" applyNumberFormat="1" applyFont="1" applyFill="1" applyAlignment="1">
      <alignment horizontal="center" vertical="center"/>
    </xf>
    <xf numFmtId="0" fontId="65" fillId="0" borderId="0" xfId="3" applyNumberFormat="1" applyFont="1" applyAlignment="1" applyProtection="1">
      <alignment vertical="center"/>
      <protection hidden="1"/>
    </xf>
    <xf numFmtId="10" fontId="65" fillId="0" borderId="0" xfId="3" applyNumberFormat="1" applyFont="1" applyAlignment="1" applyProtection="1">
      <alignment horizontal="center" vertical="center"/>
      <protection hidden="1"/>
    </xf>
    <xf numFmtId="9" fontId="65" fillId="0" borderId="4" xfId="3" applyFont="1" applyFill="1" applyBorder="1" applyAlignment="1" applyProtection="1">
      <alignment horizontal="center" vertical="center" wrapText="1"/>
      <protection hidden="1"/>
    </xf>
    <xf numFmtId="9" fontId="65" fillId="13" borderId="4" xfId="3" applyFont="1" applyFill="1" applyBorder="1" applyAlignment="1" applyProtection="1">
      <alignment horizontal="center" vertical="center" wrapText="1"/>
      <protection hidden="1"/>
    </xf>
    <xf numFmtId="0" fontId="64" fillId="0" borderId="4" xfId="0" applyFont="1" applyBorder="1" applyAlignment="1" applyProtection="1">
      <alignment horizontal="center" vertical="center"/>
      <protection hidden="1"/>
    </xf>
    <xf numFmtId="0" fontId="64" fillId="13" borderId="4" xfId="4" applyNumberFormat="1" applyFont="1" applyFill="1" applyBorder="1" applyAlignment="1" applyProtection="1">
      <alignment horizontal="center" vertical="center"/>
      <protection hidden="1"/>
    </xf>
    <xf numFmtId="172" fontId="65" fillId="0" borderId="4" xfId="0" applyNumberFormat="1" applyFont="1" applyBorder="1" applyAlignment="1" applyProtection="1">
      <alignment horizontal="center" vertical="center"/>
      <protection hidden="1"/>
    </xf>
    <xf numFmtId="0" fontId="65" fillId="0" borderId="4" xfId="0" applyFont="1" applyBorder="1" applyAlignment="1" applyProtection="1">
      <alignment horizontal="center" vertical="center"/>
      <protection hidden="1"/>
    </xf>
    <xf numFmtId="0" fontId="64" fillId="0" borderId="4" xfId="0" applyFont="1" applyBorder="1" applyAlignment="1" applyProtection="1">
      <alignment horizontal="left" vertical="center"/>
      <protection hidden="1"/>
    </xf>
    <xf numFmtId="0" fontId="65" fillId="0" borderId="0" xfId="0" applyFont="1" applyAlignment="1" applyProtection="1">
      <alignment vertical="center"/>
      <protection locked="0" hidden="1"/>
    </xf>
    <xf numFmtId="192" fontId="0" fillId="0" borderId="0" xfId="0" applyNumberFormat="1" applyAlignment="1">
      <alignment horizontal="center" vertical="center"/>
    </xf>
    <xf numFmtId="0" fontId="46" fillId="0" borderId="0" xfId="0" quotePrefix="1" applyFont="1" applyAlignment="1" applyProtection="1">
      <alignment vertical="center"/>
      <protection hidden="1"/>
    </xf>
    <xf numFmtId="0" fontId="46" fillId="19" borderId="4" xfId="0" applyFont="1" applyFill="1" applyBorder="1" applyAlignment="1" applyProtection="1">
      <alignment vertical="center"/>
      <protection hidden="1"/>
    </xf>
    <xf numFmtId="0" fontId="3" fillId="19" borderId="4" xfId="0" applyFont="1" applyFill="1" applyBorder="1" applyAlignment="1" applyProtection="1">
      <alignment horizontal="center"/>
      <protection hidden="1"/>
    </xf>
    <xf numFmtId="170" fontId="48" fillId="0" borderId="4" xfId="0" applyNumberFormat="1" applyFont="1" applyBorder="1" applyAlignment="1" applyProtection="1">
      <alignment horizontal="center" vertical="center"/>
      <protection hidden="1"/>
    </xf>
    <xf numFmtId="193" fontId="46" fillId="0" borderId="0" xfId="3" applyNumberFormat="1" applyFont="1" applyAlignment="1" applyProtection="1">
      <alignment vertical="center"/>
      <protection hidden="1"/>
    </xf>
    <xf numFmtId="0" fontId="7" fillId="0" borderId="0" xfId="0" applyFont="1" applyAlignment="1" applyProtection="1">
      <alignment horizontal="right" vertical="center" wrapText="1"/>
      <protection hidden="1"/>
    </xf>
    <xf numFmtId="0" fontId="0" fillId="0" borderId="81" xfId="0" applyBorder="1" applyAlignment="1" applyProtection="1">
      <alignment horizontal="center" vertical="center"/>
      <protection hidden="1"/>
    </xf>
    <xf numFmtId="0" fontId="46" fillId="0" borderId="0" xfId="0" applyFont="1" applyAlignment="1" applyProtection="1">
      <alignment horizontal="justify" vertical="center" wrapText="1"/>
      <protection hidden="1"/>
    </xf>
    <xf numFmtId="169" fontId="51" fillId="13" borderId="0" xfId="0" applyNumberFormat="1" applyFont="1" applyFill="1" applyAlignment="1" applyProtection="1">
      <alignment horizontal="center" vertical="center"/>
      <protection hidden="1"/>
    </xf>
    <xf numFmtId="0" fontId="46" fillId="5" borderId="5" xfId="0" applyFont="1" applyFill="1" applyBorder="1" applyAlignment="1" applyProtection="1">
      <alignment horizontal="center" vertical="center"/>
      <protection locked="0" hidden="1"/>
    </xf>
    <xf numFmtId="0" fontId="46" fillId="5" borderId="2" xfId="0" applyFont="1" applyFill="1" applyBorder="1" applyAlignment="1" applyProtection="1">
      <alignment horizontal="center" vertical="center"/>
      <protection locked="0" hidden="1"/>
    </xf>
    <xf numFmtId="0" fontId="46" fillId="5" borderId="6" xfId="0" applyFont="1" applyFill="1" applyBorder="1" applyAlignment="1" applyProtection="1">
      <alignment horizontal="center" vertical="center"/>
      <protection locked="0" hidden="1"/>
    </xf>
    <xf numFmtId="0" fontId="49" fillId="0" borderId="0" xfId="6" applyFont="1" applyAlignment="1" applyProtection="1">
      <alignment horizontal="right" vertical="center"/>
      <protection hidden="1"/>
    </xf>
    <xf numFmtId="0" fontId="46" fillId="0" borderId="0" xfId="0" applyFont="1" applyAlignment="1" applyProtection="1">
      <alignment horizontal="right" vertical="center"/>
      <protection hidden="1"/>
    </xf>
    <xf numFmtId="168" fontId="46" fillId="0" borderId="0" xfId="0" applyNumberFormat="1" applyFont="1" applyAlignment="1" applyProtection="1">
      <alignment horizontal="center" vertical="center"/>
      <protection hidden="1"/>
    </xf>
    <xf numFmtId="170" fontId="46" fillId="0" borderId="5" xfId="0" applyNumberFormat="1" applyFont="1" applyBorder="1" applyAlignment="1" applyProtection="1">
      <alignment horizontal="center" vertical="center"/>
      <protection locked="0"/>
    </xf>
    <xf numFmtId="170" fontId="46" fillId="0" borderId="2" xfId="0" applyNumberFormat="1" applyFont="1" applyBorder="1" applyAlignment="1" applyProtection="1">
      <alignment horizontal="center" vertical="center"/>
      <protection locked="0"/>
    </xf>
    <xf numFmtId="170" fontId="46" fillId="0" borderId="6" xfId="0" applyNumberFormat="1" applyFont="1" applyBorder="1" applyAlignment="1" applyProtection="1">
      <alignment horizontal="center" vertical="center"/>
      <protection locked="0"/>
    </xf>
    <xf numFmtId="170" fontId="46" fillId="0" borderId="8" xfId="0" applyNumberFormat="1" applyFont="1" applyBorder="1" applyAlignment="1" applyProtection="1">
      <alignment horizontal="center" vertical="center"/>
      <protection locked="0"/>
    </xf>
    <xf numFmtId="170" fontId="46" fillId="0" borderId="28" xfId="0" applyNumberFormat="1" applyFont="1" applyBorder="1" applyAlignment="1" applyProtection="1">
      <alignment horizontal="center" vertical="center"/>
      <protection locked="0"/>
    </xf>
    <xf numFmtId="0" fontId="46" fillId="0" borderId="58" xfId="0" applyFont="1" applyBorder="1" applyAlignment="1" applyProtection="1">
      <alignment horizontal="right" vertical="center"/>
      <protection hidden="1"/>
    </xf>
    <xf numFmtId="0" fontId="46" fillId="0" borderId="0" xfId="0" applyFont="1" applyAlignment="1" applyProtection="1">
      <alignment horizontal="center" vertical="center"/>
      <protection locked="0" hidden="1"/>
    </xf>
    <xf numFmtId="0" fontId="48" fillId="0" borderId="59" xfId="0" applyFont="1" applyBorder="1" applyAlignment="1" applyProtection="1">
      <alignment horizontal="center" vertical="center"/>
      <protection hidden="1"/>
    </xf>
    <xf numFmtId="0" fontId="48" fillId="0" borderId="60" xfId="0" applyFont="1" applyBorder="1" applyAlignment="1" applyProtection="1">
      <alignment horizontal="center" vertical="center"/>
      <protection hidden="1"/>
    </xf>
    <xf numFmtId="0" fontId="48" fillId="0" borderId="61" xfId="0" applyFont="1" applyBorder="1" applyAlignment="1" applyProtection="1">
      <alignment horizontal="center" vertical="center"/>
      <protection hidden="1"/>
    </xf>
    <xf numFmtId="0" fontId="46" fillId="0" borderId="5" xfId="0" applyFont="1" applyBorder="1" applyAlignment="1" applyProtection="1">
      <alignment horizontal="center" vertical="center"/>
      <protection locked="0" hidden="1"/>
    </xf>
    <xf numFmtId="0" fontId="46" fillId="0" borderId="2" xfId="0" applyFont="1" applyBorder="1" applyAlignment="1" applyProtection="1">
      <alignment horizontal="center" vertical="center"/>
      <protection locked="0" hidden="1"/>
    </xf>
    <xf numFmtId="0" fontId="46" fillId="0" borderId="6" xfId="0" applyFont="1" applyBorder="1" applyAlignment="1" applyProtection="1">
      <alignment horizontal="center" vertical="center"/>
      <protection locked="0" hidden="1"/>
    </xf>
    <xf numFmtId="10" fontId="46" fillId="5" borderId="5" xfId="0" applyNumberFormat="1" applyFont="1" applyFill="1" applyBorder="1" applyAlignment="1" applyProtection="1">
      <alignment horizontal="center" vertical="center"/>
      <protection locked="0" hidden="1"/>
    </xf>
    <xf numFmtId="10" fontId="46" fillId="5" borderId="2" xfId="0" applyNumberFormat="1" applyFont="1" applyFill="1" applyBorder="1" applyAlignment="1" applyProtection="1">
      <alignment horizontal="center" vertical="center"/>
      <protection locked="0" hidden="1"/>
    </xf>
    <xf numFmtId="10" fontId="46" fillId="5" borderId="6" xfId="0" applyNumberFormat="1" applyFont="1" applyFill="1" applyBorder="1" applyAlignment="1" applyProtection="1">
      <alignment horizontal="center" vertical="center"/>
      <protection locked="0" hidden="1"/>
    </xf>
    <xf numFmtId="170" fontId="46" fillId="5" borderId="5" xfId="0" applyNumberFormat="1" applyFont="1" applyFill="1" applyBorder="1" applyAlignment="1" applyProtection="1">
      <alignment horizontal="center" vertical="center"/>
      <protection locked="0"/>
    </xf>
    <xf numFmtId="170" fontId="46" fillId="5" borderId="2" xfId="0" applyNumberFormat="1" applyFont="1" applyFill="1" applyBorder="1" applyAlignment="1" applyProtection="1">
      <alignment horizontal="center" vertical="center"/>
      <protection locked="0"/>
    </xf>
    <xf numFmtId="170" fontId="46" fillId="5" borderId="6" xfId="0" applyNumberFormat="1" applyFont="1" applyFill="1" applyBorder="1" applyAlignment="1" applyProtection="1">
      <alignment horizontal="center" vertical="center"/>
      <protection locked="0"/>
    </xf>
    <xf numFmtId="169" fontId="46" fillId="0" borderId="0" xfId="4" applyNumberFormat="1" applyFont="1" applyFill="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46" fillId="0" borderId="58" xfId="0" applyFont="1" applyBorder="1" applyAlignment="1" applyProtection="1">
      <alignment horizontal="center" vertical="center"/>
      <protection hidden="1"/>
    </xf>
    <xf numFmtId="170" fontId="46" fillId="0" borderId="0" xfId="0" applyNumberFormat="1" applyFont="1" applyAlignment="1" applyProtection="1">
      <alignment horizontal="center" vertical="center"/>
      <protection hidden="1"/>
    </xf>
    <xf numFmtId="170" fontId="46" fillId="20" borderId="0" xfId="0" applyNumberFormat="1" applyFont="1" applyFill="1" applyAlignment="1" applyProtection="1">
      <alignment horizontal="center" vertical="center"/>
      <protection hidden="1"/>
    </xf>
    <xf numFmtId="170" fontId="52" fillId="20" borderId="0" xfId="0" applyNumberFormat="1" applyFont="1" applyFill="1" applyAlignment="1" applyProtection="1">
      <alignment horizontal="center" vertical="center"/>
      <protection hidden="1"/>
    </xf>
    <xf numFmtId="170" fontId="46" fillId="0" borderId="0" xfId="4" applyNumberFormat="1" applyFont="1" applyFill="1" applyBorder="1" applyAlignment="1" applyProtection="1">
      <alignment horizontal="center" vertical="center"/>
      <protection hidden="1"/>
    </xf>
    <xf numFmtId="170" fontId="46" fillId="20" borderId="0" xfId="4" applyNumberFormat="1" applyFont="1" applyFill="1" applyBorder="1" applyAlignment="1" applyProtection="1">
      <alignment horizontal="center" vertical="center"/>
      <protection hidden="1"/>
    </xf>
    <xf numFmtId="170" fontId="52" fillId="20" borderId="0" xfId="4" applyNumberFormat="1" applyFont="1" applyFill="1" applyBorder="1" applyAlignment="1" applyProtection="1">
      <alignment horizontal="center" vertical="center"/>
      <protection hidden="1"/>
    </xf>
    <xf numFmtId="169" fontId="49" fillId="0" borderId="0" xfId="4" applyNumberFormat="1" applyFont="1" applyFill="1" applyBorder="1" applyAlignment="1" applyProtection="1">
      <alignment horizontal="center" vertical="center"/>
      <protection hidden="1"/>
    </xf>
    <xf numFmtId="169" fontId="46" fillId="0" borderId="0" xfId="4" applyNumberFormat="1" applyFont="1" applyFill="1" applyBorder="1" applyAlignment="1" applyProtection="1">
      <alignment horizontal="center" vertical="center"/>
      <protection locked="0" hidden="1"/>
    </xf>
    <xf numFmtId="169" fontId="46" fillId="0" borderId="0" xfId="0" applyNumberFormat="1" applyFont="1" applyAlignment="1" applyProtection="1">
      <alignment horizontal="center" vertical="center"/>
      <protection hidden="1"/>
    </xf>
    <xf numFmtId="169" fontId="46" fillId="0" borderId="0" xfId="4" applyNumberFormat="1" applyFont="1" applyFill="1" applyAlignment="1" applyProtection="1">
      <alignment horizontal="center" vertical="center"/>
      <protection hidden="1"/>
    </xf>
    <xf numFmtId="3" fontId="51" fillId="13" borderId="0" xfId="0" applyNumberFormat="1" applyFont="1" applyFill="1" applyAlignment="1" applyProtection="1">
      <alignment horizontal="center" vertical="center"/>
      <protection hidden="1"/>
    </xf>
    <xf numFmtId="0" fontId="48" fillId="0" borderId="26" xfId="0" applyFont="1" applyBorder="1" applyAlignment="1" applyProtection="1">
      <alignment horizontal="center" vertical="center"/>
      <protection hidden="1"/>
    </xf>
    <xf numFmtId="166" fontId="48" fillId="0" borderId="0" xfId="0" applyNumberFormat="1" applyFont="1" applyAlignment="1" applyProtection="1">
      <alignment horizontal="center" vertical="center"/>
      <protection hidden="1"/>
    </xf>
    <xf numFmtId="0" fontId="51" fillId="13" borderId="0" xfId="0" applyFont="1" applyFill="1" applyAlignment="1" applyProtection="1">
      <alignment horizontal="center" vertical="center"/>
      <protection hidden="1"/>
    </xf>
    <xf numFmtId="170" fontId="48" fillId="0" borderId="70" xfId="3" applyNumberFormat="1" applyFont="1" applyFill="1" applyBorder="1" applyAlignment="1" applyProtection="1">
      <alignment horizontal="center" vertical="center"/>
      <protection hidden="1"/>
    </xf>
    <xf numFmtId="170" fontId="48" fillId="0" borderId="71" xfId="3" applyNumberFormat="1" applyFont="1" applyFill="1" applyBorder="1" applyAlignment="1" applyProtection="1">
      <alignment horizontal="center" vertical="center"/>
      <protection hidden="1"/>
    </xf>
    <xf numFmtId="0" fontId="51" fillId="0" borderId="0" xfId="0" applyFont="1" applyAlignment="1" applyProtection="1">
      <alignment horizontal="center" vertical="center"/>
      <protection hidden="1"/>
    </xf>
    <xf numFmtId="170" fontId="51" fillId="0" borderId="0" xfId="0" applyNumberFormat="1" applyFont="1" applyAlignment="1" applyProtection="1">
      <alignment horizontal="center" vertical="center"/>
      <protection hidden="1"/>
    </xf>
    <xf numFmtId="10" fontId="46" fillId="20" borderId="33" xfId="1" applyNumberFormat="1" applyFont="1" applyFill="1" applyBorder="1" applyAlignment="1" applyProtection="1">
      <alignment horizontal="center" vertical="center" wrapText="1"/>
      <protection hidden="1"/>
    </xf>
    <xf numFmtId="0" fontId="55" fillId="0" borderId="0" xfId="0" applyFont="1" applyAlignment="1" applyProtection="1">
      <alignment horizontal="center" vertical="center"/>
      <protection hidden="1"/>
    </xf>
    <xf numFmtId="170" fontId="48" fillId="0" borderId="19" xfId="0" applyNumberFormat="1" applyFont="1" applyBorder="1" applyAlignment="1" applyProtection="1">
      <alignment horizontal="center" vertical="center"/>
      <protection hidden="1"/>
    </xf>
    <xf numFmtId="0" fontId="48" fillId="0" borderId="0" xfId="0" applyFont="1" applyAlignment="1" applyProtection="1">
      <alignment horizontal="left" vertical="center"/>
      <protection hidden="1"/>
    </xf>
    <xf numFmtId="175" fontId="48" fillId="0" borderId="4" xfId="3" applyNumberFormat="1" applyFont="1" applyFill="1" applyBorder="1" applyAlignment="1" applyProtection="1">
      <alignment horizontal="center" vertical="center"/>
      <protection hidden="1"/>
    </xf>
    <xf numFmtId="175" fontId="48" fillId="0" borderId="69" xfId="3" applyNumberFormat="1" applyFont="1" applyFill="1" applyBorder="1" applyAlignment="1" applyProtection="1">
      <alignment horizontal="center" vertical="center"/>
      <protection hidden="1"/>
    </xf>
    <xf numFmtId="0" fontId="49" fillId="0" borderId="11" xfId="0" applyFont="1" applyBorder="1" applyAlignment="1" applyProtection="1">
      <alignment horizontal="left" vertical="center"/>
      <protection hidden="1"/>
    </xf>
    <xf numFmtId="0" fontId="49" fillId="0" borderId="0" xfId="0" applyFont="1" applyAlignment="1" applyProtection="1">
      <alignment horizontal="left" vertical="center"/>
      <protection hidden="1"/>
    </xf>
    <xf numFmtId="170" fontId="57" fillId="0" borderId="19" xfId="0" applyNumberFormat="1" applyFont="1" applyBorder="1" applyAlignment="1" applyProtection="1">
      <alignment horizontal="center" vertical="center"/>
      <protection hidden="1"/>
    </xf>
    <xf numFmtId="0" fontId="48" fillId="0" borderId="19" xfId="0" applyFont="1" applyBorder="1" applyAlignment="1" applyProtection="1">
      <alignment horizontal="center" vertical="center"/>
      <protection hidden="1"/>
    </xf>
    <xf numFmtId="169" fontId="55" fillId="0" borderId="0" xfId="0" applyNumberFormat="1" applyFont="1" applyAlignment="1" applyProtection="1">
      <alignment horizontal="center" vertical="center"/>
      <protection hidden="1"/>
    </xf>
    <xf numFmtId="0" fontId="51" fillId="0" borderId="0" xfId="0" applyFont="1" applyAlignment="1" applyProtection="1">
      <alignment horizontal="center"/>
      <protection hidden="1"/>
    </xf>
    <xf numFmtId="0" fontId="46" fillId="0" borderId="5" xfId="0" applyFont="1" applyBorder="1" applyAlignment="1" applyProtection="1">
      <alignment horizontal="center" vertical="center"/>
      <protection hidden="1"/>
    </xf>
    <xf numFmtId="0" fontId="46" fillId="0" borderId="2" xfId="0" applyFont="1" applyBorder="1" applyAlignment="1" applyProtection="1">
      <alignment horizontal="center" vertical="center"/>
      <protection hidden="1"/>
    </xf>
    <xf numFmtId="0" fontId="46" fillId="0" borderId="6" xfId="0" applyFont="1" applyBorder="1" applyAlignment="1" applyProtection="1">
      <alignment horizontal="center" vertical="center"/>
      <protection hidden="1"/>
    </xf>
    <xf numFmtId="0" fontId="46" fillId="0" borderId="5" xfId="0" applyFont="1" applyBorder="1" applyAlignment="1" applyProtection="1">
      <alignment horizontal="left" vertical="center"/>
      <protection hidden="1"/>
    </xf>
    <xf numFmtId="0" fontId="46" fillId="0" borderId="2" xfId="0" applyFont="1" applyBorder="1" applyAlignment="1" applyProtection="1">
      <alignment horizontal="left" vertical="center"/>
      <protection hidden="1"/>
    </xf>
    <xf numFmtId="0" fontId="46" fillId="0" borderId="6" xfId="0" applyFont="1" applyBorder="1" applyAlignment="1" applyProtection="1">
      <alignment horizontal="left" vertical="center"/>
      <protection hidden="1"/>
    </xf>
    <xf numFmtId="0" fontId="48" fillId="0" borderId="0" xfId="0" applyFont="1" applyAlignment="1" applyProtection="1">
      <alignment horizontal="right" vertical="center"/>
      <protection hidden="1"/>
    </xf>
    <xf numFmtId="169" fontId="46" fillId="0" borderId="0" xfId="0" applyNumberFormat="1" applyFont="1" applyAlignment="1" applyProtection="1">
      <alignment horizontal="center"/>
      <protection hidden="1"/>
    </xf>
    <xf numFmtId="169" fontId="46" fillId="0" borderId="4" xfId="3" applyNumberFormat="1" applyFont="1" applyFill="1" applyBorder="1" applyAlignment="1" applyProtection="1">
      <alignment horizontal="center" vertical="center"/>
      <protection hidden="1"/>
    </xf>
    <xf numFmtId="169" fontId="46" fillId="0" borderId="69" xfId="3" applyNumberFormat="1" applyFont="1" applyFill="1" applyBorder="1" applyAlignment="1" applyProtection="1">
      <alignment horizontal="center" vertical="center"/>
      <protection hidden="1"/>
    </xf>
    <xf numFmtId="3" fontId="46" fillId="0" borderId="33" xfId="0" applyNumberFormat="1" applyFont="1" applyBorder="1" applyAlignment="1" applyProtection="1">
      <alignment horizontal="center" vertical="center"/>
      <protection hidden="1"/>
    </xf>
    <xf numFmtId="170" fontId="46" fillId="0" borderId="4" xfId="3" applyNumberFormat="1" applyFont="1" applyFill="1" applyBorder="1" applyAlignment="1" applyProtection="1">
      <alignment horizontal="center" vertical="center"/>
      <protection hidden="1"/>
    </xf>
    <xf numFmtId="170" fontId="46" fillId="0" borderId="69" xfId="3" applyNumberFormat="1" applyFont="1" applyFill="1" applyBorder="1" applyAlignment="1" applyProtection="1">
      <alignment horizontal="center" vertical="center"/>
      <protection hidden="1"/>
    </xf>
    <xf numFmtId="0" fontId="53" fillId="0" borderId="11" xfId="0" applyFont="1" applyBorder="1" applyAlignment="1" applyProtection="1">
      <alignment horizontal="left" vertical="center"/>
      <protection hidden="1"/>
    </xf>
    <xf numFmtId="0" fontId="53" fillId="0" borderId="0" xfId="0" applyFont="1" applyAlignment="1" applyProtection="1">
      <alignment horizontal="left" vertical="center"/>
      <protection hidden="1"/>
    </xf>
    <xf numFmtId="0" fontId="49" fillId="0" borderId="12" xfId="0" applyFont="1" applyBorder="1" applyAlignment="1" applyProtection="1">
      <alignment horizontal="left" vertical="center"/>
      <protection hidden="1"/>
    </xf>
    <xf numFmtId="0" fontId="49" fillId="0" borderId="15" xfId="0" applyFont="1" applyBorder="1" applyAlignment="1" applyProtection="1">
      <alignment horizontal="left" vertical="center"/>
      <protection hidden="1"/>
    </xf>
    <xf numFmtId="170" fontId="48" fillId="0" borderId="4" xfId="3" applyNumberFormat="1" applyFont="1" applyFill="1" applyBorder="1" applyAlignment="1" applyProtection="1">
      <alignment horizontal="center" vertical="center"/>
      <protection hidden="1"/>
    </xf>
    <xf numFmtId="170" fontId="48" fillId="0" borderId="69" xfId="3" applyNumberFormat="1" applyFont="1" applyFill="1" applyBorder="1" applyAlignment="1" applyProtection="1">
      <alignment horizontal="center" vertical="center"/>
      <protection hidden="1"/>
    </xf>
    <xf numFmtId="0" fontId="48" fillId="0" borderId="0" xfId="0" applyFont="1" applyAlignment="1" applyProtection="1">
      <alignment horizontal="center" vertical="center"/>
      <protection hidden="1"/>
    </xf>
    <xf numFmtId="10" fontId="48" fillId="0" borderId="4" xfId="3" applyNumberFormat="1" applyFont="1" applyFill="1" applyBorder="1" applyAlignment="1" applyProtection="1">
      <alignment horizontal="center" vertical="center"/>
      <protection hidden="1"/>
    </xf>
    <xf numFmtId="10" fontId="48" fillId="0" borderId="69" xfId="3" applyNumberFormat="1" applyFont="1" applyFill="1" applyBorder="1" applyAlignment="1" applyProtection="1">
      <alignment horizontal="center" vertical="center"/>
      <protection hidden="1"/>
    </xf>
    <xf numFmtId="174" fontId="46" fillId="0" borderId="67" xfId="3" applyNumberFormat="1" applyFont="1" applyFill="1" applyBorder="1" applyAlignment="1" applyProtection="1">
      <alignment horizontal="center" vertical="center"/>
      <protection hidden="1"/>
    </xf>
    <xf numFmtId="174" fontId="46" fillId="0" borderId="68" xfId="3" applyNumberFormat="1" applyFont="1" applyFill="1" applyBorder="1" applyAlignment="1" applyProtection="1">
      <alignment horizontal="center" vertical="center"/>
      <protection hidden="1"/>
    </xf>
    <xf numFmtId="175" fontId="46" fillId="0" borderId="4" xfId="3" applyNumberFormat="1" applyFont="1" applyFill="1" applyBorder="1" applyAlignment="1" applyProtection="1">
      <alignment horizontal="center" vertical="center"/>
      <protection hidden="1"/>
    </xf>
    <xf numFmtId="0" fontId="49" fillId="5" borderId="11" xfId="0" applyFont="1" applyFill="1" applyBorder="1" applyAlignment="1" applyProtection="1">
      <alignment horizontal="left" vertical="center"/>
      <protection locked="0" hidden="1"/>
    </xf>
    <xf numFmtId="0" fontId="49" fillId="5" borderId="0" xfId="0" applyFont="1" applyFill="1" applyAlignment="1" applyProtection="1">
      <alignment horizontal="left" vertical="center"/>
      <protection locked="0" hidden="1"/>
    </xf>
    <xf numFmtId="170" fontId="48" fillId="0" borderId="67" xfId="3" applyNumberFormat="1" applyFont="1" applyFill="1" applyBorder="1" applyAlignment="1" applyProtection="1">
      <alignment horizontal="center" vertical="center"/>
      <protection hidden="1"/>
    </xf>
    <xf numFmtId="170" fontId="48" fillId="0" borderId="68" xfId="3" applyNumberFormat="1" applyFont="1" applyFill="1" applyBorder="1" applyAlignment="1" applyProtection="1">
      <alignment horizontal="center" vertical="center"/>
      <protection hidden="1"/>
    </xf>
    <xf numFmtId="175" fontId="48" fillId="0" borderId="67" xfId="3" applyNumberFormat="1" applyFont="1" applyFill="1" applyBorder="1" applyAlignment="1" applyProtection="1">
      <alignment horizontal="center" vertical="center"/>
      <protection hidden="1"/>
    </xf>
    <xf numFmtId="0" fontId="49" fillId="0" borderId="9" xfId="0" applyFont="1" applyBorder="1" applyAlignment="1" applyProtection="1">
      <alignment horizontal="left" vertical="center"/>
      <protection hidden="1"/>
    </xf>
    <xf numFmtId="0" fontId="49" fillId="0" borderId="10" xfId="0" applyFont="1" applyBorder="1" applyAlignment="1" applyProtection="1">
      <alignment horizontal="left" vertical="center"/>
      <protection hidden="1"/>
    </xf>
    <xf numFmtId="0" fontId="48" fillId="0" borderId="12" xfId="0" applyFont="1" applyBorder="1" applyAlignment="1" applyProtection="1">
      <alignment horizontal="left" vertical="center"/>
      <protection hidden="1"/>
    </xf>
    <xf numFmtId="0" fontId="48" fillId="0" borderId="15" xfId="0" applyFont="1" applyBorder="1" applyAlignment="1" applyProtection="1">
      <alignment horizontal="left" vertical="center"/>
      <protection hidden="1"/>
    </xf>
    <xf numFmtId="175" fontId="46" fillId="5" borderId="13" xfId="3" applyNumberFormat="1" applyFont="1" applyFill="1" applyBorder="1" applyAlignment="1" applyProtection="1">
      <alignment horizontal="center" vertical="center"/>
      <protection locked="0" hidden="1"/>
    </xf>
    <xf numFmtId="175" fontId="46" fillId="5" borderId="0" xfId="3" applyNumberFormat="1" applyFont="1" applyFill="1" applyBorder="1" applyAlignment="1" applyProtection="1">
      <alignment horizontal="center" vertical="center"/>
      <protection locked="0" hidden="1"/>
    </xf>
    <xf numFmtId="170" fontId="52" fillId="0" borderId="0" xfId="0" applyNumberFormat="1" applyFont="1" applyAlignment="1" applyProtection="1">
      <alignment horizontal="center" vertical="center"/>
      <protection hidden="1"/>
    </xf>
    <xf numFmtId="0" fontId="52" fillId="0" borderId="0" xfId="0" applyFont="1" applyAlignment="1" applyProtection="1">
      <alignment horizontal="center" vertical="center"/>
      <protection hidden="1"/>
    </xf>
    <xf numFmtId="0" fontId="61" fillId="5" borderId="11" xfId="0" applyFont="1" applyFill="1" applyBorder="1" applyAlignment="1" applyProtection="1">
      <alignment horizontal="left" vertical="center"/>
      <protection locked="0" hidden="1"/>
    </xf>
    <xf numFmtId="0" fontId="61" fillId="5" borderId="0" xfId="0" applyFont="1" applyFill="1" applyAlignment="1" applyProtection="1">
      <alignment horizontal="left" vertical="center"/>
      <protection locked="0" hidden="1"/>
    </xf>
    <xf numFmtId="0" fontId="56" fillId="0" borderId="21" xfId="0" applyFont="1" applyBorder="1" applyAlignment="1" applyProtection="1">
      <alignment horizontal="center" vertical="center"/>
      <protection hidden="1"/>
    </xf>
    <xf numFmtId="0" fontId="56" fillId="0" borderId="22" xfId="0" applyFont="1" applyBorder="1" applyAlignment="1" applyProtection="1">
      <alignment horizontal="center" vertical="center"/>
      <protection hidden="1"/>
    </xf>
    <xf numFmtId="0" fontId="56" fillId="0" borderId="23" xfId="0" applyFont="1" applyBorder="1" applyAlignment="1" applyProtection="1">
      <alignment horizontal="center" vertical="center"/>
      <protection hidden="1"/>
    </xf>
    <xf numFmtId="170" fontId="51" fillId="0" borderId="0" xfId="0" applyNumberFormat="1" applyFont="1" applyAlignment="1" applyProtection="1">
      <alignment horizontal="center" vertical="center"/>
      <protection locked="0"/>
    </xf>
    <xf numFmtId="0" fontId="48" fillId="0" borderId="19" xfId="0" applyFont="1" applyBorder="1" applyAlignment="1" applyProtection="1">
      <alignment horizontal="left" vertical="center"/>
      <protection hidden="1"/>
    </xf>
    <xf numFmtId="9" fontId="51" fillId="2" borderId="4" xfId="3" applyFont="1" applyFill="1" applyBorder="1" applyAlignment="1" applyProtection="1">
      <alignment horizontal="center" vertical="center" wrapText="1"/>
      <protection hidden="1"/>
    </xf>
    <xf numFmtId="9" fontId="62" fillId="2" borderId="4" xfId="3" applyFont="1" applyFill="1" applyBorder="1" applyAlignment="1" applyProtection="1">
      <alignment horizontal="center" vertical="center" wrapText="1"/>
      <protection hidden="1"/>
    </xf>
    <xf numFmtId="3" fontId="46" fillId="0" borderId="33" xfId="4" applyNumberFormat="1" applyFont="1" applyFill="1" applyBorder="1" applyAlignment="1" applyProtection="1">
      <alignment horizontal="center" vertical="center"/>
      <protection hidden="1"/>
    </xf>
    <xf numFmtId="3" fontId="46" fillId="0" borderId="0" xfId="4" applyNumberFormat="1" applyFont="1" applyFill="1" applyBorder="1" applyAlignment="1" applyProtection="1">
      <alignment horizontal="center" vertical="center"/>
      <protection hidden="1"/>
    </xf>
    <xf numFmtId="3" fontId="46" fillId="0" borderId="33" xfId="0" applyNumberFormat="1" applyFont="1" applyBorder="1" applyAlignment="1" applyProtection="1">
      <alignment horizontal="center"/>
      <protection hidden="1"/>
    </xf>
    <xf numFmtId="169" fontId="58" fillId="0" borderId="63" xfId="0" applyNumberFormat="1" applyFont="1" applyBorder="1" applyAlignment="1" applyProtection="1">
      <alignment horizontal="center" vertical="center"/>
      <protection hidden="1"/>
    </xf>
    <xf numFmtId="166" fontId="51" fillId="2" borderId="0" xfId="0" applyNumberFormat="1" applyFont="1" applyFill="1" applyAlignment="1" applyProtection="1">
      <alignment horizontal="center" vertical="center"/>
      <protection hidden="1"/>
    </xf>
    <xf numFmtId="0" fontId="51" fillId="2" borderId="0" xfId="0" applyFont="1" applyFill="1" applyAlignment="1" applyProtection="1">
      <alignment horizontal="center" vertical="center"/>
      <protection hidden="1"/>
    </xf>
    <xf numFmtId="10" fontId="46" fillId="0" borderId="0" xfId="1" applyNumberFormat="1" applyFont="1" applyFill="1" applyBorder="1" applyAlignment="1" applyProtection="1">
      <alignment horizontal="center" vertical="center" wrapText="1"/>
      <protection hidden="1"/>
    </xf>
    <xf numFmtId="170" fontId="46" fillId="0" borderId="0" xfId="4" applyNumberFormat="1" applyFont="1" applyFill="1" applyAlignment="1" applyProtection="1">
      <alignment horizontal="center" vertical="center"/>
      <protection hidden="1"/>
    </xf>
    <xf numFmtId="0" fontId="52" fillId="0" borderId="0" xfId="0" applyFont="1" applyAlignment="1" applyProtection="1">
      <alignment horizontal="right" vertical="center"/>
      <protection hidden="1"/>
    </xf>
    <xf numFmtId="0" fontId="52" fillId="0" borderId="2" xfId="0" applyFont="1" applyBorder="1" applyAlignment="1" applyProtection="1">
      <alignment horizontal="center" vertical="center"/>
      <protection locked="0" hidden="1"/>
    </xf>
    <xf numFmtId="182" fontId="46" fillId="0" borderId="0" xfId="0" applyNumberFormat="1" applyFont="1" applyAlignment="1" applyProtection="1">
      <alignment horizontal="right" vertical="center"/>
      <protection hidden="1"/>
    </xf>
    <xf numFmtId="0" fontId="46" fillId="0" borderId="0" xfId="0" applyFont="1" applyAlignment="1" applyProtection="1">
      <alignment horizontal="right" vertical="center" wrapText="1"/>
      <protection hidden="1"/>
    </xf>
    <xf numFmtId="0" fontId="46" fillId="0" borderId="58" xfId="0" applyFont="1" applyBorder="1" applyAlignment="1" applyProtection="1">
      <alignment horizontal="right" vertical="center" wrapText="1"/>
      <protection hidden="1"/>
    </xf>
    <xf numFmtId="3" fontId="52" fillId="0" borderId="63" xfId="0" applyNumberFormat="1" applyFont="1" applyBorder="1" applyAlignment="1" applyProtection="1">
      <alignment horizontal="center" vertical="center"/>
      <protection hidden="1"/>
    </xf>
    <xf numFmtId="3" fontId="52" fillId="0" borderId="64" xfId="0" applyNumberFormat="1"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65" fillId="0" borderId="0" xfId="0" applyFont="1" applyAlignment="1" applyProtection="1">
      <alignment horizontal="left" vertical="center"/>
      <protection hidden="1"/>
    </xf>
    <xf numFmtId="0" fontId="64" fillId="0" borderId="0" xfId="0" applyFont="1" applyAlignment="1" applyProtection="1">
      <alignment horizontal="center" vertical="center"/>
      <protection hidden="1"/>
    </xf>
    <xf numFmtId="0" fontId="65" fillId="0" borderId="0" xfId="0" applyFont="1" applyAlignment="1" applyProtection="1">
      <alignment horizontal="center" vertical="center"/>
      <protection hidden="1"/>
    </xf>
    <xf numFmtId="0" fontId="64" fillId="0" borderId="0" xfId="0" applyFont="1" applyAlignment="1" applyProtection="1">
      <alignment horizontal="justify" vertical="justify" wrapText="1"/>
      <protection hidden="1"/>
    </xf>
    <xf numFmtId="191" fontId="65" fillId="0" borderId="0" xfId="0" applyNumberFormat="1" applyFont="1" applyAlignment="1" applyProtection="1">
      <alignment horizontal="center" vertical="center"/>
      <protection hidden="1"/>
    </xf>
    <xf numFmtId="0" fontId="70" fillId="0" borderId="0" xfId="0" applyFont="1" applyAlignment="1" applyProtection="1">
      <alignment horizontal="center" vertical="center"/>
      <protection hidden="1"/>
    </xf>
    <xf numFmtId="191" fontId="64" fillId="0" borderId="0" xfId="0" applyNumberFormat="1" applyFont="1" applyAlignment="1" applyProtection="1">
      <alignment horizontal="left" vertical="center"/>
      <protection hidden="1"/>
    </xf>
    <xf numFmtId="0" fontId="36" fillId="0" borderId="0" xfId="0" applyFont="1" applyAlignment="1" applyProtection="1">
      <alignment horizontal="center"/>
      <protection hidden="1"/>
    </xf>
    <xf numFmtId="169" fontId="60" fillId="0" borderId="0" xfId="0" applyNumberFormat="1" applyFont="1" applyAlignment="1" applyProtection="1">
      <alignment horizontal="center"/>
      <protection hidden="1"/>
    </xf>
    <xf numFmtId="169" fontId="37" fillId="0" borderId="63" xfId="0" applyNumberFormat="1" applyFont="1" applyBorder="1" applyAlignment="1" applyProtection="1">
      <alignment horizontal="center" vertical="center"/>
      <protection locked="0" hidden="1"/>
    </xf>
    <xf numFmtId="170" fontId="40" fillId="0" borderId="0" xfId="0" applyNumberFormat="1" applyFont="1" applyAlignment="1" applyProtection="1">
      <alignment horizontal="center" vertical="center"/>
      <protection locked="0" hidden="1"/>
    </xf>
    <xf numFmtId="0" fontId="37" fillId="2" borderId="0" xfId="0" applyFont="1" applyFill="1" applyAlignment="1" applyProtection="1">
      <alignment horizontal="center" vertical="center" wrapText="1"/>
      <protection hidden="1"/>
    </xf>
    <xf numFmtId="175" fontId="19" fillId="0" borderId="17" xfId="0" applyNumberFormat="1" applyFont="1" applyBorder="1" applyAlignment="1" applyProtection="1">
      <alignment horizontal="center" vertical="center"/>
      <protection hidden="1"/>
    </xf>
    <xf numFmtId="0" fontId="28" fillId="0" borderId="35" xfId="0" applyFont="1" applyBorder="1" applyAlignment="1" applyProtection="1">
      <alignment horizontal="center"/>
      <protection hidden="1"/>
    </xf>
    <xf numFmtId="0" fontId="28" fillId="0" borderId="36" xfId="0" applyFont="1" applyBorder="1" applyAlignment="1" applyProtection="1">
      <alignment horizontal="center"/>
      <protection hidden="1"/>
    </xf>
    <xf numFmtId="0" fontId="28" fillId="0" borderId="37" xfId="0" applyFont="1" applyBorder="1" applyAlignment="1" applyProtection="1">
      <alignment horizontal="center"/>
      <protection hidden="1"/>
    </xf>
    <xf numFmtId="170" fontId="36" fillId="0" borderId="0" xfId="0" quotePrefix="1" applyNumberFormat="1" applyFont="1" applyAlignment="1" applyProtection="1">
      <alignment horizontal="center" vertical="center"/>
      <protection hidden="1"/>
    </xf>
    <xf numFmtId="170" fontId="36" fillId="0" borderId="0" xfId="0" applyNumberFormat="1" applyFont="1" applyAlignment="1" applyProtection="1">
      <alignment horizontal="center" vertical="center"/>
      <protection hidden="1"/>
    </xf>
    <xf numFmtId="10" fontId="36" fillId="0" borderId="0" xfId="0" applyNumberFormat="1" applyFont="1" applyAlignment="1" applyProtection="1">
      <alignment horizontal="center" vertical="center"/>
      <protection hidden="1"/>
    </xf>
    <xf numFmtId="0" fontId="36" fillId="0" borderId="47" xfId="0" applyFont="1" applyBorder="1" applyAlignment="1" applyProtection="1">
      <alignment horizontal="center" vertical="center"/>
      <protection hidden="1"/>
    </xf>
    <xf numFmtId="175" fontId="36" fillId="0" borderId="0" xfId="0" applyNumberFormat="1" applyFont="1" applyAlignment="1" applyProtection="1">
      <alignment horizontal="center" vertical="center"/>
      <protection hidden="1"/>
    </xf>
    <xf numFmtId="171" fontId="36" fillId="0" borderId="4" xfId="2" applyNumberFormat="1" applyFont="1" applyFill="1" applyBorder="1" applyAlignment="1" applyProtection="1">
      <alignment horizontal="center" vertical="center"/>
      <protection hidden="1"/>
    </xf>
    <xf numFmtId="171" fontId="6" fillId="0" borderId="0" xfId="2" applyNumberFormat="1" applyFont="1" applyFill="1" applyBorder="1" applyAlignment="1" applyProtection="1">
      <alignment horizontal="center"/>
      <protection hidden="1"/>
    </xf>
    <xf numFmtId="0" fontId="20" fillId="0" borderId="21" xfId="0" applyFont="1" applyBorder="1" applyAlignment="1" applyProtection="1">
      <alignment horizontal="center" vertical="center"/>
      <protection hidden="1"/>
    </xf>
    <xf numFmtId="0" fontId="20" fillId="0" borderId="22" xfId="0" applyFont="1" applyBorder="1" applyAlignment="1" applyProtection="1">
      <alignment horizontal="center" vertical="center"/>
      <protection hidden="1"/>
    </xf>
    <xf numFmtId="0" fontId="20" fillId="0" borderId="23" xfId="0" applyFont="1" applyBorder="1" applyAlignment="1" applyProtection="1">
      <alignment horizontal="center" vertical="center"/>
      <protection hidden="1"/>
    </xf>
    <xf numFmtId="0" fontId="19" fillId="0" borderId="26" xfId="0" applyFont="1" applyBorder="1" applyAlignment="1" applyProtection="1">
      <alignment horizontal="center" vertical="center"/>
      <protection hidden="1"/>
    </xf>
    <xf numFmtId="166" fontId="19" fillId="0" borderId="0" xfId="0" applyNumberFormat="1" applyFont="1" applyAlignment="1" applyProtection="1">
      <alignment horizontal="center" vertical="center"/>
      <protection hidden="1"/>
    </xf>
    <xf numFmtId="169" fontId="24" fillId="0" borderId="0" xfId="0" applyNumberFormat="1" applyFont="1" applyAlignment="1" applyProtection="1">
      <alignment horizontal="center" vertical="center"/>
      <protection hidden="1"/>
    </xf>
    <xf numFmtId="10" fontId="36" fillId="0" borderId="52" xfId="0" applyNumberFormat="1" applyFont="1" applyBorder="1" applyAlignment="1" applyProtection="1">
      <alignment horizontal="center" vertical="center"/>
      <protection hidden="1"/>
    </xf>
    <xf numFmtId="0" fontId="19" fillId="0" borderId="27" xfId="0" applyFont="1" applyBorder="1" applyAlignment="1" applyProtection="1">
      <alignment horizontal="center" vertical="center"/>
      <protection hidden="1"/>
    </xf>
    <xf numFmtId="177" fontId="27" fillId="20" borderId="0" xfId="0" applyNumberFormat="1" applyFont="1" applyFill="1" applyAlignment="1" applyProtection="1">
      <alignment horizontal="center"/>
      <protection hidden="1"/>
    </xf>
    <xf numFmtId="171" fontId="36" fillId="0" borderId="0" xfId="2" applyNumberFormat="1" applyFont="1" applyFill="1" applyBorder="1" applyAlignment="1" applyProtection="1">
      <alignment horizontal="center" vertical="center"/>
      <protection hidden="1"/>
    </xf>
    <xf numFmtId="185" fontId="36" fillId="0" borderId="0" xfId="1" applyNumberFormat="1" applyFont="1" applyBorder="1" applyAlignment="1" applyProtection="1">
      <alignment horizontal="center" vertical="center"/>
      <protection locked="0" hidden="1"/>
    </xf>
    <xf numFmtId="171" fontId="36" fillId="5" borderId="4" xfId="2" applyNumberFormat="1" applyFont="1" applyFill="1" applyBorder="1" applyAlignment="1" applyProtection="1">
      <alignment horizontal="center" vertical="center"/>
      <protection locked="0" hidden="1"/>
    </xf>
    <xf numFmtId="171" fontId="40" fillId="0" borderId="0" xfId="2" applyNumberFormat="1" applyFont="1" applyFill="1" applyBorder="1" applyAlignment="1" applyProtection="1">
      <alignment horizontal="center" vertical="center"/>
      <protection hidden="1"/>
    </xf>
    <xf numFmtId="164" fontId="36" fillId="5" borderId="4" xfId="2" applyNumberFormat="1" applyFont="1" applyFill="1" applyBorder="1" applyAlignment="1" applyProtection="1">
      <alignment horizontal="center" vertical="center"/>
      <protection locked="0"/>
    </xf>
    <xf numFmtId="0" fontId="6" fillId="0" borderId="0" xfId="0" applyFont="1" applyAlignment="1" applyProtection="1">
      <alignment horizontal="center" vertical="center"/>
      <protection hidden="1"/>
    </xf>
    <xf numFmtId="166" fontId="36" fillId="0" borderId="10" xfId="2" applyNumberFormat="1" applyFont="1" applyBorder="1" applyAlignment="1" applyProtection="1">
      <alignment horizontal="center" vertical="center"/>
      <protection hidden="1"/>
    </xf>
    <xf numFmtId="171" fontId="6" fillId="0" borderId="0" xfId="2" applyNumberFormat="1" applyFont="1" applyFill="1" applyBorder="1" applyAlignment="1" applyProtection="1">
      <alignment horizontal="center" vertical="center"/>
      <protection hidden="1"/>
    </xf>
    <xf numFmtId="164" fontId="43" fillId="0" borderId="56" xfId="2" applyNumberFormat="1" applyFont="1" applyFill="1" applyBorder="1" applyAlignment="1" applyProtection="1">
      <alignment horizontal="center" vertical="center"/>
      <protection locked="0"/>
    </xf>
    <xf numFmtId="164" fontId="43" fillId="0" borderId="4" xfId="2" applyNumberFormat="1" applyFont="1" applyFill="1" applyBorder="1" applyAlignment="1" applyProtection="1">
      <alignment horizontal="center" vertical="center"/>
      <protection locked="0"/>
    </xf>
    <xf numFmtId="164" fontId="43" fillId="0" borderId="41" xfId="2" applyNumberFormat="1" applyFont="1" applyFill="1" applyBorder="1" applyAlignment="1" applyProtection="1">
      <alignment horizontal="center" vertical="center"/>
      <protection locked="0"/>
    </xf>
    <xf numFmtId="164" fontId="43" fillId="0" borderId="4" xfId="2" applyNumberFormat="1" applyFont="1" applyFill="1" applyBorder="1" applyAlignment="1" applyProtection="1">
      <alignment horizontal="center" vertical="center"/>
      <protection hidden="1"/>
    </xf>
    <xf numFmtId="9" fontId="43" fillId="5" borderId="4" xfId="3" applyFont="1" applyFill="1" applyBorder="1" applyAlignment="1" applyProtection="1">
      <alignment horizontal="center" vertical="center"/>
      <protection locked="0" hidden="1"/>
    </xf>
    <xf numFmtId="164" fontId="36" fillId="0" borderId="4" xfId="2" applyNumberFormat="1" applyFont="1" applyBorder="1" applyAlignment="1" applyProtection="1">
      <alignment horizontal="center" vertical="center"/>
      <protection hidden="1"/>
    </xf>
    <xf numFmtId="49" fontId="40" fillId="0" borderId="0" xfId="2" applyNumberFormat="1" applyFont="1" applyFill="1" applyBorder="1" applyAlignment="1" applyProtection="1">
      <alignment horizontal="center" vertical="center"/>
      <protection hidden="1"/>
    </xf>
    <xf numFmtId="10" fontId="36" fillId="5" borderId="4" xfId="2" applyNumberFormat="1" applyFont="1" applyFill="1" applyBorder="1" applyAlignment="1" applyProtection="1">
      <alignment horizontal="center" vertical="center"/>
      <protection locked="0" hidden="1"/>
    </xf>
    <xf numFmtId="49" fontId="36" fillId="5" borderId="4" xfId="2" applyNumberFormat="1" applyFont="1" applyFill="1" applyBorder="1" applyAlignment="1" applyProtection="1">
      <alignment horizontal="center" vertical="center"/>
      <protection locked="0" hidden="1"/>
    </xf>
    <xf numFmtId="4" fontId="6" fillId="0" borderId="0" xfId="2" applyNumberFormat="1" applyFont="1" applyFill="1" applyBorder="1" applyAlignment="1" applyProtection="1">
      <alignment horizontal="center" vertical="center"/>
      <protection hidden="1"/>
    </xf>
    <xf numFmtId="4" fontId="6" fillId="0" borderId="14" xfId="2" applyNumberFormat="1" applyFont="1" applyFill="1" applyBorder="1" applyAlignment="1" applyProtection="1">
      <alignment horizontal="center" vertical="center"/>
      <protection hidden="1"/>
    </xf>
    <xf numFmtId="4" fontId="36" fillId="0" borderId="15" xfId="0" applyNumberFormat="1" applyFont="1" applyBorder="1" applyAlignment="1" applyProtection="1">
      <alignment horizontal="center" vertical="center"/>
      <protection hidden="1"/>
    </xf>
    <xf numFmtId="4" fontId="36" fillId="0" borderId="66" xfId="0" applyNumberFormat="1" applyFont="1" applyBorder="1" applyAlignment="1" applyProtection="1">
      <alignment horizontal="center" vertical="center"/>
      <protection hidden="1"/>
    </xf>
    <xf numFmtId="0" fontId="23" fillId="2" borderId="4" xfId="0" applyFont="1" applyFill="1" applyBorder="1" applyAlignment="1" applyProtection="1">
      <alignment horizontal="center"/>
      <protection hidden="1"/>
    </xf>
    <xf numFmtId="0" fontId="6" fillId="0" borderId="73" xfId="0" applyFont="1" applyBorder="1" applyAlignment="1" applyProtection="1">
      <alignment horizontal="center" vertical="center"/>
      <protection hidden="1"/>
    </xf>
    <xf numFmtId="0" fontId="6" fillId="0" borderId="74" xfId="0" applyFont="1" applyBorder="1" applyAlignment="1" applyProtection="1">
      <alignment horizontal="center" vertical="center"/>
      <protection hidden="1"/>
    </xf>
    <xf numFmtId="175" fontId="36" fillId="0" borderId="74" xfId="3" applyNumberFormat="1" applyFont="1" applyBorder="1" applyAlignment="1" applyProtection="1">
      <alignment horizontal="center" vertical="center"/>
      <protection hidden="1"/>
    </xf>
    <xf numFmtId="175" fontId="36" fillId="0" borderId="75" xfId="3" applyNumberFormat="1" applyFont="1" applyBorder="1" applyAlignment="1" applyProtection="1">
      <alignment horizontal="center" vertical="center"/>
      <protection hidden="1"/>
    </xf>
    <xf numFmtId="0" fontId="36" fillId="0" borderId="11" xfId="0" applyFont="1" applyBorder="1" applyAlignment="1" applyProtection="1">
      <alignment horizontal="left" vertical="center"/>
      <protection hidden="1"/>
    </xf>
    <xf numFmtId="0" fontId="36" fillId="0" borderId="0" xfId="0" applyFont="1" applyAlignment="1" applyProtection="1">
      <alignment horizontal="left" vertical="center"/>
      <protection hidden="1"/>
    </xf>
    <xf numFmtId="0" fontId="36" fillId="0" borderId="12" xfId="0" applyFont="1" applyBorder="1" applyAlignment="1" applyProtection="1">
      <alignment horizontal="left" vertical="center"/>
      <protection hidden="1"/>
    </xf>
    <xf numFmtId="0" fontId="36" fillId="0" borderId="15" xfId="0" applyFont="1" applyBorder="1" applyAlignment="1" applyProtection="1">
      <alignment horizontal="left" vertical="center"/>
      <protection hidden="1"/>
    </xf>
    <xf numFmtId="9" fontId="36" fillId="0" borderId="10" xfId="0" applyNumberFormat="1" applyFont="1" applyBorder="1" applyAlignment="1" applyProtection="1">
      <alignment horizontal="center" vertical="center"/>
      <protection hidden="1"/>
    </xf>
    <xf numFmtId="9" fontId="36" fillId="0" borderId="65" xfId="0" applyNumberFormat="1" applyFont="1" applyBorder="1" applyAlignment="1" applyProtection="1">
      <alignment horizontal="center" vertical="center"/>
      <protection hidden="1"/>
    </xf>
    <xf numFmtId="182" fontId="6" fillId="0" borderId="0" xfId="0" applyNumberFormat="1" applyFont="1" applyAlignment="1" applyProtection="1">
      <alignment horizontal="right" vertical="center"/>
      <protection hidden="1"/>
    </xf>
    <xf numFmtId="10" fontId="36" fillId="0" borderId="50" xfId="0" applyNumberFormat="1" applyFont="1" applyBorder="1" applyAlignment="1" applyProtection="1">
      <alignment horizontal="center" vertical="center"/>
      <protection hidden="1"/>
    </xf>
    <xf numFmtId="10" fontId="36" fillId="0" borderId="53" xfId="0" applyNumberFormat="1" applyFont="1" applyBorder="1" applyAlignment="1" applyProtection="1">
      <alignment horizontal="center" vertical="center"/>
      <protection hidden="1"/>
    </xf>
    <xf numFmtId="170" fontId="36" fillId="0" borderId="50" xfId="0" applyNumberFormat="1" applyFont="1" applyBorder="1" applyAlignment="1" applyProtection="1">
      <alignment horizontal="center" vertical="center"/>
      <protection hidden="1"/>
    </xf>
    <xf numFmtId="0" fontId="19" fillId="0" borderId="0" xfId="0" applyFont="1" applyAlignment="1" applyProtection="1">
      <alignment horizontal="center" vertical="center"/>
      <protection hidden="1"/>
    </xf>
    <xf numFmtId="9" fontId="36" fillId="0" borderId="0" xfId="0" applyNumberFormat="1" applyFont="1" applyAlignment="1" applyProtection="1">
      <alignment horizontal="center" vertical="center"/>
      <protection hidden="1"/>
    </xf>
    <xf numFmtId="9" fontId="36" fillId="0" borderId="14" xfId="0" applyNumberFormat="1" applyFont="1" applyBorder="1" applyAlignment="1" applyProtection="1">
      <alignment horizontal="center" vertical="center"/>
      <protection hidden="1"/>
    </xf>
    <xf numFmtId="0" fontId="36" fillId="0" borderId="0" xfId="0" applyFont="1" applyAlignment="1" applyProtection="1">
      <alignment horizontal="center" vertical="center"/>
      <protection hidden="1"/>
    </xf>
    <xf numFmtId="0" fontId="36" fillId="0" borderId="14" xfId="0" applyFont="1" applyBorder="1" applyAlignment="1" applyProtection="1">
      <alignment horizontal="center" vertical="center"/>
      <protection hidden="1"/>
    </xf>
    <xf numFmtId="170" fontId="36" fillId="0" borderId="0" xfId="2" applyNumberFormat="1" applyFont="1" applyBorder="1" applyAlignment="1" applyProtection="1">
      <alignment horizontal="center" vertical="center"/>
      <protection hidden="1"/>
    </xf>
    <xf numFmtId="170" fontId="36" fillId="0" borderId="14" xfId="2" applyNumberFormat="1" applyFont="1" applyBorder="1" applyAlignment="1" applyProtection="1">
      <alignment horizontal="center" vertical="center"/>
      <protection hidden="1"/>
    </xf>
    <xf numFmtId="164" fontId="6" fillId="0" borderId="15" xfId="2" applyNumberFormat="1" applyFont="1" applyBorder="1" applyAlignment="1" applyProtection="1">
      <alignment horizontal="center" vertical="center"/>
      <protection hidden="1"/>
    </xf>
    <xf numFmtId="164" fontId="6" fillId="0" borderId="66" xfId="2" applyNumberFormat="1" applyFont="1" applyBorder="1" applyAlignment="1" applyProtection="1">
      <alignment horizontal="center" vertical="center"/>
      <protection hidden="1"/>
    </xf>
    <xf numFmtId="4" fontId="39" fillId="0" borderId="10" xfId="2" applyNumberFormat="1" applyFont="1" applyBorder="1" applyAlignment="1" applyProtection="1">
      <alignment horizontal="center" vertical="center"/>
      <protection hidden="1"/>
    </xf>
    <xf numFmtId="4" fontId="39" fillId="0" borderId="65" xfId="2" applyNumberFormat="1" applyFont="1" applyBorder="1" applyAlignment="1" applyProtection="1">
      <alignment horizontal="center" vertical="center"/>
      <protection hidden="1"/>
    </xf>
    <xf numFmtId="10" fontId="6" fillId="0" borderId="0" xfId="0" applyNumberFormat="1" applyFont="1" applyAlignment="1" applyProtection="1">
      <alignment horizontal="center" vertical="center"/>
      <protection hidden="1"/>
    </xf>
    <xf numFmtId="10" fontId="6" fillId="0" borderId="14" xfId="0" applyNumberFormat="1" applyFont="1" applyBorder="1" applyAlignment="1" applyProtection="1">
      <alignment horizontal="center" vertical="center"/>
      <protection hidden="1"/>
    </xf>
    <xf numFmtId="166" fontId="36" fillId="0" borderId="0" xfId="2" applyNumberFormat="1" applyFont="1" applyBorder="1" applyAlignment="1" applyProtection="1">
      <alignment horizontal="center" vertical="center"/>
      <protection hidden="1"/>
    </xf>
    <xf numFmtId="169" fontId="40" fillId="0" borderId="0" xfId="0" applyNumberFormat="1" applyFont="1" applyAlignment="1" applyProtection="1">
      <alignment horizontal="center" vertical="center"/>
      <protection hidden="1"/>
    </xf>
    <xf numFmtId="10" fontId="36" fillId="5" borderId="4" xfId="3" applyNumberFormat="1" applyFont="1" applyFill="1" applyBorder="1" applyAlignment="1" applyProtection="1">
      <alignment horizontal="center" vertical="center"/>
      <protection locked="0" hidden="1"/>
    </xf>
    <xf numFmtId="0" fontId="36" fillId="0" borderId="9" xfId="0" applyFont="1" applyBorder="1" applyAlignment="1" applyProtection="1">
      <alignment horizontal="left" vertical="center"/>
      <protection hidden="1"/>
    </xf>
    <xf numFmtId="0" fontId="36" fillId="0" borderId="10" xfId="0" applyFont="1" applyBorder="1" applyAlignment="1" applyProtection="1">
      <alignment horizontal="left" vertical="center"/>
      <protection hidden="1"/>
    </xf>
    <xf numFmtId="170" fontId="36" fillId="0" borderId="14" xfId="0" applyNumberFormat="1" applyFont="1" applyBorder="1" applyAlignment="1" applyProtection="1">
      <alignment horizontal="center" vertical="center"/>
      <protection hidden="1"/>
    </xf>
    <xf numFmtId="0" fontId="24" fillId="0" borderId="0" xfId="0" applyFont="1" applyAlignment="1" applyProtection="1">
      <alignment horizontal="center" vertical="center"/>
      <protection hidden="1"/>
    </xf>
    <xf numFmtId="0" fontId="63" fillId="5" borderId="72" xfId="0" applyFont="1" applyFill="1" applyBorder="1" applyAlignment="1" applyProtection="1">
      <alignment horizontal="left" vertical="center"/>
      <protection locked="0" hidden="1"/>
    </xf>
    <xf numFmtId="0" fontId="63" fillId="5" borderId="0" xfId="0" applyFont="1" applyFill="1" applyAlignment="1" applyProtection="1">
      <alignment horizontal="left" vertical="center"/>
      <protection locked="0" hidden="1"/>
    </xf>
    <xf numFmtId="0" fontId="36" fillId="0" borderId="0" xfId="0" applyFont="1" applyAlignment="1" applyProtection="1">
      <alignment horizontal="right" vertical="center"/>
      <protection hidden="1"/>
    </xf>
    <xf numFmtId="0" fontId="36" fillId="0" borderId="40" xfId="0" applyFont="1" applyBorder="1" applyAlignment="1" applyProtection="1">
      <alignment horizontal="right" vertical="center"/>
      <protection hidden="1"/>
    </xf>
    <xf numFmtId="170" fontId="36" fillId="0" borderId="47" xfId="0" applyNumberFormat="1" applyFont="1" applyBorder="1" applyAlignment="1" applyProtection="1">
      <alignment horizontal="center"/>
      <protection hidden="1"/>
    </xf>
    <xf numFmtId="185" fontId="37" fillId="2" borderId="0" xfId="1" applyNumberFormat="1" applyFont="1" applyFill="1" applyAlignment="1" applyProtection="1">
      <alignment horizontal="center" vertical="center" wrapText="1"/>
      <protection hidden="1"/>
    </xf>
    <xf numFmtId="3" fontId="52" fillId="13" borderId="0" xfId="0" applyNumberFormat="1" applyFont="1" applyFill="1" applyAlignment="1" applyProtection="1">
      <alignment horizontal="center" vertical="center"/>
      <protection hidden="1"/>
    </xf>
    <xf numFmtId="169" fontId="52" fillId="13" borderId="0" xfId="0" applyNumberFormat="1" applyFont="1" applyFill="1" applyAlignment="1" applyProtection="1">
      <alignment horizontal="center" vertical="center"/>
      <protection hidden="1"/>
    </xf>
    <xf numFmtId="0" fontId="0" fillId="0" borderId="49" xfId="0"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40" fillId="0" borderId="0" xfId="0" applyFont="1" applyAlignment="1" applyProtection="1">
      <alignment horizontal="right" vertical="center"/>
      <protection hidden="1"/>
    </xf>
    <xf numFmtId="170" fontId="36" fillId="0" borderId="52" xfId="0" quotePrefix="1" applyNumberFormat="1" applyFont="1" applyBorder="1" applyAlignment="1" applyProtection="1">
      <alignment horizontal="center" vertical="center"/>
      <protection hidden="1"/>
    </xf>
    <xf numFmtId="0" fontId="36" fillId="0" borderId="33" xfId="0" applyFont="1" applyBorder="1" applyAlignment="1" applyProtection="1">
      <alignment horizontal="center"/>
      <protection locked="0" hidden="1"/>
    </xf>
    <xf numFmtId="0" fontId="36" fillId="0" borderId="0" xfId="0" applyFont="1" applyAlignment="1" applyProtection="1">
      <alignment horizontal="right"/>
      <protection hidden="1"/>
    </xf>
    <xf numFmtId="170" fontId="36" fillId="0" borderId="53" xfId="0" quotePrefix="1" applyNumberFormat="1" applyFont="1" applyBorder="1" applyAlignment="1" applyProtection="1">
      <alignment horizontal="center" vertical="center"/>
      <protection hidden="1"/>
    </xf>
    <xf numFmtId="0" fontId="6" fillId="9" borderId="0" xfId="0" applyFont="1" applyFill="1" applyAlignment="1" applyProtection="1">
      <alignment horizontal="center"/>
      <protection locked="0" hidden="1"/>
    </xf>
    <xf numFmtId="0" fontId="6" fillId="9" borderId="0" xfId="0" applyFont="1" applyFill="1" applyAlignment="1" applyProtection="1">
      <alignment horizontal="center"/>
      <protection locked="0"/>
    </xf>
    <xf numFmtId="0" fontId="6" fillId="0" borderId="0" xfId="0" applyFont="1" applyAlignment="1" applyProtection="1">
      <alignment horizontal="center"/>
      <protection hidden="1"/>
    </xf>
    <xf numFmtId="0" fontId="36" fillId="0" borderId="76" xfId="0" applyFont="1" applyBorder="1" applyAlignment="1" applyProtection="1">
      <alignment horizontal="left" vertical="center"/>
      <protection hidden="1"/>
    </xf>
    <xf numFmtId="0" fontId="36" fillId="0" borderId="72" xfId="0" applyFont="1" applyBorder="1" applyAlignment="1" applyProtection="1">
      <alignment horizontal="left" vertical="center"/>
      <protection hidden="1"/>
    </xf>
    <xf numFmtId="170" fontId="36" fillId="0" borderId="0" xfId="0" applyNumberFormat="1" applyFont="1" applyAlignment="1" applyProtection="1">
      <alignment horizontal="center" vertical="center" wrapText="1"/>
      <protection hidden="1"/>
    </xf>
    <xf numFmtId="169" fontId="36" fillId="0" borderId="0" xfId="0" applyNumberFormat="1" applyFont="1" applyAlignment="1" applyProtection="1">
      <alignment horizontal="center"/>
      <protection hidden="1"/>
    </xf>
    <xf numFmtId="169" fontId="36" fillId="0" borderId="0" xfId="0" applyNumberFormat="1" applyFont="1" applyAlignment="1" applyProtection="1">
      <alignment horizontal="center"/>
      <protection locked="0" hidden="1"/>
    </xf>
    <xf numFmtId="170" fontId="39" fillId="0" borderId="0" xfId="0" applyNumberFormat="1" applyFont="1" applyAlignment="1" applyProtection="1">
      <alignment horizontal="center" vertical="center" wrapText="1"/>
      <protection hidden="1"/>
    </xf>
    <xf numFmtId="0" fontId="46" fillId="5" borderId="0" xfId="0" applyFont="1" applyFill="1" applyAlignment="1" applyProtection="1">
      <alignment horizontal="center" vertical="center"/>
      <protection locked="0" hidden="1"/>
    </xf>
    <xf numFmtId="169" fontId="6" fillId="0" borderId="63" xfId="0" applyNumberFormat="1" applyFont="1" applyBorder="1" applyAlignment="1" applyProtection="1">
      <alignment horizontal="center" vertical="center"/>
      <protection hidden="1"/>
    </xf>
    <xf numFmtId="169" fontId="37" fillId="2" borderId="0" xfId="0" applyNumberFormat="1" applyFont="1" applyFill="1" applyAlignment="1" applyProtection="1">
      <alignment horizontal="center"/>
      <protection hidden="1"/>
    </xf>
    <xf numFmtId="169" fontId="37" fillId="0" borderId="63" xfId="0" applyNumberFormat="1" applyFont="1" applyBorder="1" applyAlignment="1" applyProtection="1">
      <alignment horizontal="center" vertical="center"/>
      <protection hidden="1"/>
    </xf>
    <xf numFmtId="164" fontId="3" fillId="0" borderId="2" xfId="0" applyNumberFormat="1" applyFont="1" applyBorder="1" applyAlignment="1" applyProtection="1">
      <alignment horizontal="center"/>
      <protection hidden="1"/>
    </xf>
    <xf numFmtId="0" fontId="3" fillId="0" borderId="2" xfId="0" applyFont="1" applyBorder="1" applyAlignment="1" applyProtection="1">
      <alignment horizontal="center"/>
      <protection hidden="1"/>
    </xf>
    <xf numFmtId="0" fontId="5" fillId="0" borderId="0" xfId="0" applyFont="1" applyAlignment="1">
      <alignment horizontal="center" vertical="center"/>
    </xf>
    <xf numFmtId="168" fontId="0" fillId="0" borderId="0" xfId="0" applyNumberFormat="1" applyAlignment="1" applyProtection="1">
      <alignment horizontal="right"/>
      <protection hidden="1"/>
    </xf>
    <xf numFmtId="49" fontId="3" fillId="0" borderId="2" xfId="0" applyNumberFormat="1" applyFont="1" applyBorder="1" applyAlignment="1" applyProtection="1">
      <alignment horizontal="center"/>
      <protection hidden="1"/>
    </xf>
    <xf numFmtId="49" fontId="3" fillId="0" borderId="2" xfId="3" applyNumberFormat="1" applyFont="1" applyFill="1" applyBorder="1" applyAlignment="1" applyProtection="1">
      <alignment horizontal="center"/>
      <protection hidden="1"/>
    </xf>
    <xf numFmtId="0" fontId="3" fillId="0" borderId="2" xfId="3" applyNumberFormat="1" applyFont="1" applyFill="1" applyBorder="1" applyAlignment="1" applyProtection="1">
      <alignment horizontal="center"/>
      <protection hidden="1"/>
    </xf>
    <xf numFmtId="0" fontId="11" fillId="0" borderId="0" xfId="0" applyFont="1" applyAlignment="1" applyProtection="1">
      <alignment horizontal="left" vertical="top" wrapText="1"/>
      <protection hidden="1"/>
    </xf>
    <xf numFmtId="0" fontId="0" fillId="0" borderId="0" xfId="0" applyAlignment="1" applyProtection="1">
      <alignment horizontal="right" vertical="center"/>
      <protection hidden="1"/>
    </xf>
    <xf numFmtId="187" fontId="3" fillId="0" borderId="2" xfId="1" applyNumberFormat="1" applyFont="1" applyFill="1" applyBorder="1" applyAlignment="1" applyProtection="1">
      <alignment horizontal="center"/>
      <protection hidden="1"/>
    </xf>
    <xf numFmtId="0" fontId="3" fillId="0" borderId="42" xfId="0" applyFont="1" applyBorder="1" applyAlignment="1" applyProtection="1">
      <alignment horizontal="center" vertical="center"/>
      <protection hidden="1"/>
    </xf>
    <xf numFmtId="0" fontId="3" fillId="0" borderId="43" xfId="0" applyFont="1" applyBorder="1" applyAlignment="1" applyProtection="1">
      <alignment horizontal="center" vertical="center"/>
      <protection hidden="1"/>
    </xf>
    <xf numFmtId="0" fontId="3" fillId="0" borderId="42" xfId="0" applyFont="1" applyBorder="1" applyAlignment="1" applyProtection="1">
      <alignment horizontal="center" vertical="center"/>
      <protection locked="0"/>
    </xf>
    <xf numFmtId="0" fontId="3" fillId="0" borderId="43" xfId="0" applyFont="1" applyBorder="1" applyAlignment="1" applyProtection="1">
      <alignment horizontal="center" vertical="center"/>
      <protection locked="0"/>
    </xf>
    <xf numFmtId="0" fontId="2" fillId="2" borderId="0" xfId="0" applyFont="1" applyFill="1" applyAlignment="1" applyProtection="1">
      <alignment horizontal="center"/>
      <protection hidden="1"/>
    </xf>
    <xf numFmtId="0" fontId="12" fillId="4" borderId="0" xfId="0" applyFont="1" applyFill="1" applyAlignment="1" applyProtection="1">
      <alignment horizontal="center" vertical="center"/>
      <protection hidden="1"/>
    </xf>
    <xf numFmtId="0" fontId="0" fillId="0" borderId="4" xfId="0" applyBorder="1" applyAlignment="1" applyProtection="1">
      <alignment horizontal="center"/>
      <protection hidden="1"/>
    </xf>
    <xf numFmtId="0" fontId="0" fillId="0" borderId="41" xfId="0" applyBorder="1" applyAlignment="1" applyProtection="1">
      <alignment horizontal="center"/>
      <protection hidden="1"/>
    </xf>
    <xf numFmtId="0" fontId="0" fillId="0" borderId="78" xfId="0" applyBorder="1" applyAlignment="1" applyProtection="1">
      <alignment horizontal="center"/>
      <protection hidden="1"/>
    </xf>
    <xf numFmtId="0" fontId="0" fillId="0" borderId="56" xfId="0" applyBorder="1" applyAlignment="1" applyProtection="1">
      <alignment horizontal="center"/>
      <protection hidden="1"/>
    </xf>
    <xf numFmtId="3" fontId="51" fillId="0" borderId="63" xfId="0" applyNumberFormat="1" applyFont="1" applyBorder="1" applyAlignment="1" applyProtection="1">
      <alignment horizontal="center" vertical="center"/>
      <protection hidden="1"/>
    </xf>
    <xf numFmtId="170" fontId="46" fillId="0" borderId="52" xfId="4" applyNumberFormat="1" applyFont="1" applyFill="1" applyBorder="1" applyAlignment="1" applyProtection="1">
      <alignment horizontal="center" vertical="center"/>
      <protection hidden="1"/>
    </xf>
    <xf numFmtId="170" fontId="46" fillId="17" borderId="0" xfId="4" applyNumberFormat="1" applyFont="1" applyFill="1" applyBorder="1" applyAlignment="1" applyProtection="1">
      <alignment horizontal="center" vertical="center"/>
      <protection hidden="1"/>
    </xf>
    <xf numFmtId="170" fontId="46" fillId="17" borderId="0" xfId="0" applyNumberFormat="1" applyFont="1" applyFill="1" applyAlignment="1" applyProtection="1">
      <alignment horizontal="center" vertical="center"/>
      <protection hidden="1"/>
    </xf>
    <xf numFmtId="3" fontId="46" fillId="0" borderId="33" xfId="4" applyNumberFormat="1" applyFont="1" applyFill="1" applyBorder="1" applyAlignment="1" applyProtection="1">
      <alignment horizontal="center" vertical="center"/>
      <protection locked="0" hidden="1"/>
    </xf>
    <xf numFmtId="10" fontId="46" fillId="0" borderId="33" xfId="1" applyNumberFormat="1" applyFont="1" applyFill="1" applyBorder="1" applyAlignment="1" applyProtection="1">
      <alignment horizontal="center" vertical="center" wrapText="1"/>
      <protection hidden="1"/>
    </xf>
    <xf numFmtId="0" fontId="46" fillId="5" borderId="5" xfId="0" applyFont="1" applyFill="1" applyBorder="1" applyAlignment="1" applyProtection="1">
      <alignment horizontal="center" vertical="center"/>
      <protection hidden="1"/>
    </xf>
    <xf numFmtId="0" fontId="46" fillId="5" borderId="2" xfId="0" applyFont="1" applyFill="1" applyBorder="1" applyAlignment="1" applyProtection="1">
      <alignment horizontal="center" vertical="center"/>
      <protection hidden="1"/>
    </xf>
    <xf numFmtId="0" fontId="46" fillId="5" borderId="6" xfId="0" applyFont="1" applyFill="1" applyBorder="1" applyAlignment="1" applyProtection="1">
      <alignment horizontal="center" vertical="center"/>
      <protection hidden="1"/>
    </xf>
  </cellXfs>
  <cellStyles count="7">
    <cellStyle name="Currency 2" xfId="4" xr:uid="{00000000-0005-0000-0000-000000000000}"/>
    <cellStyle name="Hipervínculo" xfId="6" builtinId="8"/>
    <cellStyle name="Millares" xfId="1" builtinId="3"/>
    <cellStyle name="Moneda" xfId="2" builtinId="4"/>
    <cellStyle name="Normal" xfId="0" builtinId="0"/>
    <cellStyle name="Normal_simulador_hipotecario_11052012_Ejecutivos Desp" xfId="5" xr:uid="{00000000-0005-0000-0000-000005000000}"/>
    <cellStyle name="Porcentaje" xfId="3" builtinId="5"/>
  </cellStyles>
  <dxfs count="252">
    <dxf>
      <font>
        <color rgb="FFFF0000"/>
      </font>
    </dxf>
    <dxf>
      <font>
        <color rgb="FFFF0000"/>
      </font>
    </dxf>
    <dxf>
      <font>
        <color rgb="FFFF0000"/>
      </font>
    </dxf>
    <dxf>
      <font>
        <color rgb="FFFF0000"/>
      </font>
    </dxf>
    <dxf>
      <font>
        <color rgb="FFFF0000"/>
      </font>
    </dxf>
    <dxf>
      <font>
        <color rgb="FFFF0000"/>
      </font>
    </dxf>
    <dxf>
      <fill>
        <patternFill>
          <bgColor theme="7" tint="0.79998168889431442"/>
        </patternFill>
      </fill>
    </dxf>
    <dxf>
      <fill>
        <patternFill>
          <bgColor theme="9" tint="0.39994506668294322"/>
        </patternFill>
      </fill>
    </dxf>
    <dxf>
      <font>
        <color theme="1"/>
      </font>
    </dxf>
    <dxf>
      <font>
        <color theme="1"/>
      </font>
    </dxf>
    <dxf>
      <font>
        <color auto="1"/>
        <name val="Calibri Light"/>
        <scheme val="none"/>
      </font>
      <fill>
        <patternFill>
          <bgColor theme="0"/>
        </patternFill>
      </fill>
    </dxf>
    <dxf>
      <font>
        <color theme="1"/>
      </font>
    </dxf>
    <dxf>
      <font>
        <color theme="1"/>
      </font>
    </dxf>
    <dxf>
      <font>
        <color auto="1"/>
        <name val="Calibri Light"/>
        <scheme val="none"/>
      </font>
      <fill>
        <patternFill>
          <bgColor theme="0"/>
        </patternFill>
      </fill>
    </dxf>
    <dxf>
      <font>
        <b/>
        <i val="0"/>
        <color rgb="FF00B050"/>
      </font>
      <fill>
        <patternFill patternType="none">
          <bgColor auto="1"/>
        </patternFill>
      </fill>
    </dxf>
    <dxf>
      <font>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color theme="0"/>
      </font>
    </dxf>
    <dxf>
      <font>
        <color theme="1"/>
      </font>
      <fill>
        <patternFill>
          <bgColor theme="0" tint="-0.14996795556505021"/>
        </patternFill>
      </fill>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fill>
        <patternFill>
          <bgColor theme="0" tint="-0.14996795556505021"/>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ill>
        <patternFill>
          <bgColor theme="9" tint="0.59996337778862885"/>
        </patternFill>
      </fill>
    </dxf>
    <dxf>
      <fill>
        <patternFill>
          <bgColor rgb="FFFFFFCC"/>
        </patternFill>
      </fill>
    </dxf>
    <dxf>
      <font>
        <color theme="0"/>
      </font>
    </dxf>
    <dxf>
      <font>
        <color theme="0"/>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0"/>
      </font>
    </dxf>
    <dxf>
      <font>
        <color theme="0"/>
      </font>
    </dxf>
    <dxf>
      <font>
        <color theme="0"/>
      </font>
    </dxf>
    <dxf>
      <font>
        <color theme="0"/>
      </font>
    </dxf>
    <dxf>
      <font>
        <color theme="0"/>
      </font>
    </dxf>
    <dxf>
      <fill>
        <patternFill>
          <bgColor theme="0" tint="-0.14996795556505021"/>
        </patternFill>
      </fill>
    </dxf>
    <dxf>
      <font>
        <color theme="0"/>
      </font>
    </dxf>
    <dxf>
      <font>
        <color rgb="FFFF0000"/>
      </font>
    </dxf>
    <dxf>
      <font>
        <color theme="0"/>
      </font>
    </dxf>
    <dxf>
      <fill>
        <patternFill>
          <bgColor theme="0" tint="-0.14996795556505021"/>
        </patternFill>
      </fill>
    </dxf>
    <dxf>
      <font>
        <color theme="1"/>
      </font>
      <fill>
        <patternFill>
          <bgColor theme="0" tint="-0.14996795556505021"/>
        </patternFill>
      </fill>
    </dxf>
    <dxf>
      <font>
        <color theme="0"/>
      </font>
      <fill>
        <patternFill>
          <bgColor rgb="FFFF0000"/>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7" tint="0.7999816888943144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color rgb="FFFF0000"/>
      </font>
    </dxf>
    <dxf>
      <font>
        <color rgb="FFFF0000"/>
      </font>
    </dxf>
    <dxf>
      <font>
        <color rgb="FFFF0000"/>
      </font>
    </dxf>
    <dxf>
      <font>
        <color rgb="FFFF0000"/>
      </font>
    </dxf>
    <dxf>
      <font>
        <color rgb="FFFF0000"/>
      </font>
    </dxf>
    <dxf>
      <font>
        <color rgb="FFFF0000"/>
      </font>
    </dxf>
    <dxf>
      <font>
        <color theme="1"/>
      </font>
    </dxf>
    <dxf>
      <font>
        <color theme="1"/>
      </font>
    </dxf>
    <dxf>
      <font>
        <color auto="1"/>
        <name val="Calibri Light"/>
        <scheme val="none"/>
      </font>
      <fill>
        <patternFill>
          <bgColor theme="0"/>
        </patternFill>
      </fill>
    </dxf>
    <dxf>
      <font>
        <color theme="1"/>
      </font>
    </dxf>
    <dxf>
      <fill>
        <patternFill>
          <bgColor theme="2"/>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lor rgb="FF00B050"/>
      </font>
      <fill>
        <patternFill patternType="none">
          <bgColor auto="1"/>
        </patternFill>
      </fill>
    </dxf>
    <dxf>
      <fill>
        <patternFill>
          <bgColor theme="0" tint="-0.14996795556505021"/>
        </patternFill>
      </fill>
      <border>
        <left style="thin">
          <color auto="1"/>
        </left>
        <right style="thin">
          <color auto="1"/>
        </right>
        <top style="thin">
          <color auto="1"/>
        </top>
        <bottom style="thin">
          <color auto="1"/>
        </bottom>
      </border>
    </dxf>
    <dxf>
      <font>
        <color theme="1"/>
      </font>
      <fill>
        <patternFill>
          <bgColor theme="0" tint="-0.14996795556505021"/>
        </patternFill>
      </fill>
      <border>
        <left/>
        <right/>
        <top/>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border>
        <left/>
        <right/>
        <top/>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fill>
        <patternFill>
          <bgColor theme="0" tint="-0.14996795556505021"/>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dxf>
    <dxf>
      <fill>
        <patternFill>
          <bgColor rgb="FFFFFFCC"/>
        </patternFill>
      </fill>
    </dxf>
    <dxf>
      <fill>
        <patternFill>
          <bgColor theme="9" tint="0.79998168889431442"/>
        </patternFill>
      </fill>
    </dxf>
    <dxf>
      <fill>
        <patternFill>
          <bgColor theme="0" tint="-0.14996795556505021"/>
        </patternFill>
      </fill>
      <border>
        <left style="thin">
          <color auto="1"/>
        </left>
        <right style="thin">
          <color auto="1"/>
        </right>
        <top style="thin">
          <color auto="1"/>
        </top>
        <bottom style="thin">
          <color auto="1"/>
        </bottom>
      </border>
    </dxf>
    <dxf>
      <fill>
        <patternFill patternType="none">
          <bgColor auto="1"/>
        </patternFill>
      </fill>
      <border>
        <left/>
        <right/>
        <top/>
        <bottom/>
      </border>
    </dxf>
    <dxf>
      <font>
        <color theme="1"/>
      </font>
      <fill>
        <patternFill>
          <bgColor theme="0"/>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font>
      <fill>
        <patternFill>
          <bgColor theme="0"/>
        </patternFill>
      </fill>
    </dxf>
    <dxf>
      <fill>
        <patternFill>
          <bgColor theme="0"/>
        </patternFill>
      </fill>
    </dxf>
    <dxf>
      <fill>
        <patternFill>
          <bgColor theme="0" tint="-0.14996795556505021"/>
        </patternFill>
      </fill>
    </dxf>
    <dxf>
      <font>
        <color auto="1"/>
      </font>
      <fill>
        <patternFill>
          <bgColor theme="0" tint="-0.14996795556505021"/>
        </patternFill>
      </fill>
    </dxf>
    <dxf>
      <font>
        <color theme="0"/>
      </font>
      <fill>
        <patternFill>
          <bgColor theme="0"/>
        </patternFill>
      </fill>
    </dxf>
    <dxf>
      <font>
        <color theme="0"/>
      </font>
      <fill>
        <patternFill>
          <bgColor theme="0"/>
        </patternFill>
      </fill>
    </dxf>
    <dxf>
      <font>
        <color theme="1"/>
      </font>
      <fill>
        <patternFill>
          <bgColor theme="0"/>
        </patternFill>
      </fill>
    </dxf>
    <dxf>
      <font>
        <color theme="1"/>
      </font>
      <fill>
        <patternFill>
          <bgColor theme="0" tint="-0.14996795556505021"/>
        </patternFill>
      </fill>
    </dxf>
    <dxf>
      <font>
        <b/>
        <i val="0"/>
        <color theme="0"/>
      </font>
      <fill>
        <patternFill>
          <bgColor rgb="FFFF0000"/>
        </patternFill>
      </fill>
    </dxf>
    <dxf>
      <font>
        <b/>
        <i val="0"/>
        <color theme="0"/>
      </font>
      <fill>
        <patternFill>
          <bgColor rgb="FFFF0000"/>
        </patternFill>
      </fill>
    </dxf>
    <dxf>
      <fill>
        <patternFill>
          <bgColor theme="0" tint="-0.14996795556505021"/>
        </patternFill>
      </fill>
      <border>
        <left style="thin">
          <color auto="1"/>
        </left>
        <right style="thin">
          <color auto="1"/>
        </right>
        <top style="thin">
          <color auto="1"/>
        </top>
        <bottom style="thin">
          <color auto="1"/>
        </bottom>
      </border>
    </dxf>
    <dxf>
      <font>
        <color theme="0" tint="-4.9989318521683403E-2"/>
      </font>
      <fill>
        <patternFill>
          <bgColor theme="0" tint="-4.9989318521683403E-2"/>
        </patternFill>
      </fill>
    </dxf>
    <dxf>
      <font>
        <color theme="0" tint="-4.9989318521683403E-2"/>
      </font>
      <fill>
        <patternFill>
          <bgColor theme="0" tint="-4.9989318521683403E-2"/>
        </patternFill>
      </fill>
    </dxf>
    <dxf>
      <font>
        <color theme="0" tint="-4.9989318521683403E-2"/>
      </font>
      <fill>
        <patternFill>
          <bgColor theme="0" tint="-4.9989318521683403E-2"/>
        </patternFill>
      </fill>
    </dxf>
    <dxf>
      <font>
        <b val="0"/>
        <i val="0"/>
        <color theme="1"/>
      </font>
      <fill>
        <patternFill patternType="none">
          <bgColor auto="1"/>
        </patternFill>
      </fill>
      <border>
        <left/>
        <right style="thin">
          <color indexed="64"/>
        </right>
        <top/>
        <bottom/>
      </border>
    </dxf>
    <dxf>
      <font>
        <b val="0"/>
        <i val="0"/>
        <color theme="1"/>
      </font>
      <fill>
        <patternFill patternType="none">
          <bgColor auto="1"/>
        </patternFill>
      </fill>
      <border>
        <left/>
        <right/>
        <top/>
        <bottom/>
      </border>
    </dxf>
    <dxf>
      <fill>
        <patternFill patternType="none">
          <bgColor auto="1"/>
        </patternFill>
      </fill>
    </dxf>
    <dxf>
      <font>
        <color theme="1"/>
      </font>
      <fill>
        <patternFill>
          <bgColor theme="0"/>
        </patternFill>
      </fill>
      <border>
        <left/>
        <right style="thin">
          <color indexed="64"/>
        </right>
        <top/>
        <bottom/>
      </border>
    </dxf>
    <dxf>
      <font>
        <color theme="1"/>
      </font>
      <fill>
        <patternFill>
          <bgColor theme="0"/>
        </patternFill>
      </fill>
      <border>
        <left/>
        <right/>
        <top/>
        <bottom/>
      </border>
    </dxf>
    <dxf>
      <font>
        <color auto="1"/>
      </font>
      <border>
        <left style="thin">
          <color auto="1"/>
        </left>
        <right style="thin">
          <color auto="1"/>
        </right>
        <top style="thin">
          <color auto="1"/>
        </top>
        <bottom style="thin">
          <color auto="1"/>
        </bottom>
      </border>
    </dxf>
    <dxf>
      <font>
        <color theme="1"/>
      </font>
      <fill>
        <patternFill patternType="none">
          <bgColor auto="1"/>
        </patternFill>
      </fill>
      <border>
        <left/>
        <right/>
        <top/>
        <bottom/>
      </border>
    </dxf>
    <dxf>
      <numFmt numFmtId="19" formatCode="dd/mm/yyyy"/>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color rgb="FFFF0000"/>
      </font>
    </dxf>
    <dxf>
      <font>
        <color theme="1"/>
      </font>
    </dxf>
    <dxf>
      <font>
        <color theme="1"/>
      </font>
    </dxf>
    <dxf>
      <font>
        <color theme="1"/>
      </font>
    </dxf>
    <dxf>
      <font>
        <color auto="1"/>
        <name val="Calibri Light"/>
        <scheme val="none"/>
      </font>
      <fill>
        <patternFill>
          <bgColor theme="0"/>
        </patternFill>
      </fill>
    </dxf>
    <dxf>
      <font>
        <b/>
        <i val="0"/>
        <color rgb="FF00B050"/>
      </font>
      <fill>
        <patternFill patternType="none">
          <bgColor auto="1"/>
        </patternFill>
      </fill>
    </dxf>
    <dxf>
      <font>
        <b/>
        <i val="0"/>
        <color theme="0"/>
      </font>
      <fill>
        <patternFill>
          <bgColor rgb="FFFF0000"/>
        </patternFill>
      </fill>
    </dxf>
    <dxf>
      <font>
        <color theme="0"/>
      </font>
    </dxf>
    <dxf>
      <font>
        <color theme="0"/>
      </font>
    </dxf>
    <dxf>
      <font>
        <color theme="1"/>
      </font>
      <fill>
        <patternFill>
          <bgColor theme="0" tint="-0.14996795556505021"/>
        </patternFill>
      </fill>
    </dxf>
    <dxf>
      <font>
        <color theme="1"/>
      </font>
    </dxf>
    <dxf>
      <font>
        <color theme="1"/>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fill>
        <patternFill>
          <bgColor theme="0" tint="-0.14996795556505021"/>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ill>
        <patternFill>
          <bgColor theme="9" tint="0.59996337778862885"/>
        </patternFill>
      </fill>
    </dxf>
    <dxf>
      <fill>
        <patternFill>
          <bgColor rgb="FFFFFFCC"/>
        </patternFill>
      </fill>
    </dxf>
    <dxf>
      <font>
        <color theme="0"/>
      </font>
    </dxf>
    <dxf>
      <font>
        <color theme="0"/>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0"/>
      </font>
    </dxf>
    <dxf>
      <font>
        <color theme="0"/>
      </font>
    </dxf>
    <dxf>
      <font>
        <color theme="0"/>
      </font>
    </dxf>
    <dxf>
      <font>
        <color theme="0"/>
      </font>
    </dxf>
    <dxf>
      <font>
        <color theme="0"/>
      </font>
    </dxf>
    <dxf>
      <fill>
        <patternFill>
          <bgColor theme="0" tint="-0.14996795556505021"/>
        </patternFill>
      </fill>
    </dxf>
    <dxf>
      <font>
        <color rgb="FFFF0000"/>
      </font>
    </dxf>
    <dxf>
      <fill>
        <patternFill>
          <bgColor theme="0" tint="-0.14996795556505021"/>
        </patternFill>
      </fill>
    </dxf>
    <dxf>
      <font>
        <color theme="1"/>
      </font>
      <fill>
        <patternFill>
          <bgColor theme="0" tint="-0.14996795556505021"/>
        </patternFill>
      </fill>
    </dxf>
    <dxf>
      <font>
        <color theme="0"/>
      </font>
      <fill>
        <patternFill>
          <bgColor rgb="FFFF0000"/>
        </patternFill>
      </fill>
    </dxf>
    <dxf>
      <font>
        <b val="0"/>
        <i val="0"/>
        <strike val="0"/>
        <condense val="0"/>
        <extend val="0"/>
        <outline val="0"/>
        <shadow val="0"/>
        <u val="none"/>
        <vertAlign val="baseline"/>
        <sz val="11"/>
        <color theme="1"/>
        <name val="Calibri"/>
        <family val="2"/>
        <scheme val="minor"/>
      </font>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border outline="0">
        <top style="thin">
          <color indexed="64"/>
        </top>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border outline="0">
        <top style="thin">
          <color indexed="64"/>
        </top>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top style="thin">
          <color indexed="64"/>
        </top>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FF00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border outline="0">
        <top style="thin">
          <color indexed="64"/>
        </top>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0"/>
        <name val="Calibri"/>
        <family val="2"/>
        <scheme val="minor"/>
      </font>
      <fill>
        <patternFill patternType="solid">
          <fgColor indexed="64"/>
          <bgColor rgb="FFFF0000"/>
        </patternFill>
      </fill>
      <alignment horizontal="center" vertical="bottom" textRotation="0" wrapText="0" indent="0" justifyLastLine="0" shrinkToFit="0" readingOrder="0"/>
    </dxf>
    <dxf>
      <border outline="0">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border outline="0">
        <left style="thin">
          <color theme="4" tint="0.39997558519241921"/>
        </left>
        <top style="thin">
          <color theme="4" tint="0.39997558519241921"/>
        </top>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font>
        <b/>
        <i val="0"/>
        <strike val="0"/>
        <condense val="0"/>
        <extend val="0"/>
        <outline val="0"/>
        <shadow val="0"/>
        <u val="none"/>
        <vertAlign val="baseline"/>
        <sz val="11"/>
        <color theme="0"/>
        <name val="Calibri"/>
        <scheme val="minor"/>
      </font>
      <fill>
        <patternFill patternType="solid">
          <fgColor indexed="64"/>
          <bgColor rgb="FFFF0000"/>
        </patternFill>
      </fill>
      <alignment horizontal="center" vertical="bottom" textRotation="0" wrapText="0" indent="0" justifyLastLine="0" shrinkToFit="0" readingOrder="0"/>
      <protection locked="1" hidden="1"/>
    </dxf>
    <dxf>
      <protection locked="1" hidden="1"/>
    </dxf>
    <dxf>
      <protection locked="1" hidden="1"/>
    </dxf>
    <dxf>
      <font>
        <b/>
        <i val="0"/>
        <strike val="0"/>
        <condense val="0"/>
        <extend val="0"/>
        <outline val="0"/>
        <shadow val="0"/>
        <u val="none"/>
        <vertAlign val="baseline"/>
        <sz val="11"/>
        <color theme="0"/>
        <name val="Calibri"/>
        <scheme val="minor"/>
      </font>
      <fill>
        <patternFill patternType="solid">
          <fgColor indexed="64"/>
          <bgColor rgb="FFFF0000"/>
        </patternFill>
      </fill>
      <alignment horizontal="center" vertical="bottom" textRotation="0" wrapText="0" indent="0" justifyLastLine="0" shrinkToFit="0" readingOrder="0"/>
      <protection locked="1" hidden="1"/>
    </dxf>
    <dxf>
      <protection locked="1" hidden="1"/>
    </dxf>
    <dxf>
      <protection locked="1" hidden="1"/>
    </dxf>
    <dxf>
      <font>
        <b/>
        <i val="0"/>
        <strike val="0"/>
        <condense val="0"/>
        <extend val="0"/>
        <outline val="0"/>
        <shadow val="0"/>
        <u val="none"/>
        <vertAlign val="baseline"/>
        <sz val="11"/>
        <color theme="0"/>
        <name val="Calibri"/>
        <scheme val="minor"/>
      </font>
      <fill>
        <patternFill patternType="solid">
          <fgColor indexed="64"/>
          <bgColor rgb="FFFF0000"/>
        </patternFill>
      </fill>
      <alignment horizontal="center" vertical="bottom" textRotation="0" wrapText="0" indent="0" justifyLastLine="0" shrinkToFit="0" readingOrder="0"/>
      <protection locked="1" hidden="1"/>
    </dxf>
    <dxf>
      <protection locked="1" hidden="1"/>
    </dxf>
    <dxf>
      <protection locked="1" hidden="1"/>
    </dxf>
    <dxf>
      <font>
        <b/>
        <i val="0"/>
        <strike val="0"/>
        <condense val="0"/>
        <extend val="0"/>
        <outline val="0"/>
        <shadow val="0"/>
        <u val="none"/>
        <vertAlign val="baseline"/>
        <sz val="11"/>
        <color theme="0"/>
        <name val="Calibri"/>
        <scheme val="minor"/>
      </font>
      <fill>
        <patternFill patternType="solid">
          <fgColor indexed="64"/>
          <bgColor rgb="FFFF0000"/>
        </patternFill>
      </fill>
      <alignment horizontal="center" vertical="bottom" textRotation="0" wrapText="0" indent="0" justifyLastLine="0" shrinkToFit="0" readingOrder="0"/>
      <protection locked="1" hidden="1"/>
    </dxf>
    <dxf>
      <protection locked="1" hidden="1"/>
    </dxf>
    <dxf>
      <protection locked="1" hidden="1"/>
    </dxf>
    <dxf>
      <font>
        <b/>
        <i val="0"/>
        <strike val="0"/>
        <condense val="0"/>
        <extend val="0"/>
        <outline val="0"/>
        <shadow val="0"/>
        <u val="none"/>
        <vertAlign val="baseline"/>
        <sz val="11"/>
        <color theme="0"/>
        <name val="Calibri"/>
        <scheme val="minor"/>
      </font>
      <fill>
        <patternFill patternType="solid">
          <fgColor indexed="64"/>
          <bgColor rgb="FFFF0000"/>
        </patternFill>
      </fill>
      <alignment horizontal="center" vertical="bottom" textRotation="0" wrapText="0" indent="0" justifyLastLine="0" shrinkToFit="0" readingOrder="0"/>
      <protection locked="1" hidden="1"/>
    </dxf>
    <dxf>
      <protection locked="1" hidden="1"/>
    </dxf>
    <dxf>
      <protection locked="1" hidden="1"/>
    </dxf>
    <dxf>
      <font>
        <b/>
        <i val="0"/>
        <strike val="0"/>
        <condense val="0"/>
        <extend val="0"/>
        <outline val="0"/>
        <shadow val="0"/>
        <u val="none"/>
        <vertAlign val="baseline"/>
        <sz val="11"/>
        <color theme="0"/>
        <name val="Calibri"/>
        <scheme val="minor"/>
      </font>
      <fill>
        <patternFill patternType="solid">
          <fgColor indexed="64"/>
          <bgColor rgb="FFFF0000"/>
        </patternFill>
      </fill>
      <alignment horizontal="center" vertical="bottom" textRotation="0" wrapText="0" indent="0" justifyLastLine="0" shrinkToFit="0" readingOrder="0"/>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fill>
        <gradientFill degree="90">
          <stop position="0">
            <color theme="0"/>
          </stop>
          <stop position="1">
            <color rgb="FFFF0000"/>
          </stop>
        </gradientFill>
      </fill>
    </dxf>
    <dxf>
      <font>
        <color theme="9" tint="0.79998168889431442"/>
      </font>
      <fill>
        <patternFill>
          <bgColor theme="9" tint="0.79998168889431442"/>
        </patternFill>
      </fill>
    </dxf>
    <dxf>
      <fill>
        <gradientFill degree="90">
          <stop position="0">
            <color theme="0"/>
          </stop>
          <stop position="1">
            <color rgb="FFFF0000"/>
          </stop>
        </gradientFill>
      </fill>
    </dxf>
    <dxf>
      <fill>
        <patternFill>
          <bgColor theme="9" tint="0.79998168889431442"/>
        </patternFill>
      </fill>
    </dxf>
    <dxf>
      <alignment horizontal="left" vertical="center" textRotation="0" wrapText="0" indent="0" justifyLastLine="0" shrinkToFit="0" readingOrder="0"/>
    </dxf>
    <dxf>
      <numFmt numFmtId="192" formatCode="m/d/yyyy"/>
      <alignment horizontal="general" vertical="center" textRotation="0" wrapText="1" indent="0" justifyLastLine="0" shrinkToFit="0" readingOrder="0"/>
    </dxf>
    <dxf>
      <numFmt numFmtId="192" formatCode="m/d/yyyy"/>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1"/>
        <color theme="0"/>
        <name val="Calibri"/>
        <family val="2"/>
        <scheme val="minor"/>
      </font>
      <fill>
        <patternFill patternType="solid">
          <fgColor indexed="64"/>
          <bgColor theme="1"/>
        </patternFill>
      </fill>
      <alignment horizontal="center" vertical="center" textRotation="0" wrapText="0" indent="0" justifyLastLine="0" shrinkToFit="0" readingOrder="0"/>
    </dxf>
  </dxfs>
  <tableStyles count="0" defaultTableStyle="TableStyleMedium2" defaultPivotStyle="PivotStyleLight16"/>
  <colors>
    <mruColors>
      <color rgb="FFFFFF99"/>
      <color rgb="FFFFFFCC"/>
      <color rgb="FFFFFFFF"/>
      <color rgb="FFE7E6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fmlaLink="$BM$43" lockText="1" noThreeD="1"/>
</file>

<file path=xl/ctrlProps/ctrlProp2.xml><?xml version="1.0" encoding="utf-8"?>
<formControlPr xmlns="http://schemas.microsoft.com/office/spreadsheetml/2009/9/main" objectType="CheckBox" checked="Checked" fmlaLink="$BM$44" lockText="1" noThreeD="1"/>
</file>

<file path=xl/ctrlProps/ctrlProp3.xml><?xml version="1.0" encoding="utf-8"?>
<formControlPr xmlns="http://schemas.microsoft.com/office/spreadsheetml/2009/9/main" objectType="CheckBox" checked="Checked" fmlaLink="$BN$43" lockText="1" noThreeD="1"/>
</file>

<file path=xl/ctrlProps/ctrlProp4.xml><?xml version="1.0" encoding="utf-8"?>
<formControlPr xmlns="http://schemas.microsoft.com/office/spreadsheetml/2009/9/main" objectType="CheckBox" checked="Checked" fmlaLink="$BN$44" lockText="1" noThreeD="1"/>
</file>

<file path=xl/ctrlProps/ctrlProp5.xml><?xml version="1.0" encoding="utf-8"?>
<formControlPr xmlns="http://schemas.microsoft.com/office/spreadsheetml/2009/9/main" objectType="CheckBox" checked="Checked" fmlaLink="$BO$43" lockText="1" noThreeD="1"/>
</file>

<file path=xl/ctrlProps/ctrlProp6.xml><?xml version="1.0" encoding="utf-8"?>
<formControlPr xmlns="http://schemas.microsoft.com/office/spreadsheetml/2009/9/main" objectType="CheckBox" checked="Checked" fmlaLink="$BO$44" lockText="1" noThreeD="1"/>
</file>

<file path=xl/ctrlProps/ctrlProp7.xml><?xml version="1.0" encoding="utf-8"?>
<formControlPr xmlns="http://schemas.microsoft.com/office/spreadsheetml/2009/9/main" objectType="CheckBox" checked="Checked" fmlaLink="$BP$43" lockText="1" noThreeD="1"/>
</file>

<file path=xl/ctrlProps/ctrlProp8.xml><?xml version="1.0" encoding="utf-8"?>
<formControlPr xmlns="http://schemas.microsoft.com/office/spreadsheetml/2009/9/main" objectType="CheckBox" checked="Checked" fmlaLink="$BP$44" lockText="1" noThreeD="1"/>
</file>

<file path=xl/ctrlProps/ctrlProp9.xml><?xml version="1.0" encoding="utf-8"?>
<formControlPr xmlns="http://schemas.microsoft.com/office/spreadsheetml/2009/9/main" objectType="CheckBox" checked="Checked" fmlaLink="$BQ$43" lockText="1" noThreeD="1"/>
</file>

<file path=xl/ctrlProps/ctrlProp10.xml><?xml version="1.0" encoding="utf-8"?>
<formControlPr xmlns="http://schemas.microsoft.com/office/spreadsheetml/2009/9/main" objectType="CheckBox" checked="Checked" fmlaLink="$BQ$44" lockText="1" noThreeD="1"/>
</file>

<file path=xl/ctrlProps/ctrlProp11.xml><?xml version="1.0" encoding="utf-8"?>
<formControlPr xmlns="http://schemas.microsoft.com/office/spreadsheetml/2009/9/main" objectType="CheckBox" checked="Checked" fmlaLink="$BR$43" lockText="1" noThreeD="1"/>
</file>

<file path=xl/ctrlProps/ctrlProp12.xml><?xml version="1.0" encoding="utf-8"?>
<formControlPr xmlns="http://schemas.microsoft.com/office/spreadsheetml/2009/9/main" objectType="CheckBox" checked="Checked" fmlaLink="$BR$44" lockText="1" noThreeD="1"/>
</file>

<file path=xl/ctrlProps/ctrlProp13.xml><?xml version="1.0" encoding="utf-8"?>
<formControlPr xmlns="http://schemas.microsoft.com/office/spreadsheetml/2009/9/main" objectType="CheckBox" checked="Checked" fmlaLink="$BS$43" lockText="1" noThreeD="1"/>
</file>

<file path=xl/ctrlProps/ctrlProp14.xml><?xml version="1.0" encoding="utf-8"?>
<formControlPr xmlns="http://schemas.microsoft.com/office/spreadsheetml/2009/9/main" objectType="CheckBox" checked="Checked" fmlaLink="$BS$44" lockText="1" noThreeD="1"/>
</file>

<file path=xl/ctrlProps/ctrlProp15.xml><?xml version="1.0" encoding="utf-8"?>
<formControlPr xmlns="http://schemas.microsoft.com/office/spreadsheetml/2009/9/main" objectType="CheckBox" checked="Checked" fmlaLink="$BT$43" lockText="1" noThreeD="1"/>
</file>

<file path=xl/ctrlProps/ctrlProp16.xml><?xml version="1.0" encoding="utf-8"?>
<formControlPr xmlns="http://schemas.microsoft.com/office/spreadsheetml/2009/9/main" objectType="CheckBox" checked="Checked" fmlaLink="$BT$44" lockText="1" noThreeD="1"/>
</file>

<file path=xl/ctrlProps/ctrlProp17.xml><?xml version="1.0" encoding="utf-8"?>
<formControlPr xmlns="http://schemas.microsoft.com/office/spreadsheetml/2009/9/main" objectType="CheckBox" checked="Checked" fmlaLink="$BU$43" lockText="1" noThreeD="1"/>
</file>

<file path=xl/ctrlProps/ctrlProp18.xml><?xml version="1.0" encoding="utf-8"?>
<formControlPr xmlns="http://schemas.microsoft.com/office/spreadsheetml/2009/9/main" objectType="CheckBox" checked="Checked" fmlaLink="$BU$44" lockText="1" noThreeD="1"/>
</file>

<file path=xl/ctrlProps/ctrlProp19.xml><?xml version="1.0" encoding="utf-8"?>
<formControlPr xmlns="http://schemas.microsoft.com/office/spreadsheetml/2009/9/main" objectType="CheckBox" checked="Checked" fmlaLink="$BV$43" lockText="1" noThreeD="1"/>
</file>

<file path=xl/ctrlProps/ctrlProp20.xml><?xml version="1.0" encoding="utf-8"?>
<formControlPr xmlns="http://schemas.microsoft.com/office/spreadsheetml/2009/9/main" objectType="CheckBox" checked="Checked" fmlaLink="$BV$44" lockText="1" noThreeD="1"/>
</file>

<file path=xl/ctrlProps/ctrlProp21.xml><?xml version="1.0" encoding="utf-8"?>
<formControlPr xmlns="http://schemas.microsoft.com/office/spreadsheetml/2009/9/main" objectType="CheckBox" checked="Checked" fmlaLink="$BW$43" lockText="1" noThreeD="1"/>
</file>

<file path=xl/ctrlProps/ctrlProp22.xml><?xml version="1.0" encoding="utf-8"?>
<formControlPr xmlns="http://schemas.microsoft.com/office/spreadsheetml/2009/9/main" objectType="CheckBox" checked="Checked" fmlaLink="$BW$44" lockText="1" noThreeD="1"/>
</file>

<file path=xl/ctrlProps/ctrlProp23.xml><?xml version="1.0" encoding="utf-8"?>
<formControlPr xmlns="http://schemas.microsoft.com/office/spreadsheetml/2009/9/main" objectType="CheckBox" checked="Checked" fmlaLink="$BX$43" lockText="1" noThreeD="1"/>
</file>

<file path=xl/ctrlProps/ctrlProp24.xml><?xml version="1.0" encoding="utf-8"?>
<formControlPr xmlns="http://schemas.microsoft.com/office/spreadsheetml/2009/9/main" objectType="CheckBox" checked="Checked" fmlaLink="$BX$44" lockText="1" noThreeD="1"/>
</file>

<file path=xl/ctrlProps/ctrlProp25.xml><?xml version="1.0" encoding="utf-8"?>
<formControlPr xmlns="http://schemas.microsoft.com/office/spreadsheetml/2009/9/main" objectType="CheckBox" checked="Checked" fmlaLink="$BY$43" lockText="1" noThreeD="1"/>
</file>

<file path=xl/ctrlProps/ctrlProp26.xml><?xml version="1.0" encoding="utf-8"?>
<formControlPr xmlns="http://schemas.microsoft.com/office/spreadsheetml/2009/9/main" objectType="CheckBox" checked="Checked" fmlaLink="$BY$44" lockText="1" noThreeD="1"/>
</file>

<file path=xl/ctrlProps/ctrlProp27.xml><?xml version="1.0" encoding="utf-8"?>
<formControlPr xmlns="http://schemas.microsoft.com/office/spreadsheetml/2009/9/main" objectType="CheckBox" checked="Checked" fmlaLink="$BZ$43" lockText="1" noThreeD="1"/>
</file>

<file path=xl/ctrlProps/ctrlProp28.xml><?xml version="1.0" encoding="utf-8"?>
<formControlPr xmlns="http://schemas.microsoft.com/office/spreadsheetml/2009/9/main" objectType="CheckBox" checked="Checked" fmlaLink="$BZ$44" lockText="1" noThreeD="1"/>
</file>

<file path=xl/ctrlProps/ctrlProp29.xml><?xml version="1.0" encoding="utf-8"?>
<formControlPr xmlns="http://schemas.microsoft.com/office/spreadsheetml/2009/9/main" objectType="CheckBox" checked="Checked" fmlaLink="$CA$43" lockText="1" noThreeD="1"/>
</file>

<file path=xl/ctrlProps/ctrlProp30.xml><?xml version="1.0" encoding="utf-8"?>
<formControlPr xmlns="http://schemas.microsoft.com/office/spreadsheetml/2009/9/main" objectType="CheckBox" checked="Checked" fmlaLink="$CA$44" lockText="1" noThreeD="1"/>
</file>

<file path=xl/ctrlProps/ctrlProp31.xml><?xml version="1.0" encoding="utf-8"?>
<formControlPr xmlns="http://schemas.microsoft.com/office/spreadsheetml/2009/9/main" objectType="CheckBox" checked="Checked" fmlaLink="$CB$43" lockText="1" noThreeD="1"/>
</file>

<file path=xl/ctrlProps/ctrlProp32.xml><?xml version="1.0" encoding="utf-8"?>
<formControlPr xmlns="http://schemas.microsoft.com/office/spreadsheetml/2009/9/main" objectType="CheckBox" checked="Checked" fmlaLink="$CB$44" lockText="1" noThreeD="1"/>
</file>

<file path=xl/ctrlProps/ctrlProp33.xml><?xml version="1.0" encoding="utf-8"?>
<formControlPr xmlns="http://schemas.microsoft.com/office/spreadsheetml/2009/9/main" objectType="CheckBox" checked="Checked" fmlaLink="$CC$43" lockText="1" noThreeD="1"/>
</file>

<file path=xl/ctrlProps/ctrlProp34.xml><?xml version="1.0" encoding="utf-8"?>
<formControlPr xmlns="http://schemas.microsoft.com/office/spreadsheetml/2009/9/main" objectType="CheckBox" checked="Checked" fmlaLink="$CC$44" lockText="1" noThreeD="1"/>
</file>

<file path=xl/ctrlProps/ctrlProp35.xml><?xml version="1.0" encoding="utf-8"?>
<formControlPr xmlns="http://schemas.microsoft.com/office/spreadsheetml/2009/9/main" objectType="CheckBox" checked="Checked" fmlaLink="$CD$43" lockText="1" noThreeD="1"/>
</file>

<file path=xl/ctrlProps/ctrlProp36.xml><?xml version="1.0" encoding="utf-8"?>
<formControlPr xmlns="http://schemas.microsoft.com/office/spreadsheetml/2009/9/main" objectType="CheckBox" checked="Checked" fmlaLink="$CD$44" lockText="1" noThreeD="1"/>
</file>

<file path=xl/ctrlProps/ctrlProp37.xml><?xml version="1.0" encoding="utf-8"?>
<formControlPr xmlns="http://schemas.microsoft.com/office/spreadsheetml/2009/9/main" objectType="CheckBox" checked="Checked" fmlaLink="$CE$43" lockText="1" noThreeD="1"/>
</file>

<file path=xl/ctrlProps/ctrlProp38.xml><?xml version="1.0" encoding="utf-8"?>
<formControlPr xmlns="http://schemas.microsoft.com/office/spreadsheetml/2009/9/main" objectType="CheckBox" checked="Checked" fmlaLink="$CE$44" lockText="1" noThreeD="1"/>
</file>

<file path=xl/ctrlProps/ctrlProp39.xml><?xml version="1.0" encoding="utf-8"?>
<formControlPr xmlns="http://schemas.microsoft.com/office/spreadsheetml/2009/9/main" objectType="CheckBox" checked="Checked" fmlaLink="$CF$43" lockText="1" noThreeD="1"/>
</file>

<file path=xl/ctrlProps/ctrlProp40.xml><?xml version="1.0" encoding="utf-8"?>
<formControlPr xmlns="http://schemas.microsoft.com/office/spreadsheetml/2009/9/main" objectType="CheckBox" checked="Checked" fmlaLink="$CF$44" lockText="1" noThreeD="1"/>
</file>

<file path=xl/ctrlProps/ctrlProp41.xml><?xml version="1.0" encoding="utf-8"?>
<formControlPr xmlns="http://schemas.microsoft.com/office/spreadsheetml/2009/9/main" objectType="CheckBox" fmlaLink="$CG$43" lockText="1" noThreeD="1"/>
</file>

<file path=xl/ctrlProps/ctrlProp42.xml><?xml version="1.0" encoding="utf-8"?>
<formControlPr xmlns="http://schemas.microsoft.com/office/spreadsheetml/2009/9/main" objectType="CheckBox" fmlaLink="$CG$44" lockText="1" noThreeD="1"/>
</file>

<file path=xl/ctrlProps/ctrlProp43.xml><?xml version="1.0" encoding="utf-8"?>
<formControlPr xmlns="http://schemas.microsoft.com/office/spreadsheetml/2009/9/main" objectType="CheckBox" fmlaLink="$CH$43" lockText="1" noThreeD="1"/>
</file>

<file path=xl/ctrlProps/ctrlProp44.xml><?xml version="1.0" encoding="utf-8"?>
<formControlPr xmlns="http://schemas.microsoft.com/office/spreadsheetml/2009/9/main" objectType="CheckBox" fmlaLink="$CH$44" lockText="1" noThreeD="1"/>
</file>

<file path=xl/ctrlProps/ctrlProp45.xml><?xml version="1.0" encoding="utf-8"?>
<formControlPr xmlns="http://schemas.microsoft.com/office/spreadsheetml/2009/9/main" objectType="CheckBox" fmlaLink="$CI$43" lockText="1" noThreeD="1"/>
</file>

<file path=xl/ctrlProps/ctrlProp46.xml><?xml version="1.0" encoding="utf-8"?>
<formControlPr xmlns="http://schemas.microsoft.com/office/spreadsheetml/2009/9/main" objectType="CheckBox" fmlaLink="$CI$44" lockText="1" noThreeD="1"/>
</file>

<file path=xl/ctrlProps/ctrlProp47.xml><?xml version="1.0" encoding="utf-8"?>
<formControlPr xmlns="http://schemas.microsoft.com/office/spreadsheetml/2009/9/main" objectType="CheckBox" fmlaLink="$CJ$43" lockText="1" noThreeD="1"/>
</file>

<file path=xl/ctrlProps/ctrlProp48.xml><?xml version="1.0" encoding="utf-8"?>
<formControlPr xmlns="http://schemas.microsoft.com/office/spreadsheetml/2009/9/main" objectType="CheckBox" fmlaLink="$CJ$44" lockText="1" noThreeD="1"/>
</file>

<file path=xl/ctrlProps/ctrlProp49.xml><?xml version="1.0" encoding="utf-8"?>
<formControlPr xmlns="http://schemas.microsoft.com/office/spreadsheetml/2009/9/main" objectType="CheckBox" fmlaLink="$CK$43" lockText="1" noThreeD="1"/>
</file>

<file path=xl/ctrlProps/ctrlProp50.xml><?xml version="1.0" encoding="utf-8"?>
<formControlPr xmlns="http://schemas.microsoft.com/office/spreadsheetml/2009/9/main" objectType="CheckBox" fmlaLink="$CK$44" lockText="1" noThreeD="1"/>
</file>

<file path=xl/ctrlProps/ctrlProp51.xml><?xml version="1.0" encoding="utf-8"?>
<formControlPr xmlns="http://schemas.microsoft.com/office/spreadsheetml/2009/9/main" objectType="CheckBox" checked="Checked" fmlaLink="$CC$36" lockText="1" noThreeD="1"/>
</file>

<file path=xl/ctrlProps/ctrlProp52.xml><?xml version="1.0" encoding="utf-8"?>
<formControlPr xmlns="http://schemas.microsoft.com/office/spreadsheetml/2009/9/main" objectType="CheckBox" checked="Checked" fmlaLink="$CC$37" lockText="1" noThreeD="1"/>
</file>

<file path=xl/ctrlProps/ctrlProp53.xml><?xml version="1.0" encoding="utf-8"?>
<formControlPr xmlns="http://schemas.microsoft.com/office/spreadsheetml/2009/9/main" objectType="CheckBox" checked="Checked" fmlaLink="$CD$36" lockText="1" noThreeD="1"/>
</file>

<file path=xl/ctrlProps/ctrlProp54.xml><?xml version="1.0" encoding="utf-8"?>
<formControlPr xmlns="http://schemas.microsoft.com/office/spreadsheetml/2009/9/main" objectType="CheckBox" checked="Checked" fmlaLink="$CD$37" lockText="1" noThreeD="1"/>
</file>

<file path=xl/ctrlProps/ctrlProp55.xml><?xml version="1.0" encoding="utf-8"?>
<formControlPr xmlns="http://schemas.microsoft.com/office/spreadsheetml/2009/9/main" objectType="CheckBox" checked="Checked" fmlaLink="$CE$36" lockText="1" noThreeD="1"/>
</file>

<file path=xl/ctrlProps/ctrlProp56.xml><?xml version="1.0" encoding="utf-8"?>
<formControlPr xmlns="http://schemas.microsoft.com/office/spreadsheetml/2009/9/main" objectType="CheckBox" checked="Checked" fmlaLink="$CE$37" lockText="1" noThreeD="1"/>
</file>

<file path=xl/ctrlProps/ctrlProp57.xml><?xml version="1.0" encoding="utf-8"?>
<formControlPr xmlns="http://schemas.microsoft.com/office/spreadsheetml/2009/9/main" objectType="CheckBox" checked="Checked" fmlaLink="$CF$36" lockText="1" noThreeD="1"/>
</file>

<file path=xl/ctrlProps/ctrlProp58.xml><?xml version="1.0" encoding="utf-8"?>
<formControlPr xmlns="http://schemas.microsoft.com/office/spreadsheetml/2009/9/main" objectType="CheckBox" checked="Checked" fmlaLink="$CF$37" lockText="1" noThreeD="1"/>
</file>

<file path=xl/ctrlProps/ctrlProp59.xml><?xml version="1.0" encoding="utf-8"?>
<formControlPr xmlns="http://schemas.microsoft.com/office/spreadsheetml/2009/9/main" objectType="CheckBox" checked="Checked" fmlaLink="$CG$36" lockText="1" noThreeD="1"/>
</file>

<file path=xl/ctrlProps/ctrlProp60.xml><?xml version="1.0" encoding="utf-8"?>
<formControlPr xmlns="http://schemas.microsoft.com/office/spreadsheetml/2009/9/main" objectType="CheckBox" checked="Checked" fmlaLink="$CG$37" lockText="1" noThreeD="1"/>
</file>

<file path=xl/ctrlProps/ctrlProp61.xml><?xml version="1.0" encoding="utf-8"?>
<formControlPr xmlns="http://schemas.microsoft.com/office/spreadsheetml/2009/9/main" objectType="CheckBox" checked="Checked" fmlaLink="$CH$36" lockText="1" noThreeD="1"/>
</file>

<file path=xl/ctrlProps/ctrlProp62.xml><?xml version="1.0" encoding="utf-8"?>
<formControlPr xmlns="http://schemas.microsoft.com/office/spreadsheetml/2009/9/main" objectType="CheckBox" checked="Checked" fmlaLink="$CH$37" lockText="1" noThreeD="1"/>
</file>

<file path=xl/ctrlProps/ctrlProp63.xml><?xml version="1.0" encoding="utf-8"?>
<formControlPr xmlns="http://schemas.microsoft.com/office/spreadsheetml/2009/9/main" objectType="CheckBox" checked="Checked" fmlaLink="$CI$36" lockText="1" noThreeD="1"/>
</file>

<file path=xl/ctrlProps/ctrlProp64.xml><?xml version="1.0" encoding="utf-8"?>
<formControlPr xmlns="http://schemas.microsoft.com/office/spreadsheetml/2009/9/main" objectType="CheckBox" checked="Checked" fmlaLink="$CI$37" lockText="1" noThreeD="1"/>
</file>

<file path=xl/ctrlProps/ctrlProp65.xml><?xml version="1.0" encoding="utf-8"?>
<formControlPr xmlns="http://schemas.microsoft.com/office/spreadsheetml/2009/9/main" objectType="CheckBox" checked="Checked" fmlaLink="$CJ$36" lockText="1" noThreeD="1"/>
</file>

<file path=xl/ctrlProps/ctrlProp66.xml><?xml version="1.0" encoding="utf-8"?>
<formControlPr xmlns="http://schemas.microsoft.com/office/spreadsheetml/2009/9/main" objectType="CheckBox" checked="Checked" fmlaLink="$CJ$37" lockText="1" noThreeD="1"/>
</file>

<file path=xl/ctrlProps/ctrlProp67.xml><?xml version="1.0" encoding="utf-8"?>
<formControlPr xmlns="http://schemas.microsoft.com/office/spreadsheetml/2009/9/main" objectType="CheckBox" checked="Checked" fmlaLink="$CK$36" lockText="1" noThreeD="1"/>
</file>

<file path=xl/ctrlProps/ctrlProp68.xml><?xml version="1.0" encoding="utf-8"?>
<formControlPr xmlns="http://schemas.microsoft.com/office/spreadsheetml/2009/9/main" objectType="CheckBox" checked="Checked" fmlaLink="$CK$37" lockText="1" noThreeD="1"/>
</file>

<file path=xl/ctrlProps/ctrlProp69.xml><?xml version="1.0" encoding="utf-8"?>
<formControlPr xmlns="http://schemas.microsoft.com/office/spreadsheetml/2009/9/main" objectType="CheckBox" checked="Checked" fmlaLink="$CL$36" lockText="1" noThreeD="1"/>
</file>

<file path=xl/ctrlProps/ctrlProp70.xml><?xml version="1.0" encoding="utf-8"?>
<formControlPr xmlns="http://schemas.microsoft.com/office/spreadsheetml/2009/9/main" objectType="CheckBox" checked="Checked" fmlaLink="$CL$37" lockText="1" noThreeD="1"/>
</file>

<file path=xl/ctrlProps/ctrlProp71.xml><?xml version="1.0" encoding="utf-8"?>
<formControlPr xmlns="http://schemas.microsoft.com/office/spreadsheetml/2009/9/main" objectType="CheckBox" checked="Checked" fmlaLink="$CM$36" lockText="1" noThreeD="1"/>
</file>

<file path=xl/ctrlProps/ctrlProp72.xml><?xml version="1.0" encoding="utf-8"?>
<formControlPr xmlns="http://schemas.microsoft.com/office/spreadsheetml/2009/9/main" objectType="CheckBox" checked="Checked" fmlaLink="$CM$37" lockText="1" noThreeD="1"/>
</file>

<file path=xl/ctrlProps/ctrlProp73.xml><?xml version="1.0" encoding="utf-8"?>
<formControlPr xmlns="http://schemas.microsoft.com/office/spreadsheetml/2009/9/main" objectType="CheckBox" checked="Checked" fmlaLink="$CN$36" lockText="1" noThreeD="1"/>
</file>

<file path=xl/ctrlProps/ctrlProp74.xml><?xml version="1.0" encoding="utf-8"?>
<formControlPr xmlns="http://schemas.microsoft.com/office/spreadsheetml/2009/9/main" objectType="CheckBox" checked="Checked" fmlaLink="$CN$37" lockText="1" noThreeD="1"/>
</file>

<file path=xl/ctrlProps/ctrlProp75.xml><?xml version="1.0" encoding="utf-8"?>
<formControlPr xmlns="http://schemas.microsoft.com/office/spreadsheetml/2009/9/main" objectType="CheckBox" checked="Checked" fmlaLink="$CO$36" lockText="1" noThreeD="1"/>
</file>

<file path=xl/ctrlProps/ctrlProp76.xml><?xml version="1.0" encoding="utf-8"?>
<formControlPr xmlns="http://schemas.microsoft.com/office/spreadsheetml/2009/9/main" objectType="CheckBox" checked="Checked" fmlaLink="$CO$37" lockText="1" noThreeD="1"/>
</file>

<file path=xl/ctrlProps/ctrlProp77.xml><?xml version="1.0" encoding="utf-8"?>
<formControlPr xmlns="http://schemas.microsoft.com/office/spreadsheetml/2009/9/main" objectType="CheckBox" checked="Checked" fmlaLink="$CP$36" lockText="1" noThreeD="1"/>
</file>

<file path=xl/ctrlProps/ctrlProp78.xml><?xml version="1.0" encoding="utf-8"?>
<formControlPr xmlns="http://schemas.microsoft.com/office/spreadsheetml/2009/9/main" objectType="CheckBox" checked="Checked" fmlaLink="$CP$37" lockText="1" noThreeD="1"/>
</file>

<file path=xl/ctrlProps/ctrlProp79.xml><?xml version="1.0" encoding="utf-8"?>
<formControlPr xmlns="http://schemas.microsoft.com/office/spreadsheetml/2009/9/main" objectType="CheckBox" checked="Checked" fmlaLink="$CQ$36" lockText="1" noThreeD="1"/>
</file>

<file path=xl/ctrlProps/ctrlProp80.xml><?xml version="1.0" encoding="utf-8"?>
<formControlPr xmlns="http://schemas.microsoft.com/office/spreadsheetml/2009/9/main" objectType="CheckBox" checked="Checked" fmlaLink="$CQ$37" lockText="1" noThreeD="1"/>
</file>

<file path=xl/ctrlProps/ctrlProp81.xml><?xml version="1.0" encoding="utf-8"?>
<formControlPr xmlns="http://schemas.microsoft.com/office/spreadsheetml/2009/9/main" objectType="CheckBox" checked="Checked" fmlaLink="$CR$36" lockText="1" noThreeD="1"/>
</file>

<file path=xl/ctrlProps/ctrlProp82.xml><?xml version="1.0" encoding="utf-8"?>
<formControlPr xmlns="http://schemas.microsoft.com/office/spreadsheetml/2009/9/main" objectType="CheckBox" checked="Checked" fmlaLink="$CR$37" lockText="1" noThreeD="1"/>
</file>

<file path=xl/ctrlProps/ctrlProp83.xml><?xml version="1.0" encoding="utf-8"?>
<formControlPr xmlns="http://schemas.microsoft.com/office/spreadsheetml/2009/9/main" objectType="CheckBox" checked="Checked" fmlaLink="$CS$36" lockText="1" noThreeD="1"/>
</file>

<file path=xl/ctrlProps/ctrlProp84.xml><?xml version="1.0" encoding="utf-8"?>
<formControlPr xmlns="http://schemas.microsoft.com/office/spreadsheetml/2009/9/main" objectType="CheckBox" checked="Checked" fmlaLink="$CS$37" lockText="1" noThreeD="1"/>
</file>

<file path=xl/ctrlProps/ctrlProp85.xml><?xml version="1.0" encoding="utf-8"?>
<formControlPr xmlns="http://schemas.microsoft.com/office/spreadsheetml/2009/9/main" objectType="CheckBox" checked="Checked" fmlaLink="$CT$36" lockText="1" noThreeD="1"/>
</file>

<file path=xl/ctrlProps/ctrlProp86.xml><?xml version="1.0" encoding="utf-8"?>
<formControlPr xmlns="http://schemas.microsoft.com/office/spreadsheetml/2009/9/main" objectType="CheckBox" checked="Checked" fmlaLink="$CT$37" lockText="1" noThreeD="1"/>
</file>

<file path=xl/ctrlProps/ctrlProp87.xml><?xml version="1.0" encoding="utf-8"?>
<formControlPr xmlns="http://schemas.microsoft.com/office/spreadsheetml/2009/9/main" objectType="CheckBox" checked="Checked" fmlaLink="$CU$36" lockText="1" noThreeD="1"/>
</file>

<file path=xl/ctrlProps/ctrlProp88.xml><?xml version="1.0" encoding="utf-8"?>
<formControlPr xmlns="http://schemas.microsoft.com/office/spreadsheetml/2009/9/main" objectType="CheckBox" checked="Checked" fmlaLink="$CU$37" lockText="1" noThreeD="1"/>
</file>

<file path=xl/ctrlProps/ctrlProp89.xml><?xml version="1.0" encoding="utf-8"?>
<formControlPr xmlns="http://schemas.microsoft.com/office/spreadsheetml/2009/9/main" objectType="CheckBox" checked="Checked" fmlaLink="$CV$36" lockText="1" noThreeD="1"/>
</file>

<file path=xl/ctrlProps/ctrlProp90.xml><?xml version="1.0" encoding="utf-8"?>
<formControlPr xmlns="http://schemas.microsoft.com/office/spreadsheetml/2009/9/main" objectType="CheckBox" checked="Checked" fmlaLink="$CV$37" lockText="1" noThreeD="1"/>
</file>

<file path=xl/ctrlProps/ctrlProp91.xml><?xml version="1.0" encoding="utf-8"?>
<formControlPr xmlns="http://schemas.microsoft.com/office/spreadsheetml/2009/9/main" objectType="CheckBox" checked="Checked" fmlaLink="$CW$36" lockText="1" noThreeD="1"/>
</file>

<file path=xl/ctrlProps/ctrlProp92.xml><?xml version="1.0" encoding="utf-8"?>
<formControlPr xmlns="http://schemas.microsoft.com/office/spreadsheetml/2009/9/main" objectType="CheckBox" checked="Checked" fmlaLink="$CW$37" lockText="1" noThreeD="1"/>
</file>

<file path=xl/ctrlProps/ctrlProp93.xml><?xml version="1.0" encoding="utf-8"?>
<formControlPr xmlns="http://schemas.microsoft.com/office/spreadsheetml/2009/9/main" objectType="CheckBox" fmlaLink="$CX$36" lockText="1" noThreeD="1"/>
</file>

<file path=xl/ctrlProps/ctrlProp94.xml><?xml version="1.0" encoding="utf-8"?>
<formControlPr xmlns="http://schemas.microsoft.com/office/spreadsheetml/2009/9/main" objectType="CheckBox" checked="Checked" fmlaLink="$CX$37" lockText="1" noThreeD="1"/>
</file>

<file path=xl/ctrlProps/ctrlProp95.xml><?xml version="1.0" encoding="utf-8"?>
<formControlPr xmlns="http://schemas.microsoft.com/office/spreadsheetml/2009/9/main" objectType="CheckBox" checked="Checked" fmlaLink="$BM$43" lockText="1" noThreeD="1"/>
</file>

<file path=xl/ctrlProps/ctrlProp96.xml><?xml version="1.0" encoding="utf-8"?>
<formControlPr xmlns="http://schemas.microsoft.com/office/spreadsheetml/2009/9/main" objectType="CheckBox" checked="Checked" fmlaLink="$BM$44" lockText="1" noThreeD="1"/>
</file>

<file path=xl/ctrlProps/ctrlProp97.xml><?xml version="1.0" encoding="utf-8"?>
<formControlPr xmlns="http://schemas.microsoft.com/office/spreadsheetml/2009/9/main" objectType="CheckBox" checked="Checked" fmlaLink="$BN$43" lockText="1" noThreeD="1"/>
</file>

<file path=xl/ctrlProps/ctrlProp98.xml><?xml version="1.0" encoding="utf-8"?>
<formControlPr xmlns="http://schemas.microsoft.com/office/spreadsheetml/2009/9/main" objectType="CheckBox" checked="Checked" fmlaLink="$BN$44" lockText="1" noThreeD="1"/>
</file>

<file path=xl/ctrlProps/ctrlProp99.xml><?xml version="1.0" encoding="utf-8"?>
<formControlPr xmlns="http://schemas.microsoft.com/office/spreadsheetml/2009/9/main" objectType="CheckBox" checked="Checked" fmlaLink="$BO$43" lockText="1" noThreeD="1"/>
</file>

<file path=xl/ctrlProps/ctrlProp100.xml><?xml version="1.0" encoding="utf-8"?>
<formControlPr xmlns="http://schemas.microsoft.com/office/spreadsheetml/2009/9/main" objectType="CheckBox" checked="Checked" fmlaLink="$BO$44" lockText="1" noThreeD="1"/>
</file>

<file path=xl/ctrlProps/ctrlProp101.xml><?xml version="1.0" encoding="utf-8"?>
<formControlPr xmlns="http://schemas.microsoft.com/office/spreadsheetml/2009/9/main" objectType="CheckBox" checked="Checked" fmlaLink="$BP$43" lockText="1" noThreeD="1"/>
</file>

<file path=xl/ctrlProps/ctrlProp102.xml><?xml version="1.0" encoding="utf-8"?>
<formControlPr xmlns="http://schemas.microsoft.com/office/spreadsheetml/2009/9/main" objectType="CheckBox" checked="Checked" fmlaLink="$BP$44" lockText="1" noThreeD="1"/>
</file>

<file path=xl/ctrlProps/ctrlProp103.xml><?xml version="1.0" encoding="utf-8"?>
<formControlPr xmlns="http://schemas.microsoft.com/office/spreadsheetml/2009/9/main" objectType="CheckBox" checked="Checked" fmlaLink="$BQ$43" lockText="1" noThreeD="1"/>
</file>

<file path=xl/ctrlProps/ctrlProp104.xml><?xml version="1.0" encoding="utf-8"?>
<formControlPr xmlns="http://schemas.microsoft.com/office/spreadsheetml/2009/9/main" objectType="CheckBox" checked="Checked" fmlaLink="$BQ$44" lockText="1" noThreeD="1"/>
</file>

<file path=xl/ctrlProps/ctrlProp105.xml><?xml version="1.0" encoding="utf-8"?>
<formControlPr xmlns="http://schemas.microsoft.com/office/spreadsheetml/2009/9/main" objectType="CheckBox" checked="Checked" fmlaLink="$BR$43" lockText="1" noThreeD="1"/>
</file>

<file path=xl/ctrlProps/ctrlProp106.xml><?xml version="1.0" encoding="utf-8"?>
<formControlPr xmlns="http://schemas.microsoft.com/office/spreadsheetml/2009/9/main" objectType="CheckBox" checked="Checked" fmlaLink="$BR$44" lockText="1" noThreeD="1"/>
</file>

<file path=xl/ctrlProps/ctrlProp107.xml><?xml version="1.0" encoding="utf-8"?>
<formControlPr xmlns="http://schemas.microsoft.com/office/spreadsheetml/2009/9/main" objectType="CheckBox" checked="Checked" fmlaLink="$BS$43" lockText="1" noThreeD="1"/>
</file>

<file path=xl/ctrlProps/ctrlProp108.xml><?xml version="1.0" encoding="utf-8"?>
<formControlPr xmlns="http://schemas.microsoft.com/office/spreadsheetml/2009/9/main" objectType="CheckBox" checked="Checked" fmlaLink="$BS$44" lockText="1" noThreeD="1"/>
</file>

<file path=xl/ctrlProps/ctrlProp109.xml><?xml version="1.0" encoding="utf-8"?>
<formControlPr xmlns="http://schemas.microsoft.com/office/spreadsheetml/2009/9/main" objectType="CheckBox" checked="Checked" fmlaLink="$BT$43" lockText="1" noThreeD="1"/>
</file>

<file path=xl/ctrlProps/ctrlProp110.xml><?xml version="1.0" encoding="utf-8"?>
<formControlPr xmlns="http://schemas.microsoft.com/office/spreadsheetml/2009/9/main" objectType="CheckBox" checked="Checked" fmlaLink="$BT$44" lockText="1" noThreeD="1"/>
</file>

<file path=xl/ctrlProps/ctrlProp111.xml><?xml version="1.0" encoding="utf-8"?>
<formControlPr xmlns="http://schemas.microsoft.com/office/spreadsheetml/2009/9/main" objectType="CheckBox" checked="Checked" fmlaLink="$BU$43" lockText="1" noThreeD="1"/>
</file>

<file path=xl/ctrlProps/ctrlProp112.xml><?xml version="1.0" encoding="utf-8"?>
<formControlPr xmlns="http://schemas.microsoft.com/office/spreadsheetml/2009/9/main" objectType="CheckBox" checked="Checked" fmlaLink="$BU$44" lockText="1" noThreeD="1"/>
</file>

<file path=xl/ctrlProps/ctrlProp113.xml><?xml version="1.0" encoding="utf-8"?>
<formControlPr xmlns="http://schemas.microsoft.com/office/spreadsheetml/2009/9/main" objectType="CheckBox" checked="Checked" fmlaLink="$BV$43" lockText="1" noThreeD="1"/>
</file>

<file path=xl/ctrlProps/ctrlProp114.xml><?xml version="1.0" encoding="utf-8"?>
<formControlPr xmlns="http://schemas.microsoft.com/office/spreadsheetml/2009/9/main" objectType="CheckBox" checked="Checked" fmlaLink="$BV$44" lockText="1" noThreeD="1"/>
</file>

<file path=xl/ctrlProps/ctrlProp115.xml><?xml version="1.0" encoding="utf-8"?>
<formControlPr xmlns="http://schemas.microsoft.com/office/spreadsheetml/2009/9/main" objectType="CheckBox" checked="Checked" fmlaLink="$BW$43" lockText="1" noThreeD="1"/>
</file>

<file path=xl/ctrlProps/ctrlProp116.xml><?xml version="1.0" encoding="utf-8"?>
<formControlPr xmlns="http://schemas.microsoft.com/office/spreadsheetml/2009/9/main" objectType="CheckBox" checked="Checked" fmlaLink="$BW$44" lockText="1" noThreeD="1"/>
</file>

<file path=xl/ctrlProps/ctrlProp117.xml><?xml version="1.0" encoding="utf-8"?>
<formControlPr xmlns="http://schemas.microsoft.com/office/spreadsheetml/2009/9/main" objectType="CheckBox" checked="Checked" fmlaLink="$BX$43" lockText="1" noThreeD="1"/>
</file>

<file path=xl/ctrlProps/ctrlProp118.xml><?xml version="1.0" encoding="utf-8"?>
<formControlPr xmlns="http://schemas.microsoft.com/office/spreadsheetml/2009/9/main" objectType="CheckBox" checked="Checked" fmlaLink="$BX$44" lockText="1" noThreeD="1"/>
</file>

<file path=xl/ctrlProps/ctrlProp119.xml><?xml version="1.0" encoding="utf-8"?>
<formControlPr xmlns="http://schemas.microsoft.com/office/spreadsheetml/2009/9/main" objectType="CheckBox" checked="Checked" fmlaLink="$BY$43" lockText="1" noThreeD="1"/>
</file>

<file path=xl/ctrlProps/ctrlProp120.xml><?xml version="1.0" encoding="utf-8"?>
<formControlPr xmlns="http://schemas.microsoft.com/office/spreadsheetml/2009/9/main" objectType="CheckBox" checked="Checked" fmlaLink="$BY$44" lockText="1" noThreeD="1"/>
</file>

<file path=xl/ctrlProps/ctrlProp121.xml><?xml version="1.0" encoding="utf-8"?>
<formControlPr xmlns="http://schemas.microsoft.com/office/spreadsheetml/2009/9/main" objectType="CheckBox" checked="Checked" fmlaLink="$BZ$43" lockText="1" noThreeD="1"/>
</file>

<file path=xl/ctrlProps/ctrlProp122.xml><?xml version="1.0" encoding="utf-8"?>
<formControlPr xmlns="http://schemas.microsoft.com/office/spreadsheetml/2009/9/main" objectType="CheckBox" checked="Checked" fmlaLink="$BZ$44" lockText="1" noThreeD="1"/>
</file>

<file path=xl/ctrlProps/ctrlProp123.xml><?xml version="1.0" encoding="utf-8"?>
<formControlPr xmlns="http://schemas.microsoft.com/office/spreadsheetml/2009/9/main" objectType="CheckBox" checked="Checked" fmlaLink="$CA$43" lockText="1" noThreeD="1"/>
</file>

<file path=xl/ctrlProps/ctrlProp124.xml><?xml version="1.0" encoding="utf-8"?>
<formControlPr xmlns="http://schemas.microsoft.com/office/spreadsheetml/2009/9/main" objectType="CheckBox" checked="Checked" fmlaLink="$CA$44" lockText="1" noThreeD="1"/>
</file>

<file path=xl/ctrlProps/ctrlProp125.xml><?xml version="1.0" encoding="utf-8"?>
<formControlPr xmlns="http://schemas.microsoft.com/office/spreadsheetml/2009/9/main" objectType="CheckBox" checked="Checked" fmlaLink="$CB$43" lockText="1" noThreeD="1"/>
</file>

<file path=xl/ctrlProps/ctrlProp126.xml><?xml version="1.0" encoding="utf-8"?>
<formControlPr xmlns="http://schemas.microsoft.com/office/spreadsheetml/2009/9/main" objectType="CheckBox" checked="Checked" fmlaLink="$CB$44" lockText="1" noThreeD="1"/>
</file>

<file path=xl/ctrlProps/ctrlProp127.xml><?xml version="1.0" encoding="utf-8"?>
<formControlPr xmlns="http://schemas.microsoft.com/office/spreadsheetml/2009/9/main" objectType="CheckBox" checked="Checked" fmlaLink="$CC$43" lockText="1" noThreeD="1"/>
</file>

<file path=xl/ctrlProps/ctrlProp128.xml><?xml version="1.0" encoding="utf-8"?>
<formControlPr xmlns="http://schemas.microsoft.com/office/spreadsheetml/2009/9/main" objectType="CheckBox" checked="Checked" fmlaLink="$CC$44" lockText="1" noThreeD="1"/>
</file>

<file path=xl/ctrlProps/ctrlProp129.xml><?xml version="1.0" encoding="utf-8"?>
<formControlPr xmlns="http://schemas.microsoft.com/office/spreadsheetml/2009/9/main" objectType="CheckBox" checked="Checked" fmlaLink="$CD$43" lockText="1" noThreeD="1"/>
</file>

<file path=xl/ctrlProps/ctrlProp130.xml><?xml version="1.0" encoding="utf-8"?>
<formControlPr xmlns="http://schemas.microsoft.com/office/spreadsheetml/2009/9/main" objectType="CheckBox" checked="Checked" fmlaLink="$CD$44" lockText="1" noThreeD="1"/>
</file>

<file path=xl/ctrlProps/ctrlProp131.xml><?xml version="1.0" encoding="utf-8"?>
<formControlPr xmlns="http://schemas.microsoft.com/office/spreadsheetml/2009/9/main" objectType="CheckBox" checked="Checked" fmlaLink="$CE$43" lockText="1" noThreeD="1"/>
</file>

<file path=xl/ctrlProps/ctrlProp132.xml><?xml version="1.0" encoding="utf-8"?>
<formControlPr xmlns="http://schemas.microsoft.com/office/spreadsheetml/2009/9/main" objectType="CheckBox" checked="Checked" fmlaLink="$CE$44" lockText="1" noThreeD="1"/>
</file>

<file path=xl/ctrlProps/ctrlProp133.xml><?xml version="1.0" encoding="utf-8"?>
<formControlPr xmlns="http://schemas.microsoft.com/office/spreadsheetml/2009/9/main" objectType="CheckBox" checked="Checked" fmlaLink="$CF$43" lockText="1" noThreeD="1"/>
</file>

<file path=xl/ctrlProps/ctrlProp134.xml><?xml version="1.0" encoding="utf-8"?>
<formControlPr xmlns="http://schemas.microsoft.com/office/spreadsheetml/2009/9/main" objectType="CheckBox" checked="Checked" fmlaLink="$CF$44" lockText="1" noThreeD="1"/>
</file>

<file path=xl/ctrlProps/ctrlProp135.xml><?xml version="1.0" encoding="utf-8"?>
<formControlPr xmlns="http://schemas.microsoft.com/office/spreadsheetml/2009/9/main" objectType="CheckBox" fmlaLink="$CG$43" lockText="1" noThreeD="1"/>
</file>

<file path=xl/ctrlProps/ctrlProp136.xml><?xml version="1.0" encoding="utf-8"?>
<formControlPr xmlns="http://schemas.microsoft.com/office/spreadsheetml/2009/9/main" objectType="CheckBox" fmlaLink="$CG$44" lockText="1" noThreeD="1"/>
</file>

<file path=xl/ctrlProps/ctrlProp137.xml><?xml version="1.0" encoding="utf-8"?>
<formControlPr xmlns="http://schemas.microsoft.com/office/spreadsheetml/2009/9/main" objectType="CheckBox" fmlaLink="$CH$43" lockText="1" noThreeD="1"/>
</file>

<file path=xl/ctrlProps/ctrlProp138.xml><?xml version="1.0" encoding="utf-8"?>
<formControlPr xmlns="http://schemas.microsoft.com/office/spreadsheetml/2009/9/main" objectType="CheckBox" fmlaLink="$CH$44" lockText="1" noThreeD="1"/>
</file>

<file path=xl/ctrlProps/ctrlProp139.xml><?xml version="1.0" encoding="utf-8"?>
<formControlPr xmlns="http://schemas.microsoft.com/office/spreadsheetml/2009/9/main" objectType="CheckBox" fmlaLink="$CI$43" lockText="1" noThreeD="1"/>
</file>

<file path=xl/ctrlProps/ctrlProp140.xml><?xml version="1.0" encoding="utf-8"?>
<formControlPr xmlns="http://schemas.microsoft.com/office/spreadsheetml/2009/9/main" objectType="CheckBox" fmlaLink="$CI$44" lockText="1" noThreeD="1"/>
</file>

<file path=xl/ctrlProps/ctrlProp141.xml><?xml version="1.0" encoding="utf-8"?>
<formControlPr xmlns="http://schemas.microsoft.com/office/spreadsheetml/2009/9/main" objectType="CheckBox" fmlaLink="$CJ$43" lockText="1" noThreeD="1"/>
</file>

<file path=xl/ctrlProps/ctrlProp142.xml><?xml version="1.0" encoding="utf-8"?>
<formControlPr xmlns="http://schemas.microsoft.com/office/spreadsheetml/2009/9/main" objectType="CheckBox" fmlaLink="$CJ$44" lockText="1" noThreeD="1"/>
</file>

<file path=xl/ctrlProps/ctrlProp143.xml><?xml version="1.0" encoding="utf-8"?>
<formControlPr xmlns="http://schemas.microsoft.com/office/spreadsheetml/2009/9/main" objectType="CheckBox" fmlaLink="$CK$43" lockText="1" noThreeD="1"/>
</file>

<file path=xl/ctrlProps/ctrlProp144.xml><?xml version="1.0" encoding="utf-8"?>
<formControlPr xmlns="http://schemas.microsoft.com/office/spreadsheetml/2009/9/main" objectType="CheckBox" fmlaLink="$CK$4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295274</xdr:colOff>
      <xdr:row>8</xdr:row>
      <xdr:rowOff>9526</xdr:rowOff>
    </xdr:from>
    <xdr:to>
      <xdr:col>5</xdr:col>
      <xdr:colOff>695325</xdr:colOff>
      <xdr:row>11</xdr:row>
      <xdr:rowOff>75286</xdr:rowOff>
    </xdr:to>
    <xdr:sp macro="[0]!Ingresar_a_Caratula" textlink="">
      <xdr:nvSpPr>
        <xdr:cNvPr id="2" name="Rectángulo 1">
          <a:extLst>
            <a:ext uri="{FF2B5EF4-FFF2-40B4-BE49-F238E27FC236}">
              <a16:creationId xmlns:a16="http://schemas.microsoft.com/office/drawing/2014/main" id="{00000000-0008-0000-0000-000002000000}"/>
            </a:ext>
          </a:extLst>
        </xdr:cNvPr>
        <xdr:cNvSpPr/>
      </xdr:nvSpPr>
      <xdr:spPr>
        <a:xfrm>
          <a:off x="2581274" y="1028701"/>
          <a:ext cx="1924051" cy="637260"/>
        </a:xfrm>
        <a:prstGeom prst="rect">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solidFill>
                <a:schemeClr val="tx1"/>
              </a:solidFill>
            </a:rPr>
            <a:t>Hipoteca Full</a:t>
          </a:r>
          <a:r>
            <a:rPr lang="es-MX" sz="1100" b="1" baseline="0">
              <a:solidFill>
                <a:schemeClr val="tx1"/>
              </a:solidFill>
            </a:rPr>
            <a:t> HSBC</a:t>
          </a:r>
          <a:endParaRPr lang="es-MX" sz="1100" b="1">
            <a:solidFill>
              <a:schemeClr val="tx1"/>
            </a:solidFill>
          </a:endParaRPr>
        </a:p>
      </xdr:txBody>
    </xdr:sp>
    <xdr:clientData/>
  </xdr:twoCellAnchor>
  <xdr:twoCellAnchor>
    <xdr:from>
      <xdr:col>6</xdr:col>
      <xdr:colOff>171449</xdr:colOff>
      <xdr:row>8</xdr:row>
      <xdr:rowOff>9525</xdr:rowOff>
    </xdr:from>
    <xdr:to>
      <xdr:col>8</xdr:col>
      <xdr:colOff>571500</xdr:colOff>
      <xdr:row>11</xdr:row>
      <xdr:rowOff>66674</xdr:rowOff>
    </xdr:to>
    <xdr:sp macro="[0]!IngresarConstruccionyRemodelacion" textlink="">
      <xdr:nvSpPr>
        <xdr:cNvPr id="3" name="Rectángulo 2">
          <a:extLst>
            <a:ext uri="{FF2B5EF4-FFF2-40B4-BE49-F238E27FC236}">
              <a16:creationId xmlns:a16="http://schemas.microsoft.com/office/drawing/2014/main" id="{00000000-0008-0000-0000-000003000000}"/>
            </a:ext>
          </a:extLst>
        </xdr:cNvPr>
        <xdr:cNvSpPr/>
      </xdr:nvSpPr>
      <xdr:spPr>
        <a:xfrm>
          <a:off x="4743449" y="1028700"/>
          <a:ext cx="1924051" cy="628649"/>
        </a:xfrm>
        <a:prstGeom prst="rect">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solidFill>
                <a:schemeClr val="tx1"/>
              </a:solidFill>
            </a:rPr>
            <a:t>Construcción y Remodelación</a:t>
          </a:r>
          <a:r>
            <a:rPr lang="es-MX" sz="1100" b="1" baseline="0">
              <a:solidFill>
                <a:schemeClr val="tx1"/>
              </a:solidFill>
            </a:rPr>
            <a:t> </a:t>
          </a:r>
        </a:p>
        <a:p>
          <a:pPr algn="ctr"/>
          <a:r>
            <a:rPr lang="es-MX" sz="1100" b="1">
              <a:solidFill>
                <a:schemeClr val="tx1"/>
              </a:solidFill>
            </a:rPr>
            <a:t>Hipoteca Full</a:t>
          </a:r>
          <a:r>
            <a:rPr lang="es-MX" sz="1100" b="1" baseline="0">
              <a:solidFill>
                <a:schemeClr val="tx1"/>
              </a:solidFill>
            </a:rPr>
            <a:t> HSBC</a:t>
          </a:r>
          <a:endParaRPr lang="es-MX" sz="1100" b="1">
            <a:solidFill>
              <a:schemeClr val="tx1"/>
            </a:solidFill>
          </a:endParaRPr>
        </a:p>
      </xdr:txBody>
    </xdr:sp>
    <xdr:clientData/>
  </xdr:twoCellAnchor>
  <xdr:twoCellAnchor>
    <xdr:from>
      <xdr:col>14</xdr:col>
      <xdr:colOff>146558</xdr:colOff>
      <xdr:row>17</xdr:row>
      <xdr:rowOff>18012</xdr:rowOff>
    </xdr:from>
    <xdr:to>
      <xdr:col>14</xdr:col>
      <xdr:colOff>525957</xdr:colOff>
      <xdr:row>17</xdr:row>
      <xdr:rowOff>182659</xdr:rowOff>
    </xdr:to>
    <xdr:sp macro="[0]!IngresaraLoging" textlink="">
      <xdr:nvSpPr>
        <xdr:cNvPr id="4" name="Rectángulo 3">
          <a:extLst>
            <a:ext uri="{FF2B5EF4-FFF2-40B4-BE49-F238E27FC236}">
              <a16:creationId xmlns:a16="http://schemas.microsoft.com/office/drawing/2014/main" id="{00000000-0008-0000-0000-000004000000}"/>
            </a:ext>
          </a:extLst>
        </xdr:cNvPr>
        <xdr:cNvSpPr/>
      </xdr:nvSpPr>
      <xdr:spPr>
        <a:xfrm>
          <a:off x="9925558" y="3320012"/>
          <a:ext cx="379399" cy="1646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solidFill>
                <a:schemeClr val="bg1"/>
              </a:solidFill>
            </a:rPr>
            <a:t>Administrador</a:t>
          </a:r>
        </a:p>
      </xdr:txBody>
    </xdr:sp>
    <xdr:clientData/>
  </xdr:twoCellAnchor>
  <xdr:twoCellAnchor>
    <xdr:from>
      <xdr:col>6</xdr:col>
      <xdr:colOff>185282</xdr:colOff>
      <xdr:row>12</xdr:row>
      <xdr:rowOff>113721</xdr:rowOff>
    </xdr:from>
    <xdr:to>
      <xdr:col>8</xdr:col>
      <xdr:colOff>575760</xdr:colOff>
      <xdr:row>15</xdr:row>
      <xdr:rowOff>170870</xdr:rowOff>
    </xdr:to>
    <xdr:sp macro="[0]!CerrarFormulario" textlink="">
      <xdr:nvSpPr>
        <xdr:cNvPr id="5" name="Rectángulo 4">
          <a:extLst>
            <a:ext uri="{FF2B5EF4-FFF2-40B4-BE49-F238E27FC236}">
              <a16:creationId xmlns:a16="http://schemas.microsoft.com/office/drawing/2014/main" id="{00000000-0008-0000-0000-000005000000}"/>
            </a:ext>
          </a:extLst>
        </xdr:cNvPr>
        <xdr:cNvSpPr/>
      </xdr:nvSpPr>
      <xdr:spPr>
        <a:xfrm>
          <a:off x="4103112" y="2917306"/>
          <a:ext cx="1918073" cy="623257"/>
        </a:xfrm>
        <a:prstGeom prst="rect">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solidFill>
                <a:schemeClr val="tx1"/>
              </a:solidFill>
            </a:rPr>
            <a:t>Cerrar</a:t>
          </a:r>
        </a:p>
      </xdr:txBody>
    </xdr:sp>
    <xdr:clientData/>
  </xdr:twoCellAnchor>
  <xdr:twoCellAnchor editAs="oneCell">
    <xdr:from>
      <xdr:col>3</xdr:col>
      <xdr:colOff>203107</xdr:colOff>
      <xdr:row>1</xdr:row>
      <xdr:rowOff>743</xdr:rowOff>
    </xdr:from>
    <xdr:to>
      <xdr:col>7</xdr:col>
      <xdr:colOff>154081</xdr:colOff>
      <xdr:row>2</xdr:row>
      <xdr:rowOff>445055</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93309" y="189842"/>
          <a:ext cx="3004577" cy="6337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226981</xdr:colOff>
      <xdr:row>8</xdr:row>
      <xdr:rowOff>4314</xdr:rowOff>
    </xdr:from>
    <xdr:to>
      <xdr:col>12</xdr:col>
      <xdr:colOff>51938</xdr:colOff>
      <xdr:row>11</xdr:row>
      <xdr:rowOff>70074</xdr:rowOff>
    </xdr:to>
    <xdr:sp macro="[0]!Ingresar_a_Caratula_Patrimonial" textlink="">
      <xdr:nvSpPr>
        <xdr:cNvPr id="7" name="Rectángulo 6">
          <a:extLst>
            <a:ext uri="{FF2B5EF4-FFF2-40B4-BE49-F238E27FC236}">
              <a16:creationId xmlns:a16="http://schemas.microsoft.com/office/drawing/2014/main" id="{00000000-0008-0000-0000-000007000000}"/>
            </a:ext>
          </a:extLst>
        </xdr:cNvPr>
        <xdr:cNvSpPr/>
      </xdr:nvSpPr>
      <xdr:spPr>
        <a:xfrm>
          <a:off x="6436203" y="2053088"/>
          <a:ext cx="1927645" cy="631868"/>
        </a:xfrm>
        <a:prstGeom prst="rect">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solidFill>
                <a:schemeClr val="tx1"/>
              </a:solidFill>
            </a:rPr>
            <a:t>Hipoteca Full</a:t>
          </a:r>
          <a:r>
            <a:rPr lang="es-MX" sz="1100" b="1" baseline="0">
              <a:solidFill>
                <a:schemeClr val="tx1"/>
              </a:solidFill>
            </a:rPr>
            <a:t> HSBC Patrimonial</a:t>
          </a:r>
          <a:endParaRPr lang="es-MX" sz="1100" b="1">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238125</xdr:colOff>
      <xdr:row>9</xdr:row>
      <xdr:rowOff>9525</xdr:rowOff>
    </xdr:from>
    <xdr:to>
      <xdr:col>5</xdr:col>
      <xdr:colOff>617582</xdr:colOff>
      <xdr:row>11</xdr:row>
      <xdr:rowOff>20063</xdr:rowOff>
    </xdr:to>
    <xdr:sp macro="[0]!BotonIngresarLoging" textlink="">
      <xdr:nvSpPr>
        <xdr:cNvPr id="2" name="Rectángulo 1">
          <a:extLst>
            <a:ext uri="{FF2B5EF4-FFF2-40B4-BE49-F238E27FC236}">
              <a16:creationId xmlns:a16="http://schemas.microsoft.com/office/drawing/2014/main" id="{00000000-0008-0000-0100-000002000000}"/>
            </a:ext>
          </a:extLst>
        </xdr:cNvPr>
        <xdr:cNvSpPr/>
      </xdr:nvSpPr>
      <xdr:spPr>
        <a:xfrm>
          <a:off x="2257425" y="1819275"/>
          <a:ext cx="1141457" cy="391538"/>
        </a:xfrm>
        <a:prstGeom prst="rect">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solidFill>
                <a:schemeClr val="tx1"/>
              </a:solidFill>
            </a:rPr>
            <a:t>Ingresar</a:t>
          </a:r>
        </a:p>
      </xdr:txBody>
    </xdr:sp>
    <xdr:clientData/>
  </xdr:twoCellAnchor>
  <xdr:twoCellAnchor>
    <xdr:from>
      <xdr:col>7</xdr:col>
      <xdr:colOff>95250</xdr:colOff>
      <xdr:row>3</xdr:row>
      <xdr:rowOff>66675</xdr:rowOff>
    </xdr:from>
    <xdr:to>
      <xdr:col>7</xdr:col>
      <xdr:colOff>400050</xdr:colOff>
      <xdr:row>3</xdr:row>
      <xdr:rowOff>247650</xdr:rowOff>
    </xdr:to>
    <xdr:sp macro="" textlink="">
      <xdr:nvSpPr>
        <xdr:cNvPr id="4" name="Rectángulo 3">
          <a:extLst>
            <a:ext uri="{FF2B5EF4-FFF2-40B4-BE49-F238E27FC236}">
              <a16:creationId xmlns:a16="http://schemas.microsoft.com/office/drawing/2014/main" id="{00000000-0008-0000-0100-000004000000}"/>
            </a:ext>
          </a:extLst>
        </xdr:cNvPr>
        <xdr:cNvSpPr/>
      </xdr:nvSpPr>
      <xdr:spPr>
        <a:xfrm>
          <a:off x="5162550" y="638175"/>
          <a:ext cx="304800" cy="180975"/>
        </a:xfrm>
        <a:prstGeom prst="rect">
          <a:avLst/>
        </a:prstGeom>
        <a:solidFill>
          <a:srgbClr val="C00000">
            <a:alpha val="52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X</a:t>
          </a:r>
        </a:p>
      </xdr:txBody>
    </xdr:sp>
    <xdr:clientData/>
  </xdr:twoCellAnchor>
  <xdr:twoCellAnchor>
    <xdr:from>
      <xdr:col>5</xdr:col>
      <xdr:colOff>1047749</xdr:colOff>
      <xdr:row>9</xdr:row>
      <xdr:rowOff>9524</xdr:rowOff>
    </xdr:from>
    <xdr:to>
      <xdr:col>6</xdr:col>
      <xdr:colOff>962025</xdr:colOff>
      <xdr:row>11</xdr:row>
      <xdr:rowOff>28575</xdr:rowOff>
    </xdr:to>
    <xdr:sp macro="[0]!CerrarHojaLoging" textlink="">
      <xdr:nvSpPr>
        <xdr:cNvPr id="5" name="Rectángulo 4">
          <a:extLst>
            <a:ext uri="{FF2B5EF4-FFF2-40B4-BE49-F238E27FC236}">
              <a16:creationId xmlns:a16="http://schemas.microsoft.com/office/drawing/2014/main" id="{00000000-0008-0000-0100-000005000000}"/>
            </a:ext>
          </a:extLst>
        </xdr:cNvPr>
        <xdr:cNvSpPr/>
      </xdr:nvSpPr>
      <xdr:spPr>
        <a:xfrm>
          <a:off x="3829049" y="1819274"/>
          <a:ext cx="1171576" cy="400051"/>
        </a:xfrm>
        <a:prstGeom prst="rect">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solidFill>
                <a:schemeClr val="tx1"/>
              </a:solidFill>
            </a:rPr>
            <a:t>Salir</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FFFFFF" mc:Ignorable="a14" a14:legacySpreadsheetColorIndex="9"/>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4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428625</xdr:colOff>
          <xdr:row>40</xdr:row>
          <xdr:rowOff>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466725</xdr:colOff>
          <xdr:row>40</xdr:row>
          <xdr:rowOff>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4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4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4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4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4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4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4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4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4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4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400-00003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4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4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400-00004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4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4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4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400-00005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35" name="Check Box 87" hidden="1">
              <a:extLst>
                <a:ext uri="{63B3BB69-23CF-44E3-9099-C40C66FF867C}">
                  <a14:compatExt spid="_x0000_s2135"/>
                </a:ext>
                <a:ext uri="{FF2B5EF4-FFF2-40B4-BE49-F238E27FC236}">
                  <a16:creationId xmlns:a16="http://schemas.microsoft.com/office/drawing/2014/main" id="{00000000-0008-0000-04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36" name="Check Box 88" hidden="1">
              <a:extLst>
                <a:ext uri="{63B3BB69-23CF-44E3-9099-C40C66FF867C}">
                  <a14:compatExt spid="_x0000_s2136"/>
                </a:ext>
                <a:ext uri="{FF2B5EF4-FFF2-40B4-BE49-F238E27FC236}">
                  <a16:creationId xmlns:a16="http://schemas.microsoft.com/office/drawing/2014/main" id="{00000000-0008-0000-0400-00005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41" name="Check Box 93" hidden="1">
              <a:extLst>
                <a:ext uri="{63B3BB69-23CF-44E3-9099-C40C66FF867C}">
                  <a14:compatExt spid="_x0000_s2141"/>
                </a:ext>
                <a:ext uri="{FF2B5EF4-FFF2-40B4-BE49-F238E27FC236}">
                  <a16:creationId xmlns:a16="http://schemas.microsoft.com/office/drawing/2014/main" id="{00000000-0008-0000-04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42" name="Check Box 94" hidden="1">
              <a:extLst>
                <a:ext uri="{63B3BB69-23CF-44E3-9099-C40C66FF867C}">
                  <a14:compatExt spid="_x0000_s2142"/>
                </a:ext>
                <a:ext uri="{FF2B5EF4-FFF2-40B4-BE49-F238E27FC236}">
                  <a16:creationId xmlns:a16="http://schemas.microsoft.com/office/drawing/2014/main" id="{00000000-0008-0000-0400-00005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47" name="Check Box 99" hidden="1">
              <a:extLst>
                <a:ext uri="{63B3BB69-23CF-44E3-9099-C40C66FF867C}">
                  <a14:compatExt spid="_x0000_s2147"/>
                </a:ext>
                <a:ext uri="{FF2B5EF4-FFF2-40B4-BE49-F238E27FC236}">
                  <a16:creationId xmlns:a16="http://schemas.microsoft.com/office/drawing/2014/main" id="{00000000-0008-0000-04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48" name="Check Box 100" hidden="1">
              <a:extLst>
                <a:ext uri="{63B3BB69-23CF-44E3-9099-C40C66FF867C}">
                  <a14:compatExt spid="_x0000_s2148"/>
                </a:ext>
                <a:ext uri="{FF2B5EF4-FFF2-40B4-BE49-F238E27FC236}">
                  <a16:creationId xmlns:a16="http://schemas.microsoft.com/office/drawing/2014/main" id="{00000000-0008-0000-0400-00006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53" name="Check Box 105" hidden="1">
              <a:extLst>
                <a:ext uri="{63B3BB69-23CF-44E3-9099-C40C66FF867C}">
                  <a14:compatExt spid="_x0000_s2153"/>
                </a:ext>
                <a:ext uri="{FF2B5EF4-FFF2-40B4-BE49-F238E27FC236}">
                  <a16:creationId xmlns:a16="http://schemas.microsoft.com/office/drawing/2014/main" id="{00000000-0008-0000-04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54" name="Check Box 106" hidden="1">
              <a:extLst>
                <a:ext uri="{63B3BB69-23CF-44E3-9099-C40C66FF867C}">
                  <a14:compatExt spid="_x0000_s2154"/>
                </a:ext>
                <a:ext uri="{FF2B5EF4-FFF2-40B4-BE49-F238E27FC236}">
                  <a16:creationId xmlns:a16="http://schemas.microsoft.com/office/drawing/2014/main" id="{00000000-0008-0000-0400-00006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59" name="Check Box 111" hidden="1">
              <a:extLst>
                <a:ext uri="{63B3BB69-23CF-44E3-9099-C40C66FF867C}">
                  <a14:compatExt spid="_x0000_s2159"/>
                </a:ext>
                <a:ext uri="{FF2B5EF4-FFF2-40B4-BE49-F238E27FC236}">
                  <a16:creationId xmlns:a16="http://schemas.microsoft.com/office/drawing/2014/main" id="{00000000-0008-0000-04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60" name="Check Box 112" hidden="1">
              <a:extLst>
                <a:ext uri="{63B3BB69-23CF-44E3-9099-C40C66FF867C}">
                  <a14:compatExt spid="_x0000_s2160"/>
                </a:ext>
                <a:ext uri="{FF2B5EF4-FFF2-40B4-BE49-F238E27FC236}">
                  <a16:creationId xmlns:a16="http://schemas.microsoft.com/office/drawing/2014/main" id="{00000000-0008-0000-0400-00007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65" name="Check Box 117" hidden="1">
              <a:extLst>
                <a:ext uri="{63B3BB69-23CF-44E3-9099-C40C66FF867C}">
                  <a14:compatExt spid="_x0000_s2165"/>
                </a:ext>
                <a:ext uri="{FF2B5EF4-FFF2-40B4-BE49-F238E27FC236}">
                  <a16:creationId xmlns:a16="http://schemas.microsoft.com/office/drawing/2014/main" id="{00000000-0008-0000-0400-00007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66" name="Check Box 118" hidden="1">
              <a:extLst>
                <a:ext uri="{63B3BB69-23CF-44E3-9099-C40C66FF867C}">
                  <a14:compatExt spid="_x0000_s2166"/>
                </a:ext>
                <a:ext uri="{FF2B5EF4-FFF2-40B4-BE49-F238E27FC236}">
                  <a16:creationId xmlns:a16="http://schemas.microsoft.com/office/drawing/2014/main" id="{00000000-0008-0000-0400-00007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71" name="Check Box 123" hidden="1">
              <a:extLst>
                <a:ext uri="{63B3BB69-23CF-44E3-9099-C40C66FF867C}">
                  <a14:compatExt spid="_x0000_s2171"/>
                </a:ext>
                <a:ext uri="{FF2B5EF4-FFF2-40B4-BE49-F238E27FC236}">
                  <a16:creationId xmlns:a16="http://schemas.microsoft.com/office/drawing/2014/main" id="{00000000-0008-0000-0400-00007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72" name="Check Box 124" hidden="1">
              <a:extLst>
                <a:ext uri="{63B3BB69-23CF-44E3-9099-C40C66FF867C}">
                  <a14:compatExt spid="_x0000_s2172"/>
                </a:ext>
                <a:ext uri="{FF2B5EF4-FFF2-40B4-BE49-F238E27FC236}">
                  <a16:creationId xmlns:a16="http://schemas.microsoft.com/office/drawing/2014/main" id="{00000000-0008-0000-0400-00007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77" name="Check Box 129" hidden="1">
              <a:extLst>
                <a:ext uri="{63B3BB69-23CF-44E3-9099-C40C66FF867C}">
                  <a14:compatExt spid="_x0000_s2177"/>
                </a:ext>
                <a:ext uri="{FF2B5EF4-FFF2-40B4-BE49-F238E27FC236}">
                  <a16:creationId xmlns:a16="http://schemas.microsoft.com/office/drawing/2014/main" id="{00000000-0008-0000-0400-00008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78" name="Check Box 130" hidden="1">
              <a:extLst>
                <a:ext uri="{63B3BB69-23CF-44E3-9099-C40C66FF867C}">
                  <a14:compatExt spid="_x0000_s2178"/>
                </a:ext>
                <a:ext uri="{FF2B5EF4-FFF2-40B4-BE49-F238E27FC236}">
                  <a16:creationId xmlns:a16="http://schemas.microsoft.com/office/drawing/2014/main" id="{00000000-0008-0000-0400-00008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83" name="Check Box 135" hidden="1">
              <a:extLst>
                <a:ext uri="{63B3BB69-23CF-44E3-9099-C40C66FF867C}">
                  <a14:compatExt spid="_x0000_s2183"/>
                </a:ext>
                <a:ext uri="{FF2B5EF4-FFF2-40B4-BE49-F238E27FC236}">
                  <a16:creationId xmlns:a16="http://schemas.microsoft.com/office/drawing/2014/main" id="{00000000-0008-0000-0400-00008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84" name="Check Box 136" hidden="1">
              <a:extLst>
                <a:ext uri="{63B3BB69-23CF-44E3-9099-C40C66FF867C}">
                  <a14:compatExt spid="_x0000_s2184"/>
                </a:ext>
                <a:ext uri="{FF2B5EF4-FFF2-40B4-BE49-F238E27FC236}">
                  <a16:creationId xmlns:a16="http://schemas.microsoft.com/office/drawing/2014/main" id="{00000000-0008-0000-0400-00008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447675</xdr:colOff>
          <xdr:row>40</xdr:row>
          <xdr:rowOff>0</xdr:rowOff>
        </xdr:to>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400-00008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112</xdr:col>
          <xdr:colOff>180975</xdr:colOff>
          <xdr:row>40</xdr:row>
          <xdr:rowOff>0</xdr:rowOff>
        </xdr:from>
        <xdr:to>
          <xdr:col>112</xdr:col>
          <xdr:colOff>457200</xdr:colOff>
          <xdr:row>40</xdr:row>
          <xdr:rowOff>0</xdr:rowOff>
        </xdr:to>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400-00008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270945</xdr:colOff>
      <xdr:row>0</xdr:row>
      <xdr:rowOff>77520</xdr:rowOff>
    </xdr:from>
    <xdr:to>
      <xdr:col>11</xdr:col>
      <xdr:colOff>233834</xdr:colOff>
      <xdr:row>3</xdr:row>
      <xdr:rowOff>11905</xdr:rowOff>
    </xdr:to>
    <xdr:sp macro="[0]!NuevaCotizacionCaratula" textlink="">
      <xdr:nvSpPr>
        <xdr:cNvPr id="3" name="Rectángulo 2">
          <a:extLst>
            <a:ext uri="{FF2B5EF4-FFF2-40B4-BE49-F238E27FC236}">
              <a16:creationId xmlns:a16="http://schemas.microsoft.com/office/drawing/2014/main" id="{00000000-0008-0000-0300-000003000000}"/>
            </a:ext>
          </a:extLst>
        </xdr:cNvPr>
        <xdr:cNvSpPr/>
      </xdr:nvSpPr>
      <xdr:spPr>
        <a:xfrm>
          <a:off x="5426351" y="77520"/>
          <a:ext cx="1748827" cy="51779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200" b="1">
              <a:solidFill>
                <a:schemeClr val="tx1"/>
              </a:solidFill>
              <a:latin typeface="Univers" panose="020B0503020202020204" pitchFamily="34" charset="0"/>
            </a:rPr>
            <a:t>Nueva Cotización</a:t>
          </a:r>
        </a:p>
      </xdr:txBody>
    </xdr:sp>
    <xdr:clientData/>
  </xdr:twoCellAnchor>
  <xdr:twoCellAnchor>
    <xdr:from>
      <xdr:col>33</xdr:col>
      <xdr:colOff>181051</xdr:colOff>
      <xdr:row>14</xdr:row>
      <xdr:rowOff>158031</xdr:rowOff>
    </xdr:from>
    <xdr:to>
      <xdr:col>35</xdr:col>
      <xdr:colOff>243661</xdr:colOff>
      <xdr:row>16</xdr:row>
      <xdr:rowOff>46376</xdr:rowOff>
    </xdr:to>
    <xdr:sp macro="[0]!TablaAmortizacionCaratula" textlink="">
      <xdr:nvSpPr>
        <xdr:cNvPr id="5" name="Rectángulo 4">
          <a:extLst>
            <a:ext uri="{FF2B5EF4-FFF2-40B4-BE49-F238E27FC236}">
              <a16:creationId xmlns:a16="http://schemas.microsoft.com/office/drawing/2014/main" id="{00000000-0008-0000-0300-000005000000}"/>
            </a:ext>
          </a:extLst>
        </xdr:cNvPr>
        <xdr:cNvSpPr/>
      </xdr:nvSpPr>
      <xdr:spPr>
        <a:xfrm>
          <a:off x="27980760" y="2162711"/>
          <a:ext cx="1591041" cy="46427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a:t>Generar Tabla</a:t>
          </a:r>
          <a:r>
            <a:rPr lang="es-MX" sz="1100" baseline="0"/>
            <a:t> de </a:t>
          </a:r>
        </a:p>
        <a:p>
          <a:pPr algn="l"/>
          <a:r>
            <a:rPr lang="es-MX" sz="1100" baseline="0"/>
            <a:t>    Amortización</a:t>
          </a:r>
          <a:endParaRPr lang="es-MX" sz="1100"/>
        </a:p>
      </xdr:txBody>
    </xdr:sp>
    <xdr:clientData/>
  </xdr:twoCellAnchor>
  <xdr:twoCellAnchor>
    <xdr:from>
      <xdr:col>11</xdr:col>
      <xdr:colOff>532876</xdr:colOff>
      <xdr:row>0</xdr:row>
      <xdr:rowOff>84376</xdr:rowOff>
    </xdr:from>
    <xdr:to>
      <xdr:col>14</xdr:col>
      <xdr:colOff>436135</xdr:colOff>
      <xdr:row>3</xdr:row>
      <xdr:rowOff>11905</xdr:rowOff>
    </xdr:to>
    <xdr:sp macro="[0]!RegresaraFormulario" textlink="">
      <xdr:nvSpPr>
        <xdr:cNvPr id="6" name="Rectángulo 5">
          <a:extLst>
            <a:ext uri="{FF2B5EF4-FFF2-40B4-BE49-F238E27FC236}">
              <a16:creationId xmlns:a16="http://schemas.microsoft.com/office/drawing/2014/main" id="{00000000-0008-0000-0300-000006000000}"/>
            </a:ext>
          </a:extLst>
        </xdr:cNvPr>
        <xdr:cNvSpPr/>
      </xdr:nvSpPr>
      <xdr:spPr>
        <a:xfrm>
          <a:off x="7474220" y="84376"/>
          <a:ext cx="1689196" cy="51093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200" b="1">
              <a:solidFill>
                <a:schemeClr val="tx1"/>
              </a:solidFill>
              <a:latin typeface="Univers" panose="020B0503020202020204" pitchFamily="34" charset="0"/>
            </a:rPr>
            <a:t>Regresar al Menú</a:t>
          </a:r>
        </a:p>
      </xdr:txBody>
    </xdr:sp>
    <xdr:clientData/>
  </xdr:twoCellAnchor>
  <xdr:twoCellAnchor>
    <xdr:from>
      <xdr:col>33</xdr:col>
      <xdr:colOff>201584</xdr:colOff>
      <xdr:row>16</xdr:row>
      <xdr:rowOff>128769</xdr:rowOff>
    </xdr:from>
    <xdr:to>
      <xdr:col>35</xdr:col>
      <xdr:colOff>269393</xdr:colOff>
      <xdr:row>17</xdr:row>
      <xdr:rowOff>127708</xdr:rowOff>
    </xdr:to>
    <xdr:sp macro="[0]!ActivarPagoPuntualCaratula" textlink="">
      <xdr:nvSpPr>
        <xdr:cNvPr id="7" name="Rectángulo 6">
          <a:extLst>
            <a:ext uri="{FF2B5EF4-FFF2-40B4-BE49-F238E27FC236}">
              <a16:creationId xmlns:a16="http://schemas.microsoft.com/office/drawing/2014/main" id="{00000000-0008-0000-0300-000007000000}"/>
            </a:ext>
          </a:extLst>
        </xdr:cNvPr>
        <xdr:cNvSpPr/>
      </xdr:nvSpPr>
      <xdr:spPr>
        <a:xfrm>
          <a:off x="22365526" y="2920327"/>
          <a:ext cx="1591809" cy="284689"/>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Activar Pago</a:t>
          </a:r>
          <a:r>
            <a:rPr lang="es-MX" sz="1100" b="1" baseline="0"/>
            <a:t> Puntual</a:t>
          </a:r>
          <a:endParaRPr lang="es-MX" sz="1100" b="1"/>
        </a:p>
      </xdr:txBody>
    </xdr:sp>
    <xdr:clientData/>
  </xdr:twoCellAnchor>
  <xdr:twoCellAnchor>
    <xdr:from>
      <xdr:col>33</xdr:col>
      <xdr:colOff>232944</xdr:colOff>
      <xdr:row>21</xdr:row>
      <xdr:rowOff>230519</xdr:rowOff>
    </xdr:from>
    <xdr:to>
      <xdr:col>35</xdr:col>
      <xdr:colOff>93382</xdr:colOff>
      <xdr:row>23</xdr:row>
      <xdr:rowOff>191616</xdr:rowOff>
    </xdr:to>
    <xdr:sp macro="[0]!ActivarRelacionamientoCaratula" textlink="">
      <xdr:nvSpPr>
        <xdr:cNvPr id="8" name="Rectángulo 7">
          <a:extLst>
            <a:ext uri="{FF2B5EF4-FFF2-40B4-BE49-F238E27FC236}">
              <a16:creationId xmlns:a16="http://schemas.microsoft.com/office/drawing/2014/main" id="{00000000-0008-0000-0300-000008000000}"/>
            </a:ext>
          </a:extLst>
        </xdr:cNvPr>
        <xdr:cNvSpPr/>
      </xdr:nvSpPr>
      <xdr:spPr>
        <a:xfrm>
          <a:off x="22327209" y="4451401"/>
          <a:ext cx="1391908" cy="521391"/>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t>Activar Relacionamiento</a:t>
          </a:r>
        </a:p>
      </xdr:txBody>
    </xdr:sp>
    <xdr:clientData/>
  </xdr:twoCellAnchor>
  <xdr:twoCellAnchor>
    <xdr:from>
      <xdr:col>33</xdr:col>
      <xdr:colOff>206646</xdr:colOff>
      <xdr:row>19</xdr:row>
      <xdr:rowOff>250429</xdr:rowOff>
    </xdr:from>
    <xdr:to>
      <xdr:col>35</xdr:col>
      <xdr:colOff>199360</xdr:colOff>
      <xdr:row>21</xdr:row>
      <xdr:rowOff>77530</xdr:rowOff>
    </xdr:to>
    <xdr:sp macro="[0]!DesactivarTodoCaratula" textlink="">
      <xdr:nvSpPr>
        <xdr:cNvPr id="9" name="Rectángulo 8">
          <a:extLst>
            <a:ext uri="{FF2B5EF4-FFF2-40B4-BE49-F238E27FC236}">
              <a16:creationId xmlns:a16="http://schemas.microsoft.com/office/drawing/2014/main" id="{00000000-0008-0000-0300-000009000000}"/>
            </a:ext>
          </a:extLst>
        </xdr:cNvPr>
        <xdr:cNvSpPr/>
      </xdr:nvSpPr>
      <xdr:spPr>
        <a:xfrm>
          <a:off x="28006355" y="3694935"/>
          <a:ext cx="1521145" cy="403031"/>
        </a:xfrm>
        <a:prstGeom prst="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Desactivar Todo</a:t>
          </a:r>
        </a:p>
      </xdr:txBody>
    </xdr:sp>
    <xdr:clientData/>
  </xdr:twoCellAnchor>
  <xdr:twoCellAnchor>
    <xdr:from>
      <xdr:col>33</xdr:col>
      <xdr:colOff>252560</xdr:colOff>
      <xdr:row>26</xdr:row>
      <xdr:rowOff>116729</xdr:rowOff>
    </xdr:from>
    <xdr:to>
      <xdr:col>35</xdr:col>
      <xdr:colOff>410884</xdr:colOff>
      <xdr:row>28</xdr:row>
      <xdr:rowOff>89565</xdr:rowOff>
    </xdr:to>
    <xdr:sp macro="[0]!DesactivarRelacionamientoCaratula" textlink="">
      <xdr:nvSpPr>
        <xdr:cNvPr id="10" name="Rectángulo 9">
          <a:extLst>
            <a:ext uri="{FF2B5EF4-FFF2-40B4-BE49-F238E27FC236}">
              <a16:creationId xmlns:a16="http://schemas.microsoft.com/office/drawing/2014/main" id="{00000000-0008-0000-0300-00000A000000}"/>
            </a:ext>
          </a:extLst>
        </xdr:cNvPr>
        <xdr:cNvSpPr/>
      </xdr:nvSpPr>
      <xdr:spPr>
        <a:xfrm>
          <a:off x="22346825" y="5794376"/>
          <a:ext cx="1689794" cy="533130"/>
        </a:xfrm>
        <a:prstGeom prst="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t>Desactivar Relacionamiento</a:t>
          </a:r>
        </a:p>
      </xdr:txBody>
    </xdr:sp>
    <xdr:clientData/>
  </xdr:twoCellAnchor>
  <xdr:twoCellAnchor>
    <xdr:from>
      <xdr:col>33</xdr:col>
      <xdr:colOff>221513</xdr:colOff>
      <xdr:row>23</xdr:row>
      <xdr:rowOff>327958</xdr:rowOff>
    </xdr:from>
    <xdr:to>
      <xdr:col>35</xdr:col>
      <xdr:colOff>199360</xdr:colOff>
      <xdr:row>25</xdr:row>
      <xdr:rowOff>132908</xdr:rowOff>
    </xdr:to>
    <xdr:sp macro="[0]!SimularCreditoLiquidezCaratula" textlink="">
      <xdr:nvSpPr>
        <xdr:cNvPr id="11" name="Rectángulo 10">
          <a:extLst>
            <a:ext uri="{FF2B5EF4-FFF2-40B4-BE49-F238E27FC236}">
              <a16:creationId xmlns:a16="http://schemas.microsoft.com/office/drawing/2014/main" id="{00000000-0008-0000-0300-00000B000000}"/>
            </a:ext>
          </a:extLst>
        </xdr:cNvPr>
        <xdr:cNvSpPr/>
      </xdr:nvSpPr>
      <xdr:spPr>
        <a:xfrm>
          <a:off x="28021222" y="4924324"/>
          <a:ext cx="1506278" cy="436258"/>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solidFill>
                <a:sysClr val="windowText" lastClr="000000"/>
              </a:solidFill>
            </a:rPr>
            <a:t>Simular Crédito de Liquidez</a:t>
          </a:r>
        </a:p>
      </xdr:txBody>
    </xdr:sp>
    <xdr:clientData/>
  </xdr:twoCellAnchor>
  <xdr:twoCellAnchor editAs="oneCell">
    <xdr:from>
      <xdr:col>2</xdr:col>
      <xdr:colOff>59532</xdr:colOff>
      <xdr:row>5</xdr:row>
      <xdr:rowOff>59529</xdr:rowOff>
    </xdr:from>
    <xdr:to>
      <xdr:col>4</xdr:col>
      <xdr:colOff>505239</xdr:colOff>
      <xdr:row>8</xdr:row>
      <xdr:rowOff>145912</xdr:rowOff>
    </xdr:to>
    <xdr:pic>
      <xdr:nvPicPr>
        <xdr:cNvPr id="4" name="Imagen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2141" y="1053442"/>
          <a:ext cx="2682011" cy="691013"/>
        </a:xfrm>
        <a:prstGeom prst="rect">
          <a:avLst/>
        </a:prstGeom>
        <a:noFill/>
        <a:ln>
          <a:noFill/>
        </a:ln>
      </xdr:spPr>
    </xdr:pic>
    <xdr:clientData/>
  </xdr:twoCellAnchor>
  <xdr:twoCellAnchor>
    <xdr:from>
      <xdr:col>15</xdr:col>
      <xdr:colOff>107155</xdr:colOff>
      <xdr:row>0</xdr:row>
      <xdr:rowOff>83343</xdr:rowOff>
    </xdr:from>
    <xdr:to>
      <xdr:col>18</xdr:col>
      <xdr:colOff>130968</xdr:colOff>
      <xdr:row>3</xdr:row>
      <xdr:rowOff>0</xdr:rowOff>
    </xdr:to>
    <xdr:sp macro="[0]!ImprimirNuevaTablaCaratula" textlink="">
      <xdr:nvSpPr>
        <xdr:cNvPr id="2" name="Rectángulo 1">
          <a:extLst>
            <a:ext uri="{FF2B5EF4-FFF2-40B4-BE49-F238E27FC236}">
              <a16:creationId xmlns:a16="http://schemas.microsoft.com/office/drawing/2014/main" id="{00000000-0008-0000-0300-000002000000}"/>
            </a:ext>
          </a:extLst>
        </xdr:cNvPr>
        <xdr:cNvSpPr/>
      </xdr:nvSpPr>
      <xdr:spPr>
        <a:xfrm>
          <a:off x="9429749" y="83343"/>
          <a:ext cx="1809750" cy="500063"/>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tx1"/>
              </a:solidFill>
              <a:latin typeface="Univers" panose="020B0503020202020204" pitchFamily="34" charset="0"/>
            </a:rPr>
            <a:t>Imprimir</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40454</xdr:colOff>
      <xdr:row>0</xdr:row>
      <xdr:rowOff>85725</xdr:rowOff>
    </xdr:from>
    <xdr:to>
      <xdr:col>3</xdr:col>
      <xdr:colOff>540400</xdr:colOff>
      <xdr:row>2</xdr:row>
      <xdr:rowOff>64972</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6204" y="85725"/>
          <a:ext cx="1633189" cy="3665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40454</xdr:colOff>
      <xdr:row>5</xdr:row>
      <xdr:rowOff>85725</xdr:rowOff>
    </xdr:from>
    <xdr:to>
      <xdr:col>3</xdr:col>
      <xdr:colOff>644943</xdr:colOff>
      <xdr:row>7</xdr:row>
      <xdr:rowOff>25492</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6204" y="85725"/>
          <a:ext cx="1633189" cy="3665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860255</xdr:colOff>
      <xdr:row>1</xdr:row>
      <xdr:rowOff>653</xdr:rowOff>
    </xdr:from>
    <xdr:to>
      <xdr:col>6</xdr:col>
      <xdr:colOff>327970</xdr:colOff>
      <xdr:row>3</xdr:row>
      <xdr:rowOff>96110</xdr:rowOff>
    </xdr:to>
    <xdr:sp macro="[0]!RegresarCotizacionCaratula" textlink="">
      <xdr:nvSpPr>
        <xdr:cNvPr id="3" name="Rectángulo 2">
          <a:extLst>
            <a:ext uri="{FF2B5EF4-FFF2-40B4-BE49-F238E27FC236}">
              <a16:creationId xmlns:a16="http://schemas.microsoft.com/office/drawing/2014/main" id="{00000000-0008-0000-0500-000003000000}"/>
            </a:ext>
          </a:extLst>
        </xdr:cNvPr>
        <xdr:cNvSpPr/>
      </xdr:nvSpPr>
      <xdr:spPr>
        <a:xfrm>
          <a:off x="3692907" y="182870"/>
          <a:ext cx="2002193" cy="4598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Regrsar a Cotización</a:t>
          </a:r>
        </a:p>
      </xdr:txBody>
    </xdr:sp>
    <xdr:clientData/>
  </xdr:twoCellAnchor>
  <xdr:twoCellAnchor>
    <xdr:from>
      <xdr:col>6</xdr:col>
      <xdr:colOff>631517</xdr:colOff>
      <xdr:row>0</xdr:row>
      <xdr:rowOff>180176</xdr:rowOff>
    </xdr:from>
    <xdr:to>
      <xdr:col>7</xdr:col>
      <xdr:colOff>986357</xdr:colOff>
      <xdr:row>3</xdr:row>
      <xdr:rowOff>74367</xdr:rowOff>
    </xdr:to>
    <xdr:sp macro="[0]!ImprimirTablaLiquidez" textlink="">
      <xdr:nvSpPr>
        <xdr:cNvPr id="6" name="Rectángulo 5">
          <a:extLst>
            <a:ext uri="{FF2B5EF4-FFF2-40B4-BE49-F238E27FC236}">
              <a16:creationId xmlns:a16="http://schemas.microsoft.com/office/drawing/2014/main" id="{00000000-0008-0000-0500-000006000000}"/>
            </a:ext>
          </a:extLst>
        </xdr:cNvPr>
        <xdr:cNvSpPr/>
      </xdr:nvSpPr>
      <xdr:spPr>
        <a:xfrm>
          <a:off x="5998647" y="180176"/>
          <a:ext cx="1754601" cy="440843"/>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Imprimir</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80</xdr:col>
          <xdr:colOff>219075</xdr:colOff>
          <xdr:row>35</xdr:row>
          <xdr:rowOff>171450</xdr:rowOff>
        </xdr:from>
        <xdr:to>
          <xdr:col>135</xdr:col>
          <xdr:colOff>304800</xdr:colOff>
          <xdr:row>36</xdr:row>
          <xdr:rowOff>123825</xdr:rowOff>
        </xdr:to>
        <xdr:sp macro="" textlink="">
          <xdr:nvSpPr>
            <xdr:cNvPr id="6531" name="Check Box 387" hidden="1">
              <a:extLst>
                <a:ext uri="{63B3BB69-23CF-44E3-9099-C40C66FF867C}">
                  <a14:compatExt spid="_x0000_s6531"/>
                </a:ext>
                <a:ext uri="{FF2B5EF4-FFF2-40B4-BE49-F238E27FC236}">
                  <a16:creationId xmlns:a16="http://schemas.microsoft.com/office/drawing/2014/main" id="{00000000-0008-0000-0900-00008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228600</xdr:colOff>
          <xdr:row>36</xdr:row>
          <xdr:rowOff>190500</xdr:rowOff>
        </xdr:from>
        <xdr:to>
          <xdr:col>135</xdr:col>
          <xdr:colOff>304800</xdr:colOff>
          <xdr:row>37</xdr:row>
          <xdr:rowOff>123825</xdr:rowOff>
        </xdr:to>
        <xdr:sp macro="" textlink="">
          <xdr:nvSpPr>
            <xdr:cNvPr id="6532" name="Check Box 388" hidden="1">
              <a:extLst>
                <a:ext uri="{63B3BB69-23CF-44E3-9099-C40C66FF867C}">
                  <a14:compatExt spid="_x0000_s6532"/>
                </a:ext>
                <a:ext uri="{FF2B5EF4-FFF2-40B4-BE49-F238E27FC236}">
                  <a16:creationId xmlns:a16="http://schemas.microsoft.com/office/drawing/2014/main" id="{00000000-0008-0000-0900-00008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219075</xdr:colOff>
          <xdr:row>35</xdr:row>
          <xdr:rowOff>171450</xdr:rowOff>
        </xdr:from>
        <xdr:to>
          <xdr:col>135</xdr:col>
          <xdr:colOff>304800</xdr:colOff>
          <xdr:row>36</xdr:row>
          <xdr:rowOff>123825</xdr:rowOff>
        </xdr:to>
        <xdr:sp macro="" textlink="">
          <xdr:nvSpPr>
            <xdr:cNvPr id="6533" name="Check Box 389" hidden="1">
              <a:extLst>
                <a:ext uri="{63B3BB69-23CF-44E3-9099-C40C66FF867C}">
                  <a14:compatExt spid="_x0000_s6533"/>
                </a:ext>
                <a:ext uri="{FF2B5EF4-FFF2-40B4-BE49-F238E27FC236}">
                  <a16:creationId xmlns:a16="http://schemas.microsoft.com/office/drawing/2014/main" id="{00000000-0008-0000-0900-00008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209550</xdr:colOff>
          <xdr:row>36</xdr:row>
          <xdr:rowOff>180975</xdr:rowOff>
        </xdr:from>
        <xdr:to>
          <xdr:col>135</xdr:col>
          <xdr:colOff>304800</xdr:colOff>
          <xdr:row>37</xdr:row>
          <xdr:rowOff>104775</xdr:rowOff>
        </xdr:to>
        <xdr:sp macro="" textlink="">
          <xdr:nvSpPr>
            <xdr:cNvPr id="6534" name="Check Box 390" hidden="1">
              <a:extLst>
                <a:ext uri="{63B3BB69-23CF-44E3-9099-C40C66FF867C}">
                  <a14:compatExt spid="_x0000_s6534"/>
                </a:ext>
                <a:ext uri="{FF2B5EF4-FFF2-40B4-BE49-F238E27FC236}">
                  <a16:creationId xmlns:a16="http://schemas.microsoft.com/office/drawing/2014/main" id="{00000000-0008-0000-0900-00008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209550</xdr:colOff>
          <xdr:row>35</xdr:row>
          <xdr:rowOff>171450</xdr:rowOff>
        </xdr:from>
        <xdr:to>
          <xdr:col>135</xdr:col>
          <xdr:colOff>304800</xdr:colOff>
          <xdr:row>36</xdr:row>
          <xdr:rowOff>123825</xdr:rowOff>
        </xdr:to>
        <xdr:sp macro="" textlink="">
          <xdr:nvSpPr>
            <xdr:cNvPr id="6537" name="Check Box 393" hidden="1">
              <a:extLst>
                <a:ext uri="{63B3BB69-23CF-44E3-9099-C40C66FF867C}">
                  <a14:compatExt spid="_x0000_s6537"/>
                </a:ext>
                <a:ext uri="{FF2B5EF4-FFF2-40B4-BE49-F238E27FC236}">
                  <a16:creationId xmlns:a16="http://schemas.microsoft.com/office/drawing/2014/main" id="{00000000-0008-0000-0900-00008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219075</xdr:colOff>
          <xdr:row>36</xdr:row>
          <xdr:rowOff>190500</xdr:rowOff>
        </xdr:from>
        <xdr:to>
          <xdr:col>135</xdr:col>
          <xdr:colOff>304800</xdr:colOff>
          <xdr:row>37</xdr:row>
          <xdr:rowOff>123825</xdr:rowOff>
        </xdr:to>
        <xdr:sp macro="" textlink="">
          <xdr:nvSpPr>
            <xdr:cNvPr id="6538" name="Check Box 394" hidden="1">
              <a:extLst>
                <a:ext uri="{63B3BB69-23CF-44E3-9099-C40C66FF867C}">
                  <a14:compatExt spid="_x0000_s6538"/>
                </a:ext>
                <a:ext uri="{FF2B5EF4-FFF2-40B4-BE49-F238E27FC236}">
                  <a16:creationId xmlns:a16="http://schemas.microsoft.com/office/drawing/2014/main" id="{00000000-0008-0000-0900-00008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200025</xdr:colOff>
          <xdr:row>35</xdr:row>
          <xdr:rowOff>171450</xdr:rowOff>
        </xdr:from>
        <xdr:to>
          <xdr:col>135</xdr:col>
          <xdr:colOff>304800</xdr:colOff>
          <xdr:row>36</xdr:row>
          <xdr:rowOff>123825</xdr:rowOff>
        </xdr:to>
        <xdr:sp macro="" textlink="">
          <xdr:nvSpPr>
            <xdr:cNvPr id="6541" name="Check Box 397" hidden="1">
              <a:extLst>
                <a:ext uri="{63B3BB69-23CF-44E3-9099-C40C66FF867C}">
                  <a14:compatExt spid="_x0000_s6541"/>
                </a:ext>
                <a:ext uri="{FF2B5EF4-FFF2-40B4-BE49-F238E27FC236}">
                  <a16:creationId xmlns:a16="http://schemas.microsoft.com/office/drawing/2014/main" id="{00000000-0008-0000-0900-00008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200025</xdr:colOff>
          <xdr:row>36</xdr:row>
          <xdr:rowOff>171450</xdr:rowOff>
        </xdr:from>
        <xdr:to>
          <xdr:col>135</xdr:col>
          <xdr:colOff>304800</xdr:colOff>
          <xdr:row>37</xdr:row>
          <xdr:rowOff>104775</xdr:rowOff>
        </xdr:to>
        <xdr:sp macro="" textlink="">
          <xdr:nvSpPr>
            <xdr:cNvPr id="6542" name="Check Box 398" hidden="1">
              <a:extLst>
                <a:ext uri="{63B3BB69-23CF-44E3-9099-C40C66FF867C}">
                  <a14:compatExt spid="_x0000_s6542"/>
                </a:ext>
                <a:ext uri="{FF2B5EF4-FFF2-40B4-BE49-F238E27FC236}">
                  <a16:creationId xmlns:a16="http://schemas.microsoft.com/office/drawing/2014/main" id="{00000000-0008-0000-0900-00008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84</xdr:col>
          <xdr:colOff>190500</xdr:colOff>
          <xdr:row>35</xdr:row>
          <xdr:rowOff>171450</xdr:rowOff>
        </xdr:from>
        <xdr:to>
          <xdr:col>135</xdr:col>
          <xdr:colOff>304800</xdr:colOff>
          <xdr:row>36</xdr:row>
          <xdr:rowOff>123825</xdr:rowOff>
        </xdr:to>
        <xdr:sp macro="" textlink="">
          <xdr:nvSpPr>
            <xdr:cNvPr id="6547" name="Check Box 403" hidden="1">
              <a:extLst>
                <a:ext uri="{63B3BB69-23CF-44E3-9099-C40C66FF867C}">
                  <a14:compatExt spid="_x0000_s6547"/>
                </a:ext>
                <a:ext uri="{FF2B5EF4-FFF2-40B4-BE49-F238E27FC236}">
                  <a16:creationId xmlns:a16="http://schemas.microsoft.com/office/drawing/2014/main" id="{00000000-0008-0000-0900-00009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84</xdr:col>
          <xdr:colOff>209550</xdr:colOff>
          <xdr:row>36</xdr:row>
          <xdr:rowOff>200025</xdr:rowOff>
        </xdr:from>
        <xdr:to>
          <xdr:col>135</xdr:col>
          <xdr:colOff>304800</xdr:colOff>
          <xdr:row>37</xdr:row>
          <xdr:rowOff>85725</xdr:rowOff>
        </xdr:to>
        <xdr:sp macro="" textlink="">
          <xdr:nvSpPr>
            <xdr:cNvPr id="6548" name="Check Box 404" hidden="1">
              <a:extLst>
                <a:ext uri="{63B3BB69-23CF-44E3-9099-C40C66FF867C}">
                  <a14:compatExt spid="_x0000_s6548"/>
                </a:ext>
                <a:ext uri="{FF2B5EF4-FFF2-40B4-BE49-F238E27FC236}">
                  <a16:creationId xmlns:a16="http://schemas.microsoft.com/office/drawing/2014/main" id="{00000000-0008-0000-0900-00009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85</xdr:col>
          <xdr:colOff>200025</xdr:colOff>
          <xdr:row>35</xdr:row>
          <xdr:rowOff>171450</xdr:rowOff>
        </xdr:from>
        <xdr:to>
          <xdr:col>135</xdr:col>
          <xdr:colOff>304800</xdr:colOff>
          <xdr:row>36</xdr:row>
          <xdr:rowOff>123825</xdr:rowOff>
        </xdr:to>
        <xdr:sp macro="" textlink="">
          <xdr:nvSpPr>
            <xdr:cNvPr id="6549" name="Check Box 405" hidden="1">
              <a:extLst>
                <a:ext uri="{63B3BB69-23CF-44E3-9099-C40C66FF867C}">
                  <a14:compatExt spid="_x0000_s6549"/>
                </a:ext>
                <a:ext uri="{FF2B5EF4-FFF2-40B4-BE49-F238E27FC236}">
                  <a16:creationId xmlns:a16="http://schemas.microsoft.com/office/drawing/2014/main" id="{00000000-0008-0000-0900-00009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85</xdr:col>
          <xdr:colOff>200025</xdr:colOff>
          <xdr:row>36</xdr:row>
          <xdr:rowOff>171450</xdr:rowOff>
        </xdr:from>
        <xdr:to>
          <xdr:col>135</xdr:col>
          <xdr:colOff>304800</xdr:colOff>
          <xdr:row>37</xdr:row>
          <xdr:rowOff>104775</xdr:rowOff>
        </xdr:to>
        <xdr:sp macro="" textlink="">
          <xdr:nvSpPr>
            <xdr:cNvPr id="6550" name="Check Box 406" hidden="1">
              <a:extLst>
                <a:ext uri="{63B3BB69-23CF-44E3-9099-C40C66FF867C}">
                  <a14:compatExt spid="_x0000_s6550"/>
                </a:ext>
                <a:ext uri="{FF2B5EF4-FFF2-40B4-BE49-F238E27FC236}">
                  <a16:creationId xmlns:a16="http://schemas.microsoft.com/office/drawing/2014/main" id="{00000000-0008-0000-0900-00009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86</xdr:col>
          <xdr:colOff>209550</xdr:colOff>
          <xdr:row>35</xdr:row>
          <xdr:rowOff>180975</xdr:rowOff>
        </xdr:from>
        <xdr:to>
          <xdr:col>135</xdr:col>
          <xdr:colOff>304800</xdr:colOff>
          <xdr:row>36</xdr:row>
          <xdr:rowOff>123825</xdr:rowOff>
        </xdr:to>
        <xdr:sp macro="" textlink="">
          <xdr:nvSpPr>
            <xdr:cNvPr id="6555" name="Check Box 411" hidden="1">
              <a:extLst>
                <a:ext uri="{63B3BB69-23CF-44E3-9099-C40C66FF867C}">
                  <a14:compatExt spid="_x0000_s6555"/>
                </a:ext>
                <a:ext uri="{FF2B5EF4-FFF2-40B4-BE49-F238E27FC236}">
                  <a16:creationId xmlns:a16="http://schemas.microsoft.com/office/drawing/2014/main" id="{00000000-0008-0000-0900-00009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86</xdr:col>
          <xdr:colOff>200025</xdr:colOff>
          <xdr:row>36</xdr:row>
          <xdr:rowOff>161925</xdr:rowOff>
        </xdr:from>
        <xdr:to>
          <xdr:col>135</xdr:col>
          <xdr:colOff>304800</xdr:colOff>
          <xdr:row>37</xdr:row>
          <xdr:rowOff>85725</xdr:rowOff>
        </xdr:to>
        <xdr:sp macro="" textlink="">
          <xdr:nvSpPr>
            <xdr:cNvPr id="6556" name="Check Box 412" hidden="1">
              <a:extLst>
                <a:ext uri="{63B3BB69-23CF-44E3-9099-C40C66FF867C}">
                  <a14:compatExt spid="_x0000_s6556"/>
                </a:ext>
                <a:ext uri="{FF2B5EF4-FFF2-40B4-BE49-F238E27FC236}">
                  <a16:creationId xmlns:a16="http://schemas.microsoft.com/office/drawing/2014/main" id="{00000000-0008-0000-0900-00009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87</xdr:col>
          <xdr:colOff>238125</xdr:colOff>
          <xdr:row>35</xdr:row>
          <xdr:rowOff>180975</xdr:rowOff>
        </xdr:from>
        <xdr:to>
          <xdr:col>135</xdr:col>
          <xdr:colOff>295275</xdr:colOff>
          <xdr:row>36</xdr:row>
          <xdr:rowOff>123825</xdr:rowOff>
        </xdr:to>
        <xdr:sp macro="" textlink="">
          <xdr:nvSpPr>
            <xdr:cNvPr id="6561" name="Check Box 417" hidden="1">
              <a:extLst>
                <a:ext uri="{63B3BB69-23CF-44E3-9099-C40C66FF867C}">
                  <a14:compatExt spid="_x0000_s6561"/>
                </a:ext>
                <a:ext uri="{FF2B5EF4-FFF2-40B4-BE49-F238E27FC236}">
                  <a16:creationId xmlns:a16="http://schemas.microsoft.com/office/drawing/2014/main" id="{00000000-0008-0000-0900-0000A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87</xdr:col>
          <xdr:colOff>200025</xdr:colOff>
          <xdr:row>36</xdr:row>
          <xdr:rowOff>171450</xdr:rowOff>
        </xdr:from>
        <xdr:to>
          <xdr:col>135</xdr:col>
          <xdr:colOff>304800</xdr:colOff>
          <xdr:row>37</xdr:row>
          <xdr:rowOff>104775</xdr:rowOff>
        </xdr:to>
        <xdr:sp macro="" textlink="">
          <xdr:nvSpPr>
            <xdr:cNvPr id="6562" name="Check Box 418" hidden="1">
              <a:extLst>
                <a:ext uri="{63B3BB69-23CF-44E3-9099-C40C66FF867C}">
                  <a14:compatExt spid="_x0000_s6562"/>
                </a:ext>
                <a:ext uri="{FF2B5EF4-FFF2-40B4-BE49-F238E27FC236}">
                  <a16:creationId xmlns:a16="http://schemas.microsoft.com/office/drawing/2014/main" id="{00000000-0008-0000-0900-0000A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88</xdr:col>
          <xdr:colOff>200025</xdr:colOff>
          <xdr:row>35</xdr:row>
          <xdr:rowOff>180975</xdr:rowOff>
        </xdr:from>
        <xdr:to>
          <xdr:col>135</xdr:col>
          <xdr:colOff>304800</xdr:colOff>
          <xdr:row>36</xdr:row>
          <xdr:rowOff>123825</xdr:rowOff>
        </xdr:to>
        <xdr:sp macro="" textlink="">
          <xdr:nvSpPr>
            <xdr:cNvPr id="6567" name="Check Box 423" hidden="1">
              <a:extLst>
                <a:ext uri="{63B3BB69-23CF-44E3-9099-C40C66FF867C}">
                  <a14:compatExt spid="_x0000_s6567"/>
                </a:ext>
                <a:ext uri="{FF2B5EF4-FFF2-40B4-BE49-F238E27FC236}">
                  <a16:creationId xmlns:a16="http://schemas.microsoft.com/office/drawing/2014/main" id="{00000000-0008-0000-0900-0000A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88</xdr:col>
          <xdr:colOff>200025</xdr:colOff>
          <xdr:row>36</xdr:row>
          <xdr:rowOff>161925</xdr:rowOff>
        </xdr:from>
        <xdr:to>
          <xdr:col>135</xdr:col>
          <xdr:colOff>304800</xdr:colOff>
          <xdr:row>37</xdr:row>
          <xdr:rowOff>85725</xdr:rowOff>
        </xdr:to>
        <xdr:sp macro="" textlink="">
          <xdr:nvSpPr>
            <xdr:cNvPr id="6568" name="Check Box 424" hidden="1">
              <a:extLst>
                <a:ext uri="{63B3BB69-23CF-44E3-9099-C40C66FF867C}">
                  <a14:compatExt spid="_x0000_s6568"/>
                </a:ext>
                <a:ext uri="{FF2B5EF4-FFF2-40B4-BE49-F238E27FC236}">
                  <a16:creationId xmlns:a16="http://schemas.microsoft.com/office/drawing/2014/main" id="{00000000-0008-0000-0900-0000A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89</xdr:col>
          <xdr:colOff>200025</xdr:colOff>
          <xdr:row>35</xdr:row>
          <xdr:rowOff>171450</xdr:rowOff>
        </xdr:from>
        <xdr:to>
          <xdr:col>135</xdr:col>
          <xdr:colOff>304800</xdr:colOff>
          <xdr:row>36</xdr:row>
          <xdr:rowOff>123825</xdr:rowOff>
        </xdr:to>
        <xdr:sp macro="" textlink="">
          <xdr:nvSpPr>
            <xdr:cNvPr id="6573" name="Check Box 429" hidden="1">
              <a:extLst>
                <a:ext uri="{63B3BB69-23CF-44E3-9099-C40C66FF867C}">
                  <a14:compatExt spid="_x0000_s6573"/>
                </a:ext>
                <a:ext uri="{FF2B5EF4-FFF2-40B4-BE49-F238E27FC236}">
                  <a16:creationId xmlns:a16="http://schemas.microsoft.com/office/drawing/2014/main" id="{00000000-0008-0000-0900-0000A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89</xdr:col>
          <xdr:colOff>209550</xdr:colOff>
          <xdr:row>36</xdr:row>
          <xdr:rowOff>161925</xdr:rowOff>
        </xdr:from>
        <xdr:to>
          <xdr:col>135</xdr:col>
          <xdr:colOff>304800</xdr:colOff>
          <xdr:row>37</xdr:row>
          <xdr:rowOff>85725</xdr:rowOff>
        </xdr:to>
        <xdr:sp macro="" textlink="">
          <xdr:nvSpPr>
            <xdr:cNvPr id="6574" name="Check Box 430" hidden="1">
              <a:extLst>
                <a:ext uri="{63B3BB69-23CF-44E3-9099-C40C66FF867C}">
                  <a14:compatExt spid="_x0000_s6574"/>
                </a:ext>
                <a:ext uri="{FF2B5EF4-FFF2-40B4-BE49-F238E27FC236}">
                  <a16:creationId xmlns:a16="http://schemas.microsoft.com/office/drawing/2014/main" id="{00000000-0008-0000-0900-0000A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209550</xdr:colOff>
          <xdr:row>35</xdr:row>
          <xdr:rowOff>171450</xdr:rowOff>
        </xdr:from>
        <xdr:to>
          <xdr:col>135</xdr:col>
          <xdr:colOff>304800</xdr:colOff>
          <xdr:row>36</xdr:row>
          <xdr:rowOff>123825</xdr:rowOff>
        </xdr:to>
        <xdr:sp macro="" textlink="">
          <xdr:nvSpPr>
            <xdr:cNvPr id="6579" name="Check Box 435" hidden="1">
              <a:extLst>
                <a:ext uri="{63B3BB69-23CF-44E3-9099-C40C66FF867C}">
                  <a14:compatExt spid="_x0000_s6579"/>
                </a:ext>
                <a:ext uri="{FF2B5EF4-FFF2-40B4-BE49-F238E27FC236}">
                  <a16:creationId xmlns:a16="http://schemas.microsoft.com/office/drawing/2014/main" id="{00000000-0008-0000-0900-0000B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90</xdr:col>
          <xdr:colOff>209550</xdr:colOff>
          <xdr:row>36</xdr:row>
          <xdr:rowOff>161925</xdr:rowOff>
        </xdr:from>
        <xdr:to>
          <xdr:col>135</xdr:col>
          <xdr:colOff>304800</xdr:colOff>
          <xdr:row>37</xdr:row>
          <xdr:rowOff>85725</xdr:rowOff>
        </xdr:to>
        <xdr:sp macro="" textlink="">
          <xdr:nvSpPr>
            <xdr:cNvPr id="6580" name="Check Box 436" hidden="1">
              <a:extLst>
                <a:ext uri="{63B3BB69-23CF-44E3-9099-C40C66FF867C}">
                  <a14:compatExt spid="_x0000_s6580"/>
                </a:ext>
                <a:ext uri="{FF2B5EF4-FFF2-40B4-BE49-F238E27FC236}">
                  <a16:creationId xmlns:a16="http://schemas.microsoft.com/office/drawing/2014/main" id="{00000000-0008-0000-0900-0000B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91</xdr:col>
          <xdr:colOff>190500</xdr:colOff>
          <xdr:row>35</xdr:row>
          <xdr:rowOff>171450</xdr:rowOff>
        </xdr:from>
        <xdr:to>
          <xdr:col>135</xdr:col>
          <xdr:colOff>304800</xdr:colOff>
          <xdr:row>36</xdr:row>
          <xdr:rowOff>123825</xdr:rowOff>
        </xdr:to>
        <xdr:sp macro="" textlink="">
          <xdr:nvSpPr>
            <xdr:cNvPr id="6585" name="Check Box 441" hidden="1">
              <a:extLst>
                <a:ext uri="{63B3BB69-23CF-44E3-9099-C40C66FF867C}">
                  <a14:compatExt spid="_x0000_s6585"/>
                </a:ext>
                <a:ext uri="{FF2B5EF4-FFF2-40B4-BE49-F238E27FC236}">
                  <a16:creationId xmlns:a16="http://schemas.microsoft.com/office/drawing/2014/main" id="{00000000-0008-0000-0900-0000B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91</xdr:col>
          <xdr:colOff>200025</xdr:colOff>
          <xdr:row>36</xdr:row>
          <xdr:rowOff>161925</xdr:rowOff>
        </xdr:from>
        <xdr:to>
          <xdr:col>135</xdr:col>
          <xdr:colOff>304800</xdr:colOff>
          <xdr:row>37</xdr:row>
          <xdr:rowOff>85725</xdr:rowOff>
        </xdr:to>
        <xdr:sp macro="" textlink="">
          <xdr:nvSpPr>
            <xdr:cNvPr id="6586" name="Check Box 442" hidden="1">
              <a:extLst>
                <a:ext uri="{63B3BB69-23CF-44E3-9099-C40C66FF867C}">
                  <a14:compatExt spid="_x0000_s6586"/>
                </a:ext>
                <a:ext uri="{FF2B5EF4-FFF2-40B4-BE49-F238E27FC236}">
                  <a16:creationId xmlns:a16="http://schemas.microsoft.com/office/drawing/2014/main" id="{00000000-0008-0000-0900-0000B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92</xdr:col>
          <xdr:colOff>209550</xdr:colOff>
          <xdr:row>35</xdr:row>
          <xdr:rowOff>180975</xdr:rowOff>
        </xdr:from>
        <xdr:to>
          <xdr:col>135</xdr:col>
          <xdr:colOff>304800</xdr:colOff>
          <xdr:row>36</xdr:row>
          <xdr:rowOff>123825</xdr:rowOff>
        </xdr:to>
        <xdr:sp macro="" textlink="">
          <xdr:nvSpPr>
            <xdr:cNvPr id="6591" name="Check Box 447" hidden="1">
              <a:extLst>
                <a:ext uri="{63B3BB69-23CF-44E3-9099-C40C66FF867C}">
                  <a14:compatExt spid="_x0000_s6591"/>
                </a:ext>
                <a:ext uri="{FF2B5EF4-FFF2-40B4-BE49-F238E27FC236}">
                  <a16:creationId xmlns:a16="http://schemas.microsoft.com/office/drawing/2014/main" id="{00000000-0008-0000-0900-0000B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92</xdr:col>
          <xdr:colOff>219075</xdr:colOff>
          <xdr:row>36</xdr:row>
          <xdr:rowOff>161925</xdr:rowOff>
        </xdr:from>
        <xdr:to>
          <xdr:col>135</xdr:col>
          <xdr:colOff>304800</xdr:colOff>
          <xdr:row>37</xdr:row>
          <xdr:rowOff>85725</xdr:rowOff>
        </xdr:to>
        <xdr:sp macro="" textlink="">
          <xdr:nvSpPr>
            <xdr:cNvPr id="6592" name="Check Box 448" hidden="1">
              <a:extLst>
                <a:ext uri="{63B3BB69-23CF-44E3-9099-C40C66FF867C}">
                  <a14:compatExt spid="_x0000_s6592"/>
                </a:ext>
                <a:ext uri="{FF2B5EF4-FFF2-40B4-BE49-F238E27FC236}">
                  <a16:creationId xmlns:a16="http://schemas.microsoft.com/office/drawing/2014/main" id="{00000000-0008-0000-0900-0000C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93</xdr:col>
          <xdr:colOff>209550</xdr:colOff>
          <xdr:row>35</xdr:row>
          <xdr:rowOff>180975</xdr:rowOff>
        </xdr:from>
        <xdr:to>
          <xdr:col>135</xdr:col>
          <xdr:colOff>304800</xdr:colOff>
          <xdr:row>36</xdr:row>
          <xdr:rowOff>123825</xdr:rowOff>
        </xdr:to>
        <xdr:sp macro="" textlink="">
          <xdr:nvSpPr>
            <xdr:cNvPr id="6597" name="Check Box 453" hidden="1">
              <a:extLst>
                <a:ext uri="{63B3BB69-23CF-44E3-9099-C40C66FF867C}">
                  <a14:compatExt spid="_x0000_s6597"/>
                </a:ext>
                <a:ext uri="{FF2B5EF4-FFF2-40B4-BE49-F238E27FC236}">
                  <a16:creationId xmlns:a16="http://schemas.microsoft.com/office/drawing/2014/main" id="{00000000-0008-0000-0900-0000C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93</xdr:col>
          <xdr:colOff>200025</xdr:colOff>
          <xdr:row>36</xdr:row>
          <xdr:rowOff>161925</xdr:rowOff>
        </xdr:from>
        <xdr:to>
          <xdr:col>135</xdr:col>
          <xdr:colOff>304800</xdr:colOff>
          <xdr:row>37</xdr:row>
          <xdr:rowOff>85725</xdr:rowOff>
        </xdr:to>
        <xdr:sp macro="" textlink="">
          <xdr:nvSpPr>
            <xdr:cNvPr id="6598" name="Check Box 454" hidden="1">
              <a:extLst>
                <a:ext uri="{63B3BB69-23CF-44E3-9099-C40C66FF867C}">
                  <a14:compatExt spid="_x0000_s6598"/>
                </a:ext>
                <a:ext uri="{FF2B5EF4-FFF2-40B4-BE49-F238E27FC236}">
                  <a16:creationId xmlns:a16="http://schemas.microsoft.com/office/drawing/2014/main" id="{00000000-0008-0000-0900-0000C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94</xdr:col>
          <xdr:colOff>190500</xdr:colOff>
          <xdr:row>35</xdr:row>
          <xdr:rowOff>190500</xdr:rowOff>
        </xdr:from>
        <xdr:to>
          <xdr:col>135</xdr:col>
          <xdr:colOff>304800</xdr:colOff>
          <xdr:row>36</xdr:row>
          <xdr:rowOff>171450</xdr:rowOff>
        </xdr:to>
        <xdr:sp macro="" textlink="">
          <xdr:nvSpPr>
            <xdr:cNvPr id="6603" name="Check Box 459" hidden="1">
              <a:extLst>
                <a:ext uri="{63B3BB69-23CF-44E3-9099-C40C66FF867C}">
                  <a14:compatExt spid="_x0000_s6603"/>
                </a:ext>
                <a:ext uri="{FF2B5EF4-FFF2-40B4-BE49-F238E27FC236}">
                  <a16:creationId xmlns:a16="http://schemas.microsoft.com/office/drawing/2014/main" id="{00000000-0008-0000-0900-0000C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94</xdr:col>
          <xdr:colOff>200025</xdr:colOff>
          <xdr:row>36</xdr:row>
          <xdr:rowOff>152400</xdr:rowOff>
        </xdr:from>
        <xdr:to>
          <xdr:col>135</xdr:col>
          <xdr:colOff>304800</xdr:colOff>
          <xdr:row>37</xdr:row>
          <xdr:rowOff>85725</xdr:rowOff>
        </xdr:to>
        <xdr:sp macro="" textlink="">
          <xdr:nvSpPr>
            <xdr:cNvPr id="6604" name="Check Box 460" hidden="1">
              <a:extLst>
                <a:ext uri="{63B3BB69-23CF-44E3-9099-C40C66FF867C}">
                  <a14:compatExt spid="_x0000_s6604"/>
                </a:ext>
                <a:ext uri="{FF2B5EF4-FFF2-40B4-BE49-F238E27FC236}">
                  <a16:creationId xmlns:a16="http://schemas.microsoft.com/office/drawing/2014/main" id="{00000000-0008-0000-0900-0000C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95</xdr:col>
          <xdr:colOff>200025</xdr:colOff>
          <xdr:row>35</xdr:row>
          <xdr:rowOff>190500</xdr:rowOff>
        </xdr:from>
        <xdr:to>
          <xdr:col>135</xdr:col>
          <xdr:colOff>304800</xdr:colOff>
          <xdr:row>36</xdr:row>
          <xdr:rowOff>171450</xdr:rowOff>
        </xdr:to>
        <xdr:sp macro="" textlink="">
          <xdr:nvSpPr>
            <xdr:cNvPr id="6609" name="Check Box 465" hidden="1">
              <a:extLst>
                <a:ext uri="{63B3BB69-23CF-44E3-9099-C40C66FF867C}">
                  <a14:compatExt spid="_x0000_s6609"/>
                </a:ext>
                <a:ext uri="{FF2B5EF4-FFF2-40B4-BE49-F238E27FC236}">
                  <a16:creationId xmlns:a16="http://schemas.microsoft.com/office/drawing/2014/main" id="{00000000-0008-0000-0900-0000D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95</xdr:col>
          <xdr:colOff>209550</xdr:colOff>
          <xdr:row>36</xdr:row>
          <xdr:rowOff>161925</xdr:rowOff>
        </xdr:from>
        <xdr:to>
          <xdr:col>135</xdr:col>
          <xdr:colOff>304800</xdr:colOff>
          <xdr:row>37</xdr:row>
          <xdr:rowOff>85725</xdr:rowOff>
        </xdr:to>
        <xdr:sp macro="" textlink="">
          <xdr:nvSpPr>
            <xdr:cNvPr id="6610" name="Check Box 466" hidden="1">
              <a:extLst>
                <a:ext uri="{63B3BB69-23CF-44E3-9099-C40C66FF867C}">
                  <a14:compatExt spid="_x0000_s6610"/>
                </a:ext>
                <a:ext uri="{FF2B5EF4-FFF2-40B4-BE49-F238E27FC236}">
                  <a16:creationId xmlns:a16="http://schemas.microsoft.com/office/drawing/2014/main" id="{00000000-0008-0000-0900-0000D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96</xdr:col>
          <xdr:colOff>209550</xdr:colOff>
          <xdr:row>35</xdr:row>
          <xdr:rowOff>171450</xdr:rowOff>
        </xdr:from>
        <xdr:to>
          <xdr:col>135</xdr:col>
          <xdr:colOff>304800</xdr:colOff>
          <xdr:row>36</xdr:row>
          <xdr:rowOff>123825</xdr:rowOff>
        </xdr:to>
        <xdr:sp macro="" textlink="">
          <xdr:nvSpPr>
            <xdr:cNvPr id="6615" name="Check Box 471" hidden="1">
              <a:extLst>
                <a:ext uri="{63B3BB69-23CF-44E3-9099-C40C66FF867C}">
                  <a14:compatExt spid="_x0000_s6615"/>
                </a:ext>
                <a:ext uri="{FF2B5EF4-FFF2-40B4-BE49-F238E27FC236}">
                  <a16:creationId xmlns:a16="http://schemas.microsoft.com/office/drawing/2014/main" id="{00000000-0008-0000-0900-0000D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96</xdr:col>
          <xdr:colOff>200025</xdr:colOff>
          <xdr:row>36</xdr:row>
          <xdr:rowOff>161925</xdr:rowOff>
        </xdr:from>
        <xdr:to>
          <xdr:col>135</xdr:col>
          <xdr:colOff>304800</xdr:colOff>
          <xdr:row>37</xdr:row>
          <xdr:rowOff>85725</xdr:rowOff>
        </xdr:to>
        <xdr:sp macro="" textlink="">
          <xdr:nvSpPr>
            <xdr:cNvPr id="6616" name="Check Box 472" hidden="1">
              <a:extLst>
                <a:ext uri="{63B3BB69-23CF-44E3-9099-C40C66FF867C}">
                  <a14:compatExt spid="_x0000_s6616"/>
                </a:ext>
                <a:ext uri="{FF2B5EF4-FFF2-40B4-BE49-F238E27FC236}">
                  <a16:creationId xmlns:a16="http://schemas.microsoft.com/office/drawing/2014/main" id="{00000000-0008-0000-0900-0000D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97</xdr:col>
          <xdr:colOff>219075</xdr:colOff>
          <xdr:row>35</xdr:row>
          <xdr:rowOff>171450</xdr:rowOff>
        </xdr:from>
        <xdr:to>
          <xdr:col>135</xdr:col>
          <xdr:colOff>304800</xdr:colOff>
          <xdr:row>36</xdr:row>
          <xdr:rowOff>123825</xdr:rowOff>
        </xdr:to>
        <xdr:sp macro="" textlink="">
          <xdr:nvSpPr>
            <xdr:cNvPr id="6621" name="Check Box 477" hidden="1">
              <a:extLst>
                <a:ext uri="{63B3BB69-23CF-44E3-9099-C40C66FF867C}">
                  <a14:compatExt spid="_x0000_s6621"/>
                </a:ext>
                <a:ext uri="{FF2B5EF4-FFF2-40B4-BE49-F238E27FC236}">
                  <a16:creationId xmlns:a16="http://schemas.microsoft.com/office/drawing/2014/main" id="{00000000-0008-0000-0900-0000D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97</xdr:col>
          <xdr:colOff>200025</xdr:colOff>
          <xdr:row>36</xdr:row>
          <xdr:rowOff>171450</xdr:rowOff>
        </xdr:from>
        <xdr:to>
          <xdr:col>135</xdr:col>
          <xdr:colOff>304800</xdr:colOff>
          <xdr:row>37</xdr:row>
          <xdr:rowOff>104775</xdr:rowOff>
        </xdr:to>
        <xdr:sp macro="" textlink="">
          <xdr:nvSpPr>
            <xdr:cNvPr id="6622" name="Check Box 478" hidden="1">
              <a:extLst>
                <a:ext uri="{63B3BB69-23CF-44E3-9099-C40C66FF867C}">
                  <a14:compatExt spid="_x0000_s6622"/>
                </a:ext>
                <a:ext uri="{FF2B5EF4-FFF2-40B4-BE49-F238E27FC236}">
                  <a16:creationId xmlns:a16="http://schemas.microsoft.com/office/drawing/2014/main" id="{00000000-0008-0000-0900-0000D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98</xdr:col>
          <xdr:colOff>209550</xdr:colOff>
          <xdr:row>35</xdr:row>
          <xdr:rowOff>171450</xdr:rowOff>
        </xdr:from>
        <xdr:to>
          <xdr:col>135</xdr:col>
          <xdr:colOff>304800</xdr:colOff>
          <xdr:row>36</xdr:row>
          <xdr:rowOff>123825</xdr:rowOff>
        </xdr:to>
        <xdr:sp macro="" textlink="">
          <xdr:nvSpPr>
            <xdr:cNvPr id="6627" name="Check Box 483" hidden="1">
              <a:extLst>
                <a:ext uri="{63B3BB69-23CF-44E3-9099-C40C66FF867C}">
                  <a14:compatExt spid="_x0000_s6627"/>
                </a:ext>
                <a:ext uri="{FF2B5EF4-FFF2-40B4-BE49-F238E27FC236}">
                  <a16:creationId xmlns:a16="http://schemas.microsoft.com/office/drawing/2014/main" id="{00000000-0008-0000-0900-0000E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98</xdr:col>
          <xdr:colOff>209550</xdr:colOff>
          <xdr:row>36</xdr:row>
          <xdr:rowOff>171450</xdr:rowOff>
        </xdr:from>
        <xdr:to>
          <xdr:col>135</xdr:col>
          <xdr:colOff>304800</xdr:colOff>
          <xdr:row>37</xdr:row>
          <xdr:rowOff>104775</xdr:rowOff>
        </xdr:to>
        <xdr:sp macro="" textlink="">
          <xdr:nvSpPr>
            <xdr:cNvPr id="6628" name="Check Box 484" hidden="1">
              <a:extLst>
                <a:ext uri="{63B3BB69-23CF-44E3-9099-C40C66FF867C}">
                  <a14:compatExt spid="_x0000_s6628"/>
                </a:ext>
                <a:ext uri="{FF2B5EF4-FFF2-40B4-BE49-F238E27FC236}">
                  <a16:creationId xmlns:a16="http://schemas.microsoft.com/office/drawing/2014/main" id="{00000000-0008-0000-0900-0000E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99</xdr:col>
          <xdr:colOff>209550</xdr:colOff>
          <xdr:row>35</xdr:row>
          <xdr:rowOff>171450</xdr:rowOff>
        </xdr:from>
        <xdr:to>
          <xdr:col>135</xdr:col>
          <xdr:colOff>304800</xdr:colOff>
          <xdr:row>36</xdr:row>
          <xdr:rowOff>123825</xdr:rowOff>
        </xdr:to>
        <xdr:sp macro="" textlink="">
          <xdr:nvSpPr>
            <xdr:cNvPr id="6633" name="Check Box 489" hidden="1">
              <a:extLst>
                <a:ext uri="{63B3BB69-23CF-44E3-9099-C40C66FF867C}">
                  <a14:compatExt spid="_x0000_s6633"/>
                </a:ext>
                <a:ext uri="{FF2B5EF4-FFF2-40B4-BE49-F238E27FC236}">
                  <a16:creationId xmlns:a16="http://schemas.microsoft.com/office/drawing/2014/main" id="{00000000-0008-0000-0900-0000E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99</xdr:col>
          <xdr:colOff>200025</xdr:colOff>
          <xdr:row>36</xdr:row>
          <xdr:rowOff>171450</xdr:rowOff>
        </xdr:from>
        <xdr:to>
          <xdr:col>135</xdr:col>
          <xdr:colOff>304800</xdr:colOff>
          <xdr:row>37</xdr:row>
          <xdr:rowOff>104775</xdr:rowOff>
        </xdr:to>
        <xdr:sp macro="" textlink="">
          <xdr:nvSpPr>
            <xdr:cNvPr id="6634" name="Check Box 490" hidden="1">
              <a:extLst>
                <a:ext uri="{63B3BB69-23CF-44E3-9099-C40C66FF867C}">
                  <a14:compatExt spid="_x0000_s6634"/>
                </a:ext>
                <a:ext uri="{FF2B5EF4-FFF2-40B4-BE49-F238E27FC236}">
                  <a16:creationId xmlns:a16="http://schemas.microsoft.com/office/drawing/2014/main" id="{00000000-0008-0000-0900-0000E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100</xdr:col>
          <xdr:colOff>209550</xdr:colOff>
          <xdr:row>35</xdr:row>
          <xdr:rowOff>171450</xdr:rowOff>
        </xdr:from>
        <xdr:to>
          <xdr:col>135</xdr:col>
          <xdr:colOff>304800</xdr:colOff>
          <xdr:row>36</xdr:row>
          <xdr:rowOff>123825</xdr:rowOff>
        </xdr:to>
        <xdr:sp macro="" textlink="">
          <xdr:nvSpPr>
            <xdr:cNvPr id="6662" name="Check Box 518" hidden="1">
              <a:extLst>
                <a:ext uri="{63B3BB69-23CF-44E3-9099-C40C66FF867C}">
                  <a14:compatExt spid="_x0000_s6662"/>
                </a:ext>
                <a:ext uri="{FF2B5EF4-FFF2-40B4-BE49-F238E27FC236}">
                  <a16:creationId xmlns:a16="http://schemas.microsoft.com/office/drawing/2014/main" id="{00000000-0008-0000-0900-00000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36</xdr:row>
          <xdr:rowOff>171450</xdr:rowOff>
        </xdr:from>
        <xdr:to>
          <xdr:col>135</xdr:col>
          <xdr:colOff>304800</xdr:colOff>
          <xdr:row>37</xdr:row>
          <xdr:rowOff>85725</xdr:rowOff>
        </xdr:to>
        <xdr:sp macro="" textlink="">
          <xdr:nvSpPr>
            <xdr:cNvPr id="6664" name="Check Box 520" hidden="1">
              <a:extLst>
                <a:ext uri="{63B3BB69-23CF-44E3-9099-C40C66FF867C}">
                  <a14:compatExt spid="_x0000_s6664"/>
                </a:ext>
                <a:ext uri="{FF2B5EF4-FFF2-40B4-BE49-F238E27FC236}">
                  <a16:creationId xmlns:a16="http://schemas.microsoft.com/office/drawing/2014/main" id="{00000000-0008-0000-0900-00000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180975</xdr:colOff>
          <xdr:row>35</xdr:row>
          <xdr:rowOff>142875</xdr:rowOff>
        </xdr:from>
        <xdr:to>
          <xdr:col>135</xdr:col>
          <xdr:colOff>304800</xdr:colOff>
          <xdr:row>36</xdr:row>
          <xdr:rowOff>104775</xdr:rowOff>
        </xdr:to>
        <xdr:sp macro="" textlink="">
          <xdr:nvSpPr>
            <xdr:cNvPr id="6665" name="Check Box 521" hidden="1">
              <a:extLst>
                <a:ext uri="{63B3BB69-23CF-44E3-9099-C40C66FF867C}">
                  <a14:compatExt spid="_x0000_s6665"/>
                </a:ext>
                <a:ext uri="{FF2B5EF4-FFF2-40B4-BE49-F238E27FC236}">
                  <a16:creationId xmlns:a16="http://schemas.microsoft.com/office/drawing/2014/main" id="{00000000-0008-0000-0900-00000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190500</xdr:colOff>
          <xdr:row>36</xdr:row>
          <xdr:rowOff>219075</xdr:rowOff>
        </xdr:from>
        <xdr:to>
          <xdr:col>135</xdr:col>
          <xdr:colOff>314325</xdr:colOff>
          <xdr:row>37</xdr:row>
          <xdr:rowOff>142875</xdr:rowOff>
        </xdr:to>
        <xdr:sp macro="" textlink="">
          <xdr:nvSpPr>
            <xdr:cNvPr id="6668" name="Check Box 524" hidden="1">
              <a:extLst>
                <a:ext uri="{63B3BB69-23CF-44E3-9099-C40C66FF867C}">
                  <a14:compatExt spid="_x0000_s6668"/>
                </a:ext>
                <a:ext uri="{FF2B5EF4-FFF2-40B4-BE49-F238E27FC236}">
                  <a16:creationId xmlns:a16="http://schemas.microsoft.com/office/drawing/2014/main" id="{00000000-0008-0000-0900-00000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114301</xdr:colOff>
      <xdr:row>0</xdr:row>
      <xdr:rowOff>115094</xdr:rowOff>
    </xdr:from>
    <xdr:to>
      <xdr:col>11</xdr:col>
      <xdr:colOff>11114</xdr:colOff>
      <xdr:row>1</xdr:row>
      <xdr:rowOff>321469</xdr:rowOff>
    </xdr:to>
    <xdr:sp macro="[0]!NuevaCotizacionRemodelacion" textlink="">
      <xdr:nvSpPr>
        <xdr:cNvPr id="3" name="Rectángulo 2">
          <a:extLst>
            <a:ext uri="{FF2B5EF4-FFF2-40B4-BE49-F238E27FC236}">
              <a16:creationId xmlns:a16="http://schemas.microsoft.com/office/drawing/2014/main" id="{00000000-0008-0000-0600-000003000000}"/>
            </a:ext>
          </a:extLst>
        </xdr:cNvPr>
        <xdr:cNvSpPr/>
      </xdr:nvSpPr>
      <xdr:spPr>
        <a:xfrm>
          <a:off x="5269707" y="115094"/>
          <a:ext cx="1658938" cy="527844"/>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200" b="1">
              <a:solidFill>
                <a:schemeClr val="tx1"/>
              </a:solidFill>
              <a:latin typeface="Univers" panose="020B0503020202020204" pitchFamily="34" charset="0"/>
            </a:rPr>
            <a:t>Nueva Cotización</a:t>
          </a:r>
        </a:p>
      </xdr:txBody>
    </xdr:sp>
    <xdr:clientData/>
  </xdr:twoCellAnchor>
  <xdr:twoCellAnchor>
    <xdr:from>
      <xdr:col>11</xdr:col>
      <xdr:colOff>285750</xdr:colOff>
      <xdr:row>0</xdr:row>
      <xdr:rowOff>127001</xdr:rowOff>
    </xdr:from>
    <xdr:to>
      <xdr:col>14</xdr:col>
      <xdr:colOff>158750</xdr:colOff>
      <xdr:row>1</xdr:row>
      <xdr:rowOff>321467</xdr:rowOff>
    </xdr:to>
    <xdr:sp macro="[0]!RegresarMenuRemodelacion" textlink="">
      <xdr:nvSpPr>
        <xdr:cNvPr id="5" name="Rectángulo 4">
          <a:extLst>
            <a:ext uri="{FF2B5EF4-FFF2-40B4-BE49-F238E27FC236}">
              <a16:creationId xmlns:a16="http://schemas.microsoft.com/office/drawing/2014/main" id="{00000000-0008-0000-0600-000005000000}"/>
            </a:ext>
          </a:extLst>
        </xdr:cNvPr>
        <xdr:cNvSpPr/>
      </xdr:nvSpPr>
      <xdr:spPr>
        <a:xfrm>
          <a:off x="7203281" y="127001"/>
          <a:ext cx="1635125" cy="515935"/>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200" b="1">
              <a:solidFill>
                <a:schemeClr val="tx1"/>
              </a:solidFill>
              <a:latin typeface="Univers" panose="020B0503020202020204" pitchFamily="34" charset="0"/>
            </a:rPr>
            <a:t>Regresar al Menú</a:t>
          </a:r>
        </a:p>
      </xdr:txBody>
    </xdr:sp>
    <xdr:clientData/>
  </xdr:twoCellAnchor>
  <xdr:twoCellAnchor>
    <xdr:from>
      <xdr:col>46</xdr:col>
      <xdr:colOff>818125</xdr:colOff>
      <xdr:row>10</xdr:row>
      <xdr:rowOff>138061</xdr:rowOff>
    </xdr:from>
    <xdr:to>
      <xdr:col>46</xdr:col>
      <xdr:colOff>2367525</xdr:colOff>
      <xdr:row>12</xdr:row>
      <xdr:rowOff>158545</xdr:rowOff>
    </xdr:to>
    <xdr:sp macro="[0]!TablaAmortizacionRemodelacion" textlink="">
      <xdr:nvSpPr>
        <xdr:cNvPr id="6" name="Rectángulo 5">
          <a:extLst>
            <a:ext uri="{FF2B5EF4-FFF2-40B4-BE49-F238E27FC236}">
              <a16:creationId xmlns:a16="http://schemas.microsoft.com/office/drawing/2014/main" id="{00000000-0008-0000-0600-000006000000}"/>
            </a:ext>
          </a:extLst>
        </xdr:cNvPr>
        <xdr:cNvSpPr/>
      </xdr:nvSpPr>
      <xdr:spPr>
        <a:xfrm>
          <a:off x="25009577" y="1571932"/>
          <a:ext cx="1549400" cy="491613"/>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t>Generar Tabla de Amortización</a:t>
          </a:r>
        </a:p>
      </xdr:txBody>
    </xdr:sp>
    <xdr:clientData/>
  </xdr:twoCellAnchor>
  <xdr:twoCellAnchor>
    <xdr:from>
      <xdr:col>46</xdr:col>
      <xdr:colOff>805835</xdr:colOff>
      <xdr:row>13</xdr:row>
      <xdr:rowOff>32773</xdr:rowOff>
    </xdr:from>
    <xdr:to>
      <xdr:col>46</xdr:col>
      <xdr:colOff>2792361</xdr:colOff>
      <xdr:row>14</xdr:row>
      <xdr:rowOff>145435</xdr:rowOff>
    </xdr:to>
    <xdr:sp macro="[0]!ActivarPagoPuntualRelacionamiento" textlink="">
      <xdr:nvSpPr>
        <xdr:cNvPr id="7" name="Rectángulo 6">
          <a:extLst>
            <a:ext uri="{FF2B5EF4-FFF2-40B4-BE49-F238E27FC236}">
              <a16:creationId xmlns:a16="http://schemas.microsoft.com/office/drawing/2014/main" id="{00000000-0008-0000-0600-000007000000}"/>
            </a:ext>
          </a:extLst>
        </xdr:cNvPr>
        <xdr:cNvSpPr/>
      </xdr:nvSpPr>
      <xdr:spPr>
        <a:xfrm>
          <a:off x="24997287" y="2142612"/>
          <a:ext cx="1986526" cy="3175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es-MX" sz="1100" b="1"/>
            <a:t>Actipar Pago Puntual</a:t>
          </a:r>
        </a:p>
      </xdr:txBody>
    </xdr:sp>
    <xdr:clientData/>
  </xdr:twoCellAnchor>
  <xdr:twoCellAnchor>
    <xdr:from>
      <xdr:col>46</xdr:col>
      <xdr:colOff>858402</xdr:colOff>
      <xdr:row>28</xdr:row>
      <xdr:rowOff>7273</xdr:rowOff>
    </xdr:from>
    <xdr:to>
      <xdr:col>46</xdr:col>
      <xdr:colOff>2345531</xdr:colOff>
      <xdr:row>30</xdr:row>
      <xdr:rowOff>107131</xdr:rowOff>
    </xdr:to>
    <xdr:sp macro="[0]!ActivarRelacionamientoRemodelacion" textlink="">
      <xdr:nvSpPr>
        <xdr:cNvPr id="8" name="Rectángulo 7">
          <a:extLst>
            <a:ext uri="{FF2B5EF4-FFF2-40B4-BE49-F238E27FC236}">
              <a16:creationId xmlns:a16="http://schemas.microsoft.com/office/drawing/2014/main" id="{00000000-0008-0000-0600-000008000000}"/>
            </a:ext>
          </a:extLst>
        </xdr:cNvPr>
        <xdr:cNvSpPr/>
      </xdr:nvSpPr>
      <xdr:spPr>
        <a:xfrm>
          <a:off x="28992871" y="5984211"/>
          <a:ext cx="1487129" cy="528483"/>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ctr"/>
          <a:r>
            <a:rPr lang="es-MX" sz="1100" b="1"/>
            <a:t>Activar</a:t>
          </a:r>
          <a:r>
            <a:rPr lang="es-MX" sz="1100" b="1" baseline="0"/>
            <a:t> Relacionamiento</a:t>
          </a:r>
          <a:endParaRPr lang="es-MX" sz="1100" b="1"/>
        </a:p>
      </xdr:txBody>
    </xdr:sp>
    <xdr:clientData/>
  </xdr:twoCellAnchor>
  <xdr:twoCellAnchor>
    <xdr:from>
      <xdr:col>46</xdr:col>
      <xdr:colOff>818945</xdr:colOff>
      <xdr:row>17</xdr:row>
      <xdr:rowOff>12290</xdr:rowOff>
    </xdr:from>
    <xdr:to>
      <xdr:col>46</xdr:col>
      <xdr:colOff>2805471</xdr:colOff>
      <xdr:row>18</xdr:row>
      <xdr:rowOff>124952</xdr:rowOff>
    </xdr:to>
    <xdr:sp macro="[0]!DesactivarTodoRemodelacion" textlink="">
      <xdr:nvSpPr>
        <xdr:cNvPr id="9" name="Rectángulo 8">
          <a:extLst>
            <a:ext uri="{FF2B5EF4-FFF2-40B4-BE49-F238E27FC236}">
              <a16:creationId xmlns:a16="http://schemas.microsoft.com/office/drawing/2014/main" id="{00000000-0008-0000-0600-000009000000}"/>
            </a:ext>
          </a:extLst>
        </xdr:cNvPr>
        <xdr:cNvSpPr/>
      </xdr:nvSpPr>
      <xdr:spPr>
        <a:xfrm>
          <a:off x="25010397" y="2941484"/>
          <a:ext cx="1986526" cy="317500"/>
        </a:xfrm>
        <a:prstGeom prst="rect">
          <a:avLst/>
        </a:prstGeom>
        <a:solidFill>
          <a:srgbClr val="C00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es-MX" sz="1100" b="1"/>
            <a:t>Desactivar</a:t>
          </a:r>
          <a:r>
            <a:rPr lang="es-MX" sz="1100" b="1" baseline="0"/>
            <a:t> Todo</a:t>
          </a:r>
          <a:endParaRPr lang="es-MX" sz="1100" b="1"/>
        </a:p>
      </xdr:txBody>
    </xdr:sp>
    <xdr:clientData/>
  </xdr:twoCellAnchor>
  <xdr:twoCellAnchor>
    <xdr:from>
      <xdr:col>46</xdr:col>
      <xdr:colOff>877683</xdr:colOff>
      <xdr:row>31</xdr:row>
      <xdr:rowOff>63196</xdr:rowOff>
    </xdr:from>
    <xdr:to>
      <xdr:col>46</xdr:col>
      <xdr:colOff>2369344</xdr:colOff>
      <xdr:row>33</xdr:row>
      <xdr:rowOff>83320</xdr:rowOff>
    </xdr:to>
    <xdr:sp macro="[0]!DesactivarRelacionamientoRemodelacion" textlink="">
      <xdr:nvSpPr>
        <xdr:cNvPr id="10" name="Rectángulo 9">
          <a:extLst>
            <a:ext uri="{FF2B5EF4-FFF2-40B4-BE49-F238E27FC236}">
              <a16:creationId xmlns:a16="http://schemas.microsoft.com/office/drawing/2014/main" id="{00000000-0008-0000-0600-00000A000000}"/>
            </a:ext>
          </a:extLst>
        </xdr:cNvPr>
        <xdr:cNvSpPr/>
      </xdr:nvSpPr>
      <xdr:spPr>
        <a:xfrm>
          <a:off x="29012152" y="6683071"/>
          <a:ext cx="1491661" cy="436843"/>
        </a:xfrm>
        <a:prstGeom prst="rect">
          <a:avLst/>
        </a:prstGeom>
        <a:solidFill>
          <a:srgbClr val="C00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ctr"/>
          <a:r>
            <a:rPr lang="es-MX" sz="1100" b="1"/>
            <a:t>Desactivar</a:t>
          </a:r>
          <a:r>
            <a:rPr lang="es-MX" sz="1100" b="1" baseline="0"/>
            <a:t> Relacionaiento</a:t>
          </a:r>
          <a:endParaRPr lang="es-MX" sz="1100" b="1"/>
        </a:p>
      </xdr:txBody>
    </xdr:sp>
    <xdr:clientData/>
  </xdr:twoCellAnchor>
  <xdr:twoCellAnchor>
    <xdr:from>
      <xdr:col>46</xdr:col>
      <xdr:colOff>801329</xdr:colOff>
      <xdr:row>21</xdr:row>
      <xdr:rowOff>15158</xdr:rowOff>
    </xdr:from>
    <xdr:to>
      <xdr:col>46</xdr:col>
      <xdr:colOff>3242597</xdr:colOff>
      <xdr:row>22</xdr:row>
      <xdr:rowOff>127819</xdr:rowOff>
    </xdr:to>
    <xdr:sp macro="[0]!SimularCreditoLiquidezRemodelacion" textlink="">
      <xdr:nvSpPr>
        <xdr:cNvPr id="11" name="Rectángulo 10">
          <a:extLst>
            <a:ext uri="{FF2B5EF4-FFF2-40B4-BE49-F238E27FC236}">
              <a16:creationId xmlns:a16="http://schemas.microsoft.com/office/drawing/2014/main" id="{00000000-0008-0000-0600-00000B000000}"/>
            </a:ext>
          </a:extLst>
        </xdr:cNvPr>
        <xdr:cNvSpPr/>
      </xdr:nvSpPr>
      <xdr:spPr>
        <a:xfrm>
          <a:off x="24992781" y="3763706"/>
          <a:ext cx="2441268" cy="317500"/>
        </a:xfrm>
        <a:prstGeom prst="rect">
          <a:avLst/>
        </a:prstGeom>
        <a:solidFill>
          <a:srgbClr val="00B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es-MX" sz="1100" b="1"/>
            <a:t>Simular Crédito de Liquidez</a:t>
          </a:r>
        </a:p>
      </xdr:txBody>
    </xdr:sp>
    <xdr:clientData/>
  </xdr:twoCellAnchor>
  <xdr:twoCellAnchor>
    <xdr:from>
      <xdr:col>14</xdr:col>
      <xdr:colOff>428624</xdr:colOff>
      <xdr:row>0</xdr:row>
      <xdr:rowOff>154780</xdr:rowOff>
    </xdr:from>
    <xdr:to>
      <xdr:col>17</xdr:col>
      <xdr:colOff>166687</xdr:colOff>
      <xdr:row>1</xdr:row>
      <xdr:rowOff>345281</xdr:rowOff>
    </xdr:to>
    <xdr:sp macro="[0]!ImprimirNuevaTablaSimul_ConstruRemo" textlink="">
      <xdr:nvSpPr>
        <xdr:cNvPr id="4" name="Rectángulo 3">
          <a:extLst>
            <a:ext uri="{FF2B5EF4-FFF2-40B4-BE49-F238E27FC236}">
              <a16:creationId xmlns:a16="http://schemas.microsoft.com/office/drawing/2014/main" id="{00000000-0008-0000-0600-000004000000}"/>
            </a:ext>
          </a:extLst>
        </xdr:cNvPr>
        <xdr:cNvSpPr/>
      </xdr:nvSpPr>
      <xdr:spPr>
        <a:xfrm>
          <a:off x="9108280" y="154780"/>
          <a:ext cx="1500188" cy="511970"/>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b="1">
              <a:solidFill>
                <a:schemeClr val="tx1"/>
              </a:solidFill>
              <a:latin typeface="Univers" panose="020B0503020202020204" pitchFamily="34" charset="0"/>
            </a:rPr>
            <a:t>Imprimir</a:t>
          </a:r>
        </a:p>
      </xdr:txBody>
    </xdr:sp>
    <xdr:clientData/>
  </xdr:twoCellAnchor>
  <xdr:twoCellAnchor editAs="oneCell">
    <xdr:from>
      <xdr:col>2</xdr:col>
      <xdr:colOff>428624</xdr:colOff>
      <xdr:row>3</xdr:row>
      <xdr:rowOff>119063</xdr:rowOff>
    </xdr:from>
    <xdr:to>
      <xdr:col>10</xdr:col>
      <xdr:colOff>64911</xdr:colOff>
      <xdr:row>6</xdr:row>
      <xdr:rowOff>181771</xdr:rowOff>
    </xdr:to>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66812" y="1095376"/>
          <a:ext cx="5240955" cy="1178720"/>
        </a:xfrm>
        <a:prstGeom prst="rect">
          <a:avLst/>
        </a:prstGeom>
        <a:noFill/>
        <a:ln>
          <a:noFill/>
        </a:ln>
      </xdr:spPr>
    </xdr:pic>
    <xdr:clientData/>
  </xdr:twoCellAnchor>
  <xdr:twoCellAnchor>
    <xdr:from>
      <xdr:col>29</xdr:col>
      <xdr:colOff>316037</xdr:colOff>
      <xdr:row>33</xdr:row>
      <xdr:rowOff>209136</xdr:rowOff>
    </xdr:from>
    <xdr:to>
      <xdr:col>29</xdr:col>
      <xdr:colOff>1680883</xdr:colOff>
      <xdr:row>38</xdr:row>
      <xdr:rowOff>125955</xdr:rowOff>
    </xdr:to>
    <xdr:sp macro="" textlink="">
      <xdr:nvSpPr>
        <xdr:cNvPr id="13" name="Rectángulo 12">
          <a:extLst>
            <a:ext uri="{FF2B5EF4-FFF2-40B4-BE49-F238E27FC236}">
              <a16:creationId xmlns:a16="http://schemas.microsoft.com/office/drawing/2014/main" id="{00000000-0008-0000-0600-00000D000000}"/>
            </a:ext>
          </a:extLst>
        </xdr:cNvPr>
        <xdr:cNvSpPr/>
      </xdr:nvSpPr>
      <xdr:spPr>
        <a:xfrm>
          <a:off x="21215008" y="8120489"/>
          <a:ext cx="1364846" cy="118308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bg1"/>
            </a:solidFill>
          </a:endParaRPr>
        </a:p>
      </xdr:txBody>
    </xdr:sp>
    <xdr:clientData/>
  </xdr:twoCellAnchor>
  <xdr:twoCellAnchor>
    <xdr:from>
      <xdr:col>27</xdr:col>
      <xdr:colOff>447839</xdr:colOff>
      <xdr:row>35</xdr:row>
      <xdr:rowOff>66970</xdr:rowOff>
    </xdr:from>
    <xdr:to>
      <xdr:col>28</xdr:col>
      <xdr:colOff>1700892</xdr:colOff>
      <xdr:row>38</xdr:row>
      <xdr:rowOff>293487</xdr:rowOff>
    </xdr:to>
    <xdr:sp macro="" textlink="">
      <xdr:nvSpPr>
        <xdr:cNvPr id="2" name="CuadroTexto 1">
          <a:extLst>
            <a:ext uri="{FF2B5EF4-FFF2-40B4-BE49-F238E27FC236}">
              <a16:creationId xmlns:a16="http://schemas.microsoft.com/office/drawing/2014/main" id="{19E6C94D-F3C8-09BC-1693-3F39DB429346}"/>
            </a:ext>
          </a:extLst>
        </xdr:cNvPr>
        <xdr:cNvSpPr txBox="1"/>
      </xdr:nvSpPr>
      <xdr:spPr>
        <a:xfrm>
          <a:off x="18726768" y="8208577"/>
          <a:ext cx="1933410" cy="10542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MX" sz="1100" kern="1200"/>
        </a:p>
      </xdr:txBody>
    </xdr:sp>
    <xdr:clientData/>
  </xdr:twoCellAnchor>
  <xdr:twoCellAnchor>
    <xdr:from>
      <xdr:col>26</xdr:col>
      <xdr:colOff>571500</xdr:colOff>
      <xdr:row>34</xdr:row>
      <xdr:rowOff>160544</xdr:rowOff>
    </xdr:from>
    <xdr:to>
      <xdr:col>267</xdr:col>
      <xdr:colOff>521942</xdr:colOff>
      <xdr:row>38</xdr:row>
      <xdr:rowOff>24985</xdr:rowOff>
    </xdr:to>
    <xdr:sp macro="" textlink="">
      <xdr:nvSpPr>
        <xdr:cNvPr id="14" name="Rectángulo 13">
          <a:extLst>
            <a:ext uri="{FF2B5EF4-FFF2-40B4-BE49-F238E27FC236}">
              <a16:creationId xmlns:a16="http://schemas.microsoft.com/office/drawing/2014/main" id="{CE39D177-F4FC-02E5-EAF4-195327A3F070}"/>
            </a:ext>
          </a:extLst>
        </xdr:cNvPr>
        <xdr:cNvSpPr/>
      </xdr:nvSpPr>
      <xdr:spPr>
        <a:xfrm>
          <a:off x="17907000" y="8186392"/>
          <a:ext cx="911225" cy="90805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kern="1200">
            <a:ln>
              <a:solidFill>
                <a:schemeClr val="bg1"/>
              </a:solidFill>
            </a:ln>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66675</xdr:colOff>
      <xdr:row>1</xdr:row>
      <xdr:rowOff>85725</xdr:rowOff>
    </xdr:from>
    <xdr:to>
      <xdr:col>3</xdr:col>
      <xdr:colOff>704850</xdr:colOff>
      <xdr:row>2</xdr:row>
      <xdr:rowOff>209550</xdr:rowOff>
    </xdr:to>
    <xdr:pic>
      <xdr:nvPicPr>
        <xdr:cNvPr id="2" name="Imagen 2">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47675" y="276225"/>
          <a:ext cx="150495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40454</xdr:colOff>
      <xdr:row>0</xdr:row>
      <xdr:rowOff>85725</xdr:rowOff>
    </xdr:from>
    <xdr:to>
      <xdr:col>3</xdr:col>
      <xdr:colOff>644943</xdr:colOff>
      <xdr:row>2</xdr:row>
      <xdr:rowOff>64972</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6204" y="85725"/>
          <a:ext cx="1633189" cy="3665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371465</xdr:colOff>
      <xdr:row>3</xdr:row>
      <xdr:rowOff>4080</xdr:rowOff>
    </xdr:from>
    <xdr:to>
      <xdr:col>6</xdr:col>
      <xdr:colOff>830027</xdr:colOff>
      <xdr:row>4</xdr:row>
      <xdr:rowOff>68034</xdr:rowOff>
    </xdr:to>
    <xdr:sp macro="[0]!RegresarCotizacionRemodelacion" textlink="">
      <xdr:nvSpPr>
        <xdr:cNvPr id="3" name="Rectángulo 2">
          <a:extLst>
            <a:ext uri="{FF2B5EF4-FFF2-40B4-BE49-F238E27FC236}">
              <a16:creationId xmlns:a16="http://schemas.microsoft.com/office/drawing/2014/main" id="{00000000-0008-0000-0800-000003000000}"/>
            </a:ext>
          </a:extLst>
        </xdr:cNvPr>
        <xdr:cNvSpPr/>
      </xdr:nvSpPr>
      <xdr:spPr>
        <a:xfrm>
          <a:off x="4059001" y="725259"/>
          <a:ext cx="1655990" cy="363311"/>
        </a:xfrm>
        <a:prstGeom prst="rect">
          <a:avLst/>
        </a:prstGeom>
        <a:solidFill>
          <a:schemeClr val="bg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Regresar a Cotización</a:t>
          </a:r>
        </a:p>
      </xdr:txBody>
    </xdr:sp>
    <xdr:clientData/>
  </xdr:twoCellAnchor>
  <xdr:twoCellAnchor>
    <xdr:from>
      <xdr:col>6</xdr:col>
      <xdr:colOff>1094012</xdr:colOff>
      <xdr:row>3</xdr:row>
      <xdr:rowOff>32655</xdr:rowOff>
    </xdr:from>
    <xdr:to>
      <xdr:col>8</xdr:col>
      <xdr:colOff>710290</xdr:colOff>
      <xdr:row>4</xdr:row>
      <xdr:rowOff>87084</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5978976" y="753834"/>
          <a:ext cx="1752600" cy="353786"/>
        </a:xfrm>
        <a:prstGeom prst="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Imprimir</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64</xdr:col>
          <xdr:colOff>238125</xdr:colOff>
          <xdr:row>42</xdr:row>
          <xdr:rowOff>66675</xdr:rowOff>
        </xdr:from>
        <xdr:to>
          <xdr:col>135</xdr:col>
          <xdr:colOff>266700</xdr:colOff>
          <xdr:row>42</xdr:row>
          <xdr:rowOff>66675</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228600</xdr:colOff>
          <xdr:row>43</xdr:row>
          <xdr:rowOff>57150</xdr:rowOff>
        </xdr:from>
        <xdr:to>
          <xdr:col>135</xdr:col>
          <xdr:colOff>276225</xdr:colOff>
          <xdr:row>60</xdr:row>
          <xdr:rowOff>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FFFFFF" mc:Ignorable="a14" a14:legacySpreadsheetColorIndex="9"/>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238125</xdr:colOff>
          <xdr:row>42</xdr:row>
          <xdr:rowOff>66675</xdr:rowOff>
        </xdr:from>
        <xdr:to>
          <xdr:col>135</xdr:col>
          <xdr:colOff>266700</xdr:colOff>
          <xdr:row>42</xdr:row>
          <xdr:rowOff>66675</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228600</xdr:colOff>
          <xdr:row>43</xdr:row>
          <xdr:rowOff>57150</xdr:rowOff>
        </xdr:from>
        <xdr:to>
          <xdr:col>135</xdr:col>
          <xdr:colOff>276225</xdr:colOff>
          <xdr:row>60</xdr:row>
          <xdr:rowOff>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F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238125</xdr:colOff>
          <xdr:row>42</xdr:row>
          <xdr:rowOff>66675</xdr:rowOff>
        </xdr:from>
        <xdr:to>
          <xdr:col>135</xdr:col>
          <xdr:colOff>266700</xdr:colOff>
          <xdr:row>42</xdr:row>
          <xdr:rowOff>66675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F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228600</xdr:colOff>
          <xdr:row>43</xdr:row>
          <xdr:rowOff>57150</xdr:rowOff>
        </xdr:from>
        <xdr:to>
          <xdr:col>135</xdr:col>
          <xdr:colOff>276225</xdr:colOff>
          <xdr:row>60</xdr:row>
          <xdr:rowOff>0</xdr:rowOff>
        </xdr:to>
        <xdr:sp macro="" textlink="">
          <xdr:nvSpPr>
            <xdr:cNvPr id="16390" name="Check Box 6" hidden="1">
              <a:extLst>
                <a:ext uri="{63B3BB69-23CF-44E3-9099-C40C66FF867C}">
                  <a14:compatExt spid="_x0000_s16390"/>
                </a:ext>
                <a:ext uri="{FF2B5EF4-FFF2-40B4-BE49-F238E27FC236}">
                  <a16:creationId xmlns:a16="http://schemas.microsoft.com/office/drawing/2014/main" id="{00000000-0008-0000-0F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67</xdr:col>
          <xdr:colOff>238125</xdr:colOff>
          <xdr:row>42</xdr:row>
          <xdr:rowOff>66675</xdr:rowOff>
        </xdr:from>
        <xdr:to>
          <xdr:col>135</xdr:col>
          <xdr:colOff>266700</xdr:colOff>
          <xdr:row>42</xdr:row>
          <xdr:rowOff>66675</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F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67</xdr:col>
          <xdr:colOff>228600</xdr:colOff>
          <xdr:row>43</xdr:row>
          <xdr:rowOff>57150</xdr:rowOff>
        </xdr:from>
        <xdr:to>
          <xdr:col>135</xdr:col>
          <xdr:colOff>276225</xdr:colOff>
          <xdr:row>60</xdr:row>
          <xdr:rowOff>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00000000-0008-0000-0F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209550</xdr:colOff>
          <xdr:row>42</xdr:row>
          <xdr:rowOff>66675</xdr:rowOff>
        </xdr:from>
        <xdr:to>
          <xdr:col>135</xdr:col>
          <xdr:colOff>247650</xdr:colOff>
          <xdr:row>42</xdr:row>
          <xdr:rowOff>66675</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F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68</xdr:col>
          <xdr:colOff>219075</xdr:colOff>
          <xdr:row>43</xdr:row>
          <xdr:rowOff>104775</xdr:rowOff>
        </xdr:from>
        <xdr:to>
          <xdr:col>135</xdr:col>
          <xdr:colOff>285750</xdr:colOff>
          <xdr:row>60</xdr:row>
          <xdr:rowOff>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F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69</xdr:col>
          <xdr:colOff>238125</xdr:colOff>
          <xdr:row>42</xdr:row>
          <xdr:rowOff>66675</xdr:rowOff>
        </xdr:from>
        <xdr:to>
          <xdr:col>135</xdr:col>
          <xdr:colOff>266700</xdr:colOff>
          <xdr:row>42</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F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69</xdr:col>
          <xdr:colOff>228600</xdr:colOff>
          <xdr:row>43</xdr:row>
          <xdr:rowOff>57150</xdr:rowOff>
        </xdr:from>
        <xdr:to>
          <xdr:col>135</xdr:col>
          <xdr:colOff>276225</xdr:colOff>
          <xdr:row>60</xdr:row>
          <xdr:rowOff>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F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238125</xdr:colOff>
          <xdr:row>42</xdr:row>
          <xdr:rowOff>66675</xdr:rowOff>
        </xdr:from>
        <xdr:to>
          <xdr:col>135</xdr:col>
          <xdr:colOff>266700</xdr:colOff>
          <xdr:row>42</xdr:row>
          <xdr:rowOff>66675</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F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228600</xdr:colOff>
          <xdr:row>43</xdr:row>
          <xdr:rowOff>57150</xdr:rowOff>
        </xdr:from>
        <xdr:to>
          <xdr:col>135</xdr:col>
          <xdr:colOff>276225</xdr:colOff>
          <xdr:row>60</xdr:row>
          <xdr:rowOff>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F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238125</xdr:colOff>
          <xdr:row>42</xdr:row>
          <xdr:rowOff>66675</xdr:rowOff>
        </xdr:from>
        <xdr:to>
          <xdr:col>135</xdr:col>
          <xdr:colOff>266700</xdr:colOff>
          <xdr:row>42</xdr:row>
          <xdr:rowOff>66675</xdr:rowOff>
        </xdr:to>
        <xdr:sp macro="" textlink="">
          <xdr:nvSpPr>
            <xdr:cNvPr id="16399" name="Check Box 15" hidden="1">
              <a:extLst>
                <a:ext uri="{63B3BB69-23CF-44E3-9099-C40C66FF867C}">
                  <a14:compatExt spid="_x0000_s16399"/>
                </a:ext>
                <a:ext uri="{FF2B5EF4-FFF2-40B4-BE49-F238E27FC236}">
                  <a16:creationId xmlns:a16="http://schemas.microsoft.com/office/drawing/2014/main" id="{00000000-0008-0000-0F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71</xdr:col>
          <xdr:colOff>228600</xdr:colOff>
          <xdr:row>43</xdr:row>
          <xdr:rowOff>57150</xdr:rowOff>
        </xdr:from>
        <xdr:to>
          <xdr:col>135</xdr:col>
          <xdr:colOff>276225</xdr:colOff>
          <xdr:row>60</xdr:row>
          <xdr:rowOff>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F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72</xdr:col>
          <xdr:colOff>238125</xdr:colOff>
          <xdr:row>42</xdr:row>
          <xdr:rowOff>66675</xdr:rowOff>
        </xdr:from>
        <xdr:to>
          <xdr:col>135</xdr:col>
          <xdr:colOff>266700</xdr:colOff>
          <xdr:row>42</xdr:row>
          <xdr:rowOff>66675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F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72</xdr:col>
          <xdr:colOff>228600</xdr:colOff>
          <xdr:row>43</xdr:row>
          <xdr:rowOff>57150</xdr:rowOff>
        </xdr:from>
        <xdr:to>
          <xdr:col>135</xdr:col>
          <xdr:colOff>276225</xdr:colOff>
          <xdr:row>60</xdr:row>
          <xdr:rowOff>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F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73</xdr:col>
          <xdr:colOff>238125</xdr:colOff>
          <xdr:row>42</xdr:row>
          <xdr:rowOff>66675</xdr:rowOff>
        </xdr:from>
        <xdr:to>
          <xdr:col>135</xdr:col>
          <xdr:colOff>266700</xdr:colOff>
          <xdr:row>42</xdr:row>
          <xdr:rowOff>66675</xdr:rowOff>
        </xdr:to>
        <xdr:sp macro="" textlink="">
          <xdr:nvSpPr>
            <xdr:cNvPr id="16403" name="Check Box 19" hidden="1">
              <a:extLst>
                <a:ext uri="{63B3BB69-23CF-44E3-9099-C40C66FF867C}">
                  <a14:compatExt spid="_x0000_s16403"/>
                </a:ext>
                <a:ext uri="{FF2B5EF4-FFF2-40B4-BE49-F238E27FC236}">
                  <a16:creationId xmlns:a16="http://schemas.microsoft.com/office/drawing/2014/main" id="{00000000-0008-0000-0F00-00001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73</xdr:col>
          <xdr:colOff>228600</xdr:colOff>
          <xdr:row>43</xdr:row>
          <xdr:rowOff>57150</xdr:rowOff>
        </xdr:from>
        <xdr:to>
          <xdr:col>135</xdr:col>
          <xdr:colOff>276225</xdr:colOff>
          <xdr:row>60</xdr:row>
          <xdr:rowOff>0</xdr:rowOff>
        </xdr:to>
        <xdr:sp macro="" textlink="">
          <xdr:nvSpPr>
            <xdr:cNvPr id="16404" name="Check Box 20" hidden="1">
              <a:extLst>
                <a:ext uri="{63B3BB69-23CF-44E3-9099-C40C66FF867C}">
                  <a14:compatExt spid="_x0000_s16404"/>
                </a:ext>
                <a:ext uri="{FF2B5EF4-FFF2-40B4-BE49-F238E27FC236}">
                  <a16:creationId xmlns:a16="http://schemas.microsoft.com/office/drawing/2014/main" id="{00000000-0008-0000-0F00-00001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238125</xdr:colOff>
          <xdr:row>42</xdr:row>
          <xdr:rowOff>66675</xdr:rowOff>
        </xdr:from>
        <xdr:to>
          <xdr:col>135</xdr:col>
          <xdr:colOff>266700</xdr:colOff>
          <xdr:row>42</xdr:row>
          <xdr:rowOff>66675</xdr:rowOff>
        </xdr:to>
        <xdr:sp macro="" textlink="">
          <xdr:nvSpPr>
            <xdr:cNvPr id="16405" name="Check Box 21" hidden="1">
              <a:extLst>
                <a:ext uri="{63B3BB69-23CF-44E3-9099-C40C66FF867C}">
                  <a14:compatExt spid="_x0000_s16405"/>
                </a:ext>
                <a:ext uri="{FF2B5EF4-FFF2-40B4-BE49-F238E27FC236}">
                  <a16:creationId xmlns:a16="http://schemas.microsoft.com/office/drawing/2014/main" id="{00000000-0008-0000-0F00-00001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74</xdr:col>
          <xdr:colOff>228600</xdr:colOff>
          <xdr:row>43</xdr:row>
          <xdr:rowOff>57150</xdr:rowOff>
        </xdr:from>
        <xdr:to>
          <xdr:col>135</xdr:col>
          <xdr:colOff>276225</xdr:colOff>
          <xdr:row>60</xdr:row>
          <xdr:rowOff>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F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75</xdr:col>
          <xdr:colOff>238125</xdr:colOff>
          <xdr:row>42</xdr:row>
          <xdr:rowOff>66675</xdr:rowOff>
        </xdr:from>
        <xdr:to>
          <xdr:col>135</xdr:col>
          <xdr:colOff>266700</xdr:colOff>
          <xdr:row>42</xdr:row>
          <xdr:rowOff>66675</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F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75</xdr:col>
          <xdr:colOff>228600</xdr:colOff>
          <xdr:row>43</xdr:row>
          <xdr:rowOff>57150</xdr:rowOff>
        </xdr:from>
        <xdr:to>
          <xdr:col>135</xdr:col>
          <xdr:colOff>276225</xdr:colOff>
          <xdr:row>60</xdr:row>
          <xdr:rowOff>0</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F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238125</xdr:colOff>
          <xdr:row>42</xdr:row>
          <xdr:rowOff>66675</xdr:rowOff>
        </xdr:from>
        <xdr:to>
          <xdr:col>135</xdr:col>
          <xdr:colOff>266700</xdr:colOff>
          <xdr:row>42</xdr:row>
          <xdr:rowOff>66675</xdr:rowOff>
        </xdr:to>
        <xdr:sp macro="" textlink="">
          <xdr:nvSpPr>
            <xdr:cNvPr id="16409" name="Check Box 25" hidden="1">
              <a:extLst>
                <a:ext uri="{63B3BB69-23CF-44E3-9099-C40C66FF867C}">
                  <a14:compatExt spid="_x0000_s16409"/>
                </a:ext>
                <a:ext uri="{FF2B5EF4-FFF2-40B4-BE49-F238E27FC236}">
                  <a16:creationId xmlns:a16="http://schemas.microsoft.com/office/drawing/2014/main" id="{00000000-0008-0000-0F00-00001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228600</xdr:colOff>
          <xdr:row>43</xdr:row>
          <xdr:rowOff>57150</xdr:rowOff>
        </xdr:from>
        <xdr:to>
          <xdr:col>135</xdr:col>
          <xdr:colOff>276225</xdr:colOff>
          <xdr:row>60</xdr:row>
          <xdr:rowOff>0</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F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238125</xdr:colOff>
          <xdr:row>42</xdr:row>
          <xdr:rowOff>66675</xdr:rowOff>
        </xdr:from>
        <xdr:to>
          <xdr:col>135</xdr:col>
          <xdr:colOff>266700</xdr:colOff>
          <xdr:row>42</xdr:row>
          <xdr:rowOff>66675</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F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228600</xdr:colOff>
          <xdr:row>43</xdr:row>
          <xdr:rowOff>57150</xdr:rowOff>
        </xdr:from>
        <xdr:to>
          <xdr:col>135</xdr:col>
          <xdr:colOff>276225</xdr:colOff>
          <xdr:row>60</xdr:row>
          <xdr:rowOff>0</xdr:rowOff>
        </xdr:to>
        <xdr:sp macro="" textlink="">
          <xdr:nvSpPr>
            <xdr:cNvPr id="16412" name="Check Box 28" hidden="1">
              <a:extLst>
                <a:ext uri="{63B3BB69-23CF-44E3-9099-C40C66FF867C}">
                  <a14:compatExt spid="_x0000_s16412"/>
                </a:ext>
                <a:ext uri="{FF2B5EF4-FFF2-40B4-BE49-F238E27FC236}">
                  <a16:creationId xmlns:a16="http://schemas.microsoft.com/office/drawing/2014/main" id="{00000000-0008-0000-0F00-00001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78</xdr:col>
          <xdr:colOff>238125</xdr:colOff>
          <xdr:row>42</xdr:row>
          <xdr:rowOff>66675</xdr:rowOff>
        </xdr:from>
        <xdr:to>
          <xdr:col>135</xdr:col>
          <xdr:colOff>266700</xdr:colOff>
          <xdr:row>42</xdr:row>
          <xdr:rowOff>66675</xdr:rowOff>
        </xdr:to>
        <xdr:sp macro="" textlink="">
          <xdr:nvSpPr>
            <xdr:cNvPr id="16413" name="Check Box 29" hidden="1">
              <a:extLst>
                <a:ext uri="{63B3BB69-23CF-44E3-9099-C40C66FF867C}">
                  <a14:compatExt spid="_x0000_s16413"/>
                </a:ext>
                <a:ext uri="{FF2B5EF4-FFF2-40B4-BE49-F238E27FC236}">
                  <a16:creationId xmlns:a16="http://schemas.microsoft.com/office/drawing/2014/main" id="{00000000-0008-0000-0F00-00001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78</xdr:col>
          <xdr:colOff>228600</xdr:colOff>
          <xdr:row>43</xdr:row>
          <xdr:rowOff>57150</xdr:rowOff>
        </xdr:from>
        <xdr:to>
          <xdr:col>135</xdr:col>
          <xdr:colOff>276225</xdr:colOff>
          <xdr:row>60</xdr:row>
          <xdr:rowOff>0</xdr:rowOff>
        </xdr:to>
        <xdr:sp macro="" textlink="">
          <xdr:nvSpPr>
            <xdr:cNvPr id="16414" name="Check Box 30" hidden="1">
              <a:extLst>
                <a:ext uri="{63B3BB69-23CF-44E3-9099-C40C66FF867C}">
                  <a14:compatExt spid="_x0000_s16414"/>
                </a:ext>
                <a:ext uri="{FF2B5EF4-FFF2-40B4-BE49-F238E27FC236}">
                  <a16:creationId xmlns:a16="http://schemas.microsoft.com/office/drawing/2014/main" id="{00000000-0008-0000-0F00-00001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79</xdr:col>
          <xdr:colOff>238125</xdr:colOff>
          <xdr:row>42</xdr:row>
          <xdr:rowOff>66675</xdr:rowOff>
        </xdr:from>
        <xdr:to>
          <xdr:col>135</xdr:col>
          <xdr:colOff>266700</xdr:colOff>
          <xdr:row>42</xdr:row>
          <xdr:rowOff>66675</xdr:rowOff>
        </xdr:to>
        <xdr:sp macro="" textlink="">
          <xdr:nvSpPr>
            <xdr:cNvPr id="16415" name="Check Box 31" hidden="1">
              <a:extLst>
                <a:ext uri="{63B3BB69-23CF-44E3-9099-C40C66FF867C}">
                  <a14:compatExt spid="_x0000_s16415"/>
                </a:ext>
                <a:ext uri="{FF2B5EF4-FFF2-40B4-BE49-F238E27FC236}">
                  <a16:creationId xmlns:a16="http://schemas.microsoft.com/office/drawing/2014/main" id="{00000000-0008-0000-0F00-00001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79</xdr:col>
          <xdr:colOff>228600</xdr:colOff>
          <xdr:row>43</xdr:row>
          <xdr:rowOff>57150</xdr:rowOff>
        </xdr:from>
        <xdr:to>
          <xdr:col>135</xdr:col>
          <xdr:colOff>276225</xdr:colOff>
          <xdr:row>60</xdr:row>
          <xdr:rowOff>0</xdr:rowOff>
        </xdr:to>
        <xdr:sp macro="" textlink="">
          <xdr:nvSpPr>
            <xdr:cNvPr id="16416" name="Check Box 32" hidden="1">
              <a:extLst>
                <a:ext uri="{63B3BB69-23CF-44E3-9099-C40C66FF867C}">
                  <a14:compatExt spid="_x0000_s16416"/>
                </a:ext>
                <a:ext uri="{FF2B5EF4-FFF2-40B4-BE49-F238E27FC236}">
                  <a16:creationId xmlns:a16="http://schemas.microsoft.com/office/drawing/2014/main" id="{00000000-0008-0000-0F00-00002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238125</xdr:colOff>
          <xdr:row>42</xdr:row>
          <xdr:rowOff>66675</xdr:rowOff>
        </xdr:from>
        <xdr:to>
          <xdr:col>135</xdr:col>
          <xdr:colOff>266700</xdr:colOff>
          <xdr:row>42</xdr:row>
          <xdr:rowOff>66675</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F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228600</xdr:colOff>
          <xdr:row>43</xdr:row>
          <xdr:rowOff>57150</xdr:rowOff>
        </xdr:from>
        <xdr:to>
          <xdr:col>135</xdr:col>
          <xdr:colOff>276225</xdr:colOff>
          <xdr:row>60</xdr:row>
          <xdr:rowOff>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F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238125</xdr:colOff>
          <xdr:row>42</xdr:row>
          <xdr:rowOff>66675</xdr:rowOff>
        </xdr:from>
        <xdr:to>
          <xdr:col>135</xdr:col>
          <xdr:colOff>266700</xdr:colOff>
          <xdr:row>42</xdr:row>
          <xdr:rowOff>66675</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F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228600</xdr:colOff>
          <xdr:row>43</xdr:row>
          <xdr:rowOff>57150</xdr:rowOff>
        </xdr:from>
        <xdr:to>
          <xdr:col>135</xdr:col>
          <xdr:colOff>276225</xdr:colOff>
          <xdr:row>60</xdr:row>
          <xdr:rowOff>0</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F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238125</xdr:colOff>
          <xdr:row>42</xdr:row>
          <xdr:rowOff>66675</xdr:rowOff>
        </xdr:from>
        <xdr:to>
          <xdr:col>135</xdr:col>
          <xdr:colOff>266700</xdr:colOff>
          <xdr:row>42</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F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82</xdr:col>
          <xdr:colOff>228600</xdr:colOff>
          <xdr:row>43</xdr:row>
          <xdr:rowOff>57150</xdr:rowOff>
        </xdr:from>
        <xdr:to>
          <xdr:col>135</xdr:col>
          <xdr:colOff>276225</xdr:colOff>
          <xdr:row>60</xdr:row>
          <xdr:rowOff>0</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F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238125</xdr:colOff>
          <xdr:row>42</xdr:row>
          <xdr:rowOff>66675</xdr:rowOff>
        </xdr:from>
        <xdr:to>
          <xdr:col>135</xdr:col>
          <xdr:colOff>266700</xdr:colOff>
          <xdr:row>42</xdr:row>
          <xdr:rowOff>66675</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F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228600</xdr:colOff>
          <xdr:row>43</xdr:row>
          <xdr:rowOff>57150</xdr:rowOff>
        </xdr:from>
        <xdr:to>
          <xdr:col>135</xdr:col>
          <xdr:colOff>276225</xdr:colOff>
          <xdr:row>60</xdr:row>
          <xdr:rowOff>0</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F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84</xdr:col>
          <xdr:colOff>238125</xdr:colOff>
          <xdr:row>42</xdr:row>
          <xdr:rowOff>66675</xdr:rowOff>
        </xdr:from>
        <xdr:to>
          <xdr:col>135</xdr:col>
          <xdr:colOff>266700</xdr:colOff>
          <xdr:row>42</xdr:row>
          <xdr:rowOff>66675</xdr:rowOff>
        </xdr:to>
        <xdr:sp macro="" textlink="">
          <xdr:nvSpPr>
            <xdr:cNvPr id="16425" name="Check Box 41" hidden="1">
              <a:extLst>
                <a:ext uri="{63B3BB69-23CF-44E3-9099-C40C66FF867C}">
                  <a14:compatExt spid="_x0000_s16425"/>
                </a:ext>
                <a:ext uri="{FF2B5EF4-FFF2-40B4-BE49-F238E27FC236}">
                  <a16:creationId xmlns:a16="http://schemas.microsoft.com/office/drawing/2014/main" id="{00000000-0008-0000-0F00-00002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84</xdr:col>
          <xdr:colOff>228600</xdr:colOff>
          <xdr:row>43</xdr:row>
          <xdr:rowOff>57150</xdr:rowOff>
        </xdr:from>
        <xdr:to>
          <xdr:col>135</xdr:col>
          <xdr:colOff>276225</xdr:colOff>
          <xdr:row>60</xdr:row>
          <xdr:rowOff>0</xdr:rowOff>
        </xdr:to>
        <xdr:sp macro="" textlink="">
          <xdr:nvSpPr>
            <xdr:cNvPr id="16426" name="Check Box 42" hidden="1">
              <a:extLst>
                <a:ext uri="{63B3BB69-23CF-44E3-9099-C40C66FF867C}">
                  <a14:compatExt spid="_x0000_s16426"/>
                </a:ext>
                <a:ext uri="{FF2B5EF4-FFF2-40B4-BE49-F238E27FC236}">
                  <a16:creationId xmlns:a16="http://schemas.microsoft.com/office/drawing/2014/main" id="{00000000-0008-0000-0F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85</xdr:col>
          <xdr:colOff>238125</xdr:colOff>
          <xdr:row>42</xdr:row>
          <xdr:rowOff>66675</xdr:rowOff>
        </xdr:from>
        <xdr:to>
          <xdr:col>135</xdr:col>
          <xdr:colOff>266700</xdr:colOff>
          <xdr:row>42</xdr:row>
          <xdr:rowOff>66675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F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85</xdr:col>
          <xdr:colOff>228600</xdr:colOff>
          <xdr:row>43</xdr:row>
          <xdr:rowOff>57150</xdr:rowOff>
        </xdr:from>
        <xdr:to>
          <xdr:col>135</xdr:col>
          <xdr:colOff>276225</xdr:colOff>
          <xdr:row>60</xdr:row>
          <xdr:rowOff>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F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86</xdr:col>
          <xdr:colOff>238125</xdr:colOff>
          <xdr:row>42</xdr:row>
          <xdr:rowOff>66675</xdr:rowOff>
        </xdr:from>
        <xdr:to>
          <xdr:col>135</xdr:col>
          <xdr:colOff>266700</xdr:colOff>
          <xdr:row>42</xdr:row>
          <xdr:rowOff>66675</xdr:rowOff>
        </xdr:to>
        <xdr:sp macro="" textlink="">
          <xdr:nvSpPr>
            <xdr:cNvPr id="16429" name="Check Box 45" hidden="1">
              <a:extLst>
                <a:ext uri="{63B3BB69-23CF-44E3-9099-C40C66FF867C}">
                  <a14:compatExt spid="_x0000_s16429"/>
                </a:ext>
                <a:ext uri="{FF2B5EF4-FFF2-40B4-BE49-F238E27FC236}">
                  <a16:creationId xmlns:a16="http://schemas.microsoft.com/office/drawing/2014/main" id="{00000000-0008-0000-0F00-00002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86</xdr:col>
          <xdr:colOff>228600</xdr:colOff>
          <xdr:row>43</xdr:row>
          <xdr:rowOff>57150</xdr:rowOff>
        </xdr:from>
        <xdr:to>
          <xdr:col>135</xdr:col>
          <xdr:colOff>276225</xdr:colOff>
          <xdr:row>60</xdr:row>
          <xdr:rowOff>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F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87</xdr:col>
          <xdr:colOff>238125</xdr:colOff>
          <xdr:row>42</xdr:row>
          <xdr:rowOff>66675</xdr:rowOff>
        </xdr:from>
        <xdr:to>
          <xdr:col>135</xdr:col>
          <xdr:colOff>266700</xdr:colOff>
          <xdr:row>42</xdr:row>
          <xdr:rowOff>66675</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F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87</xdr:col>
          <xdr:colOff>228600</xdr:colOff>
          <xdr:row>43</xdr:row>
          <xdr:rowOff>57150</xdr:rowOff>
        </xdr:from>
        <xdr:to>
          <xdr:col>135</xdr:col>
          <xdr:colOff>276225</xdr:colOff>
          <xdr:row>60</xdr:row>
          <xdr:rowOff>0</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F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88</xdr:col>
          <xdr:colOff>238125</xdr:colOff>
          <xdr:row>42</xdr:row>
          <xdr:rowOff>66675</xdr:rowOff>
        </xdr:from>
        <xdr:to>
          <xdr:col>135</xdr:col>
          <xdr:colOff>266700</xdr:colOff>
          <xdr:row>42</xdr:row>
          <xdr:rowOff>66675</xdr:rowOff>
        </xdr:to>
        <xdr:sp macro="" textlink="">
          <xdr:nvSpPr>
            <xdr:cNvPr id="16433" name="Check Box 49" hidden="1">
              <a:extLst>
                <a:ext uri="{63B3BB69-23CF-44E3-9099-C40C66FF867C}">
                  <a14:compatExt spid="_x0000_s16433"/>
                </a:ext>
                <a:ext uri="{FF2B5EF4-FFF2-40B4-BE49-F238E27FC236}">
                  <a16:creationId xmlns:a16="http://schemas.microsoft.com/office/drawing/2014/main" id="{00000000-0008-0000-0F00-00003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88</xdr:col>
          <xdr:colOff>228600</xdr:colOff>
          <xdr:row>43</xdr:row>
          <xdr:rowOff>57150</xdr:rowOff>
        </xdr:from>
        <xdr:to>
          <xdr:col>135</xdr:col>
          <xdr:colOff>276225</xdr:colOff>
          <xdr:row>60</xdr:row>
          <xdr:rowOff>0</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F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270945</xdr:colOff>
      <xdr:row>0</xdr:row>
      <xdr:rowOff>77520</xdr:rowOff>
    </xdr:from>
    <xdr:to>
      <xdr:col>11</xdr:col>
      <xdr:colOff>233834</xdr:colOff>
      <xdr:row>3</xdr:row>
      <xdr:rowOff>11905</xdr:rowOff>
    </xdr:to>
    <xdr:sp macro="[0]!NuevaCotizacionCaratula_Patrimonial" textlink="">
      <xdr:nvSpPr>
        <xdr:cNvPr id="2" name="Rectángulo 1">
          <a:extLst>
            <a:ext uri="{FF2B5EF4-FFF2-40B4-BE49-F238E27FC236}">
              <a16:creationId xmlns:a16="http://schemas.microsoft.com/office/drawing/2014/main" id="{00000000-0008-0000-0D00-000002000000}"/>
            </a:ext>
          </a:extLst>
        </xdr:cNvPr>
        <xdr:cNvSpPr/>
      </xdr:nvSpPr>
      <xdr:spPr>
        <a:xfrm>
          <a:off x="5443020" y="77520"/>
          <a:ext cx="1763114" cy="503505"/>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200" b="1">
              <a:solidFill>
                <a:schemeClr val="tx1"/>
              </a:solidFill>
              <a:latin typeface="Univers" panose="020B0503020202020204" pitchFamily="34" charset="0"/>
            </a:rPr>
            <a:t>Nueva Cotización</a:t>
          </a:r>
        </a:p>
      </xdr:txBody>
    </xdr:sp>
    <xdr:clientData/>
  </xdr:twoCellAnchor>
  <xdr:twoCellAnchor>
    <xdr:from>
      <xdr:col>33</xdr:col>
      <xdr:colOff>181051</xdr:colOff>
      <xdr:row>14</xdr:row>
      <xdr:rowOff>158031</xdr:rowOff>
    </xdr:from>
    <xdr:to>
      <xdr:col>35</xdr:col>
      <xdr:colOff>243661</xdr:colOff>
      <xdr:row>16</xdr:row>
      <xdr:rowOff>46376</xdr:rowOff>
    </xdr:to>
    <xdr:sp macro="[0]!TablaAmortizacionCaratula" textlink="">
      <xdr:nvSpPr>
        <xdr:cNvPr id="3" name="Rectángulo 2">
          <a:extLst>
            <a:ext uri="{FF2B5EF4-FFF2-40B4-BE49-F238E27FC236}">
              <a16:creationId xmlns:a16="http://schemas.microsoft.com/office/drawing/2014/main" id="{00000000-0008-0000-0D00-000003000000}"/>
            </a:ext>
          </a:extLst>
        </xdr:cNvPr>
        <xdr:cNvSpPr/>
      </xdr:nvSpPr>
      <xdr:spPr>
        <a:xfrm>
          <a:off x="16163925" y="2758356"/>
          <a:ext cx="0" cy="393170"/>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a:t>Generar Tabla</a:t>
          </a:r>
          <a:r>
            <a:rPr lang="es-MX" sz="1100" baseline="0"/>
            <a:t> de </a:t>
          </a:r>
        </a:p>
        <a:p>
          <a:pPr algn="l"/>
          <a:r>
            <a:rPr lang="es-MX" sz="1100" baseline="0"/>
            <a:t>    Amortización</a:t>
          </a:r>
          <a:endParaRPr lang="es-MX" sz="1100"/>
        </a:p>
      </xdr:txBody>
    </xdr:sp>
    <xdr:clientData/>
  </xdr:twoCellAnchor>
  <xdr:twoCellAnchor>
    <xdr:from>
      <xdr:col>11</xdr:col>
      <xdr:colOff>532876</xdr:colOff>
      <xdr:row>0</xdr:row>
      <xdr:rowOff>84376</xdr:rowOff>
    </xdr:from>
    <xdr:to>
      <xdr:col>14</xdr:col>
      <xdr:colOff>436135</xdr:colOff>
      <xdr:row>3</xdr:row>
      <xdr:rowOff>11905</xdr:rowOff>
    </xdr:to>
    <xdr:sp macro="[0]!RegresaraFormulario" textlink="">
      <xdr:nvSpPr>
        <xdr:cNvPr id="4" name="Rectángulo 3">
          <a:extLst>
            <a:ext uri="{FF2B5EF4-FFF2-40B4-BE49-F238E27FC236}">
              <a16:creationId xmlns:a16="http://schemas.microsoft.com/office/drawing/2014/main" id="{00000000-0008-0000-0D00-000004000000}"/>
            </a:ext>
          </a:extLst>
        </xdr:cNvPr>
        <xdr:cNvSpPr/>
      </xdr:nvSpPr>
      <xdr:spPr>
        <a:xfrm>
          <a:off x="7505176" y="84376"/>
          <a:ext cx="1703484" cy="496649"/>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200" b="1">
              <a:solidFill>
                <a:schemeClr val="tx1"/>
              </a:solidFill>
              <a:latin typeface="Univers" panose="020B0503020202020204" pitchFamily="34" charset="0"/>
            </a:rPr>
            <a:t>Regresar al Menú</a:t>
          </a:r>
        </a:p>
      </xdr:txBody>
    </xdr:sp>
    <xdr:clientData/>
  </xdr:twoCellAnchor>
  <xdr:twoCellAnchor>
    <xdr:from>
      <xdr:col>33</xdr:col>
      <xdr:colOff>201584</xdr:colOff>
      <xdr:row>16</xdr:row>
      <xdr:rowOff>128769</xdr:rowOff>
    </xdr:from>
    <xdr:to>
      <xdr:col>35</xdr:col>
      <xdr:colOff>269393</xdr:colOff>
      <xdr:row>17</xdr:row>
      <xdr:rowOff>127708</xdr:rowOff>
    </xdr:to>
    <xdr:sp macro="[0]!ActivarPagoPuntualCaratula" textlink="">
      <xdr:nvSpPr>
        <xdr:cNvPr id="5" name="Rectángulo 4">
          <a:extLst>
            <a:ext uri="{FF2B5EF4-FFF2-40B4-BE49-F238E27FC236}">
              <a16:creationId xmlns:a16="http://schemas.microsoft.com/office/drawing/2014/main" id="{00000000-0008-0000-0D00-000005000000}"/>
            </a:ext>
          </a:extLst>
        </xdr:cNvPr>
        <xdr:cNvSpPr/>
      </xdr:nvSpPr>
      <xdr:spPr>
        <a:xfrm>
          <a:off x="16163925" y="3233919"/>
          <a:ext cx="0" cy="218014"/>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Activar Pago</a:t>
          </a:r>
          <a:r>
            <a:rPr lang="es-MX" sz="1100" b="1" baseline="0"/>
            <a:t> Puntual</a:t>
          </a:r>
          <a:endParaRPr lang="es-MX" sz="1100" b="1"/>
        </a:p>
      </xdr:txBody>
    </xdr:sp>
    <xdr:clientData/>
  </xdr:twoCellAnchor>
  <xdr:twoCellAnchor>
    <xdr:from>
      <xdr:col>33</xdr:col>
      <xdr:colOff>232944</xdr:colOff>
      <xdr:row>21</xdr:row>
      <xdr:rowOff>230519</xdr:rowOff>
    </xdr:from>
    <xdr:to>
      <xdr:col>35</xdr:col>
      <xdr:colOff>93382</xdr:colOff>
      <xdr:row>23</xdr:row>
      <xdr:rowOff>191616</xdr:rowOff>
    </xdr:to>
    <xdr:sp macro="[0]!ActivarRelacionamientoCaratula" textlink="">
      <xdr:nvSpPr>
        <xdr:cNvPr id="6" name="Rectángulo 5">
          <a:extLst>
            <a:ext uri="{FF2B5EF4-FFF2-40B4-BE49-F238E27FC236}">
              <a16:creationId xmlns:a16="http://schemas.microsoft.com/office/drawing/2014/main" id="{00000000-0008-0000-0D00-000006000000}"/>
            </a:ext>
          </a:extLst>
        </xdr:cNvPr>
        <xdr:cNvSpPr/>
      </xdr:nvSpPr>
      <xdr:spPr>
        <a:xfrm>
          <a:off x="16163925" y="4421519"/>
          <a:ext cx="0" cy="408772"/>
        </a:xfrm>
        <a:prstGeom prst="rect">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t>Activar Relacionamiento</a:t>
          </a:r>
        </a:p>
      </xdr:txBody>
    </xdr:sp>
    <xdr:clientData/>
  </xdr:twoCellAnchor>
  <xdr:twoCellAnchor>
    <xdr:from>
      <xdr:col>33</xdr:col>
      <xdr:colOff>206646</xdr:colOff>
      <xdr:row>19</xdr:row>
      <xdr:rowOff>250429</xdr:rowOff>
    </xdr:from>
    <xdr:to>
      <xdr:col>35</xdr:col>
      <xdr:colOff>199360</xdr:colOff>
      <xdr:row>21</xdr:row>
      <xdr:rowOff>77530</xdr:rowOff>
    </xdr:to>
    <xdr:sp macro="[0]!DesactivarTodoCaratula" textlink="">
      <xdr:nvSpPr>
        <xdr:cNvPr id="7" name="Rectángulo 6">
          <a:extLst>
            <a:ext uri="{FF2B5EF4-FFF2-40B4-BE49-F238E27FC236}">
              <a16:creationId xmlns:a16="http://schemas.microsoft.com/office/drawing/2014/main" id="{00000000-0008-0000-0D00-000007000000}"/>
            </a:ext>
          </a:extLst>
        </xdr:cNvPr>
        <xdr:cNvSpPr/>
      </xdr:nvSpPr>
      <xdr:spPr>
        <a:xfrm>
          <a:off x="16163925" y="3993754"/>
          <a:ext cx="0" cy="293826"/>
        </a:xfrm>
        <a:prstGeom prst="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Desactivar Todo</a:t>
          </a:r>
        </a:p>
      </xdr:txBody>
    </xdr:sp>
    <xdr:clientData/>
  </xdr:twoCellAnchor>
  <xdr:twoCellAnchor>
    <xdr:from>
      <xdr:col>33</xdr:col>
      <xdr:colOff>252560</xdr:colOff>
      <xdr:row>26</xdr:row>
      <xdr:rowOff>116729</xdr:rowOff>
    </xdr:from>
    <xdr:to>
      <xdr:col>35</xdr:col>
      <xdr:colOff>410884</xdr:colOff>
      <xdr:row>28</xdr:row>
      <xdr:rowOff>89565</xdr:rowOff>
    </xdr:to>
    <xdr:sp macro="[0]!DesactivarRelacionamientoCaratula" textlink="">
      <xdr:nvSpPr>
        <xdr:cNvPr id="8" name="Rectángulo 7">
          <a:extLst>
            <a:ext uri="{FF2B5EF4-FFF2-40B4-BE49-F238E27FC236}">
              <a16:creationId xmlns:a16="http://schemas.microsoft.com/office/drawing/2014/main" id="{00000000-0008-0000-0D00-000008000000}"/>
            </a:ext>
          </a:extLst>
        </xdr:cNvPr>
        <xdr:cNvSpPr/>
      </xdr:nvSpPr>
      <xdr:spPr>
        <a:xfrm>
          <a:off x="16163925" y="5479304"/>
          <a:ext cx="0" cy="410986"/>
        </a:xfrm>
        <a:prstGeom prst="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t>Desactivar Relacionamiento</a:t>
          </a:r>
        </a:p>
      </xdr:txBody>
    </xdr:sp>
    <xdr:clientData/>
  </xdr:twoCellAnchor>
  <xdr:twoCellAnchor>
    <xdr:from>
      <xdr:col>33</xdr:col>
      <xdr:colOff>221513</xdr:colOff>
      <xdr:row>23</xdr:row>
      <xdr:rowOff>327958</xdr:rowOff>
    </xdr:from>
    <xdr:to>
      <xdr:col>35</xdr:col>
      <xdr:colOff>199360</xdr:colOff>
      <xdr:row>25</xdr:row>
      <xdr:rowOff>132908</xdr:rowOff>
    </xdr:to>
    <xdr:sp macro="[0]!SimularCreditoLiquidezCaratula" textlink="">
      <xdr:nvSpPr>
        <xdr:cNvPr id="9" name="Rectángulo 8">
          <a:extLst>
            <a:ext uri="{FF2B5EF4-FFF2-40B4-BE49-F238E27FC236}">
              <a16:creationId xmlns:a16="http://schemas.microsoft.com/office/drawing/2014/main" id="{00000000-0008-0000-0D00-000009000000}"/>
            </a:ext>
          </a:extLst>
        </xdr:cNvPr>
        <xdr:cNvSpPr/>
      </xdr:nvSpPr>
      <xdr:spPr>
        <a:xfrm>
          <a:off x="16163925" y="4861858"/>
          <a:ext cx="0" cy="41455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s-MX" sz="1100" b="1">
              <a:solidFill>
                <a:sysClr val="windowText" lastClr="000000"/>
              </a:solidFill>
            </a:rPr>
            <a:t>Simular Crédito de Liquidez</a:t>
          </a:r>
        </a:p>
      </xdr:txBody>
    </xdr:sp>
    <xdr:clientData/>
  </xdr:twoCellAnchor>
  <xdr:twoCellAnchor editAs="oneCell">
    <xdr:from>
      <xdr:col>2</xdr:col>
      <xdr:colOff>59531</xdr:colOff>
      <xdr:row>5</xdr:row>
      <xdr:rowOff>59529</xdr:rowOff>
    </xdr:from>
    <xdr:to>
      <xdr:col>9</xdr:col>
      <xdr:colOff>192705</xdr:colOff>
      <xdr:row>9</xdr:row>
      <xdr:rowOff>154780</xdr:rowOff>
    </xdr:to>
    <xdr:pic>
      <xdr:nvPicPr>
        <xdr:cNvPr id="10" name="Imagen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7706" y="716754"/>
          <a:ext cx="5267149" cy="1181101"/>
        </a:xfrm>
        <a:prstGeom prst="rect">
          <a:avLst/>
        </a:prstGeom>
        <a:noFill/>
        <a:ln>
          <a:noFill/>
        </a:ln>
      </xdr:spPr>
    </xdr:pic>
    <xdr:clientData/>
  </xdr:twoCellAnchor>
  <xdr:twoCellAnchor>
    <xdr:from>
      <xdr:col>15</xdr:col>
      <xdr:colOff>107155</xdr:colOff>
      <xdr:row>0</xdr:row>
      <xdr:rowOff>83343</xdr:rowOff>
    </xdr:from>
    <xdr:to>
      <xdr:col>18</xdr:col>
      <xdr:colOff>130968</xdr:colOff>
      <xdr:row>3</xdr:row>
      <xdr:rowOff>0</xdr:rowOff>
    </xdr:to>
    <xdr:sp macro="[0]!ImprimirTablaCaratula_Patrimonial" textlink="">
      <xdr:nvSpPr>
        <xdr:cNvPr id="11" name="Rectángulo 10">
          <a:extLst>
            <a:ext uri="{FF2B5EF4-FFF2-40B4-BE49-F238E27FC236}">
              <a16:creationId xmlns:a16="http://schemas.microsoft.com/office/drawing/2014/main" id="{00000000-0008-0000-0D00-00000B000000}"/>
            </a:ext>
          </a:extLst>
        </xdr:cNvPr>
        <xdr:cNvSpPr/>
      </xdr:nvSpPr>
      <xdr:spPr>
        <a:xfrm>
          <a:off x="9479755" y="83343"/>
          <a:ext cx="1824038" cy="497682"/>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a:solidFill>
                <a:schemeClr val="tx1"/>
              </a:solidFill>
              <a:latin typeface="Univers" panose="020B0503020202020204" pitchFamily="34" charset="0"/>
            </a:rPr>
            <a:t>Imprimir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40454</xdr:colOff>
      <xdr:row>0</xdr:row>
      <xdr:rowOff>85725</xdr:rowOff>
    </xdr:from>
    <xdr:to>
      <xdr:col>3</xdr:col>
      <xdr:colOff>543575</xdr:colOff>
      <xdr:row>2</xdr:row>
      <xdr:rowOff>68147</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6204" y="85725"/>
          <a:ext cx="1642946" cy="3665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40454</xdr:colOff>
      <xdr:row>0</xdr:row>
      <xdr:rowOff>85725</xdr:rowOff>
    </xdr:from>
    <xdr:to>
      <xdr:col>3</xdr:col>
      <xdr:colOff>644943</xdr:colOff>
      <xdr:row>2</xdr:row>
      <xdr:rowOff>71322</xdr:rowOff>
    </xdr:to>
    <xdr:pic>
      <xdr:nvPicPr>
        <xdr:cNvPr id="2" name="Imagen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6204" y="85725"/>
          <a:ext cx="1633189" cy="3665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795235</xdr:colOff>
      <xdr:row>2</xdr:row>
      <xdr:rowOff>164374</xdr:rowOff>
    </xdr:from>
    <xdr:to>
      <xdr:col>7</xdr:col>
      <xdr:colOff>233685</xdr:colOff>
      <xdr:row>3</xdr:row>
      <xdr:rowOff>283436</xdr:rowOff>
    </xdr:to>
    <xdr:sp macro="[0]!RegresarCotizacionCaratula" textlink="">
      <xdr:nvSpPr>
        <xdr:cNvPr id="3" name="Rectángulo 2">
          <a:extLst>
            <a:ext uri="{FF2B5EF4-FFF2-40B4-BE49-F238E27FC236}">
              <a16:creationId xmlns:a16="http://schemas.microsoft.com/office/drawing/2014/main" id="{00000000-0008-0000-1000-000003000000}"/>
            </a:ext>
          </a:extLst>
        </xdr:cNvPr>
        <xdr:cNvSpPr/>
      </xdr:nvSpPr>
      <xdr:spPr>
        <a:xfrm>
          <a:off x="4529035" y="545374"/>
          <a:ext cx="1867325" cy="4524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Regrsar a Cotización</a:t>
          </a:r>
        </a:p>
      </xdr:txBody>
    </xdr:sp>
    <xdr:clientData/>
  </xdr:twoCellAnchor>
  <xdr:twoCellAnchor>
    <xdr:from>
      <xdr:col>7</xdr:col>
      <xdr:colOff>578646</xdr:colOff>
      <xdr:row>2</xdr:row>
      <xdr:rowOff>173828</xdr:rowOff>
    </xdr:from>
    <xdr:to>
      <xdr:col>8</xdr:col>
      <xdr:colOff>1259683</xdr:colOff>
      <xdr:row>3</xdr:row>
      <xdr:rowOff>283366</xdr:rowOff>
    </xdr:to>
    <xdr:sp macro="[0]!ImprimirTablaLiquidez" textlink="">
      <xdr:nvSpPr>
        <xdr:cNvPr id="4" name="Rectángulo 3">
          <a:extLst>
            <a:ext uri="{FF2B5EF4-FFF2-40B4-BE49-F238E27FC236}">
              <a16:creationId xmlns:a16="http://schemas.microsoft.com/office/drawing/2014/main" id="{00000000-0008-0000-1000-000004000000}"/>
            </a:ext>
          </a:extLst>
        </xdr:cNvPr>
        <xdr:cNvSpPr/>
      </xdr:nvSpPr>
      <xdr:spPr>
        <a:xfrm>
          <a:off x="6741321" y="554828"/>
          <a:ext cx="1709737" cy="442913"/>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s-MX" sz="1100" b="1"/>
            <a:t>Imprimir</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543C5EA-3C4F-412C-8236-C26CF0CB2F02}" name="Tabla2" displayName="Tabla2" ref="A1:D12" totalsRowShown="0" headerRowDxfId="251" dataDxfId="250">
  <autoFilter ref="A1:D12" xr:uid="{9543C5EA-3C4F-412C-8236-C26CF0CB2F02}"/>
  <tableColumns count="4">
    <tableColumn id="2" xr3:uid="{1C42C476-0F75-42A6-9288-E9B28ABE4214}" name="Versión" dataDxfId="249"/>
    <tableColumn id="4" xr3:uid="{AC160157-EDBE-4E7B-BF73-EC6C373993B8}" name="Fecha de Cambio" dataDxfId="248"/>
    <tableColumn id="7" xr3:uid="{37FADEC0-1F75-4E1B-8AC9-BE17DCFE3774}" name="Cambio" dataDxfId="247"/>
    <tableColumn id="5" xr3:uid="{804EC9BA-3A15-404A-A1A2-7CA7108C827C}" name="Responsable del cambio" dataDxfId="24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squema" displayName="Esquema" ref="P1:P3" totalsRowShown="0" headerRowDxfId="241" dataDxfId="240">
  <autoFilter ref="P1:P3" xr:uid="{00000000-0009-0000-0100-000001000000}"/>
  <tableColumns count="1">
    <tableColumn id="1" xr3:uid="{00000000-0010-0000-0000-000001000000}" name="Esquema" dataDxfId="23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ago_Fijo_Puntual_" displayName="Pago_Fijo_Puntual_" ref="Q1:Q4" totalsRowShown="0" headerRowDxfId="238" dataDxfId="237">
  <autoFilter ref="Q1:Q4" xr:uid="{00000000-0009-0000-0100-000002000000}"/>
  <tableColumns count="1">
    <tableColumn id="1" xr3:uid="{00000000-0010-0000-0100-000001000000}" name="Pago_Fijo_Puntual" dataDxfId="23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Pago_Bajo_Puntual_" displayName="Pago_Bajo_Puntual_" ref="R1:R2" totalsRowShown="0" headerRowDxfId="235" dataDxfId="234">
  <autoFilter ref="R1:R2" xr:uid="{00000000-0009-0000-0100-000003000000}"/>
  <tableColumns count="1">
    <tableColumn id="1" xr3:uid="{00000000-0010-0000-0200-000001000000}" name="Pago_Bajo_Puntual" dataDxfId="2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Producto" displayName="Producto" ref="G1:G6" totalsRowShown="0" headerRowDxfId="232" dataDxfId="231">
  <autoFilter ref="G1:G6" xr:uid="{00000000-0009-0000-0100-000004000000}"/>
  <tableColumns count="1">
    <tableColumn id="1" xr3:uid="{00000000-0010-0000-0300-000001000000}" name="Producto" dataDxfId="2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Adquisicion" displayName="Adquisicion" ref="H1:H4" totalsRowShown="0" headerRowDxfId="229" dataDxfId="228">
  <autoFilter ref="H1:H4" xr:uid="{00000000-0009-0000-0100-000005000000}"/>
  <tableColumns count="1">
    <tableColumn id="1" xr3:uid="{00000000-0010-0000-0400-000001000000}" name="Adquisicion" dataDxfId="2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Pago_de_Hipoteca" displayName="Pago_de_Hipoteca" ref="I1:I2" totalsRowShown="0" headerRowDxfId="226" dataDxfId="225">
  <autoFilter ref="I1:I2" xr:uid="{00000000-0009-0000-0100-000006000000}"/>
  <tableColumns count="1">
    <tableColumn id="1" xr3:uid="{00000000-0010-0000-0500-000001000000}" name="Pago_de_Hipoteca" dataDxfId="2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Liquidez" displayName="Liquidez" ref="J1:J3" totalsRowShown="0" headerRowDxfId="223" dataDxfId="222">
  <autoFilter ref="J1:J3" xr:uid="{00000000-0009-0000-0100-000007000000}"/>
  <tableColumns count="1">
    <tableColumn id="1" xr3:uid="{00000000-0010-0000-0600-000001000000}" name="Liquidez" dataDxfId="22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Exclusiva" displayName="Exclusiva" ref="K1:K4" totalsRowShown="0" headerRowDxfId="220" dataDxfId="219">
  <autoFilter ref="K1:K4" xr:uid="{00000000-0009-0000-0100-000008000000}"/>
  <tableColumns count="1">
    <tableColumn id="1" xr3:uid="{00000000-0010-0000-0700-000001000000}" name="Exclusiva" dataDxfId="2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Pago_Hipotecamasiquidez" displayName="Pago_Hipotecamasiquidez" ref="L1:L2" totalsRowShown="0" headerRowDxfId="217" dataDxfId="216">
  <autoFilter ref="L1:L2" xr:uid="{00000000-0009-0000-0100-000009000000}"/>
  <tableColumns count="1">
    <tableColumn id="1" xr3:uid="{00000000-0010-0000-0800-000001000000}" name="Pago_Hipoteca+Liquidez" dataDxfId="21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Perfil_Cliente" displayName="Perfil_Cliente" ref="T1:T4" totalsRowShown="0" headerRowDxfId="214" dataDxfId="213">
  <autoFilter ref="T1:T4" xr:uid="{00000000-0009-0000-0100-00000C000000}"/>
  <tableColumns count="1">
    <tableColumn id="1" xr3:uid="{00000000-0010-0000-0900-000001000000}" name="Perfil_Cliente" dataDxfId="2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No_Premier" displayName="No_Premier" ref="U1:U10" totalsRowShown="0" headerRowDxfId="211" dataDxfId="210">
  <autoFilter ref="U1:U10" xr:uid="{00000000-0009-0000-0100-00000E000000}"/>
  <tableColumns count="1">
    <tableColumn id="1" xr3:uid="{00000000-0010-0000-0A00-000001000000}" name="No_Premier" dataDxfId="20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B000000}" name="Tabla15" displayName="Tabla15" ref="W1:W3" totalsRowShown="0" headerRowDxfId="208" dataDxfId="207">
  <autoFilter ref="W1:W3" xr:uid="{00000000-0009-0000-0100-00000F000000}"/>
  <tableColumns count="1">
    <tableColumn id="1" xr3:uid="{00000000-0010-0000-0B00-000001000000}" name="Si/No" dataDxfId="20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Canal_de_Acceso" displayName="Canal_de_Acceso" ref="C1:C5" totalsRowShown="0" headerRowDxfId="205" tableBorderDxfId="204">
  <autoFilter ref="C1:C5" xr:uid="{00000000-0009-0000-0100-000010000000}"/>
  <tableColumns count="1">
    <tableColumn id="1" xr3:uid="{00000000-0010-0000-0C00-000001000000}" name="Canal_de_Acceso"/>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D000000}" name="Tabla17" displayName="Tabla17" ref="E1:E4" totalsRowShown="0" headerRowDxfId="203" tableBorderDxfId="202">
  <autoFilter ref="E1:E4" xr:uid="{00000000-0009-0000-0100-000011000000}"/>
  <tableColumns count="1">
    <tableColumn id="1" xr3:uid="{00000000-0010-0000-0D00-000001000000}" name="Perfil_Client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F44C4A-4051-4F03-8A45-0B1D2023CE3D}" name="Pago_Fijo_Puntual_Premier" displayName="Pago_Fijo_Puntual_Premier" ref="BI2:BI7" totalsRowShown="0" headerRowDxfId="201" dataDxfId="200" tableBorderDxfId="199">
  <autoFilter ref="BI2:BI7" xr:uid="{0BF44C4A-4051-4F03-8A45-0B1D2023CE3D}"/>
  <tableColumns count="1">
    <tableColumn id="1" xr3:uid="{E1D15226-EF64-4F85-A8B8-B98EDCD4580C}" name="Pago_Fijo_Puntual_Premier" dataDxfId="1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5B81A9B-CEE6-4E87-895E-B29C4F23717F}" name="Pago_Fijo_Puntual_No_Premier" displayName="Pago_Fijo_Puntual_No_Premier" ref="BK2:BK7" totalsRowShown="0" headerRowDxfId="197" dataDxfId="195" headerRowBorderDxfId="196" tableBorderDxfId="194">
  <autoFilter ref="BK2:BK7" xr:uid="{F5B81A9B-CEE6-4E87-895E-B29C4F23717F}"/>
  <tableColumns count="1">
    <tableColumn id="1" xr3:uid="{EEC52889-DD65-4EF2-BDE8-4E9DF79F195F}" name="Pago_Fijo_Puntual_No_Premier" dataDxfId="1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15C5BBA-1E08-4BEB-BE2E-50DF77304002}" name="Pago_Bajo_Puntual_Premier" displayName="Pago_Bajo_Puntual_Premier" ref="BL2:BL5" totalsRowShown="0" headerRowDxfId="192" dataDxfId="191" tableBorderDxfId="190">
  <autoFilter ref="BL2:BL5" xr:uid="{315C5BBA-1E08-4BEB-BE2E-50DF77304002}"/>
  <tableColumns count="1">
    <tableColumn id="1" xr3:uid="{531614AF-507A-47D4-B3AB-E24F800129EC}" name="Pago_Bajo_Puntual_Premier" dataDxfId="18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D72A377-584E-4A2B-A3F9-0B80E383E531}" name="Pago_Bajo_Puntual_No_Premier" displayName="Pago_Bajo_Puntual_No_Premier" ref="BN2:BN5" totalsRowShown="0" headerRowDxfId="188" dataDxfId="186" headerRowBorderDxfId="187" tableBorderDxfId="185">
  <autoFilter ref="BN2:BN5" xr:uid="{9D72A377-584E-4A2B-A3F9-0B80E383E531}"/>
  <tableColumns count="1">
    <tableColumn id="1" xr3:uid="{5F196352-EF57-4BD4-94C3-1EB8B619759B}" name="Pago_Bajo_Puntual_No_Premier" dataDxfId="18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FB7ECC1-1665-453D-A277-1BFE68012770}" name="Pago_Bajo_Puntual_Wealth_Premier_Executive" displayName="Pago_Bajo_Puntual_Wealth_Premier_Executive" ref="BM2:BM4" totalsRowShown="0" headerRowDxfId="183" dataDxfId="181" headerRowBorderDxfId="182" tableBorderDxfId="180">
  <autoFilter ref="BM2:BM4" xr:uid="{CFB7ECC1-1665-453D-A277-1BFE68012770}"/>
  <tableColumns count="1">
    <tableColumn id="1" xr3:uid="{E698098E-0DDD-42D9-A5B4-8C745823AE4B}" name="Pago_Bajo_Puntual_Wealth_Premier_Executive" dataDxfId="17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3623EC2-1522-4C00-801E-54E1002A7672}" name="Pago_Fijo_Puntual_Wealth_Premier_Executive" displayName="Pago_Fijo_Puntual_Wealth_Premier_Executive" ref="BJ2:BJ6" totalsRowShown="0" headerRowDxfId="178" dataDxfId="176" headerRowBorderDxfId="177" tableBorderDxfId="175">
  <autoFilter ref="BJ2:BJ6" xr:uid="{63623EC2-1522-4C00-801E-54E1002A7672}"/>
  <tableColumns count="1">
    <tableColumn id="1" xr3:uid="{6FA46A27-A72B-4CAF-ACDE-F1DB61469642}" name="Pago_Fijo_Puntual_Wealth_Premier_Executive" dataDxfId="17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DCC2BD-C6EC-4B4B-8976-F537F6368732}" name="Inhábil" displayName="Inhábil" ref="A1:D545" totalsRowShown="0" headerRowDxfId="129" headerRowBorderDxfId="128" tableBorderDxfId="127">
  <autoFilter ref="A1:D545" xr:uid="{03DCC2BD-C6EC-4B4B-8976-F537F6368732}"/>
  <tableColumns count="4">
    <tableColumn id="2" xr3:uid="{7993A1FD-5499-49E8-A581-F85344562E89}" name="Fecha" dataDxfId="126"/>
    <tableColumn id="3" xr3:uid="{92A03A90-412C-4B2C-8232-1F1F0E904DAF}" name="Día_de_Semana"/>
    <tableColumn id="4" xr3:uid="{A9324098-3377-4F8A-A721-B48E1E0F47FB}" name="Motivo_del_Día_Inhábil"/>
    <tableColumn id="9" xr3:uid="{E2537BB4-266A-4A67-916B-EECAFB70C58B}" name="Año"/>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3" Type="http://schemas.openxmlformats.org/officeDocument/2006/relationships/table" Target="../tables/table3.xml"/><Relationship Id="rId21" Type="http://schemas.openxmlformats.org/officeDocument/2006/relationships/table" Target="../tables/table21.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1" Type="http://schemas.openxmlformats.org/officeDocument/2006/relationships/printerSettings" Target="../printerSettings/printerSettings4.bin"/><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19" Type="http://schemas.openxmlformats.org/officeDocument/2006/relationships/table" Target="../tables/table19.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3.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60.xml"/><Relationship Id="rId18" Type="http://schemas.openxmlformats.org/officeDocument/2006/relationships/ctrlProp" Target="../ctrlProps/ctrlProp65.xml"/><Relationship Id="rId26" Type="http://schemas.openxmlformats.org/officeDocument/2006/relationships/ctrlProp" Target="../ctrlProps/ctrlProp73.xml"/><Relationship Id="rId39" Type="http://schemas.openxmlformats.org/officeDocument/2006/relationships/ctrlProp" Target="../ctrlProps/ctrlProp86.xml"/><Relationship Id="rId21" Type="http://schemas.openxmlformats.org/officeDocument/2006/relationships/ctrlProp" Target="../ctrlProps/ctrlProp68.xml"/><Relationship Id="rId34" Type="http://schemas.openxmlformats.org/officeDocument/2006/relationships/ctrlProp" Target="../ctrlProps/ctrlProp81.xml"/><Relationship Id="rId42" Type="http://schemas.openxmlformats.org/officeDocument/2006/relationships/ctrlProp" Target="../ctrlProps/ctrlProp89.xml"/><Relationship Id="rId47" Type="http://schemas.openxmlformats.org/officeDocument/2006/relationships/ctrlProp" Target="../ctrlProps/ctrlProp94.xml"/><Relationship Id="rId7" Type="http://schemas.openxmlformats.org/officeDocument/2006/relationships/ctrlProp" Target="../ctrlProps/ctrlProp54.xml"/><Relationship Id="rId2" Type="http://schemas.openxmlformats.org/officeDocument/2006/relationships/drawing" Target="../drawings/drawing6.xml"/><Relationship Id="rId16" Type="http://schemas.openxmlformats.org/officeDocument/2006/relationships/ctrlProp" Target="../ctrlProps/ctrlProp63.xml"/><Relationship Id="rId29" Type="http://schemas.openxmlformats.org/officeDocument/2006/relationships/ctrlProp" Target="../ctrlProps/ctrlProp76.xml"/><Relationship Id="rId1" Type="http://schemas.openxmlformats.org/officeDocument/2006/relationships/printerSettings" Target="../printerSettings/printerSettings9.bin"/><Relationship Id="rId6" Type="http://schemas.openxmlformats.org/officeDocument/2006/relationships/ctrlProp" Target="../ctrlProps/ctrlProp53.xml"/><Relationship Id="rId11" Type="http://schemas.openxmlformats.org/officeDocument/2006/relationships/ctrlProp" Target="../ctrlProps/ctrlProp58.xml"/><Relationship Id="rId24" Type="http://schemas.openxmlformats.org/officeDocument/2006/relationships/ctrlProp" Target="../ctrlProps/ctrlProp71.xml"/><Relationship Id="rId32" Type="http://schemas.openxmlformats.org/officeDocument/2006/relationships/ctrlProp" Target="../ctrlProps/ctrlProp79.xml"/><Relationship Id="rId37" Type="http://schemas.openxmlformats.org/officeDocument/2006/relationships/ctrlProp" Target="../ctrlProps/ctrlProp84.xml"/><Relationship Id="rId40" Type="http://schemas.openxmlformats.org/officeDocument/2006/relationships/ctrlProp" Target="../ctrlProps/ctrlProp87.xml"/><Relationship Id="rId45" Type="http://schemas.openxmlformats.org/officeDocument/2006/relationships/ctrlProp" Target="../ctrlProps/ctrlProp92.xml"/><Relationship Id="rId5" Type="http://schemas.openxmlformats.org/officeDocument/2006/relationships/ctrlProp" Target="../ctrlProps/ctrlProp52.xml"/><Relationship Id="rId15" Type="http://schemas.openxmlformats.org/officeDocument/2006/relationships/ctrlProp" Target="../ctrlProps/ctrlProp62.xml"/><Relationship Id="rId23" Type="http://schemas.openxmlformats.org/officeDocument/2006/relationships/ctrlProp" Target="../ctrlProps/ctrlProp70.xml"/><Relationship Id="rId28" Type="http://schemas.openxmlformats.org/officeDocument/2006/relationships/ctrlProp" Target="../ctrlProps/ctrlProp75.xml"/><Relationship Id="rId36" Type="http://schemas.openxmlformats.org/officeDocument/2006/relationships/ctrlProp" Target="../ctrlProps/ctrlProp83.xml"/><Relationship Id="rId10" Type="http://schemas.openxmlformats.org/officeDocument/2006/relationships/ctrlProp" Target="../ctrlProps/ctrlProp57.xml"/><Relationship Id="rId19" Type="http://schemas.openxmlformats.org/officeDocument/2006/relationships/ctrlProp" Target="../ctrlProps/ctrlProp66.xml"/><Relationship Id="rId31" Type="http://schemas.openxmlformats.org/officeDocument/2006/relationships/ctrlProp" Target="../ctrlProps/ctrlProp78.xml"/><Relationship Id="rId44" Type="http://schemas.openxmlformats.org/officeDocument/2006/relationships/ctrlProp" Target="../ctrlProps/ctrlProp91.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 Id="rId22" Type="http://schemas.openxmlformats.org/officeDocument/2006/relationships/ctrlProp" Target="../ctrlProps/ctrlProp69.xml"/><Relationship Id="rId27" Type="http://schemas.openxmlformats.org/officeDocument/2006/relationships/ctrlProp" Target="../ctrlProps/ctrlProp74.xml"/><Relationship Id="rId30" Type="http://schemas.openxmlformats.org/officeDocument/2006/relationships/ctrlProp" Target="../ctrlProps/ctrlProp77.xml"/><Relationship Id="rId35" Type="http://schemas.openxmlformats.org/officeDocument/2006/relationships/ctrlProp" Target="../ctrlProps/ctrlProp82.xml"/><Relationship Id="rId43" Type="http://schemas.openxmlformats.org/officeDocument/2006/relationships/ctrlProp" Target="../ctrlProps/ctrlProp90.xml"/><Relationship Id="rId8" Type="http://schemas.openxmlformats.org/officeDocument/2006/relationships/ctrlProp" Target="../ctrlProps/ctrlProp55.xml"/><Relationship Id="rId3" Type="http://schemas.openxmlformats.org/officeDocument/2006/relationships/vmlDrawing" Target="../drawings/vmlDrawing2.vml"/><Relationship Id="rId12" Type="http://schemas.openxmlformats.org/officeDocument/2006/relationships/ctrlProp" Target="../ctrlProps/ctrlProp59.xml"/><Relationship Id="rId17" Type="http://schemas.openxmlformats.org/officeDocument/2006/relationships/ctrlProp" Target="../ctrlProps/ctrlProp64.xml"/><Relationship Id="rId25" Type="http://schemas.openxmlformats.org/officeDocument/2006/relationships/ctrlProp" Target="../ctrlProps/ctrlProp72.xml"/><Relationship Id="rId33" Type="http://schemas.openxmlformats.org/officeDocument/2006/relationships/ctrlProp" Target="../ctrlProps/ctrlProp80.xml"/><Relationship Id="rId38" Type="http://schemas.openxmlformats.org/officeDocument/2006/relationships/ctrlProp" Target="../ctrlProps/ctrlProp85.xml"/><Relationship Id="rId46" Type="http://schemas.openxmlformats.org/officeDocument/2006/relationships/ctrlProp" Target="../ctrlProps/ctrlProp93.xml"/><Relationship Id="rId20" Type="http://schemas.openxmlformats.org/officeDocument/2006/relationships/ctrlProp" Target="../ctrlProps/ctrlProp67.xml"/><Relationship Id="rId41" Type="http://schemas.openxmlformats.org/officeDocument/2006/relationships/ctrlProp" Target="../ctrlProps/ctrlProp8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04.xml"/><Relationship Id="rId18" Type="http://schemas.openxmlformats.org/officeDocument/2006/relationships/ctrlProp" Target="../ctrlProps/ctrlProp109.xml"/><Relationship Id="rId26" Type="http://schemas.openxmlformats.org/officeDocument/2006/relationships/ctrlProp" Target="../ctrlProps/ctrlProp117.xml"/><Relationship Id="rId39" Type="http://schemas.openxmlformats.org/officeDocument/2006/relationships/ctrlProp" Target="../ctrlProps/ctrlProp130.xml"/><Relationship Id="rId21" Type="http://schemas.openxmlformats.org/officeDocument/2006/relationships/ctrlProp" Target="../ctrlProps/ctrlProp112.xml"/><Relationship Id="rId34" Type="http://schemas.openxmlformats.org/officeDocument/2006/relationships/ctrlProp" Target="../ctrlProps/ctrlProp125.xml"/><Relationship Id="rId42" Type="http://schemas.openxmlformats.org/officeDocument/2006/relationships/ctrlProp" Target="../ctrlProps/ctrlProp133.xml"/><Relationship Id="rId47" Type="http://schemas.openxmlformats.org/officeDocument/2006/relationships/ctrlProp" Target="../ctrlProps/ctrlProp138.xml"/><Relationship Id="rId50" Type="http://schemas.openxmlformats.org/officeDocument/2006/relationships/ctrlProp" Target="../ctrlProps/ctrlProp141.xml"/><Relationship Id="rId7" Type="http://schemas.openxmlformats.org/officeDocument/2006/relationships/ctrlProp" Target="../ctrlProps/ctrlProp98.xml"/><Relationship Id="rId2" Type="http://schemas.openxmlformats.org/officeDocument/2006/relationships/drawing" Target="../drawings/drawing9.xml"/><Relationship Id="rId16" Type="http://schemas.openxmlformats.org/officeDocument/2006/relationships/ctrlProp" Target="../ctrlProps/ctrlProp107.xml"/><Relationship Id="rId29" Type="http://schemas.openxmlformats.org/officeDocument/2006/relationships/ctrlProp" Target="../ctrlProps/ctrlProp120.xml"/><Relationship Id="rId11" Type="http://schemas.openxmlformats.org/officeDocument/2006/relationships/ctrlProp" Target="../ctrlProps/ctrlProp102.xml"/><Relationship Id="rId24" Type="http://schemas.openxmlformats.org/officeDocument/2006/relationships/ctrlProp" Target="../ctrlProps/ctrlProp115.xml"/><Relationship Id="rId32" Type="http://schemas.openxmlformats.org/officeDocument/2006/relationships/ctrlProp" Target="../ctrlProps/ctrlProp123.xml"/><Relationship Id="rId37" Type="http://schemas.openxmlformats.org/officeDocument/2006/relationships/ctrlProp" Target="../ctrlProps/ctrlProp128.xml"/><Relationship Id="rId40" Type="http://schemas.openxmlformats.org/officeDocument/2006/relationships/ctrlProp" Target="../ctrlProps/ctrlProp131.xml"/><Relationship Id="rId45" Type="http://schemas.openxmlformats.org/officeDocument/2006/relationships/ctrlProp" Target="../ctrlProps/ctrlProp136.xml"/><Relationship Id="rId53" Type="http://schemas.openxmlformats.org/officeDocument/2006/relationships/ctrlProp" Target="../ctrlProps/ctrlProp144.xml"/><Relationship Id="rId5" Type="http://schemas.openxmlformats.org/officeDocument/2006/relationships/ctrlProp" Target="../ctrlProps/ctrlProp96.xml"/><Relationship Id="rId10" Type="http://schemas.openxmlformats.org/officeDocument/2006/relationships/ctrlProp" Target="../ctrlProps/ctrlProp101.xml"/><Relationship Id="rId19" Type="http://schemas.openxmlformats.org/officeDocument/2006/relationships/ctrlProp" Target="../ctrlProps/ctrlProp110.xml"/><Relationship Id="rId31" Type="http://schemas.openxmlformats.org/officeDocument/2006/relationships/ctrlProp" Target="../ctrlProps/ctrlProp122.xml"/><Relationship Id="rId44" Type="http://schemas.openxmlformats.org/officeDocument/2006/relationships/ctrlProp" Target="../ctrlProps/ctrlProp135.xml"/><Relationship Id="rId52" Type="http://schemas.openxmlformats.org/officeDocument/2006/relationships/ctrlProp" Target="../ctrlProps/ctrlProp143.xml"/><Relationship Id="rId4" Type="http://schemas.openxmlformats.org/officeDocument/2006/relationships/ctrlProp" Target="../ctrlProps/ctrlProp95.xml"/><Relationship Id="rId9" Type="http://schemas.openxmlformats.org/officeDocument/2006/relationships/ctrlProp" Target="../ctrlProps/ctrlProp100.xml"/><Relationship Id="rId14" Type="http://schemas.openxmlformats.org/officeDocument/2006/relationships/ctrlProp" Target="../ctrlProps/ctrlProp105.xml"/><Relationship Id="rId22" Type="http://schemas.openxmlformats.org/officeDocument/2006/relationships/ctrlProp" Target="../ctrlProps/ctrlProp113.xml"/><Relationship Id="rId27" Type="http://schemas.openxmlformats.org/officeDocument/2006/relationships/ctrlProp" Target="../ctrlProps/ctrlProp118.xml"/><Relationship Id="rId30" Type="http://schemas.openxmlformats.org/officeDocument/2006/relationships/ctrlProp" Target="../ctrlProps/ctrlProp121.xml"/><Relationship Id="rId35" Type="http://schemas.openxmlformats.org/officeDocument/2006/relationships/ctrlProp" Target="../ctrlProps/ctrlProp126.xml"/><Relationship Id="rId43" Type="http://schemas.openxmlformats.org/officeDocument/2006/relationships/ctrlProp" Target="../ctrlProps/ctrlProp134.xml"/><Relationship Id="rId48" Type="http://schemas.openxmlformats.org/officeDocument/2006/relationships/ctrlProp" Target="../ctrlProps/ctrlProp139.xml"/><Relationship Id="rId8" Type="http://schemas.openxmlformats.org/officeDocument/2006/relationships/ctrlProp" Target="../ctrlProps/ctrlProp99.xml"/><Relationship Id="rId51" Type="http://schemas.openxmlformats.org/officeDocument/2006/relationships/ctrlProp" Target="../ctrlProps/ctrlProp142.xml"/><Relationship Id="rId3" Type="http://schemas.openxmlformats.org/officeDocument/2006/relationships/vmlDrawing" Target="../drawings/vmlDrawing3.vml"/><Relationship Id="rId12" Type="http://schemas.openxmlformats.org/officeDocument/2006/relationships/ctrlProp" Target="../ctrlProps/ctrlProp103.xml"/><Relationship Id="rId17" Type="http://schemas.openxmlformats.org/officeDocument/2006/relationships/ctrlProp" Target="../ctrlProps/ctrlProp108.xml"/><Relationship Id="rId25" Type="http://schemas.openxmlformats.org/officeDocument/2006/relationships/ctrlProp" Target="../ctrlProps/ctrlProp116.xml"/><Relationship Id="rId33" Type="http://schemas.openxmlformats.org/officeDocument/2006/relationships/ctrlProp" Target="../ctrlProps/ctrlProp124.xml"/><Relationship Id="rId38" Type="http://schemas.openxmlformats.org/officeDocument/2006/relationships/ctrlProp" Target="../ctrlProps/ctrlProp129.xml"/><Relationship Id="rId46" Type="http://schemas.openxmlformats.org/officeDocument/2006/relationships/ctrlProp" Target="../ctrlProps/ctrlProp137.xml"/><Relationship Id="rId20" Type="http://schemas.openxmlformats.org/officeDocument/2006/relationships/ctrlProp" Target="../ctrlProps/ctrlProp111.xml"/><Relationship Id="rId41" Type="http://schemas.openxmlformats.org/officeDocument/2006/relationships/ctrlProp" Target="../ctrlProps/ctrlProp132.xml"/><Relationship Id="rId1" Type="http://schemas.openxmlformats.org/officeDocument/2006/relationships/printerSettings" Target="../printerSettings/printerSettings15.bin"/><Relationship Id="rId6" Type="http://schemas.openxmlformats.org/officeDocument/2006/relationships/ctrlProp" Target="../ctrlProps/ctrlProp97.xml"/><Relationship Id="rId15" Type="http://schemas.openxmlformats.org/officeDocument/2006/relationships/ctrlProp" Target="../ctrlProps/ctrlProp106.xml"/><Relationship Id="rId23" Type="http://schemas.openxmlformats.org/officeDocument/2006/relationships/ctrlProp" Target="../ctrlProps/ctrlProp114.xml"/><Relationship Id="rId28" Type="http://schemas.openxmlformats.org/officeDocument/2006/relationships/ctrlProp" Target="../ctrlProps/ctrlProp119.xml"/><Relationship Id="rId36" Type="http://schemas.openxmlformats.org/officeDocument/2006/relationships/ctrlProp" Target="../ctrlProps/ctrlProp127.xml"/><Relationship Id="rId49" Type="http://schemas.openxmlformats.org/officeDocument/2006/relationships/ctrlProp" Target="../ctrlProps/ctrlProp14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ED8D5-D1AB-4548-B771-74E632277097}">
  <sheetPr codeName="Hoja1"/>
  <dimension ref="A1:D112"/>
  <sheetViews>
    <sheetView workbookViewId="0">
      <selection activeCell="B15" sqref="B15"/>
    </sheetView>
  </sheetViews>
  <sheetFormatPr baseColWidth="10" defaultRowHeight="15" x14ac:dyDescent="0.25"/>
  <cols>
    <col min="1" max="1" width="17.42578125" customWidth="1"/>
    <col min="2" max="2" width="19.85546875" bestFit="1" customWidth="1"/>
    <col min="3" max="3" width="58.140625" bestFit="1" customWidth="1"/>
    <col min="4" max="4" width="21.5703125" bestFit="1" customWidth="1"/>
  </cols>
  <sheetData>
    <row r="1" spans="1:4" x14ac:dyDescent="0.25">
      <c r="A1" s="486" t="s">
        <v>461</v>
      </c>
      <c r="B1" s="585" t="s">
        <v>460</v>
      </c>
      <c r="C1" s="486" t="s">
        <v>360</v>
      </c>
      <c r="D1" s="486" t="s">
        <v>361</v>
      </c>
    </row>
    <row r="2" spans="1:4" ht="30" x14ac:dyDescent="0.25">
      <c r="A2" s="164" t="s">
        <v>363</v>
      </c>
      <c r="B2" s="491">
        <v>45476</v>
      </c>
      <c r="C2" s="489" t="s">
        <v>364</v>
      </c>
      <c r="D2" s="492" t="s">
        <v>362</v>
      </c>
    </row>
    <row r="3" spans="1:4" ht="45" x14ac:dyDescent="0.25">
      <c r="A3" s="164" t="s">
        <v>365</v>
      </c>
      <c r="B3" s="491">
        <v>45516</v>
      </c>
      <c r="C3" s="489" t="s">
        <v>368</v>
      </c>
      <c r="D3" s="492" t="s">
        <v>362</v>
      </c>
    </row>
    <row r="4" spans="1:4" ht="30" x14ac:dyDescent="0.25">
      <c r="A4" s="164" t="s">
        <v>367</v>
      </c>
      <c r="B4" s="491">
        <v>45602</v>
      </c>
      <c r="C4" s="489" t="s">
        <v>366</v>
      </c>
      <c r="D4" s="492" t="s">
        <v>362</v>
      </c>
    </row>
    <row r="5" spans="1:4" ht="75" x14ac:dyDescent="0.25">
      <c r="A5" s="164" t="s">
        <v>393</v>
      </c>
      <c r="B5" s="491">
        <v>45901</v>
      </c>
      <c r="C5" s="496" t="s">
        <v>392</v>
      </c>
      <c r="D5" s="492" t="s">
        <v>362</v>
      </c>
    </row>
    <row r="6" spans="1:4" ht="30" x14ac:dyDescent="0.25">
      <c r="A6" s="164" t="s">
        <v>395</v>
      </c>
      <c r="B6" s="491">
        <v>45902</v>
      </c>
      <c r="C6" s="496" t="s">
        <v>397</v>
      </c>
      <c r="D6" s="492" t="s">
        <v>362</v>
      </c>
    </row>
    <row r="7" spans="1:4" ht="120" x14ac:dyDescent="0.25">
      <c r="A7" s="164" t="s">
        <v>400</v>
      </c>
      <c r="B7" s="491">
        <v>45910</v>
      </c>
      <c r="C7" s="496" t="s">
        <v>401</v>
      </c>
      <c r="D7" s="492" t="s">
        <v>362</v>
      </c>
    </row>
    <row r="8" spans="1:4" ht="60" x14ac:dyDescent="0.25">
      <c r="A8" s="164" t="s">
        <v>459</v>
      </c>
      <c r="B8" s="491">
        <v>45917</v>
      </c>
      <c r="C8" s="584" t="s">
        <v>462</v>
      </c>
      <c r="D8" s="492" t="s">
        <v>362</v>
      </c>
    </row>
    <row r="9" spans="1:4" ht="30" x14ac:dyDescent="0.25">
      <c r="A9" s="164" t="s">
        <v>463</v>
      </c>
      <c r="B9" s="596">
        <v>45979</v>
      </c>
      <c r="C9" s="584" t="s">
        <v>464</v>
      </c>
      <c r="D9" s="492" t="s">
        <v>362</v>
      </c>
    </row>
    <row r="10" spans="1:4" ht="30" x14ac:dyDescent="0.25">
      <c r="A10" s="164" t="s">
        <v>471</v>
      </c>
      <c r="B10" s="596">
        <v>45999</v>
      </c>
      <c r="C10" s="584" t="s">
        <v>472</v>
      </c>
      <c r="D10" s="492" t="s">
        <v>362</v>
      </c>
    </row>
    <row r="11" spans="1:4" x14ac:dyDescent="0.25">
      <c r="A11" s="164" t="s">
        <v>478</v>
      </c>
      <c r="B11" s="491">
        <v>46056</v>
      </c>
      <c r="C11" s="584" t="s">
        <v>479</v>
      </c>
      <c r="D11" s="492" t="s">
        <v>362</v>
      </c>
    </row>
    <row r="12" spans="1:4" ht="30" x14ac:dyDescent="0.25">
      <c r="A12" s="164" t="s">
        <v>480</v>
      </c>
      <c r="B12" s="491">
        <v>46124</v>
      </c>
      <c r="C12" s="584" t="s">
        <v>481</v>
      </c>
      <c r="D12" s="492" t="s">
        <v>362</v>
      </c>
    </row>
    <row r="13" spans="1:4" x14ac:dyDescent="0.25">
      <c r="A13" s="488"/>
      <c r="B13" s="488"/>
      <c r="C13" s="490"/>
      <c r="D13" s="488"/>
    </row>
    <row r="14" spans="1:4" x14ac:dyDescent="0.25">
      <c r="A14" s="488"/>
      <c r="B14" s="488"/>
      <c r="C14" s="490"/>
      <c r="D14" s="488"/>
    </row>
    <row r="15" spans="1:4" x14ac:dyDescent="0.25">
      <c r="A15" s="488"/>
      <c r="B15" s="488"/>
      <c r="C15" s="490"/>
      <c r="D15" s="488"/>
    </row>
    <row r="16" spans="1:4" x14ac:dyDescent="0.25">
      <c r="A16" s="488"/>
      <c r="B16" s="488"/>
      <c r="C16" s="490"/>
      <c r="D16" s="488"/>
    </row>
    <row r="17" spans="1:4" x14ac:dyDescent="0.25">
      <c r="A17" s="488"/>
      <c r="B17" s="488"/>
      <c r="C17" s="490"/>
      <c r="D17" s="488"/>
    </row>
    <row r="18" spans="1:4" x14ac:dyDescent="0.25">
      <c r="A18" s="488"/>
      <c r="B18" s="488"/>
      <c r="C18" s="490"/>
      <c r="D18" s="488"/>
    </row>
    <row r="19" spans="1:4" x14ac:dyDescent="0.25">
      <c r="A19" s="488"/>
      <c r="B19" s="488"/>
      <c r="C19" s="490"/>
      <c r="D19" s="488"/>
    </row>
    <row r="20" spans="1:4" x14ac:dyDescent="0.25">
      <c r="A20" s="488"/>
      <c r="B20" s="488"/>
      <c r="C20" s="490"/>
      <c r="D20" s="488"/>
    </row>
    <row r="21" spans="1:4" x14ac:dyDescent="0.25">
      <c r="C21" s="487"/>
    </row>
    <row r="22" spans="1:4" x14ac:dyDescent="0.25">
      <c r="C22" s="487"/>
    </row>
    <row r="23" spans="1:4" x14ac:dyDescent="0.25">
      <c r="C23" s="487"/>
    </row>
    <row r="24" spans="1:4" x14ac:dyDescent="0.25">
      <c r="C24" s="487"/>
    </row>
    <row r="25" spans="1:4" x14ac:dyDescent="0.25">
      <c r="C25" s="487"/>
    </row>
    <row r="26" spans="1:4" x14ac:dyDescent="0.25">
      <c r="C26" s="487"/>
    </row>
    <row r="27" spans="1:4" x14ac:dyDescent="0.25">
      <c r="C27" s="487"/>
    </row>
    <row r="28" spans="1:4" x14ac:dyDescent="0.25">
      <c r="C28" s="487"/>
    </row>
    <row r="29" spans="1:4" x14ac:dyDescent="0.25">
      <c r="C29" s="487"/>
    </row>
    <row r="30" spans="1:4" x14ac:dyDescent="0.25">
      <c r="C30" s="487"/>
    </row>
    <row r="31" spans="1:4" x14ac:dyDescent="0.25">
      <c r="C31" s="487"/>
    </row>
    <row r="32" spans="1:4" x14ac:dyDescent="0.25">
      <c r="C32" s="487"/>
    </row>
    <row r="33" spans="3:3" x14ac:dyDescent="0.25">
      <c r="C33" s="487"/>
    </row>
    <row r="34" spans="3:3" x14ac:dyDescent="0.25">
      <c r="C34" s="487"/>
    </row>
    <row r="35" spans="3:3" x14ac:dyDescent="0.25">
      <c r="C35" s="487"/>
    </row>
    <row r="36" spans="3:3" x14ac:dyDescent="0.25">
      <c r="C36" s="487"/>
    </row>
    <row r="37" spans="3:3" x14ac:dyDescent="0.25">
      <c r="C37" s="487"/>
    </row>
    <row r="38" spans="3:3" x14ac:dyDescent="0.25">
      <c r="C38" s="487"/>
    </row>
    <row r="39" spans="3:3" x14ac:dyDescent="0.25">
      <c r="C39" s="487"/>
    </row>
    <row r="40" spans="3:3" x14ac:dyDescent="0.25">
      <c r="C40" s="487"/>
    </row>
    <row r="41" spans="3:3" x14ac:dyDescent="0.25">
      <c r="C41" s="487"/>
    </row>
    <row r="42" spans="3:3" x14ac:dyDescent="0.25">
      <c r="C42" s="487"/>
    </row>
    <row r="43" spans="3:3" x14ac:dyDescent="0.25">
      <c r="C43" s="487"/>
    </row>
    <row r="44" spans="3:3" x14ac:dyDescent="0.25">
      <c r="C44" s="487"/>
    </row>
    <row r="45" spans="3:3" x14ac:dyDescent="0.25">
      <c r="C45" s="487"/>
    </row>
    <row r="46" spans="3:3" x14ac:dyDescent="0.25">
      <c r="C46" s="487"/>
    </row>
    <row r="47" spans="3:3" x14ac:dyDescent="0.25">
      <c r="C47" s="487"/>
    </row>
    <row r="48" spans="3:3" x14ac:dyDescent="0.25">
      <c r="C48" s="487"/>
    </row>
    <row r="49" spans="3:3" x14ac:dyDescent="0.25">
      <c r="C49" s="487"/>
    </row>
    <row r="50" spans="3:3" x14ac:dyDescent="0.25">
      <c r="C50" s="487"/>
    </row>
    <row r="51" spans="3:3" x14ac:dyDescent="0.25">
      <c r="C51" s="487"/>
    </row>
    <row r="52" spans="3:3" x14ac:dyDescent="0.25">
      <c r="C52" s="487"/>
    </row>
    <row r="53" spans="3:3" x14ac:dyDescent="0.25">
      <c r="C53" s="487"/>
    </row>
    <row r="54" spans="3:3" x14ac:dyDescent="0.25">
      <c r="C54" s="487"/>
    </row>
    <row r="55" spans="3:3" x14ac:dyDescent="0.25">
      <c r="C55" s="487"/>
    </row>
    <row r="56" spans="3:3" x14ac:dyDescent="0.25">
      <c r="C56" s="487"/>
    </row>
    <row r="57" spans="3:3" x14ac:dyDescent="0.25">
      <c r="C57" s="487"/>
    </row>
    <row r="58" spans="3:3" x14ac:dyDescent="0.25">
      <c r="C58" s="487"/>
    </row>
    <row r="59" spans="3:3" x14ac:dyDescent="0.25">
      <c r="C59" s="487"/>
    </row>
    <row r="60" spans="3:3" x14ac:dyDescent="0.25">
      <c r="C60" s="487"/>
    </row>
    <row r="61" spans="3:3" x14ac:dyDescent="0.25">
      <c r="C61" s="487"/>
    </row>
    <row r="62" spans="3:3" x14ac:dyDescent="0.25">
      <c r="C62" s="487"/>
    </row>
    <row r="63" spans="3:3" x14ac:dyDescent="0.25">
      <c r="C63" s="487"/>
    </row>
    <row r="64" spans="3:3" x14ac:dyDescent="0.25">
      <c r="C64" s="487"/>
    </row>
    <row r="65" spans="3:3" x14ac:dyDescent="0.25">
      <c r="C65" s="487"/>
    </row>
    <row r="66" spans="3:3" x14ac:dyDescent="0.25">
      <c r="C66" s="487"/>
    </row>
    <row r="67" spans="3:3" x14ac:dyDescent="0.25">
      <c r="C67" s="487"/>
    </row>
    <row r="68" spans="3:3" x14ac:dyDescent="0.25">
      <c r="C68" s="487"/>
    </row>
    <row r="69" spans="3:3" x14ac:dyDescent="0.25">
      <c r="C69" s="487"/>
    </row>
    <row r="70" spans="3:3" x14ac:dyDescent="0.25">
      <c r="C70" s="487"/>
    </row>
    <row r="71" spans="3:3" x14ac:dyDescent="0.25">
      <c r="C71" s="487"/>
    </row>
    <row r="72" spans="3:3" x14ac:dyDescent="0.25">
      <c r="C72" s="487"/>
    </row>
    <row r="73" spans="3:3" x14ac:dyDescent="0.25">
      <c r="C73" s="487"/>
    </row>
    <row r="74" spans="3:3" x14ac:dyDescent="0.25">
      <c r="C74" s="487"/>
    </row>
    <row r="75" spans="3:3" x14ac:dyDescent="0.25">
      <c r="C75" s="487"/>
    </row>
    <row r="76" spans="3:3" x14ac:dyDescent="0.25">
      <c r="C76" s="487"/>
    </row>
    <row r="77" spans="3:3" x14ac:dyDescent="0.25">
      <c r="C77" s="487"/>
    </row>
    <row r="78" spans="3:3" x14ac:dyDescent="0.25">
      <c r="C78" s="487"/>
    </row>
    <row r="79" spans="3:3" x14ac:dyDescent="0.25">
      <c r="C79" s="487"/>
    </row>
    <row r="80" spans="3:3" x14ac:dyDescent="0.25">
      <c r="C80" s="487"/>
    </row>
    <row r="81" spans="3:3" x14ac:dyDescent="0.25">
      <c r="C81" s="487"/>
    </row>
    <row r="82" spans="3:3" x14ac:dyDescent="0.25">
      <c r="C82" s="487"/>
    </row>
    <row r="83" spans="3:3" x14ac:dyDescent="0.25">
      <c r="C83" s="487"/>
    </row>
    <row r="84" spans="3:3" x14ac:dyDescent="0.25">
      <c r="C84" s="487"/>
    </row>
    <row r="85" spans="3:3" x14ac:dyDescent="0.25">
      <c r="C85" s="487"/>
    </row>
    <row r="86" spans="3:3" x14ac:dyDescent="0.25">
      <c r="C86" s="487"/>
    </row>
    <row r="87" spans="3:3" x14ac:dyDescent="0.25">
      <c r="C87" s="487"/>
    </row>
    <row r="88" spans="3:3" x14ac:dyDescent="0.25">
      <c r="C88" s="487"/>
    </row>
    <row r="89" spans="3:3" x14ac:dyDescent="0.25">
      <c r="C89" s="487"/>
    </row>
    <row r="90" spans="3:3" x14ac:dyDescent="0.25">
      <c r="C90" s="487"/>
    </row>
    <row r="91" spans="3:3" x14ac:dyDescent="0.25">
      <c r="C91" s="487"/>
    </row>
    <row r="92" spans="3:3" x14ac:dyDescent="0.25">
      <c r="C92" s="487"/>
    </row>
    <row r="93" spans="3:3" x14ac:dyDescent="0.25">
      <c r="C93" s="487"/>
    </row>
    <row r="94" spans="3:3" x14ac:dyDescent="0.25">
      <c r="C94" s="487"/>
    </row>
    <row r="95" spans="3:3" x14ac:dyDescent="0.25">
      <c r="C95" s="487"/>
    </row>
    <row r="96" spans="3:3" x14ac:dyDescent="0.25">
      <c r="C96" s="487"/>
    </row>
    <row r="97" spans="3:3" x14ac:dyDescent="0.25">
      <c r="C97" s="487"/>
    </row>
    <row r="98" spans="3:3" x14ac:dyDescent="0.25">
      <c r="C98" s="487"/>
    </row>
    <row r="99" spans="3:3" x14ac:dyDescent="0.25">
      <c r="C99" s="487"/>
    </row>
    <row r="100" spans="3:3" x14ac:dyDescent="0.25">
      <c r="C100" s="487"/>
    </row>
    <row r="101" spans="3:3" x14ac:dyDescent="0.25">
      <c r="C101" s="487"/>
    </row>
    <row r="102" spans="3:3" x14ac:dyDescent="0.25">
      <c r="C102" s="487"/>
    </row>
    <row r="103" spans="3:3" x14ac:dyDescent="0.25">
      <c r="C103" s="487"/>
    </row>
    <row r="104" spans="3:3" x14ac:dyDescent="0.25">
      <c r="C104" s="487"/>
    </row>
    <row r="105" spans="3:3" x14ac:dyDescent="0.25">
      <c r="C105" s="487"/>
    </row>
    <row r="106" spans="3:3" x14ac:dyDescent="0.25">
      <c r="C106" s="487"/>
    </row>
    <row r="107" spans="3:3" x14ac:dyDescent="0.25">
      <c r="C107" s="487"/>
    </row>
    <row r="108" spans="3:3" x14ac:dyDescent="0.25">
      <c r="C108" s="487"/>
    </row>
    <row r="109" spans="3:3" x14ac:dyDescent="0.25">
      <c r="C109" s="487"/>
    </row>
    <row r="110" spans="3:3" x14ac:dyDescent="0.25">
      <c r="C110" s="487"/>
    </row>
    <row r="111" spans="3:3" x14ac:dyDescent="0.25">
      <c r="C111" s="487"/>
    </row>
    <row r="112" spans="3:3" x14ac:dyDescent="0.25">
      <c r="C112" s="487"/>
    </row>
  </sheetData>
  <sheetProtection algorithmName="SHA-512" hashValue="6JiVUnGGdCoNenMNx2Ux0uF7+oAxL72rPBITCAsJ21lXKdJ8OZ3HdUxRydN8GEQjs9gnldN+ZS/zGtOOd/vVeA==" saltValue="eOKoOAIoB5hiSSAfXLjJOA==" spinCount="100000" sheet="1" objects="1" scenarios="1" autoFilter="0"/>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5E671-D341-4B7C-B752-3FB0E84A256F}">
  <sheetPr codeName="Hoja14"/>
  <dimension ref="A1:W18"/>
  <sheetViews>
    <sheetView showGridLines="0" tabSelected="1" zoomScale="115" zoomScaleNormal="115" workbookViewId="0">
      <selection activeCell="H3" sqref="H3:K3"/>
    </sheetView>
  </sheetViews>
  <sheetFormatPr baseColWidth="10" defaultColWidth="0" defaultRowHeight="15" zeroHeight="1" x14ac:dyDescent="0.25"/>
  <cols>
    <col min="1" max="1" width="6.28515625" style="63" customWidth="1"/>
    <col min="2" max="2" width="8.5703125" style="63" customWidth="1"/>
    <col min="3" max="3" width="9.42578125" style="63" customWidth="1"/>
    <col min="4" max="11" width="11.42578125" style="63" customWidth="1"/>
    <col min="12" max="12" width="8.5703125" style="63" customWidth="1"/>
    <col min="13" max="13" width="11" style="63" customWidth="1"/>
    <col min="14" max="15" width="11.42578125" style="63" customWidth="1"/>
    <col min="16" max="23" width="0" style="63" hidden="1" customWidth="1"/>
    <col min="24" max="16384" width="11.42578125" style="63" hidden="1"/>
  </cols>
  <sheetData>
    <row r="1" spans="6:11" x14ac:dyDescent="0.25"/>
    <row r="2" spans="6:11" x14ac:dyDescent="0.25"/>
    <row r="3" spans="6:11" ht="51.75" customHeight="1" x14ac:dyDescent="0.25">
      <c r="H3" s="602" t="s">
        <v>480</v>
      </c>
      <c r="I3" s="602"/>
      <c r="J3" s="602"/>
      <c r="K3" s="602"/>
    </row>
    <row r="4" spans="6:11" x14ac:dyDescent="0.25"/>
    <row r="5" spans="6:11" x14ac:dyDescent="0.25"/>
    <row r="6" spans="6:11" ht="20.25" x14ac:dyDescent="0.3">
      <c r="F6" s="464" t="s">
        <v>394</v>
      </c>
    </row>
    <row r="7" spans="6:11" x14ac:dyDescent="0.25"/>
    <row r="8" spans="6:11" x14ac:dyDescent="0.25"/>
    <row r="9" spans="6:11" x14ac:dyDescent="0.25"/>
    <row r="10" spans="6:11" x14ac:dyDescent="0.25"/>
    <row r="11" spans="6:11" x14ac:dyDescent="0.25"/>
    <row r="12" spans="6:11" x14ac:dyDescent="0.25"/>
    <row r="13" spans="6:11" x14ac:dyDescent="0.25"/>
    <row r="14" spans="6:11" x14ac:dyDescent="0.25"/>
    <row r="15" spans="6:11" x14ac:dyDescent="0.25"/>
    <row r="16" spans="6:11" x14ac:dyDescent="0.25"/>
    <row r="17" x14ac:dyDescent="0.25"/>
    <row r="18" x14ac:dyDescent="0.25"/>
  </sheetData>
  <sheetProtection algorithmName="SHA-512" hashValue="q7q6B6aIwTfmLkZbSdlHKlkb1XcPcGBVdz7Any/QbIuLLSAcDwLBQDtLsJntcp6IR+JYIdCnmYk2J8Psf4jKpQ==" saltValue="PwHpKdNjiCepy7FAeRzRMQ==" spinCount="100000" sheet="1" selectLockedCells="1"/>
  <mergeCells count="1">
    <mergeCell ref="H3:K3"/>
  </mergeCells>
  <pageMargins left="0.7" right="0.7" top="0.75" bottom="0.75" header="0.3" footer="0.3"/>
  <pageSetup orientation="portrait" r:id="rId1"/>
  <headerFooter>
    <oddFooter>&amp;C&amp;1#&amp;"Calibri"&amp;10&amp;K000000PUBLIC</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B027E-751E-4879-B1F4-5897778E90A4}">
  <sheetPr codeName="Hoja15"/>
  <dimension ref="C4:K14"/>
  <sheetViews>
    <sheetView showGridLines="0" workbookViewId="0">
      <selection activeCell="F8" sqref="F8"/>
    </sheetView>
  </sheetViews>
  <sheetFormatPr baseColWidth="10" defaultRowHeight="15" x14ac:dyDescent="0.25"/>
  <cols>
    <col min="3" max="3" width="1.85546875" customWidth="1"/>
    <col min="4" max="4" width="5.5703125" customWidth="1"/>
    <col min="6" max="6" width="18.85546875" customWidth="1"/>
    <col min="7" max="7" width="17.7109375" customWidth="1"/>
    <col min="8" max="8" width="6.5703125" customWidth="1"/>
    <col min="9" max="9" width="2.28515625" customWidth="1"/>
  </cols>
  <sheetData>
    <row r="4" spans="3:11" ht="22.5" customHeight="1" x14ac:dyDescent="0.25">
      <c r="C4" s="187"/>
      <c r="D4" s="187" t="s">
        <v>267</v>
      </c>
      <c r="E4" s="187"/>
      <c r="F4" s="187"/>
      <c r="G4" s="187"/>
      <c r="H4" s="187"/>
      <c r="I4" s="187"/>
      <c r="K4" s="189"/>
    </row>
    <row r="5" spans="3:11" x14ac:dyDescent="0.25">
      <c r="C5" s="187"/>
      <c r="I5" s="187"/>
    </row>
    <row r="6" spans="3:11" x14ac:dyDescent="0.25">
      <c r="C6" s="187"/>
      <c r="E6" s="186" t="s">
        <v>265</v>
      </c>
      <c r="F6" s="190" t="s">
        <v>268</v>
      </c>
      <c r="G6" s="188"/>
      <c r="I6" s="187"/>
    </row>
    <row r="7" spans="3:11" x14ac:dyDescent="0.25">
      <c r="C7" s="187"/>
      <c r="I7" s="187"/>
    </row>
    <row r="8" spans="3:11" ht="15.75" x14ac:dyDescent="0.3">
      <c r="C8" s="187"/>
      <c r="E8" s="186" t="s">
        <v>266</v>
      </c>
      <c r="F8" s="195" t="s">
        <v>268</v>
      </c>
      <c r="G8" s="188"/>
      <c r="I8" s="187"/>
    </row>
    <row r="9" spans="3:11" x14ac:dyDescent="0.25">
      <c r="C9" s="187"/>
      <c r="I9" s="187"/>
    </row>
    <row r="10" spans="3:11" ht="15.75" x14ac:dyDescent="0.3">
      <c r="C10" s="187"/>
      <c r="I10" s="187"/>
      <c r="K10" s="194"/>
    </row>
    <row r="11" spans="3:11" x14ac:dyDescent="0.25">
      <c r="C11" s="187"/>
      <c r="I11" s="187"/>
    </row>
    <row r="12" spans="3:11" x14ac:dyDescent="0.25">
      <c r="C12" s="187"/>
      <c r="I12" s="187"/>
    </row>
    <row r="13" spans="3:11" ht="24.75" customHeight="1" x14ac:dyDescent="0.25">
      <c r="C13" s="187"/>
      <c r="I13" s="187"/>
    </row>
    <row r="14" spans="3:11" ht="9" customHeight="1" x14ac:dyDescent="0.25">
      <c r="C14" s="187"/>
      <c r="D14" s="187"/>
      <c r="E14" s="187"/>
      <c r="F14" s="187"/>
      <c r="G14" s="187"/>
      <c r="H14" s="187"/>
      <c r="I14" s="187"/>
    </row>
  </sheetData>
  <sheetProtection algorithmName="SHA-512" hashValue="SufnmjVihdeBq9pG9atBM1b4IHCBxvcadO7ORM6IzdPyni0X90Fw8AZTnRT3B1kRqz3PVA2ISmFCZBBDfQiFqg==" saltValue="KLEI7blGn4NdpvOjWF4MYA==" spinCount="100000" sheet="1" objects="1" scenarios="1" selectLockedCells="1"/>
  <conditionalFormatting sqref="F6">
    <cfRule type="expression" dxfId="245" priority="2">
      <formula>$F$6&lt;&gt;""</formula>
    </cfRule>
    <cfRule type="expression" dxfId="244" priority="4">
      <formula>$F$6=""</formula>
    </cfRule>
  </conditionalFormatting>
  <conditionalFormatting sqref="F8">
    <cfRule type="expression" dxfId="243" priority="1">
      <formula>$F$8&lt;&gt;""</formula>
    </cfRule>
    <cfRule type="expression" dxfId="242" priority="3">
      <formula>$F$8=""</formula>
    </cfRule>
  </conditionalFormatting>
  <pageMargins left="0.7" right="0.7" top="0.75" bottom="0.75" header="0.3" footer="0.3"/>
  <pageSetup orientation="portrait" r:id="rId1"/>
  <headerFooter>
    <oddFooter>&amp;C&amp;1#&amp;"Calibri"&amp;10&amp;K000000PUBLIC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BN36"/>
  <sheetViews>
    <sheetView topLeftCell="AN1" workbookViewId="0">
      <selection activeCell="AZ30" sqref="AZ30"/>
    </sheetView>
  </sheetViews>
  <sheetFormatPr baseColWidth="10" defaultColWidth="11.42578125" defaultRowHeight="15" x14ac:dyDescent="0.25"/>
  <cols>
    <col min="1" max="1" width="17.140625" style="63" bestFit="1" customWidth="1"/>
    <col min="2" max="2" width="11.42578125" style="63"/>
    <col min="3" max="3" width="18.42578125" style="63" customWidth="1"/>
    <col min="4" max="4" width="5.28515625" style="63" customWidth="1"/>
    <col min="5" max="5" width="26.140625" style="63" bestFit="1" customWidth="1"/>
    <col min="6" max="6" width="17.28515625" style="63" customWidth="1"/>
    <col min="7" max="7" width="22.28515625" style="63" bestFit="1" customWidth="1"/>
    <col min="8" max="8" width="19.140625" style="63" bestFit="1" customWidth="1"/>
    <col min="9" max="9" width="19.5703125" style="63" customWidth="1"/>
    <col min="10" max="11" width="19.140625" style="63" customWidth="1"/>
    <col min="12" max="12" width="24.7109375" style="63" customWidth="1"/>
    <col min="13" max="13" width="11.42578125" style="63"/>
    <col min="14" max="14" width="16.7109375" style="63" bestFit="1" customWidth="1"/>
    <col min="15" max="15" width="11.42578125" style="63"/>
    <col min="16" max="16" width="18.140625" style="63" bestFit="1" customWidth="1"/>
    <col min="17" max="17" width="19.85546875" style="63" bestFit="1" customWidth="1"/>
    <col min="18" max="18" width="20.42578125" style="63" bestFit="1" customWidth="1"/>
    <col min="19" max="19" width="11.42578125" style="63"/>
    <col min="20" max="20" width="26.140625" style="63" bestFit="1" customWidth="1"/>
    <col min="21" max="21" width="15.5703125" style="63" bestFit="1" customWidth="1"/>
    <col min="22" max="24" width="11.42578125" style="63"/>
    <col min="25" max="25" width="53.7109375" style="63" bestFit="1" customWidth="1"/>
    <col min="26" max="26" width="11.42578125" style="63"/>
    <col min="27" max="27" width="53.7109375" style="63" bestFit="1" customWidth="1"/>
    <col min="28" max="28" width="11.42578125" style="63"/>
    <col min="29" max="32" width="32.5703125" style="63" bestFit="1" customWidth="1"/>
    <col min="33" max="33" width="14.85546875" style="63" customWidth="1"/>
    <col min="34" max="34" width="32.5703125" style="63" bestFit="1" customWidth="1"/>
    <col min="35" max="37" width="11.42578125" style="63"/>
    <col min="38" max="38" width="40.5703125" style="63" bestFit="1" customWidth="1"/>
    <col min="39" max="39" width="31.140625" style="63" customWidth="1"/>
    <col min="40" max="40" width="22.85546875" style="63" bestFit="1" customWidth="1"/>
    <col min="41" max="41" width="12.85546875" style="63" customWidth="1"/>
    <col min="42" max="42" width="13.7109375" style="63" bestFit="1" customWidth="1"/>
    <col min="43" max="43" width="21.5703125" style="63" bestFit="1" customWidth="1"/>
    <col min="44" max="47" width="11.42578125" style="63"/>
    <col min="48" max="48" width="8.85546875" style="63" customWidth="1"/>
    <col min="49" max="49" width="11.42578125" style="63"/>
    <col min="50" max="50" width="9" style="63" bestFit="1" customWidth="1"/>
    <col min="51" max="51" width="10.5703125" style="63" bestFit="1" customWidth="1"/>
    <col min="52" max="52" width="21.5703125" style="63" bestFit="1" customWidth="1"/>
    <col min="53" max="53" width="11.42578125" style="63"/>
    <col min="54" max="54" width="9" style="63" bestFit="1" customWidth="1"/>
    <col min="55" max="55" width="10.5703125" style="63" bestFit="1" customWidth="1"/>
    <col min="56" max="56" width="15.28515625" style="63" customWidth="1"/>
    <col min="57" max="57" width="9" style="63" bestFit="1" customWidth="1"/>
    <col min="58" max="58" width="10.5703125" style="63" bestFit="1" customWidth="1"/>
    <col min="59" max="60" width="11.42578125" style="63"/>
    <col min="61" max="61" width="29.85546875" style="63" bestFit="1" customWidth="1"/>
    <col min="62" max="62" width="51.28515625" style="63" bestFit="1" customWidth="1"/>
    <col min="63" max="63" width="32.7109375" style="63" bestFit="1" customWidth="1"/>
    <col min="64" max="64" width="29.85546875" style="63" customWidth="1"/>
    <col min="65" max="65" width="51.85546875" style="63" bestFit="1" customWidth="1"/>
    <col min="66" max="66" width="30.28515625" style="63" customWidth="1"/>
    <col min="67" max="16384" width="11.42578125" style="63"/>
  </cols>
  <sheetData>
    <row r="1" spans="1:66" ht="105" x14ac:dyDescent="0.25">
      <c r="A1" s="86" t="s">
        <v>79</v>
      </c>
      <c r="C1" s="95" t="s">
        <v>196</v>
      </c>
      <c r="D1" s="96"/>
      <c r="E1" s="95" t="s">
        <v>178</v>
      </c>
      <c r="G1" s="86" t="s">
        <v>5</v>
      </c>
      <c r="H1" s="86" t="s">
        <v>114</v>
      </c>
      <c r="I1" s="86" t="s">
        <v>173</v>
      </c>
      <c r="J1" s="86" t="s">
        <v>115</v>
      </c>
      <c r="K1" s="86" t="s">
        <v>116</v>
      </c>
      <c r="L1" s="86" t="s">
        <v>174</v>
      </c>
      <c r="N1" s="86" t="s">
        <v>120</v>
      </c>
      <c r="P1" s="63" t="s">
        <v>25</v>
      </c>
      <c r="Q1" s="63" t="s">
        <v>171</v>
      </c>
      <c r="R1" s="63" t="s">
        <v>170</v>
      </c>
      <c r="T1" s="63" t="s">
        <v>178</v>
      </c>
      <c r="U1" s="63" t="s">
        <v>179</v>
      </c>
      <c r="W1" s="63" t="s">
        <v>183</v>
      </c>
      <c r="Y1" s="63" t="s">
        <v>198</v>
      </c>
      <c r="AA1" s="63" t="s">
        <v>199</v>
      </c>
      <c r="AC1" s="152" t="s">
        <v>114</v>
      </c>
      <c r="AD1" s="153" t="s">
        <v>173</v>
      </c>
      <c r="AE1" s="153" t="s">
        <v>174</v>
      </c>
      <c r="AF1" s="153" t="s">
        <v>115</v>
      </c>
      <c r="AG1" s="153" t="s">
        <v>116</v>
      </c>
      <c r="AH1" s="154" t="s">
        <v>177</v>
      </c>
      <c r="AL1" s="158" t="s">
        <v>252</v>
      </c>
      <c r="AM1" s="158" t="s">
        <v>250</v>
      </c>
      <c r="AN1" s="157" t="s">
        <v>115</v>
      </c>
      <c r="AO1" s="158" t="s">
        <v>251</v>
      </c>
      <c r="AP1" s="158" t="s">
        <v>254</v>
      </c>
      <c r="AQ1" s="157" t="s">
        <v>0</v>
      </c>
      <c r="AR1" s="157" t="s">
        <v>253</v>
      </c>
      <c r="AV1" s="205" t="s">
        <v>141</v>
      </c>
      <c r="AW1" s="275" t="s">
        <v>474</v>
      </c>
      <c r="AX1" s="275" t="s">
        <v>26</v>
      </c>
      <c r="AY1" s="275" t="s">
        <v>23</v>
      </c>
      <c r="AZ1" s="276" t="s">
        <v>318</v>
      </c>
      <c r="BA1" s="276" t="s">
        <v>319</v>
      </c>
      <c r="BB1" s="276" t="s">
        <v>26</v>
      </c>
      <c r="BC1" s="276" t="s">
        <v>23</v>
      </c>
      <c r="BD1" s="205" t="s">
        <v>115</v>
      </c>
      <c r="BE1" s="277" t="s">
        <v>26</v>
      </c>
      <c r="BF1" s="277" t="s">
        <v>23</v>
      </c>
      <c r="BI1" s="603" t="s">
        <v>198</v>
      </c>
      <c r="BJ1" s="603"/>
      <c r="BK1" s="603"/>
      <c r="BL1" s="603" t="s">
        <v>199</v>
      </c>
      <c r="BM1" s="603"/>
      <c r="BN1" s="603"/>
    </row>
    <row r="2" spans="1:66" x14ac:dyDescent="0.25">
      <c r="A2" s="63" t="s">
        <v>80</v>
      </c>
      <c r="C2" s="93" t="s">
        <v>194</v>
      </c>
      <c r="D2"/>
      <c r="E2" s="93" t="s">
        <v>143</v>
      </c>
      <c r="G2" s="63" t="s">
        <v>114</v>
      </c>
      <c r="H2" s="63" t="s">
        <v>396</v>
      </c>
      <c r="K2" s="63" t="s">
        <v>396</v>
      </c>
      <c r="N2" s="87">
        <v>0.02</v>
      </c>
      <c r="P2" s="63" t="s">
        <v>171</v>
      </c>
      <c r="Q2" s="63" t="s">
        <v>132</v>
      </c>
      <c r="R2" s="63" t="s">
        <v>132</v>
      </c>
      <c r="T2" s="63" t="s">
        <v>143</v>
      </c>
      <c r="U2" s="63" t="s">
        <v>180</v>
      </c>
      <c r="W2" s="63" t="s">
        <v>147</v>
      </c>
      <c r="Y2" s="98" t="s">
        <v>378</v>
      </c>
      <c r="AA2" s="98" t="s">
        <v>379</v>
      </c>
      <c r="AC2" s="155"/>
      <c r="AD2" s="155"/>
      <c r="AE2" s="155"/>
      <c r="AF2" s="155"/>
      <c r="AG2" s="155"/>
      <c r="AH2" s="155"/>
      <c r="AL2" s="76">
        <v>25</v>
      </c>
      <c r="AM2" s="76">
        <v>20</v>
      </c>
      <c r="AN2" s="76">
        <v>15</v>
      </c>
      <c r="AO2" s="76"/>
      <c r="AP2" s="76">
        <v>20</v>
      </c>
      <c r="AQ2" s="76">
        <f>IF(OR(Caratula!$F$20="Exclusiva",Caratula!$F$21="Apoyo Infonavit",Caratula!$F$21="Cofinavit"),AL2,IF(OR(Caratula!$F$20="Pago_Hipoteca+Liquidez",Caratula!$F$20="Pago_de_Hipoteca"),AM2,IF(Caratula!$F$20="Liquidez",AN2,IF(AND(Caratula!$F$18="Wealth &amp; Premier Executive",Caratula!$F$20="Adquisicion",Caratula!$F$21="Tradicional"),AL2,AP2))))</f>
        <v>20</v>
      </c>
      <c r="AR2" s="76">
        <f>IF(AQ2=0,"",AQ2)</f>
        <v>20</v>
      </c>
      <c r="AV2" s="203" t="s">
        <v>385</v>
      </c>
      <c r="AW2" s="204">
        <v>9.4500000000000001E-2</v>
      </c>
      <c r="AX2" s="204">
        <v>0.09</v>
      </c>
      <c r="AY2" s="204">
        <v>0.10050000000000001</v>
      </c>
      <c r="AZ2" s="204">
        <v>9.6500000000000002E-2</v>
      </c>
      <c r="BA2" s="204">
        <v>9.6500000000000002E-2</v>
      </c>
      <c r="BB2" s="204">
        <v>9.1999999999999998E-2</v>
      </c>
      <c r="BC2" s="204">
        <v>0.10249999999999999</v>
      </c>
      <c r="BD2" s="204">
        <v>0.12</v>
      </c>
      <c r="BE2" s="204">
        <v>0.11700000000000001</v>
      </c>
      <c r="BF2" s="204">
        <v>0.129</v>
      </c>
      <c r="BI2" s="498" t="s">
        <v>378</v>
      </c>
      <c r="BJ2" s="499" t="s">
        <v>384</v>
      </c>
      <c r="BK2" s="499" t="s">
        <v>381</v>
      </c>
      <c r="BL2" s="498" t="s">
        <v>379</v>
      </c>
      <c r="BM2" s="499" t="s">
        <v>382</v>
      </c>
      <c r="BN2" s="499" t="s">
        <v>380</v>
      </c>
    </row>
    <row r="3" spans="1:66" x14ac:dyDescent="0.25">
      <c r="A3" s="63" t="s">
        <v>81</v>
      </c>
      <c r="C3" s="94" t="s">
        <v>261</v>
      </c>
      <c r="D3"/>
      <c r="E3" s="94" t="s">
        <v>179</v>
      </c>
      <c r="G3" s="63" t="s">
        <v>173</v>
      </c>
      <c r="H3" s="63" t="s">
        <v>112</v>
      </c>
      <c r="K3" s="63" t="s">
        <v>112</v>
      </c>
      <c r="N3" s="87">
        <v>0.03</v>
      </c>
      <c r="P3" s="63" t="s">
        <v>170</v>
      </c>
      <c r="Q3" s="63" t="s">
        <v>168</v>
      </c>
      <c r="T3" s="63" t="s">
        <v>175</v>
      </c>
      <c r="U3" s="63" t="s">
        <v>176</v>
      </c>
      <c r="W3" s="63" t="s">
        <v>148</v>
      </c>
      <c r="Y3" t="s">
        <v>114</v>
      </c>
      <c r="AA3" s="497" t="s">
        <v>114</v>
      </c>
      <c r="AC3" s="156" t="s">
        <v>172</v>
      </c>
      <c r="AD3" s="156" t="s">
        <v>172</v>
      </c>
      <c r="AE3" s="156" t="s">
        <v>186</v>
      </c>
      <c r="AF3" s="156" t="s">
        <v>180</v>
      </c>
      <c r="AG3" s="156" t="s">
        <v>181</v>
      </c>
      <c r="AH3" s="156" t="b">
        <f>IF(AND(Caratula!F16="Pago_Bajo_Puntual",Caratula!F17="PF",Caratula!F18="No_Premier",Caratula!F20="Pago_de_Hipoteca"),"",
IF(AND(OR(Caratula!F17="PFAE",Caratula!F17="PROF"),Caratula!F18="No_Premier",Caratula!F20="Exclusiva",Caratula!F21="Tradicional"),"",
IF(AND(OR(Caratula!F17="PFAE",Caratula!F17="PROF"),Caratula!F18="No_Premier",Caratula!F20="Adquisicion",Caratula!F21="Tradicional"),"",
IF(AND(OR(Caratula!F16="Pago_Fijo_Puntual",Caratula!F16="Pago_Bajo_Puntual"),OR(Caratula!F21="Apoyo Infonavit",Caratula!F21="Cofinavit"),Caratula!$F$20="Adquisicion",Caratula!F22="Poder Judicial"),"",
IF(AND(Caratula!F16="Pago_Fijo_Puntual",Caratula!$F$20="Adquisicion"),"GSC",
IF(AND(Caratula!F16="Pago_Bajo_Puntual",Caratula!$F$20="Adquisicion"),"",
IF(Caratula!$F$20="Pago_de_Hipoteca","GSC",
IF(Caratula!$F$20="Pago_Hipoteca+Liquidez","PagHip Mas Liquidez",
IF(Caratula!$F$20="Liquidez","Normal",IF(Caratula!$F$20="Exclusiva","Nómina"))))))))))</f>
        <v>0</v>
      </c>
      <c r="AL3" s="76">
        <v>20</v>
      </c>
      <c r="AM3" s="76">
        <v>19</v>
      </c>
      <c r="AN3" s="76">
        <v>10</v>
      </c>
      <c r="AO3" s="76"/>
      <c r="AP3" s="76">
        <v>15</v>
      </c>
      <c r="AQ3" s="76">
        <f>IF(OR(Caratula!$F$20="Exclusiva",Caratula!$F$21="Apoyo Infonavit",Caratula!$F$21="Cofinavit"),AL3,IF(OR(Caratula!$F$20="Pago_Hipoteca+Liquidez",Caratula!$F$20="Pago_de_Hipoteca"),AM3,IF(Caratula!$F$20="Liquidez",AN3,IF(AND(Caratula!$F$18="Wealth &amp; Premier Executive",Caratula!$F$20="Adquisicion",Caratula!$F$21="Tradicional"),AL3,AP3))))</f>
        <v>15</v>
      </c>
      <c r="AR3" s="76">
        <f t="shared" ref="AR3:AR17" si="0">IF(AQ3=0,"",AQ3)</f>
        <v>15</v>
      </c>
      <c r="AV3" s="203" t="s">
        <v>386</v>
      </c>
      <c r="AW3" s="204">
        <v>0.10100000000000001</v>
      </c>
      <c r="AX3" s="204">
        <v>9.8000000000000004E-2</v>
      </c>
      <c r="AY3" s="204">
        <v>0.11</v>
      </c>
      <c r="AZ3" s="204">
        <v>0.10299999999999999</v>
      </c>
      <c r="BA3" s="204">
        <v>0.10299999999999999</v>
      </c>
      <c r="BB3" s="204">
        <v>0.1</v>
      </c>
      <c r="BC3" s="204">
        <v>0.112</v>
      </c>
      <c r="BD3" s="204">
        <v>0.12</v>
      </c>
      <c r="BE3" s="204">
        <v>0.11700000000000001</v>
      </c>
      <c r="BF3" s="204">
        <v>0.129</v>
      </c>
      <c r="BI3" t="s">
        <v>114</v>
      </c>
      <c r="BJ3" t="s">
        <v>114</v>
      </c>
      <c r="BK3" t="s">
        <v>114</v>
      </c>
      <c r="BL3" t="s">
        <v>114</v>
      </c>
      <c r="BM3" t="s">
        <v>114</v>
      </c>
      <c r="BN3" t="s">
        <v>114</v>
      </c>
    </row>
    <row r="4" spans="1:66" x14ac:dyDescent="0.25">
      <c r="A4" s="63" t="s">
        <v>82</v>
      </c>
      <c r="C4" s="93" t="s">
        <v>262</v>
      </c>
      <c r="D4"/>
      <c r="E4" s="93" t="s">
        <v>175</v>
      </c>
      <c r="G4" s="63" t="s">
        <v>174</v>
      </c>
      <c r="H4" s="63" t="s">
        <v>113</v>
      </c>
      <c r="K4" s="63" t="s">
        <v>113</v>
      </c>
      <c r="N4" s="87">
        <v>0.04</v>
      </c>
      <c r="Q4" s="63" t="s">
        <v>169</v>
      </c>
      <c r="T4" s="63" t="s">
        <v>179</v>
      </c>
      <c r="U4" s="63" t="s">
        <v>172</v>
      </c>
      <c r="Y4" t="s">
        <v>173</v>
      </c>
      <c r="AA4" s="497" t="s">
        <v>116</v>
      </c>
      <c r="AC4" s="155" t="s">
        <v>181</v>
      </c>
      <c r="AD4" s="155" t="s">
        <v>181</v>
      </c>
      <c r="AE4" s="155" t="s">
        <v>187</v>
      </c>
      <c r="AF4" s="155" t="s">
        <v>176</v>
      </c>
      <c r="AG4" s="155" t="s">
        <v>180</v>
      </c>
      <c r="AH4" s="509">
        <f>IF(AND(OR(Caratula!F17="PFAE",Caratula!F17="PROF"),Caratula!F18="No_Premier",Caratula!F20="Adquisicion",Caratula!F21="Tradicional"),"Normal",
IF(Caratula!$F$20="Adquisicion","Nómina",
IF(Caratula!$F$20="Pago_de_Hipoteca","Nómina",
IF(Caratula!$F$20="Pago_Hipoteca+Liquidez","",
IF(AND(Caratula!F16="Pago_Fijo_Puntual",Caratula!F17="PF",Caratula!F18="No_Premier",Caratula!F20="Liquidez"),"Poder Judicial",
IF(Caratula!$F$20="Liquidez"," ",
IF(Caratula!$F$20="Exclusiva","Normal",
)))))))</f>
        <v>0</v>
      </c>
      <c r="AI4" s="510"/>
      <c r="AL4" s="76">
        <v>15</v>
      </c>
      <c r="AM4" s="76">
        <v>18</v>
      </c>
      <c r="AN4" s="76">
        <v>5</v>
      </c>
      <c r="AO4" s="76"/>
      <c r="AP4" s="76">
        <v>10</v>
      </c>
      <c r="AQ4" s="76">
        <f>IF(OR(Caratula!$F$20="Exclusiva",Caratula!$F$21="Apoyo Infonavit",Caratula!$F$21="Cofinavit"),AL4,IF(OR(Caratula!$F$20="Pago_Hipoteca+Liquidez",Caratula!$F$20="Pago_de_Hipoteca"),AM4,IF(Caratula!$F$20="Liquidez",AN4,IF(AND(Caratula!$F$18="Wealth &amp; Premier Executive",Caratula!$F$20="Adquisicion",Caratula!$F$21="Tradicional"),AL4,AP4))))</f>
        <v>10</v>
      </c>
      <c r="AR4" s="76">
        <f t="shared" si="0"/>
        <v>10</v>
      </c>
      <c r="AV4" s="203" t="s">
        <v>387</v>
      </c>
      <c r="AW4" s="204">
        <v>0.10100000000000001</v>
      </c>
      <c r="AX4" s="204">
        <v>9.8000000000000004E-2</v>
      </c>
      <c r="AY4" s="204">
        <v>0.11</v>
      </c>
      <c r="AZ4" s="204">
        <v>0.10299999999999999</v>
      </c>
      <c r="BA4" s="204">
        <v>0.10299999999999999</v>
      </c>
      <c r="BB4" s="204">
        <v>0.1</v>
      </c>
      <c r="BC4" s="204">
        <v>0.112</v>
      </c>
      <c r="BD4" s="204">
        <v>0.12</v>
      </c>
      <c r="BE4" s="204">
        <v>0.11700000000000001</v>
      </c>
      <c r="BF4" s="204">
        <v>0.129</v>
      </c>
      <c r="BI4" t="s">
        <v>173</v>
      </c>
      <c r="BJ4" t="s">
        <v>115</v>
      </c>
      <c r="BK4" t="s">
        <v>173</v>
      </c>
      <c r="BL4" t="s">
        <v>173</v>
      </c>
      <c r="BM4" t="s">
        <v>173</v>
      </c>
      <c r="BN4" t="s">
        <v>173</v>
      </c>
    </row>
    <row r="5" spans="1:66" x14ac:dyDescent="0.25">
      <c r="A5" s="63" t="s">
        <v>83</v>
      </c>
      <c r="C5" s="94" t="s">
        <v>195</v>
      </c>
      <c r="D5"/>
      <c r="G5" s="63" t="s">
        <v>115</v>
      </c>
      <c r="N5" s="87">
        <v>4.4999999999999998E-2</v>
      </c>
      <c r="U5" s="63" t="s">
        <v>181</v>
      </c>
      <c r="Y5" t="s">
        <v>174</v>
      </c>
      <c r="AA5" s="497" t="s">
        <v>173</v>
      </c>
      <c r="AC5" s="156" t="s">
        <v>182</v>
      </c>
      <c r="AD5" s="156" t="s">
        <v>180</v>
      </c>
      <c r="AE5" s="156"/>
      <c r="AF5" s="156"/>
      <c r="AG5" s="156" t="s">
        <v>176</v>
      </c>
      <c r="AH5" s="156" t="b">
        <f>IF(AND(Caratula!F17="PF",Caratula!F18="No_Premier",Caratula!F20="Exclusiva",Caratula!F21="Tradicional"),"Poder Judicial",
IF(AND(OR(Caratula!F17="PFAE",Caratula!F17="PROF"),Caratula!F18="No_Premier",Caratula!F20="Adquisicion",Caratula!F21="Tradicional"),"",
IF(Caratula!$F$20="Adquisicion","Nómina Especial",
IF(Caratula!$F$20="Pago_de_Hipoteca","Normal",
IF(Caratula!$F$20="Pago_Hipoteca+Liquidez"," ",
IF(Caratula!$F$20="Liquidez"," ",
IF(Caratula!$F$20="Exclusiva"," ")))))))</f>
        <v>0</v>
      </c>
      <c r="AI5" s="508"/>
      <c r="AL5" s="76">
        <v>10</v>
      </c>
      <c r="AM5" s="76">
        <v>17</v>
      </c>
      <c r="AN5" s="76"/>
      <c r="AO5" s="76"/>
      <c r="AP5" s="76">
        <v>5</v>
      </c>
      <c r="AQ5" s="76">
        <f>IF(OR(Caratula!$F$20="Exclusiva",Caratula!$F$21="Apoyo Infonavit",Caratula!$F$21="Cofinavit"),AL5,IF(OR(Caratula!$F$20="Pago_Hipoteca+Liquidez",Caratula!$F$20="Pago_de_Hipoteca"),AM5,IF(Caratula!$F$20="Liquidez",AN5,IF(AND(Caratula!$F$18="Wealth &amp; Premier Executive",Caratula!$F$20="Adquisicion",Caratula!$F$21="Tradicional"),AL5,AP5))))</f>
        <v>5</v>
      </c>
      <c r="AR5" s="76">
        <f t="shared" si="0"/>
        <v>5</v>
      </c>
      <c r="AV5" s="203">
        <v>3</v>
      </c>
      <c r="AW5" s="204">
        <v>0.104</v>
      </c>
      <c r="AX5" s="204">
        <v>0.10100000000000001</v>
      </c>
      <c r="AY5" s="204">
        <v>0.11600000000000001</v>
      </c>
      <c r="AZ5" s="204">
        <v>0.106</v>
      </c>
      <c r="BA5" s="204">
        <v>0.106</v>
      </c>
      <c r="BB5" s="204">
        <v>0.10299999999999999</v>
      </c>
      <c r="BC5" s="204">
        <v>0.11799999999999999</v>
      </c>
      <c r="BD5" s="204">
        <v>0.12</v>
      </c>
      <c r="BE5" s="204">
        <v>0.11700000000000001</v>
      </c>
      <c r="BF5" s="204">
        <v>0.129</v>
      </c>
      <c r="BI5" t="s">
        <v>174</v>
      </c>
      <c r="BJ5" t="s">
        <v>173</v>
      </c>
      <c r="BK5" t="s">
        <v>174</v>
      </c>
      <c r="BL5" t="s">
        <v>116</v>
      </c>
      <c r="BN5" t="s">
        <v>116</v>
      </c>
    </row>
    <row r="6" spans="1:66" x14ac:dyDescent="0.25">
      <c r="A6" s="63" t="s">
        <v>84</v>
      </c>
      <c r="G6" s="63" t="s">
        <v>116</v>
      </c>
      <c r="N6" s="87">
        <v>0.05</v>
      </c>
      <c r="U6" s="63" t="s">
        <v>185</v>
      </c>
      <c r="Y6" t="s">
        <v>115</v>
      </c>
      <c r="AA6"/>
      <c r="AC6" s="155" t="s">
        <v>180</v>
      </c>
      <c r="AD6" s="155" t="s">
        <v>176</v>
      </c>
      <c r="AE6" s="155"/>
      <c r="AF6" s="155"/>
      <c r="AG6" s="155"/>
      <c r="AH6" s="156" t="b">
        <f>IF(AND(OR(Caratula!F17="PFAE",Caratula!F17="PROF"),Caratula!F18="No_Premier",Caratula!F20="Adquisicion",Caratula!F21="Tradicional"),"",
IF(Caratula!$F$20="Adquisicion","Normal",
IF(Caratula!$F$20="Pago_de_Hipoteca","Poder Judicial",
IF(Caratula!$F$20="Pago_Hipoteca+Liquidez"," ",
IF(Caratula!$F$20="Liquidez"," ",
IF(Caratula!$F$20="Exclusiva"," "))))))</f>
        <v>0</v>
      </c>
      <c r="AI6" s="508"/>
      <c r="AL6" s="76">
        <v>5</v>
      </c>
      <c r="AM6" s="76">
        <v>16</v>
      </c>
      <c r="AN6" s="76"/>
      <c r="AO6" s="76"/>
      <c r="AP6" s="76"/>
      <c r="AQ6" s="76">
        <f>IF(OR(Caratula!$F$20="Exclusiva",Caratula!$F$21="Apoyo Infonavit",Caratula!$F$21="Cofinavit"),AL6,IF(OR(Caratula!$F$20="Pago_Hipoteca+Liquidez",Caratula!$F$20="Pago_de_Hipoteca"),AM6,IF(Caratula!$F$20="Liquidez",AN6,IF(AND(Caratula!$F$18="Wealth &amp; Premier Executive",Caratula!$F$20="Adquisicion",Caratula!$F$21="Tradicional"),AL6,AP6))))</f>
        <v>0</v>
      </c>
      <c r="AR6" s="76" t="str">
        <f t="shared" si="0"/>
        <v/>
      </c>
      <c r="AV6" s="203"/>
      <c r="AW6" s="204"/>
      <c r="AX6" s="204"/>
      <c r="AY6" s="204"/>
      <c r="AZ6" s="204"/>
      <c r="BA6" s="204"/>
      <c r="BB6" s="204"/>
      <c r="BC6" s="204"/>
      <c r="BD6" s="204"/>
      <c r="BE6" s="204"/>
      <c r="BF6" s="204"/>
      <c r="BI6" t="s">
        <v>115</v>
      </c>
      <c r="BJ6" t="s">
        <v>174</v>
      </c>
      <c r="BK6" t="s">
        <v>115</v>
      </c>
    </row>
    <row r="7" spans="1:66" x14ac:dyDescent="0.25">
      <c r="A7" s="63" t="s">
        <v>85</v>
      </c>
      <c r="N7" s="87">
        <v>0.06</v>
      </c>
      <c r="U7" s="63" t="s">
        <v>184</v>
      </c>
      <c r="Y7" t="s">
        <v>116</v>
      </c>
      <c r="AA7"/>
      <c r="AC7" s="156" t="s">
        <v>176</v>
      </c>
      <c r="AD7" s="156"/>
      <c r="AE7" s="156"/>
      <c r="AF7" s="156"/>
      <c r="AG7" s="156"/>
      <c r="AH7" s="156" t="b">
        <f>IF(AND(OR(Caratula!F17="PFAE",Caratula!F17="PROF"),Caratula!F18="No_Premier",Caratula!F20="Adquisicion",Caratula!F21="Tradicional"),"",
IF(AND(OR(Caratula!F16="Pago_Fijo_Puntual",Caratula!F16="Pago_Bajo_Puntual"),Caratula!F20="Adquisicion",OR(Caratula!F21="Cofinavit",Caratula!F21="Apoyo Infonavit")),"",
IF(Caratula!$F$20="Adquisicion","Poder Judicial",
IF(AND(OR(Caratula!F16="Pago_Fijo_Puntual",Caratula!F16="Pago_Bajo_Puntual"),Caratula!F18="No_Premier",Caratula!F20="Pago_de_Hipoteca"),"",
IF(Caratula!$F$20="Pago_Hipoteca+Liquidez"," ",
IF(Caratula!$F$20="Liquidez"," ",
IF(Caratula!$F$20="Exclusiva","")))))))</f>
        <v>0</v>
      </c>
      <c r="AI7" s="508"/>
      <c r="AL7" s="76"/>
      <c r="AM7" s="76">
        <v>15</v>
      </c>
      <c r="AN7" s="76"/>
      <c r="AO7" s="76"/>
      <c r="AP7" s="76"/>
      <c r="AQ7" s="76">
        <f>IF(OR(Caratula!$F$20="Exclusiva",Caratula!$F$21="Apoyo Infonavit",Caratula!$F$21="Cofinavit"),AL7,IF(OR(Caratula!$F$20="Pago_Hipoteca+Liquidez",Caratula!$F$20="Pago_de_Hipoteca"),AM7,IF(Caratula!$F$20="Liquidez",AN7,IF(AND(Caratula!$F$18="Wealth &amp; Premier Executive",Caratula!$F$20="Adquisicion",Caratula!$F$21="Tradicional"),AL7,AP7))))</f>
        <v>0</v>
      </c>
      <c r="AR7" s="76" t="str">
        <f t="shared" si="0"/>
        <v/>
      </c>
      <c r="AV7" s="164"/>
      <c r="AW7" s="206"/>
      <c r="AX7" s="206"/>
      <c r="AY7" s="206"/>
      <c r="AZ7" s="206"/>
      <c r="BI7" t="s">
        <v>116</v>
      </c>
      <c r="BK7" t="s">
        <v>116</v>
      </c>
    </row>
    <row r="8" spans="1:66" x14ac:dyDescent="0.25">
      <c r="A8" s="63" t="s">
        <v>86</v>
      </c>
      <c r="N8" s="87">
        <v>7.0000000000000007E-2</v>
      </c>
      <c r="U8" s="63" t="s">
        <v>182</v>
      </c>
      <c r="AC8" s="155"/>
      <c r="AD8" s="155"/>
      <c r="AE8" s="155"/>
      <c r="AF8" s="155"/>
      <c r="AG8" s="155"/>
      <c r="AH8" s="156"/>
      <c r="AL8" s="76"/>
      <c r="AM8" s="76">
        <v>14</v>
      </c>
      <c r="AN8" s="76"/>
      <c r="AO8" s="76"/>
      <c r="AP8" s="76"/>
      <c r="AQ8" s="76">
        <f>IF(OR(Caratula!$F$20="Exclusiva",Caratula!$F$21="Apoyo Infonavit",Caratula!$F$21="Cofinavit"),AL8,IF(OR(Caratula!$F$20="Pago_Hipoteca+Liquidez",Caratula!$F$20="Pago_de_Hipoteca"),AM8,IF(Caratula!$F$20="Liquidez",AN8,IF(AND(Caratula!$F$18="Wealth &amp; Premier Executive",Caratula!$F$20="Adquisicion",Caratula!$F$21="Tradicional"),AL8,AP8))))</f>
        <v>0</v>
      </c>
      <c r="AR8" s="76" t="str">
        <f t="shared" si="0"/>
        <v/>
      </c>
      <c r="AV8" s="164"/>
      <c r="AW8" s="206"/>
      <c r="AX8" s="206"/>
      <c r="AY8" s="206"/>
      <c r="AZ8" s="206"/>
    </row>
    <row r="9" spans="1:66" x14ac:dyDescent="0.25">
      <c r="A9" s="63" t="s">
        <v>87</v>
      </c>
      <c r="N9" s="87">
        <v>0.08</v>
      </c>
      <c r="U9" s="63" t="s">
        <v>186</v>
      </c>
      <c r="Y9" s="97" t="s">
        <v>197</v>
      </c>
      <c r="AA9" s="97" t="s">
        <v>376</v>
      </c>
      <c r="AC9" s="156"/>
      <c r="AD9" s="156"/>
      <c r="AE9" s="156"/>
      <c r="AF9" s="156"/>
      <c r="AG9" s="156"/>
      <c r="AH9" s="156"/>
      <c r="AL9" s="76"/>
      <c r="AM9" s="76">
        <v>13</v>
      </c>
      <c r="AN9" s="76"/>
      <c r="AO9" s="76"/>
      <c r="AP9" s="76"/>
      <c r="AQ9" s="76">
        <f>IF(OR(Caratula!$F$20="Exclusiva",Caratula!$F$21="Apoyo Infonavit",Caratula!$F$21="Cofinavit"),AL9,IF(OR(Caratula!$F$20="Pago_Hipoteca+Liquidez",Caratula!$F$20="Pago_de_Hipoteca"),AM9,IF(Caratula!$F$20="Liquidez",AN9,IF(AND(Caratula!$F$18="Wealth &amp; Premier Executive",Caratula!$F$20="Adquisicion",Caratula!$F$21="Tradicional"),AL9,AP9))))</f>
        <v>0</v>
      </c>
      <c r="AR9" s="76" t="str">
        <f t="shared" si="0"/>
        <v/>
      </c>
      <c r="AV9" s="186"/>
      <c r="AY9" s="206"/>
      <c r="AZ9" s="206"/>
    </row>
    <row r="10" spans="1:66" x14ac:dyDescent="0.25">
      <c r="A10" s="63" t="s">
        <v>88</v>
      </c>
      <c r="N10" s="87">
        <v>0.09</v>
      </c>
      <c r="U10" s="63" t="s">
        <v>187</v>
      </c>
      <c r="Y10" t="s">
        <v>114</v>
      </c>
      <c r="AA10" t="s">
        <v>114</v>
      </c>
      <c r="AL10" s="76"/>
      <c r="AM10" s="76">
        <v>12</v>
      </c>
      <c r="AN10" s="76"/>
      <c r="AO10" s="76"/>
      <c r="AP10" s="76"/>
      <c r="AQ10" s="76">
        <f>IF(OR(Caratula!$F$20="Exclusiva",Caratula!$F$21="Apoyo Infonavit",Caratula!$F$21="Cofinavit"),AL10,IF(OR(Caratula!$F$20="Pago_Hipoteca+Liquidez",Caratula!$F$20="Pago_de_Hipoteca"),AM10,IF(Caratula!$F$20="Liquidez",AN10,IF(AND(Caratula!$F$18="Wealth &amp; Premier Executive",Caratula!$F$20="Adquisicion",Caratula!$F$21="Tradicional"),AL10,AP10))))</f>
        <v>0</v>
      </c>
      <c r="AR10" s="76" t="str">
        <f t="shared" si="0"/>
        <v/>
      </c>
      <c r="AV10"/>
    </row>
    <row r="11" spans="1:66" x14ac:dyDescent="0.25">
      <c r="A11" s="63" t="s">
        <v>89</v>
      </c>
      <c r="N11" s="87">
        <v>0.1</v>
      </c>
      <c r="Y11" t="s">
        <v>115</v>
      </c>
      <c r="AA11" t="s">
        <v>173</v>
      </c>
      <c r="AL11" s="76"/>
      <c r="AM11" s="76">
        <v>11</v>
      </c>
      <c r="AN11" s="76"/>
      <c r="AO11" s="76"/>
      <c r="AP11" s="76"/>
      <c r="AQ11" s="76">
        <f>IF(OR(Caratula!$F$20="Exclusiva",Caratula!$F$21="Apoyo Infonavit",Caratula!$F$21="Cofinavit"),AL11,IF(OR(Caratula!$F$20="Pago_Hipoteca+Liquidez",Caratula!$F$20="Pago_de_Hipoteca"),AM11,IF(Caratula!$F$20="Liquidez",AN11,IF(AND(Caratula!$F$18="Wealth &amp; Premier Executive",Caratula!$F$20="Adquisicion",Caratula!$F$21="Tradicional"),AL11,AP11))))</f>
        <v>0</v>
      </c>
      <c r="AR11" s="76" t="str">
        <f t="shared" si="0"/>
        <v/>
      </c>
      <c r="AV11"/>
    </row>
    <row r="12" spans="1:66" x14ac:dyDescent="0.25">
      <c r="A12" s="63" t="s">
        <v>90</v>
      </c>
      <c r="N12" s="87">
        <v>0.11</v>
      </c>
      <c r="Y12" t="s">
        <v>173</v>
      </c>
      <c r="AA12"/>
      <c r="AL12" s="76"/>
      <c r="AM12" s="76">
        <v>10</v>
      </c>
      <c r="AN12" s="76"/>
      <c r="AO12" s="76"/>
      <c r="AP12" s="76"/>
      <c r="AQ12" s="76">
        <f>IF(OR(Caratula!$F$20="Exclusiva",Caratula!$F$21="Apoyo Infonavit",Caratula!$F$21="Cofinavit"),AL12,IF(OR(Caratula!$F$20="Pago_Hipoteca+Liquidez",Caratula!$F$20="Pago_de_Hipoteca"),AM12,IF(Caratula!$F$20="Liquidez",AN12,IF(AND(Caratula!$F$18="Wealth &amp; Premier Executive",Caratula!$F$20="Adquisicion",Caratula!$F$21="Tradicional"),AL12,AP12))))</f>
        <v>0</v>
      </c>
      <c r="AR12" s="76" t="str">
        <f t="shared" si="0"/>
        <v/>
      </c>
      <c r="AV12"/>
    </row>
    <row r="13" spans="1:66" x14ac:dyDescent="0.25">
      <c r="A13" s="63" t="s">
        <v>91</v>
      </c>
      <c r="N13" s="87">
        <v>0.12</v>
      </c>
      <c r="Y13" t="s">
        <v>174</v>
      </c>
      <c r="AA13"/>
      <c r="AL13" s="76"/>
      <c r="AM13" s="76">
        <v>9</v>
      </c>
      <c r="AN13" s="76"/>
      <c r="AO13" s="76"/>
      <c r="AP13" s="76"/>
      <c r="AQ13" s="76">
        <f>IF(OR(Caratula!$F$20="Exclusiva",Caratula!$F$21="Apoyo Infonavit",Caratula!$F$21="Cofinavit"),AL13,IF(OR(Caratula!$F$20="Pago_Hipoteca+Liquidez",Caratula!$F$20="Pago_de_Hipoteca"),AM13,IF(Caratula!$F$20="Liquidez",AN13,IF(AND(Caratula!$F$18="Wealth &amp; Premier Executive",Caratula!$F$20="Adquisicion",Caratula!$F$21="Tradicional"),AL13,AP13))))</f>
        <v>0</v>
      </c>
      <c r="AR13" s="76" t="str">
        <f t="shared" si="0"/>
        <v/>
      </c>
      <c r="AV13"/>
    </row>
    <row r="14" spans="1:66" x14ac:dyDescent="0.25">
      <c r="A14" s="63" t="s">
        <v>92</v>
      </c>
      <c r="AL14" s="76"/>
      <c r="AM14" s="76">
        <v>8</v>
      </c>
      <c r="AN14" s="76"/>
      <c r="AO14" s="76"/>
      <c r="AP14" s="76"/>
      <c r="AQ14" s="76">
        <f>IF(OR(Caratula!$F$20="Exclusiva",Caratula!$F$21="Apoyo Infonavit",Caratula!$F$21="Cofinavit"),AL14,IF(OR(Caratula!$F$20="Pago_Hipoteca+Liquidez",Caratula!$F$20="Pago_de_Hipoteca"),AM14,IF(Caratula!$F$20="Liquidez",AN14,IF(AND(Caratula!$F$18="Wealth &amp; Premier Executive",Caratula!$F$20="Adquisicion",Caratula!$F$21="Tradicional"),AL14,AP14))))</f>
        <v>0</v>
      </c>
      <c r="AR14" s="76" t="str">
        <f t="shared" si="0"/>
        <v/>
      </c>
      <c r="AV14"/>
    </row>
    <row r="15" spans="1:66" x14ac:dyDescent="0.25">
      <c r="A15" s="63" t="s">
        <v>93</v>
      </c>
      <c r="Y15" s="97" t="s">
        <v>381</v>
      </c>
      <c r="AA15" s="97" t="s">
        <v>380</v>
      </c>
      <c r="AL15" s="76"/>
      <c r="AM15" s="76">
        <v>7</v>
      </c>
      <c r="AN15" s="76"/>
      <c r="AO15" s="76"/>
      <c r="AP15" s="76"/>
      <c r="AQ15" s="76">
        <f>IF(OR(Caratula!$F$20="Exclusiva",Caratula!$F$21="Apoyo Infonavit",Caratula!$F$21="Cofinavit"),AL15,IF(OR(Caratula!$F$20="Pago_Hipoteca+Liquidez",Caratula!$F$20="Pago_de_Hipoteca"),AM15,IF(Caratula!$F$20="Liquidez",AN15,IF(AND(Caratula!$F$18="Wealth &amp; Premier Executive",Caratula!$F$20="Adquisicion",Caratula!$F$21="Tradicional"),AL15,AP15))))</f>
        <v>0</v>
      </c>
      <c r="AR15" s="76" t="str">
        <f t="shared" si="0"/>
        <v/>
      </c>
    </row>
    <row r="16" spans="1:66" x14ac:dyDescent="0.25">
      <c r="A16" s="63" t="s">
        <v>94</v>
      </c>
      <c r="Y16" t="s">
        <v>114</v>
      </c>
      <c r="AA16" s="497" t="s">
        <v>114</v>
      </c>
      <c r="AL16" s="76"/>
      <c r="AM16" s="76">
        <v>6</v>
      </c>
      <c r="AN16" s="76"/>
      <c r="AO16" s="76"/>
      <c r="AP16" s="76"/>
      <c r="AQ16" s="76">
        <f>IF(OR(Caratula!$F$20="Exclusiva",Caratula!$F$21="Apoyo Infonavit",Caratula!$F$21="Cofinavit"),AL16,IF(OR(Caratula!$F$20="Pago_Hipoteca+Liquidez",Caratula!$F$20="Pago_de_Hipoteca"),AM16,IF(Caratula!$F$20="Liquidez",AN16,IF(AND(Caratula!$F$18="Wealth &amp; Premier Executive",Caratula!$F$20="Adquisicion",Caratula!$F$21="Tradicional"),AL16,AP16))))</f>
        <v>0</v>
      </c>
      <c r="AR16" s="76" t="str">
        <f t="shared" si="0"/>
        <v/>
      </c>
    </row>
    <row r="17" spans="1:44" x14ac:dyDescent="0.25">
      <c r="A17" s="63" t="s">
        <v>95</v>
      </c>
      <c r="Y17" t="s">
        <v>115</v>
      </c>
      <c r="AA17" s="497" t="s">
        <v>116</v>
      </c>
      <c r="AL17" s="76"/>
      <c r="AM17" s="76">
        <v>5</v>
      </c>
      <c r="AN17" s="76"/>
      <c r="AO17" s="76"/>
      <c r="AP17" s="76"/>
      <c r="AQ17" s="76">
        <f>IF(OR(Caratula!$F$20="Exclusiva",Caratula!$F$21="Apoyo Infonavit",Caratula!$F$21="Cofinavit"),AL17,IF(OR(Caratula!$F$20="Pago_Hipoteca+Liquidez",Caratula!$F$20="Pago_de_Hipoteca"),AM17,IF(Caratula!$F$20="Liquidez",AN17,IF(AND(Caratula!$F$18="Wealth &amp; Premier Executive",Caratula!$F$20="Adquisicion",Caratula!$F$21="Tradicional"),AL17,AP17))))</f>
        <v>0</v>
      </c>
      <c r="AR17" s="76" t="str">
        <f t="shared" si="0"/>
        <v/>
      </c>
    </row>
    <row r="18" spans="1:44" x14ac:dyDescent="0.25">
      <c r="A18" s="63" t="s">
        <v>96</v>
      </c>
      <c r="Y18" t="s">
        <v>173</v>
      </c>
      <c r="AA18" s="497" t="s">
        <v>173</v>
      </c>
    </row>
    <row r="19" spans="1:44" x14ac:dyDescent="0.25">
      <c r="A19" s="63" t="s">
        <v>97</v>
      </c>
      <c r="Y19" t="s">
        <v>174</v>
      </c>
      <c r="AA19"/>
    </row>
    <row r="20" spans="1:44" x14ac:dyDescent="0.25">
      <c r="A20" s="63" t="s">
        <v>98</v>
      </c>
      <c r="Y20" t="s">
        <v>116</v>
      </c>
    </row>
    <row r="21" spans="1:44" x14ac:dyDescent="0.25">
      <c r="A21" s="63" t="s">
        <v>99</v>
      </c>
    </row>
    <row r="22" spans="1:44" x14ac:dyDescent="0.25">
      <c r="A22" s="63" t="s">
        <v>100</v>
      </c>
    </row>
    <row r="23" spans="1:44" x14ac:dyDescent="0.25">
      <c r="A23" s="63" t="s">
        <v>101</v>
      </c>
    </row>
    <row r="24" spans="1:44" x14ac:dyDescent="0.25">
      <c r="A24" s="63" t="s">
        <v>102</v>
      </c>
    </row>
    <row r="25" spans="1:44" x14ac:dyDescent="0.25">
      <c r="A25" s="63" t="s">
        <v>103</v>
      </c>
      <c r="AL25"/>
      <c r="AM25"/>
      <c r="AN25"/>
      <c r="AO25"/>
    </row>
    <row r="26" spans="1:44" x14ac:dyDescent="0.25">
      <c r="A26" s="63" t="s">
        <v>104</v>
      </c>
      <c r="AL26"/>
      <c r="AM26"/>
      <c r="AN26"/>
      <c r="AO26"/>
    </row>
    <row r="27" spans="1:44" x14ac:dyDescent="0.25">
      <c r="A27" s="63" t="s">
        <v>105</v>
      </c>
      <c r="AL27"/>
      <c r="AM27"/>
      <c r="AN27"/>
      <c r="AO27"/>
    </row>
    <row r="28" spans="1:44" x14ac:dyDescent="0.25">
      <c r="A28" s="63" t="s">
        <v>106</v>
      </c>
      <c r="AL28"/>
      <c r="AM28"/>
      <c r="AN28" s="159"/>
      <c r="AO28" s="159"/>
    </row>
    <row r="29" spans="1:44" x14ac:dyDescent="0.25">
      <c r="A29" s="63" t="s">
        <v>107</v>
      </c>
      <c r="AL29"/>
      <c r="AM29"/>
      <c r="AN29" s="159"/>
      <c r="AO29" s="159"/>
    </row>
    <row r="30" spans="1:44" x14ac:dyDescent="0.25">
      <c r="A30" s="63" t="s">
        <v>108</v>
      </c>
    </row>
    <row r="31" spans="1:44" x14ac:dyDescent="0.25">
      <c r="A31" s="63" t="s">
        <v>109</v>
      </c>
    </row>
    <row r="32" spans="1:44" x14ac:dyDescent="0.25">
      <c r="A32" s="63" t="s">
        <v>110</v>
      </c>
    </row>
    <row r="33" spans="1:42" x14ac:dyDescent="0.25">
      <c r="A33" s="63" t="s">
        <v>111</v>
      </c>
    </row>
    <row r="36" spans="1:42" x14ac:dyDescent="0.25">
      <c r="AM36" s="3"/>
      <c r="AN36" s="3"/>
      <c r="AO36" s="3"/>
      <c r="AP36" s="3"/>
    </row>
  </sheetData>
  <sheetProtection algorithmName="SHA-512" hashValue="eoTrt6YKbXS0lw9rnK0Ygw/ntutXesul+fjlCXbnymje1PvbhV9nyAwWi6gn4FXtor1Z3VGmcXDEOBFmqcNulg==" saltValue="ubl95mEXXwB1ZRUAbGGwmw==" spinCount="100000" sheet="1" objects="1" scenarios="1"/>
  <mergeCells count="2">
    <mergeCell ref="BI1:BK1"/>
    <mergeCell ref="BL1:BN1"/>
  </mergeCells>
  <pageMargins left="0.7" right="0.7" top="0.75" bottom="0.75" header="0.3" footer="0.3"/>
  <pageSetup orientation="portrait" r:id="rId1"/>
  <headerFooter>
    <oddFooter>&amp;C&amp;1#&amp;"Calibri"&amp;10&amp;K000000PUBLIC</oddFooter>
  </headerFooter>
  <tableParts count="20">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CZ372"/>
  <sheetViews>
    <sheetView showGridLines="0" zoomScale="115" zoomScaleNormal="115" zoomScaleSheetLayoutView="85" workbookViewId="0"/>
  </sheetViews>
  <sheetFormatPr baseColWidth="10" defaultColWidth="11.42578125" defaultRowHeight="15.75" x14ac:dyDescent="0.25"/>
  <cols>
    <col min="1" max="1" width="2.85546875" style="324" customWidth="1"/>
    <col min="2" max="2" width="6.7109375" style="324" customWidth="1"/>
    <col min="3" max="3" width="23" style="324" customWidth="1"/>
    <col min="4" max="25" width="9" style="324" customWidth="1"/>
    <col min="26" max="26" width="11.85546875" style="324" hidden="1" customWidth="1"/>
    <col min="27" max="27" width="15.85546875" style="324" hidden="1" customWidth="1"/>
    <col min="28" max="28" width="15.140625" style="324" hidden="1" customWidth="1"/>
    <col min="29" max="29" width="17" style="324" hidden="1" customWidth="1"/>
    <col min="30" max="36" width="11.42578125" style="324" hidden="1" customWidth="1"/>
    <col min="37" max="37" width="25.28515625" style="324" hidden="1" customWidth="1"/>
    <col min="38" max="38" width="24.7109375" style="324" hidden="1" customWidth="1"/>
    <col min="39" max="39" width="17.140625" style="324" hidden="1" customWidth="1"/>
    <col min="40" max="41" width="11.42578125" style="324" hidden="1" customWidth="1"/>
    <col min="42" max="42" width="24.140625" style="324" hidden="1" customWidth="1"/>
    <col min="43" max="43" width="26.140625" style="324" hidden="1" customWidth="1"/>
    <col min="44" max="44" width="17.28515625" style="324" hidden="1" customWidth="1"/>
    <col min="45" max="45" width="27.28515625" style="324" hidden="1" customWidth="1"/>
    <col min="46" max="46" width="24.140625" style="324" hidden="1" customWidth="1"/>
    <col min="47" max="47" width="13.85546875" style="324" hidden="1" customWidth="1"/>
    <col min="48" max="48" width="11.42578125" style="324" hidden="1" customWidth="1"/>
    <col min="49" max="49" width="14.140625" style="324" hidden="1" customWidth="1"/>
    <col min="50" max="51" width="11.42578125" style="324" hidden="1" customWidth="1"/>
    <col min="52" max="52" width="15.42578125" style="324" hidden="1" customWidth="1"/>
    <col min="53" max="53" width="16.28515625" style="324" hidden="1" customWidth="1"/>
    <col min="54" max="54" width="12.85546875" style="324" hidden="1" customWidth="1"/>
    <col min="55" max="55" width="8.28515625" style="324" hidden="1" customWidth="1"/>
    <col min="56" max="56" width="29" style="324" hidden="1" customWidth="1"/>
    <col min="57" max="57" width="29.7109375" style="324" hidden="1" customWidth="1"/>
    <col min="58" max="58" width="24" style="324" hidden="1" customWidth="1"/>
    <col min="59" max="59" width="15.5703125" style="324" hidden="1" customWidth="1"/>
    <col min="60" max="60" width="35.85546875" style="324" hidden="1" customWidth="1"/>
    <col min="61" max="61" width="21.85546875" style="324" hidden="1" customWidth="1"/>
    <col min="62" max="62" width="21" style="324" hidden="1" customWidth="1"/>
    <col min="63" max="63" width="11.42578125" style="324" hidden="1" customWidth="1"/>
    <col min="64" max="64" width="16.140625" style="324" hidden="1" customWidth="1"/>
    <col min="65" max="65" width="26.140625" style="324" hidden="1" customWidth="1"/>
    <col min="66" max="66" width="17.42578125" style="324" hidden="1" customWidth="1"/>
    <col min="67" max="89" width="11.42578125" style="324" hidden="1" customWidth="1"/>
    <col min="90" max="90" width="16.28515625" style="324" hidden="1" customWidth="1"/>
    <col min="91" max="104" width="11.42578125" style="324" hidden="1" customWidth="1"/>
    <col min="105" max="306" width="11.42578125" style="324" customWidth="1"/>
    <col min="307" max="16384" width="11.42578125" style="324"/>
  </cols>
  <sheetData>
    <row r="2" spans="2:66" x14ac:dyDescent="0.25">
      <c r="H2" s="325"/>
    </row>
    <row r="5" spans="2:66" x14ac:dyDescent="0.25">
      <c r="C5" s="326"/>
      <c r="D5" s="611"/>
      <c r="E5" s="611"/>
      <c r="F5" s="611"/>
    </row>
    <row r="6" spans="2:66" x14ac:dyDescent="0.25">
      <c r="C6" s="325"/>
    </row>
    <row r="7" spans="2:66" ht="16.5" thickBot="1" x14ac:dyDescent="0.3"/>
    <row r="8" spans="2:66" ht="17.25" thickTop="1" thickBot="1" x14ac:dyDescent="0.3">
      <c r="D8" s="664"/>
      <c r="E8" s="665"/>
      <c r="F8" s="665"/>
      <c r="G8" s="665"/>
      <c r="H8" s="665"/>
      <c r="I8" s="665"/>
      <c r="J8" s="665"/>
      <c r="K8" s="666"/>
      <c r="R8" s="667"/>
      <c r="S8" s="668"/>
      <c r="T8" s="669"/>
    </row>
    <row r="9" spans="2:66" ht="17.25" thickTop="1" thickBot="1" x14ac:dyDescent="0.3">
      <c r="D9" s="664"/>
      <c r="E9" s="665"/>
      <c r="F9" s="665"/>
      <c r="G9" s="665"/>
      <c r="H9" s="665"/>
      <c r="I9" s="665"/>
      <c r="J9" s="665"/>
      <c r="K9" s="666"/>
      <c r="R9" s="721">
        <f ca="1">TODAY()</f>
        <v>46126</v>
      </c>
      <c r="S9" s="721"/>
      <c r="T9" s="721"/>
      <c r="U9" s="721"/>
      <c r="V9" s="721"/>
    </row>
    <row r="10" spans="2:66" ht="16.5" thickTop="1" x14ac:dyDescent="0.25">
      <c r="H10" s="327"/>
      <c r="Q10" s="609" t="str">
        <f>Formulario!H3</f>
        <v>Versión M111 V3</v>
      </c>
      <c r="R10" s="609"/>
      <c r="S10" s="609"/>
      <c r="T10" s="609"/>
      <c r="U10" s="609"/>
      <c r="V10" s="609"/>
    </row>
    <row r="11" spans="2:66" ht="16.5" thickBot="1" x14ac:dyDescent="0.3">
      <c r="B11" s="328"/>
      <c r="C11" s="328"/>
      <c r="D11" s="329"/>
      <c r="E11" s="329"/>
      <c r="F11" s="329"/>
      <c r="G11" s="329"/>
      <c r="H11" s="329"/>
      <c r="I11" s="329"/>
      <c r="J11" s="329"/>
      <c r="K11" s="329"/>
      <c r="L11" s="329"/>
      <c r="M11" s="329"/>
      <c r="N11" s="329"/>
      <c r="O11" s="329"/>
      <c r="P11" s="329"/>
      <c r="Q11" s="329"/>
      <c r="R11" s="329"/>
      <c r="S11" s="329"/>
      <c r="T11" s="329"/>
      <c r="U11" s="329"/>
      <c r="V11" s="329"/>
      <c r="W11" s="329"/>
      <c r="X11" s="329"/>
      <c r="Y11" s="329"/>
    </row>
    <row r="12" spans="2:66" x14ac:dyDescent="0.25">
      <c r="B12" s="330"/>
      <c r="C12" s="331"/>
      <c r="BM12" s="515" t="s">
        <v>391</v>
      </c>
      <c r="BN12" s="511"/>
    </row>
    <row r="13" spans="2:66" x14ac:dyDescent="0.25">
      <c r="C13" s="331" t="s">
        <v>320</v>
      </c>
      <c r="BM13" s="386"/>
      <c r="BN13" s="391"/>
    </row>
    <row r="14" spans="2:66" ht="16.5" thickBot="1" x14ac:dyDescent="0.3">
      <c r="H14" s="332"/>
      <c r="N14" s="325" t="s">
        <v>117</v>
      </c>
      <c r="AQ14" s="333"/>
      <c r="AR14" s="441"/>
      <c r="AS14" s="325" t="str">
        <f>IF(AND(F24=10.3%,F25="Si"),TRIM(CONCATENATE(F20," ",F17," ",F18," ",F22," ",F21," ",F16," ",F25," ",F23," ",F24)),TRIM(CONCATENATE(F20," ",F17," ",F18," ",F22," ",F21," ",F16," ",F23," ",F24)))</f>
        <v/>
      </c>
      <c r="AT14" s="333"/>
      <c r="BM14" s="386"/>
      <c r="BN14" s="391"/>
    </row>
    <row r="15" spans="2:66" ht="17.25" thickTop="1" thickBot="1" x14ac:dyDescent="0.3">
      <c r="C15" s="670" t="s">
        <v>193</v>
      </c>
      <c r="D15" s="670"/>
      <c r="E15" s="670"/>
      <c r="F15" s="334"/>
      <c r="G15" s="334"/>
      <c r="H15" s="334"/>
      <c r="I15" s="334"/>
      <c r="J15" s="334"/>
      <c r="K15" s="335"/>
      <c r="N15" s="619" t="s">
        <v>118</v>
      </c>
      <c r="O15" s="620"/>
      <c r="P15" s="620"/>
      <c r="Q15" s="620"/>
      <c r="R15" s="620"/>
      <c r="S15" s="620"/>
      <c r="T15" s="620"/>
      <c r="U15" s="620"/>
      <c r="V15" s="620"/>
      <c r="W15" s="621"/>
      <c r="X15" s="325"/>
      <c r="Y15" s="325"/>
      <c r="Z15" s="325"/>
      <c r="AA15" s="325"/>
      <c r="AB15" s="325"/>
      <c r="AC15" s="325"/>
      <c r="AD15" s="325"/>
      <c r="AE15" s="325"/>
      <c r="AF15" s="325"/>
      <c r="AG15" s="325"/>
      <c r="AQ15" s="336"/>
      <c r="AR15" s="337"/>
      <c r="AS15" s="337"/>
      <c r="AT15" s="338"/>
      <c r="BM15" s="386"/>
      <c r="BN15" s="391"/>
    </row>
    <row r="16" spans="2:66" ht="22.5" customHeight="1" thickTop="1" thickBot="1" x14ac:dyDescent="0.3">
      <c r="C16" s="610" t="s">
        <v>339</v>
      </c>
      <c r="D16" s="610"/>
      <c r="E16" s="610"/>
      <c r="F16" s="607"/>
      <c r="G16" s="607"/>
      <c r="H16" s="607"/>
      <c r="I16" s="607"/>
      <c r="J16" s="607"/>
      <c r="K16" s="608"/>
      <c r="N16" s="694" t="str">
        <f>IF(O16&gt;=0,"Enganche","")</f>
        <v>Enganche</v>
      </c>
      <c r="O16" s="695"/>
      <c r="P16" s="695"/>
      <c r="Q16" s="695"/>
      <c r="R16" s="695"/>
      <c r="S16" s="686">
        <f>IFERROR(IF(OR(F20="Pago_de_Hipoteca",F20="Pago_Hipoteca+Liquidez",F20="Liquidez"),0,F28-IF(F21="Cofinavit",F32+F33+U24,U24)),0)</f>
        <v>0</v>
      </c>
      <c r="T16" s="686"/>
      <c r="U16" s="686"/>
      <c r="V16" s="686"/>
      <c r="W16" s="687"/>
      <c r="AC16" s="339"/>
      <c r="AD16" s="339"/>
      <c r="AE16" s="339"/>
      <c r="AF16" s="339"/>
      <c r="AG16" s="339"/>
      <c r="AL16" s="340" t="str">
        <f>IF(F27="Por Valor de la Vivienda",AL21,IF(AL17&lt;100000,"-",AL17))</f>
        <v>-</v>
      </c>
      <c r="AM16" s="341">
        <f>IFERROR(MIN(AL16,AL20),0)</f>
        <v>0</v>
      </c>
      <c r="AP16" s="342" t="s">
        <v>5</v>
      </c>
      <c r="AQ16" s="342" t="s">
        <v>272</v>
      </c>
      <c r="AR16" s="342" t="s">
        <v>273</v>
      </c>
      <c r="AS16" s="342" t="s">
        <v>274</v>
      </c>
      <c r="AT16" s="342" t="s">
        <v>275</v>
      </c>
      <c r="BA16" s="343" t="s">
        <v>141</v>
      </c>
      <c r="BB16" s="344" t="s">
        <v>31</v>
      </c>
      <c r="BC16" s="345" t="s">
        <v>297</v>
      </c>
      <c r="BD16" s="346" t="s">
        <v>298</v>
      </c>
      <c r="BE16" s="346" t="s">
        <v>299</v>
      </c>
      <c r="BF16" s="347" t="s">
        <v>300</v>
      </c>
      <c r="BG16" s="347" t="s">
        <v>301</v>
      </c>
      <c r="BH16" s="348" t="s">
        <v>302</v>
      </c>
      <c r="BI16" s="348" t="s">
        <v>303</v>
      </c>
      <c r="BJ16" s="348" t="s">
        <v>304</v>
      </c>
      <c r="BM16" s="512" t="s">
        <v>377</v>
      </c>
      <c r="BN16" s="391"/>
    </row>
    <row r="17" spans="2:66" ht="17.25" thickTop="1" thickBot="1" x14ac:dyDescent="0.3">
      <c r="C17" s="610" t="s">
        <v>340</v>
      </c>
      <c r="D17" s="610"/>
      <c r="E17" s="617"/>
      <c r="F17" s="606"/>
      <c r="G17" s="607"/>
      <c r="H17" s="607"/>
      <c r="I17" s="607"/>
      <c r="J17" s="607"/>
      <c r="K17" s="608"/>
      <c r="N17" s="702" t="s">
        <v>369</v>
      </c>
      <c r="O17" s="703"/>
      <c r="P17" s="703"/>
      <c r="Q17" s="703"/>
      <c r="R17" s="703"/>
      <c r="S17" s="672">
        <f>IF(N17="Campaña Sin Cobro de Avalúo",0,IF(F20="Pago_de_Hipoteca",0,VLOOKUP(F28,Costo_Avaluos!A3:B11,2)))</f>
        <v>2146</v>
      </c>
      <c r="T17" s="672"/>
      <c r="U17" s="672"/>
      <c r="V17" s="672"/>
      <c r="W17" s="673"/>
      <c r="AC17" s="349"/>
      <c r="AD17" s="349"/>
      <c r="AE17" s="349"/>
      <c r="AF17" s="349"/>
      <c r="AG17" s="349"/>
      <c r="AK17" s="342" t="s">
        <v>276</v>
      </c>
      <c r="AL17" s="350">
        <f>IFERROR(
VLOOKUP(F20,AP17:AR22,IF(OR(F27="Por monto de crédito y valor de la vivienda",F27="Por Valor de la Vivienda"),2,3),0),0)</f>
        <v>0</v>
      </c>
      <c r="AP17" s="336" t="s">
        <v>114</v>
      </c>
      <c r="AQ17" s="337" t="e">
        <f>MIN(VLOOKUP(F21,$AP$27:$AQ$29,2,0),IF(F27="Por monto de crédito y valor de la vivienda",F29,50000000),F28*AS17,50000000)</f>
        <v>#N/A</v>
      </c>
      <c r="AR17" s="481" t="e">
        <f>MIN($S$28,IF($F$20=$AP$17,IF(OR($F$21=$AP$27,$F$21=$AP$28,$F$21=$AP$29),$F$28*$AS$17,IF($F$32+$F$33&gt;0.1*F$28,F$28-$F$32,
IF($F$32&lt;0.05*$F$28,$S$28,$F$28*0.95-$F$32)))),$F$28*$AS$17)</f>
        <v>#N/A</v>
      </c>
      <c r="AS17" s="351" t="e">
        <f>IF(F25="No",0.7,
IF(AND(OR(F24=0.0965,F24=0.0945),F20="Pago_de_Hipoteca",F26="Si"),0.7,
IF(AND(OR(F24=0.106,F24=0.104),F20="Adquisicion",F21="Mercado_Abierto",F17="PF",F19="Si"),0.9,
IF(AND(F20="Pago_de_Hipoteca",F26="Si"),0.9,
IF(AND(OR(F24=10.3%,F24=10.1%),F25="Si"),VLOOKUP(TRIM(CONCATENATE(F20," ",F17," ",F18," ",F22," ",F21," ",F16," ",F25," ",F23," ",F24)),Catalogo_Condicione_Financieras!B:X,20,0),VLOOKUP(TRIM(CONCATENATE(F20," ",F17," ",F18," ",F22," ",F21," ",F16," ",F23," ",F24)),Catalogo_Condicione_Financieras!B:X,20,0))))))</f>
        <v>#N/A</v>
      </c>
      <c r="AT17" s="352">
        <v>350000</v>
      </c>
      <c r="BA17" s="353" t="s">
        <v>142</v>
      </c>
      <c r="BB17" s="354">
        <f>IF(AND(OR(F22="Nómina Especial",F22="GSC"),S24&lt;=70%),Catalogos!AW2,
IF(AND(OR(F22="Nómina Especial",F22="GSC"),S24&gt;70%),Catalogos!AW4,
IF(F20="Liquidez",Catalogos!BD2,
IF(S24&lt;=70%,Catalogos!AZ2,
IF(S24&gt;70%,Catalogos!AZ3
)))))</f>
        <v>9.6500000000000002E-2</v>
      </c>
      <c r="BC17" s="355">
        <v>0.73</v>
      </c>
      <c r="BD17" s="355">
        <v>0.68</v>
      </c>
      <c r="BE17" s="355">
        <v>0.73</v>
      </c>
      <c r="BF17" s="355">
        <v>0.73</v>
      </c>
      <c r="BG17" s="355">
        <v>0.75</v>
      </c>
      <c r="BH17" s="356" t="e">
        <f t="shared" ref="BH17:BH23" si="0">$V$64/100%/BD17</f>
        <v>#N/A</v>
      </c>
      <c r="BI17" s="356" t="e">
        <f t="shared" ref="BI17:BI23" si="1">$V$64/100%/BF17</f>
        <v>#N/A</v>
      </c>
      <c r="BJ17" s="357" t="e">
        <f>IF(OR(F21="Apoyo Infonavit",F21="Cofinavit"),VLOOKUP(F24,BB17:BI23,8,0),VLOOKUP(F24,BB17:BI23,7,))</f>
        <v>#N/A</v>
      </c>
      <c r="BM17" s="513" t="str">
        <f>CONCATENATE(F16,"_",F18)</f>
        <v>_</v>
      </c>
      <c r="BN17" s="514"/>
    </row>
    <row r="18" spans="2:66" ht="18.75" customHeight="1" thickTop="1" thickBot="1" x14ac:dyDescent="0.3">
      <c r="C18" s="610" t="s">
        <v>357</v>
      </c>
      <c r="D18" s="610"/>
      <c r="E18" s="617"/>
      <c r="F18" s="606"/>
      <c r="G18" s="607"/>
      <c r="H18" s="607"/>
      <c r="I18" s="607"/>
      <c r="J18" s="607"/>
      <c r="K18" s="608"/>
      <c r="M18" s="358" t="s">
        <v>260</v>
      </c>
      <c r="N18" s="689" t="s">
        <v>371</v>
      </c>
      <c r="O18" s="690"/>
      <c r="P18" s="690"/>
      <c r="Q18" s="690"/>
      <c r="R18" s="690"/>
      <c r="S18" s="688" t="e">
        <f>IF(N18="Sin Comisiones",0,IF(N18="C. Penalización Pago Anticipado",VLOOKUP(TRIM(CONCATENATE(F20," ",F17," ",F18," ",F22," ",F21," ",F16," ",F23)),Catalogo_Condicione_Financieras!A:W,19,0),VLOOKUP(TRIM(CONCATENATE(F20," ",F17," ",F18," ",F22," ",F21," ",F16," ",F23)),Catalogo_Condicione_Financieras!A:W,20,0)))</f>
        <v>#N/A</v>
      </c>
      <c r="T18" s="688"/>
      <c r="U18" s="672">
        <f>IF(OR(N18="C. Penalización Pago Anticipado",N18="Sin Comisiones"),0,IFERROR(IF($F$27="Por ingresos del cliente",$AM$16,IF($F$29=0,$AL$42,AL42))*S18,0))</f>
        <v>0</v>
      </c>
      <c r="V18" s="672"/>
      <c r="W18" s="673"/>
      <c r="AC18" s="339"/>
      <c r="AD18" s="339"/>
      <c r="AE18" s="339"/>
      <c r="AF18" s="339"/>
      <c r="AG18" s="339"/>
      <c r="AK18" s="336"/>
      <c r="AP18" s="336" t="s">
        <v>173</v>
      </c>
      <c r="AQ18" s="350" t="e">
        <f>IF(F27="Por Valor de la Vivienda",MIN(F28*AS17,50000000),MIN(F28*AS17,F29,50000000))</f>
        <v>#N/A</v>
      </c>
      <c r="AR18" s="481" t="e">
        <f>MIN(F28*AS17,S28)</f>
        <v>#N/A</v>
      </c>
      <c r="AS18" s="359"/>
      <c r="AT18" s="352">
        <v>350000</v>
      </c>
      <c r="BA18" s="353">
        <v>1</v>
      </c>
      <c r="BB18" s="354">
        <f>IF(AND(OR(F22="Nómina Especial",F22="GSC"),S24&lt;=70%),Catalogos!AW2,
IF(AND(OR(F22="Nómina Especial",F22="GSC"),S24&gt;70%),Catalogos!AW4,
IF(F20="Liquidez",Catalogos!BD2,
IF(S24&lt;=70%,Catalogos!AZ2,
IF(S24&gt;70%,Catalogos!AZ3)))))</f>
        <v>9.6500000000000002E-2</v>
      </c>
      <c r="BC18" s="355">
        <v>0.73</v>
      </c>
      <c r="BD18" s="355">
        <v>0.68</v>
      </c>
      <c r="BE18" s="355">
        <v>0.73</v>
      </c>
      <c r="BF18" s="355">
        <v>0.73</v>
      </c>
      <c r="BG18" s="355">
        <v>0.75</v>
      </c>
      <c r="BH18" s="356" t="e">
        <f t="shared" si="0"/>
        <v>#N/A</v>
      </c>
      <c r="BI18" s="356" t="e">
        <f t="shared" si="1"/>
        <v>#N/A</v>
      </c>
    </row>
    <row r="19" spans="2:66" ht="17.25" thickTop="1" thickBot="1" x14ac:dyDescent="0.3">
      <c r="C19" s="610" t="s">
        <v>271</v>
      </c>
      <c r="D19" s="610"/>
      <c r="E19" s="610"/>
      <c r="F19" s="607"/>
      <c r="G19" s="607"/>
      <c r="H19" s="607"/>
      <c r="I19" s="607"/>
      <c r="J19" s="607"/>
      <c r="K19" s="607"/>
      <c r="N19" s="658" t="s">
        <v>119</v>
      </c>
      <c r="O19" s="659"/>
      <c r="P19" s="659"/>
      <c r="Q19" s="659"/>
      <c r="R19" s="659"/>
      <c r="S19" s="675" t="e">
        <f>VLOOKUP(TRIM(CONCATENATE(F20," ",F17," ",F18," ",F22," ",F21," ",F16," ",F23)),Catalogo_Condicione_Financieras!A:W,22,0)</f>
        <v>#N/A</v>
      </c>
      <c r="T19" s="675"/>
      <c r="U19" s="675"/>
      <c r="V19" s="675"/>
      <c r="W19" s="676"/>
      <c r="AC19" s="360"/>
      <c r="AD19" s="360"/>
      <c r="AE19" s="360"/>
      <c r="AF19" s="360"/>
      <c r="AG19" s="360"/>
      <c r="AK19" s="336"/>
      <c r="AL19" s="341"/>
      <c r="AP19" s="336" t="s">
        <v>115</v>
      </c>
      <c r="AQ19" s="350" t="e">
        <f>MIN($F$28*AS17,$F$29,70000000)</f>
        <v>#N/A</v>
      </c>
      <c r="AR19" s="481" t="e">
        <f>MIN(F28*AS17,S28,50000000)</f>
        <v>#N/A</v>
      </c>
      <c r="AS19" s="359"/>
      <c r="AT19" s="352">
        <v>350000</v>
      </c>
      <c r="BA19" s="353">
        <v>2</v>
      </c>
      <c r="BB19" s="354">
        <f>IF(AND(OR(F22="Nómina Especial",F22="GSC"),S24&lt;=70%),Catalogos!AW2,
IF(AND(OR(F22="Nómina Especial",F22="GSC"),S24&gt;70%),Catalogos!AW4,
IF(F20="Liquidez",Catalogos!BD2,
IF(S24&lt;=70%,Catalogos!AZ2,
IF(S24&gt;70%,Catalogos!AZ3)))))</f>
        <v>9.6500000000000002E-2</v>
      </c>
      <c r="BC19" s="355">
        <v>0.73</v>
      </c>
      <c r="BD19" s="355">
        <v>0.65</v>
      </c>
      <c r="BE19" s="355">
        <v>0.7</v>
      </c>
      <c r="BF19" s="355">
        <v>0.73</v>
      </c>
      <c r="BG19" s="355">
        <v>0.75</v>
      </c>
      <c r="BH19" s="356" t="e">
        <f t="shared" si="0"/>
        <v>#N/A</v>
      </c>
      <c r="BI19" s="356" t="e">
        <f t="shared" si="1"/>
        <v>#N/A</v>
      </c>
    </row>
    <row r="20" spans="2:66" ht="17.25" thickTop="1" thickBot="1" x14ac:dyDescent="0.3">
      <c r="C20" s="610" t="s">
        <v>338</v>
      </c>
      <c r="D20" s="610"/>
      <c r="E20" s="617"/>
      <c r="F20" s="606"/>
      <c r="G20" s="607"/>
      <c r="H20" s="607"/>
      <c r="I20" s="607"/>
      <c r="J20" s="607"/>
      <c r="K20" s="608"/>
      <c r="N20" s="658" t="s">
        <v>341</v>
      </c>
      <c r="O20" s="659"/>
      <c r="P20" s="659" t="b">
        <v>0</v>
      </c>
      <c r="Q20" s="659"/>
      <c r="R20" s="659"/>
      <c r="S20" s="698">
        <v>2.5000000000000001E-2</v>
      </c>
      <c r="T20" s="699"/>
      <c r="U20" s="672">
        <f>IF(OR(F20="Pago_de_Hipoteca",F20="Liquidez",F20="Pago_Hipoteca+Liquidez"),U24*S20,F28*S20)</f>
        <v>0</v>
      </c>
      <c r="V20" s="672"/>
      <c r="W20" s="673"/>
      <c r="AC20" s="349"/>
      <c r="AD20" s="349"/>
      <c r="AE20" s="349"/>
      <c r="AF20" s="349"/>
      <c r="AG20" s="349"/>
      <c r="AK20" s="336" t="s">
        <v>277</v>
      </c>
      <c r="AL20" s="340">
        <f>IFERROR(MIN(F28*(AL23-AL24),IF(F27="Por Valor de la Vivienda",MIN(AL21+AL27,AL16),IF(AL17&lt;100000,"-",MIN(AL17+AL27,AL16)))),0)</f>
        <v>0</v>
      </c>
      <c r="AM20" s="341"/>
      <c r="AP20" s="336" t="s">
        <v>174</v>
      </c>
      <c r="AQ20" s="350" t="e">
        <f>MIN($F$28*AS17,$F$29,70000000)</f>
        <v>#N/A</v>
      </c>
      <c r="AR20" s="481" t="e">
        <f>MIN(F28*AS17,S28)</f>
        <v>#N/A</v>
      </c>
      <c r="AS20" s="359"/>
      <c r="AT20" s="352">
        <v>350000</v>
      </c>
      <c r="BA20" s="353">
        <v>3</v>
      </c>
      <c r="BB20" s="354">
        <f>IF(AND(OR(F22="Nómina Especial",F22="GSC"),S24&lt;=70%),Catalogos!AW3,
IF(AND(OR(F22="Nómina Especial",F22="GSC"),S24&gt;70%),Catalogos!AW5,
IF(F20="Liquidez",Catalogos!BD2,
IF(S24&lt;=70%,Catalogos!AZ4,
IF(S24&gt;70%,Catalogos!AZ5)))))</f>
        <v>0.10299999999999999</v>
      </c>
      <c r="BC20" s="355">
        <v>0.71</v>
      </c>
      <c r="BD20" s="355">
        <v>0.6</v>
      </c>
      <c r="BE20" s="355">
        <v>0.65</v>
      </c>
      <c r="BF20" s="355">
        <v>0.73</v>
      </c>
      <c r="BG20" s="355">
        <v>0.75</v>
      </c>
      <c r="BH20" s="356" t="e">
        <f t="shared" si="0"/>
        <v>#N/A</v>
      </c>
      <c r="BI20" s="356" t="e">
        <f t="shared" si="1"/>
        <v>#N/A</v>
      </c>
    </row>
    <row r="21" spans="2:66" ht="17.25" thickTop="1" thickBot="1" x14ac:dyDescent="0.3">
      <c r="C21" s="610" t="str">
        <f>IF(OR(F20="Adquisicion",F20="Exclusiva",F20="Nomina Especial"),"Tipo de Programa *","")</f>
        <v/>
      </c>
      <c r="D21" s="610"/>
      <c r="E21" s="617"/>
      <c r="F21" s="622"/>
      <c r="G21" s="623"/>
      <c r="H21" s="623"/>
      <c r="I21" s="623"/>
      <c r="J21" s="623"/>
      <c r="K21" s="624"/>
      <c r="N21" s="696" t="s">
        <v>121</v>
      </c>
      <c r="O21" s="697"/>
      <c r="P21" s="697"/>
      <c r="Q21" s="697"/>
      <c r="R21" s="697"/>
      <c r="S21" s="648">
        <f>IF(S16&lt;=0,0,S16)+IF(ISNUMBER(S17),S17,0)+IF(ISNUMBER(S19),S19,0)+IF(ISNUMBER(U20),U20,0)+IF(ISNUMBER(U18),U18,0)</f>
        <v>2146</v>
      </c>
      <c r="T21" s="648"/>
      <c r="U21" s="648"/>
      <c r="V21" s="648"/>
      <c r="W21" s="649"/>
      <c r="AK21" s="342" t="s">
        <v>278</v>
      </c>
      <c r="AL21" s="350" t="e">
        <f>IF(OR(F20=AP17,F20=AP21),MIN(IF(F21=AP29,AQ29,AS17*F28),AS17*F28,30000000),MIN(AS17*F28,30000000))-IF(AND(F27="Monto del Crédito",F20=AP17),F29,0)</f>
        <v>#N/A</v>
      </c>
      <c r="AP21" s="336" t="s">
        <v>116</v>
      </c>
      <c r="AQ21" s="337" t="e">
        <f>MIN(VLOOKUP(F21,$AP$27:$AQ$29,2,0),IF(F27="Por monto de crédito y valor de la vivienda",F29,50000000),F28*AS17,50000000)</f>
        <v>#N/A</v>
      </c>
      <c r="AR21" s="481" t="e">
        <f>MIN($S$28,IF($F$20=$AP$21,IF(OR($F$21=$AP$27,$F$21=$AP$28,$F$21=$AP$29),$F$28*$AS$17,IF($F$32+$F$33&gt;0.1*$F$28,$F$28-$F$32-$F$33,IF($F$32&lt;0.05*$F$28,$S$28,$F$28*0.95-$F$33)))),$F$28*$AS$17)</f>
        <v>#N/A</v>
      </c>
      <c r="AS21" s="359"/>
      <c r="AT21" s="352">
        <v>350000</v>
      </c>
      <c r="BA21" s="353">
        <v>4</v>
      </c>
      <c r="BB21" s="354">
        <f>IF(AND(OR(F22="Nómina Especial",F22="GSC"),S24&lt;=70%),Catalogos!AW4,
IF(AND(OR(F22="Nómina Especial",F22="GSC"),S24&gt;70%),Catalogos!AW5,
IF(F20="Liquidez",Catalogos!BD2,
IF(S24&lt;=70%,Catalogos!AZ4,
IF(S24&gt;70%,Catalogos!AZ5)))))</f>
        <v>0.10299999999999999</v>
      </c>
      <c r="BC21" s="355">
        <v>0.71</v>
      </c>
      <c r="BD21" s="355">
        <v>0.55000000000000004</v>
      </c>
      <c r="BE21" s="355">
        <v>0.6</v>
      </c>
      <c r="BF21" s="355">
        <v>0.73</v>
      </c>
      <c r="BG21" s="355">
        <v>0.75</v>
      </c>
      <c r="BH21" s="356" t="e">
        <f t="shared" si="0"/>
        <v>#N/A</v>
      </c>
      <c r="BI21" s="356" t="e">
        <f t="shared" si="1"/>
        <v>#N/A</v>
      </c>
    </row>
    <row r="22" spans="2:66" ht="17.25" thickTop="1" thickBot="1" x14ac:dyDescent="0.3">
      <c r="C22" s="610" t="str">
        <f>IF(AND(OR(F18="Premier",F18="No_Premier",F18="Wealth &amp; Premier Executive"),F20="Pago_Hipoteca+Liquidez"),"Tipo de Cliente *",IF(F18="No_Premier","Tipo de Cliente *",""))</f>
        <v/>
      </c>
      <c r="D22" s="610"/>
      <c r="E22" s="610"/>
      <c r="F22" s="623"/>
      <c r="G22" s="623"/>
      <c r="H22" s="623"/>
      <c r="I22" s="623"/>
      <c r="J22" s="623"/>
      <c r="K22" s="623"/>
      <c r="S22" s="435"/>
      <c r="T22" s="435"/>
      <c r="U22" s="435"/>
      <c r="V22" s="435"/>
      <c r="W22" s="435"/>
      <c r="AK22" s="336"/>
      <c r="AP22" s="336" t="s">
        <v>279</v>
      </c>
      <c r="AQ22" s="337" t="e">
        <f>MIN(VLOOKUP(F21,$AP$27:$AQ$29,2,0),IF(F27="Por monto de crédito y valor de la vivienda",F29,50000000),F28*AS17,50000000)</f>
        <v>#N/A</v>
      </c>
      <c r="AR22" s="481" t="e">
        <f>MIN($S$28,IF($F$20=$AP$22,IF(OR($F$21=$AP$27,$F$21=$AP$28,$F$21=$AP$29),$F$28*$AS$17,IF($F$32+$F$33&gt;0.1*$F$28,$F$28-$F$32-$F$33,IF($F$32&lt;0.05*$F$28,$S$28,$F$28*0.95-$F$33)))),$F$28*$AS$17)</f>
        <v>#N/A</v>
      </c>
      <c r="AS22" s="359"/>
      <c r="AT22" s="352">
        <v>350000</v>
      </c>
      <c r="BA22" s="353">
        <v>5</v>
      </c>
      <c r="BB22" s="354">
        <f>IF(AND(OR(F22="Nómina Especial",F22="GSC"),S24&lt;=70%),Catalogos!AW4,
IF(AND(OR(F22="Nómina Especial",F22="GSC"),S24&gt;70%),Catalogos!AW5,
IF(F20="Liquidez",Catalogos!BD2,
IF(S24&lt;=70%,Catalogos!AZ4,
IF(S24&gt;70%,Catalogos!AZ5)))))</f>
        <v>0.10299999999999999</v>
      </c>
      <c r="BC22" s="355">
        <v>0.55000000000000004</v>
      </c>
      <c r="BD22" s="355">
        <v>0.55000000000000004</v>
      </c>
      <c r="BE22" s="355">
        <v>0.6</v>
      </c>
      <c r="BF22" s="355">
        <v>0.5</v>
      </c>
      <c r="BG22" s="355">
        <v>0.75</v>
      </c>
      <c r="BH22" s="356" t="e">
        <f t="shared" si="0"/>
        <v>#N/A</v>
      </c>
      <c r="BI22" s="356" t="e">
        <f t="shared" si="1"/>
        <v>#N/A</v>
      </c>
    </row>
    <row r="23" spans="2:66" ht="17.25" thickTop="1" thickBot="1" x14ac:dyDescent="0.3">
      <c r="C23" s="610" t="s">
        <v>342</v>
      </c>
      <c r="D23" s="610"/>
      <c r="E23" s="617"/>
      <c r="F23" s="606"/>
      <c r="G23" s="607"/>
      <c r="H23" s="607"/>
      <c r="I23" s="607"/>
      <c r="J23" s="607"/>
      <c r="K23" s="608"/>
      <c r="N23" s="619" t="s">
        <v>122</v>
      </c>
      <c r="O23" s="620"/>
      <c r="P23" s="620"/>
      <c r="Q23" s="620"/>
      <c r="R23" s="620"/>
      <c r="S23" s="620"/>
      <c r="T23" s="620"/>
      <c r="U23" s="620"/>
      <c r="V23" s="620"/>
      <c r="W23" s="621"/>
      <c r="AK23" s="361" t="s">
        <v>280</v>
      </c>
      <c r="AL23" s="483">
        <f>IF(AND(OR(F21="Cofinavit",F21="Apoyo Infonavit"),F28&gt;1),95%,90%)</f>
        <v>0.9</v>
      </c>
      <c r="AM23" s="482"/>
      <c r="BA23" s="353">
        <v>6</v>
      </c>
      <c r="BB23" s="354">
        <f>IF(AND(OR(F22="Nómina Especial",F22="GSC"),S24&lt;=70%),Catalogos!AW4,
IF(AND(OR(F22="Nómina Especial",F22="GSC"),S24&gt;70%),Catalogos!AW5,
IF(F20="Liquidez",Catalogos!BD2,
IF(S24&lt;=70%,Catalogos!AZ4,
IF(S24&gt;70%,Catalogos!AZ5)))))</f>
        <v>0.10299999999999999</v>
      </c>
      <c r="BC23" s="355">
        <v>0.5</v>
      </c>
      <c r="BD23" s="363">
        <v>0.5</v>
      </c>
      <c r="BE23" s="355">
        <v>0.5</v>
      </c>
      <c r="BF23" s="355">
        <v>0.5</v>
      </c>
      <c r="BG23" s="355">
        <v>0.5</v>
      </c>
      <c r="BH23" s="356" t="e">
        <f t="shared" si="0"/>
        <v>#N/A</v>
      </c>
      <c r="BI23" s="356" t="e">
        <f t="shared" si="1"/>
        <v>#N/A</v>
      </c>
    </row>
    <row r="24" spans="2:66" ht="17.25" thickTop="1" thickBot="1" x14ac:dyDescent="0.3">
      <c r="C24" s="610" t="s">
        <v>343</v>
      </c>
      <c r="D24" s="610"/>
      <c r="E24" s="617"/>
      <c r="F24" s="625"/>
      <c r="G24" s="626"/>
      <c r="H24" s="626"/>
      <c r="I24" s="626"/>
      <c r="J24" s="626"/>
      <c r="K24" s="627"/>
      <c r="N24" s="694" t="s">
        <v>123</v>
      </c>
      <c r="O24" s="695"/>
      <c r="P24" s="695"/>
      <c r="Q24" s="695"/>
      <c r="R24" s="695"/>
      <c r="S24" s="693">
        <f>IFERROR(U24/F28,0)</f>
        <v>0</v>
      </c>
      <c r="T24" s="693"/>
      <c r="U24" s="691">
        <f>IFERROR(IF(AND(F20="Liquidez",IF(E3&lt;&gt;"","-",
IF(F20="Pago Hipoteca+Liquidez",MIN(AL16,F34+F28*0.2),
IF(OR(F20="Adquisicion",F20="Exclusiva",F20="Nomina Especial"),AL20,AL16)))&gt;70000000),70000000,IF(E3&lt;&gt;"","-",
IF(F20="Pago Hipoteca+Liquidez",MIN(AL16,F34+F28*0.7),
IF(OR(F20="Adquisicion",F20="Exclusiva",F20="Nomina Especial"),AL20,AL16))))-IF(F27="Por Valor de la Vivienda",F35,0),0)</f>
        <v>0</v>
      </c>
      <c r="V24" s="691"/>
      <c r="W24" s="692"/>
      <c r="AK24" s="361" t="s">
        <v>281</v>
      </c>
      <c r="AL24" s="364">
        <f>IF(AND(F21="Cofinavit",F32&gt;1),1-(F28-F32)/F28,IF(F21="Apoyo Infonavit",1-(F28-F32)/F28,0))</f>
        <v>0</v>
      </c>
    </row>
    <row r="25" spans="2:66" ht="17.25" thickTop="1" thickBot="1" x14ac:dyDescent="0.3">
      <c r="C25" s="719" t="str">
        <f>IF(AND(OR(F24=10.3%,F24=10.1%),F20="Pago_Hipoteca+Liquidez"),"¿LTV Intregrado Mayor a 70 %? *",IF(OR(F24=10.3%,F24=10.1%),"¿LTV Mayor a 70 %? *",""))</f>
        <v/>
      </c>
      <c r="D25" s="719"/>
      <c r="E25" s="719"/>
      <c r="F25" s="720"/>
      <c r="G25" s="720"/>
      <c r="H25" s="720"/>
      <c r="I25" s="720"/>
      <c r="J25" s="720"/>
      <c r="K25" s="720"/>
      <c r="N25" s="658" t="s">
        <v>39</v>
      </c>
      <c r="O25" s="659"/>
      <c r="P25" s="659"/>
      <c r="Q25" s="659"/>
      <c r="R25" s="659"/>
      <c r="S25" s="684">
        <f>F24</f>
        <v>0</v>
      </c>
      <c r="T25" s="684"/>
      <c r="U25" s="684"/>
      <c r="V25" s="684"/>
      <c r="W25" s="685"/>
      <c r="AK25" s="361" t="s">
        <v>282</v>
      </c>
      <c r="AL25" s="365">
        <f>IF(U20="-",0,-F33)</f>
        <v>0</v>
      </c>
    </row>
    <row r="26" spans="2:66" ht="17.25" thickTop="1" thickBot="1" x14ac:dyDescent="0.3">
      <c r="B26" s="722" t="str">
        <f>IF(F20="Pago_de_Hipoteca","¿La hipoteca proviene de un Cofinavit? *","")</f>
        <v/>
      </c>
      <c r="C26" s="722"/>
      <c r="D26" s="722"/>
      <c r="E26" s="723"/>
      <c r="F26" s="622"/>
      <c r="G26" s="623"/>
      <c r="H26" s="623"/>
      <c r="I26" s="623"/>
      <c r="J26" s="623"/>
      <c r="K26" s="624"/>
      <c r="N26" s="658" t="s">
        <v>349</v>
      </c>
      <c r="O26" s="659"/>
      <c r="P26" s="659"/>
      <c r="Q26" s="659"/>
      <c r="R26" s="659"/>
      <c r="S26" s="681" t="e">
        <f>MAX(V64:W363)</f>
        <v>#N/A</v>
      </c>
      <c r="T26" s="681"/>
      <c r="U26" s="681"/>
      <c r="V26" s="681"/>
      <c r="W26" s="682"/>
      <c r="AK26" s="361" t="s">
        <v>283</v>
      </c>
      <c r="AL26" s="365" t="e">
        <f>IF(F20=AP18,"",IF(F20=AP19,"",IF(F20=AP20,"",IF(OR(F21&amp;F20="Cofinavit"&amp;"Adquisicion",F21&amp;F20="Cofinavit"&amp;"Exclusiva",F21&amp;F20="Cofinavit"&amp;"Nomina Especial"),F28-F32-AL16,F28-AL16))))</f>
        <v>#VALUE!</v>
      </c>
      <c r="AP26" s="366" t="s">
        <v>285</v>
      </c>
      <c r="AQ26" s="366" t="s">
        <v>286</v>
      </c>
      <c r="AR26" s="366" t="s">
        <v>287</v>
      </c>
      <c r="AS26" s="366" t="s">
        <v>288</v>
      </c>
    </row>
    <row r="27" spans="2:66" ht="17.25" thickTop="1" thickBot="1" x14ac:dyDescent="0.3">
      <c r="C27" s="610" t="s">
        <v>344</v>
      </c>
      <c r="D27" s="610"/>
      <c r="E27" s="617"/>
      <c r="F27" s="606"/>
      <c r="G27" s="607"/>
      <c r="H27" s="607"/>
      <c r="I27" s="607"/>
      <c r="J27" s="607"/>
      <c r="K27" s="608"/>
      <c r="N27" s="677" t="str">
        <f>IF(K21=V6,"CAT HSBC**","CAT**")</f>
        <v>CAT HSBC**</v>
      </c>
      <c r="O27" s="678"/>
      <c r="P27" s="678"/>
      <c r="Q27" s="678"/>
      <c r="R27" s="678"/>
      <c r="S27" s="656" t="str">
        <f>IF(ISERROR(((1+IRR(AM63:AM363))^(12))-1),"-",(((1+IRR(AM63:AM363))^(12))-1))</f>
        <v>-</v>
      </c>
      <c r="T27" s="656"/>
      <c r="U27" s="656"/>
      <c r="V27" s="656"/>
      <c r="W27" s="657"/>
      <c r="AK27" s="361" t="s">
        <v>284</v>
      </c>
      <c r="AL27" s="365">
        <f>IFERROR(AL25+IF(AL26="-",0,AL26)-IF(F27="Por Valor de la Vivienda",0,0),2)</f>
        <v>2</v>
      </c>
      <c r="AP27" s="367" t="s">
        <v>396</v>
      </c>
      <c r="AQ27" s="368">
        <f>F29</f>
        <v>0</v>
      </c>
      <c r="AR27" s="368" t="s">
        <v>398</v>
      </c>
      <c r="AS27" s="369" t="e">
        <f>IF(AND(F20="Pago_de_Hipoteca",F26="Si"),F28*0.9,
IF(AND(F20="Adquisicion",F21="Cofinavit"),(F28*1)-F32,
F28*IF(AND(OR(F24=10.3%,F24=10.1%),F25="Si"),VLOOKUP(TRIM(CONCATENATE(F20," ",F17," ",F18," ",F22," ",F21," ",F16," ",F25," ",F23," ",F24)),Catalogo_Condicione_Financieras!B:X,20,0),VLOOKUP(TRIM(CONCATENATE(F20," ",F17," ",F18," ",F22," ",F21," ",F16," ",F23," ",F24)),Catalogo_Condicione_Financieras!B:X,20,0))))</f>
        <v>#N/A</v>
      </c>
    </row>
    <row r="28" spans="2:66" ht="17.25" thickTop="1" thickBot="1" x14ac:dyDescent="0.3">
      <c r="C28" s="610" t="s">
        <v>345</v>
      </c>
      <c r="D28" s="610"/>
      <c r="E28" s="617"/>
      <c r="F28" s="628"/>
      <c r="G28" s="629"/>
      <c r="H28" s="629"/>
      <c r="I28" s="629"/>
      <c r="J28" s="629"/>
      <c r="K28" s="630"/>
      <c r="N28" s="679" t="str">
        <f>IF(OR(F27="Por ingresos del cliente",F27="Por Campaña"),"Monto Máximo Por Ingresos","Ingreso Neto Requerido")</f>
        <v>Ingreso Neto Requerido</v>
      </c>
      <c r="O28" s="680"/>
      <c r="P28" s="680"/>
      <c r="Q28" s="680"/>
      <c r="R28" s="680"/>
      <c r="S28" s="648" t="str">
        <f>IFERROR(
IF(F28="","-",
IF(OR(F27="Por ingresos del cliente",F27="Por Campaña"),ROUND(AL35/AL38*1000,-3),
IF(F20="Liquidez",MIN(5000000,IF(OR(F27="Por monto de crédito y valor de la vivienda",F27="Por Valor de la Vivienda"),BJ17,ROUND(AL35/AL38*1000,-3))),
IF(OR(F27="Por monto de crédito y valor de la vivienda",F27="Por Valor de la Vivienda"),BJ17)))),0)</f>
        <v>-</v>
      </c>
      <c r="T28" s="648"/>
      <c r="U28" s="648"/>
      <c r="V28" s="648"/>
      <c r="W28" s="649"/>
      <c r="AA28" s="341"/>
      <c r="AP28" s="367" t="s">
        <v>112</v>
      </c>
      <c r="AQ28" s="370" t="e">
        <f>AT29</f>
        <v>#N/A</v>
      </c>
      <c r="AR28" s="368" t="s">
        <v>290</v>
      </c>
      <c r="AS28" s="369" t="e">
        <f>IF(SUM(AS27,F32)&lt;SUM(F28,S17,S20*F28),SUM(F28,S17,S20*F28)-SUM(F32,F33),AS27)</f>
        <v>#N/A</v>
      </c>
      <c r="AU28" s="341"/>
    </row>
    <row r="29" spans="2:66" ht="17.25" thickTop="1" thickBot="1" x14ac:dyDescent="0.3">
      <c r="C29" s="610" t="str">
        <f>IF(OR(F27="Por ingresos del cliente",F27="Por Valor de la Vivienda",F27="Por Campaña"),"","Monto Solicitado de Crédito *")</f>
        <v>Monto Solicitado de Crédito *</v>
      </c>
      <c r="D29" s="610"/>
      <c r="E29" s="617"/>
      <c r="F29" s="612"/>
      <c r="G29" s="613"/>
      <c r="H29" s="613"/>
      <c r="I29" s="613"/>
      <c r="J29" s="613"/>
      <c r="K29" s="614"/>
      <c r="M29" s="371"/>
      <c r="N29" s="371"/>
      <c r="O29" s="371"/>
      <c r="P29" s="371"/>
      <c r="Q29" s="371"/>
      <c r="R29" s="372"/>
      <c r="S29" s="372"/>
      <c r="T29" s="372"/>
      <c r="U29" s="372"/>
      <c r="V29" s="372"/>
      <c r="AA29" s="341"/>
      <c r="AP29" s="367" t="s">
        <v>113</v>
      </c>
      <c r="AQ29" s="370" t="e">
        <f>AT29</f>
        <v>#N/A</v>
      </c>
      <c r="AR29" s="368"/>
      <c r="AT29" s="373" t="e">
        <f>MIN(AS27,AS28)</f>
        <v>#N/A</v>
      </c>
    </row>
    <row r="30" spans="2:66" ht="24.75" customHeight="1" thickTop="1" x14ac:dyDescent="0.25">
      <c r="C30" s="610" t="str">
        <f>IF(OR(F21="Apoyo Infonavit",F27="Por ingresos del cliente"),"Ingreso Mensual Neto *",IF(F27="Por Campaña","Pago mensual máximo *",""))</f>
        <v/>
      </c>
      <c r="D30" s="610"/>
      <c r="E30" s="610"/>
      <c r="F30" s="615"/>
      <c r="G30" s="615"/>
      <c r="H30" s="615"/>
      <c r="I30" s="615"/>
      <c r="J30" s="615"/>
      <c r="K30" s="615"/>
      <c r="N30" s="650" t="str">
        <f>IF(F20="Pago_Hipoteca+Liquidez","Pago Mensual","")</f>
        <v/>
      </c>
      <c r="O30" s="650"/>
      <c r="P30" s="650"/>
      <c r="Q30" s="650"/>
      <c r="R30" s="650"/>
      <c r="S30" s="650"/>
      <c r="T30" s="650"/>
      <c r="U30" s="650"/>
      <c r="V30" s="650"/>
      <c r="W30" s="650"/>
      <c r="AK30" s="598" t="s">
        <v>475</v>
      </c>
      <c r="AL30" s="356">
        <v>3566.22</v>
      </c>
    </row>
    <row r="31" spans="2:66" ht="19.5" customHeight="1" thickBot="1" x14ac:dyDescent="0.3">
      <c r="B31" s="610" t="str">
        <f>IF(F27="Por ingresos del cliente","Pago Mensual en Buro(Obligaciones) *","")</f>
        <v/>
      </c>
      <c r="C31" s="610"/>
      <c r="D31" s="610"/>
      <c r="E31" s="610"/>
      <c r="F31" s="616"/>
      <c r="G31" s="616"/>
      <c r="H31" s="616"/>
      <c r="I31" s="616"/>
      <c r="J31" s="616"/>
      <c r="K31" s="616"/>
      <c r="N31" s="701" t="str">
        <f>IF(F20="Pago_Hipoteca+Liquidez","Pago Hipoteca","")</f>
        <v/>
      </c>
      <c r="O31" s="701"/>
      <c r="P31" s="701"/>
      <c r="Q31" s="701"/>
      <c r="R31" s="701"/>
      <c r="S31" s="700" t="str">
        <f>IF(OR(F34="",F36=""),"",(F34*$AQ$40/1000)+(IF((($F$28*0.8)*($AQ$38/1.16))&gt;C64*($AQ$38/1.16),($F$28*0.8)*($AQ$38/1.16))/1000)+F34*$AQ$35/1000)</f>
        <v/>
      </c>
      <c r="T31" s="700"/>
      <c r="U31" s="700"/>
      <c r="V31" s="700"/>
      <c r="W31" s="700"/>
      <c r="AA31" s="374"/>
      <c r="AL31" s="341"/>
      <c r="AP31" s="367" t="s">
        <v>31</v>
      </c>
      <c r="AQ31" s="354" t="e">
        <f>VLOOKUP(TRIM(CONCATENATE($F$20," ",$F$17," ",$F$18," ",$F$22," ",$F$21," ",$F$16," ",$F$23," ",F24)),Catalogo_Condicione_Financieras!B:W,13,0)</f>
        <v>#N/A</v>
      </c>
      <c r="AR31" s="337"/>
      <c r="AS31" s="359"/>
    </row>
    <row r="32" spans="2:66" ht="17.25" thickTop="1" thickBot="1" x14ac:dyDescent="0.3">
      <c r="B32" s="632" t="str">
        <f>IF(AND(OR(F20="Adquisicion",F20="Exclusiva",F20="Nomina Especial"),F21="Cofinavit"),"Crédito Otorgado menos Ecotecnologías","")</f>
        <v/>
      </c>
      <c r="C32" s="632"/>
      <c r="D32" s="632"/>
      <c r="E32" s="633"/>
      <c r="F32" s="612"/>
      <c r="G32" s="613"/>
      <c r="H32" s="613"/>
      <c r="I32" s="613"/>
      <c r="J32" s="613"/>
      <c r="K32" s="614"/>
      <c r="N32" s="701" t="str">
        <f>IF(F20="Pago_Hipoteca+Liquidez","Liquidez","")</f>
        <v/>
      </c>
      <c r="O32" s="701"/>
      <c r="P32" s="701"/>
      <c r="Q32" s="701"/>
      <c r="R32" s="701"/>
      <c r="S32" s="700" t="str">
        <f>IF(OR(F34="",F36=""),"",((U24-F34)*$AQ$40/1000)+((U24-F34)*$AQ$35/1000)+(U24-F34)*(S25/12)*0.16)</f>
        <v/>
      </c>
      <c r="T32" s="700"/>
      <c r="U32" s="700"/>
      <c r="V32" s="700"/>
      <c r="W32" s="700"/>
      <c r="AA32" s="374"/>
      <c r="AP32" s="375" t="s">
        <v>26</v>
      </c>
      <c r="AQ32" s="354" t="e">
        <f>VLOOKUP(TRIM(CONCATENATE($F$20," ",$F$17," ",$F$18," ",$F$22," ",$F$21," ",$F$16," ",$F$23," ",F24)),Catalogo_Condicione_Financieras!B:W,14,0)</f>
        <v>#N/A</v>
      </c>
    </row>
    <row r="33" spans="2:90" ht="17.25" thickTop="1" thickBot="1" x14ac:dyDescent="0.3">
      <c r="C33" s="610" t="str">
        <f>IF(AND(OR(F20="Adquisicion",F20="Exclusiva",F20="Nomina Especial"),F21="Cofinavit"),"Saldo Subcuenta de Vivienda",IF(AND(OR(F20="Adquisicion",F20="Exclusiva",F20="Nomina Especial"),F21="CI+CB"),"Saldo Subcuenta de Vivienda",""))</f>
        <v/>
      </c>
      <c r="D33" s="610"/>
      <c r="E33" s="610"/>
      <c r="F33" s="613"/>
      <c r="G33" s="613"/>
      <c r="H33" s="613"/>
      <c r="I33" s="613"/>
      <c r="J33" s="613"/>
      <c r="K33" s="613"/>
      <c r="AK33" s="376" t="s">
        <v>291</v>
      </c>
      <c r="AL33" s="377">
        <f>IF(F27="Por Campaña",100%,65%)</f>
        <v>0.65</v>
      </c>
      <c r="AP33" s="375" t="s">
        <v>23</v>
      </c>
      <c r="AQ33" s="354" t="e">
        <f>VLOOKUP(TRIM(CONCATENATE($F$20," ",$F$17," ",$F$18," ",$F$22," ",$F$21," ",$F$16," ",$F$23," ",F24)),Catalogo_Condicione_Financieras!B:W,15,0)</f>
        <v>#N/A</v>
      </c>
    </row>
    <row r="34" spans="2:90" ht="17.25" thickTop="1" thickBot="1" x14ac:dyDescent="0.3">
      <c r="C34" s="610" t="str">
        <f>IF(F20="Pago_Hipoteca+Liquidez","Monto de Hipoteca Actual *","")</f>
        <v/>
      </c>
      <c r="D34" s="610"/>
      <c r="E34" s="610"/>
      <c r="F34" s="613"/>
      <c r="G34" s="613"/>
      <c r="H34" s="613"/>
      <c r="I34" s="613"/>
      <c r="J34" s="613"/>
      <c r="K34" s="613"/>
      <c r="M34" s="324" t="s">
        <v>53</v>
      </c>
      <c r="R34" s="463" t="s">
        <v>191</v>
      </c>
      <c r="AK34" s="376" t="s">
        <v>292</v>
      </c>
      <c r="AL34" s="377">
        <v>1</v>
      </c>
      <c r="AP34" s="375" t="s">
        <v>296</v>
      </c>
      <c r="AQ34" s="375">
        <f>IF(F20="Liquidez",0.348,IF(F20&amp;F18&amp;F21="AdquisicionNo_PremierMercado_Abierto",0.29,0))</f>
        <v>0</v>
      </c>
    </row>
    <row r="35" spans="2:90" ht="17.25" thickTop="1" thickBot="1" x14ac:dyDescent="0.3">
      <c r="C35" s="610" t="str">
        <f>IF(AND(OR(F20="Adquisicion",F20="Exclusiva"),F27="Por Valor de la Vivienda"),"Enganche Adicional *","")</f>
        <v/>
      </c>
      <c r="D35" s="610"/>
      <c r="E35" s="617"/>
      <c r="F35" s="612"/>
      <c r="G35" s="613"/>
      <c r="H35" s="613"/>
      <c r="I35" s="613"/>
      <c r="J35" s="613"/>
      <c r="K35" s="614"/>
      <c r="AL35" s="378">
        <f>MIN(((IF(F19="SI",F34,0)+F30)*AL33),(((IF(F19="SI",F23,0)+F30)*AL33)-F31))*AL34</f>
        <v>0</v>
      </c>
      <c r="AP35" s="375" t="s">
        <v>34</v>
      </c>
      <c r="AQ35" s="379" t="e">
        <f>VLOOKUP(TRIM(CONCATENATE(F20," ",F17," ",F18," ",F22," ",F21," ",F16," ",F23)),Catalogo_Condicione_Financieras!A:W,17,0)</f>
        <v>#N/A</v>
      </c>
    </row>
    <row r="36" spans="2:90" ht="16.5" thickTop="1" x14ac:dyDescent="0.25">
      <c r="C36" s="610" t="str">
        <f>IF(F20="Pago_Hipoteca+Liquidez","Crédito a Simular *","")</f>
        <v/>
      </c>
      <c r="D36" s="610"/>
      <c r="E36" s="610"/>
      <c r="F36" s="618"/>
      <c r="G36" s="618"/>
      <c r="H36" s="618"/>
      <c r="I36" s="618"/>
      <c r="J36" s="618"/>
      <c r="K36" s="618"/>
      <c r="M36" s="324" t="s">
        <v>354</v>
      </c>
      <c r="R36" s="463" t="s">
        <v>467</v>
      </c>
      <c r="AB36" s="341"/>
      <c r="AP36" s="375" t="s">
        <v>305</v>
      </c>
      <c r="AQ36" s="379" t="e">
        <f>VLOOKUP(TRIM(CONCATENATE(F20," ",F17," ",F18," ",F22," ",F21," ",F16," ",F23)),Catalogo_Condicione_Financieras!A:W,18,0)*IF(F27="Por Campaña",1,0.7)</f>
        <v>#N/A</v>
      </c>
    </row>
    <row r="37" spans="2:90" x14ac:dyDescent="0.25">
      <c r="AP37" s="375" t="s">
        <v>306</v>
      </c>
      <c r="AQ37" s="375">
        <v>0</v>
      </c>
    </row>
    <row r="38" spans="2:90" ht="46.5" customHeight="1" x14ac:dyDescent="0.25">
      <c r="F38" s="604" t="str">
        <f>CONCATENATE(AZ67," ",AZ68)</f>
        <v xml:space="preserve"> </v>
      </c>
      <c r="G38" s="604"/>
      <c r="H38" s="604"/>
      <c r="I38" s="604"/>
      <c r="J38" s="604"/>
      <c r="K38" s="604"/>
      <c r="M38" s="451"/>
      <c r="AK38" s="376" t="s">
        <v>307</v>
      </c>
      <c r="AL38" s="381" t="e">
        <f>IF(AND(F24=10.3%,F25="Si"),VLOOKUP(TRIM(CONCATENATE(F20," ",F17," ",F18," ",F22," ",F21," ",F16," ",F25," ",F23," ",F24)),Catalogo_Condicione_Financieras!B:X,12,0),VLOOKUP(TRIM(CONCATENATE(F20," ",F17," ",F18," ",F22," ",F21," ",F16," ",F23," ",F24)),Catalogo_Condicione_Financieras!B:X,12,0))</f>
        <v>#N/A</v>
      </c>
      <c r="AP38" s="375" t="s">
        <v>315</v>
      </c>
      <c r="AQ38" s="379" t="e">
        <f>VLOOKUP(TRIM(CONCATENATE(F20," ",F17," ",F18," ",F22," ",F21," ",F16," ",F23)),Catalogo_Condicione_Financieras!A:W,18,0)</f>
        <v>#N/A</v>
      </c>
    </row>
    <row r="39" spans="2:90" x14ac:dyDescent="0.25">
      <c r="AK39" s="376" t="s">
        <v>293</v>
      </c>
      <c r="AL39" s="356" t="e">
        <f>MAX(V64:W363)</f>
        <v>#N/A</v>
      </c>
    </row>
    <row r="40" spans="2:90" x14ac:dyDescent="0.25">
      <c r="AP40" s="375" t="s">
        <v>22</v>
      </c>
      <c r="AQ40" s="382" t="e">
        <f>IF(AND(F24=10.3%,F25="Si"),VLOOKUP(TRIM(CONCATENATE(F20," ",F17," ",F18," ",F22," ",F21," ",F16," ",F25," ",F23," ",F24)),Catalogo_Condicione_Financieras!B:X,11,0),VLOOKUP(TRIM(CONCATENATE(F20," ",F17," ",F18," ",F22," ",F21," ",F16," ",F23," ",F24)),Catalogo_Condicione_Financieras!B:X,11,0))</f>
        <v>#N/A</v>
      </c>
    </row>
    <row r="41" spans="2:90" ht="16.5" thickBot="1" x14ac:dyDescent="0.3">
      <c r="B41" s="644" t="e">
        <f>IF(V365&gt;0,"Pago Total del Crédito","")</f>
        <v>#N/A</v>
      </c>
      <c r="C41" s="644"/>
      <c r="D41" s="644"/>
      <c r="E41" s="647" t="e">
        <f>IF(V365&gt;0,"Plazo Para Liquidar el Crédito","")</f>
        <v>#N/A</v>
      </c>
      <c r="F41" s="647"/>
      <c r="G41" s="647"/>
      <c r="H41" s="647"/>
      <c r="I41" s="647" t="e">
        <f>IF(V365&gt;0,"Ahorro Total","")</f>
        <v>#N/A</v>
      </c>
      <c r="J41" s="647"/>
      <c r="K41" s="647"/>
      <c r="N41" s="663" t="str">
        <f>IF(R36="SI","CONDICIONES DEL CREDITO DE LIQUIDEZ","")</f>
        <v>CONDICIONES DEL CREDITO DE LIQUIDEZ</v>
      </c>
      <c r="O41" s="663"/>
      <c r="P41" s="663"/>
      <c r="Q41" s="663"/>
      <c r="R41" s="663"/>
      <c r="S41" s="663"/>
      <c r="T41" s="663"/>
      <c r="U41" s="663"/>
      <c r="V41" s="663"/>
      <c r="W41" s="663"/>
      <c r="X41" s="663"/>
      <c r="Y41" s="663"/>
    </row>
    <row r="42" spans="2:90" ht="16.5" customHeight="1" x14ac:dyDescent="0.25">
      <c r="B42" s="605" t="e">
        <f>IF(V365&gt;0,V365,"")</f>
        <v>#N/A</v>
      </c>
      <c r="C42" s="605"/>
      <c r="D42" s="605"/>
      <c r="E42" s="644" t="e">
        <f>IF(V365&gt;0,CH50,"")</f>
        <v>#N/A</v>
      </c>
      <c r="F42" s="644"/>
      <c r="G42" s="644"/>
      <c r="H42" s="644"/>
      <c r="I42" s="605" t="e">
        <f>IF(V365&gt;0,BZ50,"")</f>
        <v>#N/A</v>
      </c>
      <c r="J42" s="605"/>
      <c r="K42" s="605"/>
      <c r="N42" s="446" t="str">
        <f>IF(OR(R36="NO",R36=""),"","Plazo")</f>
        <v>Plazo</v>
      </c>
      <c r="O42" s="650" t="str">
        <f>IF(OR(R36="NO",R36=""),"","Monto Solicitado")</f>
        <v>Monto Solicitado</v>
      </c>
      <c r="P42" s="650"/>
      <c r="Q42" s="650"/>
      <c r="R42" s="446" t="str">
        <f>IF(OR(R36="NO",R36=""),"","Tasa")</f>
        <v>Tasa</v>
      </c>
      <c r="S42" s="650" t="str">
        <f>IF(OR(R36="NO",R36=""),"","Pago Mensual Máximo")</f>
        <v>Pago Mensual Máximo</v>
      </c>
      <c r="T42" s="650"/>
      <c r="U42" s="650"/>
      <c r="V42" s="650" t="str">
        <f>IF(OR(R36="NO",R36=""),"","Pago Total del Crédito")</f>
        <v>Pago Total del Crédito</v>
      </c>
      <c r="W42" s="650"/>
      <c r="X42" s="650"/>
      <c r="Y42" s="446" t="str">
        <f>IF(OR(R36="NO",R36=""),"","CAT")</f>
        <v>CAT</v>
      </c>
      <c r="AK42" s="383"/>
      <c r="AL42" s="384">
        <f>MIN(AL16,AL43,AL44,AL45)</f>
        <v>0</v>
      </c>
      <c r="BM42" s="385" t="s">
        <v>54</v>
      </c>
      <c r="BN42" s="385" t="s">
        <v>55</v>
      </c>
      <c r="BO42" s="385" t="s">
        <v>56</v>
      </c>
      <c r="BP42" s="385" t="s">
        <v>57</v>
      </c>
      <c r="BQ42" s="385" t="s">
        <v>58</v>
      </c>
      <c r="BR42" s="385" t="s">
        <v>59</v>
      </c>
      <c r="BS42" s="385" t="s">
        <v>60</v>
      </c>
      <c r="BT42" s="385" t="s">
        <v>61</v>
      </c>
      <c r="BU42" s="385" t="s">
        <v>62</v>
      </c>
      <c r="BV42" s="385" t="s">
        <v>63</v>
      </c>
      <c r="BW42" s="385" t="s">
        <v>64</v>
      </c>
      <c r="BX42" s="385" t="s">
        <v>65</v>
      </c>
      <c r="BY42" s="385" t="s">
        <v>66</v>
      </c>
      <c r="BZ42" s="385" t="s">
        <v>67</v>
      </c>
      <c r="CA42" s="385" t="s">
        <v>68</v>
      </c>
      <c r="CB42" s="385" t="s">
        <v>69</v>
      </c>
      <c r="CC42" s="385" t="s">
        <v>70</v>
      </c>
      <c r="CD42" s="385" t="s">
        <v>71</v>
      </c>
      <c r="CE42" s="385" t="s">
        <v>72</v>
      </c>
      <c r="CF42" s="385" t="s">
        <v>73</v>
      </c>
      <c r="CG42" s="385" t="s">
        <v>74</v>
      </c>
      <c r="CH42" s="385" t="s">
        <v>75</v>
      </c>
      <c r="CI42" s="385" t="s">
        <v>76</v>
      </c>
      <c r="CJ42" s="385" t="s">
        <v>77</v>
      </c>
      <c r="CK42" s="385" t="s">
        <v>78</v>
      </c>
      <c r="CL42" s="385" t="s">
        <v>124</v>
      </c>
    </row>
    <row r="43" spans="2:90" ht="17.100000000000001" customHeight="1" x14ac:dyDescent="0.25">
      <c r="N43" s="452"/>
      <c r="O43" s="707"/>
      <c r="P43" s="707"/>
      <c r="Q43" s="707"/>
      <c r="R43" s="447" t="str">
        <f>IFERROR(IF(OR(R36="NO",R36=""),"",IF(OR(N43="",O43=""),"",Tabla_Amortización_Redisponible!E23)),"")</f>
        <v/>
      </c>
      <c r="S43" s="651" t="str">
        <f>IF(OR(R36="NO",R36=""),"",IF(MAX(Tabla_Amortización_Redisponible!K33:K212)=0,"",MAX(Tabla_Amortización_Redisponible!K33:K212)))</f>
        <v/>
      </c>
      <c r="T43" s="651"/>
      <c r="U43" s="651"/>
      <c r="V43" s="651" t="str">
        <f>IF(OR(R36="NO",R36=""),"",IF(Tabla_Amortización_Redisponible!K214=0,"",Tabla_Amortización_Redisponible!K214))</f>
        <v/>
      </c>
      <c r="W43" s="651"/>
      <c r="X43" s="651"/>
      <c r="Y43" s="448">
        <f>IF(OR(R36="NO",R36=""),"",Tabla_Amortización_Redisponible!H29)</f>
        <v>0</v>
      </c>
      <c r="AK43" s="386" t="s">
        <v>294</v>
      </c>
      <c r="AL43" s="387" t="str">
        <f>IF(F27="Por monto de crédito y valor de la vivienda",F29,AL44)</f>
        <v/>
      </c>
      <c r="BL43" s="388" t="s">
        <v>32</v>
      </c>
      <c r="BM43" s="389" t="b">
        <v>1</v>
      </c>
      <c r="BN43" s="389" t="b">
        <v>1</v>
      </c>
      <c r="BO43" s="389" t="b">
        <v>1</v>
      </c>
      <c r="BP43" s="389" t="b">
        <v>1</v>
      </c>
      <c r="BQ43" s="389" t="b">
        <v>1</v>
      </c>
      <c r="BR43" s="389" t="b">
        <v>1</v>
      </c>
      <c r="BS43" s="389" t="b">
        <v>1</v>
      </c>
      <c r="BT43" s="389" t="b">
        <v>1</v>
      </c>
      <c r="BU43" s="389" t="b">
        <v>1</v>
      </c>
      <c r="BV43" s="389" t="b">
        <v>1</v>
      </c>
      <c r="BW43" s="389" t="b">
        <v>1</v>
      </c>
      <c r="BX43" s="389" t="b">
        <v>1</v>
      </c>
      <c r="BY43" s="389" t="b">
        <v>1</v>
      </c>
      <c r="BZ43" s="389" t="b">
        <v>1</v>
      </c>
      <c r="CA43" s="389" t="b">
        <v>1</v>
      </c>
      <c r="CB43" s="389" t="b">
        <v>1</v>
      </c>
      <c r="CC43" s="389" t="b">
        <v>1</v>
      </c>
      <c r="CD43" s="389" t="b">
        <v>1</v>
      </c>
      <c r="CE43" s="389" t="b">
        <v>1</v>
      </c>
      <c r="CF43" s="389" t="b">
        <v>1</v>
      </c>
      <c r="CG43" s="389" t="b">
        <v>0</v>
      </c>
      <c r="CH43" s="389" t="b">
        <v>0</v>
      </c>
      <c r="CI43" s="389" t="b">
        <v>0</v>
      </c>
      <c r="CJ43" s="389" t="b">
        <v>0</v>
      </c>
      <c r="CK43" s="389" t="b">
        <v>0</v>
      </c>
      <c r="CL43" s="390" t="b" cm="1">
        <f t="array" ref="CL43">IF(F23=25,AVERAGE(BM43:CK43*1),IF(F23=20,AVERAGE(BM43:CF43*1),IF(F23=19,AVERAGE(BM43:CE43*1),IF(F23=18,AVERAGE(BM43:CD43*1),IF(F23=17,AVERAGE(BM43:CC43*1),IF(F23=16,AVERAGE(BM43:CB43*1),IF(F23=15,AVERAGE(BM43:CA43*1),IF(F23=14,AVERAGE(BM43:BZ43*1),IF(F23=13,AVERAGE(BM43:BY43*1),IF(F23=12,AVERAGE(BM43:BX43*1),IF(F23=11,AVERAGE(BM43:BW43*1),IF(F23=10,AVERAGE(BM43:BV43*1),IF(F23=9,AVERAGE(BM43:BU43*1),IF(F23=8,AVERAGE(BM43:BT43*1),IF(F23=7,AVERAGE(BM43:BS43*1),IF(F23=6,AVERAGE(BM43:BR43*1),IF(F23=5,AVERAGE(BM43:BQ43*1),IF(F23=4,AVERAGE(BM43:BP43*1),IF(F23=3,AVERAGE(BM43:BO43*1))))))))))))))))))))</f>
        <v>0</v>
      </c>
    </row>
    <row r="44" spans="2:90" ht="30" hidden="1" customHeight="1" x14ac:dyDescent="0.25">
      <c r="B44" s="380"/>
      <c r="C44" s="380"/>
      <c r="D44" s="380"/>
      <c r="E44" s="380"/>
      <c r="F44" s="380"/>
      <c r="G44" s="380"/>
      <c r="H44" s="380"/>
      <c r="I44" s="380"/>
      <c r="J44" s="380"/>
      <c r="K44" s="380"/>
      <c r="L44" s="380"/>
      <c r="M44" s="380"/>
      <c r="N44" s="380"/>
      <c r="O44" s="380"/>
      <c r="P44" s="380"/>
      <c r="Q44" s="380"/>
      <c r="R44" s="380"/>
      <c r="S44" s="380"/>
      <c r="T44" s="380"/>
      <c r="U44" s="380"/>
      <c r="V44" s="380"/>
      <c r="W44" s="380"/>
      <c r="X44" s="380"/>
      <c r="Y44" s="380"/>
      <c r="AK44" s="386" t="s">
        <v>295</v>
      </c>
      <c r="AL44" s="391" t="str">
        <f>IF($F$27="Por Valor de la Vivienda",MIN(($F$28*$AS$17)-$F$35,AL21),"")</f>
        <v/>
      </c>
      <c r="BL44" s="388" t="s">
        <v>33</v>
      </c>
      <c r="BM44" s="389" t="b">
        <v>1</v>
      </c>
      <c r="BN44" s="389" t="b">
        <v>1</v>
      </c>
      <c r="BO44" s="389" t="b">
        <v>1</v>
      </c>
      <c r="BP44" s="389" t="b">
        <v>1</v>
      </c>
      <c r="BQ44" s="389" t="b">
        <v>1</v>
      </c>
      <c r="BR44" s="389" t="b">
        <v>1</v>
      </c>
      <c r="BS44" s="389" t="b">
        <v>1</v>
      </c>
      <c r="BT44" s="389" t="b">
        <v>1</v>
      </c>
      <c r="BU44" s="389" t="b">
        <v>1</v>
      </c>
      <c r="BV44" s="389" t="b">
        <v>1</v>
      </c>
      <c r="BW44" s="389" t="b">
        <v>1</v>
      </c>
      <c r="BX44" s="389" t="b">
        <v>1</v>
      </c>
      <c r="BY44" s="389" t="b">
        <v>1</v>
      </c>
      <c r="BZ44" s="389" t="b">
        <v>1</v>
      </c>
      <c r="CA44" s="389" t="b">
        <v>1</v>
      </c>
      <c r="CB44" s="389" t="b">
        <v>1</v>
      </c>
      <c r="CC44" s="389" t="b">
        <v>1</v>
      </c>
      <c r="CD44" s="389" t="b">
        <v>1</v>
      </c>
      <c r="CE44" s="389" t="b">
        <v>1</v>
      </c>
      <c r="CF44" s="389" t="b">
        <v>1</v>
      </c>
      <c r="CG44" s="389" t="b">
        <v>0</v>
      </c>
      <c r="CH44" s="389" t="b">
        <v>0</v>
      </c>
      <c r="CI44" s="389" t="b">
        <v>0</v>
      </c>
      <c r="CJ44" s="389" t="b">
        <v>0</v>
      </c>
      <c r="CK44" s="389" t="b">
        <v>0</v>
      </c>
      <c r="CL44" s="390" cm="1">
        <f t="array" ref="CL44">IF(F23=25,AVERAGE(BM44:CK44*1),
IF(F23=20,AVERAGE(BM44:CF44*1),
IF(F23=19,AVERAGE(BM44:CE44*1),
IF(F23=18,AVERAGE(BM44:CD44*1),
IF(F23=17,AVERAGE(BM44:CC44*1),
IF(F23=16,AVERAGE(BM44:CB44*1),
IF(F23=15,AVERAGE(BM44:CA44*1),
IF(F23=14,AVERAGE(BM44:BZ44*1),
IF(F23=13,AVERAGE(BM44:BY44*1),
IF(F23=12,AVERAGE(BM44:BX44*1),
IF(F23=11,AVERAGE(BM44:BW44*1),
IF(F23=10,AVERAGE(BM44:BV44*1),
IF(F23=9,AVERAGE(BM44:BU44*1),
IF(F23=8,AVERAGE(BM44:BT44*1),
IF(F23=7,AVERAGE(BM44:BS44*1),
IF(F23=6,AVERAGE(BM44:BR44*1),
IF(F23=5,AVERAGE(BM44:BQ44*1),
IF(F23=4,AVERAGE(BM44:BP44*1),
IF(F23=3,AVERAGE(BM44:BO44*1),
)))))))))))))))))))</f>
        <v>0</v>
      </c>
    </row>
    <row r="45" spans="2:90" ht="16.5" hidden="1" thickBot="1" x14ac:dyDescent="0.3">
      <c r="B45" s="380"/>
      <c r="C45" s="380"/>
      <c r="D45" s="380"/>
      <c r="E45" s="380"/>
      <c r="F45" s="380"/>
      <c r="G45" s="380"/>
      <c r="H45" s="380"/>
      <c r="I45" s="380"/>
      <c r="J45" s="380"/>
      <c r="K45" s="380"/>
      <c r="L45" s="380"/>
      <c r="M45" s="380"/>
      <c r="N45" s="380"/>
      <c r="O45" s="380"/>
      <c r="P45" s="380"/>
      <c r="Q45" s="380"/>
      <c r="R45" s="380"/>
      <c r="S45" s="380"/>
      <c r="T45" s="380"/>
      <c r="U45" s="380"/>
      <c r="V45" s="380"/>
      <c r="W45" s="380"/>
      <c r="X45" s="380"/>
      <c r="Y45" s="380"/>
      <c r="AK45" s="392"/>
      <c r="AL45" s="393">
        <f>MIN($F$28-$F$32-$F$33-F35,$F$28*1-$F$32)</f>
        <v>0</v>
      </c>
    </row>
    <row r="46" spans="2:90" hidden="1" x14ac:dyDescent="0.25">
      <c r="B46" s="380"/>
      <c r="C46" s="380"/>
      <c r="D46" s="380"/>
      <c r="E46" s="380"/>
      <c r="F46" s="380"/>
      <c r="G46" s="380"/>
      <c r="H46" s="380"/>
      <c r="I46" s="380"/>
      <c r="J46" s="380"/>
      <c r="K46" s="380"/>
      <c r="L46" s="380"/>
      <c r="M46" s="380"/>
      <c r="N46" s="380"/>
      <c r="O46" s="380"/>
      <c r="P46" s="380"/>
      <c r="Q46" s="380"/>
      <c r="R46" s="380"/>
      <c r="S46" s="380"/>
      <c r="T46" s="380"/>
      <c r="U46" s="380"/>
      <c r="V46" s="380"/>
      <c r="W46" s="380"/>
      <c r="X46" s="380"/>
      <c r="Y46" s="380"/>
      <c r="BL46" s="388" t="s">
        <v>31</v>
      </c>
      <c r="BM46" s="394" t="str">
        <f>'Tabla_Puntual&amp;Relacionamiento'!B2</f>
        <v/>
      </c>
      <c r="BN46" s="394" t="str">
        <f>'Tabla_Puntual&amp;Relacionamiento'!B3</f>
        <v/>
      </c>
      <c r="BO46" s="394" t="str">
        <f>'Tabla_Puntual&amp;Relacionamiento'!B4</f>
        <v/>
      </c>
      <c r="BP46" s="394" t="str">
        <f>'Tabla_Puntual&amp;Relacionamiento'!B5</f>
        <v/>
      </c>
      <c r="BQ46" s="394" t="str">
        <f>'Tabla_Puntual&amp;Relacionamiento'!B6</f>
        <v/>
      </c>
      <c r="BR46" s="394" t="str">
        <f>'Tabla_Puntual&amp;Relacionamiento'!B7</f>
        <v/>
      </c>
      <c r="BS46" s="394" t="str">
        <f>'Tabla_Puntual&amp;Relacionamiento'!B8</f>
        <v/>
      </c>
      <c r="BT46" s="394" t="str">
        <f>'Tabla_Puntual&amp;Relacionamiento'!B9</f>
        <v/>
      </c>
      <c r="BU46" s="394" t="str">
        <f>'Tabla_Puntual&amp;Relacionamiento'!B10</f>
        <v/>
      </c>
      <c r="BV46" s="394" t="str">
        <f>'Tabla_Puntual&amp;Relacionamiento'!B11</f>
        <v/>
      </c>
      <c r="BW46" s="394" t="str">
        <f>'Tabla_Puntual&amp;Relacionamiento'!B12</f>
        <v/>
      </c>
      <c r="BX46" s="394" t="str">
        <f>'Tabla_Puntual&amp;Relacionamiento'!B13</f>
        <v/>
      </c>
      <c r="BY46" s="394" t="str">
        <f>'Tabla_Puntual&amp;Relacionamiento'!B14</f>
        <v/>
      </c>
      <c r="BZ46" s="394" t="str">
        <f>'Tabla_Puntual&amp;Relacionamiento'!B15</f>
        <v/>
      </c>
      <c r="CA46" s="394" t="str">
        <f>'Tabla_Puntual&amp;Relacionamiento'!B16</f>
        <v/>
      </c>
      <c r="CB46" s="394" t="str">
        <f>'Tabla_Puntual&amp;Relacionamiento'!B17</f>
        <v/>
      </c>
      <c r="CC46" s="394" t="str">
        <f>'Tabla_Puntual&amp;Relacionamiento'!B18</f>
        <v/>
      </c>
      <c r="CD46" s="394" t="str">
        <f>'Tabla_Puntual&amp;Relacionamiento'!B19</f>
        <v/>
      </c>
      <c r="CE46" s="394" t="str">
        <f>'Tabla_Puntual&amp;Relacionamiento'!B20</f>
        <v/>
      </c>
      <c r="CF46" s="394" t="str">
        <f>'Tabla_Puntual&amp;Relacionamiento'!B21</f>
        <v/>
      </c>
      <c r="CG46" s="394" t="str">
        <f>'Tabla_Puntual&amp;Relacionamiento'!B22</f>
        <v/>
      </c>
      <c r="CH46" s="394" t="str">
        <f>'Tabla_Puntual&amp;Relacionamiento'!B23</f>
        <v/>
      </c>
      <c r="CI46" s="394" t="str">
        <f>'Tabla_Puntual&amp;Relacionamiento'!B24</f>
        <v/>
      </c>
      <c r="CJ46" s="394" t="str">
        <f>'Tabla_Puntual&amp;Relacionamiento'!B25</f>
        <v/>
      </c>
      <c r="CK46" s="394" t="str">
        <f>'Tabla_Puntual&amp;Relacionamiento'!B26</f>
        <v/>
      </c>
    </row>
    <row r="47" spans="2:90" ht="16.5" hidden="1" thickBot="1" x14ac:dyDescent="0.3">
      <c r="B47" s="380"/>
      <c r="C47" s="380"/>
      <c r="D47" s="380"/>
      <c r="E47" s="380"/>
      <c r="F47" s="380"/>
      <c r="G47" s="380"/>
      <c r="H47" s="380"/>
      <c r="I47" s="380"/>
      <c r="J47" s="380"/>
      <c r="K47" s="380"/>
      <c r="L47" s="380"/>
      <c r="M47" s="380"/>
      <c r="N47" s="380"/>
      <c r="O47" s="380"/>
      <c r="P47" s="380"/>
      <c r="Q47" s="380"/>
      <c r="R47" s="380"/>
      <c r="S47" s="380"/>
      <c r="T47" s="380"/>
      <c r="U47" s="380"/>
      <c r="V47" s="380"/>
      <c r="W47" s="380"/>
      <c r="X47" s="380"/>
      <c r="Y47" s="380"/>
    </row>
    <row r="48" spans="2:90" ht="17.25" hidden="1" thickTop="1" thickBot="1" x14ac:dyDescent="0.3">
      <c r="B48" s="380"/>
      <c r="C48" s="380"/>
      <c r="D48" s="395"/>
      <c r="E48" s="395"/>
      <c r="F48" s="395"/>
      <c r="G48" s="395"/>
      <c r="H48" s="395"/>
      <c r="I48" s="395"/>
      <c r="J48" s="395"/>
      <c r="K48" s="395"/>
      <c r="L48" s="395"/>
      <c r="M48" s="395"/>
      <c r="N48" s="395"/>
      <c r="O48" s="395"/>
      <c r="P48" s="395"/>
      <c r="Q48" s="395"/>
      <c r="R48" s="395"/>
      <c r="S48" s="395"/>
      <c r="T48" s="395"/>
      <c r="U48" s="395"/>
      <c r="V48" s="395"/>
      <c r="W48" s="395"/>
      <c r="X48" s="395"/>
      <c r="Y48" s="395"/>
      <c r="Z48" s="364"/>
      <c r="AA48" s="364"/>
      <c r="AB48" s="364"/>
      <c r="BL48" s="704" t="str">
        <f>IF(AND(OR(CL43=0,CL44=0),F21="Apoyo Infonavit"),"BENEFICIO DEL PRODUCTO",IF(OR(CL43&lt;&gt;0,CL44&lt;&gt;0),"BENEFICIO DEL PRODUCTO",""))</f>
        <v>BENEFICIO DEL PRODUCTO</v>
      </c>
      <c r="BM48" s="705"/>
      <c r="BN48" s="705"/>
      <c r="BO48" s="705"/>
      <c r="BP48" s="705"/>
      <c r="BQ48" s="705"/>
      <c r="BR48" s="705"/>
      <c r="BS48" s="705"/>
      <c r="BT48" s="705"/>
      <c r="BU48" s="705"/>
      <c r="BV48" s="705"/>
      <c r="BW48" s="705"/>
      <c r="BX48" s="705"/>
      <c r="BY48" s="705"/>
      <c r="BZ48" s="705"/>
      <c r="CA48" s="705"/>
      <c r="CB48" s="705"/>
      <c r="CC48" s="705"/>
      <c r="CD48" s="705"/>
      <c r="CE48" s="705"/>
      <c r="CF48" s="705"/>
      <c r="CG48" s="705"/>
      <c r="CH48" s="705"/>
      <c r="CI48" s="705"/>
      <c r="CJ48" s="705"/>
      <c r="CK48" s="706"/>
    </row>
    <row r="49" spans="2:89" ht="16.5" hidden="1" thickTop="1" x14ac:dyDescent="0.25">
      <c r="B49" s="380"/>
      <c r="C49" s="380"/>
      <c r="D49" s="380"/>
      <c r="E49" s="380"/>
      <c r="F49" s="380"/>
      <c r="G49" s="380"/>
      <c r="H49" s="380"/>
      <c r="I49" s="380"/>
      <c r="J49" s="380"/>
      <c r="K49" s="380"/>
      <c r="L49" s="380"/>
      <c r="M49" s="380"/>
      <c r="N49" s="380"/>
      <c r="O49" s="380"/>
      <c r="P49" s="380"/>
      <c r="Q49" s="380"/>
      <c r="R49" s="396"/>
      <c r="S49" s="396"/>
      <c r="T49" s="396"/>
      <c r="U49" s="380"/>
      <c r="V49" s="380"/>
      <c r="W49" s="380"/>
      <c r="X49" s="380"/>
      <c r="Y49" s="380"/>
      <c r="BL49" s="397"/>
      <c r="BM49" s="398"/>
      <c r="BN49" s="398"/>
      <c r="BO49" s="398"/>
      <c r="BP49" s="398"/>
      <c r="BQ49" s="398"/>
      <c r="BR49" s="398"/>
      <c r="BS49" s="398"/>
      <c r="BT49" s="398"/>
      <c r="BU49" s="398"/>
      <c r="BV49" s="645" t="s">
        <v>166</v>
      </c>
      <c r="BW49" s="645"/>
      <c r="BX49" s="645"/>
      <c r="BY49" s="399"/>
      <c r="BZ49" s="645" t="str">
        <f>IF(AND(OR(CL43=0,CL44=0),F21="Apoyo Infonavit"),"Ahorro Total",IF(OR(CL43&lt;&gt;0,CL44&lt;&gt;0),"Ahorro Total",""))</f>
        <v>Ahorro Total</v>
      </c>
      <c r="CA49" s="645"/>
      <c r="CB49" s="645"/>
      <c r="CD49" s="645" t="str">
        <f>IF(AND(OR(CL43=0,CL44=0),F21="Apoyo Infonavit"),"Reducción de Plazo",IF(OR(CL43&lt;&gt;0,CL44&lt;&gt;0),"Reducción de Plazo",""))</f>
        <v>Reducción de Plazo</v>
      </c>
      <c r="CE49" s="645"/>
      <c r="CF49" s="645"/>
      <c r="CG49" s="399"/>
      <c r="CH49" s="645" t="s">
        <v>167</v>
      </c>
      <c r="CI49" s="645"/>
      <c r="CJ49" s="645"/>
      <c r="CK49" s="400" t="s">
        <v>155</v>
      </c>
    </row>
    <row r="50" spans="2:89" hidden="1" x14ac:dyDescent="0.25">
      <c r="B50" s="380"/>
      <c r="C50" s="380"/>
      <c r="D50" s="380"/>
      <c r="E50" s="380"/>
      <c r="F50" s="380"/>
      <c r="G50" s="380"/>
      <c r="H50" s="380"/>
      <c r="I50" s="380"/>
      <c r="J50" s="380"/>
      <c r="K50" s="380"/>
      <c r="L50" s="380"/>
      <c r="M50" s="380"/>
      <c r="N50" s="380"/>
      <c r="O50" s="380"/>
      <c r="P50" s="380"/>
      <c r="Q50" s="380"/>
      <c r="R50" s="380"/>
      <c r="S50" s="380"/>
      <c r="T50" s="380"/>
      <c r="U50" s="380"/>
      <c r="V50" s="380"/>
      <c r="W50" s="380"/>
      <c r="X50" s="380"/>
      <c r="Y50" s="380"/>
      <c r="BL50" s="401"/>
      <c r="BM50" s="655" t="str">
        <f>IF(AND(F20="Pago_Hipoteca+Liquidez",F36=""),"Selecciona el Crédito a Simular Pago de Hipoteca o Liquidez",IF(AND(CL43=0,CL44&lt;&gt;0),"Sin Pago Puntual Con Relacionamiento",IF(AND(CL43&lt;&gt;0,CL44&lt;&gt;0),"Con Pago Puntual y Relacionamiento",IF(AND(CL43&lt;&gt;0,CL44=0),"Con Pago Puntual Sin Relacionamiento",IF(AND(CL43=0,CL44=0),"Sin Pago Puntual y Sin Relacinamiento")))))</f>
        <v>Con Pago Puntual Sin Relacionamiento</v>
      </c>
      <c r="BN50" s="655"/>
      <c r="BO50" s="655"/>
      <c r="BP50" s="655"/>
      <c r="BQ50" s="655"/>
      <c r="BR50" s="655"/>
      <c r="BS50" s="655"/>
      <c r="BT50" s="655"/>
      <c r="BU50" s="655"/>
      <c r="BV50" s="646" t="e">
        <f>IF(AND(F20="Pago_Hipoteca+Liquidez",F36=""),"",V365)</f>
        <v>#N/A</v>
      </c>
      <c r="BW50" s="646"/>
      <c r="BX50" s="646"/>
      <c r="BY50" s="325"/>
      <c r="BZ50" s="662" t="e">
        <f>IF(AND(F20="Pago_Hipoteca+Liquidez",F36=""),"",IF(AND(OR(CL43=0,CL44=0),F21="Apoyo Infonavit"),Tabla_Amortización_PeorEscenari!S322-V365,IF(OR(CL43&lt;&gt;0,CL44&lt;&gt;0),Tabla_Amortización_PeorEscenari!S322-V365,"")))</f>
        <v>#N/A</v>
      </c>
      <c r="CA50" s="662"/>
      <c r="CB50" s="662"/>
      <c r="CD50" s="653" t="e">
        <f>IF(AND(F20="Pago_Hipoteca+Liquidez",F36=""),"",IF(AND(OR(CL43=0,CL44=0),F21="Apoyo Infonavit"),CONCATENATE(Tabla_Amortización_PeorEscenari!U322-COUNT(V64:W363)," ","Meses"),IF(OR(CL43&lt;&gt;0,CL44&lt;&gt;0),CONCATENATE(Tabla_Amortización_PeorEscenari!U322-COUNT(V64:W363)," ","Meses"),"")))</f>
        <v>#N/A</v>
      </c>
      <c r="CE50" s="653"/>
      <c r="CF50" s="653"/>
      <c r="CG50" s="402"/>
      <c r="CH50" s="683" t="e">
        <f>IF(AND(F20="Pago_Hipoteca+Liquidez",F36=""),"",CONCATENATE(Tabla_Amortización_PeorEscenari!U322-(Tabla_Amortización_PeorEscenari!U322-COUNT(V64:W363))," ","Meses"))</f>
        <v>#N/A</v>
      </c>
      <c r="CI50" s="683"/>
      <c r="CJ50" s="683"/>
      <c r="CK50" s="403" t="str">
        <f>IF(AND(F20="Pago_Hipoteca+Liquidez",F36=""),"",S27)</f>
        <v>-</v>
      </c>
    </row>
    <row r="51" spans="2:89" ht="16.5" hidden="1" thickBot="1" x14ac:dyDescent="0.3">
      <c r="B51" s="380"/>
      <c r="C51" s="380"/>
      <c r="D51" s="380"/>
      <c r="E51" s="380"/>
      <c r="F51" s="380"/>
      <c r="G51" s="380"/>
      <c r="H51" s="380"/>
      <c r="I51" s="380"/>
      <c r="J51" s="380"/>
      <c r="K51" s="380"/>
      <c r="L51" s="380"/>
      <c r="M51" s="380"/>
      <c r="N51" s="380"/>
      <c r="O51" s="380"/>
      <c r="P51" s="380"/>
      <c r="Q51" s="380"/>
      <c r="R51" s="380"/>
      <c r="S51" s="380"/>
      <c r="T51" s="380"/>
      <c r="U51" s="380"/>
      <c r="V51" s="380"/>
      <c r="W51" s="380"/>
      <c r="X51" s="380"/>
      <c r="Y51" s="380"/>
      <c r="BL51" s="404"/>
      <c r="BM51" s="708"/>
      <c r="BN51" s="708"/>
      <c r="BO51" s="708"/>
      <c r="BP51" s="708"/>
      <c r="BQ51" s="708"/>
      <c r="BR51" s="708"/>
      <c r="BS51" s="708"/>
      <c r="BT51" s="708"/>
      <c r="BU51" s="708"/>
      <c r="BV51" s="654"/>
      <c r="BW51" s="654"/>
      <c r="BX51" s="654"/>
      <c r="BY51" s="654"/>
      <c r="BZ51" s="405"/>
      <c r="CA51" s="661"/>
      <c r="CB51" s="661"/>
      <c r="CC51" s="661"/>
      <c r="CD51" s="661"/>
      <c r="CE51" s="405"/>
      <c r="CF51" s="660"/>
      <c r="CG51" s="660"/>
      <c r="CH51" s="660"/>
      <c r="CI51" s="660"/>
      <c r="CJ51" s="405"/>
      <c r="CK51" s="406"/>
    </row>
    <row r="52" spans="2:89" ht="16.5" hidden="1" thickTop="1" x14ac:dyDescent="0.25">
      <c r="B52" s="380"/>
      <c r="C52" s="380"/>
      <c r="D52" s="380"/>
      <c r="E52" s="380"/>
      <c r="F52" s="380"/>
      <c r="G52" s="380"/>
      <c r="H52" s="380"/>
      <c r="I52" s="380"/>
      <c r="J52" s="380"/>
      <c r="K52" s="380"/>
      <c r="L52" s="380"/>
      <c r="M52" s="380"/>
      <c r="N52" s="380"/>
      <c r="O52" s="380"/>
      <c r="P52" s="380"/>
      <c r="Q52" s="380"/>
      <c r="R52" s="380"/>
      <c r="S52" s="380"/>
      <c r="T52" s="380"/>
      <c r="U52" s="380"/>
      <c r="V52" s="380"/>
      <c r="W52" s="380"/>
      <c r="X52" s="380"/>
      <c r="Y52" s="380"/>
    </row>
    <row r="53" spans="2:89" hidden="1" x14ac:dyDescent="0.25">
      <c r="B53" s="380"/>
      <c r="C53" s="380"/>
      <c r="D53" s="380"/>
      <c r="E53" s="380"/>
      <c r="F53" s="380"/>
      <c r="G53" s="380"/>
      <c r="H53" s="380"/>
      <c r="I53" s="380"/>
      <c r="J53" s="380"/>
      <c r="K53" s="380"/>
      <c r="L53" s="380"/>
      <c r="M53" s="380"/>
      <c r="N53" s="380"/>
      <c r="O53" s="380"/>
      <c r="P53" s="380"/>
      <c r="Q53" s="380"/>
      <c r="R53" s="380"/>
      <c r="S53" s="380"/>
      <c r="T53" s="380"/>
      <c r="U53" s="380"/>
      <c r="V53" s="380"/>
      <c r="W53" s="380"/>
      <c r="X53" s="380"/>
      <c r="Y53" s="380"/>
    </row>
    <row r="54" spans="2:89" hidden="1" x14ac:dyDescent="0.25">
      <c r="B54" s="380"/>
      <c r="C54" s="380"/>
      <c r="D54" s="380"/>
      <c r="E54" s="380"/>
      <c r="F54" s="380"/>
      <c r="G54" s="380"/>
      <c r="H54" s="407"/>
      <c r="I54" s="407"/>
      <c r="J54" s="380"/>
      <c r="K54" s="380"/>
      <c r="L54" s="380"/>
      <c r="M54" s="380"/>
      <c r="N54" s="380"/>
      <c r="O54" s="380"/>
      <c r="P54" s="380"/>
      <c r="Q54" s="380"/>
      <c r="R54" s="380"/>
      <c r="S54" s="380"/>
      <c r="T54" s="380"/>
      <c r="U54" s="380"/>
      <c r="V54" s="380"/>
      <c r="W54" s="380"/>
      <c r="X54" s="380"/>
      <c r="Y54" s="380"/>
    </row>
    <row r="55" spans="2:89" hidden="1" x14ac:dyDescent="0.25">
      <c r="B55" s="380"/>
      <c r="C55" s="380"/>
      <c r="D55" s="380"/>
      <c r="E55" s="380"/>
      <c r="F55" s="380"/>
      <c r="G55" s="380"/>
      <c r="H55" s="380"/>
      <c r="I55" s="380"/>
      <c r="J55" s="380"/>
      <c r="K55" s="380"/>
      <c r="L55" s="380"/>
      <c r="M55" s="380"/>
      <c r="N55" s="380"/>
      <c r="O55" s="380"/>
      <c r="P55" s="380"/>
      <c r="Q55" s="380"/>
      <c r="R55" s="380"/>
      <c r="S55" s="380"/>
      <c r="T55" s="380"/>
      <c r="U55" s="380"/>
      <c r="V55" s="380"/>
      <c r="W55" s="380"/>
      <c r="X55" s="380"/>
      <c r="Y55" s="380"/>
    </row>
    <row r="56" spans="2:89" hidden="1" x14ac:dyDescent="0.25">
      <c r="B56" s="380"/>
      <c r="C56" s="408"/>
      <c r="D56" s="380"/>
      <c r="E56" s="380"/>
      <c r="F56" s="380"/>
      <c r="G56" s="380"/>
      <c r="H56" s="409"/>
      <c r="I56" s="409"/>
      <c r="J56" s="409"/>
      <c r="K56" s="409"/>
      <c r="L56" s="409"/>
      <c r="M56" s="409"/>
      <c r="N56" s="409"/>
      <c r="O56" s="409"/>
      <c r="P56" s="409"/>
      <c r="Q56" s="409"/>
      <c r="R56" s="409"/>
      <c r="S56" s="409"/>
      <c r="T56" s="409"/>
      <c r="U56" s="409"/>
      <c r="V56" s="409"/>
      <c r="W56" s="409"/>
      <c r="X56" s="409"/>
      <c r="Y56" s="409"/>
      <c r="Z56" s="410"/>
      <c r="AA56" s="410"/>
      <c r="AB56" s="410"/>
    </row>
    <row r="57" spans="2:89" hidden="1" x14ac:dyDescent="0.25">
      <c r="B57" s="408"/>
      <c r="C57" s="408"/>
      <c r="D57" s="380"/>
      <c r="E57" s="380"/>
      <c r="F57" s="380"/>
      <c r="G57" s="380"/>
      <c r="H57" s="411"/>
      <c r="I57" s="411"/>
      <c r="J57" s="411"/>
      <c r="K57" s="411"/>
      <c r="L57" s="411"/>
      <c r="M57" s="411"/>
      <c r="N57" s="411"/>
      <c r="O57" s="411"/>
      <c r="P57" s="411"/>
      <c r="Q57" s="411"/>
      <c r="R57" s="411"/>
      <c r="S57" s="411"/>
      <c r="T57" s="380"/>
      <c r="U57" s="380"/>
      <c r="V57" s="412"/>
      <c r="W57" s="408"/>
      <c r="X57" s="380"/>
      <c r="Y57" s="380"/>
      <c r="Z57" s="410"/>
      <c r="AA57" s="410"/>
      <c r="AB57" s="410"/>
    </row>
    <row r="58" spans="2:89" hidden="1" x14ac:dyDescent="0.25">
      <c r="B58" s="413"/>
      <c r="C58" s="413"/>
      <c r="D58" s="413"/>
      <c r="E58" s="413"/>
      <c r="F58" s="413"/>
      <c r="G58" s="409"/>
      <c r="H58" s="409"/>
      <c r="I58" s="409"/>
      <c r="J58" s="380"/>
      <c r="K58" s="380"/>
      <c r="L58" s="380"/>
      <c r="M58" s="380"/>
      <c r="N58" s="380"/>
      <c r="O58" s="380"/>
      <c r="P58" s="380"/>
      <c r="Q58" s="380"/>
      <c r="R58" s="380"/>
      <c r="S58" s="380"/>
      <c r="T58" s="380"/>
      <c r="U58" s="380"/>
      <c r="V58" s="380"/>
      <c r="W58" s="380"/>
      <c r="X58" s="380"/>
      <c r="Y58" s="380"/>
    </row>
    <row r="59" spans="2:89" hidden="1" x14ac:dyDescent="0.25">
      <c r="B59" s="414"/>
      <c r="C59" s="414"/>
      <c r="D59" s="414"/>
      <c r="E59" s="414"/>
      <c r="F59" s="414"/>
      <c r="G59" s="380"/>
      <c r="H59" s="380"/>
      <c r="I59" s="380"/>
      <c r="J59" s="380"/>
      <c r="K59" s="380"/>
      <c r="L59" s="380"/>
      <c r="M59" s="380"/>
      <c r="N59" s="380"/>
      <c r="O59" s="380"/>
      <c r="P59" s="380"/>
      <c r="Q59" s="380"/>
      <c r="R59" s="380"/>
      <c r="S59" s="380"/>
      <c r="T59" s="380"/>
      <c r="U59" s="380"/>
      <c r="V59" s="380"/>
      <c r="W59" s="380"/>
      <c r="X59" s="380"/>
      <c r="Y59" s="380"/>
    </row>
    <row r="60" spans="2:89" hidden="1" x14ac:dyDescent="0.25">
      <c r="B60" s="412"/>
      <c r="C60" s="408"/>
      <c r="D60" s="411"/>
      <c r="E60" s="411"/>
      <c r="F60" s="411"/>
      <c r="G60" s="380"/>
      <c r="H60" s="380"/>
      <c r="I60" s="380"/>
      <c r="J60" s="380"/>
      <c r="K60" s="380"/>
      <c r="L60" s="380"/>
      <c r="M60" s="380"/>
      <c r="N60" s="380"/>
      <c r="O60" s="380"/>
      <c r="P60" s="380"/>
      <c r="Q60" s="380"/>
      <c r="R60" s="380"/>
      <c r="S60" s="380"/>
      <c r="T60" s="380"/>
      <c r="U60" s="380"/>
      <c r="V60" s="380"/>
      <c r="W60" s="380"/>
      <c r="X60" s="380"/>
      <c r="Y60" s="380"/>
      <c r="Z60" s="410"/>
      <c r="AA60" s="410"/>
      <c r="AB60" s="410"/>
    </row>
    <row r="61" spans="2:89" ht="16.5" thickBot="1" x14ac:dyDescent="0.3">
      <c r="C61" s="410"/>
      <c r="D61" s="410"/>
      <c r="E61" s="410"/>
      <c r="F61" s="410"/>
      <c r="G61" s="410"/>
      <c r="H61" s="410"/>
      <c r="I61" s="410"/>
      <c r="J61" s="410"/>
      <c r="K61" s="410"/>
      <c r="L61" s="410"/>
      <c r="M61" s="410"/>
      <c r="N61" s="410"/>
      <c r="O61" s="410"/>
      <c r="P61" s="410"/>
      <c r="Q61" s="410"/>
      <c r="R61" s="410"/>
      <c r="S61" s="410"/>
      <c r="T61" s="410"/>
      <c r="U61" s="410"/>
      <c r="V61" s="410"/>
    </row>
    <row r="62" spans="2:89" ht="32.25" thickBot="1" x14ac:dyDescent="0.3">
      <c r="B62" s="415" t="s">
        <v>314</v>
      </c>
      <c r="C62" s="415" t="s">
        <v>10</v>
      </c>
      <c r="D62" s="709" t="s">
        <v>317</v>
      </c>
      <c r="E62" s="709"/>
      <c r="F62" s="709" t="s">
        <v>12</v>
      </c>
      <c r="G62" s="709"/>
      <c r="H62" s="709" t="str">
        <f>IF(F20="Liquidez","Iva Intereses",IF(AND(F20="Pago_Hipoteca+Liquidez",F36="Liquidez"),"Iva Intereses",""))</f>
        <v/>
      </c>
      <c r="I62" s="709"/>
      <c r="J62" s="709" t="s">
        <v>13</v>
      </c>
      <c r="K62" s="709"/>
      <c r="L62" s="709" t="s">
        <v>14</v>
      </c>
      <c r="M62" s="709"/>
      <c r="N62" s="710" t="s">
        <v>372</v>
      </c>
      <c r="O62" s="710"/>
      <c r="P62" s="709" t="s">
        <v>163</v>
      </c>
      <c r="Q62" s="709"/>
      <c r="R62" s="709" t="s">
        <v>18</v>
      </c>
      <c r="S62" s="709"/>
      <c r="T62" s="415" t="s">
        <v>31</v>
      </c>
      <c r="U62" s="415" t="s">
        <v>126</v>
      </c>
      <c r="V62" s="709" t="s">
        <v>159</v>
      </c>
      <c r="W62" s="709"/>
      <c r="X62" s="709" t="s">
        <v>15</v>
      </c>
      <c r="Y62" s="709"/>
      <c r="AL62" s="416" t="s">
        <v>160</v>
      </c>
      <c r="AM62" s="417" t="s">
        <v>134</v>
      </c>
      <c r="AN62" s="709" t="s">
        <v>370</v>
      </c>
      <c r="AO62" s="709"/>
      <c r="AP62" s="709" t="s">
        <v>373</v>
      </c>
      <c r="AQ62" s="709"/>
      <c r="AR62" s="442" t="s">
        <v>347</v>
      </c>
      <c r="AS62" s="324" t="s">
        <v>399</v>
      </c>
      <c r="AW62" s="324" t="s">
        <v>482</v>
      </c>
    </row>
    <row r="63" spans="2:89" x14ac:dyDescent="0.25">
      <c r="B63" s="418"/>
      <c r="C63" s="419"/>
      <c r="D63" s="674"/>
      <c r="E63" s="674"/>
      <c r="F63" s="711"/>
      <c r="G63" s="711"/>
      <c r="H63" s="713"/>
      <c r="I63" s="713"/>
      <c r="J63" s="711"/>
      <c r="K63" s="711"/>
      <c r="L63" s="674"/>
      <c r="M63" s="674"/>
      <c r="N63" s="711"/>
      <c r="O63" s="711"/>
      <c r="P63" s="711"/>
      <c r="Q63" s="711"/>
      <c r="R63" s="712"/>
      <c r="S63" s="712"/>
      <c r="V63" s="642"/>
      <c r="W63" s="642"/>
      <c r="X63" s="642">
        <f>IF(F38&lt;&gt;" ",0,IF(AND(OR(F34="",F36=""),F20="Pago_Hipoteca+Liquidez"),0,IF(AND(F20="Pago_Hipoteca+Liquidez",F36="Pago de Hipoteca"),F34,IF(AND(F20="Pago_Hipoteca+Liquidez",F36="Liquidez"),U24-F34,U24))))</f>
        <v>0</v>
      </c>
      <c r="Y63" s="642"/>
      <c r="AB63" s="341"/>
      <c r="AL63" s="420"/>
      <c r="AM63" s="421">
        <f>IF(ISNUMBER(X63),-X63,0)+IF(N18="C. Contratación Crédito",IF(ISNUMBER(S18),S18*X63,0),0)+IF(ISNUMBER(S17),S17/1.16,0)+IF(ISNUMBER(Caratula!S19),Caratula!S19/1.16)</f>
        <v>1850.0000000000002</v>
      </c>
      <c r="AN63" s="652"/>
      <c r="AO63" s="652"/>
      <c r="AP63" s="638"/>
      <c r="AQ63" s="638"/>
      <c r="AR63" s="426">
        <f>MAX(B64:B363)</f>
        <v>1</v>
      </c>
    </row>
    <row r="64" spans="2:89" x14ac:dyDescent="0.25">
      <c r="B64" s="418">
        <v>1</v>
      </c>
      <c r="C64" s="423">
        <f>X63</f>
        <v>0</v>
      </c>
      <c r="D64" s="643" t="e">
        <f>IF(B64="","",AL64-F64)</f>
        <v>#N/A</v>
      </c>
      <c r="E64" s="643"/>
      <c r="F64" s="643" t="e">
        <f t="shared" ref="F64:F127" si="2">IF(B64="","",IF(X63*(T64/12)&lt;0,"",X63*(T64/12)))</f>
        <v>#VALUE!</v>
      </c>
      <c r="G64" s="643"/>
      <c r="H64" s="671">
        <f t="shared" ref="H64:H127" si="3">IFERROR(IF($F$20="Liquidez",F64*0.16,
IF(AND($F$20="Pago_Hipoteca+Liquidez",$F$36="Liquidez"),F64*0.16,0)),0)</f>
        <v>0</v>
      </c>
      <c r="I64" s="671"/>
      <c r="J64" s="640" t="e">
        <f>IF(B64="","",C64*$AQ$35/1000)</f>
        <v>#N/A</v>
      </c>
      <c r="K64" s="640"/>
      <c r="L64" s="631" t="e">
        <f>IF(B64="","",IF(AND($F$20="Pago_Hipoteca+Liquidez",$F$36="Liquidez"),0,
IF((($F$28*0.7)*$AQ$38)&gt;C64*$AQ$38,($F$28*0.7)*($AQ$38)/1000,($AQ$38*C64)/1000)))</f>
        <v>#N/A</v>
      </c>
      <c r="M64" s="631"/>
      <c r="N64" s="631" t="e">
        <f>IF(B64="","",VLOOKUP(TRIM(CONCATENATE($F$20," ",$F$17," ",$F$18," ",$F$22," ",$F$21," ",$F$16," ",$F$23," ",$F$24)),Catalogo_Condicione_Financieras!B:W,22,0)*1.16)</f>
        <v>#N/A</v>
      </c>
      <c r="O64" s="631"/>
      <c r="P64" s="641"/>
      <c r="Q64" s="641"/>
      <c r="R64" s="631"/>
      <c r="S64" s="631"/>
      <c r="T64" s="424" t="str">
        <f>IF(B64="","",'Tabla_Puntual&amp;Relacionamiento'!$B$2)</f>
        <v/>
      </c>
      <c r="U64" s="425"/>
      <c r="V64" s="642" t="e">
        <f t="shared" ref="V64:V127" si="4">IF(B64="","",D64+F64+H64+J64+L64+N64)</f>
        <v>#N/A</v>
      </c>
      <c r="W64" s="642"/>
      <c r="X64" s="642">
        <f t="shared" ref="X64:X123" si="5">IFERROR(IF(C64="","",IF((C64-D64-P64+AN64+AP64-R64)&lt;1,0,C64-D64-P64+AN64+AP64-R64)),0)</f>
        <v>0</v>
      </c>
      <c r="Y64" s="642"/>
      <c r="AB64" s="341"/>
      <c r="AC64" s="341"/>
      <c r="AI64" s="341"/>
      <c r="AL64" s="420" t="e">
        <f>IF(B64="","",IF(X63&lt;AL63,X63+F64,$X$63*$AQ$40/1000))</f>
        <v>#N/A</v>
      </c>
      <c r="AM64" s="421" t="e">
        <f>IF(C64="",0,AL64+J64+AS64+(N64/1.16)+R64)</f>
        <v>#N/A</v>
      </c>
      <c r="AN64" s="638">
        <f t="shared" ref="AN64:AN123" si="6">IF(B64="","",IF(OR($N$18="C. Contratación Crédito",P64=""),0,IF(AND(P64&gt;0,$S$18&gt;0),P64*$S$18,0)))</f>
        <v>0</v>
      </c>
      <c r="AO64" s="638"/>
      <c r="AP64" s="635">
        <f>IF(B64="","",IF(AN64&gt;0,AN64*0.16,0))</f>
        <v>0</v>
      </c>
      <c r="AQ64" s="635"/>
      <c r="AR64" s="422"/>
      <c r="AS64" s="522" t="e">
        <f>IF(B64="","",
IF(AND($F$20="Pago_Hipoteca+Liquidez",$F$36="Liquidez"),0,
IF((($F$28*0.7)*$AQ$38/1.16)&gt;C64*$AQ$38/1.16,($F$28*0.7)*($AQ$38/1.16),($AQ$38/1.16)*C64)/1000))</f>
        <v>#N/A</v>
      </c>
      <c r="AU64" s="597"/>
      <c r="AW64" s="324" t="s">
        <v>483</v>
      </c>
      <c r="AZ64" s="341">
        <f>U24</f>
        <v>0</v>
      </c>
    </row>
    <row r="65" spans="2:53" x14ac:dyDescent="0.25">
      <c r="B65" s="426" t="str">
        <f t="shared" ref="B65:B128" si="7">IF(OR(B64="",X64&lt;=0),"",IF(B64+1&lt;=F$23*12,B64+1,""))</f>
        <v/>
      </c>
      <c r="C65" s="423" t="str">
        <f t="shared" ref="C65:C128" si="8">IF(B65="","",IF(IF(C64="","",C64-D64-R64)&lt;0.01,AQ64,IF(C64="","",X64)))</f>
        <v/>
      </c>
      <c r="D65" s="643" t="str">
        <f>IF(B65="","",AL65-F65)</f>
        <v/>
      </c>
      <c r="E65" s="643"/>
      <c r="F65" s="643" t="str">
        <f t="shared" si="2"/>
        <v/>
      </c>
      <c r="G65" s="643"/>
      <c r="H65" s="671">
        <f t="shared" si="3"/>
        <v>0</v>
      </c>
      <c r="I65" s="671"/>
      <c r="J65" s="640" t="str">
        <f t="shared" ref="J65:J128" si="9">IF(B65="","",C65*$AQ$35/1000)</f>
        <v/>
      </c>
      <c r="K65" s="640"/>
      <c r="L65" s="631" t="str">
        <f>IF(B65="","",IF(AND($F$20="Pago_Hipoteca+Liquidez",$F$36="Liquidez"),0,
IF((($F$28*0.7)*$AQ$38)&gt;C65*$AQ$38,($F$28*0.7)*($AQ$38)/1000,($AQ$38*C65)/1000)))</f>
        <v/>
      </c>
      <c r="M65" s="631"/>
      <c r="N65" s="631" t="str">
        <f>IF(B65="","",VLOOKUP(TRIM(CONCATENATE($F$20," ",$F$17," ",$F$18," ",$F$22," ",$F$21," ",$F$16," ",$F$23," ",$F$24)),Catalogo_Condicione_Financieras!B:W,22,0)*1.16)</f>
        <v/>
      </c>
      <c r="O65" s="631"/>
      <c r="P65" s="641"/>
      <c r="Q65" s="641"/>
      <c r="R65" s="631" t="str">
        <f>IF(OR(X64=0,X64=""),"",IF($F$21="Apoyo Infonavit",IF(D65&gt;=C65,0,MIN(IF($F$30="",0,Caratula!$F$30),$AL$30*25)*10%),0))</f>
        <v/>
      </c>
      <c r="S65" s="631"/>
      <c r="T65" s="424" t="str">
        <f>IF(B65="","",'Tabla_Puntual&amp;Relacionamiento'!$B$2)</f>
        <v/>
      </c>
      <c r="U65" s="424"/>
      <c r="V65" s="642" t="str">
        <f t="shared" si="4"/>
        <v/>
      </c>
      <c r="W65" s="642"/>
      <c r="X65" s="642" t="str">
        <f t="shared" si="5"/>
        <v/>
      </c>
      <c r="Y65" s="642"/>
      <c r="AE65" s="341"/>
      <c r="AL65" s="420" t="str">
        <f t="shared" ref="AL65:AL128" si="10">IF(B65="","",
IF(X64&lt;AL64,X64+F65,
IF($F$16="Pago_Fijo_Puntual",$X$63*$AQ$40/1000,
IF($F$16="Pago_Bajo_Puntual",AL64+(AL64*U65)))))</f>
        <v/>
      </c>
      <c r="AM65" s="421">
        <f>IF(C65="",0,AL65+J65+AS65+(N65/1.16)+R65)</f>
        <v>0</v>
      </c>
      <c r="AN65" s="638" t="str">
        <f t="shared" si="6"/>
        <v/>
      </c>
      <c r="AO65" s="638"/>
      <c r="AP65" s="635" t="str">
        <f>IF(B65="","",IF(AN65&gt;0,AN65*0.16,0))</f>
        <v/>
      </c>
      <c r="AQ65" s="635"/>
      <c r="AR65" s="422"/>
      <c r="AS65" s="522" t="str">
        <f>IF(B65="","",
IF(AND($F$20="Pago_Hipoteca+Liquidez",$F$36="Liquidez"),0,
IF((($F$28*0.7)*$AQ$38/1.16)&gt;C65*$AQ$38/1.16,($F$28*0.7)*($AQ$38/1.16),($AQ$38/1.16)*C65)/1000))</f>
        <v/>
      </c>
      <c r="AU65" s="341"/>
      <c r="AW65" s="324" t="s">
        <v>484</v>
      </c>
      <c r="AZ65" s="341">
        <f>F34</f>
        <v>0</v>
      </c>
      <c r="BA65" s="601" t="e">
        <f>AZ65/AZ64</f>
        <v>#DIV/0!</v>
      </c>
    </row>
    <row r="66" spans="2:53" x14ac:dyDescent="0.25">
      <c r="B66" s="426" t="str">
        <f t="shared" si="7"/>
        <v/>
      </c>
      <c r="C66" s="423" t="str">
        <f t="shared" si="8"/>
        <v/>
      </c>
      <c r="D66" s="643" t="str">
        <f t="shared" ref="D66:D129" si="11">IF(B66="","",AL66-F66)</f>
        <v/>
      </c>
      <c r="E66" s="643"/>
      <c r="F66" s="643" t="str">
        <f t="shared" si="2"/>
        <v/>
      </c>
      <c r="G66" s="643"/>
      <c r="H66" s="671">
        <f t="shared" si="3"/>
        <v>0</v>
      </c>
      <c r="I66" s="671"/>
      <c r="J66" s="640" t="str">
        <f t="shared" si="9"/>
        <v/>
      </c>
      <c r="K66" s="640"/>
      <c r="L66" s="631" t="str">
        <f t="shared" ref="L66:L129" si="12">IF(B66="","",IF(AND($F$20="Pago_Hipoteca+Liquidez",$F$36="Liquidez"),0,
IF((($F$28*0.7)*$AQ$38)&gt;C66*$AQ$38,($F$28*0.7)*($AQ$38)/1000,($AQ$38*C66)/1000)))</f>
        <v/>
      </c>
      <c r="M66" s="631"/>
      <c r="N66" s="631" t="str">
        <f>IF(B66="","",VLOOKUP(TRIM(CONCATENATE($F$20," ",$F$17," ",$F$18," ",$F$22," ",$F$21," ",$F$16," ",$F$23," ",$F$24)),Catalogo_Condicione_Financieras!B:W,22,0)*1.16)</f>
        <v/>
      </c>
      <c r="O66" s="631"/>
      <c r="P66" s="641"/>
      <c r="Q66" s="641"/>
      <c r="R66" s="631"/>
      <c r="S66" s="631"/>
      <c r="T66" s="424" t="str">
        <f>IF(B66="","",'Tabla_Puntual&amp;Relacionamiento'!$B$2)</f>
        <v/>
      </c>
      <c r="U66" s="424"/>
      <c r="V66" s="642" t="str">
        <f t="shared" si="4"/>
        <v/>
      </c>
      <c r="W66" s="642"/>
      <c r="X66" s="642" t="str">
        <f t="shared" si="5"/>
        <v/>
      </c>
      <c r="Y66" s="642"/>
      <c r="AF66" s="341"/>
      <c r="AL66" s="420" t="str">
        <f>IF(B66="","",
IF(X65&lt;AL65,X65+F66,
IF($F$16="Pago_Fijo_Puntual",$X$63*$AQ$40/1000,
IF($F$16="Pago_Bajo_Puntual",AL65+(AL65*U66)))))</f>
        <v/>
      </c>
      <c r="AM66" s="421">
        <f>IF(C66="",0,AL66+J66+AS66+(N66/1.16)+R66)</f>
        <v>0</v>
      </c>
      <c r="AN66" s="638" t="str">
        <f t="shared" si="6"/>
        <v/>
      </c>
      <c r="AO66" s="638"/>
      <c r="AP66" s="635" t="str">
        <f t="shared" ref="AP66" si="13">IF(B66="","",IF(AN66&gt;0,AN66*0.16,0))</f>
        <v/>
      </c>
      <c r="AQ66" s="635"/>
      <c r="AR66" s="422"/>
      <c r="AS66" s="522" t="str">
        <f t="shared" ref="AS66:AS128" si="14">IF(B66="","",IF(AND($F$20="Pago_Hipoteca+Liquidez",$F$36="Liquidez"),0,
IF((($F$28*0.7)*$AQ$38/1.16)&gt;C66*$AQ$38/1.16,($F$28*0.7)*($AQ$38/1.16),($AQ$38/1.16)*C66)/1000))</f>
        <v/>
      </c>
      <c r="AU66" s="341"/>
      <c r="AW66" s="324" t="s">
        <v>485</v>
      </c>
      <c r="AZ66" s="341">
        <f>AZ64-AZ65</f>
        <v>0</v>
      </c>
      <c r="BA66" s="601" t="e">
        <f>AZ66/AZ64</f>
        <v>#DIV/0!</v>
      </c>
    </row>
    <row r="67" spans="2:53" x14ac:dyDescent="0.25">
      <c r="B67" s="426" t="str">
        <f t="shared" si="7"/>
        <v/>
      </c>
      <c r="C67" s="423" t="str">
        <f t="shared" si="8"/>
        <v/>
      </c>
      <c r="D67" s="643" t="str">
        <f t="shared" si="11"/>
        <v/>
      </c>
      <c r="E67" s="643"/>
      <c r="F67" s="643" t="str">
        <f t="shared" si="2"/>
        <v/>
      </c>
      <c r="G67" s="643"/>
      <c r="H67" s="671">
        <f t="shared" si="3"/>
        <v>0</v>
      </c>
      <c r="I67" s="671"/>
      <c r="J67" s="640" t="str">
        <f t="shared" si="9"/>
        <v/>
      </c>
      <c r="K67" s="640"/>
      <c r="L67" s="631" t="str">
        <f t="shared" si="12"/>
        <v/>
      </c>
      <c r="M67" s="631"/>
      <c r="N67" s="631" t="str">
        <f>IF(B67="","",VLOOKUP(TRIM(CONCATENATE($F$20," ",$F$17," ",$F$18," ",$F$22," ",$F$21," ",$F$16," ",$F$23," ",$F$24)),Catalogo_Condicione_Financieras!B:W,22,0)*1.16)</f>
        <v/>
      </c>
      <c r="O67" s="631"/>
      <c r="P67" s="641"/>
      <c r="Q67" s="641"/>
      <c r="R67" s="631" t="str">
        <f>IF(OR(X66=0,X66=""),"",IF($F$21="Apoyo Infonavit",IF(D67&gt;=C67,0,MIN(IF($F$30="",0,Caratula!$F$30),$AL$30*25)*10%),0))</f>
        <v/>
      </c>
      <c r="S67" s="631"/>
      <c r="T67" s="424" t="str">
        <f>IF(B67="","",'Tabla_Puntual&amp;Relacionamiento'!$B$2)</f>
        <v/>
      </c>
      <c r="U67" s="424"/>
      <c r="V67" s="642" t="str">
        <f t="shared" si="4"/>
        <v/>
      </c>
      <c r="W67" s="642"/>
      <c r="X67" s="642" t="str">
        <f t="shared" si="5"/>
        <v/>
      </c>
      <c r="Y67" s="642"/>
      <c r="AL67" s="420" t="str">
        <f t="shared" si="10"/>
        <v/>
      </c>
      <c r="AM67" s="421">
        <f t="shared" ref="AM67:AM130" si="15">IF(C67="",0,AL67+J67+AS67+(N67/1.16)+R67)</f>
        <v>0</v>
      </c>
      <c r="AN67" s="638" t="str">
        <f t="shared" si="6"/>
        <v/>
      </c>
      <c r="AO67" s="638"/>
      <c r="AP67" s="635" t="str">
        <f t="shared" ref="AP67:AP123" si="16">IF(B67="","",IF(AN67&gt;0,AN67*0.16,0))</f>
        <v/>
      </c>
      <c r="AQ67" s="635"/>
      <c r="AR67" s="427"/>
      <c r="AS67" s="522" t="str">
        <f t="shared" si="14"/>
        <v/>
      </c>
      <c r="AU67" s="341"/>
      <c r="AW67" s="324" t="s">
        <v>486</v>
      </c>
      <c r="AZ67" s="324" t="str">
        <f>IFERROR(IF(AND(BA66&gt;50%,F20="Pago_Hipoteca+Liquidez"),"El % del Crédito de Liquidez no puede ser mayor a 50 %",""),"")</f>
        <v/>
      </c>
    </row>
    <row r="68" spans="2:53" x14ac:dyDescent="0.25">
      <c r="B68" s="426" t="str">
        <f t="shared" si="7"/>
        <v/>
      </c>
      <c r="C68" s="423" t="str">
        <f t="shared" si="8"/>
        <v/>
      </c>
      <c r="D68" s="643" t="str">
        <f t="shared" si="11"/>
        <v/>
      </c>
      <c r="E68" s="643"/>
      <c r="F68" s="643" t="str">
        <f t="shared" si="2"/>
        <v/>
      </c>
      <c r="G68" s="643"/>
      <c r="H68" s="671">
        <f t="shared" si="3"/>
        <v>0</v>
      </c>
      <c r="I68" s="671"/>
      <c r="J68" s="640" t="str">
        <f t="shared" si="9"/>
        <v/>
      </c>
      <c r="K68" s="640"/>
      <c r="L68" s="631" t="str">
        <f t="shared" si="12"/>
        <v/>
      </c>
      <c r="M68" s="631"/>
      <c r="N68" s="631" t="str">
        <f>IF(B68="","",VLOOKUP(TRIM(CONCATENATE($F$20," ",$F$17," ",$F$18," ",$F$22," ",$F$21," ",$F$16," ",$F$23," ",$F$24)),Catalogo_Condicione_Financieras!B:W,22,0)*1.16)</f>
        <v/>
      </c>
      <c r="O68" s="631"/>
      <c r="P68" s="641"/>
      <c r="Q68" s="641"/>
      <c r="R68" s="631"/>
      <c r="S68" s="631"/>
      <c r="T68" s="424" t="str">
        <f>IF(B68="","",'Tabla_Puntual&amp;Relacionamiento'!$B$2)</f>
        <v/>
      </c>
      <c r="U68" s="424"/>
      <c r="V68" s="642" t="str">
        <f t="shared" si="4"/>
        <v/>
      </c>
      <c r="W68" s="642"/>
      <c r="X68" s="642" t="str">
        <f t="shared" si="5"/>
        <v/>
      </c>
      <c r="Y68" s="642"/>
      <c r="AL68" s="420" t="str">
        <f t="shared" si="10"/>
        <v/>
      </c>
      <c r="AM68" s="421">
        <f t="shared" si="15"/>
        <v>0</v>
      </c>
      <c r="AN68" s="638" t="str">
        <f t="shared" si="6"/>
        <v/>
      </c>
      <c r="AO68" s="638"/>
      <c r="AP68" s="635" t="str">
        <f t="shared" si="16"/>
        <v/>
      </c>
      <c r="AQ68" s="635"/>
      <c r="AR68" s="427"/>
      <c r="AS68" s="522" t="str">
        <f t="shared" si="14"/>
        <v/>
      </c>
      <c r="AW68" s="324" t="s">
        <v>487</v>
      </c>
      <c r="AZ68" s="324" t="str">
        <f>IFERROR(IF(AND(AZ66&gt;1000000,F20="Pago_Hipoteca+Liquidez"),"El Monto del Crédito de Liquidez no puede ser mayor a $1,000,000",""),"")</f>
        <v/>
      </c>
    </row>
    <row r="69" spans="2:53" x14ac:dyDescent="0.25">
      <c r="B69" s="426" t="str">
        <f t="shared" si="7"/>
        <v/>
      </c>
      <c r="C69" s="423" t="str">
        <f t="shared" si="8"/>
        <v/>
      </c>
      <c r="D69" s="643" t="str">
        <f t="shared" si="11"/>
        <v/>
      </c>
      <c r="E69" s="643"/>
      <c r="F69" s="643" t="str">
        <f t="shared" si="2"/>
        <v/>
      </c>
      <c r="G69" s="643"/>
      <c r="H69" s="671">
        <f t="shared" si="3"/>
        <v>0</v>
      </c>
      <c r="I69" s="671"/>
      <c r="J69" s="640" t="str">
        <f t="shared" si="9"/>
        <v/>
      </c>
      <c r="K69" s="640"/>
      <c r="L69" s="631" t="str">
        <f t="shared" si="12"/>
        <v/>
      </c>
      <c r="M69" s="631"/>
      <c r="N69" s="631" t="str">
        <f>IF(B69="","",VLOOKUP(TRIM(CONCATENATE($F$20," ",$F$17," ",$F$18," ",$F$22," ",$F$21," ",$F$16," ",$F$23," ",$F$24)),Catalogo_Condicione_Financieras!B:W,22,0)*1.16)</f>
        <v/>
      </c>
      <c r="O69" s="631"/>
      <c r="P69" s="641"/>
      <c r="Q69" s="641"/>
      <c r="R69" s="631" t="str">
        <f>IF(OR(X68=0,X68=""),"",IF($F$21="Apoyo Infonavit",IF(D69&gt;=C69,0,MIN(IF($F$30="",0,Caratula!$F$30),$AL$30*25)*10%),0))</f>
        <v/>
      </c>
      <c r="S69" s="631"/>
      <c r="T69" s="424" t="str">
        <f>IF(B69="","",'Tabla_Puntual&amp;Relacionamiento'!$B$2)</f>
        <v/>
      </c>
      <c r="U69" s="424"/>
      <c r="V69" s="642" t="str">
        <f t="shared" si="4"/>
        <v/>
      </c>
      <c r="W69" s="642"/>
      <c r="X69" s="642" t="str">
        <f t="shared" si="5"/>
        <v/>
      </c>
      <c r="Y69" s="642"/>
      <c r="AL69" s="420" t="str">
        <f t="shared" si="10"/>
        <v/>
      </c>
      <c r="AM69" s="421">
        <f t="shared" si="15"/>
        <v>0</v>
      </c>
      <c r="AN69" s="638" t="str">
        <f t="shared" si="6"/>
        <v/>
      </c>
      <c r="AO69" s="638"/>
      <c r="AP69" s="635" t="str">
        <f t="shared" si="16"/>
        <v/>
      </c>
      <c r="AQ69" s="635"/>
      <c r="AR69" s="427"/>
      <c r="AS69" s="522" t="str">
        <f t="shared" si="14"/>
        <v/>
      </c>
    </row>
    <row r="70" spans="2:53" x14ac:dyDescent="0.25">
      <c r="B70" s="426" t="str">
        <f t="shared" si="7"/>
        <v/>
      </c>
      <c r="C70" s="423" t="str">
        <f t="shared" si="8"/>
        <v/>
      </c>
      <c r="D70" s="643" t="str">
        <f t="shared" si="11"/>
        <v/>
      </c>
      <c r="E70" s="643"/>
      <c r="F70" s="643" t="str">
        <f t="shared" si="2"/>
        <v/>
      </c>
      <c r="G70" s="643"/>
      <c r="H70" s="671">
        <f t="shared" si="3"/>
        <v>0</v>
      </c>
      <c r="I70" s="671"/>
      <c r="J70" s="640" t="str">
        <f t="shared" si="9"/>
        <v/>
      </c>
      <c r="K70" s="640"/>
      <c r="L70" s="631" t="str">
        <f t="shared" si="12"/>
        <v/>
      </c>
      <c r="M70" s="631"/>
      <c r="N70" s="631" t="str">
        <f>IF(B70="","",VLOOKUP(TRIM(CONCATENATE($F$20," ",$F$17," ",$F$18," ",$F$22," ",$F$21," ",$F$16," ",$F$23," ",$F$24)),Catalogo_Condicione_Financieras!B:W,22,0)*1.16)</f>
        <v/>
      </c>
      <c r="O70" s="631"/>
      <c r="P70" s="641"/>
      <c r="Q70" s="641"/>
      <c r="R70" s="631"/>
      <c r="S70" s="631"/>
      <c r="T70" s="424" t="str">
        <f>IF(B70="","",'Tabla_Puntual&amp;Relacionamiento'!$B$2)</f>
        <v/>
      </c>
      <c r="U70" s="424"/>
      <c r="V70" s="642" t="str">
        <f t="shared" si="4"/>
        <v/>
      </c>
      <c r="W70" s="642"/>
      <c r="X70" s="642" t="str">
        <f t="shared" si="5"/>
        <v/>
      </c>
      <c r="Y70" s="642"/>
      <c r="AL70" s="420" t="str">
        <f t="shared" si="10"/>
        <v/>
      </c>
      <c r="AM70" s="421">
        <f t="shared" si="15"/>
        <v>0</v>
      </c>
      <c r="AN70" s="638" t="str">
        <f t="shared" si="6"/>
        <v/>
      </c>
      <c r="AO70" s="638"/>
      <c r="AP70" s="635" t="str">
        <f t="shared" si="16"/>
        <v/>
      </c>
      <c r="AQ70" s="635"/>
      <c r="AR70" s="427"/>
      <c r="AS70" s="522" t="str">
        <f t="shared" si="14"/>
        <v/>
      </c>
    </row>
    <row r="71" spans="2:53" x14ac:dyDescent="0.25">
      <c r="B71" s="426" t="str">
        <f t="shared" si="7"/>
        <v/>
      </c>
      <c r="C71" s="423" t="str">
        <f t="shared" si="8"/>
        <v/>
      </c>
      <c r="D71" s="643" t="str">
        <f t="shared" si="11"/>
        <v/>
      </c>
      <c r="E71" s="643"/>
      <c r="F71" s="643" t="str">
        <f t="shared" si="2"/>
        <v/>
      </c>
      <c r="G71" s="643"/>
      <c r="H71" s="671">
        <f t="shared" si="3"/>
        <v>0</v>
      </c>
      <c r="I71" s="671"/>
      <c r="J71" s="640" t="str">
        <f t="shared" si="9"/>
        <v/>
      </c>
      <c r="K71" s="640"/>
      <c r="L71" s="631" t="str">
        <f t="shared" si="12"/>
        <v/>
      </c>
      <c r="M71" s="631"/>
      <c r="N71" s="631" t="str">
        <f>IF(B71="","",VLOOKUP(TRIM(CONCATENATE($F$20," ",$F$17," ",$F$18," ",$F$22," ",$F$21," ",$F$16," ",$F$23," ",$F$24)),Catalogo_Condicione_Financieras!B:W,22,0)*1.16)</f>
        <v/>
      </c>
      <c r="O71" s="631"/>
      <c r="P71" s="641"/>
      <c r="Q71" s="641"/>
      <c r="R71" s="631" t="str">
        <f>IF(OR(X70=0,X70=""),"",IF($F$21="Apoyo Infonavit",IF(D71&gt;=C71,0,MIN(IF($F$30="",0,Caratula!$F$30),$AL$30*25)*10%),0))</f>
        <v/>
      </c>
      <c r="S71" s="631"/>
      <c r="T71" s="424" t="str">
        <f>IF(B71="","",'Tabla_Puntual&amp;Relacionamiento'!$B$2)</f>
        <v/>
      </c>
      <c r="U71" s="424"/>
      <c r="V71" s="642" t="str">
        <f t="shared" si="4"/>
        <v/>
      </c>
      <c r="W71" s="642"/>
      <c r="X71" s="642" t="str">
        <f t="shared" si="5"/>
        <v/>
      </c>
      <c r="Y71" s="642"/>
      <c r="AL71" s="420" t="str">
        <f t="shared" si="10"/>
        <v/>
      </c>
      <c r="AM71" s="421">
        <f t="shared" si="15"/>
        <v>0</v>
      </c>
      <c r="AN71" s="638" t="str">
        <f t="shared" si="6"/>
        <v/>
      </c>
      <c r="AO71" s="638"/>
      <c r="AP71" s="635" t="str">
        <f t="shared" si="16"/>
        <v/>
      </c>
      <c r="AQ71" s="635"/>
      <c r="AR71" s="427"/>
      <c r="AS71" s="522" t="str">
        <f t="shared" si="14"/>
        <v/>
      </c>
    </row>
    <row r="72" spans="2:53" x14ac:dyDescent="0.25">
      <c r="B72" s="426" t="str">
        <f t="shared" si="7"/>
        <v/>
      </c>
      <c r="C72" s="423" t="str">
        <f t="shared" si="8"/>
        <v/>
      </c>
      <c r="D72" s="643" t="str">
        <f t="shared" si="11"/>
        <v/>
      </c>
      <c r="E72" s="643"/>
      <c r="F72" s="643" t="str">
        <f t="shared" si="2"/>
        <v/>
      </c>
      <c r="G72" s="643"/>
      <c r="H72" s="671">
        <f t="shared" si="3"/>
        <v>0</v>
      </c>
      <c r="I72" s="671"/>
      <c r="J72" s="640" t="str">
        <f t="shared" si="9"/>
        <v/>
      </c>
      <c r="K72" s="640"/>
      <c r="L72" s="631" t="str">
        <f t="shared" si="12"/>
        <v/>
      </c>
      <c r="M72" s="631"/>
      <c r="N72" s="631" t="str">
        <f>IF(B72="","",VLOOKUP(TRIM(CONCATENATE($F$20," ",$F$17," ",$F$18," ",$F$22," ",$F$21," ",$F$16," ",$F$23," ",$F$24)),Catalogo_Condicione_Financieras!B:W,22,0)*1.16)</f>
        <v/>
      </c>
      <c r="O72" s="631"/>
      <c r="P72" s="641"/>
      <c r="Q72" s="641"/>
      <c r="R72" s="631"/>
      <c r="S72" s="631"/>
      <c r="T72" s="424" t="str">
        <f>IF(B72="","",'Tabla_Puntual&amp;Relacionamiento'!$B$2)</f>
        <v/>
      </c>
      <c r="U72" s="424"/>
      <c r="V72" s="642" t="str">
        <f t="shared" si="4"/>
        <v/>
      </c>
      <c r="W72" s="642"/>
      <c r="X72" s="642" t="str">
        <f t="shared" si="5"/>
        <v/>
      </c>
      <c r="Y72" s="642"/>
      <c r="AL72" s="420" t="str">
        <f t="shared" si="10"/>
        <v/>
      </c>
      <c r="AM72" s="421">
        <f t="shared" si="15"/>
        <v>0</v>
      </c>
      <c r="AN72" s="638" t="str">
        <f t="shared" si="6"/>
        <v/>
      </c>
      <c r="AO72" s="638"/>
      <c r="AP72" s="635" t="str">
        <f t="shared" si="16"/>
        <v/>
      </c>
      <c r="AQ72" s="635"/>
      <c r="AR72" s="427"/>
      <c r="AS72" s="522" t="str">
        <f t="shared" si="14"/>
        <v/>
      </c>
    </row>
    <row r="73" spans="2:53" x14ac:dyDescent="0.25">
      <c r="B73" s="426" t="str">
        <f t="shared" si="7"/>
        <v/>
      </c>
      <c r="C73" s="423" t="str">
        <f t="shared" si="8"/>
        <v/>
      </c>
      <c r="D73" s="643" t="str">
        <f t="shared" si="11"/>
        <v/>
      </c>
      <c r="E73" s="643"/>
      <c r="F73" s="643" t="str">
        <f t="shared" si="2"/>
        <v/>
      </c>
      <c r="G73" s="643"/>
      <c r="H73" s="671">
        <f t="shared" si="3"/>
        <v>0</v>
      </c>
      <c r="I73" s="671"/>
      <c r="J73" s="640" t="str">
        <f t="shared" si="9"/>
        <v/>
      </c>
      <c r="K73" s="640"/>
      <c r="L73" s="631" t="str">
        <f t="shared" si="12"/>
        <v/>
      </c>
      <c r="M73" s="631"/>
      <c r="N73" s="631" t="str">
        <f>IF(B73="","",VLOOKUP(TRIM(CONCATENATE($F$20," ",$F$17," ",$F$18," ",$F$22," ",$F$21," ",$F$16," ",$F$23," ",$F$24)),Catalogo_Condicione_Financieras!B:W,22,0)*1.16)</f>
        <v/>
      </c>
      <c r="O73" s="631"/>
      <c r="P73" s="641"/>
      <c r="Q73" s="641"/>
      <c r="R73" s="631" t="str">
        <f>IF(OR(X72=0,X72=""),"",IF($F$21="Apoyo Infonavit",IF(D73&gt;=C73,0,MIN(IF($F$30="",0,Caratula!$F$30),$AL$30*25)*10%),0))</f>
        <v/>
      </c>
      <c r="S73" s="631"/>
      <c r="T73" s="424" t="str">
        <f>IF(B73="","",'Tabla_Puntual&amp;Relacionamiento'!$B$2)</f>
        <v/>
      </c>
      <c r="U73" s="424"/>
      <c r="V73" s="642" t="str">
        <f t="shared" si="4"/>
        <v/>
      </c>
      <c r="W73" s="642"/>
      <c r="X73" s="642" t="str">
        <f t="shared" si="5"/>
        <v/>
      </c>
      <c r="Y73" s="642"/>
      <c r="AL73" s="420" t="str">
        <f t="shared" si="10"/>
        <v/>
      </c>
      <c r="AM73" s="421">
        <f t="shared" si="15"/>
        <v>0</v>
      </c>
      <c r="AN73" s="638" t="str">
        <f t="shared" si="6"/>
        <v/>
      </c>
      <c r="AO73" s="638"/>
      <c r="AP73" s="635" t="str">
        <f t="shared" si="16"/>
        <v/>
      </c>
      <c r="AQ73" s="635"/>
      <c r="AR73" s="427"/>
      <c r="AS73" s="522" t="str">
        <f t="shared" si="14"/>
        <v/>
      </c>
    </row>
    <row r="74" spans="2:53" x14ac:dyDescent="0.25">
      <c r="B74" s="426" t="str">
        <f t="shared" si="7"/>
        <v/>
      </c>
      <c r="C74" s="423" t="str">
        <f t="shared" si="8"/>
        <v/>
      </c>
      <c r="D74" s="643" t="str">
        <f t="shared" si="11"/>
        <v/>
      </c>
      <c r="E74" s="643"/>
      <c r="F74" s="643" t="str">
        <f t="shared" si="2"/>
        <v/>
      </c>
      <c r="G74" s="643"/>
      <c r="H74" s="671">
        <f t="shared" si="3"/>
        <v>0</v>
      </c>
      <c r="I74" s="671"/>
      <c r="J74" s="640" t="str">
        <f t="shared" si="9"/>
        <v/>
      </c>
      <c r="K74" s="640"/>
      <c r="L74" s="631" t="str">
        <f t="shared" si="12"/>
        <v/>
      </c>
      <c r="M74" s="631"/>
      <c r="N74" s="631" t="str">
        <f>IF(B74="","",VLOOKUP(TRIM(CONCATENATE($F$20," ",$F$17," ",$F$18," ",$F$22," ",$F$21," ",$F$16," ",$F$23," ",$F$24)),Catalogo_Condicione_Financieras!B:W,22,0)*1.16)</f>
        <v/>
      </c>
      <c r="O74" s="631"/>
      <c r="P74" s="641"/>
      <c r="Q74" s="641"/>
      <c r="R74" s="631"/>
      <c r="S74" s="631"/>
      <c r="T74" s="424" t="str">
        <f>IF(B74="","",'Tabla_Puntual&amp;Relacionamiento'!$B$2)</f>
        <v/>
      </c>
      <c r="U74" s="424"/>
      <c r="V74" s="642" t="str">
        <f t="shared" si="4"/>
        <v/>
      </c>
      <c r="W74" s="642"/>
      <c r="X74" s="642" t="str">
        <f t="shared" si="5"/>
        <v/>
      </c>
      <c r="Y74" s="642"/>
      <c r="AL74" s="420" t="str">
        <f t="shared" si="10"/>
        <v/>
      </c>
      <c r="AM74" s="421">
        <f t="shared" si="15"/>
        <v>0</v>
      </c>
      <c r="AN74" s="638" t="str">
        <f t="shared" si="6"/>
        <v/>
      </c>
      <c r="AO74" s="638"/>
      <c r="AP74" s="635" t="str">
        <f t="shared" si="16"/>
        <v/>
      </c>
      <c r="AQ74" s="635"/>
      <c r="AR74" s="427"/>
      <c r="AS74" s="522" t="str">
        <f t="shared" si="14"/>
        <v/>
      </c>
    </row>
    <row r="75" spans="2:53" x14ac:dyDescent="0.25">
      <c r="B75" s="426" t="str">
        <f t="shared" si="7"/>
        <v/>
      </c>
      <c r="C75" s="423" t="str">
        <f t="shared" si="8"/>
        <v/>
      </c>
      <c r="D75" s="643" t="str">
        <f t="shared" si="11"/>
        <v/>
      </c>
      <c r="E75" s="643"/>
      <c r="F75" s="643" t="str">
        <f t="shared" si="2"/>
        <v/>
      </c>
      <c r="G75" s="643"/>
      <c r="H75" s="671">
        <f t="shared" si="3"/>
        <v>0</v>
      </c>
      <c r="I75" s="671"/>
      <c r="J75" s="640" t="str">
        <f t="shared" si="9"/>
        <v/>
      </c>
      <c r="K75" s="640"/>
      <c r="L75" s="631" t="str">
        <f t="shared" si="12"/>
        <v/>
      </c>
      <c r="M75" s="631"/>
      <c r="N75" s="631" t="str">
        <f>IF(B75="","",VLOOKUP(TRIM(CONCATENATE($F$20," ",$F$17," ",$F$18," ",$F$22," ",$F$21," ",$F$16," ",$F$23," ",$F$24)),Catalogo_Condicione_Financieras!B:W,22,0)*1.16)</f>
        <v/>
      </c>
      <c r="O75" s="631"/>
      <c r="P75" s="641"/>
      <c r="Q75" s="641"/>
      <c r="R75" s="631" t="str">
        <f>IF(OR(X74=0,X74=""),"",IF($F$21="Apoyo Infonavit",IF(D75&gt;=C75,0,MIN(IF($F$30="",0,Caratula!$F$30),$AL$30*25)*10%),0))</f>
        <v/>
      </c>
      <c r="S75" s="631"/>
      <c r="T75" s="424" t="str">
        <f>IF(B75="","",'Tabla_Puntual&amp;Relacionamiento'!$B$2)</f>
        <v/>
      </c>
      <c r="U75" s="424"/>
      <c r="V75" s="642" t="str">
        <f t="shared" si="4"/>
        <v/>
      </c>
      <c r="W75" s="642"/>
      <c r="X75" s="642" t="str">
        <f t="shared" si="5"/>
        <v/>
      </c>
      <c r="Y75" s="642"/>
      <c r="AL75" s="420" t="str">
        <f t="shared" si="10"/>
        <v/>
      </c>
      <c r="AM75" s="421">
        <f t="shared" si="15"/>
        <v>0</v>
      </c>
      <c r="AN75" s="638" t="str">
        <f t="shared" si="6"/>
        <v/>
      </c>
      <c r="AO75" s="638"/>
      <c r="AP75" s="635" t="str">
        <f t="shared" si="16"/>
        <v/>
      </c>
      <c r="AQ75" s="635"/>
      <c r="AR75" s="427"/>
      <c r="AS75" s="522" t="str">
        <f t="shared" si="14"/>
        <v/>
      </c>
    </row>
    <row r="76" spans="2:53" x14ac:dyDescent="0.25">
      <c r="B76" s="426" t="str">
        <f t="shared" si="7"/>
        <v/>
      </c>
      <c r="C76" s="423" t="str">
        <f t="shared" si="8"/>
        <v/>
      </c>
      <c r="D76" s="643" t="str">
        <f t="shared" si="11"/>
        <v/>
      </c>
      <c r="E76" s="643"/>
      <c r="F76" s="643" t="str">
        <f t="shared" si="2"/>
        <v/>
      </c>
      <c r="G76" s="643"/>
      <c r="H76" s="671">
        <f t="shared" si="3"/>
        <v>0</v>
      </c>
      <c r="I76" s="671"/>
      <c r="J76" s="640" t="str">
        <f t="shared" si="9"/>
        <v/>
      </c>
      <c r="K76" s="640"/>
      <c r="L76" s="631" t="str">
        <f t="shared" si="12"/>
        <v/>
      </c>
      <c r="M76" s="631"/>
      <c r="N76" s="631" t="str">
        <f>IF(B76="","",VLOOKUP(TRIM(CONCATENATE($F$20," ",$F$17," ",$F$18," ",$F$22," ",$F$21," ",$F$16," ",$F$23," ",$F$24)),Catalogo_Condicione_Financieras!B:W,22,0)*1.16)</f>
        <v/>
      </c>
      <c r="O76" s="631"/>
      <c r="P76" s="641"/>
      <c r="Q76" s="641"/>
      <c r="R76" s="631"/>
      <c r="S76" s="631"/>
      <c r="T76" s="424" t="str">
        <f>IF(B76="","",'Tabla_Puntual&amp;Relacionamiento'!$B$3)</f>
        <v/>
      </c>
      <c r="U76" s="424" t="str">
        <f>IF(B76="","",IF($F$16="Pago_Bajo_Puntual",0.019,""))</f>
        <v/>
      </c>
      <c r="V76" s="642" t="str">
        <f t="shared" si="4"/>
        <v/>
      </c>
      <c r="W76" s="642"/>
      <c r="X76" s="642" t="str">
        <f t="shared" si="5"/>
        <v/>
      </c>
      <c r="Y76" s="642"/>
      <c r="AL76" s="420" t="str">
        <f t="shared" si="10"/>
        <v/>
      </c>
      <c r="AM76" s="421">
        <f t="shared" si="15"/>
        <v>0</v>
      </c>
      <c r="AN76" s="638" t="str">
        <f t="shared" si="6"/>
        <v/>
      </c>
      <c r="AO76" s="638"/>
      <c r="AP76" s="635" t="str">
        <f t="shared" si="16"/>
        <v/>
      </c>
      <c r="AQ76" s="635"/>
      <c r="AR76" s="427"/>
      <c r="AS76" s="522" t="str">
        <f t="shared" si="14"/>
        <v/>
      </c>
    </row>
    <row r="77" spans="2:53" x14ac:dyDescent="0.25">
      <c r="B77" s="426" t="str">
        <f t="shared" si="7"/>
        <v/>
      </c>
      <c r="C77" s="423" t="str">
        <f t="shared" si="8"/>
        <v/>
      </c>
      <c r="D77" s="643" t="str">
        <f t="shared" si="11"/>
        <v/>
      </c>
      <c r="E77" s="643"/>
      <c r="F77" s="643" t="str">
        <f t="shared" si="2"/>
        <v/>
      </c>
      <c r="G77" s="643"/>
      <c r="H77" s="671">
        <f t="shared" si="3"/>
        <v>0</v>
      </c>
      <c r="I77" s="671"/>
      <c r="J77" s="640" t="str">
        <f t="shared" si="9"/>
        <v/>
      </c>
      <c r="K77" s="640"/>
      <c r="L77" s="631" t="str">
        <f t="shared" si="12"/>
        <v/>
      </c>
      <c r="M77" s="631"/>
      <c r="N77" s="631" t="str">
        <f>IF(B77="","",VLOOKUP(TRIM(CONCATENATE($F$20," ",$F$17," ",$F$18," ",$F$22," ",$F$21," ",$F$16," ",$F$23," ",$F$24)),Catalogo_Condicione_Financieras!B:W,22,0)*1.16)</f>
        <v/>
      </c>
      <c r="O77" s="631"/>
      <c r="P77" s="641"/>
      <c r="Q77" s="641"/>
      <c r="R77" s="631" t="str">
        <f>IF(OR(X76=0,X76=""),"",IF($F$21="Apoyo Infonavit",IF(D77&gt;=C77,0,MIN(IF($F$30="",0,Caratula!$F$30),$AL$30*25)*10%),0))</f>
        <v/>
      </c>
      <c r="S77" s="631"/>
      <c r="T77" s="424" t="str">
        <f>IF(B77="","",'Tabla_Puntual&amp;Relacionamiento'!$B$3)</f>
        <v/>
      </c>
      <c r="U77" s="424"/>
      <c r="V77" s="642" t="str">
        <f t="shared" si="4"/>
        <v/>
      </c>
      <c r="W77" s="642"/>
      <c r="X77" s="642" t="str">
        <f t="shared" si="5"/>
        <v/>
      </c>
      <c r="Y77" s="642"/>
      <c r="AL77" s="420" t="str">
        <f t="shared" si="10"/>
        <v/>
      </c>
      <c r="AM77" s="421">
        <f t="shared" si="15"/>
        <v>0</v>
      </c>
      <c r="AN77" s="638" t="str">
        <f t="shared" si="6"/>
        <v/>
      </c>
      <c r="AO77" s="638"/>
      <c r="AP77" s="635" t="str">
        <f t="shared" si="16"/>
        <v/>
      </c>
      <c r="AQ77" s="635"/>
      <c r="AR77" s="427"/>
      <c r="AS77" s="522" t="str">
        <f t="shared" si="14"/>
        <v/>
      </c>
    </row>
    <row r="78" spans="2:53" x14ac:dyDescent="0.25">
      <c r="B78" s="426" t="str">
        <f t="shared" si="7"/>
        <v/>
      </c>
      <c r="C78" s="423" t="str">
        <f t="shared" si="8"/>
        <v/>
      </c>
      <c r="D78" s="643" t="str">
        <f t="shared" si="11"/>
        <v/>
      </c>
      <c r="E78" s="643"/>
      <c r="F78" s="643" t="str">
        <f t="shared" si="2"/>
        <v/>
      </c>
      <c r="G78" s="643"/>
      <c r="H78" s="671">
        <f t="shared" si="3"/>
        <v>0</v>
      </c>
      <c r="I78" s="671"/>
      <c r="J78" s="640" t="str">
        <f t="shared" si="9"/>
        <v/>
      </c>
      <c r="K78" s="640"/>
      <c r="L78" s="631" t="str">
        <f t="shared" si="12"/>
        <v/>
      </c>
      <c r="M78" s="631"/>
      <c r="N78" s="631" t="str">
        <f>IF(B78="","",VLOOKUP(TRIM(CONCATENATE($F$20," ",$F$17," ",$F$18," ",$F$22," ",$F$21," ",$F$16," ",$F$23," ",$F$24)),Catalogo_Condicione_Financieras!B:W,22,0)*1.16)</f>
        <v/>
      </c>
      <c r="O78" s="631"/>
      <c r="P78" s="641"/>
      <c r="Q78" s="641"/>
      <c r="R78" s="631"/>
      <c r="S78" s="631"/>
      <c r="T78" s="424" t="str">
        <f>IF(B78="","",'Tabla_Puntual&amp;Relacionamiento'!$B$3)</f>
        <v/>
      </c>
      <c r="U78" s="424"/>
      <c r="V78" s="642" t="str">
        <f t="shared" si="4"/>
        <v/>
      </c>
      <c r="W78" s="642"/>
      <c r="X78" s="642" t="str">
        <f t="shared" si="5"/>
        <v/>
      </c>
      <c r="Y78" s="642"/>
      <c r="AL78" s="420" t="str">
        <f t="shared" si="10"/>
        <v/>
      </c>
      <c r="AM78" s="421">
        <f t="shared" si="15"/>
        <v>0</v>
      </c>
      <c r="AN78" s="638" t="str">
        <f t="shared" si="6"/>
        <v/>
      </c>
      <c r="AO78" s="638"/>
      <c r="AP78" s="635" t="str">
        <f t="shared" si="16"/>
        <v/>
      </c>
      <c r="AQ78" s="635"/>
      <c r="AR78" s="427"/>
      <c r="AS78" s="522" t="str">
        <f t="shared" si="14"/>
        <v/>
      </c>
    </row>
    <row r="79" spans="2:53" x14ac:dyDescent="0.25">
      <c r="B79" s="426" t="str">
        <f t="shared" si="7"/>
        <v/>
      </c>
      <c r="C79" s="423" t="str">
        <f t="shared" si="8"/>
        <v/>
      </c>
      <c r="D79" s="643" t="str">
        <f t="shared" si="11"/>
        <v/>
      </c>
      <c r="E79" s="643"/>
      <c r="F79" s="643" t="str">
        <f t="shared" si="2"/>
        <v/>
      </c>
      <c r="G79" s="643"/>
      <c r="H79" s="671">
        <f t="shared" si="3"/>
        <v>0</v>
      </c>
      <c r="I79" s="671"/>
      <c r="J79" s="640" t="str">
        <f t="shared" si="9"/>
        <v/>
      </c>
      <c r="K79" s="640"/>
      <c r="L79" s="631" t="str">
        <f t="shared" si="12"/>
        <v/>
      </c>
      <c r="M79" s="631"/>
      <c r="N79" s="631" t="str">
        <f>IF(B79="","",VLOOKUP(TRIM(CONCATENATE($F$20," ",$F$17," ",$F$18," ",$F$22," ",$F$21," ",$F$16," ",$F$23," ",$F$24)),Catalogo_Condicione_Financieras!B:W,22,0)*1.16)</f>
        <v/>
      </c>
      <c r="O79" s="631"/>
      <c r="P79" s="641"/>
      <c r="Q79" s="641"/>
      <c r="R79" s="631" t="str">
        <f>IF(OR(X78=0,X78=""),"",IF($F$21="Apoyo Infonavit",IF(D79&gt;=C79,0,MIN(IF($F$30="",0,Caratula!$F$30),$AL$30*25)*10%),0))</f>
        <v/>
      </c>
      <c r="S79" s="631"/>
      <c r="T79" s="424" t="str">
        <f>IF(B79="","",'Tabla_Puntual&amp;Relacionamiento'!$B$3)</f>
        <v/>
      </c>
      <c r="U79" s="424"/>
      <c r="V79" s="642" t="str">
        <f t="shared" si="4"/>
        <v/>
      </c>
      <c r="W79" s="642"/>
      <c r="X79" s="642" t="str">
        <f t="shared" si="5"/>
        <v/>
      </c>
      <c r="Y79" s="642"/>
      <c r="AL79" s="420" t="str">
        <f t="shared" si="10"/>
        <v/>
      </c>
      <c r="AM79" s="421">
        <f t="shared" si="15"/>
        <v>0</v>
      </c>
      <c r="AN79" s="638" t="str">
        <f t="shared" si="6"/>
        <v/>
      </c>
      <c r="AO79" s="638"/>
      <c r="AP79" s="635" t="str">
        <f t="shared" si="16"/>
        <v/>
      </c>
      <c r="AQ79" s="635"/>
      <c r="AR79" s="427"/>
      <c r="AS79" s="522" t="str">
        <f t="shared" si="14"/>
        <v/>
      </c>
    </row>
    <row r="80" spans="2:53" x14ac:dyDescent="0.25">
      <c r="B80" s="426" t="str">
        <f t="shared" si="7"/>
        <v/>
      </c>
      <c r="C80" s="423" t="str">
        <f t="shared" si="8"/>
        <v/>
      </c>
      <c r="D80" s="643" t="str">
        <f t="shared" si="11"/>
        <v/>
      </c>
      <c r="E80" s="643"/>
      <c r="F80" s="643" t="str">
        <f t="shared" si="2"/>
        <v/>
      </c>
      <c r="G80" s="643"/>
      <c r="H80" s="671">
        <f t="shared" si="3"/>
        <v>0</v>
      </c>
      <c r="I80" s="671"/>
      <c r="J80" s="640" t="str">
        <f t="shared" si="9"/>
        <v/>
      </c>
      <c r="K80" s="640"/>
      <c r="L80" s="631" t="str">
        <f t="shared" si="12"/>
        <v/>
      </c>
      <c r="M80" s="631"/>
      <c r="N80" s="631" t="str">
        <f>IF(B80="","",VLOOKUP(TRIM(CONCATENATE($F$20," ",$F$17," ",$F$18," ",$F$22," ",$F$21," ",$F$16," ",$F$23," ",$F$24)),Catalogo_Condicione_Financieras!B:W,22,0)*1.16)</f>
        <v/>
      </c>
      <c r="O80" s="631"/>
      <c r="P80" s="641"/>
      <c r="Q80" s="641"/>
      <c r="R80" s="631"/>
      <c r="S80" s="631"/>
      <c r="T80" s="424" t="str">
        <f>IF(B80="","",'Tabla_Puntual&amp;Relacionamiento'!$B$3)</f>
        <v/>
      </c>
      <c r="U80" s="424"/>
      <c r="V80" s="642" t="str">
        <f t="shared" si="4"/>
        <v/>
      </c>
      <c r="W80" s="642"/>
      <c r="X80" s="642" t="str">
        <f t="shared" si="5"/>
        <v/>
      </c>
      <c r="Y80" s="642"/>
      <c r="AL80" s="420" t="str">
        <f t="shared" si="10"/>
        <v/>
      </c>
      <c r="AM80" s="421">
        <f t="shared" si="15"/>
        <v>0</v>
      </c>
      <c r="AN80" s="638" t="str">
        <f t="shared" si="6"/>
        <v/>
      </c>
      <c r="AO80" s="638"/>
      <c r="AP80" s="635" t="str">
        <f t="shared" si="16"/>
        <v/>
      </c>
      <c r="AQ80" s="635"/>
      <c r="AR80" s="427"/>
      <c r="AS80" s="522" t="str">
        <f t="shared" si="14"/>
        <v/>
      </c>
    </row>
    <row r="81" spans="2:45" x14ac:dyDescent="0.25">
      <c r="B81" s="426" t="str">
        <f t="shared" si="7"/>
        <v/>
      </c>
      <c r="C81" s="423" t="str">
        <f t="shared" si="8"/>
        <v/>
      </c>
      <c r="D81" s="643" t="str">
        <f t="shared" si="11"/>
        <v/>
      </c>
      <c r="E81" s="643"/>
      <c r="F81" s="643" t="str">
        <f t="shared" si="2"/>
        <v/>
      </c>
      <c r="G81" s="643"/>
      <c r="H81" s="671">
        <f t="shared" si="3"/>
        <v>0</v>
      </c>
      <c r="I81" s="671"/>
      <c r="J81" s="640" t="str">
        <f t="shared" si="9"/>
        <v/>
      </c>
      <c r="K81" s="640"/>
      <c r="L81" s="631" t="str">
        <f t="shared" si="12"/>
        <v/>
      </c>
      <c r="M81" s="631"/>
      <c r="N81" s="631" t="str">
        <f>IF(B81="","",VLOOKUP(TRIM(CONCATENATE($F$20," ",$F$17," ",$F$18," ",$F$22," ",$F$21," ",$F$16," ",$F$23," ",$F$24)),Catalogo_Condicione_Financieras!B:W,22,0)*1.16)</f>
        <v/>
      </c>
      <c r="O81" s="631"/>
      <c r="P81" s="641"/>
      <c r="Q81" s="641"/>
      <c r="R81" s="631" t="str">
        <f>IF(OR(X80=0,X80=""),"",IF($F$21="Apoyo Infonavit",IF(D81&gt;=C81,0,MIN(IF($F$30="",0,Caratula!$F$30),$AL$30*25)*10%),0))</f>
        <v/>
      </c>
      <c r="S81" s="631"/>
      <c r="T81" s="424" t="str">
        <f>IF(B81="","",'Tabla_Puntual&amp;Relacionamiento'!$B$3)</f>
        <v/>
      </c>
      <c r="U81" s="424"/>
      <c r="V81" s="642" t="str">
        <f t="shared" si="4"/>
        <v/>
      </c>
      <c r="W81" s="642"/>
      <c r="X81" s="642" t="str">
        <f t="shared" si="5"/>
        <v/>
      </c>
      <c r="Y81" s="642"/>
      <c r="AL81" s="420" t="str">
        <f t="shared" si="10"/>
        <v/>
      </c>
      <c r="AM81" s="421">
        <f t="shared" si="15"/>
        <v>0</v>
      </c>
      <c r="AN81" s="638" t="str">
        <f t="shared" si="6"/>
        <v/>
      </c>
      <c r="AO81" s="638"/>
      <c r="AP81" s="635" t="str">
        <f t="shared" si="16"/>
        <v/>
      </c>
      <c r="AQ81" s="635"/>
      <c r="AR81" s="427"/>
      <c r="AS81" s="522" t="str">
        <f t="shared" si="14"/>
        <v/>
      </c>
    </row>
    <row r="82" spans="2:45" x14ac:dyDescent="0.25">
      <c r="B82" s="426" t="str">
        <f t="shared" si="7"/>
        <v/>
      </c>
      <c r="C82" s="423" t="str">
        <f t="shared" si="8"/>
        <v/>
      </c>
      <c r="D82" s="643" t="str">
        <f t="shared" si="11"/>
        <v/>
      </c>
      <c r="E82" s="643"/>
      <c r="F82" s="643" t="str">
        <f t="shared" si="2"/>
        <v/>
      </c>
      <c r="G82" s="643"/>
      <c r="H82" s="671">
        <f t="shared" si="3"/>
        <v>0</v>
      </c>
      <c r="I82" s="671"/>
      <c r="J82" s="640" t="str">
        <f t="shared" si="9"/>
        <v/>
      </c>
      <c r="K82" s="640"/>
      <c r="L82" s="631" t="str">
        <f t="shared" si="12"/>
        <v/>
      </c>
      <c r="M82" s="631"/>
      <c r="N82" s="631" t="str">
        <f>IF(B82="","",VLOOKUP(TRIM(CONCATENATE($F$20," ",$F$17," ",$F$18," ",$F$22," ",$F$21," ",$F$16," ",$F$23," ",$F$24)),Catalogo_Condicione_Financieras!B:W,22,0)*1.16)</f>
        <v/>
      </c>
      <c r="O82" s="631"/>
      <c r="P82" s="641"/>
      <c r="Q82" s="641"/>
      <c r="R82" s="631"/>
      <c r="S82" s="631"/>
      <c r="T82" s="424" t="str">
        <f>IF(B82="","",'Tabla_Puntual&amp;Relacionamiento'!$B$3)</f>
        <v/>
      </c>
      <c r="U82" s="424"/>
      <c r="V82" s="642" t="str">
        <f t="shared" si="4"/>
        <v/>
      </c>
      <c r="W82" s="642"/>
      <c r="X82" s="642" t="str">
        <f t="shared" si="5"/>
        <v/>
      </c>
      <c r="Y82" s="642"/>
      <c r="AL82" s="420" t="str">
        <f t="shared" si="10"/>
        <v/>
      </c>
      <c r="AM82" s="421">
        <f t="shared" si="15"/>
        <v>0</v>
      </c>
      <c r="AN82" s="638" t="str">
        <f t="shared" si="6"/>
        <v/>
      </c>
      <c r="AO82" s="638"/>
      <c r="AP82" s="635" t="str">
        <f t="shared" si="16"/>
        <v/>
      </c>
      <c r="AQ82" s="635"/>
      <c r="AR82" s="427"/>
      <c r="AS82" s="522" t="str">
        <f t="shared" si="14"/>
        <v/>
      </c>
    </row>
    <row r="83" spans="2:45" x14ac:dyDescent="0.25">
      <c r="B83" s="426" t="str">
        <f t="shared" si="7"/>
        <v/>
      </c>
      <c r="C83" s="423" t="str">
        <f t="shared" si="8"/>
        <v/>
      </c>
      <c r="D83" s="643" t="str">
        <f t="shared" si="11"/>
        <v/>
      </c>
      <c r="E83" s="643"/>
      <c r="F83" s="643" t="str">
        <f t="shared" si="2"/>
        <v/>
      </c>
      <c r="G83" s="643"/>
      <c r="H83" s="671">
        <f t="shared" si="3"/>
        <v>0</v>
      </c>
      <c r="I83" s="671"/>
      <c r="J83" s="640" t="str">
        <f t="shared" si="9"/>
        <v/>
      </c>
      <c r="K83" s="640"/>
      <c r="L83" s="631" t="str">
        <f t="shared" si="12"/>
        <v/>
      </c>
      <c r="M83" s="631"/>
      <c r="N83" s="631" t="str">
        <f>IF(B83="","",VLOOKUP(TRIM(CONCATENATE($F$20," ",$F$17," ",$F$18," ",$F$22," ",$F$21," ",$F$16," ",$F$23," ",$F$24)),Catalogo_Condicione_Financieras!B:W,22,0)*1.16)</f>
        <v/>
      </c>
      <c r="O83" s="631"/>
      <c r="P83" s="641"/>
      <c r="Q83" s="641"/>
      <c r="R83" s="631" t="str">
        <f>IF(OR(X82=0,X82=""),"",IF($F$21="Apoyo Infonavit",IF(D83&gt;=C83,0,MIN(IF($F$30="",0,Caratula!$F$30),$AL$30*25)*10%),0))</f>
        <v/>
      </c>
      <c r="S83" s="631"/>
      <c r="T83" s="424" t="str">
        <f>IF(B83="","",'Tabla_Puntual&amp;Relacionamiento'!$B$3)</f>
        <v/>
      </c>
      <c r="U83" s="424"/>
      <c r="V83" s="642" t="str">
        <f t="shared" si="4"/>
        <v/>
      </c>
      <c r="W83" s="642"/>
      <c r="X83" s="642" t="str">
        <f t="shared" si="5"/>
        <v/>
      </c>
      <c r="Y83" s="642"/>
      <c r="AL83" s="420" t="str">
        <f t="shared" si="10"/>
        <v/>
      </c>
      <c r="AM83" s="421">
        <f t="shared" si="15"/>
        <v>0</v>
      </c>
      <c r="AN83" s="638" t="str">
        <f t="shared" si="6"/>
        <v/>
      </c>
      <c r="AO83" s="638"/>
      <c r="AP83" s="635" t="str">
        <f t="shared" si="16"/>
        <v/>
      </c>
      <c r="AQ83" s="635"/>
      <c r="AR83" s="427"/>
      <c r="AS83" s="522" t="str">
        <f t="shared" si="14"/>
        <v/>
      </c>
    </row>
    <row r="84" spans="2:45" x14ac:dyDescent="0.25">
      <c r="B84" s="426" t="str">
        <f t="shared" si="7"/>
        <v/>
      </c>
      <c r="C84" s="423" t="str">
        <f t="shared" si="8"/>
        <v/>
      </c>
      <c r="D84" s="643" t="str">
        <f t="shared" si="11"/>
        <v/>
      </c>
      <c r="E84" s="643"/>
      <c r="F84" s="643" t="str">
        <f t="shared" si="2"/>
        <v/>
      </c>
      <c r="G84" s="643"/>
      <c r="H84" s="671">
        <f t="shared" si="3"/>
        <v>0</v>
      </c>
      <c r="I84" s="671"/>
      <c r="J84" s="640" t="str">
        <f t="shared" si="9"/>
        <v/>
      </c>
      <c r="K84" s="640"/>
      <c r="L84" s="631" t="str">
        <f t="shared" si="12"/>
        <v/>
      </c>
      <c r="M84" s="631"/>
      <c r="N84" s="631" t="str">
        <f>IF(B84="","",VLOOKUP(TRIM(CONCATENATE($F$20," ",$F$17," ",$F$18," ",$F$22," ",$F$21," ",$F$16," ",$F$23," ",$F$24)),Catalogo_Condicione_Financieras!B:W,22,0)*1.16)</f>
        <v/>
      </c>
      <c r="O84" s="631"/>
      <c r="P84" s="641"/>
      <c r="Q84" s="641"/>
      <c r="R84" s="631"/>
      <c r="S84" s="631"/>
      <c r="T84" s="424" t="str">
        <f>IF(B84="","",'Tabla_Puntual&amp;Relacionamiento'!$B$3)</f>
        <v/>
      </c>
      <c r="U84" s="424"/>
      <c r="V84" s="642" t="str">
        <f t="shared" si="4"/>
        <v/>
      </c>
      <c r="W84" s="642"/>
      <c r="X84" s="642" t="str">
        <f t="shared" si="5"/>
        <v/>
      </c>
      <c r="Y84" s="642"/>
      <c r="AL84" s="420" t="str">
        <f t="shared" si="10"/>
        <v/>
      </c>
      <c r="AM84" s="421">
        <f t="shared" si="15"/>
        <v>0</v>
      </c>
      <c r="AN84" s="638" t="str">
        <f t="shared" si="6"/>
        <v/>
      </c>
      <c r="AO84" s="638"/>
      <c r="AP84" s="635" t="str">
        <f t="shared" si="16"/>
        <v/>
      </c>
      <c r="AQ84" s="635"/>
      <c r="AR84" s="427"/>
      <c r="AS84" s="522" t="str">
        <f t="shared" si="14"/>
        <v/>
      </c>
    </row>
    <row r="85" spans="2:45" x14ac:dyDescent="0.25">
      <c r="B85" s="426" t="str">
        <f t="shared" si="7"/>
        <v/>
      </c>
      <c r="C85" s="423" t="str">
        <f t="shared" si="8"/>
        <v/>
      </c>
      <c r="D85" s="643" t="str">
        <f t="shared" si="11"/>
        <v/>
      </c>
      <c r="E85" s="643"/>
      <c r="F85" s="643" t="str">
        <f t="shared" si="2"/>
        <v/>
      </c>
      <c r="G85" s="643"/>
      <c r="H85" s="671">
        <f t="shared" si="3"/>
        <v>0</v>
      </c>
      <c r="I85" s="671"/>
      <c r="J85" s="640" t="str">
        <f t="shared" si="9"/>
        <v/>
      </c>
      <c r="K85" s="640"/>
      <c r="L85" s="631" t="str">
        <f t="shared" si="12"/>
        <v/>
      </c>
      <c r="M85" s="631"/>
      <c r="N85" s="631" t="str">
        <f>IF(B85="","",VLOOKUP(TRIM(CONCATENATE($F$20," ",$F$17," ",$F$18," ",$F$22," ",$F$21," ",$F$16," ",$F$23," ",$F$24)),Catalogo_Condicione_Financieras!B:W,22,0)*1.16)</f>
        <v/>
      </c>
      <c r="O85" s="631"/>
      <c r="P85" s="641"/>
      <c r="Q85" s="641"/>
      <c r="R85" s="631" t="str">
        <f>IF(OR(X84=0,X84=""),"",IF($F$21="Apoyo Infonavit",IF(D85&gt;=C85,0,MIN(IF($F$30="",0,Caratula!$F$30),$AL$30*25)*10%),0))</f>
        <v/>
      </c>
      <c r="S85" s="631"/>
      <c r="T85" s="424" t="str">
        <f>IF(B85="","",'Tabla_Puntual&amp;Relacionamiento'!$B$3)</f>
        <v/>
      </c>
      <c r="U85" s="424"/>
      <c r="V85" s="642" t="str">
        <f t="shared" si="4"/>
        <v/>
      </c>
      <c r="W85" s="642"/>
      <c r="X85" s="642" t="str">
        <f t="shared" si="5"/>
        <v/>
      </c>
      <c r="Y85" s="642"/>
      <c r="AL85" s="420" t="str">
        <f t="shared" si="10"/>
        <v/>
      </c>
      <c r="AM85" s="421">
        <f t="shared" si="15"/>
        <v>0</v>
      </c>
      <c r="AN85" s="638" t="str">
        <f t="shared" si="6"/>
        <v/>
      </c>
      <c r="AO85" s="638"/>
      <c r="AP85" s="635" t="str">
        <f t="shared" si="16"/>
        <v/>
      </c>
      <c r="AQ85" s="635"/>
      <c r="AR85" s="427"/>
      <c r="AS85" s="522" t="str">
        <f t="shared" si="14"/>
        <v/>
      </c>
    </row>
    <row r="86" spans="2:45" x14ac:dyDescent="0.25">
      <c r="B86" s="426" t="str">
        <f t="shared" si="7"/>
        <v/>
      </c>
      <c r="C86" s="423" t="str">
        <f t="shared" si="8"/>
        <v/>
      </c>
      <c r="D86" s="643" t="str">
        <f t="shared" si="11"/>
        <v/>
      </c>
      <c r="E86" s="643"/>
      <c r="F86" s="643" t="str">
        <f t="shared" si="2"/>
        <v/>
      </c>
      <c r="G86" s="643"/>
      <c r="H86" s="671">
        <f t="shared" si="3"/>
        <v>0</v>
      </c>
      <c r="I86" s="671"/>
      <c r="J86" s="640" t="str">
        <f t="shared" si="9"/>
        <v/>
      </c>
      <c r="K86" s="640"/>
      <c r="L86" s="631" t="str">
        <f t="shared" si="12"/>
        <v/>
      </c>
      <c r="M86" s="631"/>
      <c r="N86" s="631" t="str">
        <f>IF(B86="","",VLOOKUP(TRIM(CONCATENATE($F$20," ",$F$17," ",$F$18," ",$F$22," ",$F$21," ",$F$16," ",$F$23," ",$F$24)),Catalogo_Condicione_Financieras!B:W,22,0)*1.16)</f>
        <v/>
      </c>
      <c r="O86" s="631"/>
      <c r="P86" s="641"/>
      <c r="Q86" s="641"/>
      <c r="R86" s="631"/>
      <c r="S86" s="631"/>
      <c r="T86" s="424" t="str">
        <f>IF(B86="","",'Tabla_Puntual&amp;Relacionamiento'!$B$3)</f>
        <v/>
      </c>
      <c r="U86" s="424"/>
      <c r="V86" s="642" t="str">
        <f t="shared" si="4"/>
        <v/>
      </c>
      <c r="W86" s="642"/>
      <c r="X86" s="642" t="str">
        <f t="shared" si="5"/>
        <v/>
      </c>
      <c r="Y86" s="642"/>
      <c r="AL86" s="420" t="str">
        <f t="shared" si="10"/>
        <v/>
      </c>
      <c r="AM86" s="421">
        <f t="shared" si="15"/>
        <v>0</v>
      </c>
      <c r="AN86" s="638" t="str">
        <f t="shared" si="6"/>
        <v/>
      </c>
      <c r="AO86" s="638"/>
      <c r="AP86" s="635" t="str">
        <f t="shared" si="16"/>
        <v/>
      </c>
      <c r="AQ86" s="635"/>
      <c r="AR86" s="427"/>
      <c r="AS86" s="522" t="str">
        <f t="shared" si="14"/>
        <v/>
      </c>
    </row>
    <row r="87" spans="2:45" x14ac:dyDescent="0.25">
      <c r="B87" s="426" t="str">
        <f t="shared" si="7"/>
        <v/>
      </c>
      <c r="C87" s="423" t="str">
        <f t="shared" si="8"/>
        <v/>
      </c>
      <c r="D87" s="643" t="str">
        <f t="shared" si="11"/>
        <v/>
      </c>
      <c r="E87" s="643"/>
      <c r="F87" s="643" t="str">
        <f t="shared" si="2"/>
        <v/>
      </c>
      <c r="G87" s="643"/>
      <c r="H87" s="671">
        <f t="shared" si="3"/>
        <v>0</v>
      </c>
      <c r="I87" s="671"/>
      <c r="J87" s="640" t="str">
        <f t="shared" si="9"/>
        <v/>
      </c>
      <c r="K87" s="640"/>
      <c r="L87" s="631" t="str">
        <f t="shared" si="12"/>
        <v/>
      </c>
      <c r="M87" s="631"/>
      <c r="N87" s="631" t="str">
        <f>IF(B87="","",VLOOKUP(TRIM(CONCATENATE($F$20," ",$F$17," ",$F$18," ",$F$22," ",$F$21," ",$F$16," ",$F$23," ",$F$24)),Catalogo_Condicione_Financieras!B:W,22,0)*1.16)</f>
        <v/>
      </c>
      <c r="O87" s="631"/>
      <c r="P87" s="641"/>
      <c r="Q87" s="641"/>
      <c r="R87" s="631" t="str">
        <f>IF(OR(X86=0,X86=""),"",IF($F$21="Apoyo Infonavit",IF(D87&gt;=C87,0,MIN(IF($F$30="",0,Caratula!$F$30),$AL$30*25)*10%),0))</f>
        <v/>
      </c>
      <c r="S87" s="631"/>
      <c r="T87" s="424" t="str">
        <f>IF(B87="","",'Tabla_Puntual&amp;Relacionamiento'!$B$3)</f>
        <v/>
      </c>
      <c r="U87" s="424"/>
      <c r="V87" s="642" t="str">
        <f t="shared" si="4"/>
        <v/>
      </c>
      <c r="W87" s="642"/>
      <c r="X87" s="642" t="str">
        <f t="shared" si="5"/>
        <v/>
      </c>
      <c r="Y87" s="642"/>
      <c r="AL87" s="420" t="str">
        <f t="shared" si="10"/>
        <v/>
      </c>
      <c r="AM87" s="421">
        <f t="shared" si="15"/>
        <v>0</v>
      </c>
      <c r="AN87" s="638" t="str">
        <f t="shared" si="6"/>
        <v/>
      </c>
      <c r="AO87" s="638"/>
      <c r="AP87" s="635" t="str">
        <f t="shared" si="16"/>
        <v/>
      </c>
      <c r="AQ87" s="635"/>
      <c r="AR87" s="427"/>
      <c r="AS87" s="522" t="str">
        <f t="shared" si="14"/>
        <v/>
      </c>
    </row>
    <row r="88" spans="2:45" x14ac:dyDescent="0.25">
      <c r="B88" s="426" t="str">
        <f t="shared" si="7"/>
        <v/>
      </c>
      <c r="C88" s="423" t="str">
        <f t="shared" si="8"/>
        <v/>
      </c>
      <c r="D88" s="643" t="str">
        <f t="shared" si="11"/>
        <v/>
      </c>
      <c r="E88" s="643"/>
      <c r="F88" s="643" t="str">
        <f t="shared" si="2"/>
        <v/>
      </c>
      <c r="G88" s="643"/>
      <c r="H88" s="671">
        <f t="shared" si="3"/>
        <v>0</v>
      </c>
      <c r="I88" s="671"/>
      <c r="J88" s="640" t="str">
        <f t="shared" si="9"/>
        <v/>
      </c>
      <c r="K88" s="640"/>
      <c r="L88" s="631" t="str">
        <f t="shared" si="12"/>
        <v/>
      </c>
      <c r="M88" s="631"/>
      <c r="N88" s="631" t="str">
        <f>IF(B88="","",VLOOKUP(TRIM(CONCATENATE($F$20," ",$F$17," ",$F$18," ",$F$22," ",$F$21," ",$F$16," ",$F$23," ",$F$24)),Catalogo_Condicione_Financieras!B:W,22,0)*1.16)</f>
        <v/>
      </c>
      <c r="O88" s="631"/>
      <c r="P88" s="641"/>
      <c r="Q88" s="641"/>
      <c r="R88" s="631"/>
      <c r="S88" s="631"/>
      <c r="T88" s="424" t="str">
        <f>IF(B88="","",'Tabla_Puntual&amp;Relacionamiento'!$B$4)</f>
        <v/>
      </c>
      <c r="U88" s="424" t="str">
        <f>IF(B88="","",IF($F$16="Pago_Bajo_Puntual",0.019,""))</f>
        <v/>
      </c>
      <c r="V88" s="642" t="str">
        <f t="shared" si="4"/>
        <v/>
      </c>
      <c r="W88" s="642"/>
      <c r="X88" s="642" t="str">
        <f t="shared" si="5"/>
        <v/>
      </c>
      <c r="Y88" s="642"/>
      <c r="AL88" s="420" t="str">
        <f t="shared" si="10"/>
        <v/>
      </c>
      <c r="AM88" s="421">
        <f t="shared" si="15"/>
        <v>0</v>
      </c>
      <c r="AN88" s="638" t="str">
        <f t="shared" si="6"/>
        <v/>
      </c>
      <c r="AO88" s="638"/>
      <c r="AP88" s="635" t="str">
        <f t="shared" si="16"/>
        <v/>
      </c>
      <c r="AQ88" s="635"/>
      <c r="AR88" s="427"/>
      <c r="AS88" s="522" t="str">
        <f t="shared" si="14"/>
        <v/>
      </c>
    </row>
    <row r="89" spans="2:45" x14ac:dyDescent="0.25">
      <c r="B89" s="426" t="str">
        <f t="shared" si="7"/>
        <v/>
      </c>
      <c r="C89" s="423" t="str">
        <f t="shared" si="8"/>
        <v/>
      </c>
      <c r="D89" s="643" t="str">
        <f t="shared" si="11"/>
        <v/>
      </c>
      <c r="E89" s="643"/>
      <c r="F89" s="643" t="str">
        <f t="shared" si="2"/>
        <v/>
      </c>
      <c r="G89" s="643"/>
      <c r="H89" s="671">
        <f t="shared" si="3"/>
        <v>0</v>
      </c>
      <c r="I89" s="671"/>
      <c r="J89" s="640" t="str">
        <f t="shared" si="9"/>
        <v/>
      </c>
      <c r="K89" s="640"/>
      <c r="L89" s="631" t="str">
        <f t="shared" si="12"/>
        <v/>
      </c>
      <c r="M89" s="631"/>
      <c r="N89" s="631" t="str">
        <f>IF(B89="","",VLOOKUP(TRIM(CONCATENATE($F$20," ",$F$17," ",$F$18," ",$F$22," ",$F$21," ",$F$16," ",$F$23," ",$F$24)),Catalogo_Condicione_Financieras!B:W,22,0)*1.16)</f>
        <v/>
      </c>
      <c r="O89" s="631"/>
      <c r="P89" s="641"/>
      <c r="Q89" s="641"/>
      <c r="R89" s="631" t="str">
        <f>IF(OR(X88=0,X88=""),"",IF($F$21="Apoyo Infonavit",IF(D89&gt;=C89,0,MIN(IF($F$30="",0,Caratula!$F$30),$AL$30*25)*10%),0))</f>
        <v/>
      </c>
      <c r="S89" s="631"/>
      <c r="T89" s="424" t="str">
        <f>IF(B89="","",'Tabla_Puntual&amp;Relacionamiento'!$B$4)</f>
        <v/>
      </c>
      <c r="U89" s="424"/>
      <c r="V89" s="642" t="str">
        <f t="shared" si="4"/>
        <v/>
      </c>
      <c r="W89" s="642"/>
      <c r="X89" s="642" t="str">
        <f t="shared" si="5"/>
        <v/>
      </c>
      <c r="Y89" s="642"/>
      <c r="AL89" s="420" t="str">
        <f t="shared" si="10"/>
        <v/>
      </c>
      <c r="AM89" s="421">
        <f t="shared" si="15"/>
        <v>0</v>
      </c>
      <c r="AN89" s="638" t="str">
        <f t="shared" si="6"/>
        <v/>
      </c>
      <c r="AO89" s="638"/>
      <c r="AP89" s="635" t="str">
        <f t="shared" si="16"/>
        <v/>
      </c>
      <c r="AQ89" s="635"/>
      <c r="AR89" s="427"/>
      <c r="AS89" s="522" t="str">
        <f t="shared" si="14"/>
        <v/>
      </c>
    </row>
    <row r="90" spans="2:45" x14ac:dyDescent="0.25">
      <c r="B90" s="426" t="str">
        <f t="shared" si="7"/>
        <v/>
      </c>
      <c r="C90" s="423" t="str">
        <f t="shared" si="8"/>
        <v/>
      </c>
      <c r="D90" s="643" t="str">
        <f t="shared" si="11"/>
        <v/>
      </c>
      <c r="E90" s="643"/>
      <c r="F90" s="643" t="str">
        <f t="shared" si="2"/>
        <v/>
      </c>
      <c r="G90" s="643"/>
      <c r="H90" s="671">
        <f t="shared" si="3"/>
        <v>0</v>
      </c>
      <c r="I90" s="671"/>
      <c r="J90" s="640" t="str">
        <f t="shared" si="9"/>
        <v/>
      </c>
      <c r="K90" s="640"/>
      <c r="L90" s="631" t="str">
        <f t="shared" si="12"/>
        <v/>
      </c>
      <c r="M90" s="631"/>
      <c r="N90" s="631" t="str">
        <f>IF(B90="","",VLOOKUP(TRIM(CONCATENATE($F$20," ",$F$17," ",$F$18," ",$F$22," ",$F$21," ",$F$16," ",$F$23," ",$F$24)),Catalogo_Condicione_Financieras!B:W,22,0)*1.16)</f>
        <v/>
      </c>
      <c r="O90" s="631"/>
      <c r="P90" s="641"/>
      <c r="Q90" s="641"/>
      <c r="R90" s="631"/>
      <c r="S90" s="631"/>
      <c r="T90" s="424" t="str">
        <f>IF(B90="","",'Tabla_Puntual&amp;Relacionamiento'!$B$4)</f>
        <v/>
      </c>
      <c r="U90" s="424"/>
      <c r="V90" s="642" t="str">
        <f t="shared" si="4"/>
        <v/>
      </c>
      <c r="W90" s="642"/>
      <c r="X90" s="642" t="str">
        <f t="shared" si="5"/>
        <v/>
      </c>
      <c r="Y90" s="642"/>
      <c r="AL90" s="420" t="str">
        <f t="shared" si="10"/>
        <v/>
      </c>
      <c r="AM90" s="421">
        <f t="shared" si="15"/>
        <v>0</v>
      </c>
      <c r="AN90" s="638" t="str">
        <f t="shared" si="6"/>
        <v/>
      </c>
      <c r="AO90" s="638"/>
      <c r="AP90" s="635" t="str">
        <f t="shared" si="16"/>
        <v/>
      </c>
      <c r="AQ90" s="635"/>
      <c r="AR90" s="427"/>
      <c r="AS90" s="522" t="str">
        <f t="shared" si="14"/>
        <v/>
      </c>
    </row>
    <row r="91" spans="2:45" x14ac:dyDescent="0.25">
      <c r="B91" s="426" t="str">
        <f t="shared" si="7"/>
        <v/>
      </c>
      <c r="C91" s="423" t="str">
        <f t="shared" si="8"/>
        <v/>
      </c>
      <c r="D91" s="643" t="str">
        <f t="shared" si="11"/>
        <v/>
      </c>
      <c r="E91" s="643"/>
      <c r="F91" s="643" t="str">
        <f t="shared" si="2"/>
        <v/>
      </c>
      <c r="G91" s="643"/>
      <c r="H91" s="671">
        <f t="shared" si="3"/>
        <v>0</v>
      </c>
      <c r="I91" s="671"/>
      <c r="J91" s="640" t="str">
        <f t="shared" si="9"/>
        <v/>
      </c>
      <c r="K91" s="640"/>
      <c r="L91" s="631" t="str">
        <f t="shared" si="12"/>
        <v/>
      </c>
      <c r="M91" s="631"/>
      <c r="N91" s="631" t="str">
        <f>IF(B91="","",VLOOKUP(TRIM(CONCATENATE($F$20," ",$F$17," ",$F$18," ",$F$22," ",$F$21," ",$F$16," ",$F$23," ",$F$24)),Catalogo_Condicione_Financieras!B:W,22,0)*1.16)</f>
        <v/>
      </c>
      <c r="O91" s="631"/>
      <c r="P91" s="641"/>
      <c r="Q91" s="641"/>
      <c r="R91" s="631" t="str">
        <f>IF(OR(X90=0,X90=""),"",IF($F$21="Apoyo Infonavit",IF(D91&gt;=C91,0,MIN(IF($F$30="",0,Caratula!$F$30),$AL$30*25)*10%),0))</f>
        <v/>
      </c>
      <c r="S91" s="631"/>
      <c r="T91" s="424" t="str">
        <f>IF(B91="","",'Tabla_Puntual&amp;Relacionamiento'!$B$4)</f>
        <v/>
      </c>
      <c r="U91" s="424"/>
      <c r="V91" s="642" t="str">
        <f t="shared" si="4"/>
        <v/>
      </c>
      <c r="W91" s="642"/>
      <c r="X91" s="642" t="str">
        <f t="shared" si="5"/>
        <v/>
      </c>
      <c r="Y91" s="642"/>
      <c r="AL91" s="420" t="str">
        <f t="shared" si="10"/>
        <v/>
      </c>
      <c r="AM91" s="421">
        <f t="shared" si="15"/>
        <v>0</v>
      </c>
      <c r="AN91" s="638" t="str">
        <f t="shared" si="6"/>
        <v/>
      </c>
      <c r="AO91" s="638"/>
      <c r="AP91" s="635" t="str">
        <f t="shared" si="16"/>
        <v/>
      </c>
      <c r="AQ91" s="635"/>
      <c r="AR91" s="427"/>
      <c r="AS91" s="522" t="str">
        <f t="shared" si="14"/>
        <v/>
      </c>
    </row>
    <row r="92" spans="2:45" x14ac:dyDescent="0.25">
      <c r="B92" s="426" t="str">
        <f t="shared" si="7"/>
        <v/>
      </c>
      <c r="C92" s="423" t="str">
        <f t="shared" si="8"/>
        <v/>
      </c>
      <c r="D92" s="643" t="str">
        <f t="shared" si="11"/>
        <v/>
      </c>
      <c r="E92" s="643"/>
      <c r="F92" s="643" t="str">
        <f t="shared" si="2"/>
        <v/>
      </c>
      <c r="G92" s="643"/>
      <c r="H92" s="671">
        <f t="shared" si="3"/>
        <v>0</v>
      </c>
      <c r="I92" s="671"/>
      <c r="J92" s="640" t="str">
        <f t="shared" si="9"/>
        <v/>
      </c>
      <c r="K92" s="640"/>
      <c r="L92" s="631" t="str">
        <f t="shared" si="12"/>
        <v/>
      </c>
      <c r="M92" s="631"/>
      <c r="N92" s="631" t="str">
        <f>IF(B92="","",VLOOKUP(TRIM(CONCATENATE($F$20," ",$F$17," ",$F$18," ",$F$22," ",$F$21," ",$F$16," ",$F$23," ",$F$24)),Catalogo_Condicione_Financieras!B:W,22,0)*1.16)</f>
        <v/>
      </c>
      <c r="O92" s="631"/>
      <c r="P92" s="641"/>
      <c r="Q92" s="641"/>
      <c r="R92" s="631"/>
      <c r="S92" s="631"/>
      <c r="T92" s="424" t="str">
        <f>IF(B92="","",'Tabla_Puntual&amp;Relacionamiento'!$B$4)</f>
        <v/>
      </c>
      <c r="U92" s="424"/>
      <c r="V92" s="642" t="str">
        <f t="shared" si="4"/>
        <v/>
      </c>
      <c r="W92" s="642"/>
      <c r="X92" s="642" t="str">
        <f t="shared" si="5"/>
        <v/>
      </c>
      <c r="Y92" s="642"/>
      <c r="AL92" s="420" t="str">
        <f t="shared" si="10"/>
        <v/>
      </c>
      <c r="AM92" s="421">
        <f t="shared" si="15"/>
        <v>0</v>
      </c>
      <c r="AN92" s="638" t="str">
        <f t="shared" si="6"/>
        <v/>
      </c>
      <c r="AO92" s="638"/>
      <c r="AP92" s="635" t="str">
        <f t="shared" si="16"/>
        <v/>
      </c>
      <c r="AQ92" s="635"/>
      <c r="AR92" s="427"/>
      <c r="AS92" s="522" t="str">
        <f t="shared" si="14"/>
        <v/>
      </c>
    </row>
    <row r="93" spans="2:45" x14ac:dyDescent="0.25">
      <c r="B93" s="426" t="str">
        <f t="shared" si="7"/>
        <v/>
      </c>
      <c r="C93" s="423" t="str">
        <f t="shared" si="8"/>
        <v/>
      </c>
      <c r="D93" s="643" t="str">
        <f t="shared" si="11"/>
        <v/>
      </c>
      <c r="E93" s="643"/>
      <c r="F93" s="643" t="str">
        <f t="shared" si="2"/>
        <v/>
      </c>
      <c r="G93" s="643"/>
      <c r="H93" s="671">
        <f t="shared" si="3"/>
        <v>0</v>
      </c>
      <c r="I93" s="671"/>
      <c r="J93" s="640" t="str">
        <f t="shared" si="9"/>
        <v/>
      </c>
      <c r="K93" s="640"/>
      <c r="L93" s="631" t="str">
        <f t="shared" si="12"/>
        <v/>
      </c>
      <c r="M93" s="631"/>
      <c r="N93" s="631" t="str">
        <f>IF(B93="","",VLOOKUP(TRIM(CONCATENATE($F$20," ",$F$17," ",$F$18," ",$F$22," ",$F$21," ",$F$16," ",$F$23," ",$F$24)),Catalogo_Condicione_Financieras!B:W,22,0)*1.16)</f>
        <v/>
      </c>
      <c r="O93" s="631"/>
      <c r="P93" s="641"/>
      <c r="Q93" s="641"/>
      <c r="R93" s="631" t="str">
        <f>IF(OR(X92=0,X92=""),"",IF($F$21="Apoyo Infonavit",IF(D93&gt;=C93,0,MIN(IF($F$30="",0,Caratula!$F$30),$AL$30*25)*10%),0))</f>
        <v/>
      </c>
      <c r="S93" s="631"/>
      <c r="T93" s="424" t="str">
        <f>IF(B93="","",'Tabla_Puntual&amp;Relacionamiento'!$B$4)</f>
        <v/>
      </c>
      <c r="U93" s="424"/>
      <c r="V93" s="642" t="str">
        <f t="shared" si="4"/>
        <v/>
      </c>
      <c r="W93" s="642"/>
      <c r="X93" s="642" t="str">
        <f t="shared" si="5"/>
        <v/>
      </c>
      <c r="Y93" s="642"/>
      <c r="AL93" s="420" t="str">
        <f t="shared" si="10"/>
        <v/>
      </c>
      <c r="AM93" s="421">
        <f t="shared" si="15"/>
        <v>0</v>
      </c>
      <c r="AN93" s="638" t="str">
        <f t="shared" si="6"/>
        <v/>
      </c>
      <c r="AO93" s="638"/>
      <c r="AP93" s="635" t="str">
        <f t="shared" si="16"/>
        <v/>
      </c>
      <c r="AQ93" s="635"/>
      <c r="AR93" s="427"/>
      <c r="AS93" s="522" t="str">
        <f t="shared" si="14"/>
        <v/>
      </c>
    </row>
    <row r="94" spans="2:45" x14ac:dyDescent="0.25">
      <c r="B94" s="426" t="str">
        <f t="shared" si="7"/>
        <v/>
      </c>
      <c r="C94" s="423" t="str">
        <f t="shared" si="8"/>
        <v/>
      </c>
      <c r="D94" s="643" t="str">
        <f t="shared" si="11"/>
        <v/>
      </c>
      <c r="E94" s="643"/>
      <c r="F94" s="643" t="str">
        <f t="shared" si="2"/>
        <v/>
      </c>
      <c r="G94" s="643"/>
      <c r="H94" s="671">
        <f t="shared" si="3"/>
        <v>0</v>
      </c>
      <c r="I94" s="671"/>
      <c r="J94" s="640" t="str">
        <f t="shared" si="9"/>
        <v/>
      </c>
      <c r="K94" s="640"/>
      <c r="L94" s="631" t="str">
        <f t="shared" si="12"/>
        <v/>
      </c>
      <c r="M94" s="631"/>
      <c r="N94" s="631" t="str">
        <f>IF(B94="","",VLOOKUP(TRIM(CONCATENATE($F$20," ",$F$17," ",$F$18," ",$F$22," ",$F$21," ",$F$16," ",$F$23," ",$F$24)),Catalogo_Condicione_Financieras!B:W,22,0)*1.16)</f>
        <v/>
      </c>
      <c r="O94" s="631"/>
      <c r="P94" s="641"/>
      <c r="Q94" s="641"/>
      <c r="R94" s="631"/>
      <c r="S94" s="631"/>
      <c r="T94" s="424" t="str">
        <f>IF(B94="","",'Tabla_Puntual&amp;Relacionamiento'!$B$4)</f>
        <v/>
      </c>
      <c r="U94" s="424"/>
      <c r="V94" s="642" t="str">
        <f t="shared" si="4"/>
        <v/>
      </c>
      <c r="W94" s="642"/>
      <c r="X94" s="642" t="str">
        <f t="shared" si="5"/>
        <v/>
      </c>
      <c r="Y94" s="642"/>
      <c r="AL94" s="420" t="str">
        <f t="shared" si="10"/>
        <v/>
      </c>
      <c r="AM94" s="421">
        <f t="shared" si="15"/>
        <v>0</v>
      </c>
      <c r="AN94" s="638" t="str">
        <f t="shared" si="6"/>
        <v/>
      </c>
      <c r="AO94" s="638"/>
      <c r="AP94" s="635" t="str">
        <f t="shared" si="16"/>
        <v/>
      </c>
      <c r="AQ94" s="635"/>
      <c r="AR94" s="427"/>
      <c r="AS94" s="522" t="str">
        <f t="shared" si="14"/>
        <v/>
      </c>
    </row>
    <row r="95" spans="2:45" x14ac:dyDescent="0.25">
      <c r="B95" s="426" t="str">
        <f t="shared" si="7"/>
        <v/>
      </c>
      <c r="C95" s="423" t="str">
        <f t="shared" si="8"/>
        <v/>
      </c>
      <c r="D95" s="643" t="str">
        <f t="shared" si="11"/>
        <v/>
      </c>
      <c r="E95" s="643"/>
      <c r="F95" s="643" t="str">
        <f t="shared" si="2"/>
        <v/>
      </c>
      <c r="G95" s="643"/>
      <c r="H95" s="671">
        <f t="shared" si="3"/>
        <v>0</v>
      </c>
      <c r="I95" s="671"/>
      <c r="J95" s="640" t="str">
        <f t="shared" si="9"/>
        <v/>
      </c>
      <c r="K95" s="640"/>
      <c r="L95" s="631" t="str">
        <f t="shared" si="12"/>
        <v/>
      </c>
      <c r="M95" s="631"/>
      <c r="N95" s="631" t="str">
        <f>IF(B95="","",VLOOKUP(TRIM(CONCATENATE($F$20," ",$F$17," ",$F$18," ",$F$22," ",$F$21," ",$F$16," ",$F$23," ",$F$24)),Catalogo_Condicione_Financieras!B:W,22,0)*1.16)</f>
        <v/>
      </c>
      <c r="O95" s="631"/>
      <c r="P95" s="641"/>
      <c r="Q95" s="641"/>
      <c r="R95" s="631" t="str">
        <f>IF(OR(X94=0,X94=""),"",IF($F$21="Apoyo Infonavit",IF(D95&gt;=C95,0,MIN(IF($F$30="",0,Caratula!$F$30),$AL$30*25)*10%),0))</f>
        <v/>
      </c>
      <c r="S95" s="631"/>
      <c r="T95" s="424" t="str">
        <f>IF(B95="","",'Tabla_Puntual&amp;Relacionamiento'!$B$4)</f>
        <v/>
      </c>
      <c r="U95" s="424"/>
      <c r="V95" s="642" t="str">
        <f t="shared" si="4"/>
        <v/>
      </c>
      <c r="W95" s="642"/>
      <c r="X95" s="642" t="str">
        <f t="shared" si="5"/>
        <v/>
      </c>
      <c r="Y95" s="642"/>
      <c r="AL95" s="420" t="str">
        <f t="shared" si="10"/>
        <v/>
      </c>
      <c r="AM95" s="421">
        <f t="shared" si="15"/>
        <v>0</v>
      </c>
      <c r="AN95" s="638" t="str">
        <f t="shared" si="6"/>
        <v/>
      </c>
      <c r="AO95" s="638"/>
      <c r="AP95" s="635" t="str">
        <f t="shared" si="16"/>
        <v/>
      </c>
      <c r="AQ95" s="635"/>
      <c r="AR95" s="427"/>
      <c r="AS95" s="522" t="str">
        <f t="shared" si="14"/>
        <v/>
      </c>
    </row>
    <row r="96" spans="2:45" x14ac:dyDescent="0.25">
      <c r="B96" s="426" t="str">
        <f t="shared" si="7"/>
        <v/>
      </c>
      <c r="C96" s="423" t="str">
        <f t="shared" si="8"/>
        <v/>
      </c>
      <c r="D96" s="643" t="str">
        <f t="shared" si="11"/>
        <v/>
      </c>
      <c r="E96" s="643"/>
      <c r="F96" s="643" t="str">
        <f t="shared" si="2"/>
        <v/>
      </c>
      <c r="G96" s="643"/>
      <c r="H96" s="671">
        <f t="shared" si="3"/>
        <v>0</v>
      </c>
      <c r="I96" s="671"/>
      <c r="J96" s="640" t="str">
        <f t="shared" si="9"/>
        <v/>
      </c>
      <c r="K96" s="640"/>
      <c r="L96" s="631" t="str">
        <f t="shared" si="12"/>
        <v/>
      </c>
      <c r="M96" s="631"/>
      <c r="N96" s="631" t="str">
        <f>IF(B96="","",VLOOKUP(TRIM(CONCATENATE($F$20," ",$F$17," ",$F$18," ",$F$22," ",$F$21," ",$F$16," ",$F$23," ",$F$24)),Catalogo_Condicione_Financieras!B:W,22,0)*1.16)</f>
        <v/>
      </c>
      <c r="O96" s="631"/>
      <c r="P96" s="641"/>
      <c r="Q96" s="641"/>
      <c r="R96" s="631"/>
      <c r="S96" s="631"/>
      <c r="T96" s="424" t="str">
        <f>IF(B96="","",'Tabla_Puntual&amp;Relacionamiento'!$B$4)</f>
        <v/>
      </c>
      <c r="U96" s="424"/>
      <c r="V96" s="642" t="str">
        <f t="shared" si="4"/>
        <v/>
      </c>
      <c r="W96" s="642"/>
      <c r="X96" s="642" t="str">
        <f t="shared" si="5"/>
        <v/>
      </c>
      <c r="Y96" s="642"/>
      <c r="AL96" s="420" t="str">
        <f t="shared" si="10"/>
        <v/>
      </c>
      <c r="AM96" s="421">
        <f t="shared" si="15"/>
        <v>0</v>
      </c>
      <c r="AN96" s="638" t="str">
        <f t="shared" si="6"/>
        <v/>
      </c>
      <c r="AO96" s="638"/>
      <c r="AP96" s="635" t="str">
        <f t="shared" si="16"/>
        <v/>
      </c>
      <c r="AQ96" s="635"/>
      <c r="AR96" s="427"/>
      <c r="AS96" s="522" t="str">
        <f t="shared" si="14"/>
        <v/>
      </c>
    </row>
    <row r="97" spans="2:45" x14ac:dyDescent="0.25">
      <c r="B97" s="426" t="str">
        <f t="shared" si="7"/>
        <v/>
      </c>
      <c r="C97" s="423" t="str">
        <f t="shared" si="8"/>
        <v/>
      </c>
      <c r="D97" s="643" t="str">
        <f t="shared" si="11"/>
        <v/>
      </c>
      <c r="E97" s="643"/>
      <c r="F97" s="643" t="str">
        <f t="shared" si="2"/>
        <v/>
      </c>
      <c r="G97" s="643"/>
      <c r="H97" s="671">
        <f t="shared" si="3"/>
        <v>0</v>
      </c>
      <c r="I97" s="671"/>
      <c r="J97" s="640" t="str">
        <f t="shared" si="9"/>
        <v/>
      </c>
      <c r="K97" s="640"/>
      <c r="L97" s="631" t="str">
        <f t="shared" si="12"/>
        <v/>
      </c>
      <c r="M97" s="631"/>
      <c r="N97" s="631" t="str">
        <f>IF(B97="","",VLOOKUP(TRIM(CONCATENATE($F$20," ",$F$17," ",$F$18," ",$F$22," ",$F$21," ",$F$16," ",$F$23," ",$F$24)),Catalogo_Condicione_Financieras!B:W,22,0)*1.16)</f>
        <v/>
      </c>
      <c r="O97" s="631"/>
      <c r="P97" s="641"/>
      <c r="Q97" s="641"/>
      <c r="R97" s="631" t="str">
        <f>IF(OR(X96=0,X96=""),"",IF($F$21="Apoyo Infonavit",IF(D97&gt;=C97,0,MIN(IF($F$30="",0,Caratula!$F$30),$AL$30*25)*10%),0))</f>
        <v/>
      </c>
      <c r="S97" s="631"/>
      <c r="T97" s="424" t="str">
        <f>IF(B97="","",'Tabla_Puntual&amp;Relacionamiento'!$B$4)</f>
        <v/>
      </c>
      <c r="U97" s="424"/>
      <c r="V97" s="642" t="str">
        <f t="shared" si="4"/>
        <v/>
      </c>
      <c r="W97" s="642"/>
      <c r="X97" s="642" t="str">
        <f t="shared" si="5"/>
        <v/>
      </c>
      <c r="Y97" s="642"/>
      <c r="AL97" s="420" t="str">
        <f t="shared" si="10"/>
        <v/>
      </c>
      <c r="AM97" s="421">
        <f t="shared" si="15"/>
        <v>0</v>
      </c>
      <c r="AN97" s="638" t="str">
        <f t="shared" si="6"/>
        <v/>
      </c>
      <c r="AO97" s="638"/>
      <c r="AP97" s="635" t="str">
        <f t="shared" si="16"/>
        <v/>
      </c>
      <c r="AQ97" s="635"/>
      <c r="AR97" s="427"/>
      <c r="AS97" s="522" t="str">
        <f t="shared" si="14"/>
        <v/>
      </c>
    </row>
    <row r="98" spans="2:45" x14ac:dyDescent="0.25">
      <c r="B98" s="426" t="str">
        <f t="shared" si="7"/>
        <v/>
      </c>
      <c r="C98" s="423" t="str">
        <f t="shared" si="8"/>
        <v/>
      </c>
      <c r="D98" s="643" t="str">
        <f t="shared" si="11"/>
        <v/>
      </c>
      <c r="E98" s="643"/>
      <c r="F98" s="643" t="str">
        <f t="shared" si="2"/>
        <v/>
      </c>
      <c r="G98" s="643"/>
      <c r="H98" s="671">
        <f t="shared" si="3"/>
        <v>0</v>
      </c>
      <c r="I98" s="671"/>
      <c r="J98" s="640" t="str">
        <f t="shared" si="9"/>
        <v/>
      </c>
      <c r="K98" s="640"/>
      <c r="L98" s="631" t="str">
        <f t="shared" si="12"/>
        <v/>
      </c>
      <c r="M98" s="631"/>
      <c r="N98" s="631" t="str">
        <f>IF(B98="","",VLOOKUP(TRIM(CONCATENATE($F$20," ",$F$17," ",$F$18," ",$F$22," ",$F$21," ",$F$16," ",$F$23," ",$F$24)),Catalogo_Condicione_Financieras!B:W,22,0)*1.16)</f>
        <v/>
      </c>
      <c r="O98" s="631"/>
      <c r="P98" s="641"/>
      <c r="Q98" s="641"/>
      <c r="R98" s="631"/>
      <c r="S98" s="631"/>
      <c r="T98" s="424" t="str">
        <f>IF(B98="","",'Tabla_Puntual&amp;Relacionamiento'!$B$4)</f>
        <v/>
      </c>
      <c r="U98" s="424"/>
      <c r="V98" s="642" t="str">
        <f t="shared" si="4"/>
        <v/>
      </c>
      <c r="W98" s="642"/>
      <c r="X98" s="642" t="str">
        <f t="shared" si="5"/>
        <v/>
      </c>
      <c r="Y98" s="642"/>
      <c r="AL98" s="420" t="str">
        <f t="shared" si="10"/>
        <v/>
      </c>
      <c r="AM98" s="421">
        <f t="shared" si="15"/>
        <v>0</v>
      </c>
      <c r="AN98" s="638" t="str">
        <f t="shared" si="6"/>
        <v/>
      </c>
      <c r="AO98" s="638"/>
      <c r="AP98" s="635" t="str">
        <f t="shared" si="16"/>
        <v/>
      </c>
      <c r="AQ98" s="635"/>
      <c r="AR98" s="427"/>
      <c r="AS98" s="522" t="str">
        <f t="shared" si="14"/>
        <v/>
      </c>
    </row>
    <row r="99" spans="2:45" x14ac:dyDescent="0.25">
      <c r="B99" s="426" t="str">
        <f t="shared" si="7"/>
        <v/>
      </c>
      <c r="C99" s="423" t="str">
        <f t="shared" si="8"/>
        <v/>
      </c>
      <c r="D99" s="643" t="str">
        <f t="shared" si="11"/>
        <v/>
      </c>
      <c r="E99" s="643"/>
      <c r="F99" s="643" t="str">
        <f t="shared" si="2"/>
        <v/>
      </c>
      <c r="G99" s="643"/>
      <c r="H99" s="671">
        <f t="shared" si="3"/>
        <v>0</v>
      </c>
      <c r="I99" s="671"/>
      <c r="J99" s="640" t="str">
        <f t="shared" si="9"/>
        <v/>
      </c>
      <c r="K99" s="640"/>
      <c r="L99" s="631" t="str">
        <f t="shared" si="12"/>
        <v/>
      </c>
      <c r="M99" s="631"/>
      <c r="N99" s="631" t="str">
        <f>IF(B99="","",VLOOKUP(TRIM(CONCATENATE($F$20," ",$F$17," ",$F$18," ",$F$22," ",$F$21," ",$F$16," ",$F$23," ",$F$24)),Catalogo_Condicione_Financieras!B:W,22,0)*1.16)</f>
        <v/>
      </c>
      <c r="O99" s="631"/>
      <c r="P99" s="641"/>
      <c r="Q99" s="641"/>
      <c r="R99" s="631" t="str">
        <f>IF(OR(X98=0,X98=""),"",IF($F$21="Apoyo Infonavit",IF(D99&gt;=C99,0,MIN(IF($F$30="",0,Caratula!$F$30),$AL$30*25)*10%),0))</f>
        <v/>
      </c>
      <c r="S99" s="631"/>
      <c r="T99" s="424" t="str">
        <f>IF(B99="","",'Tabla_Puntual&amp;Relacionamiento'!$B$4)</f>
        <v/>
      </c>
      <c r="U99" s="424"/>
      <c r="V99" s="642" t="str">
        <f t="shared" si="4"/>
        <v/>
      </c>
      <c r="W99" s="642"/>
      <c r="X99" s="642" t="str">
        <f t="shared" si="5"/>
        <v/>
      </c>
      <c r="Y99" s="642"/>
      <c r="AL99" s="420" t="str">
        <f t="shared" si="10"/>
        <v/>
      </c>
      <c r="AM99" s="421">
        <f t="shared" si="15"/>
        <v>0</v>
      </c>
      <c r="AN99" s="638" t="str">
        <f t="shared" si="6"/>
        <v/>
      </c>
      <c r="AO99" s="638"/>
      <c r="AP99" s="635" t="str">
        <f t="shared" si="16"/>
        <v/>
      </c>
      <c r="AQ99" s="635"/>
      <c r="AR99" s="427"/>
      <c r="AS99" s="522" t="str">
        <f t="shared" si="14"/>
        <v/>
      </c>
    </row>
    <row r="100" spans="2:45" x14ac:dyDescent="0.25">
      <c r="B100" s="426" t="str">
        <f t="shared" si="7"/>
        <v/>
      </c>
      <c r="C100" s="423" t="str">
        <f t="shared" si="8"/>
        <v/>
      </c>
      <c r="D100" s="643" t="str">
        <f t="shared" si="11"/>
        <v/>
      </c>
      <c r="E100" s="643"/>
      <c r="F100" s="643" t="str">
        <f t="shared" si="2"/>
        <v/>
      </c>
      <c r="G100" s="643"/>
      <c r="H100" s="671">
        <f t="shared" si="3"/>
        <v>0</v>
      </c>
      <c r="I100" s="671"/>
      <c r="J100" s="640" t="str">
        <f t="shared" si="9"/>
        <v/>
      </c>
      <c r="K100" s="640"/>
      <c r="L100" s="631" t="str">
        <f t="shared" si="12"/>
        <v/>
      </c>
      <c r="M100" s="631"/>
      <c r="N100" s="631" t="str">
        <f>IF(B100="","",VLOOKUP(TRIM(CONCATENATE($F$20," ",$F$17," ",$F$18," ",$F$22," ",$F$21," ",$F$16," ",$F$23," ",$F$24)),Catalogo_Condicione_Financieras!B:W,22,0)*1.16)</f>
        <v/>
      </c>
      <c r="O100" s="631"/>
      <c r="P100" s="641"/>
      <c r="Q100" s="641"/>
      <c r="R100" s="631"/>
      <c r="S100" s="631"/>
      <c r="T100" s="424" t="str">
        <f>IF(B100="","",'Tabla_Puntual&amp;Relacionamiento'!$B$5)</f>
        <v/>
      </c>
      <c r="U100" s="424" t="str">
        <f>IF(B100="","",IF($F$16="Pago_Bajo_Puntual",0.019,""))</f>
        <v/>
      </c>
      <c r="V100" s="642" t="str">
        <f t="shared" si="4"/>
        <v/>
      </c>
      <c r="W100" s="642"/>
      <c r="X100" s="642" t="str">
        <f t="shared" si="5"/>
        <v/>
      </c>
      <c r="Y100" s="642"/>
      <c r="AL100" s="420" t="str">
        <f t="shared" si="10"/>
        <v/>
      </c>
      <c r="AM100" s="421">
        <f t="shared" si="15"/>
        <v>0</v>
      </c>
      <c r="AN100" s="639" t="str">
        <f t="shared" si="6"/>
        <v/>
      </c>
      <c r="AO100" s="639"/>
      <c r="AP100" s="636" t="str">
        <f t="shared" si="16"/>
        <v/>
      </c>
      <c r="AQ100" s="636"/>
      <c r="AR100" s="427"/>
      <c r="AS100" s="522" t="str">
        <f t="shared" si="14"/>
        <v/>
      </c>
    </row>
    <row r="101" spans="2:45" x14ac:dyDescent="0.25">
      <c r="B101" s="426" t="str">
        <f t="shared" si="7"/>
        <v/>
      </c>
      <c r="C101" s="423" t="str">
        <f t="shared" si="8"/>
        <v/>
      </c>
      <c r="D101" s="643" t="str">
        <f t="shared" si="11"/>
        <v/>
      </c>
      <c r="E101" s="643"/>
      <c r="F101" s="643" t="str">
        <f t="shared" si="2"/>
        <v/>
      </c>
      <c r="G101" s="643"/>
      <c r="H101" s="671">
        <f t="shared" si="3"/>
        <v>0</v>
      </c>
      <c r="I101" s="671"/>
      <c r="J101" s="640" t="str">
        <f t="shared" si="9"/>
        <v/>
      </c>
      <c r="K101" s="640"/>
      <c r="L101" s="631" t="str">
        <f t="shared" si="12"/>
        <v/>
      </c>
      <c r="M101" s="631"/>
      <c r="N101" s="631" t="str">
        <f>IF(B101="","",VLOOKUP(TRIM(CONCATENATE($F$20," ",$F$17," ",$F$18," ",$F$22," ",$F$21," ",$F$16," ",$F$23," ",$F$24)),Catalogo_Condicione_Financieras!B:W,22,0)*1.16)</f>
        <v/>
      </c>
      <c r="O101" s="631"/>
      <c r="P101" s="641"/>
      <c r="Q101" s="641"/>
      <c r="R101" s="631" t="str">
        <f>IF(OR(X100=0,X100=""),"",IF($F$21="Apoyo Infonavit",IF(D101&gt;=C101,0,MIN(IF($F$30="",0,Caratula!$F$30),$AL$30*25)*10%),0))</f>
        <v/>
      </c>
      <c r="S101" s="631"/>
      <c r="T101" s="424" t="str">
        <f>IF(B101="","",'Tabla_Puntual&amp;Relacionamiento'!$B$5)</f>
        <v/>
      </c>
      <c r="U101" s="424"/>
      <c r="V101" s="642" t="str">
        <f t="shared" si="4"/>
        <v/>
      </c>
      <c r="W101" s="642"/>
      <c r="X101" s="642" t="str">
        <f t="shared" si="5"/>
        <v/>
      </c>
      <c r="Y101" s="642"/>
      <c r="AL101" s="420" t="str">
        <f t="shared" si="10"/>
        <v/>
      </c>
      <c r="AM101" s="421">
        <f t="shared" si="15"/>
        <v>0</v>
      </c>
      <c r="AN101" s="638" t="str">
        <f t="shared" si="6"/>
        <v/>
      </c>
      <c r="AO101" s="638"/>
      <c r="AP101" s="635" t="str">
        <f t="shared" si="16"/>
        <v/>
      </c>
      <c r="AQ101" s="635"/>
      <c r="AR101" s="427"/>
      <c r="AS101" s="522" t="str">
        <f t="shared" si="14"/>
        <v/>
      </c>
    </row>
    <row r="102" spans="2:45" x14ac:dyDescent="0.25">
      <c r="B102" s="426" t="str">
        <f t="shared" si="7"/>
        <v/>
      </c>
      <c r="C102" s="423" t="str">
        <f t="shared" si="8"/>
        <v/>
      </c>
      <c r="D102" s="643" t="str">
        <f t="shared" si="11"/>
        <v/>
      </c>
      <c r="E102" s="643"/>
      <c r="F102" s="643" t="str">
        <f t="shared" si="2"/>
        <v/>
      </c>
      <c r="G102" s="643"/>
      <c r="H102" s="671">
        <f t="shared" si="3"/>
        <v>0</v>
      </c>
      <c r="I102" s="671"/>
      <c r="J102" s="640" t="str">
        <f t="shared" si="9"/>
        <v/>
      </c>
      <c r="K102" s="640"/>
      <c r="L102" s="631" t="str">
        <f t="shared" si="12"/>
        <v/>
      </c>
      <c r="M102" s="631"/>
      <c r="N102" s="631" t="str">
        <f>IF(B102="","",VLOOKUP(TRIM(CONCATENATE($F$20," ",$F$17," ",$F$18," ",$F$22," ",$F$21," ",$F$16," ",$F$23," ",$F$24)),Catalogo_Condicione_Financieras!B:W,22,0)*1.16)</f>
        <v/>
      </c>
      <c r="O102" s="631"/>
      <c r="P102" s="641"/>
      <c r="Q102" s="641"/>
      <c r="R102" s="631"/>
      <c r="S102" s="631"/>
      <c r="T102" s="424" t="str">
        <f>IF(B102="","",'Tabla_Puntual&amp;Relacionamiento'!$B$5)</f>
        <v/>
      </c>
      <c r="U102" s="424"/>
      <c r="V102" s="642" t="str">
        <f t="shared" si="4"/>
        <v/>
      </c>
      <c r="W102" s="642"/>
      <c r="X102" s="642" t="str">
        <f t="shared" si="5"/>
        <v/>
      </c>
      <c r="Y102" s="642"/>
      <c r="AL102" s="420" t="str">
        <f t="shared" si="10"/>
        <v/>
      </c>
      <c r="AM102" s="421">
        <f t="shared" si="15"/>
        <v>0</v>
      </c>
      <c r="AN102" s="638" t="str">
        <f t="shared" si="6"/>
        <v/>
      </c>
      <c r="AO102" s="638"/>
      <c r="AP102" s="635" t="str">
        <f t="shared" si="16"/>
        <v/>
      </c>
      <c r="AQ102" s="635"/>
      <c r="AR102" s="427"/>
      <c r="AS102" s="522" t="str">
        <f t="shared" si="14"/>
        <v/>
      </c>
    </row>
    <row r="103" spans="2:45" x14ac:dyDescent="0.25">
      <c r="B103" s="426" t="str">
        <f t="shared" si="7"/>
        <v/>
      </c>
      <c r="C103" s="423" t="str">
        <f t="shared" si="8"/>
        <v/>
      </c>
      <c r="D103" s="643" t="str">
        <f t="shared" si="11"/>
        <v/>
      </c>
      <c r="E103" s="643"/>
      <c r="F103" s="643" t="str">
        <f t="shared" si="2"/>
        <v/>
      </c>
      <c r="G103" s="643"/>
      <c r="H103" s="671">
        <f t="shared" si="3"/>
        <v>0</v>
      </c>
      <c r="I103" s="671"/>
      <c r="J103" s="640" t="str">
        <f t="shared" si="9"/>
        <v/>
      </c>
      <c r="K103" s="640"/>
      <c r="L103" s="631" t="str">
        <f t="shared" si="12"/>
        <v/>
      </c>
      <c r="M103" s="631"/>
      <c r="N103" s="631" t="str">
        <f>IF(B103="","",VLOOKUP(TRIM(CONCATENATE($F$20," ",$F$17," ",$F$18," ",$F$22," ",$F$21," ",$F$16," ",$F$23," ",$F$24)),Catalogo_Condicione_Financieras!B:W,22,0)*1.16)</f>
        <v/>
      </c>
      <c r="O103" s="631"/>
      <c r="P103" s="641"/>
      <c r="Q103" s="641"/>
      <c r="R103" s="631" t="str">
        <f>IF(OR(X102=0,X102=""),"",IF($F$21="Apoyo Infonavit",IF(D103&gt;=C103,0,MIN(IF($F$30="",0,Caratula!$F$30),$AL$30*25)*10%),0))</f>
        <v/>
      </c>
      <c r="S103" s="631"/>
      <c r="T103" s="424" t="str">
        <f>IF(B103="","",'Tabla_Puntual&amp;Relacionamiento'!$B$5)</f>
        <v/>
      </c>
      <c r="U103" s="424"/>
      <c r="V103" s="642" t="str">
        <f t="shared" si="4"/>
        <v/>
      </c>
      <c r="W103" s="642"/>
      <c r="X103" s="642" t="str">
        <f t="shared" si="5"/>
        <v/>
      </c>
      <c r="Y103" s="642"/>
      <c r="AL103" s="420" t="str">
        <f t="shared" si="10"/>
        <v/>
      </c>
      <c r="AM103" s="421">
        <f t="shared" si="15"/>
        <v>0</v>
      </c>
      <c r="AN103" s="638" t="str">
        <f t="shared" si="6"/>
        <v/>
      </c>
      <c r="AO103" s="638"/>
      <c r="AP103" s="635" t="str">
        <f t="shared" si="16"/>
        <v/>
      </c>
      <c r="AQ103" s="635"/>
      <c r="AR103" s="427"/>
      <c r="AS103" s="522" t="str">
        <f t="shared" si="14"/>
        <v/>
      </c>
    </row>
    <row r="104" spans="2:45" x14ac:dyDescent="0.25">
      <c r="B104" s="426" t="str">
        <f t="shared" si="7"/>
        <v/>
      </c>
      <c r="C104" s="423" t="str">
        <f t="shared" si="8"/>
        <v/>
      </c>
      <c r="D104" s="643" t="str">
        <f t="shared" si="11"/>
        <v/>
      </c>
      <c r="E104" s="643"/>
      <c r="F104" s="643" t="str">
        <f t="shared" si="2"/>
        <v/>
      </c>
      <c r="G104" s="643"/>
      <c r="H104" s="671">
        <f t="shared" si="3"/>
        <v>0</v>
      </c>
      <c r="I104" s="671"/>
      <c r="J104" s="640" t="str">
        <f t="shared" si="9"/>
        <v/>
      </c>
      <c r="K104" s="640"/>
      <c r="L104" s="631" t="str">
        <f t="shared" si="12"/>
        <v/>
      </c>
      <c r="M104" s="631"/>
      <c r="N104" s="631" t="str">
        <f>IF(B104="","",VLOOKUP(TRIM(CONCATENATE($F$20," ",$F$17," ",$F$18," ",$F$22," ",$F$21," ",$F$16," ",$F$23," ",$F$24)),Catalogo_Condicione_Financieras!B:W,22,0)*1.16)</f>
        <v/>
      </c>
      <c r="O104" s="631"/>
      <c r="P104" s="641"/>
      <c r="Q104" s="641"/>
      <c r="R104" s="631"/>
      <c r="S104" s="631"/>
      <c r="T104" s="424" t="str">
        <f>IF(B104="","",'Tabla_Puntual&amp;Relacionamiento'!$B$5)</f>
        <v/>
      </c>
      <c r="U104" s="424"/>
      <c r="V104" s="642" t="str">
        <f t="shared" si="4"/>
        <v/>
      </c>
      <c r="W104" s="642"/>
      <c r="X104" s="642" t="str">
        <f t="shared" si="5"/>
        <v/>
      </c>
      <c r="Y104" s="642"/>
      <c r="AL104" s="420" t="str">
        <f t="shared" si="10"/>
        <v/>
      </c>
      <c r="AM104" s="421">
        <f t="shared" si="15"/>
        <v>0</v>
      </c>
      <c r="AN104" s="638" t="str">
        <f t="shared" si="6"/>
        <v/>
      </c>
      <c r="AO104" s="638"/>
      <c r="AP104" s="635" t="str">
        <f t="shared" si="16"/>
        <v/>
      </c>
      <c r="AQ104" s="635"/>
      <c r="AR104" s="427"/>
      <c r="AS104" s="522" t="str">
        <f t="shared" si="14"/>
        <v/>
      </c>
    </row>
    <row r="105" spans="2:45" x14ac:dyDescent="0.25">
      <c r="B105" s="426" t="str">
        <f t="shared" si="7"/>
        <v/>
      </c>
      <c r="C105" s="423" t="str">
        <f t="shared" si="8"/>
        <v/>
      </c>
      <c r="D105" s="643" t="str">
        <f t="shared" si="11"/>
        <v/>
      </c>
      <c r="E105" s="643"/>
      <c r="F105" s="643" t="str">
        <f t="shared" si="2"/>
        <v/>
      </c>
      <c r="G105" s="643"/>
      <c r="H105" s="671">
        <f t="shared" si="3"/>
        <v>0</v>
      </c>
      <c r="I105" s="671"/>
      <c r="J105" s="640" t="str">
        <f t="shared" si="9"/>
        <v/>
      </c>
      <c r="K105" s="640"/>
      <c r="L105" s="631" t="str">
        <f t="shared" si="12"/>
        <v/>
      </c>
      <c r="M105" s="631"/>
      <c r="N105" s="631" t="str">
        <f>IF(B105="","",VLOOKUP(TRIM(CONCATENATE($F$20," ",$F$17," ",$F$18," ",$F$22," ",$F$21," ",$F$16," ",$F$23," ",$F$24)),Catalogo_Condicione_Financieras!B:W,22,0)*1.16)</f>
        <v/>
      </c>
      <c r="O105" s="631"/>
      <c r="P105" s="641"/>
      <c r="Q105" s="641"/>
      <c r="R105" s="631" t="str">
        <f>IF(OR(X104=0,X104=""),"",IF($F$21="Apoyo Infonavit",IF(D105&gt;=C105,0,MIN(IF($F$30="",0,Caratula!$F$30),$AL$30*25)*10%),0))</f>
        <v/>
      </c>
      <c r="S105" s="631"/>
      <c r="T105" s="424" t="str">
        <f>IF(B105="","",'Tabla_Puntual&amp;Relacionamiento'!$B$5)</f>
        <v/>
      </c>
      <c r="U105" s="424"/>
      <c r="V105" s="642" t="str">
        <f t="shared" si="4"/>
        <v/>
      </c>
      <c r="W105" s="642"/>
      <c r="X105" s="642" t="str">
        <f t="shared" si="5"/>
        <v/>
      </c>
      <c r="Y105" s="642"/>
      <c r="AL105" s="420" t="str">
        <f t="shared" si="10"/>
        <v/>
      </c>
      <c r="AM105" s="421">
        <f t="shared" si="15"/>
        <v>0</v>
      </c>
      <c r="AN105" s="638" t="str">
        <f t="shared" si="6"/>
        <v/>
      </c>
      <c r="AO105" s="638"/>
      <c r="AP105" s="635" t="str">
        <f t="shared" si="16"/>
        <v/>
      </c>
      <c r="AQ105" s="635"/>
      <c r="AR105" s="427"/>
      <c r="AS105" s="522" t="str">
        <f t="shared" si="14"/>
        <v/>
      </c>
    </row>
    <row r="106" spans="2:45" x14ac:dyDescent="0.25">
      <c r="B106" s="426" t="str">
        <f t="shared" si="7"/>
        <v/>
      </c>
      <c r="C106" s="423" t="str">
        <f t="shared" si="8"/>
        <v/>
      </c>
      <c r="D106" s="643" t="str">
        <f t="shared" si="11"/>
        <v/>
      </c>
      <c r="E106" s="643"/>
      <c r="F106" s="643" t="str">
        <f t="shared" si="2"/>
        <v/>
      </c>
      <c r="G106" s="643"/>
      <c r="H106" s="671">
        <f t="shared" si="3"/>
        <v>0</v>
      </c>
      <c r="I106" s="671"/>
      <c r="J106" s="640" t="str">
        <f t="shared" si="9"/>
        <v/>
      </c>
      <c r="K106" s="640"/>
      <c r="L106" s="631" t="str">
        <f t="shared" si="12"/>
        <v/>
      </c>
      <c r="M106" s="631"/>
      <c r="N106" s="631" t="str">
        <f>IF(B106="","",VLOOKUP(TRIM(CONCATENATE($F$20," ",$F$17," ",$F$18," ",$F$22," ",$F$21," ",$F$16," ",$F$23," ",$F$24)),Catalogo_Condicione_Financieras!B:W,22,0)*1.16)</f>
        <v/>
      </c>
      <c r="O106" s="631"/>
      <c r="P106" s="641"/>
      <c r="Q106" s="641"/>
      <c r="R106" s="631"/>
      <c r="S106" s="631"/>
      <c r="T106" s="424" t="str">
        <f>IF(B106="","",'Tabla_Puntual&amp;Relacionamiento'!$B$5)</f>
        <v/>
      </c>
      <c r="U106" s="424"/>
      <c r="V106" s="642" t="str">
        <f t="shared" si="4"/>
        <v/>
      </c>
      <c r="W106" s="642"/>
      <c r="X106" s="642" t="str">
        <f t="shared" si="5"/>
        <v/>
      </c>
      <c r="Y106" s="642"/>
      <c r="AL106" s="420" t="str">
        <f t="shared" si="10"/>
        <v/>
      </c>
      <c r="AM106" s="421">
        <f t="shared" si="15"/>
        <v>0</v>
      </c>
      <c r="AN106" s="638" t="str">
        <f t="shared" si="6"/>
        <v/>
      </c>
      <c r="AO106" s="638"/>
      <c r="AP106" s="635" t="str">
        <f t="shared" si="16"/>
        <v/>
      </c>
      <c r="AQ106" s="635"/>
      <c r="AR106" s="427"/>
      <c r="AS106" s="522" t="str">
        <f t="shared" si="14"/>
        <v/>
      </c>
    </row>
    <row r="107" spans="2:45" x14ac:dyDescent="0.25">
      <c r="B107" s="426" t="str">
        <f t="shared" si="7"/>
        <v/>
      </c>
      <c r="C107" s="423" t="str">
        <f t="shared" si="8"/>
        <v/>
      </c>
      <c r="D107" s="643" t="str">
        <f t="shared" si="11"/>
        <v/>
      </c>
      <c r="E107" s="643"/>
      <c r="F107" s="643" t="str">
        <f t="shared" si="2"/>
        <v/>
      </c>
      <c r="G107" s="643"/>
      <c r="H107" s="671">
        <f t="shared" si="3"/>
        <v>0</v>
      </c>
      <c r="I107" s="671"/>
      <c r="J107" s="640" t="str">
        <f t="shared" si="9"/>
        <v/>
      </c>
      <c r="K107" s="640"/>
      <c r="L107" s="631" t="str">
        <f t="shared" si="12"/>
        <v/>
      </c>
      <c r="M107" s="631"/>
      <c r="N107" s="631" t="str">
        <f>IF(B107="","",VLOOKUP(TRIM(CONCATENATE($F$20," ",$F$17," ",$F$18," ",$F$22," ",$F$21," ",$F$16," ",$F$23," ",$F$24)),Catalogo_Condicione_Financieras!B:W,22,0)*1.16)</f>
        <v/>
      </c>
      <c r="O107" s="631"/>
      <c r="P107" s="641"/>
      <c r="Q107" s="641"/>
      <c r="R107" s="631" t="str">
        <f>IF(OR(X106=0,X106=""),"",IF($F$21="Apoyo Infonavit",IF(D107&gt;=C107,0,MIN(IF($F$30="",0,Caratula!$F$30),$AL$30*25)*10%),0))</f>
        <v/>
      </c>
      <c r="S107" s="631"/>
      <c r="T107" s="424" t="str">
        <f>IF(B107="","",'Tabla_Puntual&amp;Relacionamiento'!$B$5)</f>
        <v/>
      </c>
      <c r="U107" s="424"/>
      <c r="V107" s="642" t="str">
        <f t="shared" si="4"/>
        <v/>
      </c>
      <c r="W107" s="642"/>
      <c r="X107" s="642" t="str">
        <f t="shared" si="5"/>
        <v/>
      </c>
      <c r="Y107" s="642"/>
      <c r="AL107" s="420" t="str">
        <f t="shared" si="10"/>
        <v/>
      </c>
      <c r="AM107" s="421">
        <f t="shared" si="15"/>
        <v>0</v>
      </c>
      <c r="AN107" s="638" t="str">
        <f t="shared" si="6"/>
        <v/>
      </c>
      <c r="AO107" s="638"/>
      <c r="AP107" s="635" t="str">
        <f t="shared" si="16"/>
        <v/>
      </c>
      <c r="AQ107" s="635"/>
      <c r="AR107" s="427"/>
      <c r="AS107" s="522" t="str">
        <f t="shared" si="14"/>
        <v/>
      </c>
    </row>
    <row r="108" spans="2:45" x14ac:dyDescent="0.25">
      <c r="B108" s="426" t="str">
        <f t="shared" si="7"/>
        <v/>
      </c>
      <c r="C108" s="423" t="str">
        <f t="shared" si="8"/>
        <v/>
      </c>
      <c r="D108" s="643" t="str">
        <f t="shared" si="11"/>
        <v/>
      </c>
      <c r="E108" s="643"/>
      <c r="F108" s="643" t="str">
        <f t="shared" si="2"/>
        <v/>
      </c>
      <c r="G108" s="643"/>
      <c r="H108" s="671">
        <f t="shared" si="3"/>
        <v>0</v>
      </c>
      <c r="I108" s="671"/>
      <c r="J108" s="640" t="str">
        <f t="shared" si="9"/>
        <v/>
      </c>
      <c r="K108" s="640"/>
      <c r="L108" s="631" t="str">
        <f t="shared" si="12"/>
        <v/>
      </c>
      <c r="M108" s="631"/>
      <c r="N108" s="631" t="str">
        <f>IF(B108="","",VLOOKUP(TRIM(CONCATENATE($F$20," ",$F$17," ",$F$18," ",$F$22," ",$F$21," ",$F$16," ",$F$23," ",$F$24)),Catalogo_Condicione_Financieras!B:W,22,0)*1.16)</f>
        <v/>
      </c>
      <c r="O108" s="631"/>
      <c r="P108" s="641"/>
      <c r="Q108" s="641"/>
      <c r="R108" s="631"/>
      <c r="S108" s="631"/>
      <c r="T108" s="424" t="str">
        <f>IF(B108="","",'Tabla_Puntual&amp;Relacionamiento'!$B$5)</f>
        <v/>
      </c>
      <c r="U108" s="424"/>
      <c r="V108" s="642" t="str">
        <f t="shared" si="4"/>
        <v/>
      </c>
      <c r="W108" s="642"/>
      <c r="X108" s="642" t="str">
        <f t="shared" si="5"/>
        <v/>
      </c>
      <c r="Y108" s="642"/>
      <c r="AL108" s="420" t="str">
        <f t="shared" si="10"/>
        <v/>
      </c>
      <c r="AM108" s="421">
        <f t="shared" si="15"/>
        <v>0</v>
      </c>
      <c r="AN108" s="638" t="str">
        <f t="shared" si="6"/>
        <v/>
      </c>
      <c r="AO108" s="638"/>
      <c r="AP108" s="635" t="str">
        <f t="shared" si="16"/>
        <v/>
      </c>
      <c r="AQ108" s="635"/>
      <c r="AR108" s="427"/>
      <c r="AS108" s="522" t="str">
        <f t="shared" si="14"/>
        <v/>
      </c>
    </row>
    <row r="109" spans="2:45" x14ac:dyDescent="0.25">
      <c r="B109" s="426" t="str">
        <f t="shared" si="7"/>
        <v/>
      </c>
      <c r="C109" s="423" t="str">
        <f t="shared" si="8"/>
        <v/>
      </c>
      <c r="D109" s="643" t="str">
        <f t="shared" si="11"/>
        <v/>
      </c>
      <c r="E109" s="643"/>
      <c r="F109" s="643" t="str">
        <f t="shared" si="2"/>
        <v/>
      </c>
      <c r="G109" s="643"/>
      <c r="H109" s="671">
        <f t="shared" si="3"/>
        <v>0</v>
      </c>
      <c r="I109" s="671"/>
      <c r="J109" s="640" t="str">
        <f t="shared" si="9"/>
        <v/>
      </c>
      <c r="K109" s="640"/>
      <c r="L109" s="631" t="str">
        <f t="shared" si="12"/>
        <v/>
      </c>
      <c r="M109" s="631"/>
      <c r="N109" s="631" t="str">
        <f>IF(B109="","",VLOOKUP(TRIM(CONCATENATE($F$20," ",$F$17," ",$F$18," ",$F$22," ",$F$21," ",$F$16," ",$F$23," ",$F$24)),Catalogo_Condicione_Financieras!B:W,22,0)*1.16)</f>
        <v/>
      </c>
      <c r="O109" s="631"/>
      <c r="P109" s="641"/>
      <c r="Q109" s="641"/>
      <c r="R109" s="631" t="str">
        <f>IF(OR(X108=0,X108=""),"",IF($F$21="Apoyo Infonavit",IF(D109&gt;=C109,0,MIN(IF($F$30="",0,Caratula!$F$30),$AL$30*25)*10%),0))</f>
        <v/>
      </c>
      <c r="S109" s="631"/>
      <c r="T109" s="424" t="str">
        <f>IF(B109="","",'Tabla_Puntual&amp;Relacionamiento'!$B$5)</f>
        <v/>
      </c>
      <c r="U109" s="424"/>
      <c r="V109" s="642" t="str">
        <f t="shared" si="4"/>
        <v/>
      </c>
      <c r="W109" s="642"/>
      <c r="X109" s="642" t="str">
        <f t="shared" si="5"/>
        <v/>
      </c>
      <c r="Y109" s="642"/>
      <c r="AL109" s="420" t="str">
        <f t="shared" si="10"/>
        <v/>
      </c>
      <c r="AM109" s="421">
        <f t="shared" si="15"/>
        <v>0</v>
      </c>
      <c r="AN109" s="638" t="str">
        <f t="shared" si="6"/>
        <v/>
      </c>
      <c r="AO109" s="638"/>
      <c r="AP109" s="635" t="str">
        <f t="shared" si="16"/>
        <v/>
      </c>
      <c r="AQ109" s="635"/>
      <c r="AR109" s="427"/>
      <c r="AS109" s="522" t="str">
        <f t="shared" si="14"/>
        <v/>
      </c>
    </row>
    <row r="110" spans="2:45" x14ac:dyDescent="0.25">
      <c r="B110" s="426" t="str">
        <f t="shared" si="7"/>
        <v/>
      </c>
      <c r="C110" s="423" t="str">
        <f t="shared" si="8"/>
        <v/>
      </c>
      <c r="D110" s="643" t="str">
        <f t="shared" si="11"/>
        <v/>
      </c>
      <c r="E110" s="643"/>
      <c r="F110" s="643" t="str">
        <f t="shared" si="2"/>
        <v/>
      </c>
      <c r="G110" s="643"/>
      <c r="H110" s="671">
        <f t="shared" si="3"/>
        <v>0</v>
      </c>
      <c r="I110" s="671"/>
      <c r="J110" s="640" t="str">
        <f t="shared" si="9"/>
        <v/>
      </c>
      <c r="K110" s="640"/>
      <c r="L110" s="631" t="str">
        <f t="shared" si="12"/>
        <v/>
      </c>
      <c r="M110" s="631"/>
      <c r="N110" s="631" t="str">
        <f>IF(B110="","",VLOOKUP(TRIM(CONCATENATE($F$20," ",$F$17," ",$F$18," ",$F$22," ",$F$21," ",$F$16," ",$F$23," ",$F$24)),Catalogo_Condicione_Financieras!B:W,22,0)*1.16)</f>
        <v/>
      </c>
      <c r="O110" s="631"/>
      <c r="P110" s="641"/>
      <c r="Q110" s="641"/>
      <c r="R110" s="631"/>
      <c r="S110" s="631"/>
      <c r="T110" s="424" t="str">
        <f>IF(B110="","",'Tabla_Puntual&amp;Relacionamiento'!$B$5)</f>
        <v/>
      </c>
      <c r="U110" s="424"/>
      <c r="V110" s="642" t="str">
        <f t="shared" si="4"/>
        <v/>
      </c>
      <c r="W110" s="642"/>
      <c r="X110" s="642" t="str">
        <f t="shared" si="5"/>
        <v/>
      </c>
      <c r="Y110" s="642"/>
      <c r="AL110" s="420" t="str">
        <f t="shared" si="10"/>
        <v/>
      </c>
      <c r="AM110" s="421">
        <f t="shared" si="15"/>
        <v>0</v>
      </c>
      <c r="AN110" s="638" t="str">
        <f t="shared" si="6"/>
        <v/>
      </c>
      <c r="AO110" s="638"/>
      <c r="AP110" s="635" t="str">
        <f t="shared" si="16"/>
        <v/>
      </c>
      <c r="AQ110" s="635"/>
      <c r="AR110" s="427"/>
      <c r="AS110" s="522" t="str">
        <f t="shared" si="14"/>
        <v/>
      </c>
    </row>
    <row r="111" spans="2:45" x14ac:dyDescent="0.25">
      <c r="B111" s="426" t="str">
        <f t="shared" si="7"/>
        <v/>
      </c>
      <c r="C111" s="423" t="str">
        <f t="shared" si="8"/>
        <v/>
      </c>
      <c r="D111" s="643" t="str">
        <f t="shared" si="11"/>
        <v/>
      </c>
      <c r="E111" s="643"/>
      <c r="F111" s="643" t="str">
        <f t="shared" si="2"/>
        <v/>
      </c>
      <c r="G111" s="643"/>
      <c r="H111" s="671">
        <f t="shared" si="3"/>
        <v>0</v>
      </c>
      <c r="I111" s="671"/>
      <c r="J111" s="640" t="str">
        <f t="shared" si="9"/>
        <v/>
      </c>
      <c r="K111" s="640"/>
      <c r="L111" s="631" t="str">
        <f t="shared" si="12"/>
        <v/>
      </c>
      <c r="M111" s="631"/>
      <c r="N111" s="631" t="str">
        <f>IF(B111="","",VLOOKUP(TRIM(CONCATENATE($F$20," ",$F$17," ",$F$18," ",$F$22," ",$F$21," ",$F$16," ",$F$23," ",$F$24)),Catalogo_Condicione_Financieras!B:W,22,0)*1.16)</f>
        <v/>
      </c>
      <c r="O111" s="631"/>
      <c r="P111" s="641"/>
      <c r="Q111" s="641"/>
      <c r="R111" s="631" t="str">
        <f>IF(OR(X110=0,X110=""),"",IF($F$21="Apoyo Infonavit",IF(D111&gt;=C111,0,MIN(IF($F$30="",0,Caratula!$F$30),$AL$30*25)*10%),0))</f>
        <v/>
      </c>
      <c r="S111" s="631"/>
      <c r="T111" s="424" t="str">
        <f>IF(B111="","",'Tabla_Puntual&amp;Relacionamiento'!$B$5)</f>
        <v/>
      </c>
      <c r="U111" s="424"/>
      <c r="V111" s="642" t="str">
        <f t="shared" si="4"/>
        <v/>
      </c>
      <c r="W111" s="642"/>
      <c r="X111" s="642" t="str">
        <f t="shared" si="5"/>
        <v/>
      </c>
      <c r="Y111" s="642"/>
      <c r="AL111" s="420" t="str">
        <f t="shared" si="10"/>
        <v/>
      </c>
      <c r="AM111" s="421">
        <f t="shared" si="15"/>
        <v>0</v>
      </c>
      <c r="AN111" s="638" t="str">
        <f t="shared" si="6"/>
        <v/>
      </c>
      <c r="AO111" s="638"/>
      <c r="AP111" s="635" t="str">
        <f t="shared" si="16"/>
        <v/>
      </c>
      <c r="AQ111" s="635"/>
      <c r="AR111" s="427"/>
      <c r="AS111" s="522" t="str">
        <f t="shared" si="14"/>
        <v/>
      </c>
    </row>
    <row r="112" spans="2:45" x14ac:dyDescent="0.25">
      <c r="B112" s="426" t="str">
        <f t="shared" si="7"/>
        <v/>
      </c>
      <c r="C112" s="423" t="str">
        <f t="shared" si="8"/>
        <v/>
      </c>
      <c r="D112" s="643" t="str">
        <f t="shared" si="11"/>
        <v/>
      </c>
      <c r="E112" s="643"/>
      <c r="F112" s="643" t="str">
        <f t="shared" si="2"/>
        <v/>
      </c>
      <c r="G112" s="643"/>
      <c r="H112" s="671">
        <f t="shared" si="3"/>
        <v>0</v>
      </c>
      <c r="I112" s="671"/>
      <c r="J112" s="640" t="str">
        <f t="shared" si="9"/>
        <v/>
      </c>
      <c r="K112" s="640"/>
      <c r="L112" s="631" t="str">
        <f t="shared" si="12"/>
        <v/>
      </c>
      <c r="M112" s="631"/>
      <c r="N112" s="631" t="str">
        <f>IF(B112="","",VLOOKUP(TRIM(CONCATENATE($F$20," ",$F$17," ",$F$18," ",$F$22," ",$F$21," ",$F$16," ",$F$23," ",$F$24)),Catalogo_Condicione_Financieras!B:W,22,0)*1.16)</f>
        <v/>
      </c>
      <c r="O112" s="631"/>
      <c r="P112" s="641"/>
      <c r="Q112" s="641"/>
      <c r="R112" s="631"/>
      <c r="S112" s="631"/>
      <c r="T112" s="424" t="str">
        <f>IF(B112="","",'Tabla_Puntual&amp;Relacionamiento'!$B$6)</f>
        <v/>
      </c>
      <c r="U112" s="424" t="str">
        <f>IF(B112="","",IF($F$16="Pago_Bajo_Puntual",0.019,""))</f>
        <v/>
      </c>
      <c r="V112" s="642" t="str">
        <f t="shared" si="4"/>
        <v/>
      </c>
      <c r="W112" s="642"/>
      <c r="X112" s="642" t="str">
        <f t="shared" si="5"/>
        <v/>
      </c>
      <c r="Y112" s="642"/>
      <c r="AL112" s="420" t="str">
        <f t="shared" si="10"/>
        <v/>
      </c>
      <c r="AM112" s="421">
        <f t="shared" si="15"/>
        <v>0</v>
      </c>
      <c r="AN112" s="638" t="str">
        <f t="shared" si="6"/>
        <v/>
      </c>
      <c r="AO112" s="638"/>
      <c r="AP112" s="635" t="str">
        <f t="shared" si="16"/>
        <v/>
      </c>
      <c r="AQ112" s="635"/>
      <c r="AR112" s="427"/>
      <c r="AS112" s="522" t="str">
        <f t="shared" si="14"/>
        <v/>
      </c>
    </row>
    <row r="113" spans="2:45" x14ac:dyDescent="0.25">
      <c r="B113" s="426" t="str">
        <f t="shared" si="7"/>
        <v/>
      </c>
      <c r="C113" s="423" t="str">
        <f t="shared" si="8"/>
        <v/>
      </c>
      <c r="D113" s="643" t="str">
        <f t="shared" si="11"/>
        <v/>
      </c>
      <c r="E113" s="643"/>
      <c r="F113" s="643" t="str">
        <f t="shared" si="2"/>
        <v/>
      </c>
      <c r="G113" s="643"/>
      <c r="H113" s="671">
        <f t="shared" si="3"/>
        <v>0</v>
      </c>
      <c r="I113" s="671"/>
      <c r="J113" s="640" t="str">
        <f t="shared" si="9"/>
        <v/>
      </c>
      <c r="K113" s="640"/>
      <c r="L113" s="631" t="str">
        <f t="shared" si="12"/>
        <v/>
      </c>
      <c r="M113" s="631"/>
      <c r="N113" s="631" t="str">
        <f>IF(B113="","",VLOOKUP(TRIM(CONCATENATE($F$20," ",$F$17," ",$F$18," ",$F$22," ",$F$21," ",$F$16," ",$F$23," ",$F$24)),Catalogo_Condicione_Financieras!B:W,22,0)*1.16)</f>
        <v/>
      </c>
      <c r="O113" s="631"/>
      <c r="P113" s="641"/>
      <c r="Q113" s="641"/>
      <c r="R113" s="631" t="str">
        <f>IF(OR(X112=0,X112=""),"",IF($F$21="Apoyo Infonavit",IF(D113&gt;=C113,0,MIN(IF($F$30="",0,Caratula!$F$30),$AL$30*25)*10%),0))</f>
        <v/>
      </c>
      <c r="S113" s="631"/>
      <c r="T113" s="424" t="str">
        <f>IF(B113="","",'Tabla_Puntual&amp;Relacionamiento'!$B$6)</f>
        <v/>
      </c>
      <c r="U113" s="424"/>
      <c r="V113" s="642" t="str">
        <f t="shared" si="4"/>
        <v/>
      </c>
      <c r="W113" s="642"/>
      <c r="X113" s="642" t="str">
        <f t="shared" si="5"/>
        <v/>
      </c>
      <c r="Y113" s="642"/>
      <c r="AL113" s="420" t="str">
        <f t="shared" si="10"/>
        <v/>
      </c>
      <c r="AM113" s="421">
        <f t="shared" si="15"/>
        <v>0</v>
      </c>
      <c r="AN113" s="638" t="str">
        <f t="shared" si="6"/>
        <v/>
      </c>
      <c r="AO113" s="638"/>
      <c r="AP113" s="635" t="str">
        <f t="shared" si="16"/>
        <v/>
      </c>
      <c r="AQ113" s="635"/>
      <c r="AR113" s="427"/>
      <c r="AS113" s="522" t="str">
        <f t="shared" si="14"/>
        <v/>
      </c>
    </row>
    <row r="114" spans="2:45" x14ac:dyDescent="0.25">
      <c r="B114" s="426" t="str">
        <f t="shared" si="7"/>
        <v/>
      </c>
      <c r="C114" s="423" t="str">
        <f t="shared" si="8"/>
        <v/>
      </c>
      <c r="D114" s="643" t="str">
        <f t="shared" si="11"/>
        <v/>
      </c>
      <c r="E114" s="643"/>
      <c r="F114" s="643" t="str">
        <f t="shared" si="2"/>
        <v/>
      </c>
      <c r="G114" s="643"/>
      <c r="H114" s="671">
        <f t="shared" si="3"/>
        <v>0</v>
      </c>
      <c r="I114" s="671"/>
      <c r="J114" s="640" t="str">
        <f t="shared" si="9"/>
        <v/>
      </c>
      <c r="K114" s="640"/>
      <c r="L114" s="631" t="str">
        <f t="shared" si="12"/>
        <v/>
      </c>
      <c r="M114" s="631"/>
      <c r="N114" s="631" t="str">
        <f>IF(B114="","",VLOOKUP(TRIM(CONCATENATE($F$20," ",$F$17," ",$F$18," ",$F$22," ",$F$21," ",$F$16," ",$F$23," ",$F$24)),Catalogo_Condicione_Financieras!B:W,22,0)*1.16)</f>
        <v/>
      </c>
      <c r="O114" s="631"/>
      <c r="P114" s="641"/>
      <c r="Q114" s="641"/>
      <c r="R114" s="631"/>
      <c r="S114" s="631"/>
      <c r="T114" s="424" t="str">
        <f>IF(B114="","",'Tabla_Puntual&amp;Relacionamiento'!$B$6)</f>
        <v/>
      </c>
      <c r="U114" s="424"/>
      <c r="V114" s="642" t="str">
        <f t="shared" si="4"/>
        <v/>
      </c>
      <c r="W114" s="642"/>
      <c r="X114" s="642" t="str">
        <f t="shared" si="5"/>
        <v/>
      </c>
      <c r="Y114" s="642"/>
      <c r="AL114" s="420" t="str">
        <f t="shared" si="10"/>
        <v/>
      </c>
      <c r="AM114" s="421">
        <f t="shared" si="15"/>
        <v>0</v>
      </c>
      <c r="AN114" s="638" t="str">
        <f t="shared" si="6"/>
        <v/>
      </c>
      <c r="AO114" s="638"/>
      <c r="AP114" s="635" t="str">
        <f t="shared" si="16"/>
        <v/>
      </c>
      <c r="AQ114" s="635"/>
      <c r="AR114" s="427"/>
      <c r="AS114" s="522" t="str">
        <f t="shared" si="14"/>
        <v/>
      </c>
    </row>
    <row r="115" spans="2:45" x14ac:dyDescent="0.25">
      <c r="B115" s="426" t="str">
        <f t="shared" si="7"/>
        <v/>
      </c>
      <c r="C115" s="423" t="str">
        <f t="shared" si="8"/>
        <v/>
      </c>
      <c r="D115" s="643" t="str">
        <f t="shared" si="11"/>
        <v/>
      </c>
      <c r="E115" s="643"/>
      <c r="F115" s="643" t="str">
        <f t="shared" si="2"/>
        <v/>
      </c>
      <c r="G115" s="643"/>
      <c r="H115" s="671">
        <f t="shared" si="3"/>
        <v>0</v>
      </c>
      <c r="I115" s="671"/>
      <c r="J115" s="640" t="str">
        <f t="shared" si="9"/>
        <v/>
      </c>
      <c r="K115" s="640"/>
      <c r="L115" s="631" t="str">
        <f t="shared" si="12"/>
        <v/>
      </c>
      <c r="M115" s="631"/>
      <c r="N115" s="631" t="str">
        <f>IF(B115="","",VLOOKUP(TRIM(CONCATENATE($F$20," ",$F$17," ",$F$18," ",$F$22," ",$F$21," ",$F$16," ",$F$23," ",$F$24)),Catalogo_Condicione_Financieras!B:W,22,0)*1.16)</f>
        <v/>
      </c>
      <c r="O115" s="631"/>
      <c r="P115" s="641"/>
      <c r="Q115" s="641"/>
      <c r="R115" s="631" t="str">
        <f>IF(OR(X114=0,X114=""),"",IF($F$21="Apoyo Infonavit",IF(D115&gt;=C115,0,MIN(IF($F$30="",0,Caratula!$F$30),$AL$30*25)*10%),0))</f>
        <v/>
      </c>
      <c r="S115" s="631"/>
      <c r="T115" s="424" t="str">
        <f>IF(B115="","",'Tabla_Puntual&amp;Relacionamiento'!$B$6)</f>
        <v/>
      </c>
      <c r="U115" s="424"/>
      <c r="V115" s="642" t="str">
        <f t="shared" si="4"/>
        <v/>
      </c>
      <c r="W115" s="642"/>
      <c r="X115" s="642" t="str">
        <f t="shared" si="5"/>
        <v/>
      </c>
      <c r="Y115" s="642"/>
      <c r="AL115" s="420" t="str">
        <f t="shared" si="10"/>
        <v/>
      </c>
      <c r="AM115" s="421">
        <f t="shared" si="15"/>
        <v>0</v>
      </c>
      <c r="AN115" s="638" t="str">
        <f t="shared" si="6"/>
        <v/>
      </c>
      <c r="AO115" s="638"/>
      <c r="AP115" s="635" t="str">
        <f t="shared" si="16"/>
        <v/>
      </c>
      <c r="AQ115" s="635"/>
      <c r="AR115" s="427"/>
      <c r="AS115" s="522" t="str">
        <f t="shared" si="14"/>
        <v/>
      </c>
    </row>
    <row r="116" spans="2:45" x14ac:dyDescent="0.25">
      <c r="B116" s="426" t="str">
        <f t="shared" si="7"/>
        <v/>
      </c>
      <c r="C116" s="423" t="str">
        <f t="shared" si="8"/>
        <v/>
      </c>
      <c r="D116" s="643" t="str">
        <f t="shared" si="11"/>
        <v/>
      </c>
      <c r="E116" s="643"/>
      <c r="F116" s="643" t="str">
        <f t="shared" si="2"/>
        <v/>
      </c>
      <c r="G116" s="643"/>
      <c r="H116" s="671">
        <f t="shared" si="3"/>
        <v>0</v>
      </c>
      <c r="I116" s="671"/>
      <c r="J116" s="640" t="str">
        <f t="shared" si="9"/>
        <v/>
      </c>
      <c r="K116" s="640"/>
      <c r="L116" s="631" t="str">
        <f t="shared" si="12"/>
        <v/>
      </c>
      <c r="M116" s="631"/>
      <c r="N116" s="631" t="str">
        <f>IF(B116="","",VLOOKUP(TRIM(CONCATENATE($F$20," ",$F$17," ",$F$18," ",$F$22," ",$F$21," ",$F$16," ",$F$23," ",$F$24)),Catalogo_Condicione_Financieras!B:W,22,0)*1.16)</f>
        <v/>
      </c>
      <c r="O116" s="631"/>
      <c r="P116" s="641"/>
      <c r="Q116" s="641"/>
      <c r="R116" s="631"/>
      <c r="S116" s="631"/>
      <c r="T116" s="424" t="str">
        <f>IF(B116="","",'Tabla_Puntual&amp;Relacionamiento'!$B$6)</f>
        <v/>
      </c>
      <c r="U116" s="424"/>
      <c r="V116" s="642" t="str">
        <f t="shared" si="4"/>
        <v/>
      </c>
      <c r="W116" s="642"/>
      <c r="X116" s="642" t="str">
        <f t="shared" si="5"/>
        <v/>
      </c>
      <c r="Y116" s="642"/>
      <c r="AL116" s="420" t="str">
        <f t="shared" si="10"/>
        <v/>
      </c>
      <c r="AM116" s="421">
        <f t="shared" si="15"/>
        <v>0</v>
      </c>
      <c r="AN116" s="638" t="str">
        <f t="shared" si="6"/>
        <v/>
      </c>
      <c r="AO116" s="638"/>
      <c r="AP116" s="635" t="str">
        <f t="shared" si="16"/>
        <v/>
      </c>
      <c r="AQ116" s="635"/>
      <c r="AR116" s="427"/>
      <c r="AS116" s="522" t="str">
        <f t="shared" si="14"/>
        <v/>
      </c>
    </row>
    <row r="117" spans="2:45" x14ac:dyDescent="0.25">
      <c r="B117" s="426" t="str">
        <f t="shared" si="7"/>
        <v/>
      </c>
      <c r="C117" s="423" t="str">
        <f t="shared" si="8"/>
        <v/>
      </c>
      <c r="D117" s="643" t="str">
        <f t="shared" si="11"/>
        <v/>
      </c>
      <c r="E117" s="643"/>
      <c r="F117" s="643" t="str">
        <f t="shared" si="2"/>
        <v/>
      </c>
      <c r="G117" s="643"/>
      <c r="H117" s="671">
        <f t="shared" si="3"/>
        <v>0</v>
      </c>
      <c r="I117" s="671"/>
      <c r="J117" s="640" t="str">
        <f t="shared" si="9"/>
        <v/>
      </c>
      <c r="K117" s="640"/>
      <c r="L117" s="631" t="str">
        <f t="shared" si="12"/>
        <v/>
      </c>
      <c r="M117" s="631"/>
      <c r="N117" s="631" t="str">
        <f>IF(B117="","",VLOOKUP(TRIM(CONCATENATE($F$20," ",$F$17," ",$F$18," ",$F$22," ",$F$21," ",$F$16," ",$F$23," ",$F$24)),Catalogo_Condicione_Financieras!B:W,22,0)*1.16)</f>
        <v/>
      </c>
      <c r="O117" s="631"/>
      <c r="P117" s="641"/>
      <c r="Q117" s="641"/>
      <c r="R117" s="631" t="str">
        <f>IF(OR(X116=0,X116=""),"",IF($F$21="Apoyo Infonavit",IF(D117&gt;=C117,0,MIN(IF($F$30="",0,Caratula!$F$30),$AL$30*25)*10%),0))</f>
        <v/>
      </c>
      <c r="S117" s="631"/>
      <c r="T117" s="424" t="str">
        <f>IF(B117="","",'Tabla_Puntual&amp;Relacionamiento'!$B$6)</f>
        <v/>
      </c>
      <c r="U117" s="424"/>
      <c r="V117" s="642" t="str">
        <f t="shared" si="4"/>
        <v/>
      </c>
      <c r="W117" s="642"/>
      <c r="X117" s="642" t="str">
        <f t="shared" si="5"/>
        <v/>
      </c>
      <c r="Y117" s="642"/>
      <c r="AL117" s="420" t="str">
        <f t="shared" si="10"/>
        <v/>
      </c>
      <c r="AM117" s="421">
        <f t="shared" si="15"/>
        <v>0</v>
      </c>
      <c r="AN117" s="638" t="str">
        <f t="shared" si="6"/>
        <v/>
      </c>
      <c r="AO117" s="638"/>
      <c r="AP117" s="635" t="str">
        <f t="shared" si="16"/>
        <v/>
      </c>
      <c r="AQ117" s="635"/>
      <c r="AR117" s="427"/>
      <c r="AS117" s="522" t="str">
        <f t="shared" si="14"/>
        <v/>
      </c>
    </row>
    <row r="118" spans="2:45" x14ac:dyDescent="0.25">
      <c r="B118" s="426" t="str">
        <f t="shared" si="7"/>
        <v/>
      </c>
      <c r="C118" s="423" t="str">
        <f t="shared" si="8"/>
        <v/>
      </c>
      <c r="D118" s="643" t="str">
        <f t="shared" si="11"/>
        <v/>
      </c>
      <c r="E118" s="643"/>
      <c r="F118" s="643" t="str">
        <f t="shared" si="2"/>
        <v/>
      </c>
      <c r="G118" s="643"/>
      <c r="H118" s="671">
        <f t="shared" si="3"/>
        <v>0</v>
      </c>
      <c r="I118" s="671"/>
      <c r="J118" s="640" t="str">
        <f t="shared" si="9"/>
        <v/>
      </c>
      <c r="K118" s="640"/>
      <c r="L118" s="631" t="str">
        <f t="shared" si="12"/>
        <v/>
      </c>
      <c r="M118" s="631"/>
      <c r="N118" s="631" t="str">
        <f>IF(B118="","",VLOOKUP(TRIM(CONCATENATE($F$20," ",$F$17," ",$F$18," ",$F$22," ",$F$21," ",$F$16," ",$F$23," ",$F$24)),Catalogo_Condicione_Financieras!B:W,22,0)*1.16)</f>
        <v/>
      </c>
      <c r="O118" s="631"/>
      <c r="P118" s="641"/>
      <c r="Q118" s="641"/>
      <c r="R118" s="631"/>
      <c r="S118" s="631"/>
      <c r="T118" s="424" t="str">
        <f>IF(B118="","",'Tabla_Puntual&amp;Relacionamiento'!$B$6)</f>
        <v/>
      </c>
      <c r="U118" s="424"/>
      <c r="V118" s="642" t="str">
        <f t="shared" si="4"/>
        <v/>
      </c>
      <c r="W118" s="642"/>
      <c r="X118" s="642" t="str">
        <f t="shared" si="5"/>
        <v/>
      </c>
      <c r="Y118" s="642"/>
      <c r="AL118" s="420" t="str">
        <f t="shared" si="10"/>
        <v/>
      </c>
      <c r="AM118" s="421">
        <f t="shared" si="15"/>
        <v>0</v>
      </c>
      <c r="AN118" s="638" t="str">
        <f t="shared" si="6"/>
        <v/>
      </c>
      <c r="AO118" s="638"/>
      <c r="AP118" s="635" t="str">
        <f t="shared" si="16"/>
        <v/>
      </c>
      <c r="AQ118" s="635"/>
      <c r="AR118" s="427"/>
      <c r="AS118" s="522" t="str">
        <f t="shared" si="14"/>
        <v/>
      </c>
    </row>
    <row r="119" spans="2:45" x14ac:dyDescent="0.25">
      <c r="B119" s="426" t="str">
        <f t="shared" si="7"/>
        <v/>
      </c>
      <c r="C119" s="423" t="str">
        <f t="shared" si="8"/>
        <v/>
      </c>
      <c r="D119" s="643" t="str">
        <f t="shared" si="11"/>
        <v/>
      </c>
      <c r="E119" s="643"/>
      <c r="F119" s="643" t="str">
        <f t="shared" si="2"/>
        <v/>
      </c>
      <c r="G119" s="643"/>
      <c r="H119" s="671">
        <f t="shared" si="3"/>
        <v>0</v>
      </c>
      <c r="I119" s="671"/>
      <c r="J119" s="640" t="str">
        <f t="shared" si="9"/>
        <v/>
      </c>
      <c r="K119" s="640"/>
      <c r="L119" s="631" t="str">
        <f t="shared" si="12"/>
        <v/>
      </c>
      <c r="M119" s="631"/>
      <c r="N119" s="631" t="str">
        <f>IF(B119="","",VLOOKUP(TRIM(CONCATENATE($F$20," ",$F$17," ",$F$18," ",$F$22," ",$F$21," ",$F$16," ",$F$23," ",$F$24)),Catalogo_Condicione_Financieras!B:W,22,0)*1.16)</f>
        <v/>
      </c>
      <c r="O119" s="631"/>
      <c r="P119" s="641"/>
      <c r="Q119" s="641"/>
      <c r="R119" s="631" t="str">
        <f>IF(OR(X118=0,X118=""),"",IF($F$21="Apoyo Infonavit",IF(D119&gt;=C119,0,MIN(IF($F$30="",0,Caratula!$F$30),$AL$30*25)*10%),0))</f>
        <v/>
      </c>
      <c r="S119" s="631"/>
      <c r="T119" s="424" t="str">
        <f>IF(B119="","",'Tabla_Puntual&amp;Relacionamiento'!$B$6)</f>
        <v/>
      </c>
      <c r="U119" s="424"/>
      <c r="V119" s="642" t="str">
        <f t="shared" si="4"/>
        <v/>
      </c>
      <c r="W119" s="642"/>
      <c r="X119" s="642" t="str">
        <f t="shared" si="5"/>
        <v/>
      </c>
      <c r="Y119" s="642"/>
      <c r="AL119" s="420" t="str">
        <f t="shared" si="10"/>
        <v/>
      </c>
      <c r="AM119" s="421">
        <f t="shared" si="15"/>
        <v>0</v>
      </c>
      <c r="AN119" s="638" t="str">
        <f t="shared" si="6"/>
        <v/>
      </c>
      <c r="AO119" s="638"/>
      <c r="AP119" s="635" t="str">
        <f t="shared" si="16"/>
        <v/>
      </c>
      <c r="AQ119" s="635"/>
      <c r="AR119" s="427"/>
      <c r="AS119" s="522" t="str">
        <f t="shared" si="14"/>
        <v/>
      </c>
    </row>
    <row r="120" spans="2:45" x14ac:dyDescent="0.25">
      <c r="B120" s="426" t="str">
        <f t="shared" si="7"/>
        <v/>
      </c>
      <c r="C120" s="423" t="str">
        <f t="shared" si="8"/>
        <v/>
      </c>
      <c r="D120" s="643" t="str">
        <f t="shared" si="11"/>
        <v/>
      </c>
      <c r="E120" s="643"/>
      <c r="F120" s="643" t="str">
        <f t="shared" si="2"/>
        <v/>
      </c>
      <c r="G120" s="643"/>
      <c r="H120" s="671">
        <f t="shared" si="3"/>
        <v>0</v>
      </c>
      <c r="I120" s="671"/>
      <c r="J120" s="640" t="str">
        <f t="shared" si="9"/>
        <v/>
      </c>
      <c r="K120" s="640"/>
      <c r="L120" s="631" t="str">
        <f t="shared" si="12"/>
        <v/>
      </c>
      <c r="M120" s="631"/>
      <c r="N120" s="631" t="str">
        <f>IF(B120="","",VLOOKUP(TRIM(CONCATENATE($F$20," ",$F$17," ",$F$18," ",$F$22," ",$F$21," ",$F$16," ",$F$23," ",$F$24)),Catalogo_Condicione_Financieras!B:W,22,0)*1.16)</f>
        <v/>
      </c>
      <c r="O120" s="631"/>
      <c r="P120" s="641"/>
      <c r="Q120" s="641"/>
      <c r="R120" s="631"/>
      <c r="S120" s="631"/>
      <c r="T120" s="424" t="str">
        <f>IF(B120="","",'Tabla_Puntual&amp;Relacionamiento'!$B$6)</f>
        <v/>
      </c>
      <c r="U120" s="424"/>
      <c r="V120" s="642" t="str">
        <f t="shared" si="4"/>
        <v/>
      </c>
      <c r="W120" s="642"/>
      <c r="X120" s="642" t="str">
        <f t="shared" si="5"/>
        <v/>
      </c>
      <c r="Y120" s="642"/>
      <c r="AL120" s="420" t="str">
        <f t="shared" si="10"/>
        <v/>
      </c>
      <c r="AM120" s="421">
        <f t="shared" si="15"/>
        <v>0</v>
      </c>
      <c r="AN120" s="638" t="str">
        <f t="shared" si="6"/>
        <v/>
      </c>
      <c r="AO120" s="638"/>
      <c r="AP120" s="635" t="str">
        <f t="shared" si="16"/>
        <v/>
      </c>
      <c r="AQ120" s="635"/>
      <c r="AR120" s="427"/>
      <c r="AS120" s="522" t="str">
        <f t="shared" si="14"/>
        <v/>
      </c>
    </row>
    <row r="121" spans="2:45" x14ac:dyDescent="0.25">
      <c r="B121" s="426" t="str">
        <f t="shared" si="7"/>
        <v/>
      </c>
      <c r="C121" s="423" t="str">
        <f t="shared" si="8"/>
        <v/>
      </c>
      <c r="D121" s="643" t="str">
        <f t="shared" si="11"/>
        <v/>
      </c>
      <c r="E121" s="643"/>
      <c r="F121" s="643" t="str">
        <f t="shared" si="2"/>
        <v/>
      </c>
      <c r="G121" s="643"/>
      <c r="H121" s="671">
        <f t="shared" si="3"/>
        <v>0</v>
      </c>
      <c r="I121" s="671"/>
      <c r="J121" s="640" t="str">
        <f t="shared" si="9"/>
        <v/>
      </c>
      <c r="K121" s="640"/>
      <c r="L121" s="631" t="str">
        <f t="shared" si="12"/>
        <v/>
      </c>
      <c r="M121" s="631"/>
      <c r="N121" s="631" t="str">
        <f>IF(B121="","",VLOOKUP(TRIM(CONCATENATE($F$20," ",$F$17," ",$F$18," ",$F$22," ",$F$21," ",$F$16," ",$F$23," ",$F$24)),Catalogo_Condicione_Financieras!B:W,22,0)*1.16)</f>
        <v/>
      </c>
      <c r="O121" s="631"/>
      <c r="P121" s="641"/>
      <c r="Q121" s="641"/>
      <c r="R121" s="631" t="str">
        <f>IF(OR(X120=0,X120=""),"",IF($F$21="Apoyo Infonavit",IF(D121&gt;=C121,0,MIN(IF($F$30="",0,Caratula!$F$30),$AL$30*25)*10%),0))</f>
        <v/>
      </c>
      <c r="S121" s="631"/>
      <c r="T121" s="424" t="str">
        <f>IF(B121="","",'Tabla_Puntual&amp;Relacionamiento'!$B$6)</f>
        <v/>
      </c>
      <c r="U121" s="424"/>
      <c r="V121" s="642" t="str">
        <f t="shared" si="4"/>
        <v/>
      </c>
      <c r="W121" s="642"/>
      <c r="X121" s="642" t="str">
        <f t="shared" si="5"/>
        <v/>
      </c>
      <c r="Y121" s="642"/>
      <c r="AL121" s="420" t="str">
        <f t="shared" si="10"/>
        <v/>
      </c>
      <c r="AM121" s="421">
        <f t="shared" si="15"/>
        <v>0</v>
      </c>
      <c r="AN121" s="638" t="str">
        <f t="shared" si="6"/>
        <v/>
      </c>
      <c r="AO121" s="638"/>
      <c r="AP121" s="635" t="str">
        <f t="shared" si="16"/>
        <v/>
      </c>
      <c r="AQ121" s="635"/>
      <c r="AR121" s="427"/>
      <c r="AS121" s="522" t="str">
        <f t="shared" si="14"/>
        <v/>
      </c>
    </row>
    <row r="122" spans="2:45" x14ac:dyDescent="0.25">
      <c r="B122" s="426" t="str">
        <f t="shared" si="7"/>
        <v/>
      </c>
      <c r="C122" s="423" t="str">
        <f t="shared" si="8"/>
        <v/>
      </c>
      <c r="D122" s="643" t="str">
        <f t="shared" si="11"/>
        <v/>
      </c>
      <c r="E122" s="643"/>
      <c r="F122" s="643" t="str">
        <f t="shared" si="2"/>
        <v/>
      </c>
      <c r="G122" s="643"/>
      <c r="H122" s="671">
        <f t="shared" si="3"/>
        <v>0</v>
      </c>
      <c r="I122" s="671"/>
      <c r="J122" s="640" t="str">
        <f t="shared" si="9"/>
        <v/>
      </c>
      <c r="K122" s="640"/>
      <c r="L122" s="631" t="str">
        <f t="shared" si="12"/>
        <v/>
      </c>
      <c r="M122" s="631"/>
      <c r="N122" s="631" t="str">
        <f>IF(B122="","",VLOOKUP(TRIM(CONCATENATE($F$20," ",$F$17," ",$F$18," ",$F$22," ",$F$21," ",$F$16," ",$F$23," ",$F$24)),Catalogo_Condicione_Financieras!B:W,22,0)*1.16)</f>
        <v/>
      </c>
      <c r="O122" s="631"/>
      <c r="P122" s="641"/>
      <c r="Q122" s="641"/>
      <c r="R122" s="631"/>
      <c r="S122" s="631"/>
      <c r="T122" s="424" t="str">
        <f>IF(B122="","",'Tabla_Puntual&amp;Relacionamiento'!$B$6)</f>
        <v/>
      </c>
      <c r="U122" s="424"/>
      <c r="V122" s="642" t="str">
        <f t="shared" si="4"/>
        <v/>
      </c>
      <c r="W122" s="642"/>
      <c r="X122" s="642" t="str">
        <f t="shared" si="5"/>
        <v/>
      </c>
      <c r="Y122" s="642"/>
      <c r="AL122" s="420" t="str">
        <f t="shared" si="10"/>
        <v/>
      </c>
      <c r="AM122" s="421">
        <f t="shared" si="15"/>
        <v>0</v>
      </c>
      <c r="AN122" s="638" t="str">
        <f t="shared" si="6"/>
        <v/>
      </c>
      <c r="AO122" s="638"/>
      <c r="AP122" s="635" t="str">
        <f t="shared" si="16"/>
        <v/>
      </c>
      <c r="AQ122" s="635"/>
      <c r="AR122" s="427"/>
      <c r="AS122" s="522" t="str">
        <f t="shared" si="14"/>
        <v/>
      </c>
    </row>
    <row r="123" spans="2:45" x14ac:dyDescent="0.25">
      <c r="B123" s="426" t="str">
        <f t="shared" si="7"/>
        <v/>
      </c>
      <c r="C123" s="423" t="str">
        <f t="shared" si="8"/>
        <v/>
      </c>
      <c r="D123" s="643" t="str">
        <f t="shared" si="11"/>
        <v/>
      </c>
      <c r="E123" s="643"/>
      <c r="F123" s="643" t="str">
        <f t="shared" si="2"/>
        <v/>
      </c>
      <c r="G123" s="643"/>
      <c r="H123" s="671">
        <f t="shared" si="3"/>
        <v>0</v>
      </c>
      <c r="I123" s="671"/>
      <c r="J123" s="640" t="str">
        <f t="shared" si="9"/>
        <v/>
      </c>
      <c r="K123" s="640"/>
      <c r="L123" s="631" t="str">
        <f t="shared" si="12"/>
        <v/>
      </c>
      <c r="M123" s="631"/>
      <c r="N123" s="631" t="str">
        <f>IF(B123="","",VLOOKUP(TRIM(CONCATENATE($F$20," ",$F$17," ",$F$18," ",$F$22," ",$F$21," ",$F$16," ",$F$23," ",$F$24)),Catalogo_Condicione_Financieras!B:W,22,0)*1.16)</f>
        <v/>
      </c>
      <c r="O123" s="631"/>
      <c r="P123" s="641"/>
      <c r="Q123" s="641"/>
      <c r="R123" s="631" t="str">
        <f>IF(OR(X122=0,X122=""),"",IF($F$21="Apoyo Infonavit",IF(D123&gt;=C123,0,MIN(IF($F$30="",0,Caratula!$F$30),$AL$30*25)*10%),0))</f>
        <v/>
      </c>
      <c r="S123" s="631"/>
      <c r="T123" s="424" t="str">
        <f>IF(B123="","",'Tabla_Puntual&amp;Relacionamiento'!$B$6)</f>
        <v/>
      </c>
      <c r="U123" s="424"/>
      <c r="V123" s="642" t="str">
        <f t="shared" si="4"/>
        <v/>
      </c>
      <c r="W123" s="642"/>
      <c r="X123" s="642" t="str">
        <f t="shared" si="5"/>
        <v/>
      </c>
      <c r="Y123" s="642"/>
      <c r="AL123" s="420" t="str">
        <f t="shared" si="10"/>
        <v/>
      </c>
      <c r="AM123" s="421">
        <f t="shared" si="15"/>
        <v>0</v>
      </c>
      <c r="AN123" s="638" t="str">
        <f t="shared" si="6"/>
        <v/>
      </c>
      <c r="AO123" s="638"/>
      <c r="AP123" s="635" t="str">
        <f t="shared" si="16"/>
        <v/>
      </c>
      <c r="AQ123" s="635"/>
      <c r="AR123" s="427"/>
      <c r="AS123" s="522" t="str">
        <f t="shared" si="14"/>
        <v/>
      </c>
    </row>
    <row r="124" spans="2:45" x14ac:dyDescent="0.25">
      <c r="B124" s="426" t="str">
        <f t="shared" si="7"/>
        <v/>
      </c>
      <c r="C124" s="423" t="str">
        <f t="shared" si="8"/>
        <v/>
      </c>
      <c r="D124" s="643" t="str">
        <f t="shared" si="11"/>
        <v/>
      </c>
      <c r="E124" s="643"/>
      <c r="F124" s="643" t="str">
        <f t="shared" si="2"/>
        <v/>
      </c>
      <c r="G124" s="643"/>
      <c r="H124" s="671">
        <f t="shared" si="3"/>
        <v>0</v>
      </c>
      <c r="I124" s="671"/>
      <c r="J124" s="640" t="str">
        <f t="shared" si="9"/>
        <v/>
      </c>
      <c r="K124" s="640"/>
      <c r="L124" s="631" t="str">
        <f t="shared" si="12"/>
        <v/>
      </c>
      <c r="M124" s="631"/>
      <c r="N124" s="631" t="str">
        <f>IF(B124="","",VLOOKUP(TRIM(CONCATENATE($F$20," ",$F$17," ",$F$18," ",$F$22," ",$F$21," ",$F$16," ",$F$23," ",$F$24)),Catalogo_Condicione_Financieras!B:W,22,0)*1.16)</f>
        <v/>
      </c>
      <c r="O124" s="631"/>
      <c r="P124" s="641"/>
      <c r="Q124" s="641"/>
      <c r="R124" s="631"/>
      <c r="S124" s="631"/>
      <c r="T124" s="424" t="str">
        <f>IF(B124="","",'Tabla_Puntual&amp;Relacionamiento'!$B$7)</f>
        <v/>
      </c>
      <c r="U124" s="424" t="str">
        <f>IF(B124="","",IF($F$16="Pago_Bajo_Puntual",0.019,""))</f>
        <v/>
      </c>
      <c r="V124" s="642" t="str">
        <f t="shared" si="4"/>
        <v/>
      </c>
      <c r="W124" s="642"/>
      <c r="X124" s="642" t="str">
        <f t="shared" ref="X124:X187" si="17">IFERROR(IF(C124="","",IF((C124-D124-P124+AN124+AP124-R124)&lt;1,0,C124-D124-P124+AN124+AP124-R124)),0)</f>
        <v/>
      </c>
      <c r="Y124" s="642"/>
      <c r="AL124" s="420" t="str">
        <f t="shared" si="10"/>
        <v/>
      </c>
      <c r="AM124" s="421">
        <f t="shared" si="15"/>
        <v>0</v>
      </c>
      <c r="AN124" s="637"/>
      <c r="AO124" s="637"/>
      <c r="AP124" s="634"/>
      <c r="AQ124" s="634"/>
      <c r="AR124" s="427"/>
      <c r="AS124" s="522" t="str">
        <f t="shared" si="14"/>
        <v/>
      </c>
    </row>
    <row r="125" spans="2:45" x14ac:dyDescent="0.25">
      <c r="B125" s="426" t="str">
        <f t="shared" si="7"/>
        <v/>
      </c>
      <c r="C125" s="423" t="str">
        <f t="shared" si="8"/>
        <v/>
      </c>
      <c r="D125" s="643" t="str">
        <f t="shared" si="11"/>
        <v/>
      </c>
      <c r="E125" s="643"/>
      <c r="F125" s="643" t="str">
        <f t="shared" si="2"/>
        <v/>
      </c>
      <c r="G125" s="643"/>
      <c r="H125" s="671">
        <f t="shared" si="3"/>
        <v>0</v>
      </c>
      <c r="I125" s="671"/>
      <c r="J125" s="640" t="str">
        <f t="shared" si="9"/>
        <v/>
      </c>
      <c r="K125" s="640"/>
      <c r="L125" s="631" t="str">
        <f t="shared" si="12"/>
        <v/>
      </c>
      <c r="M125" s="631"/>
      <c r="N125" s="631" t="str">
        <f>IF(B125="","",VLOOKUP(TRIM(CONCATENATE($F$20," ",$F$17," ",$F$18," ",$F$22," ",$F$21," ",$F$16," ",$F$23," ",$F$24)),Catalogo_Condicione_Financieras!B:W,22,0)*1.16)</f>
        <v/>
      </c>
      <c r="O125" s="631"/>
      <c r="P125" s="641"/>
      <c r="Q125" s="641"/>
      <c r="R125" s="631" t="str">
        <f>IF(OR(X124=0,X124=""),"",IF($F$21="Apoyo Infonavit",IF(D125&gt;=C125,0,MIN(IF($F$30="",0,Caratula!$F$30),$AL$30*25)*10%),0))</f>
        <v/>
      </c>
      <c r="S125" s="631"/>
      <c r="T125" s="424" t="str">
        <f>IF(B125="","",'Tabla_Puntual&amp;Relacionamiento'!$B$7)</f>
        <v/>
      </c>
      <c r="U125" s="424"/>
      <c r="V125" s="642" t="str">
        <f t="shared" si="4"/>
        <v/>
      </c>
      <c r="W125" s="642"/>
      <c r="X125" s="642" t="str">
        <f t="shared" si="17"/>
        <v/>
      </c>
      <c r="Y125" s="642"/>
      <c r="AL125" s="420" t="str">
        <f t="shared" si="10"/>
        <v/>
      </c>
      <c r="AM125" s="421">
        <f t="shared" si="15"/>
        <v>0</v>
      </c>
      <c r="AN125" s="637"/>
      <c r="AO125" s="637"/>
      <c r="AP125" s="634"/>
      <c r="AQ125" s="634"/>
      <c r="AR125" s="427"/>
      <c r="AS125" s="522" t="str">
        <f t="shared" si="14"/>
        <v/>
      </c>
    </row>
    <row r="126" spans="2:45" x14ac:dyDescent="0.25">
      <c r="B126" s="426" t="str">
        <f t="shared" si="7"/>
        <v/>
      </c>
      <c r="C126" s="423" t="str">
        <f t="shared" si="8"/>
        <v/>
      </c>
      <c r="D126" s="643" t="str">
        <f t="shared" si="11"/>
        <v/>
      </c>
      <c r="E126" s="643"/>
      <c r="F126" s="643" t="str">
        <f t="shared" si="2"/>
        <v/>
      </c>
      <c r="G126" s="643"/>
      <c r="H126" s="671">
        <f t="shared" si="3"/>
        <v>0</v>
      </c>
      <c r="I126" s="671"/>
      <c r="J126" s="640" t="str">
        <f t="shared" si="9"/>
        <v/>
      </c>
      <c r="K126" s="640"/>
      <c r="L126" s="631" t="str">
        <f t="shared" si="12"/>
        <v/>
      </c>
      <c r="M126" s="631"/>
      <c r="N126" s="631" t="str">
        <f>IF(B126="","",VLOOKUP(TRIM(CONCATENATE($F$20," ",$F$17," ",$F$18," ",$F$22," ",$F$21," ",$F$16," ",$F$23," ",$F$24)),Catalogo_Condicione_Financieras!B:W,22,0)*1.16)</f>
        <v/>
      </c>
      <c r="O126" s="631"/>
      <c r="P126" s="641"/>
      <c r="Q126" s="641"/>
      <c r="R126" s="631"/>
      <c r="S126" s="631"/>
      <c r="T126" s="424" t="str">
        <f>IF(B126="","",'Tabla_Puntual&amp;Relacionamiento'!$B$7)</f>
        <v/>
      </c>
      <c r="U126" s="424"/>
      <c r="V126" s="642" t="str">
        <f t="shared" si="4"/>
        <v/>
      </c>
      <c r="W126" s="642"/>
      <c r="X126" s="642" t="str">
        <f t="shared" si="17"/>
        <v/>
      </c>
      <c r="Y126" s="642"/>
      <c r="AL126" s="420" t="str">
        <f t="shared" si="10"/>
        <v/>
      </c>
      <c r="AM126" s="421">
        <f t="shared" si="15"/>
        <v>0</v>
      </c>
      <c r="AN126" s="637"/>
      <c r="AO126" s="637"/>
      <c r="AP126" s="634"/>
      <c r="AQ126" s="634"/>
      <c r="AR126" s="427"/>
      <c r="AS126" s="522" t="str">
        <f t="shared" si="14"/>
        <v/>
      </c>
    </row>
    <row r="127" spans="2:45" x14ac:dyDescent="0.25">
      <c r="B127" s="426" t="str">
        <f t="shared" si="7"/>
        <v/>
      </c>
      <c r="C127" s="423" t="str">
        <f t="shared" si="8"/>
        <v/>
      </c>
      <c r="D127" s="643" t="str">
        <f t="shared" si="11"/>
        <v/>
      </c>
      <c r="E127" s="643"/>
      <c r="F127" s="643" t="str">
        <f t="shared" si="2"/>
        <v/>
      </c>
      <c r="G127" s="643"/>
      <c r="H127" s="671">
        <f t="shared" si="3"/>
        <v>0</v>
      </c>
      <c r="I127" s="671"/>
      <c r="J127" s="640" t="str">
        <f t="shared" si="9"/>
        <v/>
      </c>
      <c r="K127" s="640"/>
      <c r="L127" s="631" t="str">
        <f t="shared" si="12"/>
        <v/>
      </c>
      <c r="M127" s="631"/>
      <c r="N127" s="631" t="str">
        <f>IF(B127="","",VLOOKUP(TRIM(CONCATENATE($F$20," ",$F$17," ",$F$18," ",$F$22," ",$F$21," ",$F$16," ",$F$23," ",$F$24)),Catalogo_Condicione_Financieras!B:W,22,0)*1.16)</f>
        <v/>
      </c>
      <c r="O127" s="631"/>
      <c r="P127" s="641"/>
      <c r="Q127" s="641"/>
      <c r="R127" s="631" t="str">
        <f>IF(OR(X126=0,X126=""),"",IF($F$21="Apoyo Infonavit",IF(D127&gt;=C127,0,MIN(IF($F$30="",0,Caratula!$F$30),$AL$30*25)*10%),0))</f>
        <v/>
      </c>
      <c r="S127" s="631"/>
      <c r="T127" s="424" t="str">
        <f>IF(B127="","",'Tabla_Puntual&amp;Relacionamiento'!$B$7)</f>
        <v/>
      </c>
      <c r="U127" s="424"/>
      <c r="V127" s="642" t="str">
        <f t="shared" si="4"/>
        <v/>
      </c>
      <c r="W127" s="642"/>
      <c r="X127" s="642" t="str">
        <f t="shared" si="17"/>
        <v/>
      </c>
      <c r="Y127" s="642"/>
      <c r="AL127" s="420" t="str">
        <f t="shared" si="10"/>
        <v/>
      </c>
      <c r="AM127" s="421">
        <f t="shared" si="15"/>
        <v>0</v>
      </c>
      <c r="AN127" s="637"/>
      <c r="AO127" s="637"/>
      <c r="AP127" s="634"/>
      <c r="AQ127" s="634"/>
      <c r="AR127" s="427"/>
      <c r="AS127" s="522" t="str">
        <f t="shared" si="14"/>
        <v/>
      </c>
    </row>
    <row r="128" spans="2:45" x14ac:dyDescent="0.25">
      <c r="B128" s="426" t="str">
        <f t="shared" si="7"/>
        <v/>
      </c>
      <c r="C128" s="423" t="str">
        <f t="shared" si="8"/>
        <v/>
      </c>
      <c r="D128" s="643" t="str">
        <f t="shared" si="11"/>
        <v/>
      </c>
      <c r="E128" s="643"/>
      <c r="F128" s="643" t="str">
        <f t="shared" ref="F128:F191" si="18">IF(B128="","",IF(X127*(T128/12)&lt;0,"",X127*(T128/12)))</f>
        <v/>
      </c>
      <c r="G128" s="643"/>
      <c r="H128" s="671">
        <f t="shared" ref="H128:H191" si="19">IFERROR(IF($F$20="Liquidez",F128*0.16,
IF(AND($F$20="Pago_Hipoteca+Liquidez",$F$36="Liquidez"),F128*0.16,0)),0)</f>
        <v>0</v>
      </c>
      <c r="I128" s="671"/>
      <c r="J128" s="640" t="str">
        <f t="shared" si="9"/>
        <v/>
      </c>
      <c r="K128" s="640"/>
      <c r="L128" s="631" t="str">
        <f t="shared" si="12"/>
        <v/>
      </c>
      <c r="M128" s="631"/>
      <c r="N128" s="631" t="str">
        <f>IF(B128="","",VLOOKUP(TRIM(CONCATENATE($F$20," ",$F$17," ",$F$18," ",$F$22," ",$F$21," ",$F$16," ",$F$23," ",$F$24)),Catalogo_Condicione_Financieras!B:W,22,0)*1.16)</f>
        <v/>
      </c>
      <c r="O128" s="631"/>
      <c r="P128" s="641"/>
      <c r="Q128" s="641"/>
      <c r="R128" s="631"/>
      <c r="S128" s="631"/>
      <c r="T128" s="424" t="str">
        <f>IF(B128="","",'Tabla_Puntual&amp;Relacionamiento'!$B$7)</f>
        <v/>
      </c>
      <c r="U128" s="424"/>
      <c r="V128" s="642" t="str">
        <f t="shared" ref="V128:V191" si="20">IF(B128="","",D128+F128+H128+J128+L128+N128)</f>
        <v/>
      </c>
      <c r="W128" s="642"/>
      <c r="X128" s="642" t="str">
        <f t="shared" si="17"/>
        <v/>
      </c>
      <c r="Y128" s="642"/>
      <c r="AL128" s="420" t="str">
        <f t="shared" si="10"/>
        <v/>
      </c>
      <c r="AM128" s="421">
        <f t="shared" si="15"/>
        <v>0</v>
      </c>
      <c r="AN128" s="637"/>
      <c r="AO128" s="637"/>
      <c r="AP128" s="634"/>
      <c r="AQ128" s="634"/>
      <c r="AR128" s="427"/>
      <c r="AS128" s="522" t="str">
        <f t="shared" si="14"/>
        <v/>
      </c>
    </row>
    <row r="129" spans="2:45" x14ac:dyDescent="0.25">
      <c r="B129" s="426" t="str">
        <f t="shared" ref="B129:B192" si="21">IF(OR(B128="",X128&lt;=0),"",IF(B128+1&lt;=F$23*12,B128+1,""))</f>
        <v/>
      </c>
      <c r="C129" s="423" t="str">
        <f t="shared" ref="C129:C192" si="22">IF(B129="","",IF(IF(C128="","",C128-D128-R128)&lt;0.01,AQ128,IF(C128="","",X128)))</f>
        <v/>
      </c>
      <c r="D129" s="643" t="str">
        <f t="shared" si="11"/>
        <v/>
      </c>
      <c r="E129" s="643"/>
      <c r="F129" s="643" t="str">
        <f t="shared" si="18"/>
        <v/>
      </c>
      <c r="G129" s="643"/>
      <c r="H129" s="671">
        <f t="shared" si="19"/>
        <v>0</v>
      </c>
      <c r="I129" s="671"/>
      <c r="J129" s="640" t="str">
        <f t="shared" ref="J129:J192" si="23">IF(B129="","",C129*$AQ$35/1000)</f>
        <v/>
      </c>
      <c r="K129" s="640"/>
      <c r="L129" s="631" t="str">
        <f t="shared" si="12"/>
        <v/>
      </c>
      <c r="M129" s="631"/>
      <c r="N129" s="631" t="str">
        <f>IF(B129="","",VLOOKUP(TRIM(CONCATENATE($F$20," ",$F$17," ",$F$18," ",$F$22," ",$F$21," ",$F$16," ",$F$23," ",$F$24)),Catalogo_Condicione_Financieras!B:W,22,0)*1.16)</f>
        <v/>
      </c>
      <c r="O129" s="631"/>
      <c r="P129" s="641"/>
      <c r="Q129" s="641"/>
      <c r="R129" s="631" t="str">
        <f>IF(OR(X128=0,X128=""),"",IF($F$21="Apoyo Infonavit",IF(D129&gt;=C129,0,MIN(IF($F$30="",0,Caratula!$F$30),$AL$30*25)*10%),0))</f>
        <v/>
      </c>
      <c r="S129" s="631"/>
      <c r="T129" s="424" t="str">
        <f>IF(B129="","",'Tabla_Puntual&amp;Relacionamiento'!$B$7)</f>
        <v/>
      </c>
      <c r="U129" s="424"/>
      <c r="V129" s="642" t="str">
        <f t="shared" si="20"/>
        <v/>
      </c>
      <c r="W129" s="642"/>
      <c r="X129" s="642" t="str">
        <f t="shared" si="17"/>
        <v/>
      </c>
      <c r="Y129" s="642"/>
      <c r="AL129" s="420" t="str">
        <f t="shared" ref="AL129:AL192" si="24">IF(B129="","",
IF(X128&lt;AL128,X128+F129,
IF($F$16="Pago_Fijo_Puntual",$X$63*$AQ$40/1000,
IF($F$16="Pago_Bajo_Puntual",AL128+(AL128*U129)))))</f>
        <v/>
      </c>
      <c r="AM129" s="421">
        <f t="shared" si="15"/>
        <v>0</v>
      </c>
      <c r="AN129" s="637"/>
      <c r="AO129" s="637"/>
      <c r="AP129" s="634"/>
      <c r="AQ129" s="634"/>
      <c r="AR129" s="427"/>
      <c r="AS129" s="522" t="str">
        <f t="shared" ref="AS129:AS192" si="25">IF(B129="","",IF(AND($F$20="Pago_Hipoteca+Liquidez",$F$36="Liquidez"),0,
IF((($F$28*0.7)*$AQ$38/1.16)&gt;C129*$AQ$38/1.16,($F$28*0.7)*($AQ$38/1.16),($AQ$38/1.16)*C129)/1000))</f>
        <v/>
      </c>
    </row>
    <row r="130" spans="2:45" x14ac:dyDescent="0.25">
      <c r="B130" s="426" t="str">
        <f t="shared" si="21"/>
        <v/>
      </c>
      <c r="C130" s="423" t="str">
        <f t="shared" si="22"/>
        <v/>
      </c>
      <c r="D130" s="643" t="str">
        <f t="shared" ref="D130:D193" si="26">IF(B130="","",AL130-F130)</f>
        <v/>
      </c>
      <c r="E130" s="643"/>
      <c r="F130" s="643" t="str">
        <f t="shared" si="18"/>
        <v/>
      </c>
      <c r="G130" s="643"/>
      <c r="H130" s="671">
        <f t="shared" si="19"/>
        <v>0</v>
      </c>
      <c r="I130" s="671"/>
      <c r="J130" s="640" t="str">
        <f t="shared" si="23"/>
        <v/>
      </c>
      <c r="K130" s="640"/>
      <c r="L130" s="631" t="str">
        <f t="shared" ref="L130:L193" si="27">IF(B130="","",IF(AND($F$20="Pago_Hipoteca+Liquidez",$F$36="Liquidez"),0,
IF((($F$28*0.7)*$AQ$38)&gt;C130*$AQ$38,($F$28*0.7)*($AQ$38)/1000,($AQ$38*C130)/1000)))</f>
        <v/>
      </c>
      <c r="M130" s="631"/>
      <c r="N130" s="631" t="str">
        <f>IF(B130="","",VLOOKUP(TRIM(CONCATENATE($F$20," ",$F$17," ",$F$18," ",$F$22," ",$F$21," ",$F$16," ",$F$23," ",$F$24)),Catalogo_Condicione_Financieras!B:W,22,0)*1.16)</f>
        <v/>
      </c>
      <c r="O130" s="631"/>
      <c r="P130" s="641"/>
      <c r="Q130" s="641"/>
      <c r="R130" s="631"/>
      <c r="S130" s="631"/>
      <c r="T130" s="424" t="str">
        <f>IF(B130="","",'Tabla_Puntual&amp;Relacionamiento'!$B$7)</f>
        <v/>
      </c>
      <c r="U130" s="424"/>
      <c r="V130" s="642" t="str">
        <f t="shared" si="20"/>
        <v/>
      </c>
      <c r="W130" s="642"/>
      <c r="X130" s="642" t="str">
        <f t="shared" si="17"/>
        <v/>
      </c>
      <c r="Y130" s="642"/>
      <c r="AL130" s="420" t="str">
        <f t="shared" si="24"/>
        <v/>
      </c>
      <c r="AM130" s="421">
        <f t="shared" si="15"/>
        <v>0</v>
      </c>
      <c r="AN130" s="637"/>
      <c r="AO130" s="637"/>
      <c r="AP130" s="634"/>
      <c r="AQ130" s="634"/>
      <c r="AR130" s="427"/>
      <c r="AS130" s="522" t="str">
        <f t="shared" si="25"/>
        <v/>
      </c>
    </row>
    <row r="131" spans="2:45" x14ac:dyDescent="0.25">
      <c r="B131" s="426" t="str">
        <f t="shared" si="21"/>
        <v/>
      </c>
      <c r="C131" s="423" t="str">
        <f t="shared" si="22"/>
        <v/>
      </c>
      <c r="D131" s="643" t="str">
        <f t="shared" si="26"/>
        <v/>
      </c>
      <c r="E131" s="643"/>
      <c r="F131" s="643" t="str">
        <f t="shared" si="18"/>
        <v/>
      </c>
      <c r="G131" s="643"/>
      <c r="H131" s="671">
        <f t="shared" si="19"/>
        <v>0</v>
      </c>
      <c r="I131" s="671"/>
      <c r="J131" s="640" t="str">
        <f t="shared" si="23"/>
        <v/>
      </c>
      <c r="K131" s="640"/>
      <c r="L131" s="631" t="str">
        <f t="shared" si="27"/>
        <v/>
      </c>
      <c r="M131" s="631"/>
      <c r="N131" s="631" t="str">
        <f>IF(B131="","",VLOOKUP(TRIM(CONCATENATE($F$20," ",$F$17," ",$F$18," ",$F$22," ",$F$21," ",$F$16," ",$F$23," ",$F$24)),Catalogo_Condicione_Financieras!B:W,22,0)*1.16)</f>
        <v/>
      </c>
      <c r="O131" s="631"/>
      <c r="P131" s="641"/>
      <c r="Q131" s="641"/>
      <c r="R131" s="631" t="str">
        <f>IF(OR(X130=0,X130=""),"",IF($F$21="Apoyo Infonavit",IF(D131&gt;=C131,0,MIN(IF($F$30="",0,Caratula!$F$30),$AL$30*25)*10%),0))</f>
        <v/>
      </c>
      <c r="S131" s="631"/>
      <c r="T131" s="424" t="str">
        <f>IF(B131="","",'Tabla_Puntual&amp;Relacionamiento'!$B$7)</f>
        <v/>
      </c>
      <c r="U131" s="424"/>
      <c r="V131" s="642" t="str">
        <f t="shared" si="20"/>
        <v/>
      </c>
      <c r="W131" s="642"/>
      <c r="X131" s="642" t="str">
        <f t="shared" si="17"/>
        <v/>
      </c>
      <c r="Y131" s="642"/>
      <c r="AL131" s="420" t="str">
        <f t="shared" si="24"/>
        <v/>
      </c>
      <c r="AM131" s="421">
        <f t="shared" ref="AM131:AM194" si="28">IF(C131="",0,AL131+J131+AS131+(N131/1.16)+R131)</f>
        <v>0</v>
      </c>
      <c r="AN131" s="637"/>
      <c r="AO131" s="637"/>
      <c r="AP131" s="634"/>
      <c r="AQ131" s="634"/>
      <c r="AR131" s="427"/>
      <c r="AS131" s="522" t="str">
        <f t="shared" si="25"/>
        <v/>
      </c>
    </row>
    <row r="132" spans="2:45" x14ac:dyDescent="0.25">
      <c r="B132" s="426" t="str">
        <f t="shared" si="21"/>
        <v/>
      </c>
      <c r="C132" s="423" t="str">
        <f t="shared" si="22"/>
        <v/>
      </c>
      <c r="D132" s="643" t="str">
        <f t="shared" si="26"/>
        <v/>
      </c>
      <c r="E132" s="643"/>
      <c r="F132" s="643" t="str">
        <f t="shared" si="18"/>
        <v/>
      </c>
      <c r="G132" s="643"/>
      <c r="H132" s="671">
        <f t="shared" si="19"/>
        <v>0</v>
      </c>
      <c r="I132" s="671"/>
      <c r="J132" s="640" t="str">
        <f t="shared" si="23"/>
        <v/>
      </c>
      <c r="K132" s="640"/>
      <c r="L132" s="631" t="str">
        <f t="shared" si="27"/>
        <v/>
      </c>
      <c r="M132" s="631"/>
      <c r="N132" s="631" t="str">
        <f>IF(B132="","",VLOOKUP(TRIM(CONCATENATE($F$20," ",$F$17," ",$F$18," ",$F$22," ",$F$21," ",$F$16," ",$F$23," ",$F$24)),Catalogo_Condicione_Financieras!B:W,22,0)*1.16)</f>
        <v/>
      </c>
      <c r="O132" s="631"/>
      <c r="P132" s="641"/>
      <c r="Q132" s="641"/>
      <c r="R132" s="631"/>
      <c r="S132" s="631"/>
      <c r="T132" s="424" t="str">
        <f>IF(B132="","",'Tabla_Puntual&amp;Relacionamiento'!$B$7)</f>
        <v/>
      </c>
      <c r="U132" s="424"/>
      <c r="V132" s="642" t="str">
        <f t="shared" si="20"/>
        <v/>
      </c>
      <c r="W132" s="642"/>
      <c r="X132" s="642" t="str">
        <f t="shared" si="17"/>
        <v/>
      </c>
      <c r="Y132" s="642"/>
      <c r="AL132" s="420" t="str">
        <f t="shared" si="24"/>
        <v/>
      </c>
      <c r="AM132" s="421">
        <f t="shared" si="28"/>
        <v>0</v>
      </c>
      <c r="AN132" s="637"/>
      <c r="AO132" s="637"/>
      <c r="AP132" s="634"/>
      <c r="AQ132" s="634"/>
      <c r="AR132" s="427"/>
      <c r="AS132" s="522" t="str">
        <f t="shared" si="25"/>
        <v/>
      </c>
    </row>
    <row r="133" spans="2:45" x14ac:dyDescent="0.25">
      <c r="B133" s="426" t="str">
        <f t="shared" si="21"/>
        <v/>
      </c>
      <c r="C133" s="423" t="str">
        <f t="shared" si="22"/>
        <v/>
      </c>
      <c r="D133" s="643" t="str">
        <f t="shared" si="26"/>
        <v/>
      </c>
      <c r="E133" s="643"/>
      <c r="F133" s="643" t="str">
        <f t="shared" si="18"/>
        <v/>
      </c>
      <c r="G133" s="643"/>
      <c r="H133" s="671">
        <f t="shared" si="19"/>
        <v>0</v>
      </c>
      <c r="I133" s="671"/>
      <c r="J133" s="640" t="str">
        <f t="shared" si="23"/>
        <v/>
      </c>
      <c r="K133" s="640"/>
      <c r="L133" s="631" t="str">
        <f t="shared" si="27"/>
        <v/>
      </c>
      <c r="M133" s="631"/>
      <c r="N133" s="631" t="str">
        <f>IF(B133="","",VLOOKUP(TRIM(CONCATENATE($F$20," ",$F$17," ",$F$18," ",$F$22," ",$F$21," ",$F$16," ",$F$23," ",$F$24)),Catalogo_Condicione_Financieras!B:W,22,0)*1.16)</f>
        <v/>
      </c>
      <c r="O133" s="631"/>
      <c r="P133" s="641"/>
      <c r="Q133" s="641"/>
      <c r="R133" s="631" t="str">
        <f>IF(OR(X132=0,X132=""),"",IF($F$21="Apoyo Infonavit",IF(D133&gt;=C133,0,MIN(IF($F$30="",0,Caratula!$F$30),$AL$30*25)*10%),0))</f>
        <v/>
      </c>
      <c r="S133" s="631"/>
      <c r="T133" s="424" t="str">
        <f>IF(B133="","",'Tabla_Puntual&amp;Relacionamiento'!$B$7)</f>
        <v/>
      </c>
      <c r="U133" s="424"/>
      <c r="V133" s="642" t="str">
        <f t="shared" si="20"/>
        <v/>
      </c>
      <c r="W133" s="642"/>
      <c r="X133" s="642" t="str">
        <f t="shared" si="17"/>
        <v/>
      </c>
      <c r="Y133" s="642"/>
      <c r="AL133" s="420" t="str">
        <f t="shared" si="24"/>
        <v/>
      </c>
      <c r="AM133" s="421">
        <f t="shared" si="28"/>
        <v>0</v>
      </c>
      <c r="AN133" s="637"/>
      <c r="AO133" s="637"/>
      <c r="AP133" s="634"/>
      <c r="AQ133" s="634"/>
      <c r="AR133" s="427"/>
      <c r="AS133" s="522" t="str">
        <f t="shared" si="25"/>
        <v/>
      </c>
    </row>
    <row r="134" spans="2:45" x14ac:dyDescent="0.25">
      <c r="B134" s="426" t="str">
        <f t="shared" si="21"/>
        <v/>
      </c>
      <c r="C134" s="423" t="str">
        <f t="shared" si="22"/>
        <v/>
      </c>
      <c r="D134" s="643" t="str">
        <f t="shared" si="26"/>
        <v/>
      </c>
      <c r="E134" s="643"/>
      <c r="F134" s="643" t="str">
        <f t="shared" si="18"/>
        <v/>
      </c>
      <c r="G134" s="643"/>
      <c r="H134" s="671">
        <f t="shared" si="19"/>
        <v>0</v>
      </c>
      <c r="I134" s="671"/>
      <c r="J134" s="640" t="str">
        <f t="shared" si="23"/>
        <v/>
      </c>
      <c r="K134" s="640"/>
      <c r="L134" s="631" t="str">
        <f t="shared" si="27"/>
        <v/>
      </c>
      <c r="M134" s="631"/>
      <c r="N134" s="631" t="str">
        <f>IF(B134="","",VLOOKUP(TRIM(CONCATENATE($F$20," ",$F$17," ",$F$18," ",$F$22," ",$F$21," ",$F$16," ",$F$23," ",$F$24)),Catalogo_Condicione_Financieras!B:W,22,0)*1.16)</f>
        <v/>
      </c>
      <c r="O134" s="631"/>
      <c r="P134" s="641"/>
      <c r="Q134" s="641"/>
      <c r="R134" s="631"/>
      <c r="S134" s="631"/>
      <c r="T134" s="424" t="str">
        <f>IF(B134="","",'Tabla_Puntual&amp;Relacionamiento'!$B$7)</f>
        <v/>
      </c>
      <c r="U134" s="424"/>
      <c r="V134" s="642" t="str">
        <f t="shared" si="20"/>
        <v/>
      </c>
      <c r="W134" s="642"/>
      <c r="X134" s="642" t="str">
        <f t="shared" si="17"/>
        <v/>
      </c>
      <c r="Y134" s="642"/>
      <c r="AL134" s="420" t="str">
        <f t="shared" si="24"/>
        <v/>
      </c>
      <c r="AM134" s="421">
        <f t="shared" si="28"/>
        <v>0</v>
      </c>
      <c r="AN134" s="637"/>
      <c r="AO134" s="637"/>
      <c r="AP134" s="634"/>
      <c r="AQ134" s="634"/>
      <c r="AR134" s="427"/>
      <c r="AS134" s="522" t="str">
        <f t="shared" si="25"/>
        <v/>
      </c>
    </row>
    <row r="135" spans="2:45" x14ac:dyDescent="0.25">
      <c r="B135" s="426" t="str">
        <f t="shared" si="21"/>
        <v/>
      </c>
      <c r="C135" s="423" t="str">
        <f t="shared" si="22"/>
        <v/>
      </c>
      <c r="D135" s="643" t="str">
        <f t="shared" si="26"/>
        <v/>
      </c>
      <c r="E135" s="643"/>
      <c r="F135" s="643" t="str">
        <f t="shared" si="18"/>
        <v/>
      </c>
      <c r="G135" s="643"/>
      <c r="H135" s="671">
        <f t="shared" si="19"/>
        <v>0</v>
      </c>
      <c r="I135" s="671"/>
      <c r="J135" s="640" t="str">
        <f t="shared" si="23"/>
        <v/>
      </c>
      <c r="K135" s="640"/>
      <c r="L135" s="631" t="str">
        <f t="shared" si="27"/>
        <v/>
      </c>
      <c r="M135" s="631"/>
      <c r="N135" s="631" t="str">
        <f>IF(B135="","",VLOOKUP(TRIM(CONCATENATE($F$20," ",$F$17," ",$F$18," ",$F$22," ",$F$21," ",$F$16," ",$F$23," ",$F$24)),Catalogo_Condicione_Financieras!B:W,22,0)*1.16)</f>
        <v/>
      </c>
      <c r="O135" s="631"/>
      <c r="P135" s="641"/>
      <c r="Q135" s="641"/>
      <c r="R135" s="631" t="str">
        <f>IF(OR(X134=0,X134=""),"",IF($F$21="Apoyo Infonavit",IF(D135&gt;=C135,0,MIN(IF($F$30="",0,Caratula!$F$30),$AL$30*25)*10%),0))</f>
        <v/>
      </c>
      <c r="S135" s="631"/>
      <c r="T135" s="424" t="str">
        <f>IF(B135="","",'Tabla_Puntual&amp;Relacionamiento'!$B$7)</f>
        <v/>
      </c>
      <c r="U135" s="424"/>
      <c r="V135" s="642" t="str">
        <f t="shared" si="20"/>
        <v/>
      </c>
      <c r="W135" s="642"/>
      <c r="X135" s="642" t="str">
        <f t="shared" si="17"/>
        <v/>
      </c>
      <c r="Y135" s="642"/>
      <c r="AL135" s="420" t="str">
        <f t="shared" si="24"/>
        <v/>
      </c>
      <c r="AM135" s="421">
        <f t="shared" si="28"/>
        <v>0</v>
      </c>
      <c r="AN135" s="637"/>
      <c r="AO135" s="637"/>
      <c r="AP135" s="634"/>
      <c r="AQ135" s="634"/>
      <c r="AR135" s="427"/>
      <c r="AS135" s="522" t="str">
        <f t="shared" si="25"/>
        <v/>
      </c>
    </row>
    <row r="136" spans="2:45" x14ac:dyDescent="0.25">
      <c r="B136" s="426" t="str">
        <f t="shared" si="21"/>
        <v/>
      </c>
      <c r="C136" s="423" t="str">
        <f t="shared" si="22"/>
        <v/>
      </c>
      <c r="D136" s="643" t="str">
        <f t="shared" si="26"/>
        <v/>
      </c>
      <c r="E136" s="643"/>
      <c r="F136" s="643" t="str">
        <f t="shared" si="18"/>
        <v/>
      </c>
      <c r="G136" s="643"/>
      <c r="H136" s="671">
        <f t="shared" si="19"/>
        <v>0</v>
      </c>
      <c r="I136" s="671"/>
      <c r="J136" s="640" t="str">
        <f t="shared" si="23"/>
        <v/>
      </c>
      <c r="K136" s="640"/>
      <c r="L136" s="631" t="str">
        <f t="shared" si="27"/>
        <v/>
      </c>
      <c r="M136" s="631"/>
      <c r="N136" s="631" t="str">
        <f>IF(B136="","",VLOOKUP(TRIM(CONCATENATE($F$20," ",$F$17," ",$F$18," ",$F$22," ",$F$21," ",$F$16," ",$F$23," ",$F$24)),Catalogo_Condicione_Financieras!B:W,22,0)*1.16)</f>
        <v/>
      </c>
      <c r="O136" s="631"/>
      <c r="P136" s="641"/>
      <c r="Q136" s="641"/>
      <c r="R136" s="631"/>
      <c r="S136" s="631"/>
      <c r="T136" s="424" t="str">
        <f>IF(B136="","",'Tabla_Puntual&amp;Relacionamiento'!$B$8)</f>
        <v/>
      </c>
      <c r="U136" s="424" t="str">
        <f>IF(B136="","",IF($F$16="Pago_Bajo_Puntual",0.019,""))</f>
        <v/>
      </c>
      <c r="V136" s="642" t="str">
        <f t="shared" si="20"/>
        <v/>
      </c>
      <c r="W136" s="642"/>
      <c r="X136" s="642" t="str">
        <f t="shared" si="17"/>
        <v/>
      </c>
      <c r="Y136" s="642"/>
      <c r="AL136" s="420" t="str">
        <f t="shared" si="24"/>
        <v/>
      </c>
      <c r="AM136" s="421">
        <f t="shared" si="28"/>
        <v>0</v>
      </c>
      <c r="AN136" s="637"/>
      <c r="AO136" s="637"/>
      <c r="AP136" s="634"/>
      <c r="AQ136" s="634"/>
      <c r="AR136" s="427"/>
      <c r="AS136" s="522" t="str">
        <f t="shared" si="25"/>
        <v/>
      </c>
    </row>
    <row r="137" spans="2:45" x14ac:dyDescent="0.25">
      <c r="B137" s="426" t="str">
        <f t="shared" si="21"/>
        <v/>
      </c>
      <c r="C137" s="423" t="str">
        <f t="shared" si="22"/>
        <v/>
      </c>
      <c r="D137" s="643" t="str">
        <f t="shared" si="26"/>
        <v/>
      </c>
      <c r="E137" s="643"/>
      <c r="F137" s="643" t="str">
        <f t="shared" si="18"/>
        <v/>
      </c>
      <c r="G137" s="643"/>
      <c r="H137" s="671">
        <f t="shared" si="19"/>
        <v>0</v>
      </c>
      <c r="I137" s="671"/>
      <c r="J137" s="640" t="str">
        <f t="shared" si="23"/>
        <v/>
      </c>
      <c r="K137" s="640"/>
      <c r="L137" s="631" t="str">
        <f t="shared" si="27"/>
        <v/>
      </c>
      <c r="M137" s="631"/>
      <c r="N137" s="631" t="str">
        <f>IF(B137="","",VLOOKUP(TRIM(CONCATENATE($F$20," ",$F$17," ",$F$18," ",$F$22," ",$F$21," ",$F$16," ",$F$23," ",$F$24)),Catalogo_Condicione_Financieras!B:W,22,0)*1.16)</f>
        <v/>
      </c>
      <c r="O137" s="631"/>
      <c r="P137" s="641"/>
      <c r="Q137" s="641"/>
      <c r="R137" s="631" t="str">
        <f>IF(OR(X136=0,X136=""),"",IF($F$21="Apoyo Infonavit",IF(D137&gt;=C137,0,MIN(IF($F$30="",0,Caratula!$F$30),$AL$30*25)*10%),0))</f>
        <v/>
      </c>
      <c r="S137" s="631"/>
      <c r="T137" s="424" t="str">
        <f>IF(B137="","",'Tabla_Puntual&amp;Relacionamiento'!$B$8)</f>
        <v/>
      </c>
      <c r="U137" s="424"/>
      <c r="V137" s="642" t="str">
        <f t="shared" si="20"/>
        <v/>
      </c>
      <c r="W137" s="642"/>
      <c r="X137" s="642" t="str">
        <f t="shared" si="17"/>
        <v/>
      </c>
      <c r="Y137" s="642"/>
      <c r="AL137" s="420" t="str">
        <f t="shared" si="24"/>
        <v/>
      </c>
      <c r="AM137" s="421">
        <f t="shared" si="28"/>
        <v>0</v>
      </c>
      <c r="AN137" s="637"/>
      <c r="AO137" s="637"/>
      <c r="AP137" s="634"/>
      <c r="AQ137" s="634"/>
      <c r="AR137" s="427"/>
      <c r="AS137" s="522" t="str">
        <f t="shared" si="25"/>
        <v/>
      </c>
    </row>
    <row r="138" spans="2:45" x14ac:dyDescent="0.25">
      <c r="B138" s="426" t="str">
        <f t="shared" si="21"/>
        <v/>
      </c>
      <c r="C138" s="423" t="str">
        <f t="shared" si="22"/>
        <v/>
      </c>
      <c r="D138" s="643" t="str">
        <f t="shared" si="26"/>
        <v/>
      </c>
      <c r="E138" s="643"/>
      <c r="F138" s="643" t="str">
        <f t="shared" si="18"/>
        <v/>
      </c>
      <c r="G138" s="643"/>
      <c r="H138" s="671">
        <f t="shared" si="19"/>
        <v>0</v>
      </c>
      <c r="I138" s="671"/>
      <c r="J138" s="640" t="str">
        <f t="shared" si="23"/>
        <v/>
      </c>
      <c r="K138" s="640"/>
      <c r="L138" s="631" t="str">
        <f t="shared" si="27"/>
        <v/>
      </c>
      <c r="M138" s="631"/>
      <c r="N138" s="631" t="str">
        <f>IF(B138="","",VLOOKUP(TRIM(CONCATENATE($F$20," ",$F$17," ",$F$18," ",$F$22," ",$F$21," ",$F$16," ",$F$23," ",$F$24)),Catalogo_Condicione_Financieras!B:W,22,0)*1.16)</f>
        <v/>
      </c>
      <c r="O138" s="631"/>
      <c r="P138" s="641"/>
      <c r="Q138" s="641"/>
      <c r="R138" s="631"/>
      <c r="S138" s="631"/>
      <c r="T138" s="424" t="str">
        <f>IF(B138="","",'Tabla_Puntual&amp;Relacionamiento'!$B$8)</f>
        <v/>
      </c>
      <c r="U138" s="424"/>
      <c r="V138" s="642" t="str">
        <f t="shared" si="20"/>
        <v/>
      </c>
      <c r="W138" s="642"/>
      <c r="X138" s="642" t="str">
        <f t="shared" si="17"/>
        <v/>
      </c>
      <c r="Y138" s="642"/>
      <c r="AL138" s="420" t="str">
        <f t="shared" si="24"/>
        <v/>
      </c>
      <c r="AM138" s="421">
        <f t="shared" si="28"/>
        <v>0</v>
      </c>
      <c r="AN138" s="637"/>
      <c r="AO138" s="637"/>
      <c r="AP138" s="634"/>
      <c r="AQ138" s="634"/>
      <c r="AR138" s="427"/>
      <c r="AS138" s="522" t="str">
        <f t="shared" si="25"/>
        <v/>
      </c>
    </row>
    <row r="139" spans="2:45" x14ac:dyDescent="0.25">
      <c r="B139" s="426" t="str">
        <f t="shared" si="21"/>
        <v/>
      </c>
      <c r="C139" s="423" t="str">
        <f t="shared" si="22"/>
        <v/>
      </c>
      <c r="D139" s="643" t="str">
        <f t="shared" si="26"/>
        <v/>
      </c>
      <c r="E139" s="643"/>
      <c r="F139" s="643" t="str">
        <f t="shared" si="18"/>
        <v/>
      </c>
      <c r="G139" s="643"/>
      <c r="H139" s="671">
        <f t="shared" si="19"/>
        <v>0</v>
      </c>
      <c r="I139" s="671"/>
      <c r="J139" s="640" t="str">
        <f t="shared" si="23"/>
        <v/>
      </c>
      <c r="K139" s="640"/>
      <c r="L139" s="631" t="str">
        <f t="shared" si="27"/>
        <v/>
      </c>
      <c r="M139" s="631"/>
      <c r="N139" s="631" t="str">
        <f>IF(B139="","",VLOOKUP(TRIM(CONCATENATE($F$20," ",$F$17," ",$F$18," ",$F$22," ",$F$21," ",$F$16," ",$F$23," ",$F$24)),Catalogo_Condicione_Financieras!B:W,22,0)*1.16)</f>
        <v/>
      </c>
      <c r="O139" s="631"/>
      <c r="P139" s="641"/>
      <c r="Q139" s="641"/>
      <c r="R139" s="631" t="str">
        <f>IF(OR(X138=0,X138=""),"",IF($F$21="Apoyo Infonavit",IF(D139&gt;=C139,0,MIN(IF($F$30="",0,Caratula!$F$30),$AL$30*25)*10%),0))</f>
        <v/>
      </c>
      <c r="S139" s="631"/>
      <c r="T139" s="424" t="str">
        <f>IF(B139="","",'Tabla_Puntual&amp;Relacionamiento'!$B$8)</f>
        <v/>
      </c>
      <c r="U139" s="424"/>
      <c r="V139" s="642" t="str">
        <f t="shared" si="20"/>
        <v/>
      </c>
      <c r="W139" s="642"/>
      <c r="X139" s="642" t="str">
        <f t="shared" si="17"/>
        <v/>
      </c>
      <c r="Y139" s="642"/>
      <c r="AL139" s="420" t="str">
        <f t="shared" si="24"/>
        <v/>
      </c>
      <c r="AM139" s="421">
        <f t="shared" si="28"/>
        <v>0</v>
      </c>
      <c r="AN139" s="637"/>
      <c r="AO139" s="637"/>
      <c r="AP139" s="634"/>
      <c r="AQ139" s="634"/>
      <c r="AR139" s="427"/>
      <c r="AS139" s="522" t="str">
        <f t="shared" si="25"/>
        <v/>
      </c>
    </row>
    <row r="140" spans="2:45" x14ac:dyDescent="0.25">
      <c r="B140" s="426" t="str">
        <f t="shared" si="21"/>
        <v/>
      </c>
      <c r="C140" s="423" t="str">
        <f t="shared" si="22"/>
        <v/>
      </c>
      <c r="D140" s="643" t="str">
        <f t="shared" si="26"/>
        <v/>
      </c>
      <c r="E140" s="643"/>
      <c r="F140" s="643" t="str">
        <f t="shared" si="18"/>
        <v/>
      </c>
      <c r="G140" s="643"/>
      <c r="H140" s="671">
        <f t="shared" si="19"/>
        <v>0</v>
      </c>
      <c r="I140" s="671"/>
      <c r="J140" s="640" t="str">
        <f t="shared" si="23"/>
        <v/>
      </c>
      <c r="K140" s="640"/>
      <c r="L140" s="631" t="str">
        <f t="shared" si="27"/>
        <v/>
      </c>
      <c r="M140" s="631"/>
      <c r="N140" s="631" t="str">
        <f>IF(B140="","",VLOOKUP(TRIM(CONCATENATE($F$20," ",$F$17," ",$F$18," ",$F$22," ",$F$21," ",$F$16," ",$F$23," ",$F$24)),Catalogo_Condicione_Financieras!B:W,22,0)*1.16)</f>
        <v/>
      </c>
      <c r="O140" s="631"/>
      <c r="P140" s="641"/>
      <c r="Q140" s="641"/>
      <c r="R140" s="631"/>
      <c r="S140" s="631"/>
      <c r="T140" s="424" t="str">
        <f>IF(B140="","",'Tabla_Puntual&amp;Relacionamiento'!$B$8)</f>
        <v/>
      </c>
      <c r="U140" s="424"/>
      <c r="V140" s="642" t="str">
        <f t="shared" si="20"/>
        <v/>
      </c>
      <c r="W140" s="642"/>
      <c r="X140" s="642" t="str">
        <f t="shared" si="17"/>
        <v/>
      </c>
      <c r="Y140" s="642"/>
      <c r="AL140" s="420" t="str">
        <f t="shared" si="24"/>
        <v/>
      </c>
      <c r="AM140" s="421">
        <f t="shared" si="28"/>
        <v>0</v>
      </c>
      <c r="AN140" s="637"/>
      <c r="AO140" s="637"/>
      <c r="AP140" s="634"/>
      <c r="AQ140" s="634"/>
      <c r="AR140" s="427"/>
      <c r="AS140" s="522" t="str">
        <f t="shared" si="25"/>
        <v/>
      </c>
    </row>
    <row r="141" spans="2:45" x14ac:dyDescent="0.25">
      <c r="B141" s="426" t="str">
        <f t="shared" si="21"/>
        <v/>
      </c>
      <c r="C141" s="423" t="str">
        <f t="shared" si="22"/>
        <v/>
      </c>
      <c r="D141" s="643" t="str">
        <f t="shared" si="26"/>
        <v/>
      </c>
      <c r="E141" s="643"/>
      <c r="F141" s="643" t="str">
        <f t="shared" si="18"/>
        <v/>
      </c>
      <c r="G141" s="643"/>
      <c r="H141" s="671">
        <f t="shared" si="19"/>
        <v>0</v>
      </c>
      <c r="I141" s="671"/>
      <c r="J141" s="640" t="str">
        <f t="shared" si="23"/>
        <v/>
      </c>
      <c r="K141" s="640"/>
      <c r="L141" s="631" t="str">
        <f t="shared" si="27"/>
        <v/>
      </c>
      <c r="M141" s="631"/>
      <c r="N141" s="631" t="str">
        <f>IF(B141="","",VLOOKUP(TRIM(CONCATENATE($F$20," ",$F$17," ",$F$18," ",$F$22," ",$F$21," ",$F$16," ",$F$23," ",$F$24)),Catalogo_Condicione_Financieras!B:W,22,0)*1.16)</f>
        <v/>
      </c>
      <c r="O141" s="631"/>
      <c r="P141" s="641"/>
      <c r="Q141" s="641"/>
      <c r="R141" s="631" t="str">
        <f>IF(OR(X140=0,X140=""),"",IF($F$21="Apoyo Infonavit",IF(D141&gt;=C141,0,MIN(IF($F$30="",0,Caratula!$F$30),$AL$30*25)*10%),0))</f>
        <v/>
      </c>
      <c r="S141" s="631"/>
      <c r="T141" s="424" t="str">
        <f>IF(B141="","",'Tabla_Puntual&amp;Relacionamiento'!$B$8)</f>
        <v/>
      </c>
      <c r="U141" s="424"/>
      <c r="V141" s="642" t="str">
        <f t="shared" si="20"/>
        <v/>
      </c>
      <c r="W141" s="642"/>
      <c r="X141" s="642" t="str">
        <f t="shared" si="17"/>
        <v/>
      </c>
      <c r="Y141" s="642"/>
      <c r="AL141" s="420" t="str">
        <f t="shared" si="24"/>
        <v/>
      </c>
      <c r="AM141" s="421">
        <f t="shared" si="28"/>
        <v>0</v>
      </c>
      <c r="AN141" s="637"/>
      <c r="AO141" s="637"/>
      <c r="AP141" s="634"/>
      <c r="AQ141" s="634"/>
      <c r="AR141" s="427"/>
      <c r="AS141" s="522" t="str">
        <f t="shared" si="25"/>
        <v/>
      </c>
    </row>
    <row r="142" spans="2:45" x14ac:dyDescent="0.25">
      <c r="B142" s="426" t="str">
        <f t="shared" si="21"/>
        <v/>
      </c>
      <c r="C142" s="423" t="str">
        <f t="shared" si="22"/>
        <v/>
      </c>
      <c r="D142" s="643" t="str">
        <f t="shared" si="26"/>
        <v/>
      </c>
      <c r="E142" s="643"/>
      <c r="F142" s="643" t="str">
        <f t="shared" si="18"/>
        <v/>
      </c>
      <c r="G142" s="643"/>
      <c r="H142" s="671">
        <f t="shared" si="19"/>
        <v>0</v>
      </c>
      <c r="I142" s="671"/>
      <c r="J142" s="640" t="str">
        <f t="shared" si="23"/>
        <v/>
      </c>
      <c r="K142" s="640"/>
      <c r="L142" s="631" t="str">
        <f t="shared" si="27"/>
        <v/>
      </c>
      <c r="M142" s="631"/>
      <c r="N142" s="631" t="str">
        <f>IF(B142="","",VLOOKUP(TRIM(CONCATENATE($F$20," ",$F$17," ",$F$18," ",$F$22," ",$F$21," ",$F$16," ",$F$23," ",$F$24)),Catalogo_Condicione_Financieras!B:W,22,0)*1.16)</f>
        <v/>
      </c>
      <c r="O142" s="631"/>
      <c r="P142" s="641"/>
      <c r="Q142" s="641"/>
      <c r="R142" s="631"/>
      <c r="S142" s="631"/>
      <c r="T142" s="424" t="str">
        <f>IF(B142="","",'Tabla_Puntual&amp;Relacionamiento'!$B$8)</f>
        <v/>
      </c>
      <c r="U142" s="424"/>
      <c r="V142" s="642" t="str">
        <f t="shared" si="20"/>
        <v/>
      </c>
      <c r="W142" s="642"/>
      <c r="X142" s="642" t="str">
        <f t="shared" si="17"/>
        <v/>
      </c>
      <c r="Y142" s="642"/>
      <c r="AL142" s="420" t="str">
        <f t="shared" si="24"/>
        <v/>
      </c>
      <c r="AM142" s="421">
        <f t="shared" si="28"/>
        <v>0</v>
      </c>
      <c r="AN142" s="637"/>
      <c r="AO142" s="637"/>
      <c r="AP142" s="634"/>
      <c r="AQ142" s="634"/>
      <c r="AR142" s="427"/>
      <c r="AS142" s="522" t="str">
        <f t="shared" si="25"/>
        <v/>
      </c>
    </row>
    <row r="143" spans="2:45" x14ac:dyDescent="0.25">
      <c r="B143" s="426" t="str">
        <f t="shared" si="21"/>
        <v/>
      </c>
      <c r="C143" s="423" t="str">
        <f t="shared" si="22"/>
        <v/>
      </c>
      <c r="D143" s="643" t="str">
        <f t="shared" si="26"/>
        <v/>
      </c>
      <c r="E143" s="643"/>
      <c r="F143" s="643" t="str">
        <f t="shared" si="18"/>
        <v/>
      </c>
      <c r="G143" s="643"/>
      <c r="H143" s="671">
        <f t="shared" si="19"/>
        <v>0</v>
      </c>
      <c r="I143" s="671"/>
      <c r="J143" s="640" t="str">
        <f t="shared" si="23"/>
        <v/>
      </c>
      <c r="K143" s="640"/>
      <c r="L143" s="631" t="str">
        <f t="shared" si="27"/>
        <v/>
      </c>
      <c r="M143" s="631"/>
      <c r="N143" s="631" t="str">
        <f>IF(B143="","",VLOOKUP(TRIM(CONCATENATE($F$20," ",$F$17," ",$F$18," ",$F$22," ",$F$21," ",$F$16," ",$F$23," ",$F$24)),Catalogo_Condicione_Financieras!B:W,22,0)*1.16)</f>
        <v/>
      </c>
      <c r="O143" s="631"/>
      <c r="P143" s="641"/>
      <c r="Q143" s="641"/>
      <c r="R143" s="631" t="str">
        <f>IF(OR(X142=0,X142=""),"",IF($F$21="Apoyo Infonavit",IF(D143&gt;=C143,0,MIN(IF($F$30="",0,Caratula!$F$30),$AL$30*25)*10%),0))</f>
        <v/>
      </c>
      <c r="S143" s="631"/>
      <c r="T143" s="424" t="str">
        <f>IF(B143="","",'Tabla_Puntual&amp;Relacionamiento'!$B$8)</f>
        <v/>
      </c>
      <c r="U143" s="424"/>
      <c r="V143" s="642" t="str">
        <f t="shared" si="20"/>
        <v/>
      </c>
      <c r="W143" s="642"/>
      <c r="X143" s="642" t="str">
        <f t="shared" si="17"/>
        <v/>
      </c>
      <c r="Y143" s="642"/>
      <c r="AL143" s="420" t="str">
        <f t="shared" si="24"/>
        <v/>
      </c>
      <c r="AM143" s="421">
        <f t="shared" si="28"/>
        <v>0</v>
      </c>
      <c r="AN143" s="637"/>
      <c r="AO143" s="637"/>
      <c r="AP143" s="634"/>
      <c r="AQ143" s="634"/>
      <c r="AR143" s="427"/>
      <c r="AS143" s="522" t="str">
        <f t="shared" si="25"/>
        <v/>
      </c>
    </row>
    <row r="144" spans="2:45" x14ac:dyDescent="0.25">
      <c r="B144" s="426" t="str">
        <f t="shared" si="21"/>
        <v/>
      </c>
      <c r="C144" s="423" t="str">
        <f t="shared" si="22"/>
        <v/>
      </c>
      <c r="D144" s="643" t="str">
        <f t="shared" si="26"/>
        <v/>
      </c>
      <c r="E144" s="643"/>
      <c r="F144" s="643" t="str">
        <f t="shared" si="18"/>
        <v/>
      </c>
      <c r="G144" s="643"/>
      <c r="H144" s="671">
        <f t="shared" si="19"/>
        <v>0</v>
      </c>
      <c r="I144" s="671"/>
      <c r="J144" s="640" t="str">
        <f t="shared" si="23"/>
        <v/>
      </c>
      <c r="K144" s="640"/>
      <c r="L144" s="631" t="str">
        <f t="shared" si="27"/>
        <v/>
      </c>
      <c r="M144" s="631"/>
      <c r="N144" s="631" t="str">
        <f>IF(B144="","",VLOOKUP(TRIM(CONCATENATE($F$20," ",$F$17," ",$F$18," ",$F$22," ",$F$21," ",$F$16," ",$F$23," ",$F$24)),Catalogo_Condicione_Financieras!B:W,22,0)*1.16)</f>
        <v/>
      </c>
      <c r="O144" s="631"/>
      <c r="P144" s="641"/>
      <c r="Q144" s="641"/>
      <c r="R144" s="631"/>
      <c r="S144" s="631"/>
      <c r="T144" s="424" t="str">
        <f>IF(B144="","",'Tabla_Puntual&amp;Relacionamiento'!$B$8)</f>
        <v/>
      </c>
      <c r="U144" s="424"/>
      <c r="V144" s="642" t="str">
        <f t="shared" si="20"/>
        <v/>
      </c>
      <c r="W144" s="642"/>
      <c r="X144" s="642" t="str">
        <f t="shared" si="17"/>
        <v/>
      </c>
      <c r="Y144" s="642"/>
      <c r="AL144" s="420" t="str">
        <f t="shared" si="24"/>
        <v/>
      </c>
      <c r="AM144" s="421">
        <f t="shared" si="28"/>
        <v>0</v>
      </c>
      <c r="AN144" s="637"/>
      <c r="AO144" s="637"/>
      <c r="AP144" s="634"/>
      <c r="AQ144" s="634"/>
      <c r="AR144" s="427"/>
      <c r="AS144" s="522" t="str">
        <f t="shared" si="25"/>
        <v/>
      </c>
    </row>
    <row r="145" spans="2:45" x14ac:dyDescent="0.25">
      <c r="B145" s="426" t="str">
        <f t="shared" si="21"/>
        <v/>
      </c>
      <c r="C145" s="423" t="str">
        <f t="shared" si="22"/>
        <v/>
      </c>
      <c r="D145" s="643" t="str">
        <f t="shared" si="26"/>
        <v/>
      </c>
      <c r="E145" s="643"/>
      <c r="F145" s="643" t="str">
        <f t="shared" si="18"/>
        <v/>
      </c>
      <c r="G145" s="643"/>
      <c r="H145" s="671">
        <f t="shared" si="19"/>
        <v>0</v>
      </c>
      <c r="I145" s="671"/>
      <c r="J145" s="640" t="str">
        <f t="shared" si="23"/>
        <v/>
      </c>
      <c r="K145" s="640"/>
      <c r="L145" s="631" t="str">
        <f t="shared" si="27"/>
        <v/>
      </c>
      <c r="M145" s="631"/>
      <c r="N145" s="631" t="str">
        <f>IF(B145="","",VLOOKUP(TRIM(CONCATENATE($F$20," ",$F$17," ",$F$18," ",$F$22," ",$F$21," ",$F$16," ",$F$23," ",$F$24)),Catalogo_Condicione_Financieras!B:W,22,0)*1.16)</f>
        <v/>
      </c>
      <c r="O145" s="631"/>
      <c r="P145" s="641"/>
      <c r="Q145" s="641"/>
      <c r="R145" s="631" t="str">
        <f>IF(OR(X144=0,X144=""),"",IF($F$21="Apoyo Infonavit",IF(D145&gt;=C145,0,MIN(IF($F$30="",0,Caratula!$F$30),$AL$30*25)*10%),0))</f>
        <v/>
      </c>
      <c r="S145" s="631"/>
      <c r="T145" s="424" t="str">
        <f>IF(B145="","",'Tabla_Puntual&amp;Relacionamiento'!$B$8)</f>
        <v/>
      </c>
      <c r="U145" s="424"/>
      <c r="V145" s="642" t="str">
        <f t="shared" si="20"/>
        <v/>
      </c>
      <c r="W145" s="642"/>
      <c r="X145" s="642" t="str">
        <f t="shared" si="17"/>
        <v/>
      </c>
      <c r="Y145" s="642"/>
      <c r="AL145" s="420" t="str">
        <f t="shared" si="24"/>
        <v/>
      </c>
      <c r="AM145" s="421">
        <f t="shared" si="28"/>
        <v>0</v>
      </c>
      <c r="AN145" s="637"/>
      <c r="AO145" s="637"/>
      <c r="AP145" s="634"/>
      <c r="AQ145" s="634"/>
      <c r="AR145" s="427"/>
      <c r="AS145" s="522" t="str">
        <f t="shared" si="25"/>
        <v/>
      </c>
    </row>
    <row r="146" spans="2:45" x14ac:dyDescent="0.25">
      <c r="B146" s="426" t="str">
        <f t="shared" si="21"/>
        <v/>
      </c>
      <c r="C146" s="423" t="str">
        <f t="shared" si="22"/>
        <v/>
      </c>
      <c r="D146" s="643" t="str">
        <f t="shared" si="26"/>
        <v/>
      </c>
      <c r="E146" s="643"/>
      <c r="F146" s="643" t="str">
        <f t="shared" si="18"/>
        <v/>
      </c>
      <c r="G146" s="643"/>
      <c r="H146" s="671">
        <f t="shared" si="19"/>
        <v>0</v>
      </c>
      <c r="I146" s="671"/>
      <c r="J146" s="640" t="str">
        <f t="shared" si="23"/>
        <v/>
      </c>
      <c r="K146" s="640"/>
      <c r="L146" s="631" t="str">
        <f t="shared" si="27"/>
        <v/>
      </c>
      <c r="M146" s="631"/>
      <c r="N146" s="631" t="str">
        <f>IF(B146="","",VLOOKUP(TRIM(CONCATENATE($F$20," ",$F$17," ",$F$18," ",$F$22," ",$F$21," ",$F$16," ",$F$23," ",$F$24)),Catalogo_Condicione_Financieras!B:W,22,0)*1.16)</f>
        <v/>
      </c>
      <c r="O146" s="631"/>
      <c r="P146" s="641"/>
      <c r="Q146" s="641"/>
      <c r="R146" s="631"/>
      <c r="S146" s="631"/>
      <c r="T146" s="424" t="str">
        <f>IF(B146="","",'Tabla_Puntual&amp;Relacionamiento'!$B$8)</f>
        <v/>
      </c>
      <c r="U146" s="424"/>
      <c r="V146" s="642" t="str">
        <f t="shared" si="20"/>
        <v/>
      </c>
      <c r="W146" s="642"/>
      <c r="X146" s="642" t="str">
        <f t="shared" si="17"/>
        <v/>
      </c>
      <c r="Y146" s="642"/>
      <c r="AL146" s="420" t="str">
        <f t="shared" si="24"/>
        <v/>
      </c>
      <c r="AM146" s="421">
        <f t="shared" si="28"/>
        <v>0</v>
      </c>
      <c r="AN146" s="637"/>
      <c r="AO146" s="637"/>
      <c r="AP146" s="634"/>
      <c r="AQ146" s="634"/>
      <c r="AR146" s="427"/>
      <c r="AS146" s="522" t="str">
        <f t="shared" si="25"/>
        <v/>
      </c>
    </row>
    <row r="147" spans="2:45" x14ac:dyDescent="0.25">
      <c r="B147" s="426" t="str">
        <f t="shared" si="21"/>
        <v/>
      </c>
      <c r="C147" s="423" t="str">
        <f t="shared" si="22"/>
        <v/>
      </c>
      <c r="D147" s="643" t="str">
        <f t="shared" si="26"/>
        <v/>
      </c>
      <c r="E147" s="643"/>
      <c r="F147" s="643" t="str">
        <f t="shared" si="18"/>
        <v/>
      </c>
      <c r="G147" s="643"/>
      <c r="H147" s="671">
        <f t="shared" si="19"/>
        <v>0</v>
      </c>
      <c r="I147" s="671"/>
      <c r="J147" s="640" t="str">
        <f t="shared" si="23"/>
        <v/>
      </c>
      <c r="K147" s="640"/>
      <c r="L147" s="631" t="str">
        <f t="shared" si="27"/>
        <v/>
      </c>
      <c r="M147" s="631"/>
      <c r="N147" s="631" t="str">
        <f>IF(B147="","",VLOOKUP(TRIM(CONCATENATE($F$20," ",$F$17," ",$F$18," ",$F$22," ",$F$21," ",$F$16," ",$F$23," ",$F$24)),Catalogo_Condicione_Financieras!B:W,22,0)*1.16)</f>
        <v/>
      </c>
      <c r="O147" s="631"/>
      <c r="P147" s="641"/>
      <c r="Q147" s="641"/>
      <c r="R147" s="631" t="str">
        <f>IF(OR(X146=0,X146=""),"",IF($F$21="Apoyo Infonavit",IF(D147&gt;=C147,0,MIN(IF($F$30="",0,Caratula!$F$30),$AL$30*25)*10%),0))</f>
        <v/>
      </c>
      <c r="S147" s="631"/>
      <c r="T147" s="424" t="str">
        <f>IF(B147="","",'Tabla_Puntual&amp;Relacionamiento'!$B$8)</f>
        <v/>
      </c>
      <c r="U147" s="424"/>
      <c r="V147" s="642" t="str">
        <f t="shared" si="20"/>
        <v/>
      </c>
      <c r="W147" s="642"/>
      <c r="X147" s="642" t="str">
        <f t="shared" si="17"/>
        <v/>
      </c>
      <c r="Y147" s="642"/>
      <c r="AL147" s="420" t="str">
        <f t="shared" si="24"/>
        <v/>
      </c>
      <c r="AM147" s="421">
        <f t="shared" si="28"/>
        <v>0</v>
      </c>
      <c r="AN147" s="637"/>
      <c r="AO147" s="637"/>
      <c r="AP147" s="634"/>
      <c r="AQ147" s="634"/>
      <c r="AR147" s="427"/>
      <c r="AS147" s="522" t="str">
        <f t="shared" si="25"/>
        <v/>
      </c>
    </row>
    <row r="148" spans="2:45" x14ac:dyDescent="0.25">
      <c r="B148" s="426" t="str">
        <f t="shared" si="21"/>
        <v/>
      </c>
      <c r="C148" s="423" t="str">
        <f t="shared" si="22"/>
        <v/>
      </c>
      <c r="D148" s="643" t="str">
        <f t="shared" si="26"/>
        <v/>
      </c>
      <c r="E148" s="643"/>
      <c r="F148" s="643" t="str">
        <f t="shared" si="18"/>
        <v/>
      </c>
      <c r="G148" s="643"/>
      <c r="H148" s="671">
        <f t="shared" si="19"/>
        <v>0</v>
      </c>
      <c r="I148" s="671"/>
      <c r="J148" s="640" t="str">
        <f t="shared" si="23"/>
        <v/>
      </c>
      <c r="K148" s="640"/>
      <c r="L148" s="631" t="str">
        <f t="shared" si="27"/>
        <v/>
      </c>
      <c r="M148" s="631"/>
      <c r="N148" s="631" t="str">
        <f>IF(B148="","",VLOOKUP(TRIM(CONCATENATE($F$20," ",$F$17," ",$F$18," ",$F$22," ",$F$21," ",$F$16," ",$F$23," ",$F$24)),Catalogo_Condicione_Financieras!B:W,22,0)*1.16)</f>
        <v/>
      </c>
      <c r="O148" s="631"/>
      <c r="P148" s="641"/>
      <c r="Q148" s="641"/>
      <c r="R148" s="631"/>
      <c r="S148" s="631"/>
      <c r="T148" s="424" t="str">
        <f>IF(B148="","",'Tabla_Puntual&amp;Relacionamiento'!$B$9)</f>
        <v/>
      </c>
      <c r="U148" s="424" t="str">
        <f>IF(B148="","",IF($F$16="Pago_Bajo_Puntual",0.019,""))</f>
        <v/>
      </c>
      <c r="V148" s="642" t="str">
        <f t="shared" si="20"/>
        <v/>
      </c>
      <c r="W148" s="642"/>
      <c r="X148" s="642" t="str">
        <f t="shared" si="17"/>
        <v/>
      </c>
      <c r="Y148" s="642"/>
      <c r="AL148" s="420" t="str">
        <f t="shared" si="24"/>
        <v/>
      </c>
      <c r="AM148" s="421">
        <f t="shared" si="28"/>
        <v>0</v>
      </c>
      <c r="AN148" s="637"/>
      <c r="AO148" s="637"/>
      <c r="AP148" s="634"/>
      <c r="AQ148" s="634"/>
      <c r="AR148" s="427"/>
      <c r="AS148" s="522" t="str">
        <f t="shared" si="25"/>
        <v/>
      </c>
    </row>
    <row r="149" spans="2:45" x14ac:dyDescent="0.25">
      <c r="B149" s="426" t="str">
        <f t="shared" si="21"/>
        <v/>
      </c>
      <c r="C149" s="423" t="str">
        <f t="shared" si="22"/>
        <v/>
      </c>
      <c r="D149" s="643" t="str">
        <f t="shared" si="26"/>
        <v/>
      </c>
      <c r="E149" s="643"/>
      <c r="F149" s="643" t="str">
        <f t="shared" si="18"/>
        <v/>
      </c>
      <c r="G149" s="643"/>
      <c r="H149" s="671">
        <f t="shared" si="19"/>
        <v>0</v>
      </c>
      <c r="I149" s="671"/>
      <c r="J149" s="640" t="str">
        <f t="shared" si="23"/>
        <v/>
      </c>
      <c r="K149" s="640"/>
      <c r="L149" s="631" t="str">
        <f t="shared" si="27"/>
        <v/>
      </c>
      <c r="M149" s="631"/>
      <c r="N149" s="631" t="str">
        <f>IF(B149="","",VLOOKUP(TRIM(CONCATENATE($F$20," ",$F$17," ",$F$18," ",$F$22," ",$F$21," ",$F$16," ",$F$23," ",$F$24)),Catalogo_Condicione_Financieras!B:W,22,0)*1.16)</f>
        <v/>
      </c>
      <c r="O149" s="631"/>
      <c r="P149" s="641"/>
      <c r="Q149" s="641"/>
      <c r="R149" s="631" t="str">
        <f>IF(OR(X148=0,X148=""),"",IF($F$21="Apoyo Infonavit",IF(D149&gt;=C149,0,MIN(IF($F$30="",0,Caratula!$F$30),$AL$30*25)*10%),0))</f>
        <v/>
      </c>
      <c r="S149" s="631"/>
      <c r="T149" s="424" t="str">
        <f>IF(B149="","",'Tabla_Puntual&amp;Relacionamiento'!$B$9)</f>
        <v/>
      </c>
      <c r="U149" s="424"/>
      <c r="V149" s="642" t="str">
        <f t="shared" si="20"/>
        <v/>
      </c>
      <c r="W149" s="642"/>
      <c r="X149" s="642" t="str">
        <f t="shared" si="17"/>
        <v/>
      </c>
      <c r="Y149" s="642"/>
      <c r="AL149" s="420" t="str">
        <f t="shared" si="24"/>
        <v/>
      </c>
      <c r="AM149" s="421">
        <f t="shared" si="28"/>
        <v>0</v>
      </c>
      <c r="AN149" s="637"/>
      <c r="AO149" s="637"/>
      <c r="AP149" s="634"/>
      <c r="AQ149" s="634"/>
      <c r="AR149" s="427"/>
      <c r="AS149" s="522" t="str">
        <f t="shared" si="25"/>
        <v/>
      </c>
    </row>
    <row r="150" spans="2:45" x14ac:dyDescent="0.25">
      <c r="B150" s="426" t="str">
        <f t="shared" si="21"/>
        <v/>
      </c>
      <c r="C150" s="423" t="str">
        <f t="shared" si="22"/>
        <v/>
      </c>
      <c r="D150" s="643" t="str">
        <f t="shared" si="26"/>
        <v/>
      </c>
      <c r="E150" s="643"/>
      <c r="F150" s="643" t="str">
        <f t="shared" si="18"/>
        <v/>
      </c>
      <c r="G150" s="643"/>
      <c r="H150" s="671">
        <f t="shared" si="19"/>
        <v>0</v>
      </c>
      <c r="I150" s="671"/>
      <c r="J150" s="640" t="str">
        <f t="shared" si="23"/>
        <v/>
      </c>
      <c r="K150" s="640"/>
      <c r="L150" s="631" t="str">
        <f t="shared" si="27"/>
        <v/>
      </c>
      <c r="M150" s="631"/>
      <c r="N150" s="631" t="str">
        <f>IF(B150="","",VLOOKUP(TRIM(CONCATENATE($F$20," ",$F$17," ",$F$18," ",$F$22," ",$F$21," ",$F$16," ",$F$23," ",$F$24)),Catalogo_Condicione_Financieras!B:W,22,0)*1.16)</f>
        <v/>
      </c>
      <c r="O150" s="631"/>
      <c r="P150" s="641"/>
      <c r="Q150" s="641"/>
      <c r="R150" s="631"/>
      <c r="S150" s="631"/>
      <c r="T150" s="424" t="str">
        <f>IF(B150="","",'Tabla_Puntual&amp;Relacionamiento'!$B$9)</f>
        <v/>
      </c>
      <c r="U150" s="424"/>
      <c r="V150" s="642" t="str">
        <f t="shared" si="20"/>
        <v/>
      </c>
      <c r="W150" s="642"/>
      <c r="X150" s="642" t="str">
        <f t="shared" si="17"/>
        <v/>
      </c>
      <c r="Y150" s="642"/>
      <c r="AL150" s="420" t="str">
        <f t="shared" si="24"/>
        <v/>
      </c>
      <c r="AM150" s="421">
        <f t="shared" si="28"/>
        <v>0</v>
      </c>
      <c r="AN150" s="637"/>
      <c r="AO150" s="637"/>
      <c r="AP150" s="634"/>
      <c r="AQ150" s="634"/>
      <c r="AR150" s="427"/>
      <c r="AS150" s="522" t="str">
        <f t="shared" si="25"/>
        <v/>
      </c>
    </row>
    <row r="151" spans="2:45" x14ac:dyDescent="0.25">
      <c r="B151" s="426" t="str">
        <f t="shared" si="21"/>
        <v/>
      </c>
      <c r="C151" s="423" t="str">
        <f t="shared" si="22"/>
        <v/>
      </c>
      <c r="D151" s="643" t="str">
        <f t="shared" si="26"/>
        <v/>
      </c>
      <c r="E151" s="643"/>
      <c r="F151" s="643" t="str">
        <f t="shared" si="18"/>
        <v/>
      </c>
      <c r="G151" s="643"/>
      <c r="H151" s="671">
        <f t="shared" si="19"/>
        <v>0</v>
      </c>
      <c r="I151" s="671"/>
      <c r="J151" s="640" t="str">
        <f t="shared" si="23"/>
        <v/>
      </c>
      <c r="K151" s="640"/>
      <c r="L151" s="631" t="str">
        <f t="shared" si="27"/>
        <v/>
      </c>
      <c r="M151" s="631"/>
      <c r="N151" s="631" t="str">
        <f>IF(B151="","",VLOOKUP(TRIM(CONCATENATE($F$20," ",$F$17," ",$F$18," ",$F$22," ",$F$21," ",$F$16," ",$F$23," ",$F$24)),Catalogo_Condicione_Financieras!B:W,22,0)*1.16)</f>
        <v/>
      </c>
      <c r="O151" s="631"/>
      <c r="P151" s="641"/>
      <c r="Q151" s="641"/>
      <c r="R151" s="631" t="str">
        <f>IF(OR(X150=0,X150=""),"",IF($F$21="Apoyo Infonavit",IF(D151&gt;=C151,0,MIN(IF($F$30="",0,Caratula!$F$30),$AL$30*25)*10%),0))</f>
        <v/>
      </c>
      <c r="S151" s="631"/>
      <c r="T151" s="424" t="str">
        <f>IF(B151="","",'Tabla_Puntual&amp;Relacionamiento'!$B$9)</f>
        <v/>
      </c>
      <c r="U151" s="424"/>
      <c r="V151" s="642" t="str">
        <f t="shared" si="20"/>
        <v/>
      </c>
      <c r="W151" s="642"/>
      <c r="X151" s="642" t="str">
        <f t="shared" si="17"/>
        <v/>
      </c>
      <c r="Y151" s="642"/>
      <c r="AL151" s="420" t="str">
        <f t="shared" si="24"/>
        <v/>
      </c>
      <c r="AM151" s="421">
        <f t="shared" si="28"/>
        <v>0</v>
      </c>
      <c r="AN151" s="637"/>
      <c r="AO151" s="637"/>
      <c r="AP151" s="634"/>
      <c r="AQ151" s="634"/>
      <c r="AR151" s="427"/>
      <c r="AS151" s="522" t="str">
        <f t="shared" si="25"/>
        <v/>
      </c>
    </row>
    <row r="152" spans="2:45" x14ac:dyDescent="0.25">
      <c r="B152" s="426" t="str">
        <f t="shared" si="21"/>
        <v/>
      </c>
      <c r="C152" s="423" t="str">
        <f t="shared" si="22"/>
        <v/>
      </c>
      <c r="D152" s="643" t="str">
        <f t="shared" si="26"/>
        <v/>
      </c>
      <c r="E152" s="643"/>
      <c r="F152" s="643" t="str">
        <f t="shared" si="18"/>
        <v/>
      </c>
      <c r="G152" s="643"/>
      <c r="H152" s="671">
        <f t="shared" si="19"/>
        <v>0</v>
      </c>
      <c r="I152" s="671"/>
      <c r="J152" s="640" t="str">
        <f t="shared" si="23"/>
        <v/>
      </c>
      <c r="K152" s="640"/>
      <c r="L152" s="631" t="str">
        <f t="shared" si="27"/>
        <v/>
      </c>
      <c r="M152" s="631"/>
      <c r="N152" s="631" t="str">
        <f>IF(B152="","",VLOOKUP(TRIM(CONCATENATE($F$20," ",$F$17," ",$F$18," ",$F$22," ",$F$21," ",$F$16," ",$F$23," ",$F$24)),Catalogo_Condicione_Financieras!B:W,22,0)*1.16)</f>
        <v/>
      </c>
      <c r="O152" s="631"/>
      <c r="P152" s="641"/>
      <c r="Q152" s="641"/>
      <c r="R152" s="631"/>
      <c r="S152" s="631"/>
      <c r="T152" s="424" t="str">
        <f>IF(B152="","",'Tabla_Puntual&amp;Relacionamiento'!$B$9)</f>
        <v/>
      </c>
      <c r="U152" s="424"/>
      <c r="V152" s="642" t="str">
        <f t="shared" si="20"/>
        <v/>
      </c>
      <c r="W152" s="642"/>
      <c r="X152" s="642" t="str">
        <f t="shared" si="17"/>
        <v/>
      </c>
      <c r="Y152" s="642"/>
      <c r="AL152" s="420" t="str">
        <f t="shared" si="24"/>
        <v/>
      </c>
      <c r="AM152" s="421">
        <f t="shared" si="28"/>
        <v>0</v>
      </c>
      <c r="AN152" s="637"/>
      <c r="AO152" s="637"/>
      <c r="AP152" s="634"/>
      <c r="AQ152" s="634"/>
      <c r="AR152" s="427"/>
      <c r="AS152" s="522" t="str">
        <f t="shared" si="25"/>
        <v/>
      </c>
    </row>
    <row r="153" spans="2:45" x14ac:dyDescent="0.25">
      <c r="B153" s="426" t="str">
        <f t="shared" si="21"/>
        <v/>
      </c>
      <c r="C153" s="423" t="str">
        <f t="shared" si="22"/>
        <v/>
      </c>
      <c r="D153" s="643" t="str">
        <f t="shared" si="26"/>
        <v/>
      </c>
      <c r="E153" s="643"/>
      <c r="F153" s="643" t="str">
        <f t="shared" si="18"/>
        <v/>
      </c>
      <c r="G153" s="643"/>
      <c r="H153" s="671">
        <f t="shared" si="19"/>
        <v>0</v>
      </c>
      <c r="I153" s="671"/>
      <c r="J153" s="640" t="str">
        <f t="shared" si="23"/>
        <v/>
      </c>
      <c r="K153" s="640"/>
      <c r="L153" s="631" t="str">
        <f t="shared" si="27"/>
        <v/>
      </c>
      <c r="M153" s="631"/>
      <c r="N153" s="631" t="str">
        <f>IF(B153="","",VLOOKUP(TRIM(CONCATENATE($F$20," ",$F$17," ",$F$18," ",$F$22," ",$F$21," ",$F$16," ",$F$23," ",$F$24)),Catalogo_Condicione_Financieras!B:W,22,0)*1.16)</f>
        <v/>
      </c>
      <c r="O153" s="631"/>
      <c r="P153" s="641"/>
      <c r="Q153" s="641"/>
      <c r="R153" s="631" t="str">
        <f>IF(OR(X152=0,X152=""),"",IF($F$21="Apoyo Infonavit",IF(D153&gt;=C153,0,MIN(IF($F$30="",0,Caratula!$F$30),$AL$30*25)*10%),0))</f>
        <v/>
      </c>
      <c r="S153" s="631"/>
      <c r="T153" s="424" t="str">
        <f>IF(B153="","",'Tabla_Puntual&amp;Relacionamiento'!$B$9)</f>
        <v/>
      </c>
      <c r="U153" s="424"/>
      <c r="V153" s="642" t="str">
        <f t="shared" si="20"/>
        <v/>
      </c>
      <c r="W153" s="642"/>
      <c r="X153" s="642" t="str">
        <f t="shared" si="17"/>
        <v/>
      </c>
      <c r="Y153" s="642"/>
      <c r="AL153" s="420" t="str">
        <f t="shared" si="24"/>
        <v/>
      </c>
      <c r="AM153" s="421">
        <f t="shared" si="28"/>
        <v>0</v>
      </c>
      <c r="AN153" s="637"/>
      <c r="AO153" s="637"/>
      <c r="AP153" s="634"/>
      <c r="AQ153" s="634"/>
      <c r="AR153" s="427"/>
      <c r="AS153" s="522" t="str">
        <f t="shared" si="25"/>
        <v/>
      </c>
    </row>
    <row r="154" spans="2:45" x14ac:dyDescent="0.25">
      <c r="B154" s="426" t="str">
        <f t="shared" si="21"/>
        <v/>
      </c>
      <c r="C154" s="423" t="str">
        <f t="shared" si="22"/>
        <v/>
      </c>
      <c r="D154" s="643" t="str">
        <f t="shared" si="26"/>
        <v/>
      </c>
      <c r="E154" s="643"/>
      <c r="F154" s="643" t="str">
        <f t="shared" si="18"/>
        <v/>
      </c>
      <c r="G154" s="643"/>
      <c r="H154" s="671">
        <f t="shared" si="19"/>
        <v>0</v>
      </c>
      <c r="I154" s="671"/>
      <c r="J154" s="640" t="str">
        <f t="shared" si="23"/>
        <v/>
      </c>
      <c r="K154" s="640"/>
      <c r="L154" s="631" t="str">
        <f t="shared" si="27"/>
        <v/>
      </c>
      <c r="M154" s="631"/>
      <c r="N154" s="631" t="str">
        <f>IF(B154="","",VLOOKUP(TRIM(CONCATENATE($F$20," ",$F$17," ",$F$18," ",$F$22," ",$F$21," ",$F$16," ",$F$23," ",$F$24)),Catalogo_Condicione_Financieras!B:W,22,0)*1.16)</f>
        <v/>
      </c>
      <c r="O154" s="631"/>
      <c r="P154" s="641"/>
      <c r="Q154" s="641"/>
      <c r="R154" s="631"/>
      <c r="S154" s="631"/>
      <c r="T154" s="424" t="str">
        <f>IF(B154="","",'Tabla_Puntual&amp;Relacionamiento'!$B$9)</f>
        <v/>
      </c>
      <c r="U154" s="424"/>
      <c r="V154" s="642" t="str">
        <f t="shared" si="20"/>
        <v/>
      </c>
      <c r="W154" s="642"/>
      <c r="X154" s="642" t="str">
        <f t="shared" si="17"/>
        <v/>
      </c>
      <c r="Y154" s="642"/>
      <c r="AL154" s="420" t="str">
        <f t="shared" si="24"/>
        <v/>
      </c>
      <c r="AM154" s="421">
        <f t="shared" si="28"/>
        <v>0</v>
      </c>
      <c r="AN154" s="637"/>
      <c r="AO154" s="637"/>
      <c r="AP154" s="634"/>
      <c r="AQ154" s="634"/>
      <c r="AR154" s="427"/>
      <c r="AS154" s="522" t="str">
        <f t="shared" si="25"/>
        <v/>
      </c>
    </row>
    <row r="155" spans="2:45" x14ac:dyDescent="0.25">
      <c r="B155" s="426" t="str">
        <f t="shared" si="21"/>
        <v/>
      </c>
      <c r="C155" s="423" t="str">
        <f t="shared" si="22"/>
        <v/>
      </c>
      <c r="D155" s="643" t="str">
        <f t="shared" si="26"/>
        <v/>
      </c>
      <c r="E155" s="643"/>
      <c r="F155" s="643" t="str">
        <f t="shared" si="18"/>
        <v/>
      </c>
      <c r="G155" s="643"/>
      <c r="H155" s="671">
        <f t="shared" si="19"/>
        <v>0</v>
      </c>
      <c r="I155" s="671"/>
      <c r="J155" s="640" t="str">
        <f t="shared" si="23"/>
        <v/>
      </c>
      <c r="K155" s="640"/>
      <c r="L155" s="631" t="str">
        <f t="shared" si="27"/>
        <v/>
      </c>
      <c r="M155" s="631"/>
      <c r="N155" s="631" t="str">
        <f>IF(B155="","",VLOOKUP(TRIM(CONCATENATE($F$20," ",$F$17," ",$F$18," ",$F$22," ",$F$21," ",$F$16," ",$F$23," ",$F$24)),Catalogo_Condicione_Financieras!B:W,22,0)*1.16)</f>
        <v/>
      </c>
      <c r="O155" s="631"/>
      <c r="P155" s="641"/>
      <c r="Q155" s="641"/>
      <c r="R155" s="631" t="str">
        <f>IF(OR(X154=0,X154=""),"",IF($F$21="Apoyo Infonavit",IF(D155&gt;=C155,0,MIN(IF($F$30="",0,Caratula!$F$30),$AL$30*25)*10%),0))</f>
        <v/>
      </c>
      <c r="S155" s="631"/>
      <c r="T155" s="424" t="str">
        <f>IF(B155="","",'Tabla_Puntual&amp;Relacionamiento'!$B$9)</f>
        <v/>
      </c>
      <c r="U155" s="424"/>
      <c r="V155" s="642" t="str">
        <f t="shared" si="20"/>
        <v/>
      </c>
      <c r="W155" s="642"/>
      <c r="X155" s="642" t="str">
        <f t="shared" si="17"/>
        <v/>
      </c>
      <c r="Y155" s="642"/>
      <c r="AL155" s="420" t="str">
        <f t="shared" si="24"/>
        <v/>
      </c>
      <c r="AM155" s="421">
        <f t="shared" si="28"/>
        <v>0</v>
      </c>
      <c r="AN155" s="637"/>
      <c r="AO155" s="637"/>
      <c r="AP155" s="634"/>
      <c r="AQ155" s="634"/>
      <c r="AR155" s="427"/>
      <c r="AS155" s="522" t="str">
        <f t="shared" si="25"/>
        <v/>
      </c>
    </row>
    <row r="156" spans="2:45" x14ac:dyDescent="0.25">
      <c r="B156" s="426" t="str">
        <f t="shared" si="21"/>
        <v/>
      </c>
      <c r="C156" s="423" t="str">
        <f t="shared" si="22"/>
        <v/>
      </c>
      <c r="D156" s="643" t="str">
        <f t="shared" si="26"/>
        <v/>
      </c>
      <c r="E156" s="643"/>
      <c r="F156" s="643" t="str">
        <f t="shared" si="18"/>
        <v/>
      </c>
      <c r="G156" s="643"/>
      <c r="H156" s="671">
        <f t="shared" si="19"/>
        <v>0</v>
      </c>
      <c r="I156" s="671"/>
      <c r="J156" s="640" t="str">
        <f t="shared" si="23"/>
        <v/>
      </c>
      <c r="K156" s="640"/>
      <c r="L156" s="631" t="str">
        <f t="shared" si="27"/>
        <v/>
      </c>
      <c r="M156" s="631"/>
      <c r="N156" s="631" t="str">
        <f>IF(B156="","",VLOOKUP(TRIM(CONCATENATE($F$20," ",$F$17," ",$F$18," ",$F$22," ",$F$21," ",$F$16," ",$F$23," ",$F$24)),Catalogo_Condicione_Financieras!B:W,22,0)*1.16)</f>
        <v/>
      </c>
      <c r="O156" s="631"/>
      <c r="P156" s="641"/>
      <c r="Q156" s="641"/>
      <c r="R156" s="631"/>
      <c r="S156" s="631"/>
      <c r="T156" s="424" t="str">
        <f>IF(B156="","",'Tabla_Puntual&amp;Relacionamiento'!$B$9)</f>
        <v/>
      </c>
      <c r="U156" s="424"/>
      <c r="V156" s="642" t="str">
        <f t="shared" si="20"/>
        <v/>
      </c>
      <c r="W156" s="642"/>
      <c r="X156" s="642" t="str">
        <f t="shared" si="17"/>
        <v/>
      </c>
      <c r="Y156" s="642"/>
      <c r="AL156" s="420" t="str">
        <f t="shared" si="24"/>
        <v/>
      </c>
      <c r="AM156" s="421">
        <f t="shared" si="28"/>
        <v>0</v>
      </c>
      <c r="AN156" s="637"/>
      <c r="AO156" s="637"/>
      <c r="AP156" s="634"/>
      <c r="AQ156" s="634"/>
      <c r="AR156" s="427"/>
      <c r="AS156" s="522" t="str">
        <f t="shared" si="25"/>
        <v/>
      </c>
    </row>
    <row r="157" spans="2:45" x14ac:dyDescent="0.25">
      <c r="B157" s="426" t="str">
        <f t="shared" si="21"/>
        <v/>
      </c>
      <c r="C157" s="423" t="str">
        <f t="shared" si="22"/>
        <v/>
      </c>
      <c r="D157" s="643" t="str">
        <f t="shared" si="26"/>
        <v/>
      </c>
      <c r="E157" s="643"/>
      <c r="F157" s="643" t="str">
        <f t="shared" si="18"/>
        <v/>
      </c>
      <c r="G157" s="643"/>
      <c r="H157" s="671">
        <f t="shared" si="19"/>
        <v>0</v>
      </c>
      <c r="I157" s="671"/>
      <c r="J157" s="640" t="str">
        <f t="shared" si="23"/>
        <v/>
      </c>
      <c r="K157" s="640"/>
      <c r="L157" s="631" t="str">
        <f t="shared" si="27"/>
        <v/>
      </c>
      <c r="M157" s="631"/>
      <c r="N157" s="631" t="str">
        <f>IF(B157="","",VLOOKUP(TRIM(CONCATENATE($F$20," ",$F$17," ",$F$18," ",$F$22," ",$F$21," ",$F$16," ",$F$23," ",$F$24)),Catalogo_Condicione_Financieras!B:W,22,0)*1.16)</f>
        <v/>
      </c>
      <c r="O157" s="631"/>
      <c r="P157" s="641"/>
      <c r="Q157" s="641"/>
      <c r="R157" s="631" t="str">
        <f>IF(OR(X156=0,X156=""),"",IF($F$21="Apoyo Infonavit",IF(D157&gt;=C157,0,MIN(IF($F$30="",0,Caratula!$F$30),$AL$30*25)*10%),0))</f>
        <v/>
      </c>
      <c r="S157" s="631"/>
      <c r="T157" s="424" t="str">
        <f>IF(B157="","",'Tabla_Puntual&amp;Relacionamiento'!$B$9)</f>
        <v/>
      </c>
      <c r="U157" s="424"/>
      <c r="V157" s="642" t="str">
        <f t="shared" si="20"/>
        <v/>
      </c>
      <c r="W157" s="642"/>
      <c r="X157" s="642" t="str">
        <f t="shared" si="17"/>
        <v/>
      </c>
      <c r="Y157" s="642"/>
      <c r="AL157" s="420" t="str">
        <f t="shared" si="24"/>
        <v/>
      </c>
      <c r="AM157" s="421">
        <f t="shared" si="28"/>
        <v>0</v>
      </c>
      <c r="AN157" s="637"/>
      <c r="AO157" s="637"/>
      <c r="AP157" s="634"/>
      <c r="AQ157" s="634"/>
      <c r="AR157" s="427"/>
      <c r="AS157" s="522" t="str">
        <f t="shared" si="25"/>
        <v/>
      </c>
    </row>
    <row r="158" spans="2:45" x14ac:dyDescent="0.25">
      <c r="B158" s="426" t="str">
        <f t="shared" si="21"/>
        <v/>
      </c>
      <c r="C158" s="423" t="str">
        <f t="shared" si="22"/>
        <v/>
      </c>
      <c r="D158" s="643" t="str">
        <f t="shared" si="26"/>
        <v/>
      </c>
      <c r="E158" s="643"/>
      <c r="F158" s="643" t="str">
        <f t="shared" si="18"/>
        <v/>
      </c>
      <c r="G158" s="643"/>
      <c r="H158" s="671">
        <f t="shared" si="19"/>
        <v>0</v>
      </c>
      <c r="I158" s="671"/>
      <c r="J158" s="640" t="str">
        <f t="shared" si="23"/>
        <v/>
      </c>
      <c r="K158" s="640"/>
      <c r="L158" s="631" t="str">
        <f t="shared" si="27"/>
        <v/>
      </c>
      <c r="M158" s="631"/>
      <c r="N158" s="631" t="str">
        <f>IF(B158="","",VLOOKUP(TRIM(CONCATENATE($F$20," ",$F$17," ",$F$18," ",$F$22," ",$F$21," ",$F$16," ",$F$23," ",$F$24)),Catalogo_Condicione_Financieras!B:W,22,0)*1.16)</f>
        <v/>
      </c>
      <c r="O158" s="631"/>
      <c r="P158" s="641"/>
      <c r="Q158" s="641"/>
      <c r="R158" s="631"/>
      <c r="S158" s="631"/>
      <c r="T158" s="424" t="str">
        <f>IF(B158="","",'Tabla_Puntual&amp;Relacionamiento'!$B$9)</f>
        <v/>
      </c>
      <c r="U158" s="424"/>
      <c r="V158" s="642" t="str">
        <f t="shared" si="20"/>
        <v/>
      </c>
      <c r="W158" s="642"/>
      <c r="X158" s="642" t="str">
        <f t="shared" si="17"/>
        <v/>
      </c>
      <c r="Y158" s="642"/>
      <c r="AL158" s="420" t="str">
        <f t="shared" si="24"/>
        <v/>
      </c>
      <c r="AM158" s="421">
        <f t="shared" si="28"/>
        <v>0</v>
      </c>
      <c r="AN158" s="637"/>
      <c r="AO158" s="637"/>
      <c r="AP158" s="634"/>
      <c r="AQ158" s="634"/>
      <c r="AR158" s="427"/>
      <c r="AS158" s="522" t="str">
        <f t="shared" si="25"/>
        <v/>
      </c>
    </row>
    <row r="159" spans="2:45" x14ac:dyDescent="0.25">
      <c r="B159" s="426" t="str">
        <f t="shared" si="21"/>
        <v/>
      </c>
      <c r="C159" s="423" t="str">
        <f t="shared" si="22"/>
        <v/>
      </c>
      <c r="D159" s="643" t="str">
        <f t="shared" si="26"/>
        <v/>
      </c>
      <c r="E159" s="643"/>
      <c r="F159" s="643" t="str">
        <f t="shared" si="18"/>
        <v/>
      </c>
      <c r="G159" s="643"/>
      <c r="H159" s="671">
        <f t="shared" si="19"/>
        <v>0</v>
      </c>
      <c r="I159" s="671"/>
      <c r="J159" s="640" t="str">
        <f t="shared" si="23"/>
        <v/>
      </c>
      <c r="K159" s="640"/>
      <c r="L159" s="631" t="str">
        <f t="shared" si="27"/>
        <v/>
      </c>
      <c r="M159" s="631"/>
      <c r="N159" s="631" t="str">
        <f>IF(B159="","",VLOOKUP(TRIM(CONCATENATE($F$20," ",$F$17," ",$F$18," ",$F$22," ",$F$21," ",$F$16," ",$F$23," ",$F$24)),Catalogo_Condicione_Financieras!B:W,22,0)*1.16)</f>
        <v/>
      </c>
      <c r="O159" s="631"/>
      <c r="P159" s="641"/>
      <c r="Q159" s="641"/>
      <c r="R159" s="631" t="str">
        <f>IF(OR(X158=0,X158=""),"",IF($F$21="Apoyo Infonavit",IF(D159&gt;=C159,0,MIN(IF($F$30="",0,Caratula!$F$30),$AL$30*25)*10%),0))</f>
        <v/>
      </c>
      <c r="S159" s="631"/>
      <c r="T159" s="424" t="str">
        <f>IF(B159="","",'Tabla_Puntual&amp;Relacionamiento'!$B$9)</f>
        <v/>
      </c>
      <c r="U159" s="424"/>
      <c r="V159" s="642" t="str">
        <f t="shared" si="20"/>
        <v/>
      </c>
      <c r="W159" s="642"/>
      <c r="X159" s="642" t="str">
        <f t="shared" si="17"/>
        <v/>
      </c>
      <c r="Y159" s="642"/>
      <c r="AL159" s="420" t="str">
        <f t="shared" si="24"/>
        <v/>
      </c>
      <c r="AM159" s="421">
        <f t="shared" si="28"/>
        <v>0</v>
      </c>
      <c r="AN159" s="637"/>
      <c r="AO159" s="637"/>
      <c r="AP159" s="634"/>
      <c r="AQ159" s="634"/>
      <c r="AR159" s="427"/>
      <c r="AS159" s="522" t="str">
        <f t="shared" si="25"/>
        <v/>
      </c>
    </row>
    <row r="160" spans="2:45" x14ac:dyDescent="0.25">
      <c r="B160" s="426" t="str">
        <f t="shared" si="21"/>
        <v/>
      </c>
      <c r="C160" s="423" t="str">
        <f t="shared" si="22"/>
        <v/>
      </c>
      <c r="D160" s="643" t="str">
        <f t="shared" si="26"/>
        <v/>
      </c>
      <c r="E160" s="643"/>
      <c r="F160" s="643" t="str">
        <f t="shared" si="18"/>
        <v/>
      </c>
      <c r="G160" s="643"/>
      <c r="H160" s="671">
        <f t="shared" si="19"/>
        <v>0</v>
      </c>
      <c r="I160" s="671"/>
      <c r="J160" s="640" t="str">
        <f t="shared" si="23"/>
        <v/>
      </c>
      <c r="K160" s="640"/>
      <c r="L160" s="631" t="str">
        <f t="shared" si="27"/>
        <v/>
      </c>
      <c r="M160" s="631"/>
      <c r="N160" s="631" t="str">
        <f>IF(B160="","",VLOOKUP(TRIM(CONCATENATE($F$20," ",$F$17," ",$F$18," ",$F$22," ",$F$21," ",$F$16," ",$F$23," ",$F$24)),Catalogo_Condicione_Financieras!B:W,22,0)*1.16)</f>
        <v/>
      </c>
      <c r="O160" s="631"/>
      <c r="P160" s="641"/>
      <c r="Q160" s="641"/>
      <c r="R160" s="631"/>
      <c r="S160" s="631"/>
      <c r="T160" s="424" t="str">
        <f>IF(B160="","",'Tabla_Puntual&amp;Relacionamiento'!$B$10)</f>
        <v/>
      </c>
      <c r="U160" s="424" t="str">
        <f>IF(B160="","",IF($F$16="Pago_Bajo_Puntual",0.019,""))</f>
        <v/>
      </c>
      <c r="V160" s="642" t="str">
        <f t="shared" si="20"/>
        <v/>
      </c>
      <c r="W160" s="642"/>
      <c r="X160" s="642" t="str">
        <f t="shared" si="17"/>
        <v/>
      </c>
      <c r="Y160" s="642"/>
      <c r="AL160" s="420" t="str">
        <f t="shared" si="24"/>
        <v/>
      </c>
      <c r="AM160" s="421">
        <f t="shared" si="28"/>
        <v>0</v>
      </c>
      <c r="AN160" s="637"/>
      <c r="AO160" s="637"/>
      <c r="AP160" s="634"/>
      <c r="AQ160" s="634"/>
      <c r="AR160" s="427"/>
      <c r="AS160" s="522" t="str">
        <f t="shared" si="25"/>
        <v/>
      </c>
    </row>
    <row r="161" spans="2:45" x14ac:dyDescent="0.25">
      <c r="B161" s="426" t="str">
        <f t="shared" si="21"/>
        <v/>
      </c>
      <c r="C161" s="423" t="str">
        <f t="shared" si="22"/>
        <v/>
      </c>
      <c r="D161" s="643" t="str">
        <f t="shared" si="26"/>
        <v/>
      </c>
      <c r="E161" s="643"/>
      <c r="F161" s="643" t="str">
        <f t="shared" si="18"/>
        <v/>
      </c>
      <c r="G161" s="643"/>
      <c r="H161" s="671">
        <f t="shared" si="19"/>
        <v>0</v>
      </c>
      <c r="I161" s="671"/>
      <c r="J161" s="640" t="str">
        <f t="shared" si="23"/>
        <v/>
      </c>
      <c r="K161" s="640"/>
      <c r="L161" s="631" t="str">
        <f t="shared" si="27"/>
        <v/>
      </c>
      <c r="M161" s="631"/>
      <c r="N161" s="631" t="str">
        <f>IF(B161="","",VLOOKUP(TRIM(CONCATENATE($F$20," ",$F$17," ",$F$18," ",$F$22," ",$F$21," ",$F$16," ",$F$23," ",$F$24)),Catalogo_Condicione_Financieras!B:W,22,0)*1.16)</f>
        <v/>
      </c>
      <c r="O161" s="631"/>
      <c r="P161" s="641"/>
      <c r="Q161" s="641"/>
      <c r="R161" s="631" t="str">
        <f>IF(OR(X160=0,X160=""),"",IF($F$21="Apoyo Infonavit",IF(D161&gt;=C161,0,MIN(IF($F$30="",0,Caratula!$F$30),$AL$30*25)*10%),0))</f>
        <v/>
      </c>
      <c r="S161" s="631"/>
      <c r="T161" s="424" t="str">
        <f>IF(B161="","",'Tabla_Puntual&amp;Relacionamiento'!$B$10)</f>
        <v/>
      </c>
      <c r="U161" s="424"/>
      <c r="V161" s="642" t="str">
        <f t="shared" si="20"/>
        <v/>
      </c>
      <c r="W161" s="642"/>
      <c r="X161" s="642" t="str">
        <f t="shared" si="17"/>
        <v/>
      </c>
      <c r="Y161" s="642"/>
      <c r="AL161" s="420" t="str">
        <f t="shared" si="24"/>
        <v/>
      </c>
      <c r="AM161" s="421">
        <f t="shared" si="28"/>
        <v>0</v>
      </c>
      <c r="AN161" s="637"/>
      <c r="AO161" s="637"/>
      <c r="AP161" s="634"/>
      <c r="AQ161" s="634"/>
      <c r="AR161" s="427"/>
      <c r="AS161" s="522" t="str">
        <f t="shared" si="25"/>
        <v/>
      </c>
    </row>
    <row r="162" spans="2:45" x14ac:dyDescent="0.25">
      <c r="B162" s="426" t="str">
        <f t="shared" si="21"/>
        <v/>
      </c>
      <c r="C162" s="423" t="str">
        <f t="shared" si="22"/>
        <v/>
      </c>
      <c r="D162" s="643" t="str">
        <f t="shared" si="26"/>
        <v/>
      </c>
      <c r="E162" s="643"/>
      <c r="F162" s="643" t="str">
        <f t="shared" si="18"/>
        <v/>
      </c>
      <c r="G162" s="643"/>
      <c r="H162" s="671">
        <f t="shared" si="19"/>
        <v>0</v>
      </c>
      <c r="I162" s="671"/>
      <c r="J162" s="640" t="str">
        <f t="shared" si="23"/>
        <v/>
      </c>
      <c r="K162" s="640"/>
      <c r="L162" s="631" t="str">
        <f t="shared" si="27"/>
        <v/>
      </c>
      <c r="M162" s="631"/>
      <c r="N162" s="631" t="str">
        <f>IF(B162="","",VLOOKUP(TRIM(CONCATENATE($F$20," ",$F$17," ",$F$18," ",$F$22," ",$F$21," ",$F$16," ",$F$23," ",$F$24)),Catalogo_Condicione_Financieras!B:W,22,0)*1.16)</f>
        <v/>
      </c>
      <c r="O162" s="631"/>
      <c r="P162" s="641"/>
      <c r="Q162" s="641"/>
      <c r="R162" s="631"/>
      <c r="S162" s="631"/>
      <c r="T162" s="424" t="str">
        <f>IF(B162="","",'Tabla_Puntual&amp;Relacionamiento'!$B$10)</f>
        <v/>
      </c>
      <c r="U162" s="424"/>
      <c r="V162" s="642" t="str">
        <f t="shared" si="20"/>
        <v/>
      </c>
      <c r="W162" s="642"/>
      <c r="X162" s="642" t="str">
        <f t="shared" si="17"/>
        <v/>
      </c>
      <c r="Y162" s="642"/>
      <c r="AL162" s="420" t="str">
        <f t="shared" si="24"/>
        <v/>
      </c>
      <c r="AM162" s="421">
        <f t="shared" si="28"/>
        <v>0</v>
      </c>
      <c r="AN162" s="637"/>
      <c r="AO162" s="637"/>
      <c r="AP162" s="634"/>
      <c r="AQ162" s="634"/>
      <c r="AR162" s="427"/>
      <c r="AS162" s="522" t="str">
        <f t="shared" si="25"/>
        <v/>
      </c>
    </row>
    <row r="163" spans="2:45" x14ac:dyDescent="0.25">
      <c r="B163" s="426" t="str">
        <f t="shared" si="21"/>
        <v/>
      </c>
      <c r="C163" s="423" t="str">
        <f t="shared" si="22"/>
        <v/>
      </c>
      <c r="D163" s="643" t="str">
        <f t="shared" si="26"/>
        <v/>
      </c>
      <c r="E163" s="643"/>
      <c r="F163" s="643" t="str">
        <f t="shared" si="18"/>
        <v/>
      </c>
      <c r="G163" s="643"/>
      <c r="H163" s="671">
        <f t="shared" si="19"/>
        <v>0</v>
      </c>
      <c r="I163" s="671"/>
      <c r="J163" s="640" t="str">
        <f t="shared" si="23"/>
        <v/>
      </c>
      <c r="K163" s="640"/>
      <c r="L163" s="631" t="str">
        <f t="shared" si="27"/>
        <v/>
      </c>
      <c r="M163" s="631"/>
      <c r="N163" s="631" t="str">
        <f>IF(B163="","",VLOOKUP(TRIM(CONCATENATE($F$20," ",$F$17," ",$F$18," ",$F$22," ",$F$21," ",$F$16," ",$F$23," ",$F$24)),Catalogo_Condicione_Financieras!B:W,22,0)*1.16)</f>
        <v/>
      </c>
      <c r="O163" s="631"/>
      <c r="P163" s="641"/>
      <c r="Q163" s="641"/>
      <c r="R163" s="631" t="str">
        <f>IF(OR(X162=0,X162=""),"",IF($F$21="Apoyo Infonavit",IF(D163&gt;=C163,0,MIN(IF($F$30="",0,Caratula!$F$30),$AL$30*25)*10%),0))</f>
        <v/>
      </c>
      <c r="S163" s="631"/>
      <c r="T163" s="424" t="str">
        <f>IF(B163="","",'Tabla_Puntual&amp;Relacionamiento'!$B$10)</f>
        <v/>
      </c>
      <c r="U163" s="424"/>
      <c r="V163" s="642" t="str">
        <f t="shared" si="20"/>
        <v/>
      </c>
      <c r="W163" s="642"/>
      <c r="X163" s="642" t="str">
        <f t="shared" si="17"/>
        <v/>
      </c>
      <c r="Y163" s="642"/>
      <c r="AL163" s="420" t="str">
        <f t="shared" si="24"/>
        <v/>
      </c>
      <c r="AM163" s="421">
        <f t="shared" si="28"/>
        <v>0</v>
      </c>
      <c r="AN163" s="637"/>
      <c r="AO163" s="637"/>
      <c r="AP163" s="634"/>
      <c r="AQ163" s="634"/>
      <c r="AR163" s="427"/>
      <c r="AS163" s="522" t="str">
        <f t="shared" si="25"/>
        <v/>
      </c>
    </row>
    <row r="164" spans="2:45" x14ac:dyDescent="0.25">
      <c r="B164" s="426" t="str">
        <f t="shared" si="21"/>
        <v/>
      </c>
      <c r="C164" s="423" t="str">
        <f t="shared" si="22"/>
        <v/>
      </c>
      <c r="D164" s="643" t="str">
        <f t="shared" si="26"/>
        <v/>
      </c>
      <c r="E164" s="643"/>
      <c r="F164" s="643" t="str">
        <f t="shared" si="18"/>
        <v/>
      </c>
      <c r="G164" s="643"/>
      <c r="H164" s="671">
        <f t="shared" si="19"/>
        <v>0</v>
      </c>
      <c r="I164" s="671"/>
      <c r="J164" s="640" t="str">
        <f t="shared" si="23"/>
        <v/>
      </c>
      <c r="K164" s="640"/>
      <c r="L164" s="631" t="str">
        <f t="shared" si="27"/>
        <v/>
      </c>
      <c r="M164" s="631"/>
      <c r="N164" s="631" t="str">
        <f>IF(B164="","",VLOOKUP(TRIM(CONCATENATE($F$20," ",$F$17," ",$F$18," ",$F$22," ",$F$21," ",$F$16," ",$F$23," ",$F$24)),Catalogo_Condicione_Financieras!B:W,22,0)*1.16)</f>
        <v/>
      </c>
      <c r="O164" s="631"/>
      <c r="P164" s="641"/>
      <c r="Q164" s="641"/>
      <c r="R164" s="631"/>
      <c r="S164" s="631"/>
      <c r="T164" s="424" t="str">
        <f>IF(B164="","",'Tabla_Puntual&amp;Relacionamiento'!$B$10)</f>
        <v/>
      </c>
      <c r="U164" s="424"/>
      <c r="V164" s="642" t="str">
        <f t="shared" si="20"/>
        <v/>
      </c>
      <c r="W164" s="642"/>
      <c r="X164" s="642" t="str">
        <f t="shared" si="17"/>
        <v/>
      </c>
      <c r="Y164" s="642"/>
      <c r="AL164" s="420" t="str">
        <f t="shared" si="24"/>
        <v/>
      </c>
      <c r="AM164" s="421">
        <f t="shared" si="28"/>
        <v>0</v>
      </c>
      <c r="AN164" s="637"/>
      <c r="AO164" s="637"/>
      <c r="AP164" s="634"/>
      <c r="AQ164" s="634"/>
      <c r="AR164" s="427"/>
      <c r="AS164" s="522" t="str">
        <f t="shared" si="25"/>
        <v/>
      </c>
    </row>
    <row r="165" spans="2:45" x14ac:dyDescent="0.25">
      <c r="B165" s="426" t="str">
        <f t="shared" si="21"/>
        <v/>
      </c>
      <c r="C165" s="423" t="str">
        <f t="shared" si="22"/>
        <v/>
      </c>
      <c r="D165" s="643" t="str">
        <f t="shared" si="26"/>
        <v/>
      </c>
      <c r="E165" s="643"/>
      <c r="F165" s="643" t="str">
        <f t="shared" si="18"/>
        <v/>
      </c>
      <c r="G165" s="643"/>
      <c r="H165" s="671">
        <f t="shared" si="19"/>
        <v>0</v>
      </c>
      <c r="I165" s="671"/>
      <c r="J165" s="640" t="str">
        <f t="shared" si="23"/>
        <v/>
      </c>
      <c r="K165" s="640"/>
      <c r="L165" s="631" t="str">
        <f t="shared" si="27"/>
        <v/>
      </c>
      <c r="M165" s="631"/>
      <c r="N165" s="631" t="str">
        <f>IF(B165="","",VLOOKUP(TRIM(CONCATENATE($F$20," ",$F$17," ",$F$18," ",$F$22," ",$F$21," ",$F$16," ",$F$23," ",$F$24)),Catalogo_Condicione_Financieras!B:W,22,0)*1.16)</f>
        <v/>
      </c>
      <c r="O165" s="631"/>
      <c r="P165" s="641"/>
      <c r="Q165" s="641"/>
      <c r="R165" s="631" t="str">
        <f>IF(OR(X164=0,X164=""),"",IF($F$21="Apoyo Infonavit",IF(D165&gt;=C165,0,MIN(IF($F$30="",0,Caratula!$F$30),$AL$30*25)*10%),0))</f>
        <v/>
      </c>
      <c r="S165" s="631"/>
      <c r="T165" s="424" t="str">
        <f>IF(B165="","",'Tabla_Puntual&amp;Relacionamiento'!$B$10)</f>
        <v/>
      </c>
      <c r="U165" s="424"/>
      <c r="V165" s="642" t="str">
        <f t="shared" si="20"/>
        <v/>
      </c>
      <c r="W165" s="642"/>
      <c r="X165" s="642" t="str">
        <f t="shared" si="17"/>
        <v/>
      </c>
      <c r="Y165" s="642"/>
      <c r="AL165" s="420" t="str">
        <f t="shared" si="24"/>
        <v/>
      </c>
      <c r="AM165" s="421">
        <f t="shared" si="28"/>
        <v>0</v>
      </c>
      <c r="AN165" s="637"/>
      <c r="AO165" s="637"/>
      <c r="AP165" s="634"/>
      <c r="AQ165" s="634"/>
      <c r="AR165" s="427"/>
      <c r="AS165" s="522" t="str">
        <f t="shared" si="25"/>
        <v/>
      </c>
    </row>
    <row r="166" spans="2:45" x14ac:dyDescent="0.25">
      <c r="B166" s="426" t="str">
        <f t="shared" si="21"/>
        <v/>
      </c>
      <c r="C166" s="423" t="str">
        <f t="shared" si="22"/>
        <v/>
      </c>
      <c r="D166" s="643" t="str">
        <f t="shared" si="26"/>
        <v/>
      </c>
      <c r="E166" s="643"/>
      <c r="F166" s="643" t="str">
        <f t="shared" si="18"/>
        <v/>
      </c>
      <c r="G166" s="643"/>
      <c r="H166" s="671">
        <f t="shared" si="19"/>
        <v>0</v>
      </c>
      <c r="I166" s="671"/>
      <c r="J166" s="640" t="str">
        <f t="shared" si="23"/>
        <v/>
      </c>
      <c r="K166" s="640"/>
      <c r="L166" s="631" t="str">
        <f t="shared" si="27"/>
        <v/>
      </c>
      <c r="M166" s="631"/>
      <c r="N166" s="631" t="str">
        <f>IF(B166="","",VLOOKUP(TRIM(CONCATENATE($F$20," ",$F$17," ",$F$18," ",$F$22," ",$F$21," ",$F$16," ",$F$23," ",$F$24)),Catalogo_Condicione_Financieras!B:W,22,0)*1.16)</f>
        <v/>
      </c>
      <c r="O166" s="631"/>
      <c r="P166" s="641"/>
      <c r="Q166" s="641"/>
      <c r="R166" s="631"/>
      <c r="S166" s="631"/>
      <c r="T166" s="424" t="str">
        <f>IF(B166="","",'Tabla_Puntual&amp;Relacionamiento'!$B$10)</f>
        <v/>
      </c>
      <c r="U166" s="424"/>
      <c r="V166" s="642" t="str">
        <f t="shared" si="20"/>
        <v/>
      </c>
      <c r="W166" s="642"/>
      <c r="X166" s="642" t="str">
        <f t="shared" si="17"/>
        <v/>
      </c>
      <c r="Y166" s="642"/>
      <c r="AL166" s="420" t="str">
        <f t="shared" si="24"/>
        <v/>
      </c>
      <c r="AM166" s="421">
        <f t="shared" si="28"/>
        <v>0</v>
      </c>
      <c r="AN166" s="637"/>
      <c r="AO166" s="637"/>
      <c r="AP166" s="634"/>
      <c r="AQ166" s="634"/>
      <c r="AR166" s="427"/>
      <c r="AS166" s="522" t="str">
        <f t="shared" si="25"/>
        <v/>
      </c>
    </row>
    <row r="167" spans="2:45" x14ac:dyDescent="0.25">
      <c r="B167" s="426" t="str">
        <f t="shared" si="21"/>
        <v/>
      </c>
      <c r="C167" s="423" t="str">
        <f t="shared" si="22"/>
        <v/>
      </c>
      <c r="D167" s="643" t="str">
        <f t="shared" si="26"/>
        <v/>
      </c>
      <c r="E167" s="643"/>
      <c r="F167" s="643" t="str">
        <f t="shared" si="18"/>
        <v/>
      </c>
      <c r="G167" s="643"/>
      <c r="H167" s="671">
        <f t="shared" si="19"/>
        <v>0</v>
      </c>
      <c r="I167" s="671"/>
      <c r="J167" s="640" t="str">
        <f t="shared" si="23"/>
        <v/>
      </c>
      <c r="K167" s="640"/>
      <c r="L167" s="631" t="str">
        <f t="shared" si="27"/>
        <v/>
      </c>
      <c r="M167" s="631"/>
      <c r="N167" s="631" t="str">
        <f>IF(B167="","",VLOOKUP(TRIM(CONCATENATE($F$20," ",$F$17," ",$F$18," ",$F$22," ",$F$21," ",$F$16," ",$F$23," ",$F$24)),Catalogo_Condicione_Financieras!B:W,22,0)*1.16)</f>
        <v/>
      </c>
      <c r="O167" s="631"/>
      <c r="P167" s="641"/>
      <c r="Q167" s="641"/>
      <c r="R167" s="631" t="str">
        <f>IF(OR(X166=0,X166=""),"",IF($F$21="Apoyo Infonavit",IF(D167&gt;=C167,0,MIN(IF($F$30="",0,Caratula!$F$30),$AL$30*25)*10%),0))</f>
        <v/>
      </c>
      <c r="S167" s="631"/>
      <c r="T167" s="424" t="str">
        <f>IF(B167="","",'Tabla_Puntual&amp;Relacionamiento'!$B$10)</f>
        <v/>
      </c>
      <c r="U167" s="424"/>
      <c r="V167" s="642" t="str">
        <f t="shared" si="20"/>
        <v/>
      </c>
      <c r="W167" s="642"/>
      <c r="X167" s="642" t="str">
        <f t="shared" si="17"/>
        <v/>
      </c>
      <c r="Y167" s="642"/>
      <c r="AL167" s="420" t="str">
        <f t="shared" si="24"/>
        <v/>
      </c>
      <c r="AM167" s="421">
        <f t="shared" si="28"/>
        <v>0</v>
      </c>
      <c r="AN167" s="637"/>
      <c r="AO167" s="637"/>
      <c r="AP167" s="634"/>
      <c r="AQ167" s="634"/>
      <c r="AR167" s="427"/>
      <c r="AS167" s="522" t="str">
        <f t="shared" si="25"/>
        <v/>
      </c>
    </row>
    <row r="168" spans="2:45" x14ac:dyDescent="0.25">
      <c r="B168" s="426" t="str">
        <f t="shared" si="21"/>
        <v/>
      </c>
      <c r="C168" s="423" t="str">
        <f t="shared" si="22"/>
        <v/>
      </c>
      <c r="D168" s="643" t="str">
        <f t="shared" si="26"/>
        <v/>
      </c>
      <c r="E168" s="643"/>
      <c r="F168" s="643" t="str">
        <f t="shared" si="18"/>
        <v/>
      </c>
      <c r="G168" s="643"/>
      <c r="H168" s="671">
        <f t="shared" si="19"/>
        <v>0</v>
      </c>
      <c r="I168" s="671"/>
      <c r="J168" s="640" t="str">
        <f t="shared" si="23"/>
        <v/>
      </c>
      <c r="K168" s="640"/>
      <c r="L168" s="631" t="str">
        <f t="shared" si="27"/>
        <v/>
      </c>
      <c r="M168" s="631"/>
      <c r="N168" s="631" t="str">
        <f>IF(B168="","",VLOOKUP(TRIM(CONCATENATE($F$20," ",$F$17," ",$F$18," ",$F$22," ",$F$21," ",$F$16," ",$F$23," ",$F$24)),Catalogo_Condicione_Financieras!B:W,22,0)*1.16)</f>
        <v/>
      </c>
      <c r="O168" s="631"/>
      <c r="P168" s="641"/>
      <c r="Q168" s="641"/>
      <c r="R168" s="631"/>
      <c r="S168" s="631"/>
      <c r="T168" s="424" t="str">
        <f>IF(B168="","",'Tabla_Puntual&amp;Relacionamiento'!$B$10)</f>
        <v/>
      </c>
      <c r="U168" s="424"/>
      <c r="V168" s="642" t="str">
        <f t="shared" si="20"/>
        <v/>
      </c>
      <c r="W168" s="642"/>
      <c r="X168" s="642" t="str">
        <f t="shared" si="17"/>
        <v/>
      </c>
      <c r="Y168" s="642"/>
      <c r="AL168" s="420" t="str">
        <f t="shared" si="24"/>
        <v/>
      </c>
      <c r="AM168" s="421">
        <f t="shared" si="28"/>
        <v>0</v>
      </c>
      <c r="AN168" s="637"/>
      <c r="AO168" s="637"/>
      <c r="AP168" s="634"/>
      <c r="AQ168" s="634"/>
      <c r="AR168" s="427"/>
      <c r="AS168" s="522" t="str">
        <f t="shared" si="25"/>
        <v/>
      </c>
    </row>
    <row r="169" spans="2:45" x14ac:dyDescent="0.25">
      <c r="B169" s="426" t="str">
        <f t="shared" si="21"/>
        <v/>
      </c>
      <c r="C169" s="423" t="str">
        <f t="shared" si="22"/>
        <v/>
      </c>
      <c r="D169" s="643" t="str">
        <f t="shared" si="26"/>
        <v/>
      </c>
      <c r="E169" s="643"/>
      <c r="F169" s="643" t="str">
        <f t="shared" si="18"/>
        <v/>
      </c>
      <c r="G169" s="643"/>
      <c r="H169" s="671">
        <f t="shared" si="19"/>
        <v>0</v>
      </c>
      <c r="I169" s="671"/>
      <c r="J169" s="640" t="str">
        <f t="shared" si="23"/>
        <v/>
      </c>
      <c r="K169" s="640"/>
      <c r="L169" s="631" t="str">
        <f t="shared" si="27"/>
        <v/>
      </c>
      <c r="M169" s="631"/>
      <c r="N169" s="631" t="str">
        <f>IF(B169="","",VLOOKUP(TRIM(CONCATENATE($F$20," ",$F$17," ",$F$18," ",$F$22," ",$F$21," ",$F$16," ",$F$23," ",$F$24)),Catalogo_Condicione_Financieras!B:W,22,0)*1.16)</f>
        <v/>
      </c>
      <c r="O169" s="631"/>
      <c r="P169" s="641"/>
      <c r="Q169" s="641"/>
      <c r="R169" s="631" t="str">
        <f>IF(OR(X168=0,X168=""),"",IF($F$21="Apoyo Infonavit",IF(D169&gt;=C169,0,MIN(IF($F$30="",0,Caratula!$F$30),$AL$30*25)*10%),0))</f>
        <v/>
      </c>
      <c r="S169" s="631"/>
      <c r="T169" s="424" t="str">
        <f>IF(B169="","",'Tabla_Puntual&amp;Relacionamiento'!$B$10)</f>
        <v/>
      </c>
      <c r="U169" s="424"/>
      <c r="V169" s="642" t="str">
        <f t="shared" si="20"/>
        <v/>
      </c>
      <c r="W169" s="642"/>
      <c r="X169" s="642" t="str">
        <f t="shared" si="17"/>
        <v/>
      </c>
      <c r="Y169" s="642"/>
      <c r="AL169" s="420" t="str">
        <f t="shared" si="24"/>
        <v/>
      </c>
      <c r="AM169" s="421">
        <f t="shared" si="28"/>
        <v>0</v>
      </c>
      <c r="AN169" s="637"/>
      <c r="AO169" s="637"/>
      <c r="AP169" s="634"/>
      <c r="AQ169" s="634"/>
      <c r="AR169" s="427"/>
      <c r="AS169" s="522" t="str">
        <f t="shared" si="25"/>
        <v/>
      </c>
    </row>
    <row r="170" spans="2:45" x14ac:dyDescent="0.25">
      <c r="B170" s="426" t="str">
        <f t="shared" si="21"/>
        <v/>
      </c>
      <c r="C170" s="423" t="str">
        <f t="shared" si="22"/>
        <v/>
      </c>
      <c r="D170" s="643" t="str">
        <f t="shared" si="26"/>
        <v/>
      </c>
      <c r="E170" s="643"/>
      <c r="F170" s="643" t="str">
        <f t="shared" si="18"/>
        <v/>
      </c>
      <c r="G170" s="643"/>
      <c r="H170" s="671">
        <f t="shared" si="19"/>
        <v>0</v>
      </c>
      <c r="I170" s="671"/>
      <c r="J170" s="640" t="str">
        <f t="shared" si="23"/>
        <v/>
      </c>
      <c r="K170" s="640"/>
      <c r="L170" s="631" t="str">
        <f t="shared" si="27"/>
        <v/>
      </c>
      <c r="M170" s="631"/>
      <c r="N170" s="631" t="str">
        <f>IF(B170="","",VLOOKUP(TRIM(CONCATENATE($F$20," ",$F$17," ",$F$18," ",$F$22," ",$F$21," ",$F$16," ",$F$23," ",$F$24)),Catalogo_Condicione_Financieras!B:W,22,0)*1.16)</f>
        <v/>
      </c>
      <c r="O170" s="631"/>
      <c r="P170" s="641"/>
      <c r="Q170" s="641"/>
      <c r="R170" s="631"/>
      <c r="S170" s="631"/>
      <c r="T170" s="424" t="str">
        <f>IF(B170="","",'Tabla_Puntual&amp;Relacionamiento'!$B$10)</f>
        <v/>
      </c>
      <c r="U170" s="424"/>
      <c r="V170" s="642" t="str">
        <f t="shared" si="20"/>
        <v/>
      </c>
      <c r="W170" s="642"/>
      <c r="X170" s="642" t="str">
        <f t="shared" si="17"/>
        <v/>
      </c>
      <c r="Y170" s="642"/>
      <c r="AL170" s="420" t="str">
        <f t="shared" si="24"/>
        <v/>
      </c>
      <c r="AM170" s="421">
        <f t="shared" si="28"/>
        <v>0</v>
      </c>
      <c r="AN170" s="637"/>
      <c r="AO170" s="637"/>
      <c r="AP170" s="634"/>
      <c r="AQ170" s="634"/>
      <c r="AR170" s="427"/>
      <c r="AS170" s="522" t="str">
        <f t="shared" si="25"/>
        <v/>
      </c>
    </row>
    <row r="171" spans="2:45" x14ac:dyDescent="0.25">
      <c r="B171" s="426" t="str">
        <f t="shared" si="21"/>
        <v/>
      </c>
      <c r="C171" s="423" t="str">
        <f t="shared" si="22"/>
        <v/>
      </c>
      <c r="D171" s="643" t="str">
        <f t="shared" si="26"/>
        <v/>
      </c>
      <c r="E171" s="643"/>
      <c r="F171" s="643" t="str">
        <f t="shared" si="18"/>
        <v/>
      </c>
      <c r="G171" s="643"/>
      <c r="H171" s="671">
        <f t="shared" si="19"/>
        <v>0</v>
      </c>
      <c r="I171" s="671"/>
      <c r="J171" s="640" t="str">
        <f t="shared" si="23"/>
        <v/>
      </c>
      <c r="K171" s="640"/>
      <c r="L171" s="631" t="str">
        <f t="shared" si="27"/>
        <v/>
      </c>
      <c r="M171" s="631"/>
      <c r="N171" s="631" t="str">
        <f>IF(B171="","",VLOOKUP(TRIM(CONCATENATE($F$20," ",$F$17," ",$F$18," ",$F$22," ",$F$21," ",$F$16," ",$F$23," ",$F$24)),Catalogo_Condicione_Financieras!B:W,22,0)*1.16)</f>
        <v/>
      </c>
      <c r="O171" s="631"/>
      <c r="P171" s="641"/>
      <c r="Q171" s="641"/>
      <c r="R171" s="631" t="str">
        <f>IF(OR(X170=0,X170=""),"",IF($F$21="Apoyo Infonavit",IF(D171&gt;=C171,0,MIN(IF($F$30="",0,Caratula!$F$30),$AL$30*25)*10%),0))</f>
        <v/>
      </c>
      <c r="S171" s="631"/>
      <c r="T171" s="424" t="str">
        <f>IF(B171="","",'Tabla_Puntual&amp;Relacionamiento'!$B$10)</f>
        <v/>
      </c>
      <c r="U171" s="424"/>
      <c r="V171" s="642" t="str">
        <f t="shared" si="20"/>
        <v/>
      </c>
      <c r="W171" s="642"/>
      <c r="X171" s="642" t="str">
        <f t="shared" si="17"/>
        <v/>
      </c>
      <c r="Y171" s="642"/>
      <c r="AL171" s="420" t="str">
        <f t="shared" si="24"/>
        <v/>
      </c>
      <c r="AM171" s="421">
        <f t="shared" si="28"/>
        <v>0</v>
      </c>
      <c r="AN171" s="637"/>
      <c r="AO171" s="637"/>
      <c r="AP171" s="634"/>
      <c r="AQ171" s="634"/>
      <c r="AR171" s="427"/>
      <c r="AS171" s="522" t="str">
        <f t="shared" si="25"/>
        <v/>
      </c>
    </row>
    <row r="172" spans="2:45" x14ac:dyDescent="0.25">
      <c r="B172" s="426" t="str">
        <f t="shared" si="21"/>
        <v/>
      </c>
      <c r="C172" s="423" t="str">
        <f t="shared" si="22"/>
        <v/>
      </c>
      <c r="D172" s="643" t="str">
        <f t="shared" si="26"/>
        <v/>
      </c>
      <c r="E172" s="643"/>
      <c r="F172" s="643" t="str">
        <f t="shared" si="18"/>
        <v/>
      </c>
      <c r="G172" s="643"/>
      <c r="H172" s="671">
        <f t="shared" si="19"/>
        <v>0</v>
      </c>
      <c r="I172" s="671"/>
      <c r="J172" s="640" t="str">
        <f t="shared" si="23"/>
        <v/>
      </c>
      <c r="K172" s="640"/>
      <c r="L172" s="631" t="str">
        <f t="shared" si="27"/>
        <v/>
      </c>
      <c r="M172" s="631"/>
      <c r="N172" s="631" t="str">
        <f>IF(B172="","",VLOOKUP(TRIM(CONCATENATE($F$20," ",$F$17," ",$F$18," ",$F$22," ",$F$21," ",$F$16," ",$F$23," ",$F$24)),Catalogo_Condicione_Financieras!B:W,22,0)*1.16)</f>
        <v/>
      </c>
      <c r="O172" s="631"/>
      <c r="P172" s="641"/>
      <c r="Q172" s="641"/>
      <c r="R172" s="631"/>
      <c r="S172" s="631"/>
      <c r="T172" s="424" t="str">
        <f>IF(B172="","",'Tabla_Puntual&amp;Relacionamiento'!$B$11)</f>
        <v/>
      </c>
      <c r="U172" s="424" t="str">
        <f>IF(B172="","",IF($F$16="Pago_Bajo_Puntual",0.019,""))</f>
        <v/>
      </c>
      <c r="V172" s="642" t="str">
        <f t="shared" si="20"/>
        <v/>
      </c>
      <c r="W172" s="642"/>
      <c r="X172" s="642" t="str">
        <f t="shared" si="17"/>
        <v/>
      </c>
      <c r="Y172" s="642"/>
      <c r="AL172" s="420" t="str">
        <f t="shared" si="24"/>
        <v/>
      </c>
      <c r="AM172" s="421">
        <f t="shared" si="28"/>
        <v>0</v>
      </c>
      <c r="AN172" s="637"/>
      <c r="AO172" s="637"/>
      <c r="AP172" s="634"/>
      <c r="AQ172" s="634"/>
      <c r="AR172" s="427"/>
      <c r="AS172" s="522" t="str">
        <f t="shared" si="25"/>
        <v/>
      </c>
    </row>
    <row r="173" spans="2:45" x14ac:dyDescent="0.25">
      <c r="B173" s="426" t="str">
        <f t="shared" si="21"/>
        <v/>
      </c>
      <c r="C173" s="423" t="str">
        <f t="shared" si="22"/>
        <v/>
      </c>
      <c r="D173" s="643" t="str">
        <f t="shared" si="26"/>
        <v/>
      </c>
      <c r="E173" s="643"/>
      <c r="F173" s="643" t="str">
        <f t="shared" si="18"/>
        <v/>
      </c>
      <c r="G173" s="643"/>
      <c r="H173" s="671">
        <f t="shared" si="19"/>
        <v>0</v>
      </c>
      <c r="I173" s="671"/>
      <c r="J173" s="640" t="str">
        <f t="shared" si="23"/>
        <v/>
      </c>
      <c r="K173" s="640"/>
      <c r="L173" s="631" t="str">
        <f t="shared" si="27"/>
        <v/>
      </c>
      <c r="M173" s="631"/>
      <c r="N173" s="631" t="str">
        <f>IF(B173="","",VLOOKUP(TRIM(CONCATENATE($F$20," ",$F$17," ",$F$18," ",$F$22," ",$F$21," ",$F$16," ",$F$23," ",$F$24)),Catalogo_Condicione_Financieras!B:W,22,0)*1.16)</f>
        <v/>
      </c>
      <c r="O173" s="631"/>
      <c r="P173" s="641"/>
      <c r="Q173" s="641"/>
      <c r="R173" s="631" t="str">
        <f>IF(OR(X172=0,X172=""),"",IF($F$21="Apoyo Infonavit",IF(D173&gt;=C173,0,MIN(IF($F$30="",0,Caratula!$F$30),$AL$30*25)*10%),0))</f>
        <v/>
      </c>
      <c r="S173" s="631"/>
      <c r="T173" s="424" t="str">
        <f>IF(B173="","",'Tabla_Puntual&amp;Relacionamiento'!$B$11)</f>
        <v/>
      </c>
      <c r="U173" s="424"/>
      <c r="V173" s="642" t="str">
        <f t="shared" si="20"/>
        <v/>
      </c>
      <c r="W173" s="642"/>
      <c r="X173" s="642" t="str">
        <f t="shared" si="17"/>
        <v/>
      </c>
      <c r="Y173" s="642"/>
      <c r="AL173" s="420" t="str">
        <f t="shared" si="24"/>
        <v/>
      </c>
      <c r="AM173" s="421">
        <f t="shared" si="28"/>
        <v>0</v>
      </c>
      <c r="AN173" s="637"/>
      <c r="AO173" s="637"/>
      <c r="AP173" s="634"/>
      <c r="AQ173" s="634"/>
      <c r="AR173" s="427"/>
      <c r="AS173" s="522" t="str">
        <f t="shared" si="25"/>
        <v/>
      </c>
    </row>
    <row r="174" spans="2:45" x14ac:dyDescent="0.25">
      <c r="B174" s="426" t="str">
        <f t="shared" si="21"/>
        <v/>
      </c>
      <c r="C174" s="423" t="str">
        <f t="shared" si="22"/>
        <v/>
      </c>
      <c r="D174" s="643" t="str">
        <f t="shared" si="26"/>
        <v/>
      </c>
      <c r="E174" s="643"/>
      <c r="F174" s="643" t="str">
        <f t="shared" si="18"/>
        <v/>
      </c>
      <c r="G174" s="643"/>
      <c r="H174" s="671">
        <f t="shared" si="19"/>
        <v>0</v>
      </c>
      <c r="I174" s="671"/>
      <c r="J174" s="640" t="str">
        <f t="shared" si="23"/>
        <v/>
      </c>
      <c r="K174" s="640"/>
      <c r="L174" s="631" t="str">
        <f t="shared" si="27"/>
        <v/>
      </c>
      <c r="M174" s="631"/>
      <c r="N174" s="631" t="str">
        <f>IF(B174="","",VLOOKUP(TRIM(CONCATENATE($F$20," ",$F$17," ",$F$18," ",$F$22," ",$F$21," ",$F$16," ",$F$23," ",$F$24)),Catalogo_Condicione_Financieras!B:W,22,0)*1.16)</f>
        <v/>
      </c>
      <c r="O174" s="631"/>
      <c r="P174" s="641"/>
      <c r="Q174" s="641"/>
      <c r="R174" s="631"/>
      <c r="S174" s="631"/>
      <c r="T174" s="424" t="str">
        <f>IF(B174="","",'Tabla_Puntual&amp;Relacionamiento'!$B$11)</f>
        <v/>
      </c>
      <c r="U174" s="424"/>
      <c r="V174" s="642" t="str">
        <f t="shared" si="20"/>
        <v/>
      </c>
      <c r="W174" s="642"/>
      <c r="X174" s="642" t="str">
        <f t="shared" si="17"/>
        <v/>
      </c>
      <c r="Y174" s="642"/>
      <c r="AL174" s="420" t="str">
        <f t="shared" si="24"/>
        <v/>
      </c>
      <c r="AM174" s="421">
        <f t="shared" si="28"/>
        <v>0</v>
      </c>
      <c r="AN174" s="637"/>
      <c r="AO174" s="637"/>
      <c r="AP174" s="634"/>
      <c r="AQ174" s="634"/>
      <c r="AR174" s="427"/>
      <c r="AS174" s="522" t="str">
        <f t="shared" si="25"/>
        <v/>
      </c>
    </row>
    <row r="175" spans="2:45" x14ac:dyDescent="0.25">
      <c r="B175" s="426" t="str">
        <f t="shared" si="21"/>
        <v/>
      </c>
      <c r="C175" s="423" t="str">
        <f t="shared" si="22"/>
        <v/>
      </c>
      <c r="D175" s="643" t="str">
        <f t="shared" si="26"/>
        <v/>
      </c>
      <c r="E175" s="643"/>
      <c r="F175" s="643" t="str">
        <f t="shared" si="18"/>
        <v/>
      </c>
      <c r="G175" s="643"/>
      <c r="H175" s="671">
        <f t="shared" si="19"/>
        <v>0</v>
      </c>
      <c r="I175" s="671"/>
      <c r="J175" s="640" t="str">
        <f t="shared" si="23"/>
        <v/>
      </c>
      <c r="K175" s="640"/>
      <c r="L175" s="631" t="str">
        <f t="shared" si="27"/>
        <v/>
      </c>
      <c r="M175" s="631"/>
      <c r="N175" s="631" t="str">
        <f>IF(B175="","",VLOOKUP(TRIM(CONCATENATE($F$20," ",$F$17," ",$F$18," ",$F$22," ",$F$21," ",$F$16," ",$F$23," ",$F$24)),Catalogo_Condicione_Financieras!B:W,22,0)*1.16)</f>
        <v/>
      </c>
      <c r="O175" s="631"/>
      <c r="P175" s="641"/>
      <c r="Q175" s="641"/>
      <c r="R175" s="631" t="str">
        <f>IF(OR(X174=0,X174=""),"",IF($F$21="Apoyo Infonavit",IF(D175&gt;=C175,0,MIN(IF($F$30="",0,Caratula!$F$30),$AL$30*25)*10%),0))</f>
        <v/>
      </c>
      <c r="S175" s="631"/>
      <c r="T175" s="424" t="str">
        <f>IF(B175="","",'Tabla_Puntual&amp;Relacionamiento'!$B$11)</f>
        <v/>
      </c>
      <c r="U175" s="424"/>
      <c r="V175" s="642" t="str">
        <f t="shared" si="20"/>
        <v/>
      </c>
      <c r="W175" s="642"/>
      <c r="X175" s="642" t="str">
        <f t="shared" si="17"/>
        <v/>
      </c>
      <c r="Y175" s="642"/>
      <c r="AL175" s="420" t="str">
        <f t="shared" si="24"/>
        <v/>
      </c>
      <c r="AM175" s="421">
        <f t="shared" si="28"/>
        <v>0</v>
      </c>
      <c r="AN175" s="637"/>
      <c r="AO175" s="637"/>
      <c r="AP175" s="634"/>
      <c r="AQ175" s="634"/>
      <c r="AR175" s="427"/>
      <c r="AS175" s="522" t="str">
        <f t="shared" si="25"/>
        <v/>
      </c>
    </row>
    <row r="176" spans="2:45" x14ac:dyDescent="0.25">
      <c r="B176" s="426" t="str">
        <f t="shared" si="21"/>
        <v/>
      </c>
      <c r="C176" s="423" t="str">
        <f t="shared" si="22"/>
        <v/>
      </c>
      <c r="D176" s="643" t="str">
        <f t="shared" si="26"/>
        <v/>
      </c>
      <c r="E176" s="643"/>
      <c r="F176" s="643" t="str">
        <f t="shared" si="18"/>
        <v/>
      </c>
      <c r="G176" s="643"/>
      <c r="H176" s="671">
        <f t="shared" si="19"/>
        <v>0</v>
      </c>
      <c r="I176" s="671"/>
      <c r="J176" s="640" t="str">
        <f t="shared" si="23"/>
        <v/>
      </c>
      <c r="K176" s="640"/>
      <c r="L176" s="631" t="str">
        <f t="shared" si="27"/>
        <v/>
      </c>
      <c r="M176" s="631"/>
      <c r="N176" s="631" t="str">
        <f>IF(B176="","",VLOOKUP(TRIM(CONCATENATE($F$20," ",$F$17," ",$F$18," ",$F$22," ",$F$21," ",$F$16," ",$F$23," ",$F$24)),Catalogo_Condicione_Financieras!B:W,22,0)*1.16)</f>
        <v/>
      </c>
      <c r="O176" s="631"/>
      <c r="P176" s="641"/>
      <c r="Q176" s="641"/>
      <c r="R176" s="631"/>
      <c r="S176" s="631"/>
      <c r="T176" s="424" t="str">
        <f>IF(B176="","",'Tabla_Puntual&amp;Relacionamiento'!$B$11)</f>
        <v/>
      </c>
      <c r="U176" s="424"/>
      <c r="V176" s="642" t="str">
        <f t="shared" si="20"/>
        <v/>
      </c>
      <c r="W176" s="642"/>
      <c r="X176" s="642" t="str">
        <f t="shared" si="17"/>
        <v/>
      </c>
      <c r="Y176" s="642"/>
      <c r="AL176" s="420" t="str">
        <f t="shared" si="24"/>
        <v/>
      </c>
      <c r="AM176" s="421">
        <f t="shared" si="28"/>
        <v>0</v>
      </c>
      <c r="AN176" s="637"/>
      <c r="AO176" s="637"/>
      <c r="AP176" s="634"/>
      <c r="AQ176" s="634"/>
      <c r="AR176" s="427"/>
      <c r="AS176" s="522" t="str">
        <f t="shared" si="25"/>
        <v/>
      </c>
    </row>
    <row r="177" spans="2:45" x14ac:dyDescent="0.25">
      <c r="B177" s="426" t="str">
        <f t="shared" si="21"/>
        <v/>
      </c>
      <c r="C177" s="423" t="str">
        <f t="shared" si="22"/>
        <v/>
      </c>
      <c r="D177" s="643" t="str">
        <f t="shared" si="26"/>
        <v/>
      </c>
      <c r="E177" s="643"/>
      <c r="F177" s="643" t="str">
        <f t="shared" si="18"/>
        <v/>
      </c>
      <c r="G177" s="643"/>
      <c r="H177" s="671">
        <f t="shared" si="19"/>
        <v>0</v>
      </c>
      <c r="I177" s="671"/>
      <c r="J177" s="640" t="str">
        <f t="shared" si="23"/>
        <v/>
      </c>
      <c r="K177" s="640"/>
      <c r="L177" s="631" t="str">
        <f t="shared" si="27"/>
        <v/>
      </c>
      <c r="M177" s="631"/>
      <c r="N177" s="631" t="str">
        <f>IF(B177="","",VLOOKUP(TRIM(CONCATENATE($F$20," ",$F$17," ",$F$18," ",$F$22," ",$F$21," ",$F$16," ",$F$23," ",$F$24)),Catalogo_Condicione_Financieras!B:W,22,0)*1.16)</f>
        <v/>
      </c>
      <c r="O177" s="631"/>
      <c r="P177" s="641"/>
      <c r="Q177" s="641"/>
      <c r="R177" s="631" t="str">
        <f>IF(OR(X176=0,X176=""),"",IF($F$21="Apoyo Infonavit",IF(D177&gt;=C177,0,MIN(IF($F$30="",0,Caratula!$F$30),$AL$30*25)*10%),0))</f>
        <v/>
      </c>
      <c r="S177" s="631"/>
      <c r="T177" s="424" t="str">
        <f>IF(B177="","",'Tabla_Puntual&amp;Relacionamiento'!$B$11)</f>
        <v/>
      </c>
      <c r="U177" s="424"/>
      <c r="V177" s="642" t="str">
        <f t="shared" si="20"/>
        <v/>
      </c>
      <c r="W177" s="642"/>
      <c r="X177" s="642" t="str">
        <f t="shared" si="17"/>
        <v/>
      </c>
      <c r="Y177" s="642"/>
      <c r="AL177" s="420" t="str">
        <f t="shared" si="24"/>
        <v/>
      </c>
      <c r="AM177" s="421">
        <f t="shared" si="28"/>
        <v>0</v>
      </c>
      <c r="AN177" s="637"/>
      <c r="AO177" s="637"/>
      <c r="AP177" s="634"/>
      <c r="AQ177" s="634"/>
      <c r="AR177" s="427"/>
      <c r="AS177" s="522" t="str">
        <f t="shared" si="25"/>
        <v/>
      </c>
    </row>
    <row r="178" spans="2:45" x14ac:dyDescent="0.25">
      <c r="B178" s="426" t="str">
        <f t="shared" si="21"/>
        <v/>
      </c>
      <c r="C178" s="423" t="str">
        <f t="shared" si="22"/>
        <v/>
      </c>
      <c r="D178" s="643" t="str">
        <f t="shared" si="26"/>
        <v/>
      </c>
      <c r="E178" s="643"/>
      <c r="F178" s="643" t="str">
        <f t="shared" si="18"/>
        <v/>
      </c>
      <c r="G178" s="643"/>
      <c r="H178" s="671">
        <f t="shared" si="19"/>
        <v>0</v>
      </c>
      <c r="I178" s="671"/>
      <c r="J178" s="640" t="str">
        <f t="shared" si="23"/>
        <v/>
      </c>
      <c r="K178" s="640"/>
      <c r="L178" s="631" t="str">
        <f t="shared" si="27"/>
        <v/>
      </c>
      <c r="M178" s="631"/>
      <c r="N178" s="631" t="str">
        <f>IF(B178="","",VLOOKUP(TRIM(CONCATENATE($F$20," ",$F$17," ",$F$18," ",$F$22," ",$F$21," ",$F$16," ",$F$23," ",$F$24)),Catalogo_Condicione_Financieras!B:W,22,0)*1.16)</f>
        <v/>
      </c>
      <c r="O178" s="631"/>
      <c r="P178" s="641"/>
      <c r="Q178" s="641"/>
      <c r="R178" s="631"/>
      <c r="S178" s="631"/>
      <c r="T178" s="424" t="str">
        <f>IF(B178="","",'Tabla_Puntual&amp;Relacionamiento'!$B$11)</f>
        <v/>
      </c>
      <c r="U178" s="424"/>
      <c r="V178" s="642" t="str">
        <f t="shared" si="20"/>
        <v/>
      </c>
      <c r="W178" s="642"/>
      <c r="X178" s="642" t="str">
        <f t="shared" si="17"/>
        <v/>
      </c>
      <c r="Y178" s="642"/>
      <c r="AL178" s="420" t="str">
        <f t="shared" si="24"/>
        <v/>
      </c>
      <c r="AM178" s="421">
        <f t="shared" si="28"/>
        <v>0</v>
      </c>
      <c r="AN178" s="637"/>
      <c r="AO178" s="637"/>
      <c r="AP178" s="634"/>
      <c r="AQ178" s="634"/>
      <c r="AR178" s="427"/>
      <c r="AS178" s="522" t="str">
        <f t="shared" si="25"/>
        <v/>
      </c>
    </row>
    <row r="179" spans="2:45" x14ac:dyDescent="0.25">
      <c r="B179" s="426" t="str">
        <f t="shared" si="21"/>
        <v/>
      </c>
      <c r="C179" s="423" t="str">
        <f t="shared" si="22"/>
        <v/>
      </c>
      <c r="D179" s="643" t="str">
        <f t="shared" si="26"/>
        <v/>
      </c>
      <c r="E179" s="643"/>
      <c r="F179" s="643" t="str">
        <f t="shared" si="18"/>
        <v/>
      </c>
      <c r="G179" s="643"/>
      <c r="H179" s="671">
        <f t="shared" si="19"/>
        <v>0</v>
      </c>
      <c r="I179" s="671"/>
      <c r="J179" s="640" t="str">
        <f t="shared" si="23"/>
        <v/>
      </c>
      <c r="K179" s="640"/>
      <c r="L179" s="631" t="str">
        <f t="shared" si="27"/>
        <v/>
      </c>
      <c r="M179" s="631"/>
      <c r="N179" s="631" t="str">
        <f>IF(B179="","",VLOOKUP(TRIM(CONCATENATE($F$20," ",$F$17," ",$F$18," ",$F$22," ",$F$21," ",$F$16," ",$F$23," ",$F$24)),Catalogo_Condicione_Financieras!B:W,22,0)*1.16)</f>
        <v/>
      </c>
      <c r="O179" s="631"/>
      <c r="P179" s="641"/>
      <c r="Q179" s="641"/>
      <c r="R179" s="631" t="str">
        <f>IF(OR(X178=0,X178=""),"",IF($F$21="Apoyo Infonavit",IF(D179&gt;=C179,0,MIN(IF($F$30="",0,Caratula!$F$30),$AL$30*25)*10%),0))</f>
        <v/>
      </c>
      <c r="S179" s="631"/>
      <c r="T179" s="424" t="str">
        <f>IF(B179="","",'Tabla_Puntual&amp;Relacionamiento'!$B$11)</f>
        <v/>
      </c>
      <c r="U179" s="424"/>
      <c r="V179" s="642" t="str">
        <f t="shared" si="20"/>
        <v/>
      </c>
      <c r="W179" s="642"/>
      <c r="X179" s="642" t="str">
        <f t="shared" si="17"/>
        <v/>
      </c>
      <c r="Y179" s="642"/>
      <c r="AL179" s="420" t="str">
        <f t="shared" si="24"/>
        <v/>
      </c>
      <c r="AM179" s="421">
        <f t="shared" si="28"/>
        <v>0</v>
      </c>
      <c r="AN179" s="637"/>
      <c r="AO179" s="637"/>
      <c r="AP179" s="634"/>
      <c r="AQ179" s="634"/>
      <c r="AR179" s="427"/>
      <c r="AS179" s="522" t="str">
        <f t="shared" si="25"/>
        <v/>
      </c>
    </row>
    <row r="180" spans="2:45" x14ac:dyDescent="0.25">
      <c r="B180" s="426" t="str">
        <f t="shared" si="21"/>
        <v/>
      </c>
      <c r="C180" s="423" t="str">
        <f t="shared" si="22"/>
        <v/>
      </c>
      <c r="D180" s="643" t="str">
        <f t="shared" si="26"/>
        <v/>
      </c>
      <c r="E180" s="643"/>
      <c r="F180" s="643" t="str">
        <f t="shared" si="18"/>
        <v/>
      </c>
      <c r="G180" s="643"/>
      <c r="H180" s="671">
        <f t="shared" si="19"/>
        <v>0</v>
      </c>
      <c r="I180" s="671"/>
      <c r="J180" s="640" t="str">
        <f t="shared" si="23"/>
        <v/>
      </c>
      <c r="K180" s="640"/>
      <c r="L180" s="631" t="str">
        <f t="shared" si="27"/>
        <v/>
      </c>
      <c r="M180" s="631"/>
      <c r="N180" s="631" t="str">
        <f>IF(B180="","",VLOOKUP(TRIM(CONCATENATE($F$20," ",$F$17," ",$F$18," ",$F$22," ",$F$21," ",$F$16," ",$F$23," ",$F$24)),Catalogo_Condicione_Financieras!B:W,22,0)*1.16)</f>
        <v/>
      </c>
      <c r="O180" s="631"/>
      <c r="P180" s="641"/>
      <c r="Q180" s="641"/>
      <c r="R180" s="631"/>
      <c r="S180" s="631"/>
      <c r="T180" s="424" t="str">
        <f>IF(B180="","",'Tabla_Puntual&amp;Relacionamiento'!$B$11)</f>
        <v/>
      </c>
      <c r="U180" s="424"/>
      <c r="V180" s="642" t="str">
        <f t="shared" si="20"/>
        <v/>
      </c>
      <c r="W180" s="642"/>
      <c r="X180" s="642" t="str">
        <f t="shared" si="17"/>
        <v/>
      </c>
      <c r="Y180" s="642"/>
      <c r="AL180" s="420" t="str">
        <f t="shared" si="24"/>
        <v/>
      </c>
      <c r="AM180" s="421">
        <f t="shared" si="28"/>
        <v>0</v>
      </c>
      <c r="AN180" s="637"/>
      <c r="AO180" s="637"/>
      <c r="AP180" s="634"/>
      <c r="AQ180" s="634"/>
      <c r="AR180" s="427"/>
      <c r="AS180" s="522" t="str">
        <f t="shared" si="25"/>
        <v/>
      </c>
    </row>
    <row r="181" spans="2:45" x14ac:dyDescent="0.25">
      <c r="B181" s="426" t="str">
        <f t="shared" si="21"/>
        <v/>
      </c>
      <c r="C181" s="423" t="str">
        <f t="shared" si="22"/>
        <v/>
      </c>
      <c r="D181" s="643" t="str">
        <f t="shared" si="26"/>
        <v/>
      </c>
      <c r="E181" s="643"/>
      <c r="F181" s="643" t="str">
        <f t="shared" si="18"/>
        <v/>
      </c>
      <c r="G181" s="643"/>
      <c r="H181" s="671">
        <f t="shared" si="19"/>
        <v>0</v>
      </c>
      <c r="I181" s="671"/>
      <c r="J181" s="640" t="str">
        <f t="shared" si="23"/>
        <v/>
      </c>
      <c r="K181" s="640"/>
      <c r="L181" s="631" t="str">
        <f t="shared" si="27"/>
        <v/>
      </c>
      <c r="M181" s="631"/>
      <c r="N181" s="631" t="str">
        <f>IF(B181="","",VLOOKUP(TRIM(CONCATENATE($F$20," ",$F$17," ",$F$18," ",$F$22," ",$F$21," ",$F$16," ",$F$23," ",$F$24)),Catalogo_Condicione_Financieras!B:W,22,0)*1.16)</f>
        <v/>
      </c>
      <c r="O181" s="631"/>
      <c r="P181" s="641"/>
      <c r="Q181" s="641"/>
      <c r="R181" s="631" t="str">
        <f>IF(OR(X180=0,X180=""),"",IF($F$21="Apoyo Infonavit",IF(D181&gt;=C181,0,MIN(IF($F$30="",0,Caratula!$F$30),$AL$30*25)*10%),0))</f>
        <v/>
      </c>
      <c r="S181" s="631"/>
      <c r="T181" s="424" t="str">
        <f>IF(B181="","",'Tabla_Puntual&amp;Relacionamiento'!$B$11)</f>
        <v/>
      </c>
      <c r="U181" s="424"/>
      <c r="V181" s="642" t="str">
        <f t="shared" si="20"/>
        <v/>
      </c>
      <c r="W181" s="642"/>
      <c r="X181" s="642" t="str">
        <f t="shared" si="17"/>
        <v/>
      </c>
      <c r="Y181" s="642"/>
      <c r="AL181" s="420" t="str">
        <f t="shared" si="24"/>
        <v/>
      </c>
      <c r="AM181" s="421">
        <f t="shared" si="28"/>
        <v>0</v>
      </c>
      <c r="AN181" s="637"/>
      <c r="AO181" s="637"/>
      <c r="AP181" s="634"/>
      <c r="AQ181" s="634"/>
      <c r="AR181" s="427"/>
      <c r="AS181" s="522" t="str">
        <f t="shared" si="25"/>
        <v/>
      </c>
    </row>
    <row r="182" spans="2:45" x14ac:dyDescent="0.25">
      <c r="B182" s="426" t="str">
        <f t="shared" si="21"/>
        <v/>
      </c>
      <c r="C182" s="423" t="str">
        <f t="shared" si="22"/>
        <v/>
      </c>
      <c r="D182" s="643" t="str">
        <f t="shared" si="26"/>
        <v/>
      </c>
      <c r="E182" s="643"/>
      <c r="F182" s="643" t="str">
        <f t="shared" si="18"/>
        <v/>
      </c>
      <c r="G182" s="643"/>
      <c r="H182" s="671">
        <f t="shared" si="19"/>
        <v>0</v>
      </c>
      <c r="I182" s="671"/>
      <c r="J182" s="640" t="str">
        <f t="shared" si="23"/>
        <v/>
      </c>
      <c r="K182" s="640"/>
      <c r="L182" s="631" t="str">
        <f t="shared" si="27"/>
        <v/>
      </c>
      <c r="M182" s="631"/>
      <c r="N182" s="631" t="str">
        <f>IF(B182="","",VLOOKUP(TRIM(CONCATENATE($F$20," ",$F$17," ",$F$18," ",$F$22," ",$F$21," ",$F$16," ",$F$23," ",$F$24)),Catalogo_Condicione_Financieras!B:W,22,0)*1.16)</f>
        <v/>
      </c>
      <c r="O182" s="631"/>
      <c r="P182" s="641"/>
      <c r="Q182" s="641"/>
      <c r="R182" s="631"/>
      <c r="S182" s="631"/>
      <c r="T182" s="424" t="str">
        <f>IF(B182="","",'Tabla_Puntual&amp;Relacionamiento'!$B$11)</f>
        <v/>
      </c>
      <c r="U182" s="424"/>
      <c r="V182" s="642" t="str">
        <f t="shared" si="20"/>
        <v/>
      </c>
      <c r="W182" s="642"/>
      <c r="X182" s="642" t="str">
        <f t="shared" si="17"/>
        <v/>
      </c>
      <c r="Y182" s="642"/>
      <c r="AL182" s="420" t="str">
        <f t="shared" si="24"/>
        <v/>
      </c>
      <c r="AM182" s="421">
        <f t="shared" si="28"/>
        <v>0</v>
      </c>
      <c r="AN182" s="637"/>
      <c r="AO182" s="637"/>
      <c r="AP182" s="634"/>
      <c r="AQ182" s="634"/>
      <c r="AR182" s="427"/>
      <c r="AS182" s="522" t="str">
        <f t="shared" si="25"/>
        <v/>
      </c>
    </row>
    <row r="183" spans="2:45" x14ac:dyDescent="0.25">
      <c r="B183" s="426" t="str">
        <f t="shared" si="21"/>
        <v/>
      </c>
      <c r="C183" s="423" t="str">
        <f t="shared" si="22"/>
        <v/>
      </c>
      <c r="D183" s="643" t="str">
        <f t="shared" si="26"/>
        <v/>
      </c>
      <c r="E183" s="643"/>
      <c r="F183" s="643" t="str">
        <f t="shared" si="18"/>
        <v/>
      </c>
      <c r="G183" s="643"/>
      <c r="H183" s="671">
        <f t="shared" si="19"/>
        <v>0</v>
      </c>
      <c r="I183" s="671"/>
      <c r="J183" s="640" t="str">
        <f t="shared" si="23"/>
        <v/>
      </c>
      <c r="K183" s="640"/>
      <c r="L183" s="631" t="str">
        <f t="shared" si="27"/>
        <v/>
      </c>
      <c r="M183" s="631"/>
      <c r="N183" s="631" t="str">
        <f>IF(B183="","",VLOOKUP(TRIM(CONCATENATE($F$20," ",$F$17," ",$F$18," ",$F$22," ",$F$21," ",$F$16," ",$F$23," ",$F$24)),Catalogo_Condicione_Financieras!B:W,22,0)*1.16)</f>
        <v/>
      </c>
      <c r="O183" s="631"/>
      <c r="P183" s="641"/>
      <c r="Q183" s="641"/>
      <c r="R183" s="631" t="str">
        <f>IF(OR(X182=0,X182=""),"",IF($F$21="Apoyo Infonavit",IF(D183&gt;=C183,0,MIN(IF($F$30="",0,Caratula!$F$30),$AL$30*25)*10%),0))</f>
        <v/>
      </c>
      <c r="S183" s="631"/>
      <c r="T183" s="424" t="str">
        <f>IF(B183="","",'Tabla_Puntual&amp;Relacionamiento'!$B$11)</f>
        <v/>
      </c>
      <c r="U183" s="424"/>
      <c r="V183" s="642" t="str">
        <f t="shared" si="20"/>
        <v/>
      </c>
      <c r="W183" s="642"/>
      <c r="X183" s="642" t="str">
        <f t="shared" si="17"/>
        <v/>
      </c>
      <c r="Y183" s="642"/>
      <c r="AL183" s="420" t="str">
        <f t="shared" si="24"/>
        <v/>
      </c>
      <c r="AM183" s="421">
        <f t="shared" si="28"/>
        <v>0</v>
      </c>
      <c r="AN183" s="637"/>
      <c r="AO183" s="637"/>
      <c r="AP183" s="634"/>
      <c r="AQ183" s="634"/>
      <c r="AR183" s="427"/>
      <c r="AS183" s="522" t="str">
        <f t="shared" si="25"/>
        <v/>
      </c>
    </row>
    <row r="184" spans="2:45" x14ac:dyDescent="0.25">
      <c r="B184" s="426" t="str">
        <f t="shared" si="21"/>
        <v/>
      </c>
      <c r="C184" s="423" t="str">
        <f t="shared" si="22"/>
        <v/>
      </c>
      <c r="D184" s="643" t="str">
        <f t="shared" si="26"/>
        <v/>
      </c>
      <c r="E184" s="643"/>
      <c r="F184" s="643" t="str">
        <f t="shared" si="18"/>
        <v/>
      </c>
      <c r="G184" s="643"/>
      <c r="H184" s="671">
        <f t="shared" si="19"/>
        <v>0</v>
      </c>
      <c r="I184" s="671"/>
      <c r="J184" s="640" t="str">
        <f t="shared" si="23"/>
        <v/>
      </c>
      <c r="K184" s="640"/>
      <c r="L184" s="631" t="str">
        <f t="shared" si="27"/>
        <v/>
      </c>
      <c r="M184" s="631"/>
      <c r="N184" s="631" t="str">
        <f>IF(B184="","",VLOOKUP(TRIM(CONCATENATE($F$20," ",$F$17," ",$F$18," ",$F$22," ",$F$21," ",$F$16," ",$F$23," ",$F$24)),Catalogo_Condicione_Financieras!B:W,22,0)*1.16)</f>
        <v/>
      </c>
      <c r="O184" s="631"/>
      <c r="P184" s="641"/>
      <c r="Q184" s="641"/>
      <c r="R184" s="631"/>
      <c r="S184" s="631"/>
      <c r="T184" s="424" t="str">
        <f>IF(B184="","",'Tabla_Puntual&amp;Relacionamiento'!$B$12)</f>
        <v/>
      </c>
      <c r="U184" s="424" t="str">
        <f>IF(B184="","",IF($F$16="Pago_Bajo_Puntual",0.019,""))</f>
        <v/>
      </c>
      <c r="V184" s="642" t="str">
        <f t="shared" si="20"/>
        <v/>
      </c>
      <c r="W184" s="642"/>
      <c r="X184" s="642" t="str">
        <f t="shared" si="17"/>
        <v/>
      </c>
      <c r="Y184" s="642"/>
      <c r="AL184" s="420" t="str">
        <f t="shared" si="24"/>
        <v/>
      </c>
      <c r="AM184" s="421">
        <f t="shared" si="28"/>
        <v>0</v>
      </c>
      <c r="AN184" s="637"/>
      <c r="AO184" s="637"/>
      <c r="AP184" s="634"/>
      <c r="AQ184" s="634"/>
      <c r="AR184" s="427"/>
      <c r="AS184" s="522" t="str">
        <f t="shared" si="25"/>
        <v/>
      </c>
    </row>
    <row r="185" spans="2:45" x14ac:dyDescent="0.25">
      <c r="B185" s="426" t="str">
        <f t="shared" si="21"/>
        <v/>
      </c>
      <c r="C185" s="423" t="str">
        <f t="shared" si="22"/>
        <v/>
      </c>
      <c r="D185" s="643" t="str">
        <f t="shared" si="26"/>
        <v/>
      </c>
      <c r="E185" s="643"/>
      <c r="F185" s="643" t="str">
        <f t="shared" si="18"/>
        <v/>
      </c>
      <c r="G185" s="643"/>
      <c r="H185" s="671">
        <f t="shared" si="19"/>
        <v>0</v>
      </c>
      <c r="I185" s="671"/>
      <c r="J185" s="640" t="str">
        <f t="shared" si="23"/>
        <v/>
      </c>
      <c r="K185" s="640"/>
      <c r="L185" s="631" t="str">
        <f t="shared" si="27"/>
        <v/>
      </c>
      <c r="M185" s="631"/>
      <c r="N185" s="631" t="str">
        <f>IF(B185="","",VLOOKUP(TRIM(CONCATENATE($F$20," ",$F$17," ",$F$18," ",$F$22," ",$F$21," ",$F$16," ",$F$23," ",$F$24)),Catalogo_Condicione_Financieras!B:W,22,0)*1.16)</f>
        <v/>
      </c>
      <c r="O185" s="631"/>
      <c r="P185" s="641"/>
      <c r="Q185" s="641"/>
      <c r="R185" s="631" t="str">
        <f>IF(OR(X184=0,X184=""),"",IF($F$21="Apoyo Infonavit",IF(D185&gt;=C185,0,MIN(IF($F$30="",0,Caratula!$F$30),$AL$30*25)*10%),0))</f>
        <v/>
      </c>
      <c r="S185" s="631"/>
      <c r="T185" s="424" t="str">
        <f>IF(B185="","",'Tabla_Puntual&amp;Relacionamiento'!$B$12)</f>
        <v/>
      </c>
      <c r="U185" s="424"/>
      <c r="V185" s="642" t="str">
        <f t="shared" si="20"/>
        <v/>
      </c>
      <c r="W185" s="642"/>
      <c r="X185" s="642" t="str">
        <f t="shared" si="17"/>
        <v/>
      </c>
      <c r="Y185" s="642"/>
      <c r="AL185" s="420" t="str">
        <f t="shared" si="24"/>
        <v/>
      </c>
      <c r="AM185" s="421">
        <f t="shared" si="28"/>
        <v>0</v>
      </c>
      <c r="AN185" s="637"/>
      <c r="AO185" s="637"/>
      <c r="AP185" s="634"/>
      <c r="AQ185" s="634"/>
      <c r="AR185" s="427"/>
      <c r="AS185" s="522" t="str">
        <f t="shared" si="25"/>
        <v/>
      </c>
    </row>
    <row r="186" spans="2:45" x14ac:dyDescent="0.25">
      <c r="B186" s="426" t="str">
        <f t="shared" si="21"/>
        <v/>
      </c>
      <c r="C186" s="423" t="str">
        <f t="shared" si="22"/>
        <v/>
      </c>
      <c r="D186" s="643" t="str">
        <f t="shared" si="26"/>
        <v/>
      </c>
      <c r="E186" s="643"/>
      <c r="F186" s="643" t="str">
        <f t="shared" si="18"/>
        <v/>
      </c>
      <c r="G186" s="643"/>
      <c r="H186" s="671">
        <f t="shared" si="19"/>
        <v>0</v>
      </c>
      <c r="I186" s="671"/>
      <c r="J186" s="640" t="str">
        <f t="shared" si="23"/>
        <v/>
      </c>
      <c r="K186" s="640"/>
      <c r="L186" s="631" t="str">
        <f t="shared" si="27"/>
        <v/>
      </c>
      <c r="M186" s="631"/>
      <c r="N186" s="631" t="str">
        <f>IF(B186="","",VLOOKUP(TRIM(CONCATENATE($F$20," ",$F$17," ",$F$18," ",$F$22," ",$F$21," ",$F$16," ",$F$23," ",$F$24)),Catalogo_Condicione_Financieras!B:W,22,0)*1.16)</f>
        <v/>
      </c>
      <c r="O186" s="631"/>
      <c r="P186" s="641"/>
      <c r="Q186" s="641"/>
      <c r="R186" s="631"/>
      <c r="S186" s="631"/>
      <c r="T186" s="424" t="str">
        <f>IF(B186="","",'Tabla_Puntual&amp;Relacionamiento'!$B$12)</f>
        <v/>
      </c>
      <c r="U186" s="424"/>
      <c r="V186" s="642" t="str">
        <f t="shared" si="20"/>
        <v/>
      </c>
      <c r="W186" s="642"/>
      <c r="X186" s="642" t="str">
        <f t="shared" si="17"/>
        <v/>
      </c>
      <c r="Y186" s="642"/>
      <c r="AL186" s="420" t="str">
        <f t="shared" si="24"/>
        <v/>
      </c>
      <c r="AM186" s="421">
        <f t="shared" si="28"/>
        <v>0</v>
      </c>
      <c r="AN186" s="637"/>
      <c r="AO186" s="637"/>
      <c r="AP186" s="634"/>
      <c r="AQ186" s="634"/>
      <c r="AR186" s="427"/>
      <c r="AS186" s="522" t="str">
        <f t="shared" si="25"/>
        <v/>
      </c>
    </row>
    <row r="187" spans="2:45" x14ac:dyDescent="0.25">
      <c r="B187" s="426" t="str">
        <f t="shared" si="21"/>
        <v/>
      </c>
      <c r="C187" s="423" t="str">
        <f t="shared" si="22"/>
        <v/>
      </c>
      <c r="D187" s="643" t="str">
        <f t="shared" si="26"/>
        <v/>
      </c>
      <c r="E187" s="643"/>
      <c r="F187" s="643" t="str">
        <f t="shared" si="18"/>
        <v/>
      </c>
      <c r="G187" s="643"/>
      <c r="H187" s="671">
        <f t="shared" si="19"/>
        <v>0</v>
      </c>
      <c r="I187" s="671"/>
      <c r="J187" s="640" t="str">
        <f t="shared" si="23"/>
        <v/>
      </c>
      <c r="K187" s="640"/>
      <c r="L187" s="631" t="str">
        <f t="shared" si="27"/>
        <v/>
      </c>
      <c r="M187" s="631"/>
      <c r="N187" s="631" t="str">
        <f>IF(B187="","",VLOOKUP(TRIM(CONCATENATE($F$20," ",$F$17," ",$F$18," ",$F$22," ",$F$21," ",$F$16," ",$F$23," ",$F$24)),Catalogo_Condicione_Financieras!B:W,22,0)*1.16)</f>
        <v/>
      </c>
      <c r="O187" s="631"/>
      <c r="P187" s="641"/>
      <c r="Q187" s="641"/>
      <c r="R187" s="631" t="str">
        <f>IF(OR(X186=0,X186=""),"",IF($F$21="Apoyo Infonavit",IF(D187&gt;=C187,0,MIN(IF($F$30="",0,Caratula!$F$30),$AL$30*25)*10%),0))</f>
        <v/>
      </c>
      <c r="S187" s="631"/>
      <c r="T187" s="424" t="str">
        <f>IF(B187="","",'Tabla_Puntual&amp;Relacionamiento'!$B$12)</f>
        <v/>
      </c>
      <c r="U187" s="424"/>
      <c r="V187" s="642" t="str">
        <f t="shared" si="20"/>
        <v/>
      </c>
      <c r="W187" s="642"/>
      <c r="X187" s="642" t="str">
        <f t="shared" si="17"/>
        <v/>
      </c>
      <c r="Y187" s="642"/>
      <c r="AL187" s="420" t="str">
        <f t="shared" si="24"/>
        <v/>
      </c>
      <c r="AM187" s="421">
        <f t="shared" si="28"/>
        <v>0</v>
      </c>
      <c r="AN187" s="637"/>
      <c r="AO187" s="637"/>
      <c r="AP187" s="634"/>
      <c r="AQ187" s="634"/>
      <c r="AR187" s="427"/>
      <c r="AS187" s="522" t="str">
        <f t="shared" si="25"/>
        <v/>
      </c>
    </row>
    <row r="188" spans="2:45" x14ac:dyDescent="0.25">
      <c r="B188" s="426" t="str">
        <f t="shared" si="21"/>
        <v/>
      </c>
      <c r="C188" s="423" t="str">
        <f t="shared" si="22"/>
        <v/>
      </c>
      <c r="D188" s="643" t="str">
        <f t="shared" si="26"/>
        <v/>
      </c>
      <c r="E188" s="643"/>
      <c r="F188" s="643" t="str">
        <f t="shared" si="18"/>
        <v/>
      </c>
      <c r="G188" s="643"/>
      <c r="H188" s="671">
        <f t="shared" si="19"/>
        <v>0</v>
      </c>
      <c r="I188" s="671"/>
      <c r="J188" s="640" t="str">
        <f t="shared" si="23"/>
        <v/>
      </c>
      <c r="K188" s="640"/>
      <c r="L188" s="631" t="str">
        <f t="shared" si="27"/>
        <v/>
      </c>
      <c r="M188" s="631"/>
      <c r="N188" s="631" t="str">
        <f>IF(B188="","",VLOOKUP(TRIM(CONCATENATE($F$20," ",$F$17," ",$F$18," ",$F$22," ",$F$21," ",$F$16," ",$F$23," ",$F$24)),Catalogo_Condicione_Financieras!B:W,22,0)*1.16)</f>
        <v/>
      </c>
      <c r="O188" s="631"/>
      <c r="P188" s="641"/>
      <c r="Q188" s="641"/>
      <c r="R188" s="631"/>
      <c r="S188" s="631"/>
      <c r="T188" s="424" t="str">
        <f>IF(B188="","",'Tabla_Puntual&amp;Relacionamiento'!$B$12)</f>
        <v/>
      </c>
      <c r="U188" s="424"/>
      <c r="V188" s="642" t="str">
        <f t="shared" si="20"/>
        <v/>
      </c>
      <c r="W188" s="642"/>
      <c r="X188" s="642" t="str">
        <f t="shared" ref="X188:X251" si="29">IFERROR(IF(C188="","",IF((C188-D188-P188+AN188+AP188-R188)&lt;1,0,C188-D188-P188+AN188+AP188-R188)),0)</f>
        <v/>
      </c>
      <c r="Y188" s="642"/>
      <c r="AL188" s="420" t="str">
        <f t="shared" si="24"/>
        <v/>
      </c>
      <c r="AM188" s="421">
        <f t="shared" si="28"/>
        <v>0</v>
      </c>
      <c r="AN188" s="637"/>
      <c r="AO188" s="637"/>
      <c r="AP188" s="634"/>
      <c r="AQ188" s="634"/>
      <c r="AR188" s="427"/>
      <c r="AS188" s="522" t="str">
        <f t="shared" si="25"/>
        <v/>
      </c>
    </row>
    <row r="189" spans="2:45" x14ac:dyDescent="0.25">
      <c r="B189" s="426" t="str">
        <f t="shared" si="21"/>
        <v/>
      </c>
      <c r="C189" s="423" t="str">
        <f t="shared" si="22"/>
        <v/>
      </c>
      <c r="D189" s="643" t="str">
        <f t="shared" si="26"/>
        <v/>
      </c>
      <c r="E189" s="643"/>
      <c r="F189" s="643" t="str">
        <f t="shared" si="18"/>
        <v/>
      </c>
      <c r="G189" s="643"/>
      <c r="H189" s="671">
        <f t="shared" si="19"/>
        <v>0</v>
      </c>
      <c r="I189" s="671"/>
      <c r="J189" s="640" t="str">
        <f t="shared" si="23"/>
        <v/>
      </c>
      <c r="K189" s="640"/>
      <c r="L189" s="631" t="str">
        <f t="shared" si="27"/>
        <v/>
      </c>
      <c r="M189" s="631"/>
      <c r="N189" s="631" t="str">
        <f>IF(B189="","",VLOOKUP(TRIM(CONCATENATE($F$20," ",$F$17," ",$F$18," ",$F$22," ",$F$21," ",$F$16," ",$F$23," ",$F$24)),Catalogo_Condicione_Financieras!B:W,22,0)*1.16)</f>
        <v/>
      </c>
      <c r="O189" s="631"/>
      <c r="P189" s="641"/>
      <c r="Q189" s="641"/>
      <c r="R189" s="631" t="str">
        <f>IF(OR(X188=0,X188=""),"",IF($F$21="Apoyo Infonavit",IF(D189&gt;=C189,0,MIN(IF($F$30="",0,Caratula!$F$30),$AL$30*25)*10%),0))</f>
        <v/>
      </c>
      <c r="S189" s="631"/>
      <c r="T189" s="424" t="str">
        <f>IF(B189="","",'Tabla_Puntual&amp;Relacionamiento'!$B$12)</f>
        <v/>
      </c>
      <c r="U189" s="424"/>
      <c r="V189" s="642" t="str">
        <f t="shared" si="20"/>
        <v/>
      </c>
      <c r="W189" s="642"/>
      <c r="X189" s="642" t="str">
        <f t="shared" si="29"/>
        <v/>
      </c>
      <c r="Y189" s="642"/>
      <c r="AL189" s="420" t="str">
        <f t="shared" si="24"/>
        <v/>
      </c>
      <c r="AM189" s="421">
        <f t="shared" si="28"/>
        <v>0</v>
      </c>
      <c r="AN189" s="637"/>
      <c r="AO189" s="637"/>
      <c r="AP189" s="634"/>
      <c r="AQ189" s="634"/>
      <c r="AR189" s="427"/>
      <c r="AS189" s="522" t="str">
        <f t="shared" si="25"/>
        <v/>
      </c>
    </row>
    <row r="190" spans="2:45" x14ac:dyDescent="0.25">
      <c r="B190" s="426" t="str">
        <f t="shared" si="21"/>
        <v/>
      </c>
      <c r="C190" s="423" t="str">
        <f t="shared" si="22"/>
        <v/>
      </c>
      <c r="D190" s="643" t="str">
        <f t="shared" si="26"/>
        <v/>
      </c>
      <c r="E190" s="643"/>
      <c r="F190" s="643" t="str">
        <f t="shared" si="18"/>
        <v/>
      </c>
      <c r="G190" s="643"/>
      <c r="H190" s="671">
        <f t="shared" si="19"/>
        <v>0</v>
      </c>
      <c r="I190" s="671"/>
      <c r="J190" s="640" t="str">
        <f t="shared" si="23"/>
        <v/>
      </c>
      <c r="K190" s="640"/>
      <c r="L190" s="631" t="str">
        <f t="shared" si="27"/>
        <v/>
      </c>
      <c r="M190" s="631"/>
      <c r="N190" s="631" t="str">
        <f>IF(B190="","",VLOOKUP(TRIM(CONCATENATE($F$20," ",$F$17," ",$F$18," ",$F$22," ",$F$21," ",$F$16," ",$F$23," ",$F$24)),Catalogo_Condicione_Financieras!B:W,22,0)*1.16)</f>
        <v/>
      </c>
      <c r="O190" s="631"/>
      <c r="P190" s="641"/>
      <c r="Q190" s="641"/>
      <c r="R190" s="631"/>
      <c r="S190" s="631"/>
      <c r="T190" s="424" t="str">
        <f>IF(B190="","",'Tabla_Puntual&amp;Relacionamiento'!$B$12)</f>
        <v/>
      </c>
      <c r="U190" s="424"/>
      <c r="V190" s="642" t="str">
        <f t="shared" si="20"/>
        <v/>
      </c>
      <c r="W190" s="642"/>
      <c r="X190" s="642" t="str">
        <f t="shared" si="29"/>
        <v/>
      </c>
      <c r="Y190" s="642"/>
      <c r="AL190" s="420" t="str">
        <f t="shared" si="24"/>
        <v/>
      </c>
      <c r="AM190" s="421">
        <f t="shared" si="28"/>
        <v>0</v>
      </c>
      <c r="AN190" s="637"/>
      <c r="AO190" s="637"/>
      <c r="AP190" s="634"/>
      <c r="AQ190" s="634"/>
      <c r="AR190" s="427"/>
      <c r="AS190" s="522" t="str">
        <f t="shared" si="25"/>
        <v/>
      </c>
    </row>
    <row r="191" spans="2:45" x14ac:dyDescent="0.25">
      <c r="B191" s="426" t="str">
        <f t="shared" si="21"/>
        <v/>
      </c>
      <c r="C191" s="423" t="str">
        <f t="shared" si="22"/>
        <v/>
      </c>
      <c r="D191" s="643" t="str">
        <f t="shared" si="26"/>
        <v/>
      </c>
      <c r="E191" s="643"/>
      <c r="F191" s="643" t="str">
        <f t="shared" si="18"/>
        <v/>
      </c>
      <c r="G191" s="643"/>
      <c r="H191" s="671">
        <f t="shared" si="19"/>
        <v>0</v>
      </c>
      <c r="I191" s="671"/>
      <c r="J191" s="640" t="str">
        <f t="shared" si="23"/>
        <v/>
      </c>
      <c r="K191" s="640"/>
      <c r="L191" s="631" t="str">
        <f t="shared" si="27"/>
        <v/>
      </c>
      <c r="M191" s="631"/>
      <c r="N191" s="631" t="str">
        <f>IF(B191="","",VLOOKUP(TRIM(CONCATENATE($F$20," ",$F$17," ",$F$18," ",$F$22," ",$F$21," ",$F$16," ",$F$23," ",$F$24)),Catalogo_Condicione_Financieras!B:W,22,0)*1.16)</f>
        <v/>
      </c>
      <c r="O191" s="631"/>
      <c r="P191" s="641"/>
      <c r="Q191" s="641"/>
      <c r="R191" s="631" t="str">
        <f>IF(OR(X190=0,X190=""),"",IF($F$21="Apoyo Infonavit",IF(D191&gt;=C191,0,MIN(IF($F$30="",0,Caratula!$F$30),$AL$30*25)*10%),0))</f>
        <v/>
      </c>
      <c r="S191" s="631"/>
      <c r="T191" s="424" t="str">
        <f>IF(B191="","",'Tabla_Puntual&amp;Relacionamiento'!$B$12)</f>
        <v/>
      </c>
      <c r="U191" s="424"/>
      <c r="V191" s="642" t="str">
        <f t="shared" si="20"/>
        <v/>
      </c>
      <c r="W191" s="642"/>
      <c r="X191" s="642" t="str">
        <f t="shared" si="29"/>
        <v/>
      </c>
      <c r="Y191" s="642"/>
      <c r="AL191" s="420" t="str">
        <f t="shared" si="24"/>
        <v/>
      </c>
      <c r="AM191" s="421">
        <f t="shared" si="28"/>
        <v>0</v>
      </c>
      <c r="AN191" s="637"/>
      <c r="AO191" s="637"/>
      <c r="AP191" s="634"/>
      <c r="AQ191" s="634"/>
      <c r="AR191" s="427"/>
      <c r="AS191" s="522" t="str">
        <f t="shared" si="25"/>
        <v/>
      </c>
    </row>
    <row r="192" spans="2:45" x14ac:dyDescent="0.25">
      <c r="B192" s="426" t="str">
        <f t="shared" si="21"/>
        <v/>
      </c>
      <c r="C192" s="423" t="str">
        <f t="shared" si="22"/>
        <v/>
      </c>
      <c r="D192" s="643" t="str">
        <f t="shared" si="26"/>
        <v/>
      </c>
      <c r="E192" s="643"/>
      <c r="F192" s="643" t="str">
        <f t="shared" ref="F192:F255" si="30">IF(B192="","",IF(X191*(T192/12)&lt;0,"",X191*(T192/12)))</f>
        <v/>
      </c>
      <c r="G192" s="643"/>
      <c r="H192" s="671">
        <f t="shared" ref="H192:H255" si="31">IFERROR(IF($F$20="Liquidez",F192*0.16,
IF(AND($F$20="Pago_Hipoteca+Liquidez",$F$36="Liquidez"),F192*0.16,0)),0)</f>
        <v>0</v>
      </c>
      <c r="I192" s="671"/>
      <c r="J192" s="640" t="str">
        <f t="shared" si="23"/>
        <v/>
      </c>
      <c r="K192" s="640"/>
      <c r="L192" s="631" t="str">
        <f t="shared" si="27"/>
        <v/>
      </c>
      <c r="M192" s="631"/>
      <c r="N192" s="631" t="str">
        <f>IF(B192="","",VLOOKUP(TRIM(CONCATENATE($F$20," ",$F$17," ",$F$18," ",$F$22," ",$F$21," ",$F$16," ",$F$23," ",$F$24)),Catalogo_Condicione_Financieras!B:W,22,0)*1.16)</f>
        <v/>
      </c>
      <c r="O192" s="631"/>
      <c r="P192" s="641"/>
      <c r="Q192" s="641"/>
      <c r="R192" s="631"/>
      <c r="S192" s="631"/>
      <c r="T192" s="424" t="str">
        <f>IF(B192="","",'Tabla_Puntual&amp;Relacionamiento'!$B$12)</f>
        <v/>
      </c>
      <c r="U192" s="424"/>
      <c r="V192" s="642" t="str">
        <f t="shared" ref="V192:V255" si="32">IF(B192="","",D192+F192+H192+J192+L192+N192)</f>
        <v/>
      </c>
      <c r="W192" s="642"/>
      <c r="X192" s="642" t="str">
        <f t="shared" si="29"/>
        <v/>
      </c>
      <c r="Y192" s="642"/>
      <c r="AL192" s="420" t="str">
        <f t="shared" si="24"/>
        <v/>
      </c>
      <c r="AM192" s="421">
        <f t="shared" si="28"/>
        <v>0</v>
      </c>
      <c r="AN192" s="637"/>
      <c r="AO192" s="637"/>
      <c r="AP192" s="634"/>
      <c r="AQ192" s="634"/>
      <c r="AR192" s="427"/>
      <c r="AS192" s="522" t="str">
        <f t="shared" si="25"/>
        <v/>
      </c>
    </row>
    <row r="193" spans="2:45" x14ac:dyDescent="0.25">
      <c r="B193" s="426" t="str">
        <f t="shared" ref="B193:B256" si="33">IF(OR(B192="",X192&lt;=0),"",IF(B192+1&lt;=F$23*12,B192+1,""))</f>
        <v/>
      </c>
      <c r="C193" s="423" t="str">
        <f t="shared" ref="C193:C256" si="34">IF(B193="","",IF(IF(C192="","",C192-D192-R192)&lt;0.01,AQ192,IF(C192="","",X192)))</f>
        <v/>
      </c>
      <c r="D193" s="643" t="str">
        <f t="shared" si="26"/>
        <v/>
      </c>
      <c r="E193" s="643"/>
      <c r="F193" s="643" t="str">
        <f t="shared" si="30"/>
        <v/>
      </c>
      <c r="G193" s="643"/>
      <c r="H193" s="671">
        <f t="shared" si="31"/>
        <v>0</v>
      </c>
      <c r="I193" s="671"/>
      <c r="J193" s="640" t="str">
        <f t="shared" ref="J193:J256" si="35">IF(B193="","",C193*$AQ$35/1000)</f>
        <v/>
      </c>
      <c r="K193" s="640"/>
      <c r="L193" s="631" t="str">
        <f t="shared" si="27"/>
        <v/>
      </c>
      <c r="M193" s="631"/>
      <c r="N193" s="631" t="str">
        <f>IF(B193="","",VLOOKUP(TRIM(CONCATENATE($F$20," ",$F$17," ",$F$18," ",$F$22," ",$F$21," ",$F$16," ",$F$23," ",$F$24)),Catalogo_Condicione_Financieras!B:W,22,0)*1.16)</f>
        <v/>
      </c>
      <c r="O193" s="631"/>
      <c r="P193" s="641"/>
      <c r="Q193" s="641"/>
      <c r="R193" s="631" t="str">
        <f>IF(OR(X192=0,X192=""),"",IF($F$21="Apoyo Infonavit",IF(D193&gt;=C193,0,MIN(IF($F$30="",0,Caratula!$F$30),$AL$30*25)*10%),0))</f>
        <v/>
      </c>
      <c r="S193" s="631"/>
      <c r="T193" s="424" t="str">
        <f>IF(B193="","",'Tabla_Puntual&amp;Relacionamiento'!$B$12)</f>
        <v/>
      </c>
      <c r="U193" s="424"/>
      <c r="V193" s="642" t="str">
        <f t="shared" si="32"/>
        <v/>
      </c>
      <c r="W193" s="642"/>
      <c r="X193" s="642" t="str">
        <f t="shared" si="29"/>
        <v/>
      </c>
      <c r="Y193" s="642"/>
      <c r="AL193" s="420" t="str">
        <f t="shared" ref="AL193:AL256" si="36">IF(B193="","",
IF(X192&lt;AL192,X192+F193,
IF($F$16="Pago_Fijo_Puntual",$X$63*$AQ$40/1000,
IF($F$16="Pago_Bajo_Puntual",AL192+(AL192*U193)))))</f>
        <v/>
      </c>
      <c r="AM193" s="421">
        <f t="shared" si="28"/>
        <v>0</v>
      </c>
      <c r="AN193" s="637"/>
      <c r="AO193" s="637"/>
      <c r="AP193" s="634"/>
      <c r="AQ193" s="634"/>
      <c r="AR193" s="427"/>
      <c r="AS193" s="522" t="str">
        <f t="shared" ref="AS193:AS256" si="37">IF(B193="","",IF(AND($F$20="Pago_Hipoteca+Liquidez",$F$36="Liquidez"),0,
IF((($F$28*0.7)*$AQ$38/1.16)&gt;C193*$AQ$38/1.16,($F$28*0.7)*($AQ$38/1.16),($AQ$38/1.16)*C193)/1000))</f>
        <v/>
      </c>
    </row>
    <row r="194" spans="2:45" x14ac:dyDescent="0.25">
      <c r="B194" s="426" t="str">
        <f t="shared" si="33"/>
        <v/>
      </c>
      <c r="C194" s="423" t="str">
        <f t="shared" si="34"/>
        <v/>
      </c>
      <c r="D194" s="643" t="str">
        <f t="shared" ref="D194:D257" si="38">IF(B194="","",AL194-F194)</f>
        <v/>
      </c>
      <c r="E194" s="643"/>
      <c r="F194" s="643" t="str">
        <f t="shared" si="30"/>
        <v/>
      </c>
      <c r="G194" s="643"/>
      <c r="H194" s="671">
        <f t="shared" si="31"/>
        <v>0</v>
      </c>
      <c r="I194" s="671"/>
      <c r="J194" s="640" t="str">
        <f t="shared" si="35"/>
        <v/>
      </c>
      <c r="K194" s="640"/>
      <c r="L194" s="631" t="str">
        <f t="shared" ref="L194:L257" si="39">IF(B194="","",IF(AND($F$20="Pago_Hipoteca+Liquidez",$F$36="Liquidez"),0,
IF((($F$28*0.7)*$AQ$38)&gt;C194*$AQ$38,($F$28*0.7)*($AQ$38)/1000,($AQ$38*C194)/1000)))</f>
        <v/>
      </c>
      <c r="M194" s="631"/>
      <c r="N194" s="631" t="str">
        <f>IF(B194="","",VLOOKUP(TRIM(CONCATENATE($F$20," ",$F$17," ",$F$18," ",$F$22," ",$F$21," ",$F$16," ",$F$23," ",$F$24)),Catalogo_Condicione_Financieras!B:W,22,0)*1.16)</f>
        <v/>
      </c>
      <c r="O194" s="631"/>
      <c r="P194" s="641"/>
      <c r="Q194" s="641"/>
      <c r="R194" s="631"/>
      <c r="S194" s="631"/>
      <c r="T194" s="424" t="str">
        <f>IF(B194="","",'Tabla_Puntual&amp;Relacionamiento'!$B$12)</f>
        <v/>
      </c>
      <c r="U194" s="424"/>
      <c r="V194" s="642" t="str">
        <f t="shared" si="32"/>
        <v/>
      </c>
      <c r="W194" s="642"/>
      <c r="X194" s="642" t="str">
        <f t="shared" si="29"/>
        <v/>
      </c>
      <c r="Y194" s="642"/>
      <c r="AL194" s="420" t="str">
        <f t="shared" si="36"/>
        <v/>
      </c>
      <c r="AM194" s="421">
        <f t="shared" si="28"/>
        <v>0</v>
      </c>
      <c r="AN194" s="637"/>
      <c r="AO194" s="637"/>
      <c r="AP194" s="634"/>
      <c r="AQ194" s="634"/>
      <c r="AR194" s="427"/>
      <c r="AS194" s="522" t="str">
        <f t="shared" si="37"/>
        <v/>
      </c>
    </row>
    <row r="195" spans="2:45" x14ac:dyDescent="0.25">
      <c r="B195" s="426" t="str">
        <f t="shared" si="33"/>
        <v/>
      </c>
      <c r="C195" s="423" t="str">
        <f t="shared" si="34"/>
        <v/>
      </c>
      <c r="D195" s="643" t="str">
        <f t="shared" si="38"/>
        <v/>
      </c>
      <c r="E195" s="643"/>
      <c r="F195" s="643" t="str">
        <f t="shared" si="30"/>
        <v/>
      </c>
      <c r="G195" s="643"/>
      <c r="H195" s="671">
        <f t="shared" si="31"/>
        <v>0</v>
      </c>
      <c r="I195" s="671"/>
      <c r="J195" s="640" t="str">
        <f t="shared" si="35"/>
        <v/>
      </c>
      <c r="K195" s="640"/>
      <c r="L195" s="631" t="str">
        <f t="shared" si="39"/>
        <v/>
      </c>
      <c r="M195" s="631"/>
      <c r="N195" s="631" t="str">
        <f>IF(B195="","",VLOOKUP(TRIM(CONCATENATE($F$20," ",$F$17," ",$F$18," ",$F$22," ",$F$21," ",$F$16," ",$F$23," ",$F$24)),Catalogo_Condicione_Financieras!B:W,22,0)*1.16)</f>
        <v/>
      </c>
      <c r="O195" s="631"/>
      <c r="P195" s="641"/>
      <c r="Q195" s="641"/>
      <c r="R195" s="631" t="str">
        <f>IF(OR(X194=0,X194=""),"",IF($F$21="Apoyo Infonavit",IF(D195&gt;=C195,0,MIN(IF($F$30="",0,Caratula!$F$30),$AL$30*25)*10%),0))</f>
        <v/>
      </c>
      <c r="S195" s="631"/>
      <c r="T195" s="424" t="str">
        <f>IF(B195="","",'Tabla_Puntual&amp;Relacionamiento'!$B$12)</f>
        <v/>
      </c>
      <c r="U195" s="424"/>
      <c r="V195" s="642" t="str">
        <f t="shared" si="32"/>
        <v/>
      </c>
      <c r="W195" s="642"/>
      <c r="X195" s="642" t="str">
        <f t="shared" si="29"/>
        <v/>
      </c>
      <c r="Y195" s="642"/>
      <c r="AL195" s="420" t="str">
        <f t="shared" si="36"/>
        <v/>
      </c>
      <c r="AM195" s="421">
        <f t="shared" ref="AM195:AM258" si="40">IF(C195="",0,AL195+J195+AS195+(N195/1.16)+R195)</f>
        <v>0</v>
      </c>
      <c r="AN195" s="637"/>
      <c r="AO195" s="637"/>
      <c r="AP195" s="634"/>
      <c r="AQ195" s="634"/>
      <c r="AR195" s="427"/>
      <c r="AS195" s="522" t="str">
        <f t="shared" si="37"/>
        <v/>
      </c>
    </row>
    <row r="196" spans="2:45" x14ac:dyDescent="0.25">
      <c r="B196" s="426" t="str">
        <f t="shared" si="33"/>
        <v/>
      </c>
      <c r="C196" s="423" t="str">
        <f t="shared" si="34"/>
        <v/>
      </c>
      <c r="D196" s="643" t="str">
        <f t="shared" si="38"/>
        <v/>
      </c>
      <c r="E196" s="643"/>
      <c r="F196" s="643" t="str">
        <f t="shared" si="30"/>
        <v/>
      </c>
      <c r="G196" s="643"/>
      <c r="H196" s="671">
        <f t="shared" si="31"/>
        <v>0</v>
      </c>
      <c r="I196" s="671"/>
      <c r="J196" s="640" t="str">
        <f t="shared" si="35"/>
        <v/>
      </c>
      <c r="K196" s="640"/>
      <c r="L196" s="631" t="str">
        <f t="shared" si="39"/>
        <v/>
      </c>
      <c r="M196" s="631"/>
      <c r="N196" s="631" t="str">
        <f>IF(B196="","",VLOOKUP(TRIM(CONCATENATE($F$20," ",$F$17," ",$F$18," ",$F$22," ",$F$21," ",$F$16," ",$F$23," ",$F$24)),Catalogo_Condicione_Financieras!B:W,22,0)*1.16)</f>
        <v/>
      </c>
      <c r="O196" s="631"/>
      <c r="P196" s="641"/>
      <c r="Q196" s="641"/>
      <c r="R196" s="631"/>
      <c r="S196" s="631"/>
      <c r="T196" s="424" t="str">
        <f>IF(B196="","",'Tabla_Puntual&amp;Relacionamiento'!$B$13)</f>
        <v/>
      </c>
      <c r="U196" s="424" t="str">
        <f>IF(B196="","",IF($F$16="Pago_Bajo_Puntual",0.019,""))</f>
        <v/>
      </c>
      <c r="V196" s="642" t="str">
        <f t="shared" si="32"/>
        <v/>
      </c>
      <c r="W196" s="642"/>
      <c r="X196" s="642" t="str">
        <f t="shared" si="29"/>
        <v/>
      </c>
      <c r="Y196" s="642"/>
      <c r="AL196" s="420" t="str">
        <f t="shared" si="36"/>
        <v/>
      </c>
      <c r="AM196" s="421">
        <f t="shared" si="40"/>
        <v>0</v>
      </c>
      <c r="AN196" s="637"/>
      <c r="AO196" s="637"/>
      <c r="AP196" s="634"/>
      <c r="AQ196" s="634"/>
      <c r="AR196" s="427"/>
      <c r="AS196" s="522" t="str">
        <f t="shared" si="37"/>
        <v/>
      </c>
    </row>
    <row r="197" spans="2:45" x14ac:dyDescent="0.25">
      <c r="B197" s="426" t="str">
        <f t="shared" si="33"/>
        <v/>
      </c>
      <c r="C197" s="423" t="str">
        <f t="shared" si="34"/>
        <v/>
      </c>
      <c r="D197" s="643" t="str">
        <f t="shared" si="38"/>
        <v/>
      </c>
      <c r="E197" s="643"/>
      <c r="F197" s="643" t="str">
        <f t="shared" si="30"/>
        <v/>
      </c>
      <c r="G197" s="643"/>
      <c r="H197" s="671">
        <f t="shared" si="31"/>
        <v>0</v>
      </c>
      <c r="I197" s="671"/>
      <c r="J197" s="640" t="str">
        <f t="shared" si="35"/>
        <v/>
      </c>
      <c r="K197" s="640"/>
      <c r="L197" s="631" t="str">
        <f t="shared" si="39"/>
        <v/>
      </c>
      <c r="M197" s="631"/>
      <c r="N197" s="631" t="str">
        <f>IF(B197="","",VLOOKUP(TRIM(CONCATENATE($F$20," ",$F$17," ",$F$18," ",$F$22," ",$F$21," ",$F$16," ",$F$23," ",$F$24)),Catalogo_Condicione_Financieras!B:W,22,0)*1.16)</f>
        <v/>
      </c>
      <c r="O197" s="631"/>
      <c r="P197" s="641"/>
      <c r="Q197" s="641"/>
      <c r="R197" s="631" t="str">
        <f>IF(OR(X196=0,X196=""),"",IF($F$21="Apoyo Infonavit",IF(D197&gt;=C197,0,MIN(IF($F$30="",0,Caratula!$F$30),$AL$30*25)*10%),0))</f>
        <v/>
      </c>
      <c r="S197" s="631"/>
      <c r="T197" s="424" t="str">
        <f>IF(B197="","",'Tabla_Puntual&amp;Relacionamiento'!$B$13)</f>
        <v/>
      </c>
      <c r="U197" s="424"/>
      <c r="V197" s="642" t="str">
        <f t="shared" si="32"/>
        <v/>
      </c>
      <c r="W197" s="642"/>
      <c r="X197" s="642" t="str">
        <f t="shared" si="29"/>
        <v/>
      </c>
      <c r="Y197" s="642"/>
      <c r="AL197" s="420" t="str">
        <f t="shared" si="36"/>
        <v/>
      </c>
      <c r="AM197" s="421">
        <f t="shared" si="40"/>
        <v>0</v>
      </c>
      <c r="AN197" s="637"/>
      <c r="AO197" s="637"/>
      <c r="AP197" s="634"/>
      <c r="AQ197" s="634"/>
      <c r="AR197" s="427"/>
      <c r="AS197" s="522" t="str">
        <f t="shared" si="37"/>
        <v/>
      </c>
    </row>
    <row r="198" spans="2:45" x14ac:dyDescent="0.25">
      <c r="B198" s="426" t="str">
        <f t="shared" si="33"/>
        <v/>
      </c>
      <c r="C198" s="423" t="str">
        <f t="shared" si="34"/>
        <v/>
      </c>
      <c r="D198" s="643" t="str">
        <f t="shared" si="38"/>
        <v/>
      </c>
      <c r="E198" s="643"/>
      <c r="F198" s="643" t="str">
        <f t="shared" si="30"/>
        <v/>
      </c>
      <c r="G198" s="643"/>
      <c r="H198" s="671">
        <f t="shared" si="31"/>
        <v>0</v>
      </c>
      <c r="I198" s="671"/>
      <c r="J198" s="640" t="str">
        <f t="shared" si="35"/>
        <v/>
      </c>
      <c r="K198" s="640"/>
      <c r="L198" s="631" t="str">
        <f t="shared" si="39"/>
        <v/>
      </c>
      <c r="M198" s="631"/>
      <c r="N198" s="631" t="str">
        <f>IF(B198="","",VLOOKUP(TRIM(CONCATENATE($F$20," ",$F$17," ",$F$18," ",$F$22," ",$F$21," ",$F$16," ",$F$23," ",$F$24)),Catalogo_Condicione_Financieras!B:W,22,0)*1.16)</f>
        <v/>
      </c>
      <c r="O198" s="631"/>
      <c r="P198" s="641"/>
      <c r="Q198" s="641"/>
      <c r="R198" s="631"/>
      <c r="S198" s="631"/>
      <c r="T198" s="424" t="str">
        <f>IF(B198="","",'Tabla_Puntual&amp;Relacionamiento'!$B$13)</f>
        <v/>
      </c>
      <c r="U198" s="424"/>
      <c r="V198" s="642" t="str">
        <f t="shared" si="32"/>
        <v/>
      </c>
      <c r="W198" s="642"/>
      <c r="X198" s="642" t="str">
        <f t="shared" si="29"/>
        <v/>
      </c>
      <c r="Y198" s="642"/>
      <c r="AL198" s="420" t="str">
        <f t="shared" si="36"/>
        <v/>
      </c>
      <c r="AM198" s="421">
        <f t="shared" si="40"/>
        <v>0</v>
      </c>
      <c r="AN198" s="637"/>
      <c r="AO198" s="637"/>
      <c r="AP198" s="634"/>
      <c r="AQ198" s="634"/>
      <c r="AR198" s="427"/>
      <c r="AS198" s="522" t="str">
        <f t="shared" si="37"/>
        <v/>
      </c>
    </row>
    <row r="199" spans="2:45" x14ac:dyDescent="0.25">
      <c r="B199" s="426" t="str">
        <f t="shared" si="33"/>
        <v/>
      </c>
      <c r="C199" s="423" t="str">
        <f t="shared" si="34"/>
        <v/>
      </c>
      <c r="D199" s="643" t="str">
        <f t="shared" si="38"/>
        <v/>
      </c>
      <c r="E199" s="643"/>
      <c r="F199" s="643" t="str">
        <f t="shared" si="30"/>
        <v/>
      </c>
      <c r="G199" s="643"/>
      <c r="H199" s="671">
        <f t="shared" si="31"/>
        <v>0</v>
      </c>
      <c r="I199" s="671"/>
      <c r="J199" s="640" t="str">
        <f t="shared" si="35"/>
        <v/>
      </c>
      <c r="K199" s="640"/>
      <c r="L199" s="631" t="str">
        <f t="shared" si="39"/>
        <v/>
      </c>
      <c r="M199" s="631"/>
      <c r="N199" s="631" t="str">
        <f>IF(B199="","",VLOOKUP(TRIM(CONCATENATE($F$20," ",$F$17," ",$F$18," ",$F$22," ",$F$21," ",$F$16," ",$F$23," ",$F$24)),Catalogo_Condicione_Financieras!B:W,22,0)*1.16)</f>
        <v/>
      </c>
      <c r="O199" s="631"/>
      <c r="P199" s="641"/>
      <c r="Q199" s="641"/>
      <c r="R199" s="631" t="str">
        <f>IF(OR(X198=0,X198=""),"",IF($F$21="Apoyo Infonavit",IF(D199&gt;=C199,0,MIN(IF($F$30="",0,Caratula!$F$30),$AL$30*25)*10%),0))</f>
        <v/>
      </c>
      <c r="S199" s="631"/>
      <c r="T199" s="424" t="str">
        <f>IF(B199="","",'Tabla_Puntual&amp;Relacionamiento'!$B$13)</f>
        <v/>
      </c>
      <c r="U199" s="424"/>
      <c r="V199" s="642" t="str">
        <f t="shared" si="32"/>
        <v/>
      </c>
      <c r="W199" s="642"/>
      <c r="X199" s="642" t="str">
        <f t="shared" si="29"/>
        <v/>
      </c>
      <c r="Y199" s="642"/>
      <c r="AL199" s="420" t="str">
        <f t="shared" si="36"/>
        <v/>
      </c>
      <c r="AM199" s="421">
        <f t="shared" si="40"/>
        <v>0</v>
      </c>
      <c r="AN199" s="637"/>
      <c r="AO199" s="637"/>
      <c r="AP199" s="634"/>
      <c r="AQ199" s="634"/>
      <c r="AR199" s="427"/>
      <c r="AS199" s="522" t="str">
        <f t="shared" si="37"/>
        <v/>
      </c>
    </row>
    <row r="200" spans="2:45" x14ac:dyDescent="0.25">
      <c r="B200" s="426" t="str">
        <f t="shared" si="33"/>
        <v/>
      </c>
      <c r="C200" s="423" t="str">
        <f t="shared" si="34"/>
        <v/>
      </c>
      <c r="D200" s="643" t="str">
        <f t="shared" si="38"/>
        <v/>
      </c>
      <c r="E200" s="643"/>
      <c r="F200" s="643" t="str">
        <f t="shared" si="30"/>
        <v/>
      </c>
      <c r="G200" s="643"/>
      <c r="H200" s="671">
        <f t="shared" si="31"/>
        <v>0</v>
      </c>
      <c r="I200" s="671"/>
      <c r="J200" s="640" t="str">
        <f t="shared" si="35"/>
        <v/>
      </c>
      <c r="K200" s="640"/>
      <c r="L200" s="631" t="str">
        <f t="shared" si="39"/>
        <v/>
      </c>
      <c r="M200" s="631"/>
      <c r="N200" s="631" t="str">
        <f>IF(B200="","",VLOOKUP(TRIM(CONCATENATE($F$20," ",$F$17," ",$F$18," ",$F$22," ",$F$21," ",$F$16," ",$F$23," ",$F$24)),Catalogo_Condicione_Financieras!B:W,22,0)*1.16)</f>
        <v/>
      </c>
      <c r="O200" s="631"/>
      <c r="P200" s="641"/>
      <c r="Q200" s="641"/>
      <c r="R200" s="631"/>
      <c r="S200" s="631"/>
      <c r="T200" s="424" t="str">
        <f>IF(B200="","",'Tabla_Puntual&amp;Relacionamiento'!$B$13)</f>
        <v/>
      </c>
      <c r="U200" s="424"/>
      <c r="V200" s="642" t="str">
        <f t="shared" si="32"/>
        <v/>
      </c>
      <c r="W200" s="642"/>
      <c r="X200" s="642" t="str">
        <f t="shared" si="29"/>
        <v/>
      </c>
      <c r="Y200" s="642"/>
      <c r="AL200" s="420" t="str">
        <f t="shared" si="36"/>
        <v/>
      </c>
      <c r="AM200" s="421">
        <f t="shared" si="40"/>
        <v>0</v>
      </c>
      <c r="AN200" s="637"/>
      <c r="AO200" s="637"/>
      <c r="AP200" s="634"/>
      <c r="AQ200" s="634"/>
      <c r="AR200" s="427"/>
      <c r="AS200" s="522" t="str">
        <f t="shared" si="37"/>
        <v/>
      </c>
    </row>
    <row r="201" spans="2:45" x14ac:dyDescent="0.25">
      <c r="B201" s="426" t="str">
        <f t="shared" si="33"/>
        <v/>
      </c>
      <c r="C201" s="423" t="str">
        <f t="shared" si="34"/>
        <v/>
      </c>
      <c r="D201" s="643" t="str">
        <f t="shared" si="38"/>
        <v/>
      </c>
      <c r="E201" s="643"/>
      <c r="F201" s="643" t="str">
        <f t="shared" si="30"/>
        <v/>
      </c>
      <c r="G201" s="643"/>
      <c r="H201" s="671">
        <f t="shared" si="31"/>
        <v>0</v>
      </c>
      <c r="I201" s="671"/>
      <c r="J201" s="640" t="str">
        <f t="shared" si="35"/>
        <v/>
      </c>
      <c r="K201" s="640"/>
      <c r="L201" s="631" t="str">
        <f t="shared" si="39"/>
        <v/>
      </c>
      <c r="M201" s="631"/>
      <c r="N201" s="631" t="str">
        <f>IF(B201="","",VLOOKUP(TRIM(CONCATENATE($F$20," ",$F$17," ",$F$18," ",$F$22," ",$F$21," ",$F$16," ",$F$23," ",$F$24)),Catalogo_Condicione_Financieras!B:W,22,0)*1.16)</f>
        <v/>
      </c>
      <c r="O201" s="631"/>
      <c r="P201" s="641"/>
      <c r="Q201" s="641"/>
      <c r="R201" s="631" t="str">
        <f>IF(OR(X200=0,X200=""),"",IF($F$21="Apoyo Infonavit",IF(D201&gt;=C201,0,MIN(IF($F$30="",0,Caratula!$F$30),$AL$30*25)*10%),0))</f>
        <v/>
      </c>
      <c r="S201" s="631"/>
      <c r="T201" s="424" t="str">
        <f>IF(B201="","",'Tabla_Puntual&amp;Relacionamiento'!$B$13)</f>
        <v/>
      </c>
      <c r="U201" s="424"/>
      <c r="V201" s="642" t="str">
        <f t="shared" si="32"/>
        <v/>
      </c>
      <c r="W201" s="642"/>
      <c r="X201" s="642" t="str">
        <f t="shared" si="29"/>
        <v/>
      </c>
      <c r="Y201" s="642"/>
      <c r="AL201" s="420" t="str">
        <f t="shared" si="36"/>
        <v/>
      </c>
      <c r="AM201" s="421">
        <f t="shared" si="40"/>
        <v>0</v>
      </c>
      <c r="AN201" s="637"/>
      <c r="AO201" s="637"/>
      <c r="AP201" s="634"/>
      <c r="AQ201" s="634"/>
      <c r="AR201" s="427"/>
      <c r="AS201" s="522" t="str">
        <f t="shared" si="37"/>
        <v/>
      </c>
    </row>
    <row r="202" spans="2:45" x14ac:dyDescent="0.25">
      <c r="B202" s="426" t="str">
        <f t="shared" si="33"/>
        <v/>
      </c>
      <c r="C202" s="423" t="str">
        <f t="shared" si="34"/>
        <v/>
      </c>
      <c r="D202" s="643" t="str">
        <f t="shared" si="38"/>
        <v/>
      </c>
      <c r="E202" s="643"/>
      <c r="F202" s="643" t="str">
        <f t="shared" si="30"/>
        <v/>
      </c>
      <c r="G202" s="643"/>
      <c r="H202" s="671">
        <f t="shared" si="31"/>
        <v>0</v>
      </c>
      <c r="I202" s="671"/>
      <c r="J202" s="640" t="str">
        <f t="shared" si="35"/>
        <v/>
      </c>
      <c r="K202" s="640"/>
      <c r="L202" s="631" t="str">
        <f t="shared" si="39"/>
        <v/>
      </c>
      <c r="M202" s="631"/>
      <c r="N202" s="631" t="str">
        <f>IF(B202="","",VLOOKUP(TRIM(CONCATENATE($F$20," ",$F$17," ",$F$18," ",$F$22," ",$F$21," ",$F$16," ",$F$23," ",$F$24)),Catalogo_Condicione_Financieras!B:W,22,0)*1.16)</f>
        <v/>
      </c>
      <c r="O202" s="631"/>
      <c r="P202" s="641"/>
      <c r="Q202" s="641"/>
      <c r="R202" s="631"/>
      <c r="S202" s="631"/>
      <c r="T202" s="424" t="str">
        <f>IF(B202="","",'Tabla_Puntual&amp;Relacionamiento'!$B$13)</f>
        <v/>
      </c>
      <c r="U202" s="424"/>
      <c r="V202" s="642" t="str">
        <f t="shared" si="32"/>
        <v/>
      </c>
      <c r="W202" s="642"/>
      <c r="X202" s="642" t="str">
        <f t="shared" si="29"/>
        <v/>
      </c>
      <c r="Y202" s="642"/>
      <c r="AL202" s="420" t="str">
        <f t="shared" si="36"/>
        <v/>
      </c>
      <c r="AM202" s="421">
        <f t="shared" si="40"/>
        <v>0</v>
      </c>
      <c r="AN202" s="637"/>
      <c r="AO202" s="637"/>
      <c r="AP202" s="634"/>
      <c r="AQ202" s="634"/>
      <c r="AR202" s="427"/>
      <c r="AS202" s="522" t="str">
        <f t="shared" si="37"/>
        <v/>
      </c>
    </row>
    <row r="203" spans="2:45" x14ac:dyDescent="0.25">
      <c r="B203" s="426" t="str">
        <f t="shared" si="33"/>
        <v/>
      </c>
      <c r="C203" s="423" t="str">
        <f t="shared" si="34"/>
        <v/>
      </c>
      <c r="D203" s="643" t="str">
        <f t="shared" si="38"/>
        <v/>
      </c>
      <c r="E203" s="643"/>
      <c r="F203" s="643" t="str">
        <f t="shared" si="30"/>
        <v/>
      </c>
      <c r="G203" s="643"/>
      <c r="H203" s="671">
        <f t="shared" si="31"/>
        <v>0</v>
      </c>
      <c r="I203" s="671"/>
      <c r="J203" s="640" t="str">
        <f t="shared" si="35"/>
        <v/>
      </c>
      <c r="K203" s="640"/>
      <c r="L203" s="631" t="str">
        <f t="shared" si="39"/>
        <v/>
      </c>
      <c r="M203" s="631"/>
      <c r="N203" s="631" t="str">
        <f>IF(B203="","",VLOOKUP(TRIM(CONCATENATE($F$20," ",$F$17," ",$F$18," ",$F$22," ",$F$21," ",$F$16," ",$F$23," ",$F$24)),Catalogo_Condicione_Financieras!B:W,22,0)*1.16)</f>
        <v/>
      </c>
      <c r="O203" s="631"/>
      <c r="P203" s="641"/>
      <c r="Q203" s="641"/>
      <c r="R203" s="631" t="str">
        <f>IF(OR(X202=0,X202=""),"",IF($F$21="Apoyo Infonavit",IF(D203&gt;=C203,0,MIN(IF($F$30="",0,Caratula!$F$30),$AL$30*25)*10%),0))</f>
        <v/>
      </c>
      <c r="S203" s="631"/>
      <c r="T203" s="424" t="str">
        <f>IF(B203="","",'Tabla_Puntual&amp;Relacionamiento'!$B$13)</f>
        <v/>
      </c>
      <c r="U203" s="424"/>
      <c r="V203" s="642" t="str">
        <f t="shared" si="32"/>
        <v/>
      </c>
      <c r="W203" s="642"/>
      <c r="X203" s="642" t="str">
        <f t="shared" si="29"/>
        <v/>
      </c>
      <c r="Y203" s="642"/>
      <c r="AL203" s="420" t="str">
        <f t="shared" si="36"/>
        <v/>
      </c>
      <c r="AM203" s="421">
        <f t="shared" si="40"/>
        <v>0</v>
      </c>
      <c r="AN203" s="637"/>
      <c r="AO203" s="637"/>
      <c r="AP203" s="634"/>
      <c r="AQ203" s="634"/>
      <c r="AR203" s="427"/>
      <c r="AS203" s="522" t="str">
        <f t="shared" si="37"/>
        <v/>
      </c>
    </row>
    <row r="204" spans="2:45" x14ac:dyDescent="0.25">
      <c r="B204" s="426" t="str">
        <f t="shared" si="33"/>
        <v/>
      </c>
      <c r="C204" s="423" t="str">
        <f t="shared" si="34"/>
        <v/>
      </c>
      <c r="D204" s="643" t="str">
        <f t="shared" si="38"/>
        <v/>
      </c>
      <c r="E204" s="643"/>
      <c r="F204" s="643" t="str">
        <f t="shared" si="30"/>
        <v/>
      </c>
      <c r="G204" s="643"/>
      <c r="H204" s="671">
        <f t="shared" si="31"/>
        <v>0</v>
      </c>
      <c r="I204" s="671"/>
      <c r="J204" s="640" t="str">
        <f t="shared" si="35"/>
        <v/>
      </c>
      <c r="K204" s="640"/>
      <c r="L204" s="631" t="str">
        <f t="shared" si="39"/>
        <v/>
      </c>
      <c r="M204" s="631"/>
      <c r="N204" s="631" t="str">
        <f>IF(B204="","",VLOOKUP(TRIM(CONCATENATE($F$20," ",$F$17," ",$F$18," ",$F$22," ",$F$21," ",$F$16," ",$F$23," ",$F$24)),Catalogo_Condicione_Financieras!B:W,22,0)*1.16)</f>
        <v/>
      </c>
      <c r="O204" s="631"/>
      <c r="P204" s="641"/>
      <c r="Q204" s="641"/>
      <c r="R204" s="631"/>
      <c r="S204" s="631"/>
      <c r="T204" s="424" t="str">
        <f>IF(B204="","",'Tabla_Puntual&amp;Relacionamiento'!$B$13)</f>
        <v/>
      </c>
      <c r="U204" s="424"/>
      <c r="V204" s="642" t="str">
        <f t="shared" si="32"/>
        <v/>
      </c>
      <c r="W204" s="642"/>
      <c r="X204" s="642" t="str">
        <f t="shared" si="29"/>
        <v/>
      </c>
      <c r="Y204" s="642"/>
      <c r="AL204" s="420" t="str">
        <f t="shared" si="36"/>
        <v/>
      </c>
      <c r="AM204" s="421">
        <f t="shared" si="40"/>
        <v>0</v>
      </c>
      <c r="AN204" s="637"/>
      <c r="AO204" s="637"/>
      <c r="AP204" s="634"/>
      <c r="AQ204" s="634"/>
      <c r="AR204" s="427"/>
      <c r="AS204" s="522" t="str">
        <f t="shared" si="37"/>
        <v/>
      </c>
    </row>
    <row r="205" spans="2:45" x14ac:dyDescent="0.25">
      <c r="B205" s="426" t="str">
        <f t="shared" si="33"/>
        <v/>
      </c>
      <c r="C205" s="423" t="str">
        <f t="shared" si="34"/>
        <v/>
      </c>
      <c r="D205" s="643" t="str">
        <f t="shared" si="38"/>
        <v/>
      </c>
      <c r="E205" s="643"/>
      <c r="F205" s="643" t="str">
        <f t="shared" si="30"/>
        <v/>
      </c>
      <c r="G205" s="643"/>
      <c r="H205" s="671">
        <f t="shared" si="31"/>
        <v>0</v>
      </c>
      <c r="I205" s="671"/>
      <c r="J205" s="640" t="str">
        <f t="shared" si="35"/>
        <v/>
      </c>
      <c r="K205" s="640"/>
      <c r="L205" s="631" t="str">
        <f t="shared" si="39"/>
        <v/>
      </c>
      <c r="M205" s="631"/>
      <c r="N205" s="631" t="str">
        <f>IF(B205="","",VLOOKUP(TRIM(CONCATENATE($F$20," ",$F$17," ",$F$18," ",$F$22," ",$F$21," ",$F$16," ",$F$23," ",$F$24)),Catalogo_Condicione_Financieras!B:W,22,0)*1.16)</f>
        <v/>
      </c>
      <c r="O205" s="631"/>
      <c r="P205" s="641"/>
      <c r="Q205" s="641"/>
      <c r="R205" s="631" t="str">
        <f>IF(OR(X204=0,X204=""),"",IF($F$21="Apoyo Infonavit",IF(D205&gt;=C205,0,MIN(IF($F$30="",0,Caratula!$F$30),$AL$30*25)*10%),0))</f>
        <v/>
      </c>
      <c r="S205" s="631"/>
      <c r="T205" s="424" t="str">
        <f>IF(B205="","",'Tabla_Puntual&amp;Relacionamiento'!$B$13)</f>
        <v/>
      </c>
      <c r="U205" s="424"/>
      <c r="V205" s="642" t="str">
        <f t="shared" si="32"/>
        <v/>
      </c>
      <c r="W205" s="642"/>
      <c r="X205" s="642" t="str">
        <f t="shared" si="29"/>
        <v/>
      </c>
      <c r="Y205" s="642"/>
      <c r="AL205" s="420" t="str">
        <f t="shared" si="36"/>
        <v/>
      </c>
      <c r="AM205" s="421">
        <f t="shared" si="40"/>
        <v>0</v>
      </c>
      <c r="AN205" s="637"/>
      <c r="AO205" s="637"/>
      <c r="AP205" s="634"/>
      <c r="AQ205" s="634"/>
      <c r="AR205" s="427"/>
      <c r="AS205" s="522" t="str">
        <f t="shared" si="37"/>
        <v/>
      </c>
    </row>
    <row r="206" spans="2:45" x14ac:dyDescent="0.25">
      <c r="B206" s="426" t="str">
        <f t="shared" si="33"/>
        <v/>
      </c>
      <c r="C206" s="423" t="str">
        <f t="shared" si="34"/>
        <v/>
      </c>
      <c r="D206" s="643" t="str">
        <f t="shared" si="38"/>
        <v/>
      </c>
      <c r="E206" s="643"/>
      <c r="F206" s="643" t="str">
        <f t="shared" si="30"/>
        <v/>
      </c>
      <c r="G206" s="643"/>
      <c r="H206" s="671">
        <f t="shared" si="31"/>
        <v>0</v>
      </c>
      <c r="I206" s="671"/>
      <c r="J206" s="640" t="str">
        <f t="shared" si="35"/>
        <v/>
      </c>
      <c r="K206" s="640"/>
      <c r="L206" s="631" t="str">
        <f t="shared" si="39"/>
        <v/>
      </c>
      <c r="M206" s="631"/>
      <c r="N206" s="631" t="str">
        <f>IF(B206="","",VLOOKUP(TRIM(CONCATENATE($F$20," ",$F$17," ",$F$18," ",$F$22," ",$F$21," ",$F$16," ",$F$23," ",$F$24)),Catalogo_Condicione_Financieras!B:W,22,0)*1.16)</f>
        <v/>
      </c>
      <c r="O206" s="631"/>
      <c r="P206" s="641"/>
      <c r="Q206" s="641"/>
      <c r="R206" s="631"/>
      <c r="S206" s="631"/>
      <c r="T206" s="424" t="str">
        <f>IF(B206="","",'Tabla_Puntual&amp;Relacionamiento'!$B$13)</f>
        <v/>
      </c>
      <c r="U206" s="424"/>
      <c r="V206" s="642" t="str">
        <f t="shared" si="32"/>
        <v/>
      </c>
      <c r="W206" s="642"/>
      <c r="X206" s="642" t="str">
        <f t="shared" si="29"/>
        <v/>
      </c>
      <c r="Y206" s="642"/>
      <c r="AL206" s="420" t="str">
        <f t="shared" si="36"/>
        <v/>
      </c>
      <c r="AM206" s="421">
        <f t="shared" si="40"/>
        <v>0</v>
      </c>
      <c r="AN206" s="637"/>
      <c r="AO206" s="637"/>
      <c r="AP206" s="634"/>
      <c r="AQ206" s="634"/>
      <c r="AR206" s="427"/>
      <c r="AS206" s="522" t="str">
        <f t="shared" si="37"/>
        <v/>
      </c>
    </row>
    <row r="207" spans="2:45" x14ac:dyDescent="0.25">
      <c r="B207" s="426" t="str">
        <f t="shared" si="33"/>
        <v/>
      </c>
      <c r="C207" s="423" t="str">
        <f t="shared" si="34"/>
        <v/>
      </c>
      <c r="D207" s="643" t="str">
        <f t="shared" si="38"/>
        <v/>
      </c>
      <c r="E207" s="643"/>
      <c r="F207" s="643" t="str">
        <f t="shared" si="30"/>
        <v/>
      </c>
      <c r="G207" s="643"/>
      <c r="H207" s="671">
        <f t="shared" si="31"/>
        <v>0</v>
      </c>
      <c r="I207" s="671"/>
      <c r="J207" s="640" t="str">
        <f t="shared" si="35"/>
        <v/>
      </c>
      <c r="K207" s="640"/>
      <c r="L207" s="631" t="str">
        <f t="shared" si="39"/>
        <v/>
      </c>
      <c r="M207" s="631"/>
      <c r="N207" s="631" t="str">
        <f>IF(B207="","",VLOOKUP(TRIM(CONCATENATE($F$20," ",$F$17," ",$F$18," ",$F$22," ",$F$21," ",$F$16," ",$F$23," ",$F$24)),Catalogo_Condicione_Financieras!B:W,22,0)*1.16)</f>
        <v/>
      </c>
      <c r="O207" s="631"/>
      <c r="P207" s="641"/>
      <c r="Q207" s="641"/>
      <c r="R207" s="631" t="str">
        <f>IF(OR(X206=0,X206=""),"",IF($F$21="Apoyo Infonavit",IF(D207&gt;=C207,0,MIN(IF($F$30="",0,Caratula!$F$30),$AL$30*25)*10%),0))</f>
        <v/>
      </c>
      <c r="S207" s="631"/>
      <c r="T207" s="424" t="str">
        <f>IF(B207="","",'Tabla_Puntual&amp;Relacionamiento'!$B$13)</f>
        <v/>
      </c>
      <c r="U207" s="424"/>
      <c r="V207" s="642" t="str">
        <f t="shared" si="32"/>
        <v/>
      </c>
      <c r="W207" s="642"/>
      <c r="X207" s="642" t="str">
        <f t="shared" si="29"/>
        <v/>
      </c>
      <c r="Y207" s="642"/>
      <c r="AL207" s="420" t="str">
        <f t="shared" si="36"/>
        <v/>
      </c>
      <c r="AM207" s="421">
        <f t="shared" si="40"/>
        <v>0</v>
      </c>
      <c r="AN207" s="637"/>
      <c r="AO207" s="637"/>
      <c r="AP207" s="634"/>
      <c r="AQ207" s="634"/>
      <c r="AR207" s="427"/>
      <c r="AS207" s="522" t="str">
        <f t="shared" si="37"/>
        <v/>
      </c>
    </row>
    <row r="208" spans="2:45" x14ac:dyDescent="0.25">
      <c r="B208" s="426" t="str">
        <f t="shared" si="33"/>
        <v/>
      </c>
      <c r="C208" s="423" t="str">
        <f t="shared" si="34"/>
        <v/>
      </c>
      <c r="D208" s="643" t="str">
        <f t="shared" si="38"/>
        <v/>
      </c>
      <c r="E208" s="643"/>
      <c r="F208" s="643" t="str">
        <f t="shared" si="30"/>
        <v/>
      </c>
      <c r="G208" s="643"/>
      <c r="H208" s="671">
        <f t="shared" si="31"/>
        <v>0</v>
      </c>
      <c r="I208" s="671"/>
      <c r="J208" s="640" t="str">
        <f t="shared" si="35"/>
        <v/>
      </c>
      <c r="K208" s="640"/>
      <c r="L208" s="631" t="str">
        <f t="shared" si="39"/>
        <v/>
      </c>
      <c r="M208" s="631"/>
      <c r="N208" s="631" t="str">
        <f>IF(B208="","",VLOOKUP(TRIM(CONCATENATE($F$20," ",$F$17," ",$F$18," ",$F$22," ",$F$21," ",$F$16," ",$F$23," ",$F$24)),Catalogo_Condicione_Financieras!B:W,22,0)*1.16)</f>
        <v/>
      </c>
      <c r="O208" s="631"/>
      <c r="P208" s="641"/>
      <c r="Q208" s="641"/>
      <c r="R208" s="631"/>
      <c r="S208" s="631"/>
      <c r="T208" s="424" t="str">
        <f>IF(B208="","",'Tabla_Puntual&amp;Relacionamiento'!$B$14)</f>
        <v/>
      </c>
      <c r="U208" s="424" t="str">
        <f>IF(B208="","",IF($F$16="Pago_Bajo_Puntual",0.019,""))</f>
        <v/>
      </c>
      <c r="V208" s="642" t="str">
        <f t="shared" si="32"/>
        <v/>
      </c>
      <c r="W208" s="642"/>
      <c r="X208" s="642" t="str">
        <f t="shared" si="29"/>
        <v/>
      </c>
      <c r="Y208" s="642"/>
      <c r="AL208" s="420" t="str">
        <f t="shared" si="36"/>
        <v/>
      </c>
      <c r="AM208" s="421">
        <f t="shared" si="40"/>
        <v>0</v>
      </c>
      <c r="AN208" s="637"/>
      <c r="AO208" s="637"/>
      <c r="AP208" s="634"/>
      <c r="AQ208" s="634"/>
      <c r="AR208" s="427"/>
      <c r="AS208" s="522" t="str">
        <f t="shared" si="37"/>
        <v/>
      </c>
    </row>
    <row r="209" spans="2:45" x14ac:dyDescent="0.25">
      <c r="B209" s="426" t="str">
        <f t="shared" si="33"/>
        <v/>
      </c>
      <c r="C209" s="423" t="str">
        <f t="shared" si="34"/>
        <v/>
      </c>
      <c r="D209" s="643" t="str">
        <f t="shared" si="38"/>
        <v/>
      </c>
      <c r="E209" s="643"/>
      <c r="F209" s="643" t="str">
        <f t="shared" si="30"/>
        <v/>
      </c>
      <c r="G209" s="643"/>
      <c r="H209" s="671">
        <f t="shared" si="31"/>
        <v>0</v>
      </c>
      <c r="I209" s="671"/>
      <c r="J209" s="640" t="str">
        <f t="shared" si="35"/>
        <v/>
      </c>
      <c r="K209" s="640"/>
      <c r="L209" s="631" t="str">
        <f t="shared" si="39"/>
        <v/>
      </c>
      <c r="M209" s="631"/>
      <c r="N209" s="631" t="str">
        <f>IF(B209="","",VLOOKUP(TRIM(CONCATENATE($F$20," ",$F$17," ",$F$18," ",$F$22," ",$F$21," ",$F$16," ",$F$23," ",$F$24)),Catalogo_Condicione_Financieras!B:W,22,0)*1.16)</f>
        <v/>
      </c>
      <c r="O209" s="631"/>
      <c r="P209" s="641"/>
      <c r="Q209" s="641"/>
      <c r="R209" s="631" t="str">
        <f>IF(OR(X208=0,X208=""),"",IF($F$21="Apoyo Infonavit",IF(D209&gt;=C209,0,MIN(IF($F$30="",0,Caratula!$F$30),$AL$30*25)*10%),0))</f>
        <v/>
      </c>
      <c r="S209" s="631"/>
      <c r="T209" s="424" t="str">
        <f>IF(B209="","",'Tabla_Puntual&amp;Relacionamiento'!$B$14)</f>
        <v/>
      </c>
      <c r="U209" s="424"/>
      <c r="V209" s="642" t="str">
        <f t="shared" si="32"/>
        <v/>
      </c>
      <c r="W209" s="642"/>
      <c r="X209" s="642" t="str">
        <f t="shared" si="29"/>
        <v/>
      </c>
      <c r="Y209" s="642"/>
      <c r="AL209" s="420" t="str">
        <f t="shared" si="36"/>
        <v/>
      </c>
      <c r="AM209" s="421">
        <f t="shared" si="40"/>
        <v>0</v>
      </c>
      <c r="AN209" s="637"/>
      <c r="AO209" s="637"/>
      <c r="AP209" s="634"/>
      <c r="AQ209" s="634"/>
      <c r="AR209" s="427"/>
      <c r="AS209" s="522" t="str">
        <f t="shared" si="37"/>
        <v/>
      </c>
    </row>
    <row r="210" spans="2:45" x14ac:dyDescent="0.25">
      <c r="B210" s="426" t="str">
        <f t="shared" si="33"/>
        <v/>
      </c>
      <c r="C210" s="423" t="str">
        <f t="shared" si="34"/>
        <v/>
      </c>
      <c r="D210" s="643" t="str">
        <f t="shared" si="38"/>
        <v/>
      </c>
      <c r="E210" s="643"/>
      <c r="F210" s="643" t="str">
        <f t="shared" si="30"/>
        <v/>
      </c>
      <c r="G210" s="643"/>
      <c r="H210" s="671">
        <f t="shared" si="31"/>
        <v>0</v>
      </c>
      <c r="I210" s="671"/>
      <c r="J210" s="640" t="str">
        <f t="shared" si="35"/>
        <v/>
      </c>
      <c r="K210" s="640"/>
      <c r="L210" s="631" t="str">
        <f t="shared" si="39"/>
        <v/>
      </c>
      <c r="M210" s="631"/>
      <c r="N210" s="631" t="str">
        <f>IF(B210="","",VLOOKUP(TRIM(CONCATENATE($F$20," ",$F$17," ",$F$18," ",$F$22," ",$F$21," ",$F$16," ",$F$23," ",$F$24)),Catalogo_Condicione_Financieras!B:W,22,0)*1.16)</f>
        <v/>
      </c>
      <c r="O210" s="631"/>
      <c r="P210" s="641"/>
      <c r="Q210" s="641"/>
      <c r="R210" s="631"/>
      <c r="S210" s="631"/>
      <c r="T210" s="424" t="str">
        <f>IF(B210="","",'Tabla_Puntual&amp;Relacionamiento'!$B$14)</f>
        <v/>
      </c>
      <c r="U210" s="424"/>
      <c r="V210" s="642" t="str">
        <f t="shared" si="32"/>
        <v/>
      </c>
      <c r="W210" s="642"/>
      <c r="X210" s="642" t="str">
        <f t="shared" si="29"/>
        <v/>
      </c>
      <c r="Y210" s="642"/>
      <c r="AL210" s="420" t="str">
        <f t="shared" si="36"/>
        <v/>
      </c>
      <c r="AM210" s="421">
        <f t="shared" si="40"/>
        <v>0</v>
      </c>
      <c r="AN210" s="637"/>
      <c r="AO210" s="637"/>
      <c r="AP210" s="634"/>
      <c r="AQ210" s="634"/>
      <c r="AR210" s="427"/>
      <c r="AS210" s="522" t="str">
        <f t="shared" si="37"/>
        <v/>
      </c>
    </row>
    <row r="211" spans="2:45" x14ac:dyDescent="0.25">
      <c r="B211" s="426" t="str">
        <f t="shared" si="33"/>
        <v/>
      </c>
      <c r="C211" s="423" t="str">
        <f t="shared" si="34"/>
        <v/>
      </c>
      <c r="D211" s="643" t="str">
        <f t="shared" si="38"/>
        <v/>
      </c>
      <c r="E211" s="643"/>
      <c r="F211" s="643" t="str">
        <f t="shared" si="30"/>
        <v/>
      </c>
      <c r="G211" s="643"/>
      <c r="H211" s="671">
        <f t="shared" si="31"/>
        <v>0</v>
      </c>
      <c r="I211" s="671"/>
      <c r="J211" s="640" t="str">
        <f t="shared" si="35"/>
        <v/>
      </c>
      <c r="K211" s="640"/>
      <c r="L211" s="631" t="str">
        <f t="shared" si="39"/>
        <v/>
      </c>
      <c r="M211" s="631"/>
      <c r="N211" s="631" t="str">
        <f>IF(B211="","",VLOOKUP(TRIM(CONCATENATE($F$20," ",$F$17," ",$F$18," ",$F$22," ",$F$21," ",$F$16," ",$F$23," ",$F$24)),Catalogo_Condicione_Financieras!B:W,22,0)*1.16)</f>
        <v/>
      </c>
      <c r="O211" s="631"/>
      <c r="P211" s="641"/>
      <c r="Q211" s="641"/>
      <c r="R211" s="631" t="str">
        <f>IF(OR(X210=0,X210=""),"",IF($F$21="Apoyo Infonavit",IF(D211&gt;=C211,0,MIN(IF($F$30="",0,Caratula!$F$30),$AL$30*25)*10%),0))</f>
        <v/>
      </c>
      <c r="S211" s="631"/>
      <c r="T211" s="424" t="str">
        <f>IF(B211="","",'Tabla_Puntual&amp;Relacionamiento'!$B$14)</f>
        <v/>
      </c>
      <c r="U211" s="424"/>
      <c r="V211" s="642" t="str">
        <f t="shared" si="32"/>
        <v/>
      </c>
      <c r="W211" s="642"/>
      <c r="X211" s="642" t="str">
        <f t="shared" si="29"/>
        <v/>
      </c>
      <c r="Y211" s="642"/>
      <c r="AL211" s="420" t="str">
        <f t="shared" si="36"/>
        <v/>
      </c>
      <c r="AM211" s="421">
        <f t="shared" si="40"/>
        <v>0</v>
      </c>
      <c r="AN211" s="637"/>
      <c r="AO211" s="637"/>
      <c r="AP211" s="634"/>
      <c r="AQ211" s="634"/>
      <c r="AR211" s="427"/>
      <c r="AS211" s="522" t="str">
        <f t="shared" si="37"/>
        <v/>
      </c>
    </row>
    <row r="212" spans="2:45" x14ac:dyDescent="0.25">
      <c r="B212" s="426" t="str">
        <f t="shared" si="33"/>
        <v/>
      </c>
      <c r="C212" s="423" t="str">
        <f t="shared" si="34"/>
        <v/>
      </c>
      <c r="D212" s="643" t="str">
        <f t="shared" si="38"/>
        <v/>
      </c>
      <c r="E212" s="643"/>
      <c r="F212" s="643" t="str">
        <f t="shared" si="30"/>
        <v/>
      </c>
      <c r="G212" s="643"/>
      <c r="H212" s="671">
        <f t="shared" si="31"/>
        <v>0</v>
      </c>
      <c r="I212" s="671"/>
      <c r="J212" s="640" t="str">
        <f t="shared" si="35"/>
        <v/>
      </c>
      <c r="K212" s="640"/>
      <c r="L212" s="631" t="str">
        <f t="shared" si="39"/>
        <v/>
      </c>
      <c r="M212" s="631"/>
      <c r="N212" s="631" t="str">
        <f>IF(B212="","",VLOOKUP(TRIM(CONCATENATE($F$20," ",$F$17," ",$F$18," ",$F$22," ",$F$21," ",$F$16," ",$F$23," ",$F$24)),Catalogo_Condicione_Financieras!B:W,22,0)*1.16)</f>
        <v/>
      </c>
      <c r="O212" s="631"/>
      <c r="P212" s="641"/>
      <c r="Q212" s="641"/>
      <c r="R212" s="631"/>
      <c r="S212" s="631"/>
      <c r="T212" s="424" t="str">
        <f>IF(B212="","",'Tabla_Puntual&amp;Relacionamiento'!$B$14)</f>
        <v/>
      </c>
      <c r="U212" s="424"/>
      <c r="V212" s="642" t="str">
        <f t="shared" si="32"/>
        <v/>
      </c>
      <c r="W212" s="642"/>
      <c r="X212" s="642" t="str">
        <f t="shared" si="29"/>
        <v/>
      </c>
      <c r="Y212" s="642"/>
      <c r="AL212" s="420" t="str">
        <f t="shared" si="36"/>
        <v/>
      </c>
      <c r="AM212" s="421">
        <f t="shared" si="40"/>
        <v>0</v>
      </c>
      <c r="AN212" s="637"/>
      <c r="AO212" s="637"/>
      <c r="AP212" s="634"/>
      <c r="AQ212" s="634"/>
      <c r="AR212" s="427"/>
      <c r="AS212" s="522" t="str">
        <f t="shared" si="37"/>
        <v/>
      </c>
    </row>
    <row r="213" spans="2:45" x14ac:dyDescent="0.25">
      <c r="B213" s="426" t="str">
        <f t="shared" si="33"/>
        <v/>
      </c>
      <c r="C213" s="423" t="str">
        <f t="shared" si="34"/>
        <v/>
      </c>
      <c r="D213" s="643" t="str">
        <f t="shared" si="38"/>
        <v/>
      </c>
      <c r="E213" s="643"/>
      <c r="F213" s="643" t="str">
        <f t="shared" si="30"/>
        <v/>
      </c>
      <c r="G213" s="643"/>
      <c r="H213" s="671">
        <f t="shared" si="31"/>
        <v>0</v>
      </c>
      <c r="I213" s="671"/>
      <c r="J213" s="640" t="str">
        <f t="shared" si="35"/>
        <v/>
      </c>
      <c r="K213" s="640"/>
      <c r="L213" s="631" t="str">
        <f t="shared" si="39"/>
        <v/>
      </c>
      <c r="M213" s="631"/>
      <c r="N213" s="631" t="str">
        <f>IF(B213="","",VLOOKUP(TRIM(CONCATENATE($F$20," ",$F$17," ",$F$18," ",$F$22," ",$F$21," ",$F$16," ",$F$23," ",$F$24)),Catalogo_Condicione_Financieras!B:W,22,0)*1.16)</f>
        <v/>
      </c>
      <c r="O213" s="631"/>
      <c r="P213" s="641"/>
      <c r="Q213" s="641"/>
      <c r="R213" s="631" t="str">
        <f>IF(OR(X212=0,X212=""),"",IF($F$21="Apoyo Infonavit",IF(D213&gt;=C213,0,MIN(IF($F$30="",0,Caratula!$F$30),$AL$30*25)*10%),0))</f>
        <v/>
      </c>
      <c r="S213" s="631"/>
      <c r="T213" s="424" t="str">
        <f>IF(B213="","",'Tabla_Puntual&amp;Relacionamiento'!$B$14)</f>
        <v/>
      </c>
      <c r="U213" s="424"/>
      <c r="V213" s="642" t="str">
        <f t="shared" si="32"/>
        <v/>
      </c>
      <c r="W213" s="642"/>
      <c r="X213" s="642" t="str">
        <f t="shared" si="29"/>
        <v/>
      </c>
      <c r="Y213" s="642"/>
      <c r="AL213" s="420" t="str">
        <f t="shared" si="36"/>
        <v/>
      </c>
      <c r="AM213" s="421">
        <f t="shared" si="40"/>
        <v>0</v>
      </c>
      <c r="AN213" s="637"/>
      <c r="AO213" s="637"/>
      <c r="AP213" s="634"/>
      <c r="AQ213" s="634"/>
      <c r="AR213" s="427"/>
      <c r="AS213" s="522" t="str">
        <f t="shared" si="37"/>
        <v/>
      </c>
    </row>
    <row r="214" spans="2:45" x14ac:dyDescent="0.25">
      <c r="B214" s="426" t="str">
        <f t="shared" si="33"/>
        <v/>
      </c>
      <c r="C214" s="423" t="str">
        <f t="shared" si="34"/>
        <v/>
      </c>
      <c r="D214" s="643" t="str">
        <f t="shared" si="38"/>
        <v/>
      </c>
      <c r="E214" s="643"/>
      <c r="F214" s="643" t="str">
        <f t="shared" si="30"/>
        <v/>
      </c>
      <c r="G214" s="643"/>
      <c r="H214" s="671">
        <f t="shared" si="31"/>
        <v>0</v>
      </c>
      <c r="I214" s="671"/>
      <c r="J214" s="640" t="str">
        <f t="shared" si="35"/>
        <v/>
      </c>
      <c r="K214" s="640"/>
      <c r="L214" s="631" t="str">
        <f t="shared" si="39"/>
        <v/>
      </c>
      <c r="M214" s="631"/>
      <c r="N214" s="631" t="str">
        <f>IF(B214="","",VLOOKUP(TRIM(CONCATENATE($F$20," ",$F$17," ",$F$18," ",$F$22," ",$F$21," ",$F$16," ",$F$23," ",$F$24)),Catalogo_Condicione_Financieras!B:W,22,0)*1.16)</f>
        <v/>
      </c>
      <c r="O214" s="631"/>
      <c r="P214" s="641"/>
      <c r="Q214" s="641"/>
      <c r="R214" s="631"/>
      <c r="S214" s="631"/>
      <c r="T214" s="424" t="str">
        <f>IF(B214="","",'Tabla_Puntual&amp;Relacionamiento'!$B$14)</f>
        <v/>
      </c>
      <c r="U214" s="424"/>
      <c r="V214" s="642" t="str">
        <f t="shared" si="32"/>
        <v/>
      </c>
      <c r="W214" s="642"/>
      <c r="X214" s="642" t="str">
        <f t="shared" si="29"/>
        <v/>
      </c>
      <c r="Y214" s="642"/>
      <c r="AL214" s="420" t="str">
        <f t="shared" si="36"/>
        <v/>
      </c>
      <c r="AM214" s="421">
        <f t="shared" si="40"/>
        <v>0</v>
      </c>
      <c r="AN214" s="637"/>
      <c r="AO214" s="637"/>
      <c r="AP214" s="634"/>
      <c r="AQ214" s="634"/>
      <c r="AR214" s="427"/>
      <c r="AS214" s="522" t="str">
        <f t="shared" si="37"/>
        <v/>
      </c>
    </row>
    <row r="215" spans="2:45" x14ac:dyDescent="0.25">
      <c r="B215" s="426" t="str">
        <f t="shared" si="33"/>
        <v/>
      </c>
      <c r="C215" s="423" t="str">
        <f t="shared" si="34"/>
        <v/>
      </c>
      <c r="D215" s="643" t="str">
        <f t="shared" si="38"/>
        <v/>
      </c>
      <c r="E215" s="643"/>
      <c r="F215" s="643" t="str">
        <f t="shared" si="30"/>
        <v/>
      </c>
      <c r="G215" s="643"/>
      <c r="H215" s="671">
        <f t="shared" si="31"/>
        <v>0</v>
      </c>
      <c r="I215" s="671"/>
      <c r="J215" s="640" t="str">
        <f t="shared" si="35"/>
        <v/>
      </c>
      <c r="K215" s="640"/>
      <c r="L215" s="631" t="str">
        <f t="shared" si="39"/>
        <v/>
      </c>
      <c r="M215" s="631"/>
      <c r="N215" s="631" t="str">
        <f>IF(B215="","",VLOOKUP(TRIM(CONCATENATE($F$20," ",$F$17," ",$F$18," ",$F$22," ",$F$21," ",$F$16," ",$F$23," ",$F$24)),Catalogo_Condicione_Financieras!B:W,22,0)*1.16)</f>
        <v/>
      </c>
      <c r="O215" s="631"/>
      <c r="P215" s="641"/>
      <c r="Q215" s="641"/>
      <c r="R215" s="631" t="str">
        <f>IF(OR(X214=0,X214=""),"",IF($F$21="Apoyo Infonavit",IF(D215&gt;=C215,0,MIN(IF($F$30="",0,Caratula!$F$30),$AL$30*25)*10%),0))</f>
        <v/>
      </c>
      <c r="S215" s="631"/>
      <c r="T215" s="424" t="str">
        <f>IF(B215="","",'Tabla_Puntual&amp;Relacionamiento'!$B$14)</f>
        <v/>
      </c>
      <c r="U215" s="424"/>
      <c r="V215" s="642" t="str">
        <f t="shared" si="32"/>
        <v/>
      </c>
      <c r="W215" s="642"/>
      <c r="X215" s="642" t="str">
        <f t="shared" si="29"/>
        <v/>
      </c>
      <c r="Y215" s="642"/>
      <c r="AL215" s="420" t="str">
        <f t="shared" si="36"/>
        <v/>
      </c>
      <c r="AM215" s="421">
        <f t="shared" si="40"/>
        <v>0</v>
      </c>
      <c r="AN215" s="637"/>
      <c r="AO215" s="637"/>
      <c r="AP215" s="634"/>
      <c r="AQ215" s="634"/>
      <c r="AR215" s="427"/>
      <c r="AS215" s="522" t="str">
        <f t="shared" si="37"/>
        <v/>
      </c>
    </row>
    <row r="216" spans="2:45" x14ac:dyDescent="0.25">
      <c r="B216" s="426" t="str">
        <f t="shared" si="33"/>
        <v/>
      </c>
      <c r="C216" s="423" t="str">
        <f t="shared" si="34"/>
        <v/>
      </c>
      <c r="D216" s="643" t="str">
        <f t="shared" si="38"/>
        <v/>
      </c>
      <c r="E216" s="643"/>
      <c r="F216" s="643" t="str">
        <f t="shared" si="30"/>
        <v/>
      </c>
      <c r="G216" s="643"/>
      <c r="H216" s="671">
        <f t="shared" si="31"/>
        <v>0</v>
      </c>
      <c r="I216" s="671"/>
      <c r="J216" s="640" t="str">
        <f t="shared" si="35"/>
        <v/>
      </c>
      <c r="K216" s="640"/>
      <c r="L216" s="631" t="str">
        <f t="shared" si="39"/>
        <v/>
      </c>
      <c r="M216" s="631"/>
      <c r="N216" s="631" t="str">
        <f>IF(B216="","",VLOOKUP(TRIM(CONCATENATE($F$20," ",$F$17," ",$F$18," ",$F$22," ",$F$21," ",$F$16," ",$F$23," ",$F$24)),Catalogo_Condicione_Financieras!B:W,22,0)*1.16)</f>
        <v/>
      </c>
      <c r="O216" s="631"/>
      <c r="P216" s="641"/>
      <c r="Q216" s="641"/>
      <c r="R216" s="631"/>
      <c r="S216" s="631"/>
      <c r="T216" s="424" t="str">
        <f>IF(B216="","",'Tabla_Puntual&amp;Relacionamiento'!$B$14)</f>
        <v/>
      </c>
      <c r="U216" s="424"/>
      <c r="V216" s="642" t="str">
        <f t="shared" si="32"/>
        <v/>
      </c>
      <c r="W216" s="642"/>
      <c r="X216" s="642" t="str">
        <f t="shared" si="29"/>
        <v/>
      </c>
      <c r="Y216" s="642"/>
      <c r="AL216" s="420" t="str">
        <f t="shared" si="36"/>
        <v/>
      </c>
      <c r="AM216" s="421">
        <f t="shared" si="40"/>
        <v>0</v>
      </c>
      <c r="AN216" s="637"/>
      <c r="AO216" s="637"/>
      <c r="AP216" s="634"/>
      <c r="AQ216" s="634"/>
      <c r="AR216" s="427"/>
      <c r="AS216" s="522" t="str">
        <f t="shared" si="37"/>
        <v/>
      </c>
    </row>
    <row r="217" spans="2:45" x14ac:dyDescent="0.25">
      <c r="B217" s="426" t="str">
        <f t="shared" si="33"/>
        <v/>
      </c>
      <c r="C217" s="423" t="str">
        <f t="shared" si="34"/>
        <v/>
      </c>
      <c r="D217" s="643" t="str">
        <f t="shared" si="38"/>
        <v/>
      </c>
      <c r="E217" s="643"/>
      <c r="F217" s="643" t="str">
        <f t="shared" si="30"/>
        <v/>
      </c>
      <c r="G217" s="643"/>
      <c r="H217" s="671">
        <f t="shared" si="31"/>
        <v>0</v>
      </c>
      <c r="I217" s="671"/>
      <c r="J217" s="640" t="str">
        <f t="shared" si="35"/>
        <v/>
      </c>
      <c r="K217" s="640"/>
      <c r="L217" s="631" t="str">
        <f t="shared" si="39"/>
        <v/>
      </c>
      <c r="M217" s="631"/>
      <c r="N217" s="631" t="str">
        <f>IF(B217="","",VLOOKUP(TRIM(CONCATENATE($F$20," ",$F$17," ",$F$18," ",$F$22," ",$F$21," ",$F$16," ",$F$23," ",$F$24)),Catalogo_Condicione_Financieras!B:W,22,0)*1.16)</f>
        <v/>
      </c>
      <c r="O217" s="631"/>
      <c r="P217" s="641"/>
      <c r="Q217" s="641"/>
      <c r="R217" s="631" t="str">
        <f>IF(OR(X216=0,X216=""),"",IF($F$21="Apoyo Infonavit",IF(D217&gt;=C217,0,MIN(IF($F$30="",0,Caratula!$F$30),$AL$30*25)*10%),0))</f>
        <v/>
      </c>
      <c r="S217" s="631"/>
      <c r="T217" s="424" t="str">
        <f>IF(B217="","",'Tabla_Puntual&amp;Relacionamiento'!$B$14)</f>
        <v/>
      </c>
      <c r="U217" s="424"/>
      <c r="V217" s="642" t="str">
        <f t="shared" si="32"/>
        <v/>
      </c>
      <c r="W217" s="642"/>
      <c r="X217" s="642" t="str">
        <f t="shared" si="29"/>
        <v/>
      </c>
      <c r="Y217" s="642"/>
      <c r="AL217" s="420" t="str">
        <f t="shared" si="36"/>
        <v/>
      </c>
      <c r="AM217" s="421">
        <f t="shared" si="40"/>
        <v>0</v>
      </c>
      <c r="AN217" s="637"/>
      <c r="AO217" s="637"/>
      <c r="AP217" s="634"/>
      <c r="AQ217" s="634"/>
      <c r="AR217" s="427"/>
      <c r="AS217" s="522" t="str">
        <f t="shared" si="37"/>
        <v/>
      </c>
    </row>
    <row r="218" spans="2:45" x14ac:dyDescent="0.25">
      <c r="B218" s="426" t="str">
        <f t="shared" si="33"/>
        <v/>
      </c>
      <c r="C218" s="423" t="str">
        <f t="shared" si="34"/>
        <v/>
      </c>
      <c r="D218" s="643" t="str">
        <f t="shared" si="38"/>
        <v/>
      </c>
      <c r="E218" s="643"/>
      <c r="F218" s="643" t="str">
        <f t="shared" si="30"/>
        <v/>
      </c>
      <c r="G218" s="643"/>
      <c r="H218" s="671">
        <f t="shared" si="31"/>
        <v>0</v>
      </c>
      <c r="I218" s="671"/>
      <c r="J218" s="640" t="str">
        <f t="shared" si="35"/>
        <v/>
      </c>
      <c r="K218" s="640"/>
      <c r="L218" s="631" t="str">
        <f t="shared" si="39"/>
        <v/>
      </c>
      <c r="M218" s="631"/>
      <c r="N218" s="631" t="str">
        <f>IF(B218="","",VLOOKUP(TRIM(CONCATENATE($F$20," ",$F$17," ",$F$18," ",$F$22," ",$F$21," ",$F$16," ",$F$23," ",$F$24)),Catalogo_Condicione_Financieras!B:W,22,0)*1.16)</f>
        <v/>
      </c>
      <c r="O218" s="631"/>
      <c r="P218" s="641"/>
      <c r="Q218" s="641"/>
      <c r="R218" s="631"/>
      <c r="S218" s="631"/>
      <c r="T218" s="424" t="str">
        <f>IF(B218="","",'Tabla_Puntual&amp;Relacionamiento'!$B$14)</f>
        <v/>
      </c>
      <c r="U218" s="424"/>
      <c r="V218" s="642" t="str">
        <f t="shared" si="32"/>
        <v/>
      </c>
      <c r="W218" s="642"/>
      <c r="X218" s="642" t="str">
        <f t="shared" si="29"/>
        <v/>
      </c>
      <c r="Y218" s="642"/>
      <c r="AL218" s="420" t="str">
        <f t="shared" si="36"/>
        <v/>
      </c>
      <c r="AM218" s="421">
        <f t="shared" si="40"/>
        <v>0</v>
      </c>
      <c r="AN218" s="637"/>
      <c r="AO218" s="637"/>
      <c r="AP218" s="634"/>
      <c r="AQ218" s="634"/>
      <c r="AR218" s="427"/>
      <c r="AS218" s="522" t="str">
        <f t="shared" si="37"/>
        <v/>
      </c>
    </row>
    <row r="219" spans="2:45" x14ac:dyDescent="0.25">
      <c r="B219" s="426" t="str">
        <f t="shared" si="33"/>
        <v/>
      </c>
      <c r="C219" s="423" t="str">
        <f t="shared" si="34"/>
        <v/>
      </c>
      <c r="D219" s="643" t="str">
        <f t="shared" si="38"/>
        <v/>
      </c>
      <c r="E219" s="643"/>
      <c r="F219" s="643" t="str">
        <f t="shared" si="30"/>
        <v/>
      </c>
      <c r="G219" s="643"/>
      <c r="H219" s="671">
        <f t="shared" si="31"/>
        <v>0</v>
      </c>
      <c r="I219" s="671"/>
      <c r="J219" s="640" t="str">
        <f t="shared" si="35"/>
        <v/>
      </c>
      <c r="K219" s="640"/>
      <c r="L219" s="631" t="str">
        <f t="shared" si="39"/>
        <v/>
      </c>
      <c r="M219" s="631"/>
      <c r="N219" s="631" t="str">
        <f>IF(B219="","",VLOOKUP(TRIM(CONCATENATE($F$20," ",$F$17," ",$F$18," ",$F$22," ",$F$21," ",$F$16," ",$F$23," ",$F$24)),Catalogo_Condicione_Financieras!B:W,22,0)*1.16)</f>
        <v/>
      </c>
      <c r="O219" s="631"/>
      <c r="P219" s="641"/>
      <c r="Q219" s="641"/>
      <c r="R219" s="631" t="str">
        <f>IF(OR(X218=0,X218=""),"",IF($F$21="Apoyo Infonavit",IF(D219&gt;=C219,0,MIN(IF($F$30="",0,Caratula!$F$30),$AL$30*25)*10%),0))</f>
        <v/>
      </c>
      <c r="S219" s="631"/>
      <c r="T219" s="424" t="str">
        <f>IF(B219="","",'Tabla_Puntual&amp;Relacionamiento'!$B$14)</f>
        <v/>
      </c>
      <c r="U219" s="424"/>
      <c r="V219" s="642" t="str">
        <f t="shared" si="32"/>
        <v/>
      </c>
      <c r="W219" s="642"/>
      <c r="X219" s="642" t="str">
        <f t="shared" si="29"/>
        <v/>
      </c>
      <c r="Y219" s="642"/>
      <c r="AL219" s="420" t="str">
        <f t="shared" si="36"/>
        <v/>
      </c>
      <c r="AM219" s="421">
        <f t="shared" si="40"/>
        <v>0</v>
      </c>
      <c r="AN219" s="637"/>
      <c r="AO219" s="637"/>
      <c r="AP219" s="634"/>
      <c r="AQ219" s="634"/>
      <c r="AR219" s="427"/>
      <c r="AS219" s="522" t="str">
        <f t="shared" si="37"/>
        <v/>
      </c>
    </row>
    <row r="220" spans="2:45" x14ac:dyDescent="0.25">
      <c r="B220" s="426" t="str">
        <f t="shared" si="33"/>
        <v/>
      </c>
      <c r="C220" s="423" t="str">
        <f t="shared" si="34"/>
        <v/>
      </c>
      <c r="D220" s="643" t="str">
        <f t="shared" si="38"/>
        <v/>
      </c>
      <c r="E220" s="643"/>
      <c r="F220" s="643" t="str">
        <f t="shared" si="30"/>
        <v/>
      </c>
      <c r="G220" s="643"/>
      <c r="H220" s="671">
        <f t="shared" si="31"/>
        <v>0</v>
      </c>
      <c r="I220" s="671"/>
      <c r="J220" s="640" t="str">
        <f t="shared" si="35"/>
        <v/>
      </c>
      <c r="K220" s="640"/>
      <c r="L220" s="631" t="str">
        <f t="shared" si="39"/>
        <v/>
      </c>
      <c r="M220" s="631"/>
      <c r="N220" s="631" t="str">
        <f>IF(B220="","",VLOOKUP(TRIM(CONCATENATE($F$20," ",$F$17," ",$F$18," ",$F$22," ",$F$21," ",$F$16," ",$F$23," ",$F$24)),Catalogo_Condicione_Financieras!B:W,22,0)*1.16)</f>
        <v/>
      </c>
      <c r="O220" s="631"/>
      <c r="P220" s="641"/>
      <c r="Q220" s="641"/>
      <c r="R220" s="631"/>
      <c r="S220" s="631"/>
      <c r="T220" s="424" t="str">
        <f>IF(B220="","",'Tabla_Puntual&amp;Relacionamiento'!$B$15)</f>
        <v/>
      </c>
      <c r="U220" s="424" t="str">
        <f>IF(B220="","",IF($F$16="Pago_Bajo_Puntual",0.019,""))</f>
        <v/>
      </c>
      <c r="V220" s="642" t="str">
        <f t="shared" si="32"/>
        <v/>
      </c>
      <c r="W220" s="642"/>
      <c r="X220" s="642" t="str">
        <f t="shared" si="29"/>
        <v/>
      </c>
      <c r="Y220" s="642"/>
      <c r="AL220" s="420" t="str">
        <f t="shared" si="36"/>
        <v/>
      </c>
      <c r="AM220" s="421">
        <f t="shared" si="40"/>
        <v>0</v>
      </c>
      <c r="AN220" s="637"/>
      <c r="AO220" s="637"/>
      <c r="AP220" s="634"/>
      <c r="AQ220" s="634"/>
      <c r="AR220" s="427"/>
      <c r="AS220" s="522" t="str">
        <f t="shared" si="37"/>
        <v/>
      </c>
    </row>
    <row r="221" spans="2:45" x14ac:dyDescent="0.25">
      <c r="B221" s="426" t="str">
        <f t="shared" si="33"/>
        <v/>
      </c>
      <c r="C221" s="423" t="str">
        <f t="shared" si="34"/>
        <v/>
      </c>
      <c r="D221" s="643" t="str">
        <f t="shared" si="38"/>
        <v/>
      </c>
      <c r="E221" s="643"/>
      <c r="F221" s="643" t="str">
        <f t="shared" si="30"/>
        <v/>
      </c>
      <c r="G221" s="643"/>
      <c r="H221" s="671">
        <f t="shared" si="31"/>
        <v>0</v>
      </c>
      <c r="I221" s="671"/>
      <c r="J221" s="640" t="str">
        <f t="shared" si="35"/>
        <v/>
      </c>
      <c r="K221" s="640"/>
      <c r="L221" s="631" t="str">
        <f t="shared" si="39"/>
        <v/>
      </c>
      <c r="M221" s="631"/>
      <c r="N221" s="631" t="str">
        <f>IF(B221="","",VLOOKUP(TRIM(CONCATENATE($F$20," ",$F$17," ",$F$18," ",$F$22," ",$F$21," ",$F$16," ",$F$23," ",$F$24)),Catalogo_Condicione_Financieras!B:W,22,0)*1.16)</f>
        <v/>
      </c>
      <c r="O221" s="631"/>
      <c r="P221" s="641"/>
      <c r="Q221" s="641"/>
      <c r="R221" s="631" t="str">
        <f>IF(OR(X220=0,X220=""),"",IF($F$21="Apoyo Infonavit",IF(D221&gt;=C221,0,MIN(IF($F$30="",0,Caratula!$F$30),$AL$30*25)*10%),0))</f>
        <v/>
      </c>
      <c r="S221" s="631"/>
      <c r="T221" s="424" t="str">
        <f>IF(B221="","",'Tabla_Puntual&amp;Relacionamiento'!$B$15)</f>
        <v/>
      </c>
      <c r="U221" s="424"/>
      <c r="V221" s="642" t="str">
        <f t="shared" si="32"/>
        <v/>
      </c>
      <c r="W221" s="642"/>
      <c r="X221" s="642" t="str">
        <f t="shared" si="29"/>
        <v/>
      </c>
      <c r="Y221" s="642"/>
      <c r="AL221" s="420" t="str">
        <f t="shared" si="36"/>
        <v/>
      </c>
      <c r="AM221" s="421">
        <f t="shared" si="40"/>
        <v>0</v>
      </c>
      <c r="AN221" s="637"/>
      <c r="AO221" s="637"/>
      <c r="AP221" s="634"/>
      <c r="AQ221" s="634"/>
      <c r="AR221" s="427"/>
      <c r="AS221" s="522" t="str">
        <f t="shared" si="37"/>
        <v/>
      </c>
    </row>
    <row r="222" spans="2:45" x14ac:dyDescent="0.25">
      <c r="B222" s="426" t="str">
        <f t="shared" si="33"/>
        <v/>
      </c>
      <c r="C222" s="423" t="str">
        <f t="shared" si="34"/>
        <v/>
      </c>
      <c r="D222" s="643" t="str">
        <f t="shared" si="38"/>
        <v/>
      </c>
      <c r="E222" s="643"/>
      <c r="F222" s="643" t="str">
        <f t="shared" si="30"/>
        <v/>
      </c>
      <c r="G222" s="643"/>
      <c r="H222" s="671">
        <f t="shared" si="31"/>
        <v>0</v>
      </c>
      <c r="I222" s="671"/>
      <c r="J222" s="640" t="str">
        <f t="shared" si="35"/>
        <v/>
      </c>
      <c r="K222" s="640"/>
      <c r="L222" s="631" t="str">
        <f t="shared" si="39"/>
        <v/>
      </c>
      <c r="M222" s="631"/>
      <c r="N222" s="631" t="str">
        <f>IF(B222="","",VLOOKUP(TRIM(CONCATENATE($F$20," ",$F$17," ",$F$18," ",$F$22," ",$F$21," ",$F$16," ",$F$23," ",$F$24)),Catalogo_Condicione_Financieras!B:W,22,0)*1.16)</f>
        <v/>
      </c>
      <c r="O222" s="631"/>
      <c r="P222" s="641"/>
      <c r="Q222" s="641"/>
      <c r="R222" s="631"/>
      <c r="S222" s="631"/>
      <c r="T222" s="424" t="str">
        <f>IF(B222="","",'Tabla_Puntual&amp;Relacionamiento'!$B$15)</f>
        <v/>
      </c>
      <c r="U222" s="424"/>
      <c r="V222" s="642" t="str">
        <f t="shared" si="32"/>
        <v/>
      </c>
      <c r="W222" s="642"/>
      <c r="X222" s="642" t="str">
        <f t="shared" si="29"/>
        <v/>
      </c>
      <c r="Y222" s="642"/>
      <c r="AL222" s="420" t="str">
        <f t="shared" si="36"/>
        <v/>
      </c>
      <c r="AM222" s="421">
        <f t="shared" si="40"/>
        <v>0</v>
      </c>
      <c r="AN222" s="637"/>
      <c r="AO222" s="637"/>
      <c r="AP222" s="634"/>
      <c r="AQ222" s="634"/>
      <c r="AR222" s="427"/>
      <c r="AS222" s="522" t="str">
        <f t="shared" si="37"/>
        <v/>
      </c>
    </row>
    <row r="223" spans="2:45" x14ac:dyDescent="0.25">
      <c r="B223" s="426" t="str">
        <f t="shared" si="33"/>
        <v/>
      </c>
      <c r="C223" s="423" t="str">
        <f t="shared" si="34"/>
        <v/>
      </c>
      <c r="D223" s="643" t="str">
        <f t="shared" si="38"/>
        <v/>
      </c>
      <c r="E223" s="643"/>
      <c r="F223" s="643" t="str">
        <f t="shared" si="30"/>
        <v/>
      </c>
      <c r="G223" s="643"/>
      <c r="H223" s="671">
        <f t="shared" si="31"/>
        <v>0</v>
      </c>
      <c r="I223" s="671"/>
      <c r="J223" s="640" t="str">
        <f t="shared" si="35"/>
        <v/>
      </c>
      <c r="K223" s="640"/>
      <c r="L223" s="631" t="str">
        <f t="shared" si="39"/>
        <v/>
      </c>
      <c r="M223" s="631"/>
      <c r="N223" s="631" t="str">
        <f>IF(B223="","",VLOOKUP(TRIM(CONCATENATE($F$20," ",$F$17," ",$F$18," ",$F$22," ",$F$21," ",$F$16," ",$F$23," ",$F$24)),Catalogo_Condicione_Financieras!B:W,22,0)*1.16)</f>
        <v/>
      </c>
      <c r="O223" s="631"/>
      <c r="P223" s="641"/>
      <c r="Q223" s="641"/>
      <c r="R223" s="631" t="str">
        <f>IF(OR(X222=0,X222=""),"",IF($F$21="Apoyo Infonavit",IF(D223&gt;=C223,0,MIN(IF($F$30="",0,Caratula!$F$30),$AL$30*25)*10%),0))</f>
        <v/>
      </c>
      <c r="S223" s="631"/>
      <c r="T223" s="424" t="str">
        <f>IF(B223="","",'Tabla_Puntual&amp;Relacionamiento'!$B$15)</f>
        <v/>
      </c>
      <c r="U223" s="424"/>
      <c r="V223" s="642" t="str">
        <f t="shared" si="32"/>
        <v/>
      </c>
      <c r="W223" s="642"/>
      <c r="X223" s="642" t="str">
        <f t="shared" si="29"/>
        <v/>
      </c>
      <c r="Y223" s="642"/>
      <c r="AL223" s="420" t="str">
        <f t="shared" si="36"/>
        <v/>
      </c>
      <c r="AM223" s="421">
        <f t="shared" si="40"/>
        <v>0</v>
      </c>
      <c r="AN223" s="637"/>
      <c r="AO223" s="637"/>
      <c r="AP223" s="634"/>
      <c r="AQ223" s="634"/>
      <c r="AR223" s="427"/>
      <c r="AS223" s="522" t="str">
        <f t="shared" si="37"/>
        <v/>
      </c>
    </row>
    <row r="224" spans="2:45" x14ac:dyDescent="0.25">
      <c r="B224" s="426" t="str">
        <f t="shared" si="33"/>
        <v/>
      </c>
      <c r="C224" s="423" t="str">
        <f t="shared" si="34"/>
        <v/>
      </c>
      <c r="D224" s="643" t="str">
        <f t="shared" si="38"/>
        <v/>
      </c>
      <c r="E224" s="643"/>
      <c r="F224" s="643" t="str">
        <f t="shared" si="30"/>
        <v/>
      </c>
      <c r="G224" s="643"/>
      <c r="H224" s="671">
        <f t="shared" si="31"/>
        <v>0</v>
      </c>
      <c r="I224" s="671"/>
      <c r="J224" s="640" t="str">
        <f t="shared" si="35"/>
        <v/>
      </c>
      <c r="K224" s="640"/>
      <c r="L224" s="631" t="str">
        <f t="shared" si="39"/>
        <v/>
      </c>
      <c r="M224" s="631"/>
      <c r="N224" s="631" t="str">
        <f>IF(B224="","",VLOOKUP(TRIM(CONCATENATE($F$20," ",$F$17," ",$F$18," ",$F$22," ",$F$21," ",$F$16," ",$F$23," ",$F$24)),Catalogo_Condicione_Financieras!B:W,22,0)*1.16)</f>
        <v/>
      </c>
      <c r="O224" s="631"/>
      <c r="P224" s="641"/>
      <c r="Q224" s="641"/>
      <c r="R224" s="631"/>
      <c r="S224" s="631"/>
      <c r="T224" s="424" t="str">
        <f>IF(B224="","",'Tabla_Puntual&amp;Relacionamiento'!$B$15)</f>
        <v/>
      </c>
      <c r="U224" s="424"/>
      <c r="V224" s="642" t="str">
        <f t="shared" si="32"/>
        <v/>
      </c>
      <c r="W224" s="642"/>
      <c r="X224" s="642" t="str">
        <f t="shared" si="29"/>
        <v/>
      </c>
      <c r="Y224" s="642"/>
      <c r="AL224" s="420" t="str">
        <f t="shared" si="36"/>
        <v/>
      </c>
      <c r="AM224" s="421">
        <f t="shared" si="40"/>
        <v>0</v>
      </c>
      <c r="AN224" s="637"/>
      <c r="AO224" s="637"/>
      <c r="AP224" s="634"/>
      <c r="AQ224" s="634"/>
      <c r="AR224" s="427"/>
      <c r="AS224" s="522" t="str">
        <f t="shared" si="37"/>
        <v/>
      </c>
    </row>
    <row r="225" spans="2:45" x14ac:dyDescent="0.25">
      <c r="B225" s="426" t="str">
        <f t="shared" si="33"/>
        <v/>
      </c>
      <c r="C225" s="423" t="str">
        <f t="shared" si="34"/>
        <v/>
      </c>
      <c r="D225" s="643" t="str">
        <f t="shared" si="38"/>
        <v/>
      </c>
      <c r="E225" s="643"/>
      <c r="F225" s="643" t="str">
        <f t="shared" si="30"/>
        <v/>
      </c>
      <c r="G225" s="643"/>
      <c r="H225" s="671">
        <f t="shared" si="31"/>
        <v>0</v>
      </c>
      <c r="I225" s="671"/>
      <c r="J225" s="640" t="str">
        <f t="shared" si="35"/>
        <v/>
      </c>
      <c r="K225" s="640"/>
      <c r="L225" s="631" t="str">
        <f t="shared" si="39"/>
        <v/>
      </c>
      <c r="M225" s="631"/>
      <c r="N225" s="631" t="str">
        <f>IF(B225="","",VLOOKUP(TRIM(CONCATENATE($F$20," ",$F$17," ",$F$18," ",$F$22," ",$F$21," ",$F$16," ",$F$23," ",$F$24)),Catalogo_Condicione_Financieras!B:W,22,0)*1.16)</f>
        <v/>
      </c>
      <c r="O225" s="631"/>
      <c r="P225" s="641"/>
      <c r="Q225" s="641"/>
      <c r="R225" s="631" t="str">
        <f>IF(OR(X224=0,X224=""),"",IF($F$21="Apoyo Infonavit",IF(D225&gt;=C225,0,MIN(IF($F$30="",0,Caratula!$F$30),$AL$30*25)*10%),0))</f>
        <v/>
      </c>
      <c r="S225" s="631"/>
      <c r="T225" s="424" t="str">
        <f>IF(B225="","",'Tabla_Puntual&amp;Relacionamiento'!$B$15)</f>
        <v/>
      </c>
      <c r="U225" s="424"/>
      <c r="V225" s="642" t="str">
        <f t="shared" si="32"/>
        <v/>
      </c>
      <c r="W225" s="642"/>
      <c r="X225" s="642" t="str">
        <f t="shared" si="29"/>
        <v/>
      </c>
      <c r="Y225" s="642"/>
      <c r="AL225" s="420" t="str">
        <f t="shared" si="36"/>
        <v/>
      </c>
      <c r="AM225" s="421">
        <f t="shared" si="40"/>
        <v>0</v>
      </c>
      <c r="AN225" s="637"/>
      <c r="AO225" s="637"/>
      <c r="AP225" s="634"/>
      <c r="AQ225" s="634"/>
      <c r="AR225" s="427"/>
      <c r="AS225" s="522" t="str">
        <f t="shared" si="37"/>
        <v/>
      </c>
    </row>
    <row r="226" spans="2:45" x14ac:dyDescent="0.25">
      <c r="B226" s="426" t="str">
        <f t="shared" si="33"/>
        <v/>
      </c>
      <c r="C226" s="423" t="str">
        <f t="shared" si="34"/>
        <v/>
      </c>
      <c r="D226" s="643" t="str">
        <f t="shared" si="38"/>
        <v/>
      </c>
      <c r="E226" s="643"/>
      <c r="F226" s="643" t="str">
        <f t="shared" si="30"/>
        <v/>
      </c>
      <c r="G226" s="643"/>
      <c r="H226" s="671">
        <f t="shared" si="31"/>
        <v>0</v>
      </c>
      <c r="I226" s="671"/>
      <c r="J226" s="640" t="str">
        <f t="shared" si="35"/>
        <v/>
      </c>
      <c r="K226" s="640"/>
      <c r="L226" s="631" t="str">
        <f t="shared" si="39"/>
        <v/>
      </c>
      <c r="M226" s="631"/>
      <c r="N226" s="631" t="str">
        <f>IF(B226="","",VLOOKUP(TRIM(CONCATENATE($F$20," ",$F$17," ",$F$18," ",$F$22," ",$F$21," ",$F$16," ",$F$23," ",$F$24)),Catalogo_Condicione_Financieras!B:W,22,0)*1.16)</f>
        <v/>
      </c>
      <c r="O226" s="631"/>
      <c r="P226" s="641"/>
      <c r="Q226" s="641"/>
      <c r="R226" s="631"/>
      <c r="S226" s="631"/>
      <c r="T226" s="424" t="str">
        <f>IF(B226="","",'Tabla_Puntual&amp;Relacionamiento'!$B$15)</f>
        <v/>
      </c>
      <c r="U226" s="424"/>
      <c r="V226" s="642" t="str">
        <f t="shared" si="32"/>
        <v/>
      </c>
      <c r="W226" s="642"/>
      <c r="X226" s="642" t="str">
        <f t="shared" si="29"/>
        <v/>
      </c>
      <c r="Y226" s="642"/>
      <c r="AL226" s="420" t="str">
        <f t="shared" si="36"/>
        <v/>
      </c>
      <c r="AM226" s="421">
        <f t="shared" si="40"/>
        <v>0</v>
      </c>
      <c r="AN226" s="637"/>
      <c r="AO226" s="637"/>
      <c r="AP226" s="634"/>
      <c r="AQ226" s="634"/>
      <c r="AR226" s="427"/>
      <c r="AS226" s="522" t="str">
        <f t="shared" si="37"/>
        <v/>
      </c>
    </row>
    <row r="227" spans="2:45" x14ac:dyDescent="0.25">
      <c r="B227" s="426" t="str">
        <f t="shared" si="33"/>
        <v/>
      </c>
      <c r="C227" s="423" t="str">
        <f t="shared" si="34"/>
        <v/>
      </c>
      <c r="D227" s="643" t="str">
        <f t="shared" si="38"/>
        <v/>
      </c>
      <c r="E227" s="643"/>
      <c r="F227" s="643" t="str">
        <f t="shared" si="30"/>
        <v/>
      </c>
      <c r="G227" s="643"/>
      <c r="H227" s="671">
        <f t="shared" si="31"/>
        <v>0</v>
      </c>
      <c r="I227" s="671"/>
      <c r="J227" s="640" t="str">
        <f t="shared" si="35"/>
        <v/>
      </c>
      <c r="K227" s="640"/>
      <c r="L227" s="631" t="str">
        <f t="shared" si="39"/>
        <v/>
      </c>
      <c r="M227" s="631"/>
      <c r="N227" s="631" t="str">
        <f>IF(B227="","",VLOOKUP(TRIM(CONCATENATE($F$20," ",$F$17," ",$F$18," ",$F$22," ",$F$21," ",$F$16," ",$F$23," ",$F$24)),Catalogo_Condicione_Financieras!B:W,22,0)*1.16)</f>
        <v/>
      </c>
      <c r="O227" s="631"/>
      <c r="P227" s="641"/>
      <c r="Q227" s="641"/>
      <c r="R227" s="631" t="str">
        <f>IF(OR(X226=0,X226=""),"",IF($F$21="Apoyo Infonavit",IF(D227&gt;=C227,0,MIN(IF($F$30="",0,Caratula!$F$30),$AL$30*25)*10%),0))</f>
        <v/>
      </c>
      <c r="S227" s="631"/>
      <c r="T227" s="424" t="str">
        <f>IF(B227="","",'Tabla_Puntual&amp;Relacionamiento'!$B$15)</f>
        <v/>
      </c>
      <c r="U227" s="424"/>
      <c r="V227" s="642" t="str">
        <f t="shared" si="32"/>
        <v/>
      </c>
      <c r="W227" s="642"/>
      <c r="X227" s="642" t="str">
        <f t="shared" si="29"/>
        <v/>
      </c>
      <c r="Y227" s="642"/>
      <c r="AL227" s="420" t="str">
        <f t="shared" si="36"/>
        <v/>
      </c>
      <c r="AM227" s="421">
        <f t="shared" si="40"/>
        <v>0</v>
      </c>
      <c r="AN227" s="637"/>
      <c r="AO227" s="637"/>
      <c r="AP227" s="634"/>
      <c r="AQ227" s="634"/>
      <c r="AR227" s="427"/>
      <c r="AS227" s="522" t="str">
        <f t="shared" si="37"/>
        <v/>
      </c>
    </row>
    <row r="228" spans="2:45" x14ac:dyDescent="0.25">
      <c r="B228" s="426" t="str">
        <f t="shared" si="33"/>
        <v/>
      </c>
      <c r="C228" s="423" t="str">
        <f t="shared" si="34"/>
        <v/>
      </c>
      <c r="D228" s="643" t="str">
        <f t="shared" si="38"/>
        <v/>
      </c>
      <c r="E228" s="643"/>
      <c r="F228" s="643" t="str">
        <f t="shared" si="30"/>
        <v/>
      </c>
      <c r="G228" s="643"/>
      <c r="H228" s="671">
        <f t="shared" si="31"/>
        <v>0</v>
      </c>
      <c r="I228" s="671"/>
      <c r="J228" s="640" t="str">
        <f t="shared" si="35"/>
        <v/>
      </c>
      <c r="K228" s="640"/>
      <c r="L228" s="631" t="str">
        <f t="shared" si="39"/>
        <v/>
      </c>
      <c r="M228" s="631"/>
      <c r="N228" s="631" t="str">
        <f>IF(B228="","",VLOOKUP(TRIM(CONCATENATE($F$20," ",$F$17," ",$F$18," ",$F$22," ",$F$21," ",$F$16," ",$F$23," ",$F$24)),Catalogo_Condicione_Financieras!B:W,22,0)*1.16)</f>
        <v/>
      </c>
      <c r="O228" s="631"/>
      <c r="P228" s="641"/>
      <c r="Q228" s="641"/>
      <c r="R228" s="631"/>
      <c r="S228" s="631"/>
      <c r="T228" s="424" t="str">
        <f>IF(B228="","",'Tabla_Puntual&amp;Relacionamiento'!$B$15)</f>
        <v/>
      </c>
      <c r="U228" s="424"/>
      <c r="V228" s="642" t="str">
        <f t="shared" si="32"/>
        <v/>
      </c>
      <c r="W228" s="642"/>
      <c r="X228" s="642" t="str">
        <f t="shared" si="29"/>
        <v/>
      </c>
      <c r="Y228" s="642"/>
      <c r="AL228" s="420" t="str">
        <f t="shared" si="36"/>
        <v/>
      </c>
      <c r="AM228" s="421">
        <f t="shared" si="40"/>
        <v>0</v>
      </c>
      <c r="AN228" s="637"/>
      <c r="AO228" s="637"/>
      <c r="AP228" s="634"/>
      <c r="AQ228" s="634"/>
      <c r="AR228" s="427"/>
      <c r="AS228" s="522" t="str">
        <f t="shared" si="37"/>
        <v/>
      </c>
    </row>
    <row r="229" spans="2:45" x14ac:dyDescent="0.25">
      <c r="B229" s="426" t="str">
        <f t="shared" si="33"/>
        <v/>
      </c>
      <c r="C229" s="423" t="str">
        <f t="shared" si="34"/>
        <v/>
      </c>
      <c r="D229" s="643" t="str">
        <f t="shared" si="38"/>
        <v/>
      </c>
      <c r="E229" s="643"/>
      <c r="F229" s="643" t="str">
        <f t="shared" si="30"/>
        <v/>
      </c>
      <c r="G229" s="643"/>
      <c r="H229" s="671">
        <f t="shared" si="31"/>
        <v>0</v>
      </c>
      <c r="I229" s="671"/>
      <c r="J229" s="640" t="str">
        <f t="shared" si="35"/>
        <v/>
      </c>
      <c r="K229" s="640"/>
      <c r="L229" s="631" t="str">
        <f t="shared" si="39"/>
        <v/>
      </c>
      <c r="M229" s="631"/>
      <c r="N229" s="631" t="str">
        <f>IF(B229="","",VLOOKUP(TRIM(CONCATENATE($F$20," ",$F$17," ",$F$18," ",$F$22," ",$F$21," ",$F$16," ",$F$23," ",$F$24)),Catalogo_Condicione_Financieras!B:W,22,0)*1.16)</f>
        <v/>
      </c>
      <c r="O229" s="631"/>
      <c r="P229" s="641"/>
      <c r="Q229" s="641"/>
      <c r="R229" s="631" t="str">
        <f>IF(OR(X228=0,X228=""),"",IF($F$21="Apoyo Infonavit",IF(D229&gt;=C229,0,MIN(IF($F$30="",0,Caratula!$F$30),$AL$30*25)*10%),0))</f>
        <v/>
      </c>
      <c r="S229" s="631"/>
      <c r="T229" s="424" t="str">
        <f>IF(B229="","",'Tabla_Puntual&amp;Relacionamiento'!$B$15)</f>
        <v/>
      </c>
      <c r="U229" s="424"/>
      <c r="V229" s="642" t="str">
        <f t="shared" si="32"/>
        <v/>
      </c>
      <c r="W229" s="642"/>
      <c r="X229" s="642" t="str">
        <f t="shared" si="29"/>
        <v/>
      </c>
      <c r="Y229" s="642"/>
      <c r="AL229" s="420" t="str">
        <f t="shared" si="36"/>
        <v/>
      </c>
      <c r="AM229" s="421">
        <f t="shared" si="40"/>
        <v>0</v>
      </c>
      <c r="AN229" s="637"/>
      <c r="AO229" s="637"/>
      <c r="AP229" s="634"/>
      <c r="AQ229" s="634"/>
      <c r="AR229" s="427"/>
      <c r="AS229" s="522" t="str">
        <f t="shared" si="37"/>
        <v/>
      </c>
    </row>
    <row r="230" spans="2:45" x14ac:dyDescent="0.25">
      <c r="B230" s="426" t="str">
        <f t="shared" si="33"/>
        <v/>
      </c>
      <c r="C230" s="423" t="str">
        <f t="shared" si="34"/>
        <v/>
      </c>
      <c r="D230" s="643" t="str">
        <f t="shared" si="38"/>
        <v/>
      </c>
      <c r="E230" s="643"/>
      <c r="F230" s="643" t="str">
        <f t="shared" si="30"/>
        <v/>
      </c>
      <c r="G230" s="643"/>
      <c r="H230" s="671">
        <f t="shared" si="31"/>
        <v>0</v>
      </c>
      <c r="I230" s="671"/>
      <c r="J230" s="640" t="str">
        <f t="shared" si="35"/>
        <v/>
      </c>
      <c r="K230" s="640"/>
      <c r="L230" s="631" t="str">
        <f t="shared" si="39"/>
        <v/>
      </c>
      <c r="M230" s="631"/>
      <c r="N230" s="631" t="str">
        <f>IF(B230="","",VLOOKUP(TRIM(CONCATENATE($F$20," ",$F$17," ",$F$18," ",$F$22," ",$F$21," ",$F$16," ",$F$23," ",$F$24)),Catalogo_Condicione_Financieras!B:W,22,0)*1.16)</f>
        <v/>
      </c>
      <c r="O230" s="631"/>
      <c r="P230" s="641"/>
      <c r="Q230" s="641"/>
      <c r="R230" s="631"/>
      <c r="S230" s="631"/>
      <c r="T230" s="424" t="str">
        <f>IF(B230="","",'Tabla_Puntual&amp;Relacionamiento'!$B$15)</f>
        <v/>
      </c>
      <c r="U230" s="424"/>
      <c r="V230" s="642" t="str">
        <f t="shared" si="32"/>
        <v/>
      </c>
      <c r="W230" s="642"/>
      <c r="X230" s="642" t="str">
        <f t="shared" si="29"/>
        <v/>
      </c>
      <c r="Y230" s="642"/>
      <c r="AL230" s="420" t="str">
        <f t="shared" si="36"/>
        <v/>
      </c>
      <c r="AM230" s="421">
        <f t="shared" si="40"/>
        <v>0</v>
      </c>
      <c r="AN230" s="637"/>
      <c r="AO230" s="637"/>
      <c r="AP230" s="634"/>
      <c r="AQ230" s="634"/>
      <c r="AR230" s="427"/>
      <c r="AS230" s="522" t="str">
        <f t="shared" si="37"/>
        <v/>
      </c>
    </row>
    <row r="231" spans="2:45" x14ac:dyDescent="0.25">
      <c r="B231" s="426" t="str">
        <f t="shared" si="33"/>
        <v/>
      </c>
      <c r="C231" s="423" t="str">
        <f t="shared" si="34"/>
        <v/>
      </c>
      <c r="D231" s="643" t="str">
        <f t="shared" si="38"/>
        <v/>
      </c>
      <c r="E231" s="643"/>
      <c r="F231" s="643" t="str">
        <f t="shared" si="30"/>
        <v/>
      </c>
      <c r="G231" s="643"/>
      <c r="H231" s="671">
        <f t="shared" si="31"/>
        <v>0</v>
      </c>
      <c r="I231" s="671"/>
      <c r="J231" s="640" t="str">
        <f t="shared" si="35"/>
        <v/>
      </c>
      <c r="K231" s="640"/>
      <c r="L231" s="631" t="str">
        <f t="shared" si="39"/>
        <v/>
      </c>
      <c r="M231" s="631"/>
      <c r="N231" s="631" t="str">
        <f>IF(B231="","",VLOOKUP(TRIM(CONCATENATE($F$20," ",$F$17," ",$F$18," ",$F$22," ",$F$21," ",$F$16," ",$F$23," ",$F$24)),Catalogo_Condicione_Financieras!B:W,22,0)*1.16)</f>
        <v/>
      </c>
      <c r="O231" s="631"/>
      <c r="P231" s="641"/>
      <c r="Q231" s="641"/>
      <c r="R231" s="631" t="str">
        <f>IF(OR(X230=0,X230=""),"",IF($F$21="Apoyo Infonavit",IF(D231&gt;=C231,0,MIN(IF($F$30="",0,Caratula!$F$30),$AL$30*25)*10%),0))</f>
        <v/>
      </c>
      <c r="S231" s="631"/>
      <c r="T231" s="424" t="str">
        <f>IF(B231="","",'Tabla_Puntual&amp;Relacionamiento'!$B$15)</f>
        <v/>
      </c>
      <c r="U231" s="424"/>
      <c r="V231" s="642" t="str">
        <f t="shared" si="32"/>
        <v/>
      </c>
      <c r="W231" s="642"/>
      <c r="X231" s="642" t="str">
        <f t="shared" si="29"/>
        <v/>
      </c>
      <c r="Y231" s="642"/>
      <c r="AL231" s="420" t="str">
        <f t="shared" si="36"/>
        <v/>
      </c>
      <c r="AM231" s="421">
        <f t="shared" si="40"/>
        <v>0</v>
      </c>
      <c r="AN231" s="637"/>
      <c r="AO231" s="637"/>
      <c r="AP231" s="634"/>
      <c r="AQ231" s="634"/>
      <c r="AR231" s="427"/>
      <c r="AS231" s="522" t="str">
        <f t="shared" si="37"/>
        <v/>
      </c>
    </row>
    <row r="232" spans="2:45" x14ac:dyDescent="0.25">
      <c r="B232" s="426" t="str">
        <f t="shared" si="33"/>
        <v/>
      </c>
      <c r="C232" s="423" t="str">
        <f t="shared" si="34"/>
        <v/>
      </c>
      <c r="D232" s="643" t="str">
        <f t="shared" si="38"/>
        <v/>
      </c>
      <c r="E232" s="643"/>
      <c r="F232" s="643" t="str">
        <f t="shared" si="30"/>
        <v/>
      </c>
      <c r="G232" s="643"/>
      <c r="H232" s="671">
        <f t="shared" si="31"/>
        <v>0</v>
      </c>
      <c r="I232" s="671"/>
      <c r="J232" s="640" t="str">
        <f t="shared" si="35"/>
        <v/>
      </c>
      <c r="K232" s="640"/>
      <c r="L232" s="631" t="str">
        <f t="shared" si="39"/>
        <v/>
      </c>
      <c r="M232" s="631"/>
      <c r="N232" s="631" t="str">
        <f>IF(B232="","",VLOOKUP(TRIM(CONCATENATE($F$20," ",$F$17," ",$F$18," ",$F$22," ",$F$21," ",$F$16," ",$F$23," ",$F$24)),Catalogo_Condicione_Financieras!B:W,22,0)*1.16)</f>
        <v/>
      </c>
      <c r="O232" s="631"/>
      <c r="P232" s="641"/>
      <c r="Q232" s="641"/>
      <c r="R232" s="631"/>
      <c r="S232" s="631"/>
      <c r="T232" s="424" t="str">
        <f>IF(B232="","",'Tabla_Puntual&amp;Relacionamiento'!$B$16)</f>
        <v/>
      </c>
      <c r="U232" s="424" t="str">
        <f>IF(B232="","",IF($F$16="Pago_Bajo_Puntual",0.019,""))</f>
        <v/>
      </c>
      <c r="V232" s="642" t="str">
        <f t="shared" si="32"/>
        <v/>
      </c>
      <c r="W232" s="642"/>
      <c r="X232" s="642" t="str">
        <f t="shared" si="29"/>
        <v/>
      </c>
      <c r="Y232" s="642"/>
      <c r="AL232" s="420" t="str">
        <f t="shared" si="36"/>
        <v/>
      </c>
      <c r="AM232" s="421">
        <f t="shared" si="40"/>
        <v>0</v>
      </c>
      <c r="AN232" s="637"/>
      <c r="AO232" s="637"/>
      <c r="AP232" s="634"/>
      <c r="AQ232" s="634"/>
      <c r="AR232" s="427"/>
      <c r="AS232" s="522" t="str">
        <f t="shared" si="37"/>
        <v/>
      </c>
    </row>
    <row r="233" spans="2:45" x14ac:dyDescent="0.25">
      <c r="B233" s="426" t="str">
        <f t="shared" si="33"/>
        <v/>
      </c>
      <c r="C233" s="423" t="str">
        <f t="shared" si="34"/>
        <v/>
      </c>
      <c r="D233" s="643" t="str">
        <f t="shared" si="38"/>
        <v/>
      </c>
      <c r="E233" s="643"/>
      <c r="F233" s="643" t="str">
        <f t="shared" si="30"/>
        <v/>
      </c>
      <c r="G233" s="643"/>
      <c r="H233" s="671">
        <f t="shared" si="31"/>
        <v>0</v>
      </c>
      <c r="I233" s="671"/>
      <c r="J233" s="640" t="str">
        <f t="shared" si="35"/>
        <v/>
      </c>
      <c r="K233" s="640"/>
      <c r="L233" s="631" t="str">
        <f t="shared" si="39"/>
        <v/>
      </c>
      <c r="M233" s="631"/>
      <c r="N233" s="631" t="str">
        <f>IF(B233="","",VLOOKUP(TRIM(CONCATENATE($F$20," ",$F$17," ",$F$18," ",$F$22," ",$F$21," ",$F$16," ",$F$23," ",$F$24)),Catalogo_Condicione_Financieras!B:W,22,0)*1.16)</f>
        <v/>
      </c>
      <c r="O233" s="631"/>
      <c r="P233" s="641"/>
      <c r="Q233" s="641"/>
      <c r="R233" s="631" t="str">
        <f>IF(OR(X232=0,X232=""),"",IF($F$21="Apoyo Infonavit",IF(D233&gt;=C233,0,MIN(IF($F$30="",0,Caratula!$F$30),$AL$30*25)*10%),0))</f>
        <v/>
      </c>
      <c r="S233" s="631"/>
      <c r="T233" s="424" t="str">
        <f>IF(B233="","",'Tabla_Puntual&amp;Relacionamiento'!$B$16)</f>
        <v/>
      </c>
      <c r="U233" s="424"/>
      <c r="V233" s="642" t="str">
        <f t="shared" si="32"/>
        <v/>
      </c>
      <c r="W233" s="642"/>
      <c r="X233" s="642" t="str">
        <f t="shared" si="29"/>
        <v/>
      </c>
      <c r="Y233" s="642"/>
      <c r="AL233" s="420" t="str">
        <f t="shared" si="36"/>
        <v/>
      </c>
      <c r="AM233" s="421">
        <f t="shared" si="40"/>
        <v>0</v>
      </c>
      <c r="AN233" s="637"/>
      <c r="AO233" s="637"/>
      <c r="AP233" s="634"/>
      <c r="AQ233" s="634"/>
      <c r="AR233" s="427"/>
      <c r="AS233" s="522" t="str">
        <f t="shared" si="37"/>
        <v/>
      </c>
    </row>
    <row r="234" spans="2:45" x14ac:dyDescent="0.25">
      <c r="B234" s="426" t="str">
        <f t="shared" si="33"/>
        <v/>
      </c>
      <c r="C234" s="423" t="str">
        <f t="shared" si="34"/>
        <v/>
      </c>
      <c r="D234" s="643" t="str">
        <f t="shared" si="38"/>
        <v/>
      </c>
      <c r="E234" s="643"/>
      <c r="F234" s="643" t="str">
        <f t="shared" si="30"/>
        <v/>
      </c>
      <c r="G234" s="643"/>
      <c r="H234" s="671">
        <f t="shared" si="31"/>
        <v>0</v>
      </c>
      <c r="I234" s="671"/>
      <c r="J234" s="640" t="str">
        <f t="shared" si="35"/>
        <v/>
      </c>
      <c r="K234" s="640"/>
      <c r="L234" s="631" t="str">
        <f t="shared" si="39"/>
        <v/>
      </c>
      <c r="M234" s="631"/>
      <c r="N234" s="631" t="str">
        <f>IF(B234="","",VLOOKUP(TRIM(CONCATENATE($F$20," ",$F$17," ",$F$18," ",$F$22," ",$F$21," ",$F$16," ",$F$23," ",$F$24)),Catalogo_Condicione_Financieras!B:W,22,0)*1.16)</f>
        <v/>
      </c>
      <c r="O234" s="631"/>
      <c r="P234" s="641"/>
      <c r="Q234" s="641"/>
      <c r="R234" s="631"/>
      <c r="S234" s="631"/>
      <c r="T234" s="424" t="str">
        <f>IF(B234="","",'Tabla_Puntual&amp;Relacionamiento'!$B$16)</f>
        <v/>
      </c>
      <c r="U234" s="424"/>
      <c r="V234" s="642" t="str">
        <f t="shared" si="32"/>
        <v/>
      </c>
      <c r="W234" s="642"/>
      <c r="X234" s="642" t="str">
        <f t="shared" si="29"/>
        <v/>
      </c>
      <c r="Y234" s="642"/>
      <c r="AL234" s="420" t="str">
        <f t="shared" si="36"/>
        <v/>
      </c>
      <c r="AM234" s="421">
        <f t="shared" si="40"/>
        <v>0</v>
      </c>
      <c r="AN234" s="637"/>
      <c r="AO234" s="637"/>
      <c r="AP234" s="634"/>
      <c r="AQ234" s="634"/>
      <c r="AR234" s="427"/>
      <c r="AS234" s="522" t="str">
        <f t="shared" si="37"/>
        <v/>
      </c>
    </row>
    <row r="235" spans="2:45" x14ac:dyDescent="0.25">
      <c r="B235" s="426" t="str">
        <f t="shared" si="33"/>
        <v/>
      </c>
      <c r="C235" s="423" t="str">
        <f t="shared" si="34"/>
        <v/>
      </c>
      <c r="D235" s="643" t="str">
        <f t="shared" si="38"/>
        <v/>
      </c>
      <c r="E235" s="643"/>
      <c r="F235" s="643" t="str">
        <f t="shared" si="30"/>
        <v/>
      </c>
      <c r="G235" s="643"/>
      <c r="H235" s="671">
        <f t="shared" si="31"/>
        <v>0</v>
      </c>
      <c r="I235" s="671"/>
      <c r="J235" s="640" t="str">
        <f t="shared" si="35"/>
        <v/>
      </c>
      <c r="K235" s="640"/>
      <c r="L235" s="631" t="str">
        <f t="shared" si="39"/>
        <v/>
      </c>
      <c r="M235" s="631"/>
      <c r="N235" s="631" t="str">
        <f>IF(B235="","",VLOOKUP(TRIM(CONCATENATE($F$20," ",$F$17," ",$F$18," ",$F$22," ",$F$21," ",$F$16," ",$F$23," ",$F$24)),Catalogo_Condicione_Financieras!B:W,22,0)*1.16)</f>
        <v/>
      </c>
      <c r="O235" s="631"/>
      <c r="P235" s="641"/>
      <c r="Q235" s="641"/>
      <c r="R235" s="631" t="str">
        <f>IF(OR(X234=0,X234=""),"",IF($F$21="Apoyo Infonavit",IF(D235&gt;=C235,0,MIN(IF($F$30="",0,Caratula!$F$30),$AL$30*25)*10%),0))</f>
        <v/>
      </c>
      <c r="S235" s="631"/>
      <c r="T235" s="424" t="str">
        <f>IF(B235="","",'Tabla_Puntual&amp;Relacionamiento'!$B$16)</f>
        <v/>
      </c>
      <c r="U235" s="424"/>
      <c r="V235" s="642" t="str">
        <f t="shared" si="32"/>
        <v/>
      </c>
      <c r="W235" s="642"/>
      <c r="X235" s="642" t="str">
        <f t="shared" si="29"/>
        <v/>
      </c>
      <c r="Y235" s="642"/>
      <c r="AL235" s="420" t="str">
        <f t="shared" si="36"/>
        <v/>
      </c>
      <c r="AM235" s="421">
        <f t="shared" si="40"/>
        <v>0</v>
      </c>
      <c r="AN235" s="637"/>
      <c r="AO235" s="637"/>
      <c r="AP235" s="634"/>
      <c r="AQ235" s="634"/>
      <c r="AR235" s="427"/>
      <c r="AS235" s="522" t="str">
        <f t="shared" si="37"/>
        <v/>
      </c>
    </row>
    <row r="236" spans="2:45" x14ac:dyDescent="0.25">
      <c r="B236" s="426" t="str">
        <f t="shared" si="33"/>
        <v/>
      </c>
      <c r="C236" s="423" t="str">
        <f t="shared" si="34"/>
        <v/>
      </c>
      <c r="D236" s="643" t="str">
        <f t="shared" si="38"/>
        <v/>
      </c>
      <c r="E236" s="643"/>
      <c r="F236" s="643" t="str">
        <f t="shared" si="30"/>
        <v/>
      </c>
      <c r="G236" s="643"/>
      <c r="H236" s="671">
        <f t="shared" si="31"/>
        <v>0</v>
      </c>
      <c r="I236" s="671"/>
      <c r="J236" s="640" t="str">
        <f t="shared" si="35"/>
        <v/>
      </c>
      <c r="K236" s="640"/>
      <c r="L236" s="631" t="str">
        <f t="shared" si="39"/>
        <v/>
      </c>
      <c r="M236" s="631"/>
      <c r="N236" s="631" t="str">
        <f>IF(B236="","",VLOOKUP(TRIM(CONCATENATE($F$20," ",$F$17," ",$F$18," ",$F$22," ",$F$21," ",$F$16," ",$F$23," ",$F$24)),Catalogo_Condicione_Financieras!B:W,22,0)*1.16)</f>
        <v/>
      </c>
      <c r="O236" s="631"/>
      <c r="P236" s="641"/>
      <c r="Q236" s="641"/>
      <c r="R236" s="631"/>
      <c r="S236" s="631"/>
      <c r="T236" s="424" t="str">
        <f>IF(B236="","",'Tabla_Puntual&amp;Relacionamiento'!$B$16)</f>
        <v/>
      </c>
      <c r="U236" s="424"/>
      <c r="V236" s="642" t="str">
        <f t="shared" si="32"/>
        <v/>
      </c>
      <c r="W236" s="642"/>
      <c r="X236" s="642" t="str">
        <f t="shared" si="29"/>
        <v/>
      </c>
      <c r="Y236" s="642"/>
      <c r="AL236" s="420" t="str">
        <f t="shared" si="36"/>
        <v/>
      </c>
      <c r="AM236" s="421">
        <f t="shared" si="40"/>
        <v>0</v>
      </c>
      <c r="AN236" s="637"/>
      <c r="AO236" s="637"/>
      <c r="AP236" s="634"/>
      <c r="AQ236" s="634"/>
      <c r="AR236" s="427"/>
      <c r="AS236" s="522" t="str">
        <f t="shared" si="37"/>
        <v/>
      </c>
    </row>
    <row r="237" spans="2:45" x14ac:dyDescent="0.25">
      <c r="B237" s="426" t="str">
        <f t="shared" si="33"/>
        <v/>
      </c>
      <c r="C237" s="423" t="str">
        <f t="shared" si="34"/>
        <v/>
      </c>
      <c r="D237" s="643" t="str">
        <f t="shared" si="38"/>
        <v/>
      </c>
      <c r="E237" s="643"/>
      <c r="F237" s="643" t="str">
        <f t="shared" si="30"/>
        <v/>
      </c>
      <c r="G237" s="643"/>
      <c r="H237" s="671">
        <f t="shared" si="31"/>
        <v>0</v>
      </c>
      <c r="I237" s="671"/>
      <c r="J237" s="640" t="str">
        <f t="shared" si="35"/>
        <v/>
      </c>
      <c r="K237" s="640"/>
      <c r="L237" s="631" t="str">
        <f t="shared" si="39"/>
        <v/>
      </c>
      <c r="M237" s="631"/>
      <c r="N237" s="631" t="str">
        <f>IF(B237="","",VLOOKUP(TRIM(CONCATENATE($F$20," ",$F$17," ",$F$18," ",$F$22," ",$F$21," ",$F$16," ",$F$23," ",$F$24)),Catalogo_Condicione_Financieras!B:W,22,0)*1.16)</f>
        <v/>
      </c>
      <c r="O237" s="631"/>
      <c r="P237" s="641"/>
      <c r="Q237" s="641"/>
      <c r="R237" s="631" t="str">
        <f>IF(OR(X236=0,X236=""),"",IF($F$21="Apoyo Infonavit",IF(D237&gt;=C237,0,MIN(IF($F$30="",0,Caratula!$F$30),$AL$30*25)*10%),0))</f>
        <v/>
      </c>
      <c r="S237" s="631"/>
      <c r="T237" s="424" t="str">
        <f>IF(B237="","",'Tabla_Puntual&amp;Relacionamiento'!$B$16)</f>
        <v/>
      </c>
      <c r="U237" s="424"/>
      <c r="V237" s="642" t="str">
        <f t="shared" si="32"/>
        <v/>
      </c>
      <c r="W237" s="642"/>
      <c r="X237" s="642" t="str">
        <f t="shared" si="29"/>
        <v/>
      </c>
      <c r="Y237" s="642"/>
      <c r="AL237" s="420" t="str">
        <f t="shared" si="36"/>
        <v/>
      </c>
      <c r="AM237" s="421">
        <f t="shared" si="40"/>
        <v>0</v>
      </c>
      <c r="AN237" s="637"/>
      <c r="AO237" s="637"/>
      <c r="AP237" s="634"/>
      <c r="AQ237" s="634"/>
      <c r="AR237" s="427"/>
      <c r="AS237" s="522" t="str">
        <f t="shared" si="37"/>
        <v/>
      </c>
    </row>
    <row r="238" spans="2:45" x14ac:dyDescent="0.25">
      <c r="B238" s="426" t="str">
        <f t="shared" si="33"/>
        <v/>
      </c>
      <c r="C238" s="423" t="str">
        <f t="shared" si="34"/>
        <v/>
      </c>
      <c r="D238" s="643" t="str">
        <f t="shared" si="38"/>
        <v/>
      </c>
      <c r="E238" s="643"/>
      <c r="F238" s="643" t="str">
        <f t="shared" si="30"/>
        <v/>
      </c>
      <c r="G238" s="643"/>
      <c r="H238" s="671">
        <f t="shared" si="31"/>
        <v>0</v>
      </c>
      <c r="I238" s="671"/>
      <c r="J238" s="640" t="str">
        <f t="shared" si="35"/>
        <v/>
      </c>
      <c r="K238" s="640"/>
      <c r="L238" s="631" t="str">
        <f t="shared" si="39"/>
        <v/>
      </c>
      <c r="M238" s="631"/>
      <c r="N238" s="631" t="str">
        <f>IF(B238="","",VLOOKUP(TRIM(CONCATENATE($F$20," ",$F$17," ",$F$18," ",$F$22," ",$F$21," ",$F$16," ",$F$23," ",$F$24)),Catalogo_Condicione_Financieras!B:W,22,0)*1.16)</f>
        <v/>
      </c>
      <c r="O238" s="631"/>
      <c r="P238" s="641"/>
      <c r="Q238" s="641"/>
      <c r="R238" s="631"/>
      <c r="S238" s="631"/>
      <c r="T238" s="424" t="str">
        <f>IF(B238="","",'Tabla_Puntual&amp;Relacionamiento'!$B$16)</f>
        <v/>
      </c>
      <c r="U238" s="424"/>
      <c r="V238" s="642" t="str">
        <f t="shared" si="32"/>
        <v/>
      </c>
      <c r="W238" s="642"/>
      <c r="X238" s="642" t="str">
        <f t="shared" si="29"/>
        <v/>
      </c>
      <c r="Y238" s="642"/>
      <c r="AL238" s="420" t="str">
        <f t="shared" si="36"/>
        <v/>
      </c>
      <c r="AM238" s="421">
        <f t="shared" si="40"/>
        <v>0</v>
      </c>
      <c r="AN238" s="637"/>
      <c r="AO238" s="637"/>
      <c r="AP238" s="634"/>
      <c r="AQ238" s="634"/>
      <c r="AR238" s="427"/>
      <c r="AS238" s="522" t="str">
        <f t="shared" si="37"/>
        <v/>
      </c>
    </row>
    <row r="239" spans="2:45" x14ac:dyDescent="0.25">
      <c r="B239" s="426" t="str">
        <f t="shared" si="33"/>
        <v/>
      </c>
      <c r="C239" s="423" t="str">
        <f t="shared" si="34"/>
        <v/>
      </c>
      <c r="D239" s="643" t="str">
        <f t="shared" si="38"/>
        <v/>
      </c>
      <c r="E239" s="643"/>
      <c r="F239" s="643" t="str">
        <f t="shared" si="30"/>
        <v/>
      </c>
      <c r="G239" s="643"/>
      <c r="H239" s="671">
        <f t="shared" si="31"/>
        <v>0</v>
      </c>
      <c r="I239" s="671"/>
      <c r="J239" s="640" t="str">
        <f t="shared" si="35"/>
        <v/>
      </c>
      <c r="K239" s="640"/>
      <c r="L239" s="631" t="str">
        <f t="shared" si="39"/>
        <v/>
      </c>
      <c r="M239" s="631"/>
      <c r="N239" s="631" t="str">
        <f>IF(B239="","",VLOOKUP(TRIM(CONCATENATE($F$20," ",$F$17," ",$F$18," ",$F$22," ",$F$21," ",$F$16," ",$F$23," ",$F$24)),Catalogo_Condicione_Financieras!B:W,22,0)*1.16)</f>
        <v/>
      </c>
      <c r="O239" s="631"/>
      <c r="P239" s="641"/>
      <c r="Q239" s="641"/>
      <c r="R239" s="631" t="str">
        <f>IF(OR(X238=0,X238=""),"",IF($F$21="Apoyo Infonavit",IF(D239&gt;=C239,0,MIN(IF($F$30="",0,Caratula!$F$30),$AL$30*25)*10%),0))</f>
        <v/>
      </c>
      <c r="S239" s="631"/>
      <c r="T239" s="424" t="str">
        <f>IF(B239="","",'Tabla_Puntual&amp;Relacionamiento'!$B$16)</f>
        <v/>
      </c>
      <c r="U239" s="424"/>
      <c r="V239" s="642" t="str">
        <f t="shared" si="32"/>
        <v/>
      </c>
      <c r="W239" s="642"/>
      <c r="X239" s="642" t="str">
        <f t="shared" si="29"/>
        <v/>
      </c>
      <c r="Y239" s="642"/>
      <c r="AL239" s="420" t="str">
        <f t="shared" si="36"/>
        <v/>
      </c>
      <c r="AM239" s="421">
        <f t="shared" si="40"/>
        <v>0</v>
      </c>
      <c r="AN239" s="637"/>
      <c r="AO239" s="637"/>
      <c r="AP239" s="634"/>
      <c r="AQ239" s="634"/>
      <c r="AR239" s="427"/>
      <c r="AS239" s="522" t="str">
        <f t="shared" si="37"/>
        <v/>
      </c>
    </row>
    <row r="240" spans="2:45" x14ac:dyDescent="0.25">
      <c r="B240" s="426" t="str">
        <f t="shared" si="33"/>
        <v/>
      </c>
      <c r="C240" s="423" t="str">
        <f t="shared" si="34"/>
        <v/>
      </c>
      <c r="D240" s="643" t="str">
        <f t="shared" si="38"/>
        <v/>
      </c>
      <c r="E240" s="643"/>
      <c r="F240" s="643" t="str">
        <f t="shared" si="30"/>
        <v/>
      </c>
      <c r="G240" s="643"/>
      <c r="H240" s="671">
        <f t="shared" si="31"/>
        <v>0</v>
      </c>
      <c r="I240" s="671"/>
      <c r="J240" s="640" t="str">
        <f t="shared" si="35"/>
        <v/>
      </c>
      <c r="K240" s="640"/>
      <c r="L240" s="631" t="str">
        <f t="shared" si="39"/>
        <v/>
      </c>
      <c r="M240" s="631"/>
      <c r="N240" s="631" t="str">
        <f>IF(B240="","",VLOOKUP(TRIM(CONCATENATE($F$20," ",$F$17," ",$F$18," ",$F$22," ",$F$21," ",$F$16," ",$F$23," ",$F$24)),Catalogo_Condicione_Financieras!B:W,22,0)*1.16)</f>
        <v/>
      </c>
      <c r="O240" s="631"/>
      <c r="P240" s="641"/>
      <c r="Q240" s="641"/>
      <c r="R240" s="631"/>
      <c r="S240" s="631"/>
      <c r="T240" s="424" t="str">
        <f>IF(B240="","",'Tabla_Puntual&amp;Relacionamiento'!$B$16)</f>
        <v/>
      </c>
      <c r="U240" s="424"/>
      <c r="V240" s="642" t="str">
        <f t="shared" si="32"/>
        <v/>
      </c>
      <c r="W240" s="642"/>
      <c r="X240" s="642" t="str">
        <f t="shared" si="29"/>
        <v/>
      </c>
      <c r="Y240" s="642"/>
      <c r="AL240" s="420" t="str">
        <f t="shared" si="36"/>
        <v/>
      </c>
      <c r="AM240" s="421">
        <f t="shared" si="40"/>
        <v>0</v>
      </c>
      <c r="AN240" s="637"/>
      <c r="AO240" s="637"/>
      <c r="AP240" s="634"/>
      <c r="AQ240" s="634"/>
      <c r="AR240" s="427"/>
      <c r="AS240" s="522" t="str">
        <f t="shared" si="37"/>
        <v/>
      </c>
    </row>
    <row r="241" spans="2:45" x14ac:dyDescent="0.25">
      <c r="B241" s="426" t="str">
        <f t="shared" si="33"/>
        <v/>
      </c>
      <c r="C241" s="423" t="str">
        <f t="shared" si="34"/>
        <v/>
      </c>
      <c r="D241" s="643" t="str">
        <f t="shared" si="38"/>
        <v/>
      </c>
      <c r="E241" s="643"/>
      <c r="F241" s="643" t="str">
        <f t="shared" si="30"/>
        <v/>
      </c>
      <c r="G241" s="643"/>
      <c r="H241" s="671">
        <f t="shared" si="31"/>
        <v>0</v>
      </c>
      <c r="I241" s="671"/>
      <c r="J241" s="640" t="str">
        <f t="shared" si="35"/>
        <v/>
      </c>
      <c r="K241" s="640"/>
      <c r="L241" s="631" t="str">
        <f t="shared" si="39"/>
        <v/>
      </c>
      <c r="M241" s="631"/>
      <c r="N241" s="631" t="str">
        <f>IF(B241="","",VLOOKUP(TRIM(CONCATENATE($F$20," ",$F$17," ",$F$18," ",$F$22," ",$F$21," ",$F$16," ",$F$23," ",$F$24)),Catalogo_Condicione_Financieras!B:W,22,0)*1.16)</f>
        <v/>
      </c>
      <c r="O241" s="631"/>
      <c r="P241" s="641"/>
      <c r="Q241" s="641"/>
      <c r="R241" s="631" t="str">
        <f>IF(OR(X240=0,X240=""),"",IF($F$21="Apoyo Infonavit",IF(D241&gt;=C241,0,MIN(IF($F$30="",0,Caratula!$F$30),$AL$30*25)*10%),0))</f>
        <v/>
      </c>
      <c r="S241" s="631"/>
      <c r="T241" s="424" t="str">
        <f>IF(B241="","",'Tabla_Puntual&amp;Relacionamiento'!$B$16)</f>
        <v/>
      </c>
      <c r="U241" s="424"/>
      <c r="V241" s="642" t="str">
        <f t="shared" si="32"/>
        <v/>
      </c>
      <c r="W241" s="642"/>
      <c r="X241" s="642" t="str">
        <f t="shared" si="29"/>
        <v/>
      </c>
      <c r="Y241" s="642"/>
      <c r="AL241" s="420" t="str">
        <f t="shared" si="36"/>
        <v/>
      </c>
      <c r="AM241" s="421">
        <f t="shared" si="40"/>
        <v>0</v>
      </c>
      <c r="AN241" s="637"/>
      <c r="AO241" s="637"/>
      <c r="AP241" s="634"/>
      <c r="AQ241" s="634"/>
      <c r="AR241" s="427"/>
      <c r="AS241" s="522" t="str">
        <f t="shared" si="37"/>
        <v/>
      </c>
    </row>
    <row r="242" spans="2:45" x14ac:dyDescent="0.25">
      <c r="B242" s="426" t="str">
        <f t="shared" si="33"/>
        <v/>
      </c>
      <c r="C242" s="423" t="str">
        <f t="shared" si="34"/>
        <v/>
      </c>
      <c r="D242" s="643" t="str">
        <f t="shared" si="38"/>
        <v/>
      </c>
      <c r="E242" s="643"/>
      <c r="F242" s="643" t="str">
        <f t="shared" si="30"/>
        <v/>
      </c>
      <c r="G242" s="643"/>
      <c r="H242" s="671">
        <f t="shared" si="31"/>
        <v>0</v>
      </c>
      <c r="I242" s="671"/>
      <c r="J242" s="640" t="str">
        <f t="shared" si="35"/>
        <v/>
      </c>
      <c r="K242" s="640"/>
      <c r="L242" s="631" t="str">
        <f t="shared" si="39"/>
        <v/>
      </c>
      <c r="M242" s="631"/>
      <c r="N242" s="631" t="str">
        <f>IF(B242="","",VLOOKUP(TRIM(CONCATENATE($F$20," ",$F$17," ",$F$18," ",$F$22," ",$F$21," ",$F$16," ",$F$23," ",$F$24)),Catalogo_Condicione_Financieras!B:W,22,0)*1.16)</f>
        <v/>
      </c>
      <c r="O242" s="631"/>
      <c r="P242" s="641"/>
      <c r="Q242" s="641"/>
      <c r="R242" s="631"/>
      <c r="S242" s="631"/>
      <c r="T242" s="424" t="str">
        <f>IF(B242="","",'Tabla_Puntual&amp;Relacionamiento'!$B$16)</f>
        <v/>
      </c>
      <c r="U242" s="424"/>
      <c r="V242" s="642" t="str">
        <f t="shared" si="32"/>
        <v/>
      </c>
      <c r="W242" s="642"/>
      <c r="X242" s="642" t="str">
        <f t="shared" si="29"/>
        <v/>
      </c>
      <c r="Y242" s="642"/>
      <c r="AL242" s="420" t="str">
        <f t="shared" si="36"/>
        <v/>
      </c>
      <c r="AM242" s="421">
        <f t="shared" si="40"/>
        <v>0</v>
      </c>
      <c r="AN242" s="637"/>
      <c r="AO242" s="637"/>
      <c r="AP242" s="634"/>
      <c r="AQ242" s="634"/>
      <c r="AR242" s="427"/>
      <c r="AS242" s="522" t="str">
        <f t="shared" si="37"/>
        <v/>
      </c>
    </row>
    <row r="243" spans="2:45" x14ac:dyDescent="0.25">
      <c r="B243" s="426" t="str">
        <f t="shared" si="33"/>
        <v/>
      </c>
      <c r="C243" s="423" t="str">
        <f t="shared" si="34"/>
        <v/>
      </c>
      <c r="D243" s="643" t="str">
        <f t="shared" si="38"/>
        <v/>
      </c>
      <c r="E243" s="643"/>
      <c r="F243" s="643" t="str">
        <f t="shared" si="30"/>
        <v/>
      </c>
      <c r="G243" s="643"/>
      <c r="H243" s="671">
        <f t="shared" si="31"/>
        <v>0</v>
      </c>
      <c r="I243" s="671"/>
      <c r="J243" s="640" t="str">
        <f t="shared" si="35"/>
        <v/>
      </c>
      <c r="K243" s="640"/>
      <c r="L243" s="631" t="str">
        <f t="shared" si="39"/>
        <v/>
      </c>
      <c r="M243" s="631"/>
      <c r="N243" s="631" t="str">
        <f>IF(B243="","",VLOOKUP(TRIM(CONCATENATE($F$20," ",$F$17," ",$F$18," ",$F$22," ",$F$21," ",$F$16," ",$F$23," ",$F$24)),Catalogo_Condicione_Financieras!B:W,22,0)*1.16)</f>
        <v/>
      </c>
      <c r="O243" s="631"/>
      <c r="P243" s="641"/>
      <c r="Q243" s="641"/>
      <c r="R243" s="631" t="str">
        <f>IF(OR(X242=0,X242=""),"",IF($F$21="Apoyo Infonavit",IF(D243&gt;=C243,0,MIN(IF($F$30="",0,Caratula!$F$30),$AL$30*25)*10%),0))</f>
        <v/>
      </c>
      <c r="S243" s="631"/>
      <c r="T243" s="424" t="str">
        <f>IF(B243="","",'Tabla_Puntual&amp;Relacionamiento'!$B$16)</f>
        <v/>
      </c>
      <c r="U243" s="424"/>
      <c r="V243" s="642" t="str">
        <f t="shared" si="32"/>
        <v/>
      </c>
      <c r="W243" s="642"/>
      <c r="X243" s="642" t="str">
        <f t="shared" si="29"/>
        <v/>
      </c>
      <c r="Y243" s="642"/>
      <c r="AL243" s="420" t="str">
        <f t="shared" si="36"/>
        <v/>
      </c>
      <c r="AM243" s="421">
        <f t="shared" si="40"/>
        <v>0</v>
      </c>
      <c r="AN243" s="637"/>
      <c r="AO243" s="637"/>
      <c r="AP243" s="634"/>
      <c r="AQ243" s="634"/>
      <c r="AR243" s="427"/>
      <c r="AS243" s="522" t="str">
        <f t="shared" si="37"/>
        <v/>
      </c>
    </row>
    <row r="244" spans="2:45" x14ac:dyDescent="0.25">
      <c r="B244" s="426" t="str">
        <f t="shared" si="33"/>
        <v/>
      </c>
      <c r="C244" s="423" t="str">
        <f t="shared" si="34"/>
        <v/>
      </c>
      <c r="D244" s="643" t="str">
        <f t="shared" si="38"/>
        <v/>
      </c>
      <c r="E244" s="643"/>
      <c r="F244" s="643" t="str">
        <f t="shared" si="30"/>
        <v/>
      </c>
      <c r="G244" s="643"/>
      <c r="H244" s="671">
        <f t="shared" si="31"/>
        <v>0</v>
      </c>
      <c r="I244" s="671"/>
      <c r="J244" s="640" t="str">
        <f t="shared" si="35"/>
        <v/>
      </c>
      <c r="K244" s="640"/>
      <c r="L244" s="631" t="str">
        <f t="shared" si="39"/>
        <v/>
      </c>
      <c r="M244" s="631"/>
      <c r="N244" s="631" t="str">
        <f>IF(B244="","",VLOOKUP(TRIM(CONCATENATE($F$20," ",$F$17," ",$F$18," ",$F$22," ",$F$21," ",$F$16," ",$F$23," ",$F$24)),Catalogo_Condicione_Financieras!B:W,22,0)*1.16)</f>
        <v/>
      </c>
      <c r="O244" s="631"/>
      <c r="P244" s="641"/>
      <c r="Q244" s="641"/>
      <c r="R244" s="631"/>
      <c r="S244" s="631"/>
      <c r="T244" s="424" t="str">
        <f>IF(B244="","",'Tabla_Puntual&amp;Relacionamiento'!$B$17)</f>
        <v/>
      </c>
      <c r="U244" s="424" t="str">
        <f>IF(B244="","",IF($F$16="Pago_Bajo_Puntual",0.019,""))</f>
        <v/>
      </c>
      <c r="V244" s="642" t="str">
        <f t="shared" si="32"/>
        <v/>
      </c>
      <c r="W244" s="642"/>
      <c r="X244" s="642" t="str">
        <f t="shared" si="29"/>
        <v/>
      </c>
      <c r="Y244" s="642"/>
      <c r="AL244" s="420" t="str">
        <f t="shared" si="36"/>
        <v/>
      </c>
      <c r="AM244" s="421">
        <f t="shared" si="40"/>
        <v>0</v>
      </c>
      <c r="AN244" s="637"/>
      <c r="AO244" s="637"/>
      <c r="AP244" s="634"/>
      <c r="AQ244" s="634"/>
      <c r="AR244" s="427"/>
      <c r="AS244" s="522" t="str">
        <f t="shared" si="37"/>
        <v/>
      </c>
    </row>
    <row r="245" spans="2:45" x14ac:dyDescent="0.25">
      <c r="B245" s="426" t="str">
        <f t="shared" si="33"/>
        <v/>
      </c>
      <c r="C245" s="423" t="str">
        <f t="shared" si="34"/>
        <v/>
      </c>
      <c r="D245" s="643" t="str">
        <f t="shared" si="38"/>
        <v/>
      </c>
      <c r="E245" s="643"/>
      <c r="F245" s="643" t="str">
        <f t="shared" si="30"/>
        <v/>
      </c>
      <c r="G245" s="643"/>
      <c r="H245" s="671">
        <f t="shared" si="31"/>
        <v>0</v>
      </c>
      <c r="I245" s="671"/>
      <c r="J245" s="640" t="str">
        <f t="shared" si="35"/>
        <v/>
      </c>
      <c r="K245" s="640"/>
      <c r="L245" s="631" t="str">
        <f t="shared" si="39"/>
        <v/>
      </c>
      <c r="M245" s="631"/>
      <c r="N245" s="631" t="str">
        <f>IF(B245="","",VLOOKUP(TRIM(CONCATENATE($F$20," ",$F$17," ",$F$18," ",$F$22," ",$F$21," ",$F$16," ",$F$23," ",$F$24)),Catalogo_Condicione_Financieras!B:W,22,0)*1.16)</f>
        <v/>
      </c>
      <c r="O245" s="631"/>
      <c r="P245" s="641"/>
      <c r="Q245" s="641"/>
      <c r="R245" s="631" t="str">
        <f>IF(OR(X244=0,X244=""),"",IF($F$21="Apoyo Infonavit",IF(D245&gt;=C245,0,MIN(IF($F$30="",0,Caratula!$F$30),$AL$30*25)*10%),0))</f>
        <v/>
      </c>
      <c r="S245" s="631"/>
      <c r="T245" s="424" t="str">
        <f>IF(B245="","",'Tabla_Puntual&amp;Relacionamiento'!$B$17)</f>
        <v/>
      </c>
      <c r="U245" s="424"/>
      <c r="V245" s="642" t="str">
        <f t="shared" si="32"/>
        <v/>
      </c>
      <c r="W245" s="642"/>
      <c r="X245" s="642" t="str">
        <f t="shared" si="29"/>
        <v/>
      </c>
      <c r="Y245" s="642"/>
      <c r="AL245" s="420" t="str">
        <f t="shared" si="36"/>
        <v/>
      </c>
      <c r="AM245" s="421">
        <f t="shared" si="40"/>
        <v>0</v>
      </c>
      <c r="AN245" s="637"/>
      <c r="AO245" s="637"/>
      <c r="AP245" s="634"/>
      <c r="AQ245" s="634"/>
      <c r="AR245" s="427"/>
      <c r="AS245" s="522" t="str">
        <f t="shared" si="37"/>
        <v/>
      </c>
    </row>
    <row r="246" spans="2:45" x14ac:dyDescent="0.25">
      <c r="B246" s="426" t="str">
        <f t="shared" si="33"/>
        <v/>
      </c>
      <c r="C246" s="423" t="str">
        <f t="shared" si="34"/>
        <v/>
      </c>
      <c r="D246" s="643" t="str">
        <f t="shared" si="38"/>
        <v/>
      </c>
      <c r="E246" s="643"/>
      <c r="F246" s="643" t="str">
        <f t="shared" si="30"/>
        <v/>
      </c>
      <c r="G246" s="643"/>
      <c r="H246" s="671">
        <f t="shared" si="31"/>
        <v>0</v>
      </c>
      <c r="I246" s="671"/>
      <c r="J246" s="640" t="str">
        <f t="shared" si="35"/>
        <v/>
      </c>
      <c r="K246" s="640"/>
      <c r="L246" s="631" t="str">
        <f t="shared" si="39"/>
        <v/>
      </c>
      <c r="M246" s="631"/>
      <c r="N246" s="631" t="str">
        <f>IF(B246="","",VLOOKUP(TRIM(CONCATENATE($F$20," ",$F$17," ",$F$18," ",$F$22," ",$F$21," ",$F$16," ",$F$23," ",$F$24)),Catalogo_Condicione_Financieras!B:W,22,0)*1.16)</f>
        <v/>
      </c>
      <c r="O246" s="631"/>
      <c r="P246" s="641"/>
      <c r="Q246" s="641"/>
      <c r="R246" s="631"/>
      <c r="S246" s="631"/>
      <c r="T246" s="424" t="str">
        <f>IF(B246="","",'Tabla_Puntual&amp;Relacionamiento'!$B$17)</f>
        <v/>
      </c>
      <c r="U246" s="424"/>
      <c r="V246" s="642" t="str">
        <f t="shared" si="32"/>
        <v/>
      </c>
      <c r="W246" s="642"/>
      <c r="X246" s="642" t="str">
        <f t="shared" si="29"/>
        <v/>
      </c>
      <c r="Y246" s="642"/>
      <c r="AL246" s="420" t="str">
        <f t="shared" si="36"/>
        <v/>
      </c>
      <c r="AM246" s="421">
        <f t="shared" si="40"/>
        <v>0</v>
      </c>
      <c r="AN246" s="637"/>
      <c r="AO246" s="637"/>
      <c r="AP246" s="634"/>
      <c r="AQ246" s="634"/>
      <c r="AR246" s="427"/>
      <c r="AS246" s="522" t="str">
        <f t="shared" si="37"/>
        <v/>
      </c>
    </row>
    <row r="247" spans="2:45" x14ac:dyDescent="0.25">
      <c r="B247" s="426" t="str">
        <f t="shared" si="33"/>
        <v/>
      </c>
      <c r="C247" s="423" t="str">
        <f t="shared" si="34"/>
        <v/>
      </c>
      <c r="D247" s="643" t="str">
        <f t="shared" si="38"/>
        <v/>
      </c>
      <c r="E247" s="643"/>
      <c r="F247" s="643" t="str">
        <f t="shared" si="30"/>
        <v/>
      </c>
      <c r="G247" s="643"/>
      <c r="H247" s="671">
        <f t="shared" si="31"/>
        <v>0</v>
      </c>
      <c r="I247" s="671"/>
      <c r="J247" s="640" t="str">
        <f t="shared" si="35"/>
        <v/>
      </c>
      <c r="K247" s="640"/>
      <c r="L247" s="631" t="str">
        <f t="shared" si="39"/>
        <v/>
      </c>
      <c r="M247" s="631"/>
      <c r="N247" s="631" t="str">
        <f>IF(B247="","",VLOOKUP(TRIM(CONCATENATE($F$20," ",$F$17," ",$F$18," ",$F$22," ",$F$21," ",$F$16," ",$F$23," ",$F$24)),Catalogo_Condicione_Financieras!B:W,22,0)*1.16)</f>
        <v/>
      </c>
      <c r="O247" s="631"/>
      <c r="P247" s="641"/>
      <c r="Q247" s="641"/>
      <c r="R247" s="631" t="str">
        <f>IF(OR(X246=0,X246=""),"",IF($F$21="Apoyo Infonavit",IF(D247&gt;=C247,0,MIN(IF($F$30="",0,Caratula!$F$30),$AL$30*25)*10%),0))</f>
        <v/>
      </c>
      <c r="S247" s="631"/>
      <c r="T247" s="424" t="str">
        <f>IF(B247="","",'Tabla_Puntual&amp;Relacionamiento'!$B$17)</f>
        <v/>
      </c>
      <c r="U247" s="424"/>
      <c r="V247" s="642" t="str">
        <f t="shared" si="32"/>
        <v/>
      </c>
      <c r="W247" s="642"/>
      <c r="X247" s="642" t="str">
        <f t="shared" si="29"/>
        <v/>
      </c>
      <c r="Y247" s="642"/>
      <c r="AL247" s="420" t="str">
        <f t="shared" si="36"/>
        <v/>
      </c>
      <c r="AM247" s="421">
        <f t="shared" si="40"/>
        <v>0</v>
      </c>
      <c r="AN247" s="637"/>
      <c r="AO247" s="637"/>
      <c r="AP247" s="634"/>
      <c r="AQ247" s="634"/>
      <c r="AR247" s="427"/>
      <c r="AS247" s="522" t="str">
        <f t="shared" si="37"/>
        <v/>
      </c>
    </row>
    <row r="248" spans="2:45" x14ac:dyDescent="0.25">
      <c r="B248" s="426" t="str">
        <f t="shared" si="33"/>
        <v/>
      </c>
      <c r="C248" s="423" t="str">
        <f t="shared" si="34"/>
        <v/>
      </c>
      <c r="D248" s="643" t="str">
        <f t="shared" si="38"/>
        <v/>
      </c>
      <c r="E248" s="643"/>
      <c r="F248" s="643" t="str">
        <f t="shared" si="30"/>
        <v/>
      </c>
      <c r="G248" s="643"/>
      <c r="H248" s="671">
        <f t="shared" si="31"/>
        <v>0</v>
      </c>
      <c r="I248" s="671"/>
      <c r="J248" s="640" t="str">
        <f t="shared" si="35"/>
        <v/>
      </c>
      <c r="K248" s="640"/>
      <c r="L248" s="631" t="str">
        <f t="shared" si="39"/>
        <v/>
      </c>
      <c r="M248" s="631"/>
      <c r="N248" s="631" t="str">
        <f>IF(B248="","",VLOOKUP(TRIM(CONCATENATE($F$20," ",$F$17," ",$F$18," ",$F$22," ",$F$21," ",$F$16," ",$F$23," ",$F$24)),Catalogo_Condicione_Financieras!B:W,22,0)*1.16)</f>
        <v/>
      </c>
      <c r="O248" s="631"/>
      <c r="P248" s="641"/>
      <c r="Q248" s="641"/>
      <c r="R248" s="631"/>
      <c r="S248" s="631"/>
      <c r="T248" s="424" t="str">
        <f>IF(B248="","",'Tabla_Puntual&amp;Relacionamiento'!$B$17)</f>
        <v/>
      </c>
      <c r="U248" s="424"/>
      <c r="V248" s="642" t="str">
        <f t="shared" si="32"/>
        <v/>
      </c>
      <c r="W248" s="642"/>
      <c r="X248" s="642" t="str">
        <f t="shared" si="29"/>
        <v/>
      </c>
      <c r="Y248" s="642"/>
      <c r="AL248" s="420" t="str">
        <f t="shared" si="36"/>
        <v/>
      </c>
      <c r="AM248" s="421">
        <f t="shared" si="40"/>
        <v>0</v>
      </c>
      <c r="AN248" s="637"/>
      <c r="AO248" s="637"/>
      <c r="AP248" s="634"/>
      <c r="AQ248" s="634"/>
      <c r="AR248" s="427"/>
      <c r="AS248" s="522" t="str">
        <f t="shared" si="37"/>
        <v/>
      </c>
    </row>
    <row r="249" spans="2:45" x14ac:dyDescent="0.25">
      <c r="B249" s="426" t="str">
        <f t="shared" si="33"/>
        <v/>
      </c>
      <c r="C249" s="423" t="str">
        <f t="shared" si="34"/>
        <v/>
      </c>
      <c r="D249" s="643" t="str">
        <f t="shared" si="38"/>
        <v/>
      </c>
      <c r="E249" s="643"/>
      <c r="F249" s="643" t="str">
        <f t="shared" si="30"/>
        <v/>
      </c>
      <c r="G249" s="643"/>
      <c r="H249" s="671">
        <f t="shared" si="31"/>
        <v>0</v>
      </c>
      <c r="I249" s="671"/>
      <c r="J249" s="640" t="str">
        <f t="shared" si="35"/>
        <v/>
      </c>
      <c r="K249" s="640"/>
      <c r="L249" s="631" t="str">
        <f t="shared" si="39"/>
        <v/>
      </c>
      <c r="M249" s="631"/>
      <c r="N249" s="631" t="str">
        <f>IF(B249="","",VLOOKUP(TRIM(CONCATENATE($F$20," ",$F$17," ",$F$18," ",$F$22," ",$F$21," ",$F$16," ",$F$23," ",$F$24)),Catalogo_Condicione_Financieras!B:W,22,0)*1.16)</f>
        <v/>
      </c>
      <c r="O249" s="631"/>
      <c r="P249" s="641"/>
      <c r="Q249" s="641"/>
      <c r="R249" s="631" t="str">
        <f>IF(OR(X248=0,X248=""),"",IF($F$21="Apoyo Infonavit",IF(D249&gt;=C249,0,MIN(IF($F$30="",0,Caratula!$F$30),$AL$30*25)*10%),0))</f>
        <v/>
      </c>
      <c r="S249" s="631"/>
      <c r="T249" s="424" t="str">
        <f>IF(B249="","",'Tabla_Puntual&amp;Relacionamiento'!$B$17)</f>
        <v/>
      </c>
      <c r="U249" s="424"/>
      <c r="V249" s="642" t="str">
        <f t="shared" si="32"/>
        <v/>
      </c>
      <c r="W249" s="642"/>
      <c r="X249" s="642" t="str">
        <f t="shared" si="29"/>
        <v/>
      </c>
      <c r="Y249" s="642"/>
      <c r="AL249" s="420" t="str">
        <f t="shared" si="36"/>
        <v/>
      </c>
      <c r="AM249" s="421">
        <f t="shared" si="40"/>
        <v>0</v>
      </c>
      <c r="AN249" s="637"/>
      <c r="AO249" s="637"/>
      <c r="AP249" s="634"/>
      <c r="AQ249" s="634"/>
      <c r="AR249" s="427"/>
      <c r="AS249" s="522" t="str">
        <f t="shared" si="37"/>
        <v/>
      </c>
    </row>
    <row r="250" spans="2:45" x14ac:dyDescent="0.25">
      <c r="B250" s="426" t="str">
        <f t="shared" si="33"/>
        <v/>
      </c>
      <c r="C250" s="423" t="str">
        <f t="shared" si="34"/>
        <v/>
      </c>
      <c r="D250" s="643" t="str">
        <f t="shared" si="38"/>
        <v/>
      </c>
      <c r="E250" s="643"/>
      <c r="F250" s="643" t="str">
        <f t="shared" si="30"/>
        <v/>
      </c>
      <c r="G250" s="643"/>
      <c r="H250" s="671">
        <f t="shared" si="31"/>
        <v>0</v>
      </c>
      <c r="I250" s="671"/>
      <c r="J250" s="640" t="str">
        <f t="shared" si="35"/>
        <v/>
      </c>
      <c r="K250" s="640"/>
      <c r="L250" s="631" t="str">
        <f t="shared" si="39"/>
        <v/>
      </c>
      <c r="M250" s="631"/>
      <c r="N250" s="631" t="str">
        <f>IF(B250="","",VLOOKUP(TRIM(CONCATENATE($F$20," ",$F$17," ",$F$18," ",$F$22," ",$F$21," ",$F$16," ",$F$23," ",$F$24)),Catalogo_Condicione_Financieras!B:W,22,0)*1.16)</f>
        <v/>
      </c>
      <c r="O250" s="631"/>
      <c r="P250" s="641"/>
      <c r="Q250" s="641"/>
      <c r="R250" s="631"/>
      <c r="S250" s="631"/>
      <c r="T250" s="424" t="str">
        <f>IF(B250="","",'Tabla_Puntual&amp;Relacionamiento'!$B$17)</f>
        <v/>
      </c>
      <c r="U250" s="424"/>
      <c r="V250" s="642" t="str">
        <f t="shared" si="32"/>
        <v/>
      </c>
      <c r="W250" s="642"/>
      <c r="X250" s="642" t="str">
        <f t="shared" si="29"/>
        <v/>
      </c>
      <c r="Y250" s="642"/>
      <c r="AL250" s="420" t="str">
        <f t="shared" si="36"/>
        <v/>
      </c>
      <c r="AM250" s="421">
        <f t="shared" si="40"/>
        <v>0</v>
      </c>
      <c r="AN250" s="637"/>
      <c r="AO250" s="637"/>
      <c r="AP250" s="634"/>
      <c r="AQ250" s="634"/>
      <c r="AR250" s="427"/>
      <c r="AS250" s="522" t="str">
        <f t="shared" si="37"/>
        <v/>
      </c>
    </row>
    <row r="251" spans="2:45" x14ac:dyDescent="0.25">
      <c r="B251" s="426" t="str">
        <f t="shared" si="33"/>
        <v/>
      </c>
      <c r="C251" s="423" t="str">
        <f t="shared" si="34"/>
        <v/>
      </c>
      <c r="D251" s="643" t="str">
        <f t="shared" si="38"/>
        <v/>
      </c>
      <c r="E251" s="643"/>
      <c r="F251" s="643" t="str">
        <f t="shared" si="30"/>
        <v/>
      </c>
      <c r="G251" s="643"/>
      <c r="H251" s="671">
        <f t="shared" si="31"/>
        <v>0</v>
      </c>
      <c r="I251" s="671"/>
      <c r="J251" s="640" t="str">
        <f t="shared" si="35"/>
        <v/>
      </c>
      <c r="K251" s="640"/>
      <c r="L251" s="631" t="str">
        <f t="shared" si="39"/>
        <v/>
      </c>
      <c r="M251" s="631"/>
      <c r="N251" s="631" t="str">
        <f>IF(B251="","",VLOOKUP(TRIM(CONCATENATE($F$20," ",$F$17," ",$F$18," ",$F$22," ",$F$21," ",$F$16," ",$F$23," ",$F$24)),Catalogo_Condicione_Financieras!B:W,22,0)*1.16)</f>
        <v/>
      </c>
      <c r="O251" s="631"/>
      <c r="P251" s="641"/>
      <c r="Q251" s="641"/>
      <c r="R251" s="631" t="str">
        <f>IF(OR(X250=0,X250=""),"",IF($F$21="Apoyo Infonavit",IF(D251&gt;=C251,0,MIN(IF($F$30="",0,Caratula!$F$30),$AL$30*25)*10%),0))</f>
        <v/>
      </c>
      <c r="S251" s="631"/>
      <c r="T251" s="424" t="str">
        <f>IF(B251="","",'Tabla_Puntual&amp;Relacionamiento'!$B$17)</f>
        <v/>
      </c>
      <c r="U251" s="424"/>
      <c r="V251" s="642" t="str">
        <f t="shared" si="32"/>
        <v/>
      </c>
      <c r="W251" s="642"/>
      <c r="X251" s="642" t="str">
        <f t="shared" si="29"/>
        <v/>
      </c>
      <c r="Y251" s="642"/>
      <c r="AL251" s="420" t="str">
        <f t="shared" si="36"/>
        <v/>
      </c>
      <c r="AM251" s="421">
        <f t="shared" si="40"/>
        <v>0</v>
      </c>
      <c r="AN251" s="637"/>
      <c r="AO251" s="637"/>
      <c r="AP251" s="634"/>
      <c r="AQ251" s="634"/>
      <c r="AR251" s="427"/>
      <c r="AS251" s="522" t="str">
        <f t="shared" si="37"/>
        <v/>
      </c>
    </row>
    <row r="252" spans="2:45" x14ac:dyDescent="0.25">
      <c r="B252" s="426" t="str">
        <f t="shared" si="33"/>
        <v/>
      </c>
      <c r="C252" s="423" t="str">
        <f t="shared" si="34"/>
        <v/>
      </c>
      <c r="D252" s="643" t="str">
        <f t="shared" si="38"/>
        <v/>
      </c>
      <c r="E252" s="643"/>
      <c r="F252" s="643" t="str">
        <f t="shared" si="30"/>
        <v/>
      </c>
      <c r="G252" s="643"/>
      <c r="H252" s="671">
        <f t="shared" si="31"/>
        <v>0</v>
      </c>
      <c r="I252" s="671"/>
      <c r="J252" s="640" t="str">
        <f t="shared" si="35"/>
        <v/>
      </c>
      <c r="K252" s="640"/>
      <c r="L252" s="631" t="str">
        <f t="shared" si="39"/>
        <v/>
      </c>
      <c r="M252" s="631"/>
      <c r="N252" s="631" t="str">
        <f>IF(B252="","",VLOOKUP(TRIM(CONCATENATE($F$20," ",$F$17," ",$F$18," ",$F$22," ",$F$21," ",$F$16," ",$F$23," ",$F$24)),Catalogo_Condicione_Financieras!B:W,22,0)*1.16)</f>
        <v/>
      </c>
      <c r="O252" s="631"/>
      <c r="P252" s="641"/>
      <c r="Q252" s="641"/>
      <c r="R252" s="631"/>
      <c r="S252" s="631"/>
      <c r="T252" s="424" t="str">
        <f>IF(B252="","",'Tabla_Puntual&amp;Relacionamiento'!$B$17)</f>
        <v/>
      </c>
      <c r="U252" s="424"/>
      <c r="V252" s="642" t="str">
        <f t="shared" si="32"/>
        <v/>
      </c>
      <c r="W252" s="642"/>
      <c r="X252" s="642" t="str">
        <f t="shared" ref="X252:X315" si="41">IFERROR(IF(C252="","",IF((C252-D252-P252+AN252+AP252-R252)&lt;1,0,C252-D252-P252+AN252+AP252-R252)),0)</f>
        <v/>
      </c>
      <c r="Y252" s="642"/>
      <c r="AL252" s="420" t="str">
        <f t="shared" si="36"/>
        <v/>
      </c>
      <c r="AM252" s="421">
        <f t="shared" si="40"/>
        <v>0</v>
      </c>
      <c r="AN252" s="637"/>
      <c r="AO252" s="637"/>
      <c r="AP252" s="634"/>
      <c r="AQ252" s="634"/>
      <c r="AR252" s="427"/>
      <c r="AS252" s="522" t="str">
        <f t="shared" si="37"/>
        <v/>
      </c>
    </row>
    <row r="253" spans="2:45" x14ac:dyDescent="0.25">
      <c r="B253" s="426" t="str">
        <f t="shared" si="33"/>
        <v/>
      </c>
      <c r="C253" s="423" t="str">
        <f t="shared" si="34"/>
        <v/>
      </c>
      <c r="D253" s="643" t="str">
        <f t="shared" si="38"/>
        <v/>
      </c>
      <c r="E253" s="643"/>
      <c r="F253" s="643" t="str">
        <f t="shared" si="30"/>
        <v/>
      </c>
      <c r="G253" s="643"/>
      <c r="H253" s="671">
        <f t="shared" si="31"/>
        <v>0</v>
      </c>
      <c r="I253" s="671"/>
      <c r="J253" s="640" t="str">
        <f t="shared" si="35"/>
        <v/>
      </c>
      <c r="K253" s="640"/>
      <c r="L253" s="631" t="str">
        <f t="shared" si="39"/>
        <v/>
      </c>
      <c r="M253" s="631"/>
      <c r="N253" s="631" t="str">
        <f>IF(B253="","",VLOOKUP(TRIM(CONCATENATE($F$20," ",$F$17," ",$F$18," ",$F$22," ",$F$21," ",$F$16," ",$F$23," ",$F$24)),Catalogo_Condicione_Financieras!B:W,22,0)*1.16)</f>
        <v/>
      </c>
      <c r="O253" s="631"/>
      <c r="P253" s="641"/>
      <c r="Q253" s="641"/>
      <c r="R253" s="631" t="str">
        <f>IF(OR(X252=0,X252=""),"",IF($F$21="Apoyo Infonavit",IF(D253&gt;=C253,0,MIN(IF($F$30="",0,Caratula!$F$30),$AL$30*25)*10%),0))</f>
        <v/>
      </c>
      <c r="S253" s="631"/>
      <c r="T253" s="424" t="str">
        <f>IF(B253="","",'Tabla_Puntual&amp;Relacionamiento'!$B$17)</f>
        <v/>
      </c>
      <c r="U253" s="424"/>
      <c r="V253" s="642" t="str">
        <f t="shared" si="32"/>
        <v/>
      </c>
      <c r="W253" s="642"/>
      <c r="X253" s="642" t="str">
        <f t="shared" si="41"/>
        <v/>
      </c>
      <c r="Y253" s="642"/>
      <c r="AL253" s="420" t="str">
        <f t="shared" si="36"/>
        <v/>
      </c>
      <c r="AM253" s="421">
        <f t="shared" si="40"/>
        <v>0</v>
      </c>
      <c r="AN253" s="637"/>
      <c r="AO253" s="637"/>
      <c r="AP253" s="634"/>
      <c r="AQ253" s="634"/>
      <c r="AR253" s="427"/>
      <c r="AS253" s="522" t="str">
        <f t="shared" si="37"/>
        <v/>
      </c>
    </row>
    <row r="254" spans="2:45" x14ac:dyDescent="0.25">
      <c r="B254" s="426" t="str">
        <f t="shared" si="33"/>
        <v/>
      </c>
      <c r="C254" s="423" t="str">
        <f t="shared" si="34"/>
        <v/>
      </c>
      <c r="D254" s="643" t="str">
        <f t="shared" si="38"/>
        <v/>
      </c>
      <c r="E254" s="643"/>
      <c r="F254" s="643" t="str">
        <f t="shared" si="30"/>
        <v/>
      </c>
      <c r="G254" s="643"/>
      <c r="H254" s="671">
        <f t="shared" si="31"/>
        <v>0</v>
      </c>
      <c r="I254" s="671"/>
      <c r="J254" s="640" t="str">
        <f t="shared" si="35"/>
        <v/>
      </c>
      <c r="K254" s="640"/>
      <c r="L254" s="631" t="str">
        <f t="shared" si="39"/>
        <v/>
      </c>
      <c r="M254" s="631"/>
      <c r="N254" s="631" t="str">
        <f>IF(B254="","",VLOOKUP(TRIM(CONCATENATE($F$20," ",$F$17," ",$F$18," ",$F$22," ",$F$21," ",$F$16," ",$F$23," ",$F$24)),Catalogo_Condicione_Financieras!B:W,22,0)*1.16)</f>
        <v/>
      </c>
      <c r="O254" s="631"/>
      <c r="P254" s="641"/>
      <c r="Q254" s="641"/>
      <c r="R254" s="631"/>
      <c r="S254" s="631"/>
      <c r="T254" s="424" t="str">
        <f>IF(B254="","",'Tabla_Puntual&amp;Relacionamiento'!$B$17)</f>
        <v/>
      </c>
      <c r="U254" s="424"/>
      <c r="V254" s="642" t="str">
        <f t="shared" si="32"/>
        <v/>
      </c>
      <c r="W254" s="642"/>
      <c r="X254" s="642" t="str">
        <f t="shared" si="41"/>
        <v/>
      </c>
      <c r="Y254" s="642"/>
      <c r="AL254" s="420" t="str">
        <f t="shared" si="36"/>
        <v/>
      </c>
      <c r="AM254" s="421">
        <f t="shared" si="40"/>
        <v>0</v>
      </c>
      <c r="AN254" s="637"/>
      <c r="AO254" s="637"/>
      <c r="AP254" s="634"/>
      <c r="AQ254" s="634"/>
      <c r="AR254" s="427"/>
      <c r="AS254" s="522" t="str">
        <f t="shared" si="37"/>
        <v/>
      </c>
    </row>
    <row r="255" spans="2:45" x14ac:dyDescent="0.25">
      <c r="B255" s="426" t="str">
        <f t="shared" si="33"/>
        <v/>
      </c>
      <c r="C255" s="423" t="str">
        <f t="shared" si="34"/>
        <v/>
      </c>
      <c r="D255" s="643" t="str">
        <f t="shared" si="38"/>
        <v/>
      </c>
      <c r="E255" s="643"/>
      <c r="F255" s="643" t="str">
        <f t="shared" si="30"/>
        <v/>
      </c>
      <c r="G255" s="643"/>
      <c r="H255" s="671">
        <f t="shared" si="31"/>
        <v>0</v>
      </c>
      <c r="I255" s="671"/>
      <c r="J255" s="640" t="str">
        <f t="shared" si="35"/>
        <v/>
      </c>
      <c r="K255" s="640"/>
      <c r="L255" s="631" t="str">
        <f t="shared" si="39"/>
        <v/>
      </c>
      <c r="M255" s="631"/>
      <c r="N255" s="631" t="str">
        <f>IF(B255="","",VLOOKUP(TRIM(CONCATENATE($F$20," ",$F$17," ",$F$18," ",$F$22," ",$F$21," ",$F$16," ",$F$23," ",$F$24)),Catalogo_Condicione_Financieras!B:W,22,0)*1.16)</f>
        <v/>
      </c>
      <c r="O255" s="631"/>
      <c r="P255" s="641"/>
      <c r="Q255" s="641"/>
      <c r="R255" s="631" t="str">
        <f>IF(OR(X254=0,X254=""),"",IF($F$21="Apoyo Infonavit",IF(D255&gt;=C255,0,MIN(IF($F$30="",0,Caratula!$F$30),$AL$30*25)*10%),0))</f>
        <v/>
      </c>
      <c r="S255" s="631"/>
      <c r="T255" s="424" t="str">
        <f>IF(B255="","",'Tabla_Puntual&amp;Relacionamiento'!$B$17)</f>
        <v/>
      </c>
      <c r="U255" s="424"/>
      <c r="V255" s="642" t="str">
        <f t="shared" si="32"/>
        <v/>
      </c>
      <c r="W255" s="642"/>
      <c r="X255" s="642" t="str">
        <f t="shared" si="41"/>
        <v/>
      </c>
      <c r="Y255" s="642"/>
      <c r="AL255" s="420" t="str">
        <f t="shared" si="36"/>
        <v/>
      </c>
      <c r="AM255" s="421">
        <f t="shared" si="40"/>
        <v>0</v>
      </c>
      <c r="AN255" s="637"/>
      <c r="AO255" s="637"/>
      <c r="AP255" s="634"/>
      <c r="AQ255" s="634"/>
      <c r="AR255" s="427"/>
      <c r="AS255" s="522" t="str">
        <f t="shared" si="37"/>
        <v/>
      </c>
    </row>
    <row r="256" spans="2:45" x14ac:dyDescent="0.25">
      <c r="B256" s="426" t="str">
        <f t="shared" si="33"/>
        <v/>
      </c>
      <c r="C256" s="423" t="str">
        <f t="shared" si="34"/>
        <v/>
      </c>
      <c r="D256" s="643" t="str">
        <f t="shared" si="38"/>
        <v/>
      </c>
      <c r="E256" s="643"/>
      <c r="F256" s="643" t="str">
        <f t="shared" ref="F256:F319" si="42">IF(B256="","",IF(X255*(T256/12)&lt;0,"",X255*(T256/12)))</f>
        <v/>
      </c>
      <c r="G256" s="643"/>
      <c r="H256" s="671">
        <f t="shared" ref="H256:H319" si="43">IFERROR(IF($F$20="Liquidez",F256*0.16,
IF(AND($F$20="Pago_Hipoteca+Liquidez",$F$36="Liquidez"),F256*0.16,0)),0)</f>
        <v>0</v>
      </c>
      <c r="I256" s="671"/>
      <c r="J256" s="640" t="str">
        <f t="shared" si="35"/>
        <v/>
      </c>
      <c r="K256" s="640"/>
      <c r="L256" s="631" t="str">
        <f t="shared" si="39"/>
        <v/>
      </c>
      <c r="M256" s="631"/>
      <c r="N256" s="631" t="str">
        <f>IF(B256="","",VLOOKUP(TRIM(CONCATENATE($F$20," ",$F$17," ",$F$18," ",$F$22," ",$F$21," ",$F$16," ",$F$23," ",$F$24)),Catalogo_Condicione_Financieras!B:W,22,0)*1.16)</f>
        <v/>
      </c>
      <c r="O256" s="631"/>
      <c r="P256" s="641"/>
      <c r="Q256" s="641"/>
      <c r="R256" s="631"/>
      <c r="S256" s="631"/>
      <c r="T256" s="424" t="str">
        <f>IF(B256="","",'Tabla_Puntual&amp;Relacionamiento'!$B$18)</f>
        <v/>
      </c>
      <c r="U256" s="424" t="str">
        <f>IF(B256="","",IF($F$16="Pago_Bajo_Puntual",0.019,""))</f>
        <v/>
      </c>
      <c r="V256" s="642" t="str">
        <f t="shared" ref="V256:V319" si="44">IF(B256="","",D256+F256+H256+J256+L256+N256)</f>
        <v/>
      </c>
      <c r="W256" s="642"/>
      <c r="X256" s="642" t="str">
        <f t="shared" si="41"/>
        <v/>
      </c>
      <c r="Y256" s="642"/>
      <c r="AL256" s="420" t="str">
        <f t="shared" si="36"/>
        <v/>
      </c>
      <c r="AM256" s="421">
        <f t="shared" si="40"/>
        <v>0</v>
      </c>
      <c r="AN256" s="637"/>
      <c r="AO256" s="637"/>
      <c r="AP256" s="634"/>
      <c r="AQ256" s="634"/>
      <c r="AR256" s="427"/>
      <c r="AS256" s="522" t="str">
        <f t="shared" si="37"/>
        <v/>
      </c>
    </row>
    <row r="257" spans="2:45" x14ac:dyDescent="0.25">
      <c r="B257" s="426" t="str">
        <f t="shared" ref="B257:B320" si="45">IF(OR(B256="",X256&lt;=0),"",IF(B256+1&lt;=F$23*12,B256+1,""))</f>
        <v/>
      </c>
      <c r="C257" s="423" t="str">
        <f t="shared" ref="C257:C320" si="46">IF(B257="","",IF(IF(C256="","",C256-D256-R256)&lt;0.01,AQ256,IF(C256="","",X256)))</f>
        <v/>
      </c>
      <c r="D257" s="643" t="str">
        <f t="shared" si="38"/>
        <v/>
      </c>
      <c r="E257" s="643"/>
      <c r="F257" s="643" t="str">
        <f t="shared" si="42"/>
        <v/>
      </c>
      <c r="G257" s="643"/>
      <c r="H257" s="671">
        <f t="shared" si="43"/>
        <v>0</v>
      </c>
      <c r="I257" s="671"/>
      <c r="J257" s="640" t="str">
        <f t="shared" ref="J257:J320" si="47">IF(B257="","",C257*$AQ$35/1000)</f>
        <v/>
      </c>
      <c r="K257" s="640"/>
      <c r="L257" s="631" t="str">
        <f t="shared" si="39"/>
        <v/>
      </c>
      <c r="M257" s="631"/>
      <c r="N257" s="631" t="str">
        <f>IF(B257="","",VLOOKUP(TRIM(CONCATENATE($F$20," ",$F$17," ",$F$18," ",$F$22," ",$F$21," ",$F$16," ",$F$23," ",$F$24)),Catalogo_Condicione_Financieras!B:W,22,0)*1.16)</f>
        <v/>
      </c>
      <c r="O257" s="631"/>
      <c r="P257" s="641"/>
      <c r="Q257" s="641"/>
      <c r="R257" s="631" t="str">
        <f>IF(OR(X256=0,X256=""),"",IF($F$21="Apoyo Infonavit",IF(D257&gt;=C257,0,MIN(IF($F$30="",0,Caratula!$F$30),$AL$30*25)*10%),0))</f>
        <v/>
      </c>
      <c r="S257" s="631"/>
      <c r="T257" s="424" t="str">
        <f>IF(B257="","",'Tabla_Puntual&amp;Relacionamiento'!$B$18)</f>
        <v/>
      </c>
      <c r="U257" s="424"/>
      <c r="V257" s="642" t="str">
        <f t="shared" si="44"/>
        <v/>
      </c>
      <c r="W257" s="642"/>
      <c r="X257" s="642" t="str">
        <f t="shared" si="41"/>
        <v/>
      </c>
      <c r="Y257" s="642"/>
      <c r="AL257" s="420" t="str">
        <f t="shared" ref="AL257:AL320" si="48">IF(B257="","",
IF(X256&lt;AL256,X256+F257,
IF($F$16="Pago_Fijo_Puntual",$X$63*$AQ$40/1000,
IF($F$16="Pago_Bajo_Puntual",AL256+(AL256*U257)))))</f>
        <v/>
      </c>
      <c r="AM257" s="421">
        <f t="shared" si="40"/>
        <v>0</v>
      </c>
      <c r="AN257" s="637"/>
      <c r="AO257" s="637"/>
      <c r="AP257" s="634"/>
      <c r="AQ257" s="634"/>
      <c r="AR257" s="427"/>
      <c r="AS257" s="522" t="str">
        <f t="shared" ref="AS257:AS320" si="49">IF(B257="","",IF(AND($F$20="Pago_Hipoteca+Liquidez",$F$36="Liquidez"),0,
IF((($F$28*0.7)*$AQ$38/1.16)&gt;C257*$AQ$38/1.16,($F$28*0.7)*($AQ$38/1.16),($AQ$38/1.16)*C257)/1000))</f>
        <v/>
      </c>
    </row>
    <row r="258" spans="2:45" x14ac:dyDescent="0.25">
      <c r="B258" s="426" t="str">
        <f t="shared" si="45"/>
        <v/>
      </c>
      <c r="C258" s="423" t="str">
        <f t="shared" si="46"/>
        <v/>
      </c>
      <c r="D258" s="643" t="str">
        <f t="shared" ref="D258:D321" si="50">IF(B258="","",AL258-F258)</f>
        <v/>
      </c>
      <c r="E258" s="643"/>
      <c r="F258" s="643" t="str">
        <f t="shared" si="42"/>
        <v/>
      </c>
      <c r="G258" s="643"/>
      <c r="H258" s="671">
        <f t="shared" si="43"/>
        <v>0</v>
      </c>
      <c r="I258" s="671"/>
      <c r="J258" s="640" t="str">
        <f t="shared" si="47"/>
        <v/>
      </c>
      <c r="K258" s="640"/>
      <c r="L258" s="631" t="str">
        <f t="shared" ref="L258:L321" si="51">IF(B258="","",IF(AND($F$20="Pago_Hipoteca+Liquidez",$F$36="Liquidez"),0,
IF((($F$28*0.7)*$AQ$38)&gt;C258*$AQ$38,($F$28*0.7)*($AQ$38)/1000,($AQ$38*C258)/1000)))</f>
        <v/>
      </c>
      <c r="M258" s="631"/>
      <c r="N258" s="631" t="str">
        <f>IF(B258="","",VLOOKUP(TRIM(CONCATENATE($F$20," ",$F$17," ",$F$18," ",$F$22," ",$F$21," ",$F$16," ",$F$23," ",$F$24)),Catalogo_Condicione_Financieras!B:W,22,0)*1.16)</f>
        <v/>
      </c>
      <c r="O258" s="631"/>
      <c r="P258" s="641"/>
      <c r="Q258" s="641"/>
      <c r="R258" s="631"/>
      <c r="S258" s="631"/>
      <c r="T258" s="424" t="str">
        <f>IF(B258="","",'Tabla_Puntual&amp;Relacionamiento'!$B$18)</f>
        <v/>
      </c>
      <c r="U258" s="424"/>
      <c r="V258" s="642" t="str">
        <f t="shared" si="44"/>
        <v/>
      </c>
      <c r="W258" s="642"/>
      <c r="X258" s="642" t="str">
        <f t="shared" si="41"/>
        <v/>
      </c>
      <c r="Y258" s="642"/>
      <c r="AL258" s="420" t="str">
        <f t="shared" si="48"/>
        <v/>
      </c>
      <c r="AM258" s="421">
        <f t="shared" si="40"/>
        <v>0</v>
      </c>
      <c r="AN258" s="637"/>
      <c r="AO258" s="637"/>
      <c r="AP258" s="634"/>
      <c r="AQ258" s="634"/>
      <c r="AR258" s="427"/>
      <c r="AS258" s="522" t="str">
        <f t="shared" si="49"/>
        <v/>
      </c>
    </row>
    <row r="259" spans="2:45" x14ac:dyDescent="0.25">
      <c r="B259" s="426" t="str">
        <f t="shared" si="45"/>
        <v/>
      </c>
      <c r="C259" s="423" t="str">
        <f t="shared" si="46"/>
        <v/>
      </c>
      <c r="D259" s="643" t="str">
        <f t="shared" si="50"/>
        <v/>
      </c>
      <c r="E259" s="643"/>
      <c r="F259" s="643" t="str">
        <f t="shared" si="42"/>
        <v/>
      </c>
      <c r="G259" s="643"/>
      <c r="H259" s="671">
        <f t="shared" si="43"/>
        <v>0</v>
      </c>
      <c r="I259" s="671"/>
      <c r="J259" s="640" t="str">
        <f t="shared" si="47"/>
        <v/>
      </c>
      <c r="K259" s="640"/>
      <c r="L259" s="631" t="str">
        <f t="shared" si="51"/>
        <v/>
      </c>
      <c r="M259" s="631"/>
      <c r="N259" s="631" t="str">
        <f>IF(B259="","",VLOOKUP(TRIM(CONCATENATE($F$20," ",$F$17," ",$F$18," ",$F$22," ",$F$21," ",$F$16," ",$F$23," ",$F$24)),Catalogo_Condicione_Financieras!B:W,22,0)*1.16)</f>
        <v/>
      </c>
      <c r="O259" s="631"/>
      <c r="P259" s="641"/>
      <c r="Q259" s="641"/>
      <c r="R259" s="631" t="str">
        <f>IF(OR(X258=0,X258=""),"",IF($F$21="Apoyo Infonavit",IF(D259&gt;=C259,0,MIN(IF($F$30="",0,Caratula!$F$30),$AL$30*25)*10%),0))</f>
        <v/>
      </c>
      <c r="S259" s="631"/>
      <c r="T259" s="424" t="str">
        <f>IF(B259="","",'Tabla_Puntual&amp;Relacionamiento'!$B$18)</f>
        <v/>
      </c>
      <c r="U259" s="424"/>
      <c r="V259" s="642" t="str">
        <f t="shared" si="44"/>
        <v/>
      </c>
      <c r="W259" s="642"/>
      <c r="X259" s="642" t="str">
        <f t="shared" si="41"/>
        <v/>
      </c>
      <c r="Y259" s="642"/>
      <c r="AL259" s="420" t="str">
        <f t="shared" si="48"/>
        <v/>
      </c>
      <c r="AM259" s="421">
        <f t="shared" ref="AM259:AM322" si="52">IF(C259="",0,AL259+J259+AS259+(N259/1.16)+R259)</f>
        <v>0</v>
      </c>
      <c r="AN259" s="637"/>
      <c r="AO259" s="637"/>
      <c r="AP259" s="634"/>
      <c r="AQ259" s="634"/>
      <c r="AR259" s="427"/>
      <c r="AS259" s="522" t="str">
        <f t="shared" si="49"/>
        <v/>
      </c>
    </row>
    <row r="260" spans="2:45" x14ac:dyDescent="0.25">
      <c r="B260" s="426" t="str">
        <f t="shared" si="45"/>
        <v/>
      </c>
      <c r="C260" s="423" t="str">
        <f t="shared" si="46"/>
        <v/>
      </c>
      <c r="D260" s="643" t="str">
        <f t="shared" si="50"/>
        <v/>
      </c>
      <c r="E260" s="643"/>
      <c r="F260" s="643" t="str">
        <f t="shared" si="42"/>
        <v/>
      </c>
      <c r="G260" s="643"/>
      <c r="H260" s="671">
        <f t="shared" si="43"/>
        <v>0</v>
      </c>
      <c r="I260" s="671"/>
      <c r="J260" s="640" t="str">
        <f t="shared" si="47"/>
        <v/>
      </c>
      <c r="K260" s="640"/>
      <c r="L260" s="631" t="str">
        <f t="shared" si="51"/>
        <v/>
      </c>
      <c r="M260" s="631"/>
      <c r="N260" s="631" t="str">
        <f>IF(B260="","",VLOOKUP(TRIM(CONCATENATE($F$20," ",$F$17," ",$F$18," ",$F$22," ",$F$21," ",$F$16," ",$F$23," ",$F$24)),Catalogo_Condicione_Financieras!B:W,22,0)*1.16)</f>
        <v/>
      </c>
      <c r="O260" s="631"/>
      <c r="P260" s="641"/>
      <c r="Q260" s="641"/>
      <c r="R260" s="631"/>
      <c r="S260" s="631"/>
      <c r="T260" s="424" t="str">
        <f>IF(B260="","",'Tabla_Puntual&amp;Relacionamiento'!$B$18)</f>
        <v/>
      </c>
      <c r="U260" s="424"/>
      <c r="V260" s="642" t="str">
        <f t="shared" si="44"/>
        <v/>
      </c>
      <c r="W260" s="642"/>
      <c r="X260" s="642" t="str">
        <f t="shared" si="41"/>
        <v/>
      </c>
      <c r="Y260" s="642"/>
      <c r="AL260" s="420" t="str">
        <f t="shared" si="48"/>
        <v/>
      </c>
      <c r="AM260" s="421">
        <f t="shared" si="52"/>
        <v>0</v>
      </c>
      <c r="AN260" s="637"/>
      <c r="AO260" s="637"/>
      <c r="AP260" s="634"/>
      <c r="AQ260" s="634"/>
      <c r="AR260" s="427"/>
      <c r="AS260" s="522" t="str">
        <f t="shared" si="49"/>
        <v/>
      </c>
    </row>
    <row r="261" spans="2:45" x14ac:dyDescent="0.25">
      <c r="B261" s="426" t="str">
        <f t="shared" si="45"/>
        <v/>
      </c>
      <c r="C261" s="423" t="str">
        <f t="shared" si="46"/>
        <v/>
      </c>
      <c r="D261" s="643" t="str">
        <f t="shared" si="50"/>
        <v/>
      </c>
      <c r="E261" s="643"/>
      <c r="F261" s="643" t="str">
        <f t="shared" si="42"/>
        <v/>
      </c>
      <c r="G261" s="643"/>
      <c r="H261" s="671">
        <f t="shared" si="43"/>
        <v>0</v>
      </c>
      <c r="I261" s="671"/>
      <c r="J261" s="640" t="str">
        <f t="shared" si="47"/>
        <v/>
      </c>
      <c r="K261" s="640"/>
      <c r="L261" s="631" t="str">
        <f t="shared" si="51"/>
        <v/>
      </c>
      <c r="M261" s="631"/>
      <c r="N261" s="631" t="str">
        <f>IF(B261="","",VLOOKUP(TRIM(CONCATENATE($F$20," ",$F$17," ",$F$18," ",$F$22," ",$F$21," ",$F$16," ",$F$23," ",$F$24)),Catalogo_Condicione_Financieras!B:W,22,0)*1.16)</f>
        <v/>
      </c>
      <c r="O261" s="631"/>
      <c r="P261" s="641"/>
      <c r="Q261" s="641"/>
      <c r="R261" s="631" t="str">
        <f>IF(OR(X260=0,X260=""),"",IF($F$21="Apoyo Infonavit",IF(D261&gt;=C261,0,MIN(IF($F$30="",0,Caratula!$F$30),$AL$30*25)*10%),0))</f>
        <v/>
      </c>
      <c r="S261" s="631"/>
      <c r="T261" s="424" t="str">
        <f>IF(B261="","",'Tabla_Puntual&amp;Relacionamiento'!$B$18)</f>
        <v/>
      </c>
      <c r="U261" s="424"/>
      <c r="V261" s="642" t="str">
        <f t="shared" si="44"/>
        <v/>
      </c>
      <c r="W261" s="642"/>
      <c r="X261" s="642" t="str">
        <f t="shared" si="41"/>
        <v/>
      </c>
      <c r="Y261" s="642"/>
      <c r="AL261" s="420" t="str">
        <f t="shared" si="48"/>
        <v/>
      </c>
      <c r="AM261" s="421">
        <f t="shared" si="52"/>
        <v>0</v>
      </c>
      <c r="AN261" s="637"/>
      <c r="AO261" s="637"/>
      <c r="AP261" s="634"/>
      <c r="AQ261" s="634"/>
      <c r="AR261" s="427"/>
      <c r="AS261" s="522" t="str">
        <f t="shared" si="49"/>
        <v/>
      </c>
    </row>
    <row r="262" spans="2:45" x14ac:dyDescent="0.25">
      <c r="B262" s="426" t="str">
        <f t="shared" si="45"/>
        <v/>
      </c>
      <c r="C262" s="423" t="str">
        <f t="shared" si="46"/>
        <v/>
      </c>
      <c r="D262" s="643" t="str">
        <f t="shared" si="50"/>
        <v/>
      </c>
      <c r="E262" s="643"/>
      <c r="F262" s="643" t="str">
        <f t="shared" si="42"/>
        <v/>
      </c>
      <c r="G262" s="643"/>
      <c r="H262" s="671">
        <f t="shared" si="43"/>
        <v>0</v>
      </c>
      <c r="I262" s="671"/>
      <c r="J262" s="640" t="str">
        <f t="shared" si="47"/>
        <v/>
      </c>
      <c r="K262" s="640"/>
      <c r="L262" s="631" t="str">
        <f t="shared" si="51"/>
        <v/>
      </c>
      <c r="M262" s="631"/>
      <c r="N262" s="631" t="str">
        <f>IF(B262="","",VLOOKUP(TRIM(CONCATENATE($F$20," ",$F$17," ",$F$18," ",$F$22," ",$F$21," ",$F$16," ",$F$23," ",$F$24)),Catalogo_Condicione_Financieras!B:W,22,0)*1.16)</f>
        <v/>
      </c>
      <c r="O262" s="631"/>
      <c r="P262" s="641"/>
      <c r="Q262" s="641"/>
      <c r="R262" s="631"/>
      <c r="S262" s="631"/>
      <c r="T262" s="424" t="str">
        <f>IF(B262="","",'Tabla_Puntual&amp;Relacionamiento'!$B$18)</f>
        <v/>
      </c>
      <c r="U262" s="424"/>
      <c r="V262" s="642" t="str">
        <f t="shared" si="44"/>
        <v/>
      </c>
      <c r="W262" s="642"/>
      <c r="X262" s="642" t="str">
        <f t="shared" si="41"/>
        <v/>
      </c>
      <c r="Y262" s="642"/>
      <c r="AL262" s="420" t="str">
        <f t="shared" si="48"/>
        <v/>
      </c>
      <c r="AM262" s="421">
        <f t="shared" si="52"/>
        <v>0</v>
      </c>
      <c r="AN262" s="637"/>
      <c r="AO262" s="637"/>
      <c r="AP262" s="634"/>
      <c r="AQ262" s="634"/>
      <c r="AR262" s="427"/>
      <c r="AS262" s="522" t="str">
        <f t="shared" si="49"/>
        <v/>
      </c>
    </row>
    <row r="263" spans="2:45" x14ac:dyDescent="0.25">
      <c r="B263" s="426" t="str">
        <f t="shared" si="45"/>
        <v/>
      </c>
      <c r="C263" s="423" t="str">
        <f t="shared" si="46"/>
        <v/>
      </c>
      <c r="D263" s="643" t="str">
        <f t="shared" si="50"/>
        <v/>
      </c>
      <c r="E263" s="643"/>
      <c r="F263" s="643" t="str">
        <f t="shared" si="42"/>
        <v/>
      </c>
      <c r="G263" s="643"/>
      <c r="H263" s="671">
        <f t="shared" si="43"/>
        <v>0</v>
      </c>
      <c r="I263" s="671"/>
      <c r="J263" s="640" t="str">
        <f t="shared" si="47"/>
        <v/>
      </c>
      <c r="K263" s="640"/>
      <c r="L263" s="631" t="str">
        <f t="shared" si="51"/>
        <v/>
      </c>
      <c r="M263" s="631"/>
      <c r="N263" s="631" t="str">
        <f>IF(B263="","",VLOOKUP(TRIM(CONCATENATE($F$20," ",$F$17," ",$F$18," ",$F$22," ",$F$21," ",$F$16," ",$F$23," ",$F$24)),Catalogo_Condicione_Financieras!B:W,22,0)*1.16)</f>
        <v/>
      </c>
      <c r="O263" s="631"/>
      <c r="P263" s="641"/>
      <c r="Q263" s="641"/>
      <c r="R263" s="631" t="str">
        <f>IF(OR(X262=0,X262=""),"",IF($F$21="Apoyo Infonavit",IF(D263&gt;=C263,0,MIN(IF($F$30="",0,Caratula!$F$30),$AL$30*25)*10%),0))</f>
        <v/>
      </c>
      <c r="S263" s="631"/>
      <c r="T263" s="424" t="str">
        <f>IF(B263="","",'Tabla_Puntual&amp;Relacionamiento'!$B$18)</f>
        <v/>
      </c>
      <c r="U263" s="424"/>
      <c r="V263" s="642" t="str">
        <f t="shared" si="44"/>
        <v/>
      </c>
      <c r="W263" s="642"/>
      <c r="X263" s="642" t="str">
        <f t="shared" si="41"/>
        <v/>
      </c>
      <c r="Y263" s="642"/>
      <c r="AL263" s="420" t="str">
        <f t="shared" si="48"/>
        <v/>
      </c>
      <c r="AM263" s="421">
        <f t="shared" si="52"/>
        <v>0</v>
      </c>
      <c r="AN263" s="637"/>
      <c r="AO263" s="637"/>
      <c r="AP263" s="634"/>
      <c r="AQ263" s="634"/>
      <c r="AR263" s="427"/>
      <c r="AS263" s="522" t="str">
        <f t="shared" si="49"/>
        <v/>
      </c>
    </row>
    <row r="264" spans="2:45" x14ac:dyDescent="0.25">
      <c r="B264" s="426" t="str">
        <f t="shared" si="45"/>
        <v/>
      </c>
      <c r="C264" s="423" t="str">
        <f t="shared" si="46"/>
        <v/>
      </c>
      <c r="D264" s="643" t="str">
        <f t="shared" si="50"/>
        <v/>
      </c>
      <c r="E264" s="643"/>
      <c r="F264" s="643" t="str">
        <f t="shared" si="42"/>
        <v/>
      </c>
      <c r="G264" s="643"/>
      <c r="H264" s="671">
        <f t="shared" si="43"/>
        <v>0</v>
      </c>
      <c r="I264" s="671"/>
      <c r="J264" s="640" t="str">
        <f t="shared" si="47"/>
        <v/>
      </c>
      <c r="K264" s="640"/>
      <c r="L264" s="631" t="str">
        <f t="shared" si="51"/>
        <v/>
      </c>
      <c r="M264" s="631"/>
      <c r="N264" s="631" t="str">
        <f>IF(B264="","",VLOOKUP(TRIM(CONCATENATE($F$20," ",$F$17," ",$F$18," ",$F$22," ",$F$21," ",$F$16," ",$F$23," ",$F$24)),Catalogo_Condicione_Financieras!B:W,22,0)*1.16)</f>
        <v/>
      </c>
      <c r="O264" s="631"/>
      <c r="P264" s="641"/>
      <c r="Q264" s="641"/>
      <c r="R264" s="631"/>
      <c r="S264" s="631"/>
      <c r="T264" s="424" t="str">
        <f>IF(B264="","",'Tabla_Puntual&amp;Relacionamiento'!$B$18)</f>
        <v/>
      </c>
      <c r="U264" s="424"/>
      <c r="V264" s="642" t="str">
        <f t="shared" si="44"/>
        <v/>
      </c>
      <c r="W264" s="642"/>
      <c r="X264" s="642" t="str">
        <f t="shared" si="41"/>
        <v/>
      </c>
      <c r="Y264" s="642"/>
      <c r="AL264" s="420" t="str">
        <f t="shared" si="48"/>
        <v/>
      </c>
      <c r="AM264" s="421">
        <f t="shared" si="52"/>
        <v>0</v>
      </c>
      <c r="AN264" s="637"/>
      <c r="AO264" s="637"/>
      <c r="AP264" s="634"/>
      <c r="AQ264" s="634"/>
      <c r="AR264" s="427"/>
      <c r="AS264" s="522" t="str">
        <f t="shared" si="49"/>
        <v/>
      </c>
    </row>
    <row r="265" spans="2:45" x14ac:dyDescent="0.25">
      <c r="B265" s="426" t="str">
        <f t="shared" si="45"/>
        <v/>
      </c>
      <c r="C265" s="423" t="str">
        <f t="shared" si="46"/>
        <v/>
      </c>
      <c r="D265" s="643" t="str">
        <f t="shared" si="50"/>
        <v/>
      </c>
      <c r="E265" s="643"/>
      <c r="F265" s="643" t="str">
        <f t="shared" si="42"/>
        <v/>
      </c>
      <c r="G265" s="643"/>
      <c r="H265" s="671">
        <f t="shared" si="43"/>
        <v>0</v>
      </c>
      <c r="I265" s="671"/>
      <c r="J265" s="640" t="str">
        <f t="shared" si="47"/>
        <v/>
      </c>
      <c r="K265" s="640"/>
      <c r="L265" s="631" t="str">
        <f t="shared" si="51"/>
        <v/>
      </c>
      <c r="M265" s="631"/>
      <c r="N265" s="631" t="str">
        <f>IF(B265="","",VLOOKUP(TRIM(CONCATENATE($F$20," ",$F$17," ",$F$18," ",$F$22," ",$F$21," ",$F$16," ",$F$23," ",$F$24)),Catalogo_Condicione_Financieras!B:W,22,0)*1.16)</f>
        <v/>
      </c>
      <c r="O265" s="631"/>
      <c r="P265" s="641"/>
      <c r="Q265" s="641"/>
      <c r="R265" s="631" t="str">
        <f>IF(OR(X264=0,X264=""),"",IF($F$21="Apoyo Infonavit",IF(D265&gt;=C265,0,MIN(IF($F$30="",0,Caratula!$F$30),$AL$30*25)*10%),0))</f>
        <v/>
      </c>
      <c r="S265" s="631"/>
      <c r="T265" s="424" t="str">
        <f>IF(B265="","",'Tabla_Puntual&amp;Relacionamiento'!$B$18)</f>
        <v/>
      </c>
      <c r="U265" s="424"/>
      <c r="V265" s="642" t="str">
        <f t="shared" si="44"/>
        <v/>
      </c>
      <c r="W265" s="642"/>
      <c r="X265" s="642" t="str">
        <f t="shared" si="41"/>
        <v/>
      </c>
      <c r="Y265" s="642"/>
      <c r="AL265" s="420" t="str">
        <f t="shared" si="48"/>
        <v/>
      </c>
      <c r="AM265" s="421">
        <f t="shared" si="52"/>
        <v>0</v>
      </c>
      <c r="AN265" s="637"/>
      <c r="AO265" s="637"/>
      <c r="AP265" s="634"/>
      <c r="AQ265" s="634"/>
      <c r="AR265" s="427"/>
      <c r="AS265" s="522" t="str">
        <f t="shared" si="49"/>
        <v/>
      </c>
    </row>
    <row r="266" spans="2:45" x14ac:dyDescent="0.25">
      <c r="B266" s="426" t="str">
        <f t="shared" si="45"/>
        <v/>
      </c>
      <c r="C266" s="423" t="str">
        <f t="shared" si="46"/>
        <v/>
      </c>
      <c r="D266" s="643" t="str">
        <f t="shared" si="50"/>
        <v/>
      </c>
      <c r="E266" s="643"/>
      <c r="F266" s="643" t="str">
        <f t="shared" si="42"/>
        <v/>
      </c>
      <c r="G266" s="643"/>
      <c r="H266" s="671">
        <f t="shared" si="43"/>
        <v>0</v>
      </c>
      <c r="I266" s="671"/>
      <c r="J266" s="640" t="str">
        <f t="shared" si="47"/>
        <v/>
      </c>
      <c r="K266" s="640"/>
      <c r="L266" s="631" t="str">
        <f t="shared" si="51"/>
        <v/>
      </c>
      <c r="M266" s="631"/>
      <c r="N266" s="631" t="str">
        <f>IF(B266="","",VLOOKUP(TRIM(CONCATENATE($F$20," ",$F$17," ",$F$18," ",$F$22," ",$F$21," ",$F$16," ",$F$23," ",$F$24)),Catalogo_Condicione_Financieras!B:W,22,0)*1.16)</f>
        <v/>
      </c>
      <c r="O266" s="631"/>
      <c r="P266" s="641"/>
      <c r="Q266" s="641"/>
      <c r="R266" s="631"/>
      <c r="S266" s="631"/>
      <c r="T266" s="424" t="str">
        <f>IF(B266="","",'Tabla_Puntual&amp;Relacionamiento'!$B$18)</f>
        <v/>
      </c>
      <c r="U266" s="424"/>
      <c r="V266" s="642" t="str">
        <f t="shared" si="44"/>
        <v/>
      </c>
      <c r="W266" s="642"/>
      <c r="X266" s="642" t="str">
        <f t="shared" si="41"/>
        <v/>
      </c>
      <c r="Y266" s="642"/>
      <c r="AL266" s="420" t="str">
        <f t="shared" si="48"/>
        <v/>
      </c>
      <c r="AM266" s="421">
        <f t="shared" si="52"/>
        <v>0</v>
      </c>
      <c r="AN266" s="637"/>
      <c r="AO266" s="637"/>
      <c r="AP266" s="634"/>
      <c r="AQ266" s="634"/>
      <c r="AR266" s="427"/>
      <c r="AS266" s="522" t="str">
        <f t="shared" si="49"/>
        <v/>
      </c>
    </row>
    <row r="267" spans="2:45" x14ac:dyDescent="0.25">
      <c r="B267" s="426" t="str">
        <f t="shared" si="45"/>
        <v/>
      </c>
      <c r="C267" s="423" t="str">
        <f t="shared" si="46"/>
        <v/>
      </c>
      <c r="D267" s="643" t="str">
        <f t="shared" si="50"/>
        <v/>
      </c>
      <c r="E267" s="643"/>
      <c r="F267" s="643" t="str">
        <f t="shared" si="42"/>
        <v/>
      </c>
      <c r="G267" s="643"/>
      <c r="H267" s="671">
        <f t="shared" si="43"/>
        <v>0</v>
      </c>
      <c r="I267" s="671"/>
      <c r="J267" s="640" t="str">
        <f t="shared" si="47"/>
        <v/>
      </c>
      <c r="K267" s="640"/>
      <c r="L267" s="631" t="str">
        <f t="shared" si="51"/>
        <v/>
      </c>
      <c r="M267" s="631"/>
      <c r="N267" s="631" t="str">
        <f>IF(B267="","",VLOOKUP(TRIM(CONCATENATE($F$20," ",$F$17," ",$F$18," ",$F$22," ",$F$21," ",$F$16," ",$F$23," ",$F$24)),Catalogo_Condicione_Financieras!B:W,22,0)*1.16)</f>
        <v/>
      </c>
      <c r="O267" s="631"/>
      <c r="P267" s="641"/>
      <c r="Q267" s="641"/>
      <c r="R267" s="631" t="str">
        <f>IF(OR(X266=0,X266=""),"",IF($F$21="Apoyo Infonavit",IF(D267&gt;=C267,0,MIN(IF($F$30="",0,Caratula!$F$30),$AL$30*25)*10%),0))</f>
        <v/>
      </c>
      <c r="S267" s="631"/>
      <c r="T267" s="424" t="str">
        <f>IF(B267="","",'Tabla_Puntual&amp;Relacionamiento'!$B$18)</f>
        <v/>
      </c>
      <c r="U267" s="424"/>
      <c r="V267" s="642" t="str">
        <f t="shared" si="44"/>
        <v/>
      </c>
      <c r="W267" s="642"/>
      <c r="X267" s="642" t="str">
        <f t="shared" si="41"/>
        <v/>
      </c>
      <c r="Y267" s="642"/>
      <c r="AL267" s="420" t="str">
        <f t="shared" si="48"/>
        <v/>
      </c>
      <c r="AM267" s="421">
        <f t="shared" si="52"/>
        <v>0</v>
      </c>
      <c r="AN267" s="637"/>
      <c r="AO267" s="637"/>
      <c r="AP267" s="634"/>
      <c r="AQ267" s="634"/>
      <c r="AR267" s="427"/>
      <c r="AS267" s="522" t="str">
        <f t="shared" si="49"/>
        <v/>
      </c>
    </row>
    <row r="268" spans="2:45" x14ac:dyDescent="0.25">
      <c r="B268" s="426" t="str">
        <f t="shared" si="45"/>
        <v/>
      </c>
      <c r="C268" s="423" t="str">
        <f t="shared" si="46"/>
        <v/>
      </c>
      <c r="D268" s="643" t="str">
        <f t="shared" si="50"/>
        <v/>
      </c>
      <c r="E268" s="643"/>
      <c r="F268" s="643" t="str">
        <f t="shared" si="42"/>
        <v/>
      </c>
      <c r="G268" s="643"/>
      <c r="H268" s="671">
        <f t="shared" si="43"/>
        <v>0</v>
      </c>
      <c r="I268" s="671"/>
      <c r="J268" s="640" t="str">
        <f t="shared" si="47"/>
        <v/>
      </c>
      <c r="K268" s="640"/>
      <c r="L268" s="631" t="str">
        <f t="shared" si="51"/>
        <v/>
      </c>
      <c r="M268" s="631"/>
      <c r="N268" s="631" t="str">
        <f>IF(B268="","",VLOOKUP(TRIM(CONCATENATE($F$20," ",$F$17," ",$F$18," ",$F$22," ",$F$21," ",$F$16," ",$F$23," ",$F$24)),Catalogo_Condicione_Financieras!B:W,22,0)*1.16)</f>
        <v/>
      </c>
      <c r="O268" s="631"/>
      <c r="P268" s="641"/>
      <c r="Q268" s="641"/>
      <c r="R268" s="631"/>
      <c r="S268" s="631"/>
      <c r="T268" s="424" t="str">
        <f>IF(B268="","",'Tabla_Puntual&amp;Relacionamiento'!$B$19)</f>
        <v/>
      </c>
      <c r="U268" s="424" t="str">
        <f>IF(B268="","",IF($F$16="Pago_Bajo_Puntual",0.019,""))</f>
        <v/>
      </c>
      <c r="V268" s="642" t="str">
        <f t="shared" si="44"/>
        <v/>
      </c>
      <c r="W268" s="642"/>
      <c r="X268" s="642" t="str">
        <f t="shared" si="41"/>
        <v/>
      </c>
      <c r="Y268" s="642"/>
      <c r="AL268" s="420" t="str">
        <f t="shared" si="48"/>
        <v/>
      </c>
      <c r="AM268" s="421">
        <f t="shared" si="52"/>
        <v>0</v>
      </c>
      <c r="AN268" s="637"/>
      <c r="AO268" s="637"/>
      <c r="AP268" s="634"/>
      <c r="AQ268" s="634"/>
      <c r="AR268" s="427"/>
      <c r="AS268" s="522" t="str">
        <f t="shared" si="49"/>
        <v/>
      </c>
    </row>
    <row r="269" spans="2:45" x14ac:dyDescent="0.25">
      <c r="B269" s="426" t="str">
        <f t="shared" si="45"/>
        <v/>
      </c>
      <c r="C269" s="423" t="str">
        <f t="shared" si="46"/>
        <v/>
      </c>
      <c r="D269" s="643" t="str">
        <f t="shared" si="50"/>
        <v/>
      </c>
      <c r="E269" s="643"/>
      <c r="F269" s="643" t="str">
        <f t="shared" si="42"/>
        <v/>
      </c>
      <c r="G269" s="643"/>
      <c r="H269" s="671">
        <f t="shared" si="43"/>
        <v>0</v>
      </c>
      <c r="I269" s="671"/>
      <c r="J269" s="640" t="str">
        <f t="shared" si="47"/>
        <v/>
      </c>
      <c r="K269" s="640"/>
      <c r="L269" s="631" t="str">
        <f t="shared" si="51"/>
        <v/>
      </c>
      <c r="M269" s="631"/>
      <c r="N269" s="631" t="str">
        <f>IF(B269="","",VLOOKUP(TRIM(CONCATENATE($F$20," ",$F$17," ",$F$18," ",$F$22," ",$F$21," ",$F$16," ",$F$23," ",$F$24)),Catalogo_Condicione_Financieras!B:W,22,0)*1.16)</f>
        <v/>
      </c>
      <c r="O269" s="631"/>
      <c r="P269" s="641"/>
      <c r="Q269" s="641"/>
      <c r="R269" s="631" t="str">
        <f>IF(OR(X268=0,X268=""),"",IF($F$21="Apoyo Infonavit",IF(D269&gt;=C269,0,MIN(IF($F$30="",0,Caratula!$F$30),$AL$30*25)*10%),0))</f>
        <v/>
      </c>
      <c r="S269" s="631"/>
      <c r="T269" s="424" t="str">
        <f>IF(B269="","",'Tabla_Puntual&amp;Relacionamiento'!$B$19)</f>
        <v/>
      </c>
      <c r="U269" s="424"/>
      <c r="V269" s="642" t="str">
        <f t="shared" si="44"/>
        <v/>
      </c>
      <c r="W269" s="642"/>
      <c r="X269" s="642" t="str">
        <f t="shared" si="41"/>
        <v/>
      </c>
      <c r="Y269" s="642"/>
      <c r="AL269" s="420" t="str">
        <f t="shared" si="48"/>
        <v/>
      </c>
      <c r="AM269" s="421">
        <f t="shared" si="52"/>
        <v>0</v>
      </c>
      <c r="AN269" s="637"/>
      <c r="AO269" s="637"/>
      <c r="AP269" s="634"/>
      <c r="AQ269" s="634"/>
      <c r="AR269" s="427"/>
      <c r="AS269" s="522" t="str">
        <f t="shared" si="49"/>
        <v/>
      </c>
    </row>
    <row r="270" spans="2:45" x14ac:dyDescent="0.25">
      <c r="B270" s="426" t="str">
        <f t="shared" si="45"/>
        <v/>
      </c>
      <c r="C270" s="423" t="str">
        <f t="shared" si="46"/>
        <v/>
      </c>
      <c r="D270" s="643" t="str">
        <f t="shared" si="50"/>
        <v/>
      </c>
      <c r="E270" s="643"/>
      <c r="F270" s="643" t="str">
        <f t="shared" si="42"/>
        <v/>
      </c>
      <c r="G270" s="643"/>
      <c r="H270" s="671">
        <f t="shared" si="43"/>
        <v>0</v>
      </c>
      <c r="I270" s="671"/>
      <c r="J270" s="640" t="str">
        <f t="shared" si="47"/>
        <v/>
      </c>
      <c r="K270" s="640"/>
      <c r="L270" s="631" t="str">
        <f t="shared" si="51"/>
        <v/>
      </c>
      <c r="M270" s="631"/>
      <c r="N270" s="631" t="str">
        <f>IF(B270="","",VLOOKUP(TRIM(CONCATENATE($F$20," ",$F$17," ",$F$18," ",$F$22," ",$F$21," ",$F$16," ",$F$23," ",$F$24)),Catalogo_Condicione_Financieras!B:W,22,0)*1.16)</f>
        <v/>
      </c>
      <c r="O270" s="631"/>
      <c r="P270" s="641"/>
      <c r="Q270" s="641"/>
      <c r="R270" s="631"/>
      <c r="S270" s="631"/>
      <c r="T270" s="424" t="str">
        <f>IF(B270="","",'Tabla_Puntual&amp;Relacionamiento'!$B$19)</f>
        <v/>
      </c>
      <c r="U270" s="424"/>
      <c r="V270" s="642" t="str">
        <f t="shared" si="44"/>
        <v/>
      </c>
      <c r="W270" s="642"/>
      <c r="X270" s="642" t="str">
        <f t="shared" si="41"/>
        <v/>
      </c>
      <c r="Y270" s="642"/>
      <c r="AL270" s="420" t="str">
        <f t="shared" si="48"/>
        <v/>
      </c>
      <c r="AM270" s="421">
        <f t="shared" si="52"/>
        <v>0</v>
      </c>
      <c r="AN270" s="637"/>
      <c r="AO270" s="637"/>
      <c r="AP270" s="634"/>
      <c r="AQ270" s="634"/>
      <c r="AR270" s="427"/>
      <c r="AS270" s="522" t="str">
        <f t="shared" si="49"/>
        <v/>
      </c>
    </row>
    <row r="271" spans="2:45" x14ac:dyDescent="0.25">
      <c r="B271" s="426" t="str">
        <f t="shared" si="45"/>
        <v/>
      </c>
      <c r="C271" s="423" t="str">
        <f t="shared" si="46"/>
        <v/>
      </c>
      <c r="D271" s="643" t="str">
        <f t="shared" si="50"/>
        <v/>
      </c>
      <c r="E271" s="643"/>
      <c r="F271" s="643" t="str">
        <f t="shared" si="42"/>
        <v/>
      </c>
      <c r="G271" s="643"/>
      <c r="H271" s="671">
        <f t="shared" si="43"/>
        <v>0</v>
      </c>
      <c r="I271" s="671"/>
      <c r="J271" s="640" t="str">
        <f t="shared" si="47"/>
        <v/>
      </c>
      <c r="K271" s="640"/>
      <c r="L271" s="631" t="str">
        <f t="shared" si="51"/>
        <v/>
      </c>
      <c r="M271" s="631"/>
      <c r="N271" s="631" t="str">
        <f>IF(B271="","",VLOOKUP(TRIM(CONCATENATE($F$20," ",$F$17," ",$F$18," ",$F$22," ",$F$21," ",$F$16," ",$F$23," ",$F$24)),Catalogo_Condicione_Financieras!B:W,22,0)*1.16)</f>
        <v/>
      </c>
      <c r="O271" s="631"/>
      <c r="P271" s="641"/>
      <c r="Q271" s="641"/>
      <c r="R271" s="631" t="str">
        <f>IF(OR(X270=0,X270=""),"",IF($F$21="Apoyo Infonavit",IF(D271&gt;=C271,0,MIN(IF($F$30="",0,Caratula!$F$30),$AL$30*25)*10%),0))</f>
        <v/>
      </c>
      <c r="S271" s="631"/>
      <c r="T271" s="424" t="str">
        <f>IF(B271="","",'Tabla_Puntual&amp;Relacionamiento'!$B$19)</f>
        <v/>
      </c>
      <c r="U271" s="424"/>
      <c r="V271" s="642" t="str">
        <f t="shared" si="44"/>
        <v/>
      </c>
      <c r="W271" s="642"/>
      <c r="X271" s="642" t="str">
        <f t="shared" si="41"/>
        <v/>
      </c>
      <c r="Y271" s="642"/>
      <c r="AL271" s="420" t="str">
        <f t="shared" si="48"/>
        <v/>
      </c>
      <c r="AM271" s="421">
        <f t="shared" si="52"/>
        <v>0</v>
      </c>
      <c r="AN271" s="637"/>
      <c r="AO271" s="637"/>
      <c r="AP271" s="634"/>
      <c r="AQ271" s="634"/>
      <c r="AR271" s="427"/>
      <c r="AS271" s="522" t="str">
        <f t="shared" si="49"/>
        <v/>
      </c>
    </row>
    <row r="272" spans="2:45" x14ac:dyDescent="0.25">
      <c r="B272" s="426" t="str">
        <f t="shared" si="45"/>
        <v/>
      </c>
      <c r="C272" s="423" t="str">
        <f t="shared" si="46"/>
        <v/>
      </c>
      <c r="D272" s="643" t="str">
        <f t="shared" si="50"/>
        <v/>
      </c>
      <c r="E272" s="643"/>
      <c r="F272" s="643" t="str">
        <f t="shared" si="42"/>
        <v/>
      </c>
      <c r="G272" s="643"/>
      <c r="H272" s="671">
        <f t="shared" si="43"/>
        <v>0</v>
      </c>
      <c r="I272" s="671"/>
      <c r="J272" s="640" t="str">
        <f t="shared" si="47"/>
        <v/>
      </c>
      <c r="K272" s="640"/>
      <c r="L272" s="631" t="str">
        <f t="shared" si="51"/>
        <v/>
      </c>
      <c r="M272" s="631"/>
      <c r="N272" s="631" t="str">
        <f>IF(B272="","",VLOOKUP(TRIM(CONCATENATE($F$20," ",$F$17," ",$F$18," ",$F$22," ",$F$21," ",$F$16," ",$F$23," ",$F$24)),Catalogo_Condicione_Financieras!B:W,22,0)*1.16)</f>
        <v/>
      </c>
      <c r="O272" s="631"/>
      <c r="P272" s="641"/>
      <c r="Q272" s="641"/>
      <c r="R272" s="631"/>
      <c r="S272" s="631"/>
      <c r="T272" s="424" t="str">
        <f>IF(B272="","",'Tabla_Puntual&amp;Relacionamiento'!$B$19)</f>
        <v/>
      </c>
      <c r="U272" s="424"/>
      <c r="V272" s="642" t="str">
        <f t="shared" si="44"/>
        <v/>
      </c>
      <c r="W272" s="642"/>
      <c r="X272" s="642" t="str">
        <f t="shared" si="41"/>
        <v/>
      </c>
      <c r="Y272" s="642"/>
      <c r="AL272" s="420" t="str">
        <f t="shared" si="48"/>
        <v/>
      </c>
      <c r="AM272" s="421">
        <f t="shared" si="52"/>
        <v>0</v>
      </c>
      <c r="AN272" s="637"/>
      <c r="AO272" s="637"/>
      <c r="AP272" s="634"/>
      <c r="AQ272" s="634"/>
      <c r="AR272" s="427"/>
      <c r="AS272" s="522" t="str">
        <f t="shared" si="49"/>
        <v/>
      </c>
    </row>
    <row r="273" spans="2:45" x14ac:dyDescent="0.25">
      <c r="B273" s="426" t="str">
        <f t="shared" si="45"/>
        <v/>
      </c>
      <c r="C273" s="423" t="str">
        <f t="shared" si="46"/>
        <v/>
      </c>
      <c r="D273" s="643" t="str">
        <f t="shared" si="50"/>
        <v/>
      </c>
      <c r="E273" s="643"/>
      <c r="F273" s="643" t="str">
        <f t="shared" si="42"/>
        <v/>
      </c>
      <c r="G273" s="643"/>
      <c r="H273" s="671">
        <f t="shared" si="43"/>
        <v>0</v>
      </c>
      <c r="I273" s="671"/>
      <c r="J273" s="640" t="str">
        <f t="shared" si="47"/>
        <v/>
      </c>
      <c r="K273" s="640"/>
      <c r="L273" s="631" t="str">
        <f t="shared" si="51"/>
        <v/>
      </c>
      <c r="M273" s="631"/>
      <c r="N273" s="631" t="str">
        <f>IF(B273="","",VLOOKUP(TRIM(CONCATENATE($F$20," ",$F$17," ",$F$18," ",$F$22," ",$F$21," ",$F$16," ",$F$23," ",$F$24)),Catalogo_Condicione_Financieras!B:W,22,0)*1.16)</f>
        <v/>
      </c>
      <c r="O273" s="631"/>
      <c r="P273" s="641"/>
      <c r="Q273" s="641"/>
      <c r="R273" s="631" t="str">
        <f>IF(OR(X272=0,X272=""),"",IF($F$21="Apoyo Infonavit",IF(D273&gt;=C273,0,MIN(IF($F$30="",0,Caratula!$F$30),$AL$30*25)*10%),0))</f>
        <v/>
      </c>
      <c r="S273" s="631"/>
      <c r="T273" s="424" t="str">
        <f>IF(B273="","",'Tabla_Puntual&amp;Relacionamiento'!$B$19)</f>
        <v/>
      </c>
      <c r="U273" s="424"/>
      <c r="V273" s="642" t="str">
        <f t="shared" si="44"/>
        <v/>
      </c>
      <c r="W273" s="642"/>
      <c r="X273" s="642" t="str">
        <f t="shared" si="41"/>
        <v/>
      </c>
      <c r="Y273" s="642"/>
      <c r="AL273" s="420" t="str">
        <f t="shared" si="48"/>
        <v/>
      </c>
      <c r="AM273" s="421">
        <f t="shared" si="52"/>
        <v>0</v>
      </c>
      <c r="AN273" s="637"/>
      <c r="AO273" s="637"/>
      <c r="AP273" s="634"/>
      <c r="AQ273" s="634"/>
      <c r="AR273" s="427"/>
      <c r="AS273" s="522" t="str">
        <f t="shared" si="49"/>
        <v/>
      </c>
    </row>
    <row r="274" spans="2:45" x14ac:dyDescent="0.25">
      <c r="B274" s="426" t="str">
        <f t="shared" si="45"/>
        <v/>
      </c>
      <c r="C274" s="423" t="str">
        <f t="shared" si="46"/>
        <v/>
      </c>
      <c r="D274" s="643" t="str">
        <f t="shared" si="50"/>
        <v/>
      </c>
      <c r="E274" s="643"/>
      <c r="F274" s="643" t="str">
        <f t="shared" si="42"/>
        <v/>
      </c>
      <c r="G274" s="643"/>
      <c r="H274" s="671">
        <f t="shared" si="43"/>
        <v>0</v>
      </c>
      <c r="I274" s="671"/>
      <c r="J274" s="640" t="str">
        <f t="shared" si="47"/>
        <v/>
      </c>
      <c r="K274" s="640"/>
      <c r="L274" s="631" t="str">
        <f t="shared" si="51"/>
        <v/>
      </c>
      <c r="M274" s="631"/>
      <c r="N274" s="631" t="str">
        <f>IF(B274="","",VLOOKUP(TRIM(CONCATENATE($F$20," ",$F$17," ",$F$18," ",$F$22," ",$F$21," ",$F$16," ",$F$23," ",$F$24)),Catalogo_Condicione_Financieras!B:W,22,0)*1.16)</f>
        <v/>
      </c>
      <c r="O274" s="631"/>
      <c r="P274" s="641"/>
      <c r="Q274" s="641"/>
      <c r="R274" s="631"/>
      <c r="S274" s="631"/>
      <c r="T274" s="424" t="str">
        <f>IF(B274="","",'Tabla_Puntual&amp;Relacionamiento'!$B$19)</f>
        <v/>
      </c>
      <c r="U274" s="424"/>
      <c r="V274" s="642" t="str">
        <f t="shared" si="44"/>
        <v/>
      </c>
      <c r="W274" s="642"/>
      <c r="X274" s="642" t="str">
        <f t="shared" si="41"/>
        <v/>
      </c>
      <c r="Y274" s="642"/>
      <c r="AL274" s="420" t="str">
        <f t="shared" si="48"/>
        <v/>
      </c>
      <c r="AM274" s="421">
        <f t="shared" si="52"/>
        <v>0</v>
      </c>
      <c r="AN274" s="637"/>
      <c r="AO274" s="637"/>
      <c r="AP274" s="634"/>
      <c r="AQ274" s="634"/>
      <c r="AR274" s="427"/>
      <c r="AS274" s="522" t="str">
        <f t="shared" si="49"/>
        <v/>
      </c>
    </row>
    <row r="275" spans="2:45" x14ac:dyDescent="0.25">
      <c r="B275" s="426" t="str">
        <f t="shared" si="45"/>
        <v/>
      </c>
      <c r="C275" s="423" t="str">
        <f t="shared" si="46"/>
        <v/>
      </c>
      <c r="D275" s="643" t="str">
        <f t="shared" si="50"/>
        <v/>
      </c>
      <c r="E275" s="643"/>
      <c r="F275" s="643" t="str">
        <f t="shared" si="42"/>
        <v/>
      </c>
      <c r="G275" s="643"/>
      <c r="H275" s="671">
        <f t="shared" si="43"/>
        <v>0</v>
      </c>
      <c r="I275" s="671"/>
      <c r="J275" s="640" t="str">
        <f t="shared" si="47"/>
        <v/>
      </c>
      <c r="K275" s="640"/>
      <c r="L275" s="631" t="str">
        <f t="shared" si="51"/>
        <v/>
      </c>
      <c r="M275" s="631"/>
      <c r="N275" s="631" t="str">
        <f>IF(B275="","",VLOOKUP(TRIM(CONCATENATE($F$20," ",$F$17," ",$F$18," ",$F$22," ",$F$21," ",$F$16," ",$F$23," ",$F$24)),Catalogo_Condicione_Financieras!B:W,22,0)*1.16)</f>
        <v/>
      </c>
      <c r="O275" s="631"/>
      <c r="P275" s="641"/>
      <c r="Q275" s="641"/>
      <c r="R275" s="631" t="str">
        <f>IF(OR(X274=0,X274=""),"",IF($F$21="Apoyo Infonavit",IF(D275&gt;=C275,0,MIN(IF($F$30="",0,Caratula!$F$30),$AL$30*25)*10%),0))</f>
        <v/>
      </c>
      <c r="S275" s="631"/>
      <c r="T275" s="424" t="str">
        <f>IF(B275="","",'Tabla_Puntual&amp;Relacionamiento'!$B$19)</f>
        <v/>
      </c>
      <c r="U275" s="424"/>
      <c r="V275" s="642" t="str">
        <f t="shared" si="44"/>
        <v/>
      </c>
      <c r="W275" s="642"/>
      <c r="X275" s="642" t="str">
        <f t="shared" si="41"/>
        <v/>
      </c>
      <c r="Y275" s="642"/>
      <c r="AL275" s="420" t="str">
        <f t="shared" si="48"/>
        <v/>
      </c>
      <c r="AM275" s="421">
        <f t="shared" si="52"/>
        <v>0</v>
      </c>
      <c r="AN275" s="637"/>
      <c r="AO275" s="637"/>
      <c r="AP275" s="634"/>
      <c r="AQ275" s="634"/>
      <c r="AR275" s="427"/>
      <c r="AS275" s="522" t="str">
        <f t="shared" si="49"/>
        <v/>
      </c>
    </row>
    <row r="276" spans="2:45" x14ac:dyDescent="0.25">
      <c r="B276" s="426" t="str">
        <f t="shared" si="45"/>
        <v/>
      </c>
      <c r="C276" s="423" t="str">
        <f t="shared" si="46"/>
        <v/>
      </c>
      <c r="D276" s="643" t="str">
        <f t="shared" si="50"/>
        <v/>
      </c>
      <c r="E276" s="643"/>
      <c r="F276" s="643" t="str">
        <f t="shared" si="42"/>
        <v/>
      </c>
      <c r="G276" s="643"/>
      <c r="H276" s="671">
        <f t="shared" si="43"/>
        <v>0</v>
      </c>
      <c r="I276" s="671"/>
      <c r="J276" s="640" t="str">
        <f t="shared" si="47"/>
        <v/>
      </c>
      <c r="K276" s="640"/>
      <c r="L276" s="631" t="str">
        <f t="shared" si="51"/>
        <v/>
      </c>
      <c r="M276" s="631"/>
      <c r="N276" s="631" t="str">
        <f>IF(B276="","",VLOOKUP(TRIM(CONCATENATE($F$20," ",$F$17," ",$F$18," ",$F$22," ",$F$21," ",$F$16," ",$F$23," ",$F$24)),Catalogo_Condicione_Financieras!B:W,22,0)*1.16)</f>
        <v/>
      </c>
      <c r="O276" s="631"/>
      <c r="P276" s="641"/>
      <c r="Q276" s="641"/>
      <c r="R276" s="631"/>
      <c r="S276" s="631"/>
      <c r="T276" s="424" t="str">
        <f>IF(B276="","",'Tabla_Puntual&amp;Relacionamiento'!$B$19)</f>
        <v/>
      </c>
      <c r="U276" s="424"/>
      <c r="V276" s="642" t="str">
        <f t="shared" si="44"/>
        <v/>
      </c>
      <c r="W276" s="642"/>
      <c r="X276" s="642" t="str">
        <f t="shared" si="41"/>
        <v/>
      </c>
      <c r="Y276" s="642"/>
      <c r="AE276" s="341"/>
      <c r="AL276" s="420" t="str">
        <f t="shared" si="48"/>
        <v/>
      </c>
      <c r="AM276" s="421">
        <f t="shared" si="52"/>
        <v>0</v>
      </c>
      <c r="AN276" s="637"/>
      <c r="AO276" s="637"/>
      <c r="AP276" s="634"/>
      <c r="AQ276" s="634"/>
      <c r="AR276" s="427"/>
      <c r="AS276" s="522" t="str">
        <f t="shared" si="49"/>
        <v/>
      </c>
    </row>
    <row r="277" spans="2:45" x14ac:dyDescent="0.25">
      <c r="B277" s="426" t="str">
        <f t="shared" si="45"/>
        <v/>
      </c>
      <c r="C277" s="423" t="str">
        <f t="shared" si="46"/>
        <v/>
      </c>
      <c r="D277" s="643" t="str">
        <f t="shared" si="50"/>
        <v/>
      </c>
      <c r="E277" s="643"/>
      <c r="F277" s="643" t="str">
        <f t="shared" si="42"/>
        <v/>
      </c>
      <c r="G277" s="643"/>
      <c r="H277" s="671">
        <f t="shared" si="43"/>
        <v>0</v>
      </c>
      <c r="I277" s="671"/>
      <c r="J277" s="640" t="str">
        <f t="shared" si="47"/>
        <v/>
      </c>
      <c r="K277" s="640"/>
      <c r="L277" s="631" t="str">
        <f t="shared" si="51"/>
        <v/>
      </c>
      <c r="M277" s="631"/>
      <c r="N277" s="631" t="str">
        <f>IF(B277="","",VLOOKUP(TRIM(CONCATENATE($F$20," ",$F$17," ",$F$18," ",$F$22," ",$F$21," ",$F$16," ",$F$23," ",$F$24)),Catalogo_Condicione_Financieras!B:W,22,0)*1.16)</f>
        <v/>
      </c>
      <c r="O277" s="631"/>
      <c r="P277" s="641"/>
      <c r="Q277" s="641"/>
      <c r="R277" s="631" t="str">
        <f>IF(OR(X276=0,X276=""),"",IF($F$21="Apoyo Infonavit",IF(D277&gt;=C277,0,MIN(IF($F$30="",0,Caratula!$F$30),$AL$30*25)*10%),0))</f>
        <v/>
      </c>
      <c r="S277" s="631"/>
      <c r="T277" s="424" t="str">
        <f>IF(B277="","",'Tabla_Puntual&amp;Relacionamiento'!$B$19)</f>
        <v/>
      </c>
      <c r="U277" s="424"/>
      <c r="V277" s="642" t="str">
        <f t="shared" si="44"/>
        <v/>
      </c>
      <c r="W277" s="642"/>
      <c r="X277" s="642" t="str">
        <f t="shared" si="41"/>
        <v/>
      </c>
      <c r="Y277" s="642"/>
      <c r="AL277" s="420" t="str">
        <f t="shared" si="48"/>
        <v/>
      </c>
      <c r="AM277" s="421">
        <f t="shared" si="52"/>
        <v>0</v>
      </c>
      <c r="AN277" s="637"/>
      <c r="AO277" s="637"/>
      <c r="AP277" s="634"/>
      <c r="AQ277" s="634"/>
      <c r="AR277" s="427"/>
      <c r="AS277" s="522" t="str">
        <f t="shared" si="49"/>
        <v/>
      </c>
    </row>
    <row r="278" spans="2:45" x14ac:dyDescent="0.25">
      <c r="B278" s="426" t="str">
        <f t="shared" si="45"/>
        <v/>
      </c>
      <c r="C278" s="423" t="str">
        <f t="shared" si="46"/>
        <v/>
      </c>
      <c r="D278" s="643" t="str">
        <f t="shared" si="50"/>
        <v/>
      </c>
      <c r="E278" s="643"/>
      <c r="F278" s="643" t="str">
        <f t="shared" si="42"/>
        <v/>
      </c>
      <c r="G278" s="643"/>
      <c r="H278" s="671">
        <f t="shared" si="43"/>
        <v>0</v>
      </c>
      <c r="I278" s="671"/>
      <c r="J278" s="640" t="str">
        <f t="shared" si="47"/>
        <v/>
      </c>
      <c r="K278" s="640"/>
      <c r="L278" s="631" t="str">
        <f t="shared" si="51"/>
        <v/>
      </c>
      <c r="M278" s="631"/>
      <c r="N278" s="631" t="str">
        <f>IF(B278="","",VLOOKUP(TRIM(CONCATENATE($F$20," ",$F$17," ",$F$18," ",$F$22," ",$F$21," ",$F$16," ",$F$23," ",$F$24)),Catalogo_Condicione_Financieras!B:W,22,0)*1.16)</f>
        <v/>
      </c>
      <c r="O278" s="631"/>
      <c r="P278" s="641"/>
      <c r="Q278" s="641"/>
      <c r="R278" s="631"/>
      <c r="S278" s="631"/>
      <c r="T278" s="424" t="str">
        <f>IF(B278="","",'Tabla_Puntual&amp;Relacionamiento'!$B$19)</f>
        <v/>
      </c>
      <c r="U278" s="424"/>
      <c r="V278" s="642" t="str">
        <f t="shared" si="44"/>
        <v/>
      </c>
      <c r="W278" s="642"/>
      <c r="X278" s="642" t="str">
        <f t="shared" si="41"/>
        <v/>
      </c>
      <c r="Y278" s="642"/>
      <c r="AL278" s="420" t="str">
        <f t="shared" si="48"/>
        <v/>
      </c>
      <c r="AM278" s="421">
        <f t="shared" si="52"/>
        <v>0</v>
      </c>
      <c r="AN278" s="637"/>
      <c r="AO278" s="637"/>
      <c r="AP278" s="634"/>
      <c r="AQ278" s="634"/>
      <c r="AR278" s="427"/>
      <c r="AS278" s="522" t="str">
        <f t="shared" si="49"/>
        <v/>
      </c>
    </row>
    <row r="279" spans="2:45" x14ac:dyDescent="0.25">
      <c r="B279" s="426" t="str">
        <f t="shared" si="45"/>
        <v/>
      </c>
      <c r="C279" s="423" t="str">
        <f t="shared" si="46"/>
        <v/>
      </c>
      <c r="D279" s="643" t="str">
        <f t="shared" si="50"/>
        <v/>
      </c>
      <c r="E279" s="643"/>
      <c r="F279" s="643" t="str">
        <f t="shared" si="42"/>
        <v/>
      </c>
      <c r="G279" s="643"/>
      <c r="H279" s="671">
        <f t="shared" si="43"/>
        <v>0</v>
      </c>
      <c r="I279" s="671"/>
      <c r="J279" s="640" t="str">
        <f t="shared" si="47"/>
        <v/>
      </c>
      <c r="K279" s="640"/>
      <c r="L279" s="631" t="str">
        <f t="shared" si="51"/>
        <v/>
      </c>
      <c r="M279" s="631"/>
      <c r="N279" s="631" t="str">
        <f>IF(B279="","",VLOOKUP(TRIM(CONCATENATE($F$20," ",$F$17," ",$F$18," ",$F$22," ",$F$21," ",$F$16," ",$F$23," ",$F$24)),Catalogo_Condicione_Financieras!B:W,22,0)*1.16)</f>
        <v/>
      </c>
      <c r="O279" s="631"/>
      <c r="P279" s="641"/>
      <c r="Q279" s="641"/>
      <c r="R279" s="631" t="str">
        <f>IF(OR(X278=0,X278=""),"",IF($F$21="Apoyo Infonavit",IF(D279&gt;=C279,0,MIN(IF($F$30="",0,Caratula!$F$30),$AL$30*25)*10%),0))</f>
        <v/>
      </c>
      <c r="S279" s="631"/>
      <c r="T279" s="424" t="str">
        <f>IF(B279="","",'Tabla_Puntual&amp;Relacionamiento'!$B$19)</f>
        <v/>
      </c>
      <c r="U279" s="424"/>
      <c r="V279" s="642" t="str">
        <f t="shared" si="44"/>
        <v/>
      </c>
      <c r="W279" s="642"/>
      <c r="X279" s="642" t="str">
        <f t="shared" si="41"/>
        <v/>
      </c>
      <c r="Y279" s="642"/>
      <c r="AL279" s="420" t="str">
        <f t="shared" si="48"/>
        <v/>
      </c>
      <c r="AM279" s="421">
        <f t="shared" si="52"/>
        <v>0</v>
      </c>
      <c r="AN279" s="637"/>
      <c r="AO279" s="637"/>
      <c r="AP279" s="634"/>
      <c r="AQ279" s="634"/>
      <c r="AR279" s="427"/>
      <c r="AS279" s="522" t="str">
        <f t="shared" si="49"/>
        <v/>
      </c>
    </row>
    <row r="280" spans="2:45" x14ac:dyDescent="0.25">
      <c r="B280" s="426" t="str">
        <f t="shared" si="45"/>
        <v/>
      </c>
      <c r="C280" s="423" t="str">
        <f t="shared" si="46"/>
        <v/>
      </c>
      <c r="D280" s="643" t="str">
        <f t="shared" si="50"/>
        <v/>
      </c>
      <c r="E280" s="643"/>
      <c r="F280" s="643" t="str">
        <f t="shared" si="42"/>
        <v/>
      </c>
      <c r="G280" s="643"/>
      <c r="H280" s="671">
        <f t="shared" si="43"/>
        <v>0</v>
      </c>
      <c r="I280" s="671"/>
      <c r="J280" s="640" t="str">
        <f t="shared" si="47"/>
        <v/>
      </c>
      <c r="K280" s="640"/>
      <c r="L280" s="631" t="str">
        <f t="shared" si="51"/>
        <v/>
      </c>
      <c r="M280" s="631"/>
      <c r="N280" s="631" t="str">
        <f>IF(B280="","",VLOOKUP(TRIM(CONCATENATE($F$20," ",$F$17," ",$F$18," ",$F$22," ",$F$21," ",$F$16," ",$F$23," ",$F$24)),Catalogo_Condicione_Financieras!B:W,22,0)*1.16)</f>
        <v/>
      </c>
      <c r="O280" s="631"/>
      <c r="P280" s="641"/>
      <c r="Q280" s="641"/>
      <c r="R280" s="631"/>
      <c r="S280" s="631"/>
      <c r="T280" s="424" t="str">
        <f>IF(B280="","",'Tabla_Puntual&amp;Relacionamiento'!$B$20)</f>
        <v/>
      </c>
      <c r="U280" s="424" t="str">
        <f>IF(B280="","",IF($F$16="Pago_Bajo_Puntual",0.019,""))</f>
        <v/>
      </c>
      <c r="V280" s="642" t="str">
        <f t="shared" si="44"/>
        <v/>
      </c>
      <c r="W280" s="642"/>
      <c r="X280" s="642" t="str">
        <f t="shared" si="41"/>
        <v/>
      </c>
      <c r="Y280" s="642"/>
      <c r="AL280" s="420" t="str">
        <f t="shared" si="48"/>
        <v/>
      </c>
      <c r="AM280" s="421">
        <f t="shared" si="52"/>
        <v>0</v>
      </c>
      <c r="AN280" s="637"/>
      <c r="AO280" s="637"/>
      <c r="AP280" s="634"/>
      <c r="AQ280" s="634"/>
      <c r="AR280" s="427"/>
      <c r="AS280" s="522" t="str">
        <f t="shared" si="49"/>
        <v/>
      </c>
    </row>
    <row r="281" spans="2:45" x14ac:dyDescent="0.25">
      <c r="B281" s="426" t="str">
        <f t="shared" si="45"/>
        <v/>
      </c>
      <c r="C281" s="423" t="str">
        <f t="shared" si="46"/>
        <v/>
      </c>
      <c r="D281" s="643" t="str">
        <f t="shared" si="50"/>
        <v/>
      </c>
      <c r="E281" s="643"/>
      <c r="F281" s="643" t="str">
        <f t="shared" si="42"/>
        <v/>
      </c>
      <c r="G281" s="643"/>
      <c r="H281" s="671">
        <f t="shared" si="43"/>
        <v>0</v>
      </c>
      <c r="I281" s="671"/>
      <c r="J281" s="640" t="str">
        <f t="shared" si="47"/>
        <v/>
      </c>
      <c r="K281" s="640"/>
      <c r="L281" s="631" t="str">
        <f t="shared" si="51"/>
        <v/>
      </c>
      <c r="M281" s="631"/>
      <c r="N281" s="631" t="str">
        <f>IF(B281="","",VLOOKUP(TRIM(CONCATENATE($F$20," ",$F$17," ",$F$18," ",$F$22," ",$F$21," ",$F$16," ",$F$23," ",$F$24)),Catalogo_Condicione_Financieras!B:W,22,0)*1.16)</f>
        <v/>
      </c>
      <c r="O281" s="631"/>
      <c r="P281" s="641"/>
      <c r="Q281" s="641"/>
      <c r="R281" s="631" t="str">
        <f>IF(OR(X280=0,X280=""),"",IF($F$21="Apoyo Infonavit",IF(D281&gt;=C281,0,MIN(IF($F$30="",0,Caratula!$F$30),$AL$30*25)*10%),0))</f>
        <v/>
      </c>
      <c r="S281" s="631"/>
      <c r="T281" s="424" t="str">
        <f>IF(B281="","",'Tabla_Puntual&amp;Relacionamiento'!$B$20)</f>
        <v/>
      </c>
      <c r="U281" s="424"/>
      <c r="V281" s="642" t="str">
        <f t="shared" si="44"/>
        <v/>
      </c>
      <c r="W281" s="642"/>
      <c r="X281" s="642" t="str">
        <f t="shared" si="41"/>
        <v/>
      </c>
      <c r="Y281" s="642"/>
      <c r="AL281" s="420" t="str">
        <f t="shared" si="48"/>
        <v/>
      </c>
      <c r="AM281" s="421">
        <f t="shared" si="52"/>
        <v>0</v>
      </c>
      <c r="AN281" s="637"/>
      <c r="AO281" s="637"/>
      <c r="AP281" s="634"/>
      <c r="AQ281" s="634"/>
      <c r="AR281" s="427"/>
      <c r="AS281" s="522" t="str">
        <f t="shared" si="49"/>
        <v/>
      </c>
    </row>
    <row r="282" spans="2:45" x14ac:dyDescent="0.25">
      <c r="B282" s="426" t="str">
        <f t="shared" si="45"/>
        <v/>
      </c>
      <c r="C282" s="423" t="str">
        <f t="shared" si="46"/>
        <v/>
      </c>
      <c r="D282" s="643" t="str">
        <f t="shared" si="50"/>
        <v/>
      </c>
      <c r="E282" s="643"/>
      <c r="F282" s="643" t="str">
        <f t="shared" si="42"/>
        <v/>
      </c>
      <c r="G282" s="643"/>
      <c r="H282" s="671">
        <f t="shared" si="43"/>
        <v>0</v>
      </c>
      <c r="I282" s="671"/>
      <c r="J282" s="640" t="str">
        <f t="shared" si="47"/>
        <v/>
      </c>
      <c r="K282" s="640"/>
      <c r="L282" s="631" t="str">
        <f t="shared" si="51"/>
        <v/>
      </c>
      <c r="M282" s="631"/>
      <c r="N282" s="631" t="str">
        <f>IF(B282="","",VLOOKUP(TRIM(CONCATENATE($F$20," ",$F$17," ",$F$18," ",$F$22," ",$F$21," ",$F$16," ",$F$23," ",$F$24)),Catalogo_Condicione_Financieras!B:W,22,0)*1.16)</f>
        <v/>
      </c>
      <c r="O282" s="631"/>
      <c r="P282" s="641"/>
      <c r="Q282" s="641"/>
      <c r="R282" s="631"/>
      <c r="S282" s="631"/>
      <c r="T282" s="424" t="str">
        <f>IF(B282="","",'Tabla_Puntual&amp;Relacionamiento'!$B$20)</f>
        <v/>
      </c>
      <c r="U282" s="424"/>
      <c r="V282" s="642" t="str">
        <f t="shared" si="44"/>
        <v/>
      </c>
      <c r="W282" s="642"/>
      <c r="X282" s="642" t="str">
        <f t="shared" si="41"/>
        <v/>
      </c>
      <c r="Y282" s="642"/>
      <c r="AL282" s="420" t="str">
        <f t="shared" si="48"/>
        <v/>
      </c>
      <c r="AM282" s="421">
        <f t="shared" si="52"/>
        <v>0</v>
      </c>
      <c r="AN282" s="637"/>
      <c r="AO282" s="637"/>
      <c r="AP282" s="634"/>
      <c r="AQ282" s="634"/>
      <c r="AR282" s="427"/>
      <c r="AS282" s="522" t="str">
        <f t="shared" si="49"/>
        <v/>
      </c>
    </row>
    <row r="283" spans="2:45" x14ac:dyDescent="0.25">
      <c r="B283" s="426" t="str">
        <f t="shared" si="45"/>
        <v/>
      </c>
      <c r="C283" s="423" t="str">
        <f t="shared" si="46"/>
        <v/>
      </c>
      <c r="D283" s="643" t="str">
        <f t="shared" si="50"/>
        <v/>
      </c>
      <c r="E283" s="643"/>
      <c r="F283" s="643" t="str">
        <f t="shared" si="42"/>
        <v/>
      </c>
      <c r="G283" s="643"/>
      <c r="H283" s="671">
        <f t="shared" si="43"/>
        <v>0</v>
      </c>
      <c r="I283" s="671"/>
      <c r="J283" s="640" t="str">
        <f t="shared" si="47"/>
        <v/>
      </c>
      <c r="K283" s="640"/>
      <c r="L283" s="631" t="str">
        <f t="shared" si="51"/>
        <v/>
      </c>
      <c r="M283" s="631"/>
      <c r="N283" s="631" t="str">
        <f>IF(B283="","",VLOOKUP(TRIM(CONCATENATE($F$20," ",$F$17," ",$F$18," ",$F$22," ",$F$21," ",$F$16," ",$F$23," ",$F$24)),Catalogo_Condicione_Financieras!B:W,22,0)*1.16)</f>
        <v/>
      </c>
      <c r="O283" s="631"/>
      <c r="P283" s="641"/>
      <c r="Q283" s="641"/>
      <c r="R283" s="631" t="str">
        <f>IF(OR(X282=0,X282=""),"",IF($F$21="Apoyo Infonavit",IF(D283&gt;=C283,0,MIN(IF($F$30="",0,Caratula!$F$30),$AL$30*25)*10%),0))</f>
        <v/>
      </c>
      <c r="S283" s="631"/>
      <c r="T283" s="424" t="str">
        <f>IF(B283="","",'Tabla_Puntual&amp;Relacionamiento'!$B$20)</f>
        <v/>
      </c>
      <c r="U283" s="424"/>
      <c r="V283" s="642" t="str">
        <f t="shared" si="44"/>
        <v/>
      </c>
      <c r="W283" s="642"/>
      <c r="X283" s="642" t="str">
        <f t="shared" si="41"/>
        <v/>
      </c>
      <c r="Y283" s="642"/>
      <c r="AL283" s="420" t="str">
        <f t="shared" si="48"/>
        <v/>
      </c>
      <c r="AM283" s="421">
        <f t="shared" si="52"/>
        <v>0</v>
      </c>
      <c r="AN283" s="637"/>
      <c r="AO283" s="637"/>
      <c r="AP283" s="634"/>
      <c r="AQ283" s="634"/>
      <c r="AR283" s="427"/>
      <c r="AS283" s="522" t="str">
        <f t="shared" si="49"/>
        <v/>
      </c>
    </row>
    <row r="284" spans="2:45" x14ac:dyDescent="0.25">
      <c r="B284" s="426" t="str">
        <f t="shared" si="45"/>
        <v/>
      </c>
      <c r="C284" s="423" t="str">
        <f t="shared" si="46"/>
        <v/>
      </c>
      <c r="D284" s="643" t="str">
        <f t="shared" si="50"/>
        <v/>
      </c>
      <c r="E284" s="643"/>
      <c r="F284" s="643" t="str">
        <f t="shared" si="42"/>
        <v/>
      </c>
      <c r="G284" s="643"/>
      <c r="H284" s="671">
        <f t="shared" si="43"/>
        <v>0</v>
      </c>
      <c r="I284" s="671"/>
      <c r="J284" s="640" t="str">
        <f t="shared" si="47"/>
        <v/>
      </c>
      <c r="K284" s="640"/>
      <c r="L284" s="631" t="str">
        <f t="shared" si="51"/>
        <v/>
      </c>
      <c r="M284" s="631"/>
      <c r="N284" s="631" t="str">
        <f>IF(B284="","",VLOOKUP(TRIM(CONCATENATE($F$20," ",$F$17," ",$F$18," ",$F$22," ",$F$21," ",$F$16," ",$F$23," ",$F$24)),Catalogo_Condicione_Financieras!B:W,22,0)*1.16)</f>
        <v/>
      </c>
      <c r="O284" s="631"/>
      <c r="P284" s="641"/>
      <c r="Q284" s="641"/>
      <c r="R284" s="631"/>
      <c r="S284" s="631"/>
      <c r="T284" s="424" t="str">
        <f>IF(B284="","",'Tabla_Puntual&amp;Relacionamiento'!$B$20)</f>
        <v/>
      </c>
      <c r="U284" s="424"/>
      <c r="V284" s="642" t="str">
        <f t="shared" si="44"/>
        <v/>
      </c>
      <c r="W284" s="642"/>
      <c r="X284" s="642" t="str">
        <f t="shared" si="41"/>
        <v/>
      </c>
      <c r="Y284" s="642"/>
      <c r="AL284" s="420" t="str">
        <f t="shared" si="48"/>
        <v/>
      </c>
      <c r="AM284" s="421">
        <f t="shared" si="52"/>
        <v>0</v>
      </c>
      <c r="AN284" s="637"/>
      <c r="AO284" s="637"/>
      <c r="AP284" s="634"/>
      <c r="AQ284" s="634"/>
      <c r="AR284" s="427"/>
      <c r="AS284" s="522" t="str">
        <f t="shared" si="49"/>
        <v/>
      </c>
    </row>
    <row r="285" spans="2:45" x14ac:dyDescent="0.25">
      <c r="B285" s="426" t="str">
        <f t="shared" si="45"/>
        <v/>
      </c>
      <c r="C285" s="423" t="str">
        <f t="shared" si="46"/>
        <v/>
      </c>
      <c r="D285" s="643" t="str">
        <f t="shared" si="50"/>
        <v/>
      </c>
      <c r="E285" s="643"/>
      <c r="F285" s="643" t="str">
        <f t="shared" si="42"/>
        <v/>
      </c>
      <c r="G285" s="643"/>
      <c r="H285" s="671">
        <f t="shared" si="43"/>
        <v>0</v>
      </c>
      <c r="I285" s="671"/>
      <c r="J285" s="640" t="str">
        <f t="shared" si="47"/>
        <v/>
      </c>
      <c r="K285" s="640"/>
      <c r="L285" s="631" t="str">
        <f t="shared" si="51"/>
        <v/>
      </c>
      <c r="M285" s="631"/>
      <c r="N285" s="631" t="str">
        <f>IF(B285="","",VLOOKUP(TRIM(CONCATENATE($F$20," ",$F$17," ",$F$18," ",$F$22," ",$F$21," ",$F$16," ",$F$23," ",$F$24)),Catalogo_Condicione_Financieras!B:W,22,0)*1.16)</f>
        <v/>
      </c>
      <c r="O285" s="631"/>
      <c r="P285" s="641"/>
      <c r="Q285" s="641"/>
      <c r="R285" s="631" t="str">
        <f>IF(OR(X284=0,X284=""),"",IF($F$21="Apoyo Infonavit",IF(D285&gt;=C285,0,MIN(IF($F$30="",0,Caratula!$F$30),$AL$30*25)*10%),0))</f>
        <v/>
      </c>
      <c r="S285" s="631"/>
      <c r="T285" s="424" t="str">
        <f>IF(B285="","",'Tabla_Puntual&amp;Relacionamiento'!$B$20)</f>
        <v/>
      </c>
      <c r="U285" s="424"/>
      <c r="V285" s="642" t="str">
        <f t="shared" si="44"/>
        <v/>
      </c>
      <c r="W285" s="642"/>
      <c r="X285" s="642" t="str">
        <f t="shared" si="41"/>
        <v/>
      </c>
      <c r="Y285" s="642"/>
      <c r="AL285" s="420" t="str">
        <f t="shared" si="48"/>
        <v/>
      </c>
      <c r="AM285" s="421">
        <f t="shared" si="52"/>
        <v>0</v>
      </c>
      <c r="AN285" s="637"/>
      <c r="AO285" s="637"/>
      <c r="AP285" s="634"/>
      <c r="AQ285" s="634"/>
      <c r="AR285" s="427"/>
      <c r="AS285" s="522" t="str">
        <f t="shared" si="49"/>
        <v/>
      </c>
    </row>
    <row r="286" spans="2:45" x14ac:dyDescent="0.25">
      <c r="B286" s="426" t="str">
        <f t="shared" si="45"/>
        <v/>
      </c>
      <c r="C286" s="423" t="str">
        <f t="shared" si="46"/>
        <v/>
      </c>
      <c r="D286" s="643" t="str">
        <f t="shared" si="50"/>
        <v/>
      </c>
      <c r="E286" s="643"/>
      <c r="F286" s="643" t="str">
        <f t="shared" si="42"/>
        <v/>
      </c>
      <c r="G286" s="643"/>
      <c r="H286" s="671">
        <f t="shared" si="43"/>
        <v>0</v>
      </c>
      <c r="I286" s="671"/>
      <c r="J286" s="640" t="str">
        <f t="shared" si="47"/>
        <v/>
      </c>
      <c r="K286" s="640"/>
      <c r="L286" s="631" t="str">
        <f t="shared" si="51"/>
        <v/>
      </c>
      <c r="M286" s="631"/>
      <c r="N286" s="631" t="str">
        <f>IF(B286="","",VLOOKUP(TRIM(CONCATENATE($F$20," ",$F$17," ",$F$18," ",$F$22," ",$F$21," ",$F$16," ",$F$23," ",$F$24)),Catalogo_Condicione_Financieras!B:W,22,0)*1.16)</f>
        <v/>
      </c>
      <c r="O286" s="631"/>
      <c r="P286" s="641"/>
      <c r="Q286" s="641"/>
      <c r="R286" s="631"/>
      <c r="S286" s="631"/>
      <c r="T286" s="424" t="str">
        <f>IF(B286="","",'Tabla_Puntual&amp;Relacionamiento'!$B$20)</f>
        <v/>
      </c>
      <c r="U286" s="424"/>
      <c r="V286" s="642" t="str">
        <f t="shared" si="44"/>
        <v/>
      </c>
      <c r="W286" s="642"/>
      <c r="X286" s="642" t="str">
        <f t="shared" si="41"/>
        <v/>
      </c>
      <c r="Y286" s="642"/>
      <c r="AL286" s="420" t="str">
        <f t="shared" si="48"/>
        <v/>
      </c>
      <c r="AM286" s="421">
        <f t="shared" si="52"/>
        <v>0</v>
      </c>
      <c r="AN286" s="637"/>
      <c r="AO286" s="637"/>
      <c r="AP286" s="634"/>
      <c r="AQ286" s="634"/>
      <c r="AR286" s="427"/>
      <c r="AS286" s="522" t="str">
        <f t="shared" si="49"/>
        <v/>
      </c>
    </row>
    <row r="287" spans="2:45" x14ac:dyDescent="0.25">
      <c r="B287" s="426" t="str">
        <f t="shared" si="45"/>
        <v/>
      </c>
      <c r="C287" s="423" t="str">
        <f t="shared" si="46"/>
        <v/>
      </c>
      <c r="D287" s="643" t="str">
        <f t="shared" si="50"/>
        <v/>
      </c>
      <c r="E287" s="643"/>
      <c r="F287" s="643" t="str">
        <f t="shared" si="42"/>
        <v/>
      </c>
      <c r="G287" s="643"/>
      <c r="H287" s="671">
        <f t="shared" si="43"/>
        <v>0</v>
      </c>
      <c r="I287" s="671"/>
      <c r="J287" s="640" t="str">
        <f t="shared" si="47"/>
        <v/>
      </c>
      <c r="K287" s="640"/>
      <c r="L287" s="631" t="str">
        <f t="shared" si="51"/>
        <v/>
      </c>
      <c r="M287" s="631"/>
      <c r="N287" s="631" t="str">
        <f>IF(B287="","",VLOOKUP(TRIM(CONCATENATE($F$20," ",$F$17," ",$F$18," ",$F$22," ",$F$21," ",$F$16," ",$F$23," ",$F$24)),Catalogo_Condicione_Financieras!B:W,22,0)*1.16)</f>
        <v/>
      </c>
      <c r="O287" s="631"/>
      <c r="P287" s="641"/>
      <c r="Q287" s="641"/>
      <c r="R287" s="631" t="str">
        <f>IF(OR(X286=0,X286=""),"",IF($F$21="Apoyo Infonavit",IF(D287&gt;=C287,0,MIN(IF($F$30="",0,Caratula!$F$30),$AL$30*25)*10%),0))</f>
        <v/>
      </c>
      <c r="S287" s="631"/>
      <c r="T287" s="424" t="str">
        <f>IF(B287="","",'Tabla_Puntual&amp;Relacionamiento'!$B$20)</f>
        <v/>
      </c>
      <c r="U287" s="424"/>
      <c r="V287" s="642" t="str">
        <f t="shared" si="44"/>
        <v/>
      </c>
      <c r="W287" s="642"/>
      <c r="X287" s="642" t="str">
        <f t="shared" si="41"/>
        <v/>
      </c>
      <c r="Y287" s="642"/>
      <c r="AL287" s="420" t="str">
        <f t="shared" si="48"/>
        <v/>
      </c>
      <c r="AM287" s="421">
        <f t="shared" si="52"/>
        <v>0</v>
      </c>
      <c r="AN287" s="637"/>
      <c r="AO287" s="637"/>
      <c r="AP287" s="634"/>
      <c r="AQ287" s="634"/>
      <c r="AR287" s="427"/>
      <c r="AS287" s="522" t="str">
        <f t="shared" si="49"/>
        <v/>
      </c>
    </row>
    <row r="288" spans="2:45" x14ac:dyDescent="0.25">
      <c r="B288" s="426" t="str">
        <f t="shared" si="45"/>
        <v/>
      </c>
      <c r="C288" s="423" t="str">
        <f t="shared" si="46"/>
        <v/>
      </c>
      <c r="D288" s="643" t="str">
        <f t="shared" si="50"/>
        <v/>
      </c>
      <c r="E288" s="643"/>
      <c r="F288" s="643" t="str">
        <f t="shared" si="42"/>
        <v/>
      </c>
      <c r="G288" s="643"/>
      <c r="H288" s="671">
        <f t="shared" si="43"/>
        <v>0</v>
      </c>
      <c r="I288" s="671"/>
      <c r="J288" s="640" t="str">
        <f t="shared" si="47"/>
        <v/>
      </c>
      <c r="K288" s="640"/>
      <c r="L288" s="631" t="str">
        <f t="shared" si="51"/>
        <v/>
      </c>
      <c r="M288" s="631"/>
      <c r="N288" s="631" t="str">
        <f>IF(B288="","",VLOOKUP(TRIM(CONCATENATE($F$20," ",$F$17," ",$F$18," ",$F$22," ",$F$21," ",$F$16," ",$F$23," ",$F$24)),Catalogo_Condicione_Financieras!B:W,22,0)*1.16)</f>
        <v/>
      </c>
      <c r="O288" s="631"/>
      <c r="P288" s="641"/>
      <c r="Q288" s="641"/>
      <c r="R288" s="631"/>
      <c r="S288" s="631"/>
      <c r="T288" s="424" t="str">
        <f>IF(B288="","",'Tabla_Puntual&amp;Relacionamiento'!$B$20)</f>
        <v/>
      </c>
      <c r="U288" s="424"/>
      <c r="V288" s="642" t="str">
        <f t="shared" si="44"/>
        <v/>
      </c>
      <c r="W288" s="642"/>
      <c r="X288" s="642" t="str">
        <f t="shared" si="41"/>
        <v/>
      </c>
      <c r="Y288" s="642"/>
      <c r="AL288" s="420" t="str">
        <f t="shared" si="48"/>
        <v/>
      </c>
      <c r="AM288" s="421">
        <f t="shared" si="52"/>
        <v>0</v>
      </c>
      <c r="AN288" s="637"/>
      <c r="AO288" s="637"/>
      <c r="AP288" s="634"/>
      <c r="AQ288" s="634"/>
      <c r="AR288" s="427"/>
      <c r="AS288" s="522" t="str">
        <f t="shared" si="49"/>
        <v/>
      </c>
    </row>
    <row r="289" spans="2:45" x14ac:dyDescent="0.25">
      <c r="B289" s="426" t="str">
        <f t="shared" si="45"/>
        <v/>
      </c>
      <c r="C289" s="423" t="str">
        <f t="shared" si="46"/>
        <v/>
      </c>
      <c r="D289" s="643" t="str">
        <f t="shared" si="50"/>
        <v/>
      </c>
      <c r="E289" s="643"/>
      <c r="F289" s="643" t="str">
        <f t="shared" si="42"/>
        <v/>
      </c>
      <c r="G289" s="643"/>
      <c r="H289" s="671">
        <f t="shared" si="43"/>
        <v>0</v>
      </c>
      <c r="I289" s="671"/>
      <c r="J289" s="640" t="str">
        <f t="shared" si="47"/>
        <v/>
      </c>
      <c r="K289" s="640"/>
      <c r="L289" s="631" t="str">
        <f t="shared" si="51"/>
        <v/>
      </c>
      <c r="M289" s="631"/>
      <c r="N289" s="631" t="str">
        <f>IF(B289="","",VLOOKUP(TRIM(CONCATENATE($F$20," ",$F$17," ",$F$18," ",$F$22," ",$F$21," ",$F$16," ",$F$23," ",$F$24)),Catalogo_Condicione_Financieras!B:W,22,0)*1.16)</f>
        <v/>
      </c>
      <c r="O289" s="631"/>
      <c r="P289" s="641"/>
      <c r="Q289" s="641"/>
      <c r="R289" s="631" t="str">
        <f>IF(OR(X288=0,X288=""),"",IF($F$21="Apoyo Infonavit",IF(D289&gt;=C289,0,MIN(IF($F$30="",0,Caratula!$F$30),$AL$30*25)*10%),0))</f>
        <v/>
      </c>
      <c r="S289" s="631"/>
      <c r="T289" s="424" t="str">
        <f>IF(B289="","",'Tabla_Puntual&amp;Relacionamiento'!$B$20)</f>
        <v/>
      </c>
      <c r="U289" s="424"/>
      <c r="V289" s="642" t="str">
        <f t="shared" si="44"/>
        <v/>
      </c>
      <c r="W289" s="642"/>
      <c r="X289" s="642" t="str">
        <f t="shared" si="41"/>
        <v/>
      </c>
      <c r="Y289" s="642"/>
      <c r="AL289" s="420" t="str">
        <f t="shared" si="48"/>
        <v/>
      </c>
      <c r="AM289" s="421">
        <f t="shared" si="52"/>
        <v>0</v>
      </c>
      <c r="AN289" s="637"/>
      <c r="AO289" s="637"/>
      <c r="AP289" s="634"/>
      <c r="AQ289" s="634"/>
      <c r="AR289" s="427"/>
      <c r="AS289" s="522" t="str">
        <f t="shared" si="49"/>
        <v/>
      </c>
    </row>
    <row r="290" spans="2:45" x14ac:dyDescent="0.25">
      <c r="B290" s="426" t="str">
        <f t="shared" si="45"/>
        <v/>
      </c>
      <c r="C290" s="423" t="str">
        <f t="shared" si="46"/>
        <v/>
      </c>
      <c r="D290" s="643" t="str">
        <f t="shared" si="50"/>
        <v/>
      </c>
      <c r="E290" s="643"/>
      <c r="F290" s="643" t="str">
        <f t="shared" si="42"/>
        <v/>
      </c>
      <c r="G290" s="643"/>
      <c r="H290" s="671">
        <f t="shared" si="43"/>
        <v>0</v>
      </c>
      <c r="I290" s="671"/>
      <c r="J290" s="640" t="str">
        <f t="shared" si="47"/>
        <v/>
      </c>
      <c r="K290" s="640"/>
      <c r="L290" s="631" t="str">
        <f t="shared" si="51"/>
        <v/>
      </c>
      <c r="M290" s="631"/>
      <c r="N290" s="631" t="str">
        <f>IF(B290="","",VLOOKUP(TRIM(CONCATENATE($F$20," ",$F$17," ",$F$18," ",$F$22," ",$F$21," ",$F$16," ",$F$23," ",$F$24)),Catalogo_Condicione_Financieras!B:W,22,0)*1.16)</f>
        <v/>
      </c>
      <c r="O290" s="631"/>
      <c r="P290" s="641"/>
      <c r="Q290" s="641"/>
      <c r="R290" s="631"/>
      <c r="S290" s="631"/>
      <c r="T290" s="424" t="str">
        <f>IF(B290="","",'Tabla_Puntual&amp;Relacionamiento'!$B$20)</f>
        <v/>
      </c>
      <c r="U290" s="424"/>
      <c r="V290" s="642" t="str">
        <f t="shared" si="44"/>
        <v/>
      </c>
      <c r="W290" s="642"/>
      <c r="X290" s="642" t="str">
        <f t="shared" si="41"/>
        <v/>
      </c>
      <c r="Y290" s="642"/>
      <c r="AL290" s="420" t="str">
        <f t="shared" si="48"/>
        <v/>
      </c>
      <c r="AM290" s="421">
        <f t="shared" si="52"/>
        <v>0</v>
      </c>
      <c r="AN290" s="637"/>
      <c r="AO290" s="637"/>
      <c r="AP290" s="634"/>
      <c r="AQ290" s="634"/>
      <c r="AR290" s="427"/>
      <c r="AS290" s="522" t="str">
        <f t="shared" si="49"/>
        <v/>
      </c>
    </row>
    <row r="291" spans="2:45" x14ac:dyDescent="0.25">
      <c r="B291" s="426" t="str">
        <f t="shared" si="45"/>
        <v/>
      </c>
      <c r="C291" s="423" t="str">
        <f t="shared" si="46"/>
        <v/>
      </c>
      <c r="D291" s="643" t="str">
        <f t="shared" si="50"/>
        <v/>
      </c>
      <c r="E291" s="643"/>
      <c r="F291" s="643" t="str">
        <f t="shared" si="42"/>
        <v/>
      </c>
      <c r="G291" s="643"/>
      <c r="H291" s="671">
        <f t="shared" si="43"/>
        <v>0</v>
      </c>
      <c r="I291" s="671"/>
      <c r="J291" s="640" t="str">
        <f t="shared" si="47"/>
        <v/>
      </c>
      <c r="K291" s="640"/>
      <c r="L291" s="631" t="str">
        <f t="shared" si="51"/>
        <v/>
      </c>
      <c r="M291" s="631"/>
      <c r="N291" s="631" t="str">
        <f>IF(B291="","",VLOOKUP(TRIM(CONCATENATE($F$20," ",$F$17," ",$F$18," ",$F$22," ",$F$21," ",$F$16," ",$F$23," ",$F$24)),Catalogo_Condicione_Financieras!B:W,22,0)*1.16)</f>
        <v/>
      </c>
      <c r="O291" s="631"/>
      <c r="P291" s="641"/>
      <c r="Q291" s="641"/>
      <c r="R291" s="631" t="str">
        <f>IF(OR(X290=0,X290=""),"",IF($F$21="Apoyo Infonavit",IF(D291&gt;=C291,0,MIN(IF($F$30="",0,Caratula!$F$30),$AL$30*25)*10%),0))</f>
        <v/>
      </c>
      <c r="S291" s="631"/>
      <c r="T291" s="424" t="str">
        <f>IF(B291="","",'Tabla_Puntual&amp;Relacionamiento'!$B$20)</f>
        <v/>
      </c>
      <c r="U291" s="424"/>
      <c r="V291" s="642" t="str">
        <f t="shared" si="44"/>
        <v/>
      </c>
      <c r="W291" s="642"/>
      <c r="X291" s="642" t="str">
        <f t="shared" si="41"/>
        <v/>
      </c>
      <c r="Y291" s="642"/>
      <c r="AL291" s="420" t="str">
        <f t="shared" si="48"/>
        <v/>
      </c>
      <c r="AM291" s="421">
        <f t="shared" si="52"/>
        <v>0</v>
      </c>
      <c r="AN291" s="637"/>
      <c r="AO291" s="637"/>
      <c r="AP291" s="634"/>
      <c r="AQ291" s="634"/>
      <c r="AR291" s="427"/>
      <c r="AS291" s="522" t="str">
        <f t="shared" si="49"/>
        <v/>
      </c>
    </row>
    <row r="292" spans="2:45" x14ac:dyDescent="0.25">
      <c r="B292" s="426" t="str">
        <f t="shared" si="45"/>
        <v/>
      </c>
      <c r="C292" s="423" t="str">
        <f t="shared" si="46"/>
        <v/>
      </c>
      <c r="D292" s="643" t="str">
        <f t="shared" si="50"/>
        <v/>
      </c>
      <c r="E292" s="643"/>
      <c r="F292" s="643" t="str">
        <f t="shared" si="42"/>
        <v/>
      </c>
      <c r="G292" s="643"/>
      <c r="H292" s="671">
        <f t="shared" si="43"/>
        <v>0</v>
      </c>
      <c r="I292" s="671"/>
      <c r="J292" s="640" t="str">
        <f t="shared" si="47"/>
        <v/>
      </c>
      <c r="K292" s="640"/>
      <c r="L292" s="631" t="str">
        <f t="shared" si="51"/>
        <v/>
      </c>
      <c r="M292" s="631"/>
      <c r="N292" s="631" t="str">
        <f>IF(B292="","",VLOOKUP(TRIM(CONCATENATE($F$20," ",$F$17," ",$F$18," ",$F$22," ",$F$21," ",$F$16," ",$F$23," ",$F$24)),Catalogo_Condicione_Financieras!B:W,22,0)*1.16)</f>
        <v/>
      </c>
      <c r="O292" s="631"/>
      <c r="P292" s="641"/>
      <c r="Q292" s="641"/>
      <c r="R292" s="631"/>
      <c r="S292" s="631"/>
      <c r="T292" s="424" t="str">
        <f>IF(B292="","",'Tabla_Puntual&amp;Relacionamiento'!$B$21)</f>
        <v/>
      </c>
      <c r="U292" s="424" t="str">
        <f>IF(B292="","",IF($F$16="Pago_Bajo_Puntual",0.019,""))</f>
        <v/>
      </c>
      <c r="V292" s="642" t="str">
        <f t="shared" si="44"/>
        <v/>
      </c>
      <c r="W292" s="642"/>
      <c r="X292" s="642" t="str">
        <f t="shared" si="41"/>
        <v/>
      </c>
      <c r="Y292" s="642"/>
      <c r="AL292" s="420" t="str">
        <f t="shared" si="48"/>
        <v/>
      </c>
      <c r="AM292" s="421">
        <f t="shared" si="52"/>
        <v>0</v>
      </c>
      <c r="AN292" s="637"/>
      <c r="AO292" s="637"/>
      <c r="AP292" s="634"/>
      <c r="AQ292" s="634"/>
      <c r="AR292" s="427"/>
      <c r="AS292" s="522" t="str">
        <f t="shared" si="49"/>
        <v/>
      </c>
    </row>
    <row r="293" spans="2:45" x14ac:dyDescent="0.25">
      <c r="B293" s="426" t="str">
        <f t="shared" si="45"/>
        <v/>
      </c>
      <c r="C293" s="423" t="str">
        <f t="shared" si="46"/>
        <v/>
      </c>
      <c r="D293" s="643" t="str">
        <f t="shared" si="50"/>
        <v/>
      </c>
      <c r="E293" s="643"/>
      <c r="F293" s="643" t="str">
        <f t="shared" si="42"/>
        <v/>
      </c>
      <c r="G293" s="643"/>
      <c r="H293" s="671">
        <f t="shared" si="43"/>
        <v>0</v>
      </c>
      <c r="I293" s="671"/>
      <c r="J293" s="640" t="str">
        <f t="shared" si="47"/>
        <v/>
      </c>
      <c r="K293" s="640"/>
      <c r="L293" s="631" t="str">
        <f t="shared" si="51"/>
        <v/>
      </c>
      <c r="M293" s="631"/>
      <c r="N293" s="631" t="str">
        <f>IF(B293="","",VLOOKUP(TRIM(CONCATENATE($F$20," ",$F$17," ",$F$18," ",$F$22," ",$F$21," ",$F$16," ",$F$23," ",$F$24)),Catalogo_Condicione_Financieras!B:W,22,0)*1.16)</f>
        <v/>
      </c>
      <c r="O293" s="631"/>
      <c r="P293" s="641"/>
      <c r="Q293" s="641"/>
      <c r="R293" s="631" t="str">
        <f>IF(OR(X292=0,X292=""),"",IF($F$21="Apoyo Infonavit",IF(D293&gt;=C293,0,MIN(IF($F$30="",0,Caratula!$F$30),$AL$30*25)*10%),0))</f>
        <v/>
      </c>
      <c r="S293" s="631"/>
      <c r="T293" s="424" t="str">
        <f>IF(B293="","",'Tabla_Puntual&amp;Relacionamiento'!$B$21)</f>
        <v/>
      </c>
      <c r="U293" s="424"/>
      <c r="V293" s="642" t="str">
        <f t="shared" si="44"/>
        <v/>
      </c>
      <c r="W293" s="642"/>
      <c r="X293" s="642" t="str">
        <f t="shared" si="41"/>
        <v/>
      </c>
      <c r="Y293" s="642"/>
      <c r="AL293" s="420" t="str">
        <f t="shared" si="48"/>
        <v/>
      </c>
      <c r="AM293" s="421">
        <f t="shared" si="52"/>
        <v>0</v>
      </c>
      <c r="AN293" s="637"/>
      <c r="AO293" s="637"/>
      <c r="AP293" s="634"/>
      <c r="AQ293" s="634"/>
      <c r="AR293" s="427"/>
      <c r="AS293" s="522" t="str">
        <f t="shared" si="49"/>
        <v/>
      </c>
    </row>
    <row r="294" spans="2:45" x14ac:dyDescent="0.25">
      <c r="B294" s="426" t="str">
        <f t="shared" si="45"/>
        <v/>
      </c>
      <c r="C294" s="423" t="str">
        <f t="shared" si="46"/>
        <v/>
      </c>
      <c r="D294" s="643" t="str">
        <f t="shared" si="50"/>
        <v/>
      </c>
      <c r="E294" s="643"/>
      <c r="F294" s="643" t="str">
        <f t="shared" si="42"/>
        <v/>
      </c>
      <c r="G294" s="643"/>
      <c r="H294" s="671">
        <f t="shared" si="43"/>
        <v>0</v>
      </c>
      <c r="I294" s="671"/>
      <c r="J294" s="640" t="str">
        <f t="shared" si="47"/>
        <v/>
      </c>
      <c r="K294" s="640"/>
      <c r="L294" s="631" t="str">
        <f t="shared" si="51"/>
        <v/>
      </c>
      <c r="M294" s="631"/>
      <c r="N294" s="631" t="str">
        <f>IF(B294="","",VLOOKUP(TRIM(CONCATENATE($F$20," ",$F$17," ",$F$18," ",$F$22," ",$F$21," ",$F$16," ",$F$23," ",$F$24)),Catalogo_Condicione_Financieras!B:W,22,0)*1.16)</f>
        <v/>
      </c>
      <c r="O294" s="631"/>
      <c r="P294" s="641"/>
      <c r="Q294" s="641"/>
      <c r="R294" s="631"/>
      <c r="S294" s="631"/>
      <c r="T294" s="424" t="str">
        <f>IF(B294="","",'Tabla_Puntual&amp;Relacionamiento'!$B$21)</f>
        <v/>
      </c>
      <c r="U294" s="424"/>
      <c r="V294" s="642" t="str">
        <f t="shared" si="44"/>
        <v/>
      </c>
      <c r="W294" s="642"/>
      <c r="X294" s="642" t="str">
        <f t="shared" si="41"/>
        <v/>
      </c>
      <c r="Y294" s="642"/>
      <c r="AL294" s="420" t="str">
        <f t="shared" si="48"/>
        <v/>
      </c>
      <c r="AM294" s="421">
        <f t="shared" si="52"/>
        <v>0</v>
      </c>
      <c r="AN294" s="637"/>
      <c r="AO294" s="637"/>
      <c r="AP294" s="634"/>
      <c r="AQ294" s="634"/>
      <c r="AR294" s="427"/>
      <c r="AS294" s="522" t="str">
        <f t="shared" si="49"/>
        <v/>
      </c>
    </row>
    <row r="295" spans="2:45" x14ac:dyDescent="0.25">
      <c r="B295" s="426" t="str">
        <f t="shared" si="45"/>
        <v/>
      </c>
      <c r="C295" s="423" t="str">
        <f t="shared" si="46"/>
        <v/>
      </c>
      <c r="D295" s="643" t="str">
        <f t="shared" si="50"/>
        <v/>
      </c>
      <c r="E295" s="643"/>
      <c r="F295" s="643" t="str">
        <f t="shared" si="42"/>
        <v/>
      </c>
      <c r="G295" s="643"/>
      <c r="H295" s="671">
        <f t="shared" si="43"/>
        <v>0</v>
      </c>
      <c r="I295" s="671"/>
      <c r="J295" s="640" t="str">
        <f t="shared" si="47"/>
        <v/>
      </c>
      <c r="K295" s="640"/>
      <c r="L295" s="631" t="str">
        <f t="shared" si="51"/>
        <v/>
      </c>
      <c r="M295" s="631"/>
      <c r="N295" s="631" t="str">
        <f>IF(B295="","",VLOOKUP(TRIM(CONCATENATE($F$20," ",$F$17," ",$F$18," ",$F$22," ",$F$21," ",$F$16," ",$F$23," ",$F$24)),Catalogo_Condicione_Financieras!B:W,22,0)*1.16)</f>
        <v/>
      </c>
      <c r="O295" s="631"/>
      <c r="P295" s="641"/>
      <c r="Q295" s="641"/>
      <c r="R295" s="631" t="str">
        <f>IF(OR(X294=0,X294=""),"",IF($F$21="Apoyo Infonavit",IF(D295&gt;=C295,0,MIN(IF($F$30="",0,Caratula!$F$30),$AL$30*25)*10%),0))</f>
        <v/>
      </c>
      <c r="S295" s="631"/>
      <c r="T295" s="424" t="str">
        <f>IF(B295="","",'Tabla_Puntual&amp;Relacionamiento'!$B$21)</f>
        <v/>
      </c>
      <c r="U295" s="424"/>
      <c r="V295" s="642" t="str">
        <f t="shared" si="44"/>
        <v/>
      </c>
      <c r="W295" s="642"/>
      <c r="X295" s="642" t="str">
        <f t="shared" si="41"/>
        <v/>
      </c>
      <c r="Y295" s="642"/>
      <c r="AL295" s="420" t="str">
        <f t="shared" si="48"/>
        <v/>
      </c>
      <c r="AM295" s="421">
        <f t="shared" si="52"/>
        <v>0</v>
      </c>
      <c r="AN295" s="637"/>
      <c r="AO295" s="637"/>
      <c r="AP295" s="634"/>
      <c r="AQ295" s="634"/>
      <c r="AR295" s="427"/>
      <c r="AS295" s="522" t="str">
        <f t="shared" si="49"/>
        <v/>
      </c>
    </row>
    <row r="296" spans="2:45" x14ac:dyDescent="0.25">
      <c r="B296" s="426" t="str">
        <f t="shared" si="45"/>
        <v/>
      </c>
      <c r="C296" s="423" t="str">
        <f t="shared" si="46"/>
        <v/>
      </c>
      <c r="D296" s="643" t="str">
        <f t="shared" si="50"/>
        <v/>
      </c>
      <c r="E296" s="643"/>
      <c r="F296" s="643" t="str">
        <f t="shared" si="42"/>
        <v/>
      </c>
      <c r="G296" s="643"/>
      <c r="H296" s="671">
        <f t="shared" si="43"/>
        <v>0</v>
      </c>
      <c r="I296" s="671"/>
      <c r="J296" s="640" t="str">
        <f t="shared" si="47"/>
        <v/>
      </c>
      <c r="K296" s="640"/>
      <c r="L296" s="631" t="str">
        <f t="shared" si="51"/>
        <v/>
      </c>
      <c r="M296" s="631"/>
      <c r="N296" s="631" t="str">
        <f>IF(B296="","",VLOOKUP(TRIM(CONCATENATE($F$20," ",$F$17," ",$F$18," ",$F$22," ",$F$21," ",$F$16," ",$F$23," ",$F$24)),Catalogo_Condicione_Financieras!B:W,22,0)*1.16)</f>
        <v/>
      </c>
      <c r="O296" s="631"/>
      <c r="P296" s="641"/>
      <c r="Q296" s="641"/>
      <c r="R296" s="631"/>
      <c r="S296" s="631"/>
      <c r="T296" s="424" t="str">
        <f>IF(B296="","",'Tabla_Puntual&amp;Relacionamiento'!$B$21)</f>
        <v/>
      </c>
      <c r="U296" s="424"/>
      <c r="V296" s="642" t="str">
        <f t="shared" si="44"/>
        <v/>
      </c>
      <c r="W296" s="642"/>
      <c r="X296" s="642" t="str">
        <f t="shared" si="41"/>
        <v/>
      </c>
      <c r="Y296" s="642"/>
      <c r="AL296" s="420" t="str">
        <f t="shared" si="48"/>
        <v/>
      </c>
      <c r="AM296" s="421">
        <f t="shared" si="52"/>
        <v>0</v>
      </c>
      <c r="AN296" s="637"/>
      <c r="AO296" s="637"/>
      <c r="AP296" s="634"/>
      <c r="AQ296" s="634"/>
      <c r="AR296" s="427"/>
      <c r="AS296" s="522" t="str">
        <f t="shared" si="49"/>
        <v/>
      </c>
    </row>
    <row r="297" spans="2:45" x14ac:dyDescent="0.25">
      <c r="B297" s="426" t="str">
        <f t="shared" si="45"/>
        <v/>
      </c>
      <c r="C297" s="423" t="str">
        <f t="shared" si="46"/>
        <v/>
      </c>
      <c r="D297" s="643" t="str">
        <f t="shared" si="50"/>
        <v/>
      </c>
      <c r="E297" s="643"/>
      <c r="F297" s="643" t="str">
        <f t="shared" si="42"/>
        <v/>
      </c>
      <c r="G297" s="643"/>
      <c r="H297" s="671">
        <f t="shared" si="43"/>
        <v>0</v>
      </c>
      <c r="I297" s="671"/>
      <c r="J297" s="640" t="str">
        <f t="shared" si="47"/>
        <v/>
      </c>
      <c r="K297" s="640"/>
      <c r="L297" s="631" t="str">
        <f t="shared" si="51"/>
        <v/>
      </c>
      <c r="M297" s="631"/>
      <c r="N297" s="631" t="str">
        <f>IF(B297="","",VLOOKUP(TRIM(CONCATENATE($F$20," ",$F$17," ",$F$18," ",$F$22," ",$F$21," ",$F$16," ",$F$23," ",$F$24)),Catalogo_Condicione_Financieras!B:W,22,0)*1.16)</f>
        <v/>
      </c>
      <c r="O297" s="631"/>
      <c r="P297" s="641"/>
      <c r="Q297" s="641"/>
      <c r="R297" s="631" t="str">
        <f>IF(OR(X296=0,X296=""),"",IF($F$21="Apoyo Infonavit",IF(D297&gt;=C297,0,MIN(IF($F$30="",0,Caratula!$F$30),$AL$30*25)*10%),0))</f>
        <v/>
      </c>
      <c r="S297" s="631"/>
      <c r="T297" s="424" t="str">
        <f>IF(B297="","",'Tabla_Puntual&amp;Relacionamiento'!$B$21)</f>
        <v/>
      </c>
      <c r="U297" s="424"/>
      <c r="V297" s="642" t="str">
        <f t="shared" si="44"/>
        <v/>
      </c>
      <c r="W297" s="642"/>
      <c r="X297" s="642" t="str">
        <f t="shared" si="41"/>
        <v/>
      </c>
      <c r="Y297" s="642"/>
      <c r="AL297" s="420" t="str">
        <f t="shared" si="48"/>
        <v/>
      </c>
      <c r="AM297" s="421">
        <f t="shared" si="52"/>
        <v>0</v>
      </c>
      <c r="AN297" s="637"/>
      <c r="AO297" s="637"/>
      <c r="AP297" s="634"/>
      <c r="AQ297" s="634"/>
      <c r="AR297" s="427"/>
      <c r="AS297" s="522" t="str">
        <f t="shared" si="49"/>
        <v/>
      </c>
    </row>
    <row r="298" spans="2:45" x14ac:dyDescent="0.25">
      <c r="B298" s="426" t="str">
        <f t="shared" si="45"/>
        <v/>
      </c>
      <c r="C298" s="423" t="str">
        <f t="shared" si="46"/>
        <v/>
      </c>
      <c r="D298" s="643" t="str">
        <f t="shared" si="50"/>
        <v/>
      </c>
      <c r="E298" s="643"/>
      <c r="F298" s="643" t="str">
        <f t="shared" si="42"/>
        <v/>
      </c>
      <c r="G298" s="643"/>
      <c r="H298" s="671">
        <f t="shared" si="43"/>
        <v>0</v>
      </c>
      <c r="I298" s="671"/>
      <c r="J298" s="640" t="str">
        <f t="shared" si="47"/>
        <v/>
      </c>
      <c r="K298" s="640"/>
      <c r="L298" s="631" t="str">
        <f t="shared" si="51"/>
        <v/>
      </c>
      <c r="M298" s="631"/>
      <c r="N298" s="631" t="str">
        <f>IF(B298="","",VLOOKUP(TRIM(CONCATENATE($F$20," ",$F$17," ",$F$18," ",$F$22," ",$F$21," ",$F$16," ",$F$23," ",$F$24)),Catalogo_Condicione_Financieras!B:W,22,0)*1.16)</f>
        <v/>
      </c>
      <c r="O298" s="631"/>
      <c r="P298" s="641"/>
      <c r="Q298" s="641"/>
      <c r="R298" s="631"/>
      <c r="S298" s="631"/>
      <c r="T298" s="424" t="str">
        <f>IF(B298="","",'Tabla_Puntual&amp;Relacionamiento'!$B$21)</f>
        <v/>
      </c>
      <c r="U298" s="424"/>
      <c r="V298" s="642" t="str">
        <f t="shared" si="44"/>
        <v/>
      </c>
      <c r="W298" s="642"/>
      <c r="X298" s="642" t="str">
        <f t="shared" si="41"/>
        <v/>
      </c>
      <c r="Y298" s="642"/>
      <c r="AL298" s="420" t="str">
        <f t="shared" si="48"/>
        <v/>
      </c>
      <c r="AM298" s="421">
        <f t="shared" si="52"/>
        <v>0</v>
      </c>
      <c r="AN298" s="637"/>
      <c r="AO298" s="637"/>
      <c r="AP298" s="634"/>
      <c r="AQ298" s="634"/>
      <c r="AR298" s="427"/>
      <c r="AS298" s="522" t="str">
        <f t="shared" si="49"/>
        <v/>
      </c>
    </row>
    <row r="299" spans="2:45" x14ac:dyDescent="0.25">
      <c r="B299" s="426" t="str">
        <f t="shared" si="45"/>
        <v/>
      </c>
      <c r="C299" s="423" t="str">
        <f t="shared" si="46"/>
        <v/>
      </c>
      <c r="D299" s="643" t="str">
        <f t="shared" si="50"/>
        <v/>
      </c>
      <c r="E299" s="643"/>
      <c r="F299" s="643" t="str">
        <f t="shared" si="42"/>
        <v/>
      </c>
      <c r="G299" s="643"/>
      <c r="H299" s="671">
        <f t="shared" si="43"/>
        <v>0</v>
      </c>
      <c r="I299" s="671"/>
      <c r="J299" s="640" t="str">
        <f t="shared" si="47"/>
        <v/>
      </c>
      <c r="K299" s="640"/>
      <c r="L299" s="631" t="str">
        <f t="shared" si="51"/>
        <v/>
      </c>
      <c r="M299" s="631"/>
      <c r="N299" s="631" t="str">
        <f>IF(B299="","",VLOOKUP(TRIM(CONCATENATE($F$20," ",$F$17," ",$F$18," ",$F$22," ",$F$21," ",$F$16," ",$F$23," ",$F$24)),Catalogo_Condicione_Financieras!B:W,22,0)*1.16)</f>
        <v/>
      </c>
      <c r="O299" s="631"/>
      <c r="P299" s="641"/>
      <c r="Q299" s="641"/>
      <c r="R299" s="631" t="str">
        <f>IF(OR(X298=0,X298=""),"",IF($F$21="Apoyo Infonavit",IF(D299&gt;=C299,0,MIN(IF($F$30="",0,Caratula!$F$30),$AL$30*25)*10%),0))</f>
        <v/>
      </c>
      <c r="S299" s="631"/>
      <c r="T299" s="424" t="str">
        <f>IF(B299="","",'Tabla_Puntual&amp;Relacionamiento'!$B$21)</f>
        <v/>
      </c>
      <c r="U299" s="424"/>
      <c r="V299" s="642" t="str">
        <f t="shared" si="44"/>
        <v/>
      </c>
      <c r="W299" s="642"/>
      <c r="X299" s="642" t="str">
        <f t="shared" si="41"/>
        <v/>
      </c>
      <c r="Y299" s="642"/>
      <c r="AL299" s="420" t="str">
        <f t="shared" si="48"/>
        <v/>
      </c>
      <c r="AM299" s="421">
        <f t="shared" si="52"/>
        <v>0</v>
      </c>
      <c r="AN299" s="637"/>
      <c r="AO299" s="637"/>
      <c r="AP299" s="634"/>
      <c r="AQ299" s="634"/>
      <c r="AR299" s="427"/>
      <c r="AS299" s="522" t="str">
        <f t="shared" si="49"/>
        <v/>
      </c>
    </row>
    <row r="300" spans="2:45" x14ac:dyDescent="0.25">
      <c r="B300" s="426" t="str">
        <f t="shared" si="45"/>
        <v/>
      </c>
      <c r="C300" s="423" t="str">
        <f t="shared" si="46"/>
        <v/>
      </c>
      <c r="D300" s="643" t="str">
        <f t="shared" si="50"/>
        <v/>
      </c>
      <c r="E300" s="643"/>
      <c r="F300" s="643" t="str">
        <f t="shared" si="42"/>
        <v/>
      </c>
      <c r="G300" s="643"/>
      <c r="H300" s="671">
        <f t="shared" si="43"/>
        <v>0</v>
      </c>
      <c r="I300" s="671"/>
      <c r="J300" s="640" t="str">
        <f t="shared" si="47"/>
        <v/>
      </c>
      <c r="K300" s="640"/>
      <c r="L300" s="631" t="str">
        <f t="shared" si="51"/>
        <v/>
      </c>
      <c r="M300" s="631"/>
      <c r="N300" s="631" t="str">
        <f>IF(B300="","",VLOOKUP(TRIM(CONCATENATE($F$20," ",$F$17," ",$F$18," ",$F$22," ",$F$21," ",$F$16," ",$F$23," ",$F$24)),Catalogo_Condicione_Financieras!B:W,22,0)*1.16)</f>
        <v/>
      </c>
      <c r="O300" s="631"/>
      <c r="P300" s="641"/>
      <c r="Q300" s="641"/>
      <c r="R300" s="631"/>
      <c r="S300" s="631"/>
      <c r="T300" s="424" t="str">
        <f>IF(B300="","",'Tabla_Puntual&amp;Relacionamiento'!$B$21)</f>
        <v/>
      </c>
      <c r="U300" s="424"/>
      <c r="V300" s="642" t="str">
        <f t="shared" si="44"/>
        <v/>
      </c>
      <c r="W300" s="642"/>
      <c r="X300" s="642" t="str">
        <f t="shared" si="41"/>
        <v/>
      </c>
      <c r="Y300" s="642"/>
      <c r="AL300" s="420" t="str">
        <f t="shared" si="48"/>
        <v/>
      </c>
      <c r="AM300" s="421">
        <f t="shared" si="52"/>
        <v>0</v>
      </c>
      <c r="AN300" s="637"/>
      <c r="AO300" s="637"/>
      <c r="AP300" s="634"/>
      <c r="AQ300" s="634"/>
      <c r="AR300" s="427"/>
      <c r="AS300" s="522" t="str">
        <f t="shared" si="49"/>
        <v/>
      </c>
    </row>
    <row r="301" spans="2:45" x14ac:dyDescent="0.25">
      <c r="B301" s="426" t="str">
        <f t="shared" si="45"/>
        <v/>
      </c>
      <c r="C301" s="423" t="str">
        <f t="shared" si="46"/>
        <v/>
      </c>
      <c r="D301" s="643" t="str">
        <f t="shared" si="50"/>
        <v/>
      </c>
      <c r="E301" s="643"/>
      <c r="F301" s="643" t="str">
        <f t="shared" si="42"/>
        <v/>
      </c>
      <c r="G301" s="643"/>
      <c r="H301" s="671">
        <f t="shared" si="43"/>
        <v>0</v>
      </c>
      <c r="I301" s="671"/>
      <c r="J301" s="640" t="str">
        <f t="shared" si="47"/>
        <v/>
      </c>
      <c r="K301" s="640"/>
      <c r="L301" s="631" t="str">
        <f t="shared" si="51"/>
        <v/>
      </c>
      <c r="M301" s="631"/>
      <c r="N301" s="631" t="str">
        <f>IF(B301="","",VLOOKUP(TRIM(CONCATENATE($F$20," ",$F$17," ",$F$18," ",$F$22," ",$F$21," ",$F$16," ",$F$23," ",$F$24)),Catalogo_Condicione_Financieras!B:W,22,0)*1.16)</f>
        <v/>
      </c>
      <c r="O301" s="631"/>
      <c r="P301" s="641"/>
      <c r="Q301" s="641"/>
      <c r="R301" s="631" t="str">
        <f>IF(OR(X300=0,X300=""),"",IF($F$21="Apoyo Infonavit",IF(D301&gt;=C301,0,MIN(IF($F$30="",0,Caratula!$F$30),$AL$30*25)*10%),0))</f>
        <v/>
      </c>
      <c r="S301" s="631"/>
      <c r="T301" s="424" t="str">
        <f>IF(B301="","",'Tabla_Puntual&amp;Relacionamiento'!$B$21)</f>
        <v/>
      </c>
      <c r="U301" s="424"/>
      <c r="V301" s="642" t="str">
        <f t="shared" si="44"/>
        <v/>
      </c>
      <c r="W301" s="642"/>
      <c r="X301" s="642" t="str">
        <f t="shared" si="41"/>
        <v/>
      </c>
      <c r="Y301" s="642"/>
      <c r="AL301" s="420" t="str">
        <f t="shared" si="48"/>
        <v/>
      </c>
      <c r="AM301" s="421">
        <f t="shared" si="52"/>
        <v>0</v>
      </c>
      <c r="AN301" s="637"/>
      <c r="AO301" s="637"/>
      <c r="AP301" s="634"/>
      <c r="AQ301" s="634"/>
      <c r="AR301" s="427"/>
      <c r="AS301" s="522" t="str">
        <f t="shared" si="49"/>
        <v/>
      </c>
    </row>
    <row r="302" spans="2:45" x14ac:dyDescent="0.25">
      <c r="B302" s="426" t="str">
        <f t="shared" si="45"/>
        <v/>
      </c>
      <c r="C302" s="423" t="str">
        <f t="shared" si="46"/>
        <v/>
      </c>
      <c r="D302" s="643" t="str">
        <f t="shared" si="50"/>
        <v/>
      </c>
      <c r="E302" s="643"/>
      <c r="F302" s="643" t="str">
        <f t="shared" si="42"/>
        <v/>
      </c>
      <c r="G302" s="643"/>
      <c r="H302" s="671">
        <f t="shared" si="43"/>
        <v>0</v>
      </c>
      <c r="I302" s="671"/>
      <c r="J302" s="640" t="str">
        <f t="shared" si="47"/>
        <v/>
      </c>
      <c r="K302" s="640"/>
      <c r="L302" s="631" t="str">
        <f t="shared" si="51"/>
        <v/>
      </c>
      <c r="M302" s="631"/>
      <c r="N302" s="631" t="str">
        <f>IF(B302="","",VLOOKUP(TRIM(CONCATENATE($F$20," ",$F$17," ",$F$18," ",$F$22," ",$F$21," ",$F$16," ",$F$23," ",$F$24)),Catalogo_Condicione_Financieras!B:W,22,0)*1.16)</f>
        <v/>
      </c>
      <c r="O302" s="631"/>
      <c r="P302" s="641"/>
      <c r="Q302" s="641"/>
      <c r="R302" s="631"/>
      <c r="S302" s="631"/>
      <c r="T302" s="424" t="str">
        <f>IF(B302="","",'Tabla_Puntual&amp;Relacionamiento'!$B$21)</f>
        <v/>
      </c>
      <c r="U302" s="424"/>
      <c r="V302" s="642" t="str">
        <f t="shared" si="44"/>
        <v/>
      </c>
      <c r="W302" s="642"/>
      <c r="X302" s="642" t="str">
        <f t="shared" si="41"/>
        <v/>
      </c>
      <c r="Y302" s="642"/>
      <c r="AL302" s="420" t="str">
        <f t="shared" si="48"/>
        <v/>
      </c>
      <c r="AM302" s="421">
        <f t="shared" si="52"/>
        <v>0</v>
      </c>
      <c r="AN302" s="637"/>
      <c r="AO302" s="637"/>
      <c r="AP302" s="634"/>
      <c r="AQ302" s="634"/>
      <c r="AR302" s="427"/>
      <c r="AS302" s="522" t="str">
        <f t="shared" si="49"/>
        <v/>
      </c>
    </row>
    <row r="303" spans="2:45" x14ac:dyDescent="0.25">
      <c r="B303" s="426" t="str">
        <f t="shared" si="45"/>
        <v/>
      </c>
      <c r="C303" s="423" t="str">
        <f t="shared" si="46"/>
        <v/>
      </c>
      <c r="D303" s="643" t="str">
        <f t="shared" si="50"/>
        <v/>
      </c>
      <c r="E303" s="643"/>
      <c r="F303" s="643" t="str">
        <f t="shared" si="42"/>
        <v/>
      </c>
      <c r="G303" s="643"/>
      <c r="H303" s="671">
        <f t="shared" si="43"/>
        <v>0</v>
      </c>
      <c r="I303" s="671"/>
      <c r="J303" s="640" t="str">
        <f t="shared" si="47"/>
        <v/>
      </c>
      <c r="K303" s="640"/>
      <c r="L303" s="631" t="str">
        <f t="shared" si="51"/>
        <v/>
      </c>
      <c r="M303" s="631"/>
      <c r="N303" s="631" t="str">
        <f>IF(B303="","",VLOOKUP(TRIM(CONCATENATE($F$20," ",$F$17," ",$F$18," ",$F$22," ",$F$21," ",$F$16," ",$F$23," ",$F$24)),Catalogo_Condicione_Financieras!B:W,22,0)*1.16)</f>
        <v/>
      </c>
      <c r="O303" s="631"/>
      <c r="P303" s="641"/>
      <c r="Q303" s="641"/>
      <c r="R303" s="631" t="str">
        <f>IF(OR(X302=0,X302=""),"",IF($F$21="Apoyo Infonavit",IF(D303&gt;=C303,0,MIN(IF($F$30="",0,Caratula!$F$30),$AL$30*25)*10%),0))</f>
        <v/>
      </c>
      <c r="S303" s="631"/>
      <c r="T303" s="424" t="str">
        <f>IF(B303="","",'Tabla_Puntual&amp;Relacionamiento'!$B$21)</f>
        <v/>
      </c>
      <c r="U303" s="424"/>
      <c r="V303" s="642" t="str">
        <f t="shared" si="44"/>
        <v/>
      </c>
      <c r="W303" s="642"/>
      <c r="X303" s="642" t="str">
        <f t="shared" si="41"/>
        <v/>
      </c>
      <c r="Y303" s="642"/>
      <c r="AL303" s="420" t="str">
        <f t="shared" si="48"/>
        <v/>
      </c>
      <c r="AM303" s="421">
        <f t="shared" si="52"/>
        <v>0</v>
      </c>
      <c r="AN303" s="637"/>
      <c r="AO303" s="637"/>
      <c r="AP303" s="634"/>
      <c r="AQ303" s="634"/>
      <c r="AR303" s="427"/>
      <c r="AS303" s="522" t="str">
        <f t="shared" si="49"/>
        <v/>
      </c>
    </row>
    <row r="304" spans="2:45" x14ac:dyDescent="0.25">
      <c r="B304" s="426" t="str">
        <f t="shared" si="45"/>
        <v/>
      </c>
      <c r="C304" s="423" t="str">
        <f t="shared" si="46"/>
        <v/>
      </c>
      <c r="D304" s="643" t="str">
        <f t="shared" si="50"/>
        <v/>
      </c>
      <c r="E304" s="643"/>
      <c r="F304" s="643" t="str">
        <f t="shared" si="42"/>
        <v/>
      </c>
      <c r="G304" s="643"/>
      <c r="H304" s="671">
        <f t="shared" si="43"/>
        <v>0</v>
      </c>
      <c r="I304" s="671"/>
      <c r="J304" s="640" t="str">
        <f t="shared" si="47"/>
        <v/>
      </c>
      <c r="K304" s="640"/>
      <c r="L304" s="631" t="str">
        <f t="shared" si="51"/>
        <v/>
      </c>
      <c r="M304" s="631"/>
      <c r="N304" s="631" t="str">
        <f>IF(B304="","",VLOOKUP(TRIM(CONCATENATE($F$20," ",$F$17," ",$F$18," ",$F$22," ",$F$21," ",$F$16," ",$F$23," ",$F$24)),Catalogo_Condicione_Financieras!B:W,22,0)*1.16)</f>
        <v/>
      </c>
      <c r="O304" s="631"/>
      <c r="P304" s="641"/>
      <c r="Q304" s="641"/>
      <c r="R304" s="631"/>
      <c r="S304" s="631"/>
      <c r="T304" s="424" t="str">
        <f>IF(B304="","",'Tabla_Puntual&amp;Relacionamiento'!$B$22)</f>
        <v/>
      </c>
      <c r="U304" s="424" t="str">
        <f>IF(B304="","",IF($F$16="Pago_Bajo_Puntual",0.019,""))</f>
        <v/>
      </c>
      <c r="V304" s="642" t="str">
        <f t="shared" si="44"/>
        <v/>
      </c>
      <c r="W304" s="642"/>
      <c r="X304" s="642" t="str">
        <f t="shared" si="41"/>
        <v/>
      </c>
      <c r="Y304" s="642"/>
      <c r="AL304" s="420" t="str">
        <f t="shared" si="48"/>
        <v/>
      </c>
      <c r="AM304" s="421">
        <f t="shared" si="52"/>
        <v>0</v>
      </c>
      <c r="AN304" s="637"/>
      <c r="AO304" s="637"/>
      <c r="AP304" s="634"/>
      <c r="AQ304" s="634"/>
      <c r="AR304" s="427"/>
      <c r="AS304" s="522" t="str">
        <f t="shared" si="49"/>
        <v/>
      </c>
    </row>
    <row r="305" spans="2:45" x14ac:dyDescent="0.25">
      <c r="B305" s="426" t="str">
        <f t="shared" si="45"/>
        <v/>
      </c>
      <c r="C305" s="423" t="str">
        <f t="shared" si="46"/>
        <v/>
      </c>
      <c r="D305" s="643" t="str">
        <f t="shared" si="50"/>
        <v/>
      </c>
      <c r="E305" s="643"/>
      <c r="F305" s="643" t="str">
        <f t="shared" si="42"/>
        <v/>
      </c>
      <c r="G305" s="643"/>
      <c r="H305" s="671">
        <f t="shared" si="43"/>
        <v>0</v>
      </c>
      <c r="I305" s="671"/>
      <c r="J305" s="640" t="str">
        <f t="shared" si="47"/>
        <v/>
      </c>
      <c r="K305" s="640"/>
      <c r="L305" s="631" t="str">
        <f t="shared" si="51"/>
        <v/>
      </c>
      <c r="M305" s="631"/>
      <c r="N305" s="631" t="str">
        <f>IF(B305="","",VLOOKUP(TRIM(CONCATENATE($F$20," ",$F$17," ",$F$18," ",$F$22," ",$F$21," ",$F$16," ",$F$23," ",$F$24)),Catalogo_Condicione_Financieras!B:W,22,0)*1.16)</f>
        <v/>
      </c>
      <c r="O305" s="631"/>
      <c r="P305" s="641"/>
      <c r="Q305" s="641"/>
      <c r="R305" s="631" t="str">
        <f>IF(OR(X304=0,X304=""),"",IF($F$21="Apoyo Infonavit",IF(D305&gt;=C305,0,MIN(IF($F$30="",0,Caratula!$F$30),$AL$30*25)*10%),0))</f>
        <v/>
      </c>
      <c r="S305" s="631"/>
      <c r="T305" s="424" t="str">
        <f>IF(B305="","",'Tabla_Puntual&amp;Relacionamiento'!$B$22)</f>
        <v/>
      </c>
      <c r="U305" s="424"/>
      <c r="V305" s="642" t="str">
        <f t="shared" si="44"/>
        <v/>
      </c>
      <c r="W305" s="642"/>
      <c r="X305" s="642" t="str">
        <f t="shared" si="41"/>
        <v/>
      </c>
      <c r="Y305" s="642"/>
      <c r="AL305" s="420" t="str">
        <f t="shared" si="48"/>
        <v/>
      </c>
      <c r="AM305" s="421">
        <f t="shared" si="52"/>
        <v>0</v>
      </c>
      <c r="AN305" s="637"/>
      <c r="AO305" s="637"/>
      <c r="AP305" s="634"/>
      <c r="AQ305" s="634"/>
      <c r="AR305" s="427"/>
      <c r="AS305" s="522" t="str">
        <f t="shared" si="49"/>
        <v/>
      </c>
    </row>
    <row r="306" spans="2:45" x14ac:dyDescent="0.25">
      <c r="B306" s="426" t="str">
        <f t="shared" si="45"/>
        <v/>
      </c>
      <c r="C306" s="423" t="str">
        <f t="shared" si="46"/>
        <v/>
      </c>
      <c r="D306" s="643" t="str">
        <f t="shared" si="50"/>
        <v/>
      </c>
      <c r="E306" s="643"/>
      <c r="F306" s="643" t="str">
        <f t="shared" si="42"/>
        <v/>
      </c>
      <c r="G306" s="643"/>
      <c r="H306" s="671">
        <f t="shared" si="43"/>
        <v>0</v>
      </c>
      <c r="I306" s="671"/>
      <c r="J306" s="640" t="str">
        <f t="shared" si="47"/>
        <v/>
      </c>
      <c r="K306" s="640"/>
      <c r="L306" s="631" t="str">
        <f t="shared" si="51"/>
        <v/>
      </c>
      <c r="M306" s="631"/>
      <c r="N306" s="631" t="str">
        <f>IF(B306="","",VLOOKUP(TRIM(CONCATENATE($F$20," ",$F$17," ",$F$18," ",$F$22," ",$F$21," ",$F$16," ",$F$23," ",$F$24)),Catalogo_Condicione_Financieras!B:W,22,0)*1.16)</f>
        <v/>
      </c>
      <c r="O306" s="631"/>
      <c r="P306" s="641"/>
      <c r="Q306" s="641"/>
      <c r="R306" s="631"/>
      <c r="S306" s="631"/>
      <c r="T306" s="424" t="str">
        <f>IF(B306="","",'Tabla_Puntual&amp;Relacionamiento'!$B$22)</f>
        <v/>
      </c>
      <c r="U306" s="424"/>
      <c r="V306" s="642" t="str">
        <f t="shared" si="44"/>
        <v/>
      </c>
      <c r="W306" s="642"/>
      <c r="X306" s="642" t="str">
        <f t="shared" si="41"/>
        <v/>
      </c>
      <c r="Y306" s="642"/>
      <c r="AL306" s="420" t="str">
        <f t="shared" si="48"/>
        <v/>
      </c>
      <c r="AM306" s="421">
        <f t="shared" si="52"/>
        <v>0</v>
      </c>
      <c r="AN306" s="637"/>
      <c r="AO306" s="637"/>
      <c r="AP306" s="634"/>
      <c r="AQ306" s="634"/>
      <c r="AR306" s="427"/>
      <c r="AS306" s="522" t="str">
        <f t="shared" si="49"/>
        <v/>
      </c>
    </row>
    <row r="307" spans="2:45" x14ac:dyDescent="0.25">
      <c r="B307" s="426" t="str">
        <f t="shared" si="45"/>
        <v/>
      </c>
      <c r="C307" s="423" t="str">
        <f t="shared" si="46"/>
        <v/>
      </c>
      <c r="D307" s="643" t="str">
        <f t="shared" si="50"/>
        <v/>
      </c>
      <c r="E307" s="643"/>
      <c r="F307" s="643" t="str">
        <f t="shared" si="42"/>
        <v/>
      </c>
      <c r="G307" s="643"/>
      <c r="H307" s="671">
        <f t="shared" si="43"/>
        <v>0</v>
      </c>
      <c r="I307" s="671"/>
      <c r="J307" s="640" t="str">
        <f t="shared" si="47"/>
        <v/>
      </c>
      <c r="K307" s="640"/>
      <c r="L307" s="631" t="str">
        <f t="shared" si="51"/>
        <v/>
      </c>
      <c r="M307" s="631"/>
      <c r="N307" s="631" t="str">
        <f>IF(B307="","",VLOOKUP(TRIM(CONCATENATE($F$20," ",$F$17," ",$F$18," ",$F$22," ",$F$21," ",$F$16," ",$F$23," ",$F$24)),Catalogo_Condicione_Financieras!B:W,22,0)*1.16)</f>
        <v/>
      </c>
      <c r="O307" s="631"/>
      <c r="P307" s="641"/>
      <c r="Q307" s="641"/>
      <c r="R307" s="631" t="str">
        <f>IF(OR(X306=0,X306=""),"",IF($F$21="Apoyo Infonavit",IF(D307&gt;=C307,0,MIN(IF($F$30="",0,Caratula!$F$30),$AL$30*25)*10%),0))</f>
        <v/>
      </c>
      <c r="S307" s="631"/>
      <c r="T307" s="424" t="str">
        <f>IF(B307="","",'Tabla_Puntual&amp;Relacionamiento'!$B$22)</f>
        <v/>
      </c>
      <c r="U307" s="424"/>
      <c r="V307" s="642" t="str">
        <f t="shared" si="44"/>
        <v/>
      </c>
      <c r="W307" s="642"/>
      <c r="X307" s="642" t="str">
        <f t="shared" si="41"/>
        <v/>
      </c>
      <c r="Y307" s="642"/>
      <c r="AL307" s="420" t="str">
        <f t="shared" si="48"/>
        <v/>
      </c>
      <c r="AM307" s="421">
        <f t="shared" si="52"/>
        <v>0</v>
      </c>
      <c r="AN307" s="637"/>
      <c r="AO307" s="637"/>
      <c r="AP307" s="634"/>
      <c r="AQ307" s="634"/>
      <c r="AR307" s="427"/>
      <c r="AS307" s="522" t="str">
        <f t="shared" si="49"/>
        <v/>
      </c>
    </row>
    <row r="308" spans="2:45" x14ac:dyDescent="0.25">
      <c r="B308" s="426" t="str">
        <f t="shared" si="45"/>
        <v/>
      </c>
      <c r="C308" s="423" t="str">
        <f t="shared" si="46"/>
        <v/>
      </c>
      <c r="D308" s="643" t="str">
        <f t="shared" si="50"/>
        <v/>
      </c>
      <c r="E308" s="643"/>
      <c r="F308" s="643" t="str">
        <f t="shared" si="42"/>
        <v/>
      </c>
      <c r="G308" s="643"/>
      <c r="H308" s="671">
        <f t="shared" si="43"/>
        <v>0</v>
      </c>
      <c r="I308" s="671"/>
      <c r="J308" s="640" t="str">
        <f t="shared" si="47"/>
        <v/>
      </c>
      <c r="K308" s="640"/>
      <c r="L308" s="631" t="str">
        <f t="shared" si="51"/>
        <v/>
      </c>
      <c r="M308" s="631"/>
      <c r="N308" s="631" t="str">
        <f>IF(B308="","",VLOOKUP(TRIM(CONCATENATE($F$20," ",$F$17," ",$F$18," ",$F$22," ",$F$21," ",$F$16," ",$F$23," ",$F$24)),Catalogo_Condicione_Financieras!B:W,22,0)*1.16)</f>
        <v/>
      </c>
      <c r="O308" s="631"/>
      <c r="P308" s="641"/>
      <c r="Q308" s="641"/>
      <c r="R308" s="631"/>
      <c r="S308" s="631"/>
      <c r="T308" s="424" t="str">
        <f>IF(B308="","",'Tabla_Puntual&amp;Relacionamiento'!$B$22)</f>
        <v/>
      </c>
      <c r="U308" s="424"/>
      <c r="V308" s="642" t="str">
        <f t="shared" si="44"/>
        <v/>
      </c>
      <c r="W308" s="642"/>
      <c r="X308" s="642" t="str">
        <f t="shared" si="41"/>
        <v/>
      </c>
      <c r="Y308" s="642"/>
      <c r="AL308" s="420" t="str">
        <f t="shared" si="48"/>
        <v/>
      </c>
      <c r="AM308" s="421">
        <f t="shared" si="52"/>
        <v>0</v>
      </c>
      <c r="AN308" s="637"/>
      <c r="AO308" s="637"/>
      <c r="AP308" s="634"/>
      <c r="AQ308" s="634"/>
      <c r="AR308" s="427"/>
      <c r="AS308" s="522" t="str">
        <f t="shared" si="49"/>
        <v/>
      </c>
    </row>
    <row r="309" spans="2:45" x14ac:dyDescent="0.25">
      <c r="B309" s="426" t="str">
        <f t="shared" si="45"/>
        <v/>
      </c>
      <c r="C309" s="423" t="str">
        <f t="shared" si="46"/>
        <v/>
      </c>
      <c r="D309" s="643" t="str">
        <f t="shared" si="50"/>
        <v/>
      </c>
      <c r="E309" s="643"/>
      <c r="F309" s="643" t="str">
        <f t="shared" si="42"/>
        <v/>
      </c>
      <c r="G309" s="643"/>
      <c r="H309" s="671">
        <f t="shared" si="43"/>
        <v>0</v>
      </c>
      <c r="I309" s="671"/>
      <c r="J309" s="640" t="str">
        <f t="shared" si="47"/>
        <v/>
      </c>
      <c r="K309" s="640"/>
      <c r="L309" s="631" t="str">
        <f t="shared" si="51"/>
        <v/>
      </c>
      <c r="M309" s="631"/>
      <c r="N309" s="631" t="str">
        <f>IF(B309="","",VLOOKUP(TRIM(CONCATENATE($F$20," ",$F$17," ",$F$18," ",$F$22," ",$F$21," ",$F$16," ",$F$23," ",$F$24)),Catalogo_Condicione_Financieras!B:W,22,0)*1.16)</f>
        <v/>
      </c>
      <c r="O309" s="631"/>
      <c r="P309" s="641"/>
      <c r="Q309" s="641"/>
      <c r="R309" s="631" t="str">
        <f>IF(OR(X308=0,X308=""),"",IF($F$21="Apoyo Infonavit",IF(D309&gt;=C309,0,MIN(IF($F$30="",0,Caratula!$F$30),$AL$30*25)*10%),0))</f>
        <v/>
      </c>
      <c r="S309" s="631"/>
      <c r="T309" s="424" t="str">
        <f>IF(B309="","",'Tabla_Puntual&amp;Relacionamiento'!$B$22)</f>
        <v/>
      </c>
      <c r="U309" s="424"/>
      <c r="V309" s="642" t="str">
        <f t="shared" si="44"/>
        <v/>
      </c>
      <c r="W309" s="642"/>
      <c r="X309" s="642" t="str">
        <f t="shared" si="41"/>
        <v/>
      </c>
      <c r="Y309" s="642"/>
      <c r="AL309" s="420" t="str">
        <f t="shared" si="48"/>
        <v/>
      </c>
      <c r="AM309" s="421">
        <f t="shared" si="52"/>
        <v>0</v>
      </c>
      <c r="AN309" s="637"/>
      <c r="AO309" s="637"/>
      <c r="AP309" s="634"/>
      <c r="AQ309" s="634"/>
      <c r="AR309" s="427"/>
      <c r="AS309" s="522" t="str">
        <f t="shared" si="49"/>
        <v/>
      </c>
    </row>
    <row r="310" spans="2:45" x14ac:dyDescent="0.25">
      <c r="B310" s="426" t="str">
        <f t="shared" si="45"/>
        <v/>
      </c>
      <c r="C310" s="423" t="str">
        <f t="shared" si="46"/>
        <v/>
      </c>
      <c r="D310" s="643" t="str">
        <f t="shared" si="50"/>
        <v/>
      </c>
      <c r="E310" s="643"/>
      <c r="F310" s="643" t="str">
        <f t="shared" si="42"/>
        <v/>
      </c>
      <c r="G310" s="643"/>
      <c r="H310" s="671">
        <f t="shared" si="43"/>
        <v>0</v>
      </c>
      <c r="I310" s="671"/>
      <c r="J310" s="640" t="str">
        <f t="shared" si="47"/>
        <v/>
      </c>
      <c r="K310" s="640"/>
      <c r="L310" s="631" t="str">
        <f t="shared" si="51"/>
        <v/>
      </c>
      <c r="M310" s="631"/>
      <c r="N310" s="631" t="str">
        <f>IF(B310="","",VLOOKUP(TRIM(CONCATENATE($F$20," ",$F$17," ",$F$18," ",$F$22," ",$F$21," ",$F$16," ",$F$23," ",$F$24)),Catalogo_Condicione_Financieras!B:W,22,0)*1.16)</f>
        <v/>
      </c>
      <c r="O310" s="631"/>
      <c r="P310" s="641"/>
      <c r="Q310" s="641"/>
      <c r="R310" s="631"/>
      <c r="S310" s="631"/>
      <c r="T310" s="424" t="str">
        <f>IF(B310="","",'Tabla_Puntual&amp;Relacionamiento'!$B$22)</f>
        <v/>
      </c>
      <c r="U310" s="424"/>
      <c r="V310" s="642" t="str">
        <f t="shared" si="44"/>
        <v/>
      </c>
      <c r="W310" s="642"/>
      <c r="X310" s="642" t="str">
        <f t="shared" si="41"/>
        <v/>
      </c>
      <c r="Y310" s="642"/>
      <c r="AL310" s="420" t="str">
        <f t="shared" si="48"/>
        <v/>
      </c>
      <c r="AM310" s="421">
        <f t="shared" si="52"/>
        <v>0</v>
      </c>
      <c r="AN310" s="637"/>
      <c r="AO310" s="637"/>
      <c r="AP310" s="634"/>
      <c r="AQ310" s="634"/>
      <c r="AR310" s="427"/>
      <c r="AS310" s="522" t="str">
        <f t="shared" si="49"/>
        <v/>
      </c>
    </row>
    <row r="311" spans="2:45" x14ac:dyDescent="0.25">
      <c r="B311" s="426" t="str">
        <f t="shared" si="45"/>
        <v/>
      </c>
      <c r="C311" s="423" t="str">
        <f t="shared" si="46"/>
        <v/>
      </c>
      <c r="D311" s="643" t="str">
        <f t="shared" si="50"/>
        <v/>
      </c>
      <c r="E311" s="643"/>
      <c r="F311" s="643" t="str">
        <f t="shared" si="42"/>
        <v/>
      </c>
      <c r="G311" s="643"/>
      <c r="H311" s="671">
        <f t="shared" si="43"/>
        <v>0</v>
      </c>
      <c r="I311" s="671"/>
      <c r="J311" s="640" t="str">
        <f t="shared" si="47"/>
        <v/>
      </c>
      <c r="K311" s="640"/>
      <c r="L311" s="631" t="str">
        <f t="shared" si="51"/>
        <v/>
      </c>
      <c r="M311" s="631"/>
      <c r="N311" s="631" t="str">
        <f>IF(B311="","",VLOOKUP(TRIM(CONCATENATE($F$20," ",$F$17," ",$F$18," ",$F$22," ",$F$21," ",$F$16," ",$F$23," ",$F$24)),Catalogo_Condicione_Financieras!B:W,22,0)*1.16)</f>
        <v/>
      </c>
      <c r="O311" s="631"/>
      <c r="P311" s="641"/>
      <c r="Q311" s="641"/>
      <c r="R311" s="631" t="str">
        <f>IF(OR(X310=0,X310=""),"",IF($F$21="Apoyo Infonavit",IF(D311&gt;=C311,0,MIN(IF($F$30="",0,Caratula!$F$30),$AL$30*25)*10%),0))</f>
        <v/>
      </c>
      <c r="S311" s="631"/>
      <c r="T311" s="424" t="str">
        <f>IF(B311="","",'Tabla_Puntual&amp;Relacionamiento'!$B$22)</f>
        <v/>
      </c>
      <c r="U311" s="424"/>
      <c r="V311" s="642" t="str">
        <f t="shared" si="44"/>
        <v/>
      </c>
      <c r="W311" s="642"/>
      <c r="X311" s="642" t="str">
        <f t="shared" si="41"/>
        <v/>
      </c>
      <c r="Y311" s="642"/>
      <c r="AL311" s="420" t="str">
        <f t="shared" si="48"/>
        <v/>
      </c>
      <c r="AM311" s="421">
        <f t="shared" si="52"/>
        <v>0</v>
      </c>
      <c r="AN311" s="637"/>
      <c r="AO311" s="637"/>
      <c r="AP311" s="634"/>
      <c r="AQ311" s="634"/>
      <c r="AR311" s="427"/>
      <c r="AS311" s="522" t="str">
        <f t="shared" si="49"/>
        <v/>
      </c>
    </row>
    <row r="312" spans="2:45" x14ac:dyDescent="0.25">
      <c r="B312" s="426" t="str">
        <f t="shared" si="45"/>
        <v/>
      </c>
      <c r="C312" s="423" t="str">
        <f t="shared" si="46"/>
        <v/>
      </c>
      <c r="D312" s="643" t="str">
        <f t="shared" si="50"/>
        <v/>
      </c>
      <c r="E312" s="643"/>
      <c r="F312" s="643" t="str">
        <f t="shared" si="42"/>
        <v/>
      </c>
      <c r="G312" s="643"/>
      <c r="H312" s="671">
        <f t="shared" si="43"/>
        <v>0</v>
      </c>
      <c r="I312" s="671"/>
      <c r="J312" s="640" t="str">
        <f t="shared" si="47"/>
        <v/>
      </c>
      <c r="K312" s="640"/>
      <c r="L312" s="631" t="str">
        <f t="shared" si="51"/>
        <v/>
      </c>
      <c r="M312" s="631"/>
      <c r="N312" s="631" t="str">
        <f>IF(B312="","",VLOOKUP(TRIM(CONCATENATE($F$20," ",$F$17," ",$F$18," ",$F$22," ",$F$21," ",$F$16," ",$F$23," ",$F$24)),Catalogo_Condicione_Financieras!B:W,22,0)*1.16)</f>
        <v/>
      </c>
      <c r="O312" s="631"/>
      <c r="P312" s="641"/>
      <c r="Q312" s="641"/>
      <c r="R312" s="631"/>
      <c r="S312" s="631"/>
      <c r="T312" s="424" t="str">
        <f>IF(B312="","",'Tabla_Puntual&amp;Relacionamiento'!$B$22)</f>
        <v/>
      </c>
      <c r="U312" s="424"/>
      <c r="V312" s="642" t="str">
        <f t="shared" si="44"/>
        <v/>
      </c>
      <c r="W312" s="642"/>
      <c r="X312" s="642" t="str">
        <f t="shared" si="41"/>
        <v/>
      </c>
      <c r="Y312" s="642"/>
      <c r="AL312" s="420" t="str">
        <f t="shared" si="48"/>
        <v/>
      </c>
      <c r="AM312" s="421">
        <f t="shared" si="52"/>
        <v>0</v>
      </c>
      <c r="AN312" s="637"/>
      <c r="AO312" s="637"/>
      <c r="AP312" s="634"/>
      <c r="AQ312" s="634"/>
      <c r="AR312" s="427"/>
      <c r="AS312" s="522" t="str">
        <f t="shared" si="49"/>
        <v/>
      </c>
    </row>
    <row r="313" spans="2:45" x14ac:dyDescent="0.25">
      <c r="B313" s="426" t="str">
        <f t="shared" si="45"/>
        <v/>
      </c>
      <c r="C313" s="423" t="str">
        <f t="shared" si="46"/>
        <v/>
      </c>
      <c r="D313" s="643" t="str">
        <f t="shared" si="50"/>
        <v/>
      </c>
      <c r="E313" s="643"/>
      <c r="F313" s="643" t="str">
        <f t="shared" si="42"/>
        <v/>
      </c>
      <c r="G313" s="643"/>
      <c r="H313" s="671">
        <f t="shared" si="43"/>
        <v>0</v>
      </c>
      <c r="I313" s="671"/>
      <c r="J313" s="640" t="str">
        <f t="shared" si="47"/>
        <v/>
      </c>
      <c r="K313" s="640"/>
      <c r="L313" s="631" t="str">
        <f t="shared" si="51"/>
        <v/>
      </c>
      <c r="M313" s="631"/>
      <c r="N313" s="631" t="str">
        <f>IF(B313="","",VLOOKUP(TRIM(CONCATENATE($F$20," ",$F$17," ",$F$18," ",$F$22," ",$F$21," ",$F$16," ",$F$23," ",$F$24)),Catalogo_Condicione_Financieras!B:W,22,0)*1.16)</f>
        <v/>
      </c>
      <c r="O313" s="631"/>
      <c r="P313" s="641"/>
      <c r="Q313" s="641"/>
      <c r="R313" s="631" t="str">
        <f>IF(OR(X312=0,X312=""),"",IF($F$21="Apoyo Infonavit",IF(D313&gt;=C313,0,MIN(IF($F$30="",0,Caratula!$F$30),$AL$30*25)*10%),0))</f>
        <v/>
      </c>
      <c r="S313" s="631"/>
      <c r="T313" s="424" t="str">
        <f>IF(B313="","",'Tabla_Puntual&amp;Relacionamiento'!$B$22)</f>
        <v/>
      </c>
      <c r="U313" s="424"/>
      <c r="V313" s="642" t="str">
        <f t="shared" si="44"/>
        <v/>
      </c>
      <c r="W313" s="642"/>
      <c r="X313" s="642" t="str">
        <f t="shared" si="41"/>
        <v/>
      </c>
      <c r="Y313" s="642"/>
      <c r="AL313" s="420" t="str">
        <f t="shared" si="48"/>
        <v/>
      </c>
      <c r="AM313" s="421">
        <f t="shared" si="52"/>
        <v>0</v>
      </c>
      <c r="AN313" s="637"/>
      <c r="AO313" s="637"/>
      <c r="AP313" s="634"/>
      <c r="AQ313" s="634"/>
      <c r="AR313" s="427"/>
      <c r="AS313" s="522" t="str">
        <f t="shared" si="49"/>
        <v/>
      </c>
    </row>
    <row r="314" spans="2:45" x14ac:dyDescent="0.25">
      <c r="B314" s="426" t="str">
        <f t="shared" si="45"/>
        <v/>
      </c>
      <c r="C314" s="423" t="str">
        <f t="shared" si="46"/>
        <v/>
      </c>
      <c r="D314" s="643" t="str">
        <f t="shared" si="50"/>
        <v/>
      </c>
      <c r="E314" s="643"/>
      <c r="F314" s="643" t="str">
        <f t="shared" si="42"/>
        <v/>
      </c>
      <c r="G314" s="643"/>
      <c r="H314" s="671">
        <f t="shared" si="43"/>
        <v>0</v>
      </c>
      <c r="I314" s="671"/>
      <c r="J314" s="640" t="str">
        <f t="shared" si="47"/>
        <v/>
      </c>
      <c r="K314" s="640"/>
      <c r="L314" s="631" t="str">
        <f t="shared" si="51"/>
        <v/>
      </c>
      <c r="M314" s="631"/>
      <c r="N314" s="631" t="str">
        <f>IF(B314="","",VLOOKUP(TRIM(CONCATENATE($F$20," ",$F$17," ",$F$18," ",$F$22," ",$F$21," ",$F$16," ",$F$23," ",$F$24)),Catalogo_Condicione_Financieras!B:W,22,0)*1.16)</f>
        <v/>
      </c>
      <c r="O314" s="631"/>
      <c r="P314" s="641"/>
      <c r="Q314" s="641"/>
      <c r="R314" s="631"/>
      <c r="S314" s="631"/>
      <c r="T314" s="424" t="str">
        <f>IF(B314="","",'Tabla_Puntual&amp;Relacionamiento'!$B$22)</f>
        <v/>
      </c>
      <c r="U314" s="424"/>
      <c r="V314" s="642" t="str">
        <f t="shared" si="44"/>
        <v/>
      </c>
      <c r="W314" s="642"/>
      <c r="X314" s="642" t="str">
        <f t="shared" si="41"/>
        <v/>
      </c>
      <c r="Y314" s="642"/>
      <c r="AL314" s="420" t="str">
        <f t="shared" si="48"/>
        <v/>
      </c>
      <c r="AM314" s="421">
        <f t="shared" si="52"/>
        <v>0</v>
      </c>
      <c r="AN314" s="637"/>
      <c r="AO314" s="637"/>
      <c r="AP314" s="634"/>
      <c r="AQ314" s="634"/>
      <c r="AR314" s="427"/>
      <c r="AS314" s="522" t="str">
        <f t="shared" si="49"/>
        <v/>
      </c>
    </row>
    <row r="315" spans="2:45" x14ac:dyDescent="0.25">
      <c r="B315" s="426" t="str">
        <f t="shared" si="45"/>
        <v/>
      </c>
      <c r="C315" s="423" t="str">
        <f t="shared" si="46"/>
        <v/>
      </c>
      <c r="D315" s="643" t="str">
        <f t="shared" si="50"/>
        <v/>
      </c>
      <c r="E315" s="643"/>
      <c r="F315" s="643" t="str">
        <f t="shared" si="42"/>
        <v/>
      </c>
      <c r="G315" s="643"/>
      <c r="H315" s="671">
        <f t="shared" si="43"/>
        <v>0</v>
      </c>
      <c r="I315" s="671"/>
      <c r="J315" s="640" t="str">
        <f t="shared" si="47"/>
        <v/>
      </c>
      <c r="K315" s="640"/>
      <c r="L315" s="631" t="str">
        <f t="shared" si="51"/>
        <v/>
      </c>
      <c r="M315" s="631"/>
      <c r="N315" s="631" t="str">
        <f>IF(B315="","",VLOOKUP(TRIM(CONCATENATE($F$20," ",$F$17," ",$F$18," ",$F$22," ",$F$21," ",$F$16," ",$F$23," ",$F$24)),Catalogo_Condicione_Financieras!B:W,22,0)*1.16)</f>
        <v/>
      </c>
      <c r="O315" s="631"/>
      <c r="P315" s="641"/>
      <c r="Q315" s="641"/>
      <c r="R315" s="631" t="str">
        <f>IF(OR(X314=0,X314=""),"",IF($F$21="Apoyo Infonavit",IF(D315&gt;=C315,0,MIN(IF($F$30="",0,Caratula!$F$30),$AL$30*25)*10%),0))</f>
        <v/>
      </c>
      <c r="S315" s="631"/>
      <c r="T315" s="424" t="str">
        <f>IF(B315="","",'Tabla_Puntual&amp;Relacionamiento'!$B$22)</f>
        <v/>
      </c>
      <c r="U315" s="424"/>
      <c r="V315" s="642" t="str">
        <f t="shared" si="44"/>
        <v/>
      </c>
      <c r="W315" s="642"/>
      <c r="X315" s="642" t="str">
        <f t="shared" si="41"/>
        <v/>
      </c>
      <c r="Y315" s="642"/>
      <c r="AL315" s="420" t="str">
        <f t="shared" si="48"/>
        <v/>
      </c>
      <c r="AM315" s="421">
        <f t="shared" si="52"/>
        <v>0</v>
      </c>
      <c r="AN315" s="637"/>
      <c r="AO315" s="637"/>
      <c r="AP315" s="634"/>
      <c r="AQ315" s="634"/>
      <c r="AR315" s="427"/>
      <c r="AS315" s="522" t="str">
        <f t="shared" si="49"/>
        <v/>
      </c>
    </row>
    <row r="316" spans="2:45" x14ac:dyDescent="0.25">
      <c r="B316" s="426" t="str">
        <f t="shared" si="45"/>
        <v/>
      </c>
      <c r="C316" s="423" t="str">
        <f t="shared" si="46"/>
        <v/>
      </c>
      <c r="D316" s="643" t="str">
        <f t="shared" si="50"/>
        <v/>
      </c>
      <c r="E316" s="643"/>
      <c r="F316" s="643" t="str">
        <f t="shared" si="42"/>
        <v/>
      </c>
      <c r="G316" s="643"/>
      <c r="H316" s="671">
        <f t="shared" si="43"/>
        <v>0</v>
      </c>
      <c r="I316" s="671"/>
      <c r="J316" s="640" t="str">
        <f t="shared" si="47"/>
        <v/>
      </c>
      <c r="K316" s="640"/>
      <c r="L316" s="631" t="str">
        <f t="shared" si="51"/>
        <v/>
      </c>
      <c r="M316" s="631"/>
      <c r="N316" s="631" t="str">
        <f>IF(B316="","",VLOOKUP(TRIM(CONCATENATE($F$20," ",$F$17," ",$F$18," ",$F$22," ",$F$21," ",$F$16," ",$F$23," ",$F$24)),Catalogo_Condicione_Financieras!B:W,22,0)*1.16)</f>
        <v/>
      </c>
      <c r="O316" s="631"/>
      <c r="P316" s="641"/>
      <c r="Q316" s="641"/>
      <c r="R316" s="631"/>
      <c r="S316" s="631"/>
      <c r="T316" s="424" t="str">
        <f>IF(B316="","",'Tabla_Puntual&amp;Relacionamiento'!$B$23)</f>
        <v/>
      </c>
      <c r="U316" s="424" t="str">
        <f>IF(B316="","",IF($F$16="Pago_Bajo_Puntual",0.019,""))</f>
        <v/>
      </c>
      <c r="V316" s="642" t="str">
        <f t="shared" si="44"/>
        <v/>
      </c>
      <c r="W316" s="642"/>
      <c r="X316" s="642" t="str">
        <f t="shared" ref="X316:X363" si="53">IFERROR(IF(C316="","",IF((C316-D316-P316+AN316+AP316-R316)&lt;1,0,C316-D316-P316+AN316+AP316-R316)),0)</f>
        <v/>
      </c>
      <c r="Y316" s="642"/>
      <c r="AL316" s="420" t="str">
        <f t="shared" si="48"/>
        <v/>
      </c>
      <c r="AM316" s="421">
        <f t="shared" si="52"/>
        <v>0</v>
      </c>
      <c r="AN316" s="637"/>
      <c r="AO316" s="637"/>
      <c r="AP316" s="634"/>
      <c r="AQ316" s="634"/>
      <c r="AR316" s="427"/>
      <c r="AS316" s="522" t="str">
        <f t="shared" si="49"/>
        <v/>
      </c>
    </row>
    <row r="317" spans="2:45" x14ac:dyDescent="0.25">
      <c r="B317" s="426" t="str">
        <f t="shared" si="45"/>
        <v/>
      </c>
      <c r="C317" s="423" t="str">
        <f t="shared" si="46"/>
        <v/>
      </c>
      <c r="D317" s="643" t="str">
        <f t="shared" si="50"/>
        <v/>
      </c>
      <c r="E317" s="643"/>
      <c r="F317" s="643" t="str">
        <f t="shared" si="42"/>
        <v/>
      </c>
      <c r="G317" s="643"/>
      <c r="H317" s="671">
        <f t="shared" si="43"/>
        <v>0</v>
      </c>
      <c r="I317" s="671"/>
      <c r="J317" s="640" t="str">
        <f t="shared" si="47"/>
        <v/>
      </c>
      <c r="K317" s="640"/>
      <c r="L317" s="631" t="str">
        <f t="shared" si="51"/>
        <v/>
      </c>
      <c r="M317" s="631"/>
      <c r="N317" s="631" t="str">
        <f>IF(B317="","",VLOOKUP(TRIM(CONCATENATE($F$20," ",$F$17," ",$F$18," ",$F$22," ",$F$21," ",$F$16," ",$F$23," ",$F$24)),Catalogo_Condicione_Financieras!B:W,22,0)*1.16)</f>
        <v/>
      </c>
      <c r="O317" s="631"/>
      <c r="P317" s="641"/>
      <c r="Q317" s="641"/>
      <c r="R317" s="631" t="str">
        <f>IF(OR(X316=0,X316=""),"",IF($F$21="Apoyo Infonavit",IF(D317&gt;=C317,0,MIN(IF($F$30="",0,Caratula!$F$30),$AL$30*25)*10%),0))</f>
        <v/>
      </c>
      <c r="S317" s="631"/>
      <c r="T317" s="424" t="str">
        <f>IF(B317="","",'Tabla_Puntual&amp;Relacionamiento'!$B$23)</f>
        <v/>
      </c>
      <c r="U317" s="424"/>
      <c r="V317" s="642" t="str">
        <f t="shared" si="44"/>
        <v/>
      </c>
      <c r="W317" s="642"/>
      <c r="X317" s="642" t="str">
        <f t="shared" si="53"/>
        <v/>
      </c>
      <c r="Y317" s="642"/>
      <c r="AL317" s="420" t="str">
        <f t="shared" si="48"/>
        <v/>
      </c>
      <c r="AM317" s="421">
        <f t="shared" si="52"/>
        <v>0</v>
      </c>
      <c r="AN317" s="637"/>
      <c r="AO317" s="637"/>
      <c r="AP317" s="634"/>
      <c r="AQ317" s="634"/>
      <c r="AR317" s="427"/>
      <c r="AS317" s="522" t="str">
        <f t="shared" si="49"/>
        <v/>
      </c>
    </row>
    <row r="318" spans="2:45" x14ac:dyDescent="0.25">
      <c r="B318" s="426" t="str">
        <f t="shared" si="45"/>
        <v/>
      </c>
      <c r="C318" s="423" t="str">
        <f t="shared" si="46"/>
        <v/>
      </c>
      <c r="D318" s="643" t="str">
        <f t="shared" si="50"/>
        <v/>
      </c>
      <c r="E318" s="643"/>
      <c r="F318" s="643" t="str">
        <f t="shared" si="42"/>
        <v/>
      </c>
      <c r="G318" s="643"/>
      <c r="H318" s="671">
        <f t="shared" si="43"/>
        <v>0</v>
      </c>
      <c r="I318" s="671"/>
      <c r="J318" s="640" t="str">
        <f t="shared" si="47"/>
        <v/>
      </c>
      <c r="K318" s="640"/>
      <c r="L318" s="631" t="str">
        <f t="shared" si="51"/>
        <v/>
      </c>
      <c r="M318" s="631"/>
      <c r="N318" s="631" t="str">
        <f>IF(B318="","",VLOOKUP(TRIM(CONCATENATE($F$20," ",$F$17," ",$F$18," ",$F$22," ",$F$21," ",$F$16," ",$F$23," ",$F$24)),Catalogo_Condicione_Financieras!B:W,22,0)*1.16)</f>
        <v/>
      </c>
      <c r="O318" s="631"/>
      <c r="P318" s="641"/>
      <c r="Q318" s="641"/>
      <c r="R318" s="631"/>
      <c r="S318" s="631"/>
      <c r="T318" s="424" t="str">
        <f>IF(B318="","",'Tabla_Puntual&amp;Relacionamiento'!$B$23)</f>
        <v/>
      </c>
      <c r="U318" s="424"/>
      <c r="V318" s="642" t="str">
        <f t="shared" si="44"/>
        <v/>
      </c>
      <c r="W318" s="642"/>
      <c r="X318" s="642" t="str">
        <f t="shared" si="53"/>
        <v/>
      </c>
      <c r="Y318" s="642"/>
      <c r="AL318" s="420" t="str">
        <f t="shared" si="48"/>
        <v/>
      </c>
      <c r="AM318" s="421">
        <f t="shared" si="52"/>
        <v>0</v>
      </c>
      <c r="AN318" s="637"/>
      <c r="AO318" s="637"/>
      <c r="AP318" s="634"/>
      <c r="AQ318" s="634"/>
      <c r="AR318" s="427"/>
      <c r="AS318" s="522" t="str">
        <f t="shared" si="49"/>
        <v/>
      </c>
    </row>
    <row r="319" spans="2:45" x14ac:dyDescent="0.25">
      <c r="B319" s="426" t="str">
        <f t="shared" si="45"/>
        <v/>
      </c>
      <c r="C319" s="423" t="str">
        <f t="shared" si="46"/>
        <v/>
      </c>
      <c r="D319" s="643" t="str">
        <f t="shared" si="50"/>
        <v/>
      </c>
      <c r="E319" s="643"/>
      <c r="F319" s="643" t="str">
        <f t="shared" si="42"/>
        <v/>
      </c>
      <c r="G319" s="643"/>
      <c r="H319" s="671">
        <f t="shared" si="43"/>
        <v>0</v>
      </c>
      <c r="I319" s="671"/>
      <c r="J319" s="640" t="str">
        <f t="shared" si="47"/>
        <v/>
      </c>
      <c r="K319" s="640"/>
      <c r="L319" s="631" t="str">
        <f t="shared" si="51"/>
        <v/>
      </c>
      <c r="M319" s="631"/>
      <c r="N319" s="631" t="str">
        <f>IF(B319="","",VLOOKUP(TRIM(CONCATENATE($F$20," ",$F$17," ",$F$18," ",$F$22," ",$F$21," ",$F$16," ",$F$23," ",$F$24)),Catalogo_Condicione_Financieras!B:W,22,0)*1.16)</f>
        <v/>
      </c>
      <c r="O319" s="631"/>
      <c r="P319" s="641"/>
      <c r="Q319" s="641"/>
      <c r="R319" s="631" t="str">
        <f>IF(OR(X318=0,X318=""),"",IF($F$21="Apoyo Infonavit",IF(D319&gt;=C319,0,MIN(IF($F$30="",0,Caratula!$F$30),$AL$30*25)*10%),0))</f>
        <v/>
      </c>
      <c r="S319" s="631"/>
      <c r="T319" s="424" t="str">
        <f>IF(B319="","",'Tabla_Puntual&amp;Relacionamiento'!$B$23)</f>
        <v/>
      </c>
      <c r="U319" s="424"/>
      <c r="V319" s="642" t="str">
        <f t="shared" si="44"/>
        <v/>
      </c>
      <c r="W319" s="642"/>
      <c r="X319" s="642" t="str">
        <f t="shared" si="53"/>
        <v/>
      </c>
      <c r="Y319" s="642"/>
      <c r="AL319" s="420" t="str">
        <f t="shared" si="48"/>
        <v/>
      </c>
      <c r="AM319" s="421">
        <f t="shared" si="52"/>
        <v>0</v>
      </c>
      <c r="AN319" s="637"/>
      <c r="AO319" s="637"/>
      <c r="AP319" s="634"/>
      <c r="AQ319" s="634"/>
      <c r="AR319" s="427"/>
      <c r="AS319" s="522" t="str">
        <f t="shared" si="49"/>
        <v/>
      </c>
    </row>
    <row r="320" spans="2:45" x14ac:dyDescent="0.25">
      <c r="B320" s="426" t="str">
        <f t="shared" si="45"/>
        <v/>
      </c>
      <c r="C320" s="423" t="str">
        <f t="shared" si="46"/>
        <v/>
      </c>
      <c r="D320" s="643" t="str">
        <f t="shared" si="50"/>
        <v/>
      </c>
      <c r="E320" s="643"/>
      <c r="F320" s="643" t="str">
        <f t="shared" ref="F320:F363" si="54">IF(B320="","",IF(X319*(T320/12)&lt;0,"",X319*(T320/12)))</f>
        <v/>
      </c>
      <c r="G320" s="643"/>
      <c r="H320" s="671">
        <f t="shared" ref="H320:H363" si="55">IFERROR(IF($F$20="Liquidez",F320*0.16,
IF(AND($F$20="Pago_Hipoteca+Liquidez",$F$36="Liquidez"),F320*0.16,0)),0)</f>
        <v>0</v>
      </c>
      <c r="I320" s="671"/>
      <c r="J320" s="640" t="str">
        <f t="shared" si="47"/>
        <v/>
      </c>
      <c r="K320" s="640"/>
      <c r="L320" s="631" t="str">
        <f t="shared" si="51"/>
        <v/>
      </c>
      <c r="M320" s="631"/>
      <c r="N320" s="631" t="str">
        <f>IF(B320="","",VLOOKUP(TRIM(CONCATENATE($F$20," ",$F$17," ",$F$18," ",$F$22," ",$F$21," ",$F$16," ",$F$23," ",$F$24)),Catalogo_Condicione_Financieras!B:W,22,0)*1.16)</f>
        <v/>
      </c>
      <c r="O320" s="631"/>
      <c r="P320" s="641"/>
      <c r="Q320" s="641"/>
      <c r="R320" s="631"/>
      <c r="S320" s="631"/>
      <c r="T320" s="424" t="str">
        <f>IF(B320="","",'Tabla_Puntual&amp;Relacionamiento'!$B$23)</f>
        <v/>
      </c>
      <c r="U320" s="424"/>
      <c r="V320" s="642" t="str">
        <f t="shared" ref="V320:V363" si="56">IF(B320="","",D320+F320+H320+J320+L320+N320)</f>
        <v/>
      </c>
      <c r="W320" s="642"/>
      <c r="X320" s="642" t="str">
        <f t="shared" si="53"/>
        <v/>
      </c>
      <c r="Y320" s="642"/>
      <c r="AL320" s="420" t="str">
        <f t="shared" si="48"/>
        <v/>
      </c>
      <c r="AM320" s="421">
        <f t="shared" si="52"/>
        <v>0</v>
      </c>
      <c r="AN320" s="637"/>
      <c r="AO320" s="637"/>
      <c r="AP320" s="634"/>
      <c r="AQ320" s="634"/>
      <c r="AR320" s="427"/>
      <c r="AS320" s="522" t="str">
        <f t="shared" si="49"/>
        <v/>
      </c>
    </row>
    <row r="321" spans="2:45" x14ac:dyDescent="0.25">
      <c r="B321" s="426" t="str">
        <f t="shared" ref="B321:B363" si="57">IF(OR(B320="",X320&lt;=0),"",IF(B320+1&lt;=F$23*12,B320+1,""))</f>
        <v/>
      </c>
      <c r="C321" s="423" t="str">
        <f t="shared" ref="C321:C363" si="58">IF(B321="","",IF(IF(C320="","",C320-D320-R320)&lt;0.01,AQ320,IF(C320="","",X320)))</f>
        <v/>
      </c>
      <c r="D321" s="643" t="str">
        <f t="shared" si="50"/>
        <v/>
      </c>
      <c r="E321" s="643"/>
      <c r="F321" s="643" t="str">
        <f t="shared" si="54"/>
        <v/>
      </c>
      <c r="G321" s="643"/>
      <c r="H321" s="671">
        <f t="shared" si="55"/>
        <v>0</v>
      </c>
      <c r="I321" s="671"/>
      <c r="J321" s="640" t="str">
        <f t="shared" ref="J321:J363" si="59">IF(B321="","",C321*$AQ$35/1000)</f>
        <v/>
      </c>
      <c r="K321" s="640"/>
      <c r="L321" s="631" t="str">
        <f t="shared" si="51"/>
        <v/>
      </c>
      <c r="M321" s="631"/>
      <c r="N321" s="631" t="str">
        <f>IF(B321="","",VLOOKUP(TRIM(CONCATENATE($F$20," ",$F$17," ",$F$18," ",$F$22," ",$F$21," ",$F$16," ",$F$23," ",$F$24)),Catalogo_Condicione_Financieras!B:W,22,0)*1.16)</f>
        <v/>
      </c>
      <c r="O321" s="631"/>
      <c r="P321" s="641"/>
      <c r="Q321" s="641"/>
      <c r="R321" s="631" t="str">
        <f>IF(OR(X320=0,X320=""),"",IF($F$21="Apoyo Infonavit",IF(D321&gt;=C321,0,MIN(IF($F$30="",0,Caratula!$F$30),$AL$30*25)*10%),0))</f>
        <v/>
      </c>
      <c r="S321" s="631"/>
      <c r="T321" s="424" t="str">
        <f>IF(B321="","",'Tabla_Puntual&amp;Relacionamiento'!$B$23)</f>
        <v/>
      </c>
      <c r="U321" s="424"/>
      <c r="V321" s="642" t="str">
        <f t="shared" si="56"/>
        <v/>
      </c>
      <c r="W321" s="642"/>
      <c r="X321" s="642" t="str">
        <f t="shared" si="53"/>
        <v/>
      </c>
      <c r="Y321" s="642"/>
      <c r="AL321" s="420" t="str">
        <f t="shared" ref="AL321:AL363" si="60">IF(B321="","",
IF(X320&lt;AL320,X320+F321,
IF($F$16="Pago_Fijo_Puntual",$X$63*$AQ$40/1000,
IF($F$16="Pago_Bajo_Puntual",AL320+(AL320*U321)))))</f>
        <v/>
      </c>
      <c r="AM321" s="421">
        <f t="shared" si="52"/>
        <v>0</v>
      </c>
      <c r="AN321" s="637"/>
      <c r="AO321" s="637"/>
      <c r="AP321" s="634"/>
      <c r="AQ321" s="634"/>
      <c r="AR321" s="427"/>
      <c r="AS321" s="522" t="str">
        <f t="shared" ref="AS321:AS363" si="61">IF(B321="","",IF(AND($F$20="Pago_Hipoteca+Liquidez",$F$36="Liquidez"),0,
IF((($F$28*0.7)*$AQ$38/1.16)&gt;C321*$AQ$38/1.16,($F$28*0.7)*($AQ$38/1.16),($AQ$38/1.16)*C321)/1000))</f>
        <v/>
      </c>
    </row>
    <row r="322" spans="2:45" x14ac:dyDescent="0.25">
      <c r="B322" s="426" t="str">
        <f t="shared" si="57"/>
        <v/>
      </c>
      <c r="C322" s="423" t="str">
        <f t="shared" si="58"/>
        <v/>
      </c>
      <c r="D322" s="643" t="str">
        <f t="shared" ref="D322:D363" si="62">IF(B322="","",AL322-F322)</f>
        <v/>
      </c>
      <c r="E322" s="643"/>
      <c r="F322" s="643" t="str">
        <f t="shared" si="54"/>
        <v/>
      </c>
      <c r="G322" s="643"/>
      <c r="H322" s="671">
        <f t="shared" si="55"/>
        <v>0</v>
      </c>
      <c r="I322" s="671"/>
      <c r="J322" s="640" t="str">
        <f t="shared" si="59"/>
        <v/>
      </c>
      <c r="K322" s="640"/>
      <c r="L322" s="631" t="str">
        <f t="shared" ref="L322:L363" si="63">IF(B322="","",IF(AND($F$20="Pago_Hipoteca+Liquidez",$F$36="Liquidez"),0,
IF((($F$28*0.7)*$AQ$38)&gt;C322*$AQ$38,($F$28*0.7)*($AQ$38)/1000,($AQ$38*C322)/1000)))</f>
        <v/>
      </c>
      <c r="M322" s="631"/>
      <c r="N322" s="631" t="str">
        <f>IF(B322="","",VLOOKUP(TRIM(CONCATENATE($F$20," ",$F$17," ",$F$18," ",$F$22," ",$F$21," ",$F$16," ",$F$23," ",$F$24)),Catalogo_Condicione_Financieras!B:W,22,0)*1.16)</f>
        <v/>
      </c>
      <c r="O322" s="631"/>
      <c r="P322" s="641"/>
      <c r="Q322" s="641"/>
      <c r="R322" s="631"/>
      <c r="S322" s="631"/>
      <c r="T322" s="424" t="str">
        <f>IF(B322="","",'Tabla_Puntual&amp;Relacionamiento'!$B$23)</f>
        <v/>
      </c>
      <c r="U322" s="424"/>
      <c r="V322" s="642" t="str">
        <f t="shared" si="56"/>
        <v/>
      </c>
      <c r="W322" s="642"/>
      <c r="X322" s="642" t="str">
        <f t="shared" si="53"/>
        <v/>
      </c>
      <c r="Y322" s="642"/>
      <c r="AL322" s="420" t="str">
        <f t="shared" si="60"/>
        <v/>
      </c>
      <c r="AM322" s="421">
        <f t="shared" si="52"/>
        <v>0</v>
      </c>
      <c r="AN322" s="637"/>
      <c r="AO322" s="637"/>
      <c r="AP322" s="634"/>
      <c r="AQ322" s="634"/>
      <c r="AR322" s="427"/>
      <c r="AS322" s="522" t="str">
        <f t="shared" si="61"/>
        <v/>
      </c>
    </row>
    <row r="323" spans="2:45" x14ac:dyDescent="0.25">
      <c r="B323" s="426" t="str">
        <f t="shared" si="57"/>
        <v/>
      </c>
      <c r="C323" s="423" t="str">
        <f t="shared" si="58"/>
        <v/>
      </c>
      <c r="D323" s="643" t="str">
        <f t="shared" si="62"/>
        <v/>
      </c>
      <c r="E323" s="643"/>
      <c r="F323" s="643" t="str">
        <f t="shared" si="54"/>
        <v/>
      </c>
      <c r="G323" s="643"/>
      <c r="H323" s="671">
        <f t="shared" si="55"/>
        <v>0</v>
      </c>
      <c r="I323" s="671"/>
      <c r="J323" s="640" t="str">
        <f t="shared" si="59"/>
        <v/>
      </c>
      <c r="K323" s="640"/>
      <c r="L323" s="631" t="str">
        <f t="shared" si="63"/>
        <v/>
      </c>
      <c r="M323" s="631"/>
      <c r="N323" s="631" t="str">
        <f>IF(B323="","",VLOOKUP(TRIM(CONCATENATE($F$20," ",$F$17," ",$F$18," ",$F$22," ",$F$21," ",$F$16," ",$F$23," ",$F$24)),Catalogo_Condicione_Financieras!B:W,22,0)*1.16)</f>
        <v/>
      </c>
      <c r="O323" s="631"/>
      <c r="P323" s="641"/>
      <c r="Q323" s="641"/>
      <c r="R323" s="631" t="str">
        <f>IF(OR(X322=0,X322=""),"",IF($F$21="Apoyo Infonavit",IF(D323&gt;=C323,0,MIN(IF($F$30="",0,Caratula!$F$30),$AL$30*25)*10%),0))</f>
        <v/>
      </c>
      <c r="S323" s="631"/>
      <c r="T323" s="424" t="str">
        <f>IF(B323="","",'Tabla_Puntual&amp;Relacionamiento'!$B$23)</f>
        <v/>
      </c>
      <c r="U323" s="424"/>
      <c r="V323" s="642" t="str">
        <f t="shared" si="56"/>
        <v/>
      </c>
      <c r="W323" s="642"/>
      <c r="X323" s="642" t="str">
        <f t="shared" si="53"/>
        <v/>
      </c>
      <c r="Y323" s="642"/>
      <c r="AL323" s="420" t="str">
        <f t="shared" si="60"/>
        <v/>
      </c>
      <c r="AM323" s="421">
        <f t="shared" ref="AM323:AM363" si="64">IF(C323="",0,AL323+J323+AS323+(N323/1.16)+R323)</f>
        <v>0</v>
      </c>
      <c r="AN323" s="637"/>
      <c r="AO323" s="637"/>
      <c r="AP323" s="634"/>
      <c r="AQ323" s="634"/>
      <c r="AR323" s="427"/>
      <c r="AS323" s="522" t="str">
        <f t="shared" si="61"/>
        <v/>
      </c>
    </row>
    <row r="324" spans="2:45" x14ac:dyDescent="0.25">
      <c r="B324" s="426" t="str">
        <f t="shared" si="57"/>
        <v/>
      </c>
      <c r="C324" s="423" t="str">
        <f t="shared" si="58"/>
        <v/>
      </c>
      <c r="D324" s="643" t="str">
        <f t="shared" si="62"/>
        <v/>
      </c>
      <c r="E324" s="643"/>
      <c r="F324" s="643" t="str">
        <f t="shared" si="54"/>
        <v/>
      </c>
      <c r="G324" s="643"/>
      <c r="H324" s="671">
        <f t="shared" si="55"/>
        <v>0</v>
      </c>
      <c r="I324" s="671"/>
      <c r="J324" s="640" t="str">
        <f t="shared" si="59"/>
        <v/>
      </c>
      <c r="K324" s="640"/>
      <c r="L324" s="631" t="str">
        <f t="shared" si="63"/>
        <v/>
      </c>
      <c r="M324" s="631"/>
      <c r="N324" s="631" t="str">
        <f>IF(B324="","",VLOOKUP(TRIM(CONCATENATE($F$20," ",$F$17," ",$F$18," ",$F$22," ",$F$21," ",$F$16," ",$F$23," ",$F$24)),Catalogo_Condicione_Financieras!B:W,22,0)*1.16)</f>
        <v/>
      </c>
      <c r="O324" s="631"/>
      <c r="P324" s="641"/>
      <c r="Q324" s="641"/>
      <c r="R324" s="631"/>
      <c r="S324" s="631"/>
      <c r="T324" s="424" t="str">
        <f>IF(B324="","",'Tabla_Puntual&amp;Relacionamiento'!$B$23)</f>
        <v/>
      </c>
      <c r="U324" s="424"/>
      <c r="V324" s="642" t="str">
        <f t="shared" si="56"/>
        <v/>
      </c>
      <c r="W324" s="642"/>
      <c r="X324" s="642" t="str">
        <f t="shared" si="53"/>
        <v/>
      </c>
      <c r="Y324" s="642"/>
      <c r="AL324" s="420" t="str">
        <f t="shared" si="60"/>
        <v/>
      </c>
      <c r="AM324" s="421">
        <f t="shared" si="64"/>
        <v>0</v>
      </c>
      <c r="AN324" s="637"/>
      <c r="AO324" s="637"/>
      <c r="AP324" s="634"/>
      <c r="AQ324" s="634"/>
      <c r="AR324" s="427"/>
      <c r="AS324" s="522" t="str">
        <f t="shared" si="61"/>
        <v/>
      </c>
    </row>
    <row r="325" spans="2:45" x14ac:dyDescent="0.25">
      <c r="B325" s="426" t="str">
        <f t="shared" si="57"/>
        <v/>
      </c>
      <c r="C325" s="423" t="str">
        <f t="shared" si="58"/>
        <v/>
      </c>
      <c r="D325" s="643" t="str">
        <f t="shared" si="62"/>
        <v/>
      </c>
      <c r="E325" s="643"/>
      <c r="F325" s="643" t="str">
        <f t="shared" si="54"/>
        <v/>
      </c>
      <c r="G325" s="643"/>
      <c r="H325" s="671">
        <f t="shared" si="55"/>
        <v>0</v>
      </c>
      <c r="I325" s="671"/>
      <c r="J325" s="640" t="str">
        <f t="shared" si="59"/>
        <v/>
      </c>
      <c r="K325" s="640"/>
      <c r="L325" s="631" t="str">
        <f t="shared" si="63"/>
        <v/>
      </c>
      <c r="M325" s="631"/>
      <c r="N325" s="631" t="str">
        <f>IF(B325="","",VLOOKUP(TRIM(CONCATENATE($F$20," ",$F$17," ",$F$18," ",$F$22," ",$F$21," ",$F$16," ",$F$23," ",$F$24)),Catalogo_Condicione_Financieras!B:W,22,0)*1.16)</f>
        <v/>
      </c>
      <c r="O325" s="631"/>
      <c r="P325" s="641"/>
      <c r="Q325" s="641"/>
      <c r="R325" s="631" t="str">
        <f>IF(OR(X324=0,X324=""),"",IF($F$21="Apoyo Infonavit",IF(D325&gt;=C325,0,MIN(IF($F$30="",0,Caratula!$F$30),$AL$30*25)*10%),0))</f>
        <v/>
      </c>
      <c r="S325" s="631"/>
      <c r="T325" s="424" t="str">
        <f>IF(B325="","",'Tabla_Puntual&amp;Relacionamiento'!$B$23)</f>
        <v/>
      </c>
      <c r="U325" s="424"/>
      <c r="V325" s="642" t="str">
        <f t="shared" si="56"/>
        <v/>
      </c>
      <c r="W325" s="642"/>
      <c r="X325" s="642" t="str">
        <f t="shared" si="53"/>
        <v/>
      </c>
      <c r="Y325" s="642"/>
      <c r="AL325" s="420" t="str">
        <f t="shared" si="60"/>
        <v/>
      </c>
      <c r="AM325" s="421">
        <f t="shared" si="64"/>
        <v>0</v>
      </c>
      <c r="AN325" s="637"/>
      <c r="AO325" s="637"/>
      <c r="AP325" s="634"/>
      <c r="AQ325" s="634"/>
      <c r="AR325" s="427"/>
      <c r="AS325" s="522" t="str">
        <f t="shared" si="61"/>
        <v/>
      </c>
    </row>
    <row r="326" spans="2:45" x14ac:dyDescent="0.25">
      <c r="B326" s="426" t="str">
        <f t="shared" si="57"/>
        <v/>
      </c>
      <c r="C326" s="423" t="str">
        <f t="shared" si="58"/>
        <v/>
      </c>
      <c r="D326" s="643" t="str">
        <f t="shared" si="62"/>
        <v/>
      </c>
      <c r="E326" s="643"/>
      <c r="F326" s="643" t="str">
        <f t="shared" si="54"/>
        <v/>
      </c>
      <c r="G326" s="643"/>
      <c r="H326" s="671">
        <f t="shared" si="55"/>
        <v>0</v>
      </c>
      <c r="I326" s="671"/>
      <c r="J326" s="640" t="str">
        <f t="shared" si="59"/>
        <v/>
      </c>
      <c r="K326" s="640"/>
      <c r="L326" s="631" t="str">
        <f t="shared" si="63"/>
        <v/>
      </c>
      <c r="M326" s="631"/>
      <c r="N326" s="631" t="str">
        <f>IF(B326="","",VLOOKUP(TRIM(CONCATENATE($F$20," ",$F$17," ",$F$18," ",$F$22," ",$F$21," ",$F$16," ",$F$23," ",$F$24)),Catalogo_Condicione_Financieras!B:W,22,0)*1.16)</f>
        <v/>
      </c>
      <c r="O326" s="631"/>
      <c r="P326" s="641"/>
      <c r="Q326" s="641"/>
      <c r="R326" s="631"/>
      <c r="S326" s="631"/>
      <c r="T326" s="424" t="str">
        <f>IF(B326="","",'Tabla_Puntual&amp;Relacionamiento'!$B$23)</f>
        <v/>
      </c>
      <c r="U326" s="424"/>
      <c r="V326" s="642" t="str">
        <f t="shared" si="56"/>
        <v/>
      </c>
      <c r="W326" s="642"/>
      <c r="X326" s="642" t="str">
        <f t="shared" si="53"/>
        <v/>
      </c>
      <c r="Y326" s="642"/>
      <c r="AL326" s="420" t="str">
        <f t="shared" si="60"/>
        <v/>
      </c>
      <c r="AM326" s="421">
        <f t="shared" si="64"/>
        <v>0</v>
      </c>
      <c r="AN326" s="637"/>
      <c r="AO326" s="637"/>
      <c r="AP326" s="634"/>
      <c r="AQ326" s="634"/>
      <c r="AR326" s="427"/>
      <c r="AS326" s="522" t="str">
        <f t="shared" si="61"/>
        <v/>
      </c>
    </row>
    <row r="327" spans="2:45" x14ac:dyDescent="0.25">
      <c r="B327" s="426" t="str">
        <f t="shared" si="57"/>
        <v/>
      </c>
      <c r="C327" s="423" t="str">
        <f t="shared" si="58"/>
        <v/>
      </c>
      <c r="D327" s="643" t="str">
        <f t="shared" si="62"/>
        <v/>
      </c>
      <c r="E327" s="643"/>
      <c r="F327" s="643" t="str">
        <f t="shared" si="54"/>
        <v/>
      </c>
      <c r="G327" s="643"/>
      <c r="H327" s="671">
        <f t="shared" si="55"/>
        <v>0</v>
      </c>
      <c r="I327" s="671"/>
      <c r="J327" s="640" t="str">
        <f t="shared" si="59"/>
        <v/>
      </c>
      <c r="K327" s="640"/>
      <c r="L327" s="631" t="str">
        <f t="shared" si="63"/>
        <v/>
      </c>
      <c r="M327" s="631"/>
      <c r="N327" s="631" t="str">
        <f>IF(B327="","",VLOOKUP(TRIM(CONCATENATE($F$20," ",$F$17," ",$F$18," ",$F$22," ",$F$21," ",$F$16," ",$F$23," ",$F$24)),Catalogo_Condicione_Financieras!B:W,22,0)*1.16)</f>
        <v/>
      </c>
      <c r="O327" s="631"/>
      <c r="P327" s="641"/>
      <c r="Q327" s="641"/>
      <c r="R327" s="631" t="str">
        <f>IF(OR(X326=0,X326=""),"",IF($F$21="Apoyo Infonavit",IF(D327&gt;=C327,0,MIN(IF($F$30="",0,Caratula!$F$30),$AL$30*25)*10%),0))</f>
        <v/>
      </c>
      <c r="S327" s="631"/>
      <c r="T327" s="424" t="str">
        <f>IF(B327="","",'Tabla_Puntual&amp;Relacionamiento'!$B$23)</f>
        <v/>
      </c>
      <c r="U327" s="424"/>
      <c r="V327" s="642" t="str">
        <f t="shared" si="56"/>
        <v/>
      </c>
      <c r="W327" s="642"/>
      <c r="X327" s="642" t="str">
        <f t="shared" si="53"/>
        <v/>
      </c>
      <c r="Y327" s="642"/>
      <c r="AL327" s="420" t="str">
        <f t="shared" si="60"/>
        <v/>
      </c>
      <c r="AM327" s="421">
        <f t="shared" si="64"/>
        <v>0</v>
      </c>
      <c r="AN327" s="637"/>
      <c r="AO327" s="637"/>
      <c r="AP327" s="634"/>
      <c r="AQ327" s="634"/>
      <c r="AR327" s="427"/>
      <c r="AS327" s="522" t="str">
        <f t="shared" si="61"/>
        <v/>
      </c>
    </row>
    <row r="328" spans="2:45" x14ac:dyDescent="0.25">
      <c r="B328" s="426" t="str">
        <f t="shared" si="57"/>
        <v/>
      </c>
      <c r="C328" s="423" t="str">
        <f t="shared" si="58"/>
        <v/>
      </c>
      <c r="D328" s="643" t="str">
        <f t="shared" si="62"/>
        <v/>
      </c>
      <c r="E328" s="643"/>
      <c r="F328" s="643" t="str">
        <f t="shared" si="54"/>
        <v/>
      </c>
      <c r="G328" s="643"/>
      <c r="H328" s="671">
        <f t="shared" si="55"/>
        <v>0</v>
      </c>
      <c r="I328" s="671"/>
      <c r="J328" s="640" t="str">
        <f t="shared" si="59"/>
        <v/>
      </c>
      <c r="K328" s="640"/>
      <c r="L328" s="631" t="str">
        <f t="shared" si="63"/>
        <v/>
      </c>
      <c r="M328" s="631"/>
      <c r="N328" s="631" t="str">
        <f>IF(B328="","",VLOOKUP(TRIM(CONCATENATE($F$20," ",$F$17," ",$F$18," ",$F$22," ",$F$21," ",$F$16," ",$F$23," ",$F$24)),Catalogo_Condicione_Financieras!B:W,22,0)*1.16)</f>
        <v/>
      </c>
      <c r="O328" s="631"/>
      <c r="P328" s="641"/>
      <c r="Q328" s="641"/>
      <c r="R328" s="631"/>
      <c r="S328" s="631"/>
      <c r="T328" s="424" t="str">
        <f>IF(B328="","",'Tabla_Puntual&amp;Relacionamiento'!$B$24)</f>
        <v/>
      </c>
      <c r="U328" s="424" t="str">
        <f>IF(B328="","",IF($F$16="Pago_Bajo_Puntual",0.019,""))</f>
        <v/>
      </c>
      <c r="V328" s="642" t="str">
        <f t="shared" si="56"/>
        <v/>
      </c>
      <c r="W328" s="642"/>
      <c r="X328" s="642" t="str">
        <f t="shared" si="53"/>
        <v/>
      </c>
      <c r="Y328" s="642"/>
      <c r="AL328" s="420" t="str">
        <f t="shared" si="60"/>
        <v/>
      </c>
      <c r="AM328" s="421">
        <f t="shared" si="64"/>
        <v>0</v>
      </c>
      <c r="AN328" s="637"/>
      <c r="AO328" s="637"/>
      <c r="AP328" s="634"/>
      <c r="AQ328" s="634"/>
      <c r="AR328" s="427"/>
      <c r="AS328" s="522" t="str">
        <f t="shared" si="61"/>
        <v/>
      </c>
    </row>
    <row r="329" spans="2:45" x14ac:dyDescent="0.25">
      <c r="B329" s="426" t="str">
        <f t="shared" si="57"/>
        <v/>
      </c>
      <c r="C329" s="423" t="str">
        <f t="shared" si="58"/>
        <v/>
      </c>
      <c r="D329" s="643" t="str">
        <f t="shared" si="62"/>
        <v/>
      </c>
      <c r="E329" s="643"/>
      <c r="F329" s="643" t="str">
        <f t="shared" si="54"/>
        <v/>
      </c>
      <c r="G329" s="643"/>
      <c r="H329" s="671">
        <f t="shared" si="55"/>
        <v>0</v>
      </c>
      <c r="I329" s="671"/>
      <c r="J329" s="640" t="str">
        <f t="shared" si="59"/>
        <v/>
      </c>
      <c r="K329" s="640"/>
      <c r="L329" s="631" t="str">
        <f t="shared" si="63"/>
        <v/>
      </c>
      <c r="M329" s="631"/>
      <c r="N329" s="631" t="str">
        <f>IF(B329="","",VLOOKUP(TRIM(CONCATENATE($F$20," ",$F$17," ",$F$18," ",$F$22," ",$F$21," ",$F$16," ",$F$23," ",$F$24)),Catalogo_Condicione_Financieras!B:W,22,0)*1.16)</f>
        <v/>
      </c>
      <c r="O329" s="631"/>
      <c r="P329" s="641"/>
      <c r="Q329" s="641"/>
      <c r="R329" s="631" t="str">
        <f>IF(OR(X328=0,X328=""),"",IF($F$21="Apoyo Infonavit",IF(D329&gt;=C329,0,MIN(IF($F$30="",0,Caratula!$F$30),$AL$30*25)*10%),0))</f>
        <v/>
      </c>
      <c r="S329" s="631"/>
      <c r="T329" s="424" t="str">
        <f>IF(B329="","",'Tabla_Puntual&amp;Relacionamiento'!$B$24)</f>
        <v/>
      </c>
      <c r="U329" s="424"/>
      <c r="V329" s="642" t="str">
        <f t="shared" si="56"/>
        <v/>
      </c>
      <c r="W329" s="642"/>
      <c r="X329" s="642" t="str">
        <f t="shared" si="53"/>
        <v/>
      </c>
      <c r="Y329" s="642"/>
      <c r="AL329" s="420" t="str">
        <f t="shared" si="60"/>
        <v/>
      </c>
      <c r="AM329" s="421">
        <f t="shared" si="64"/>
        <v>0</v>
      </c>
      <c r="AN329" s="637"/>
      <c r="AO329" s="637"/>
      <c r="AP329" s="634"/>
      <c r="AQ329" s="634"/>
      <c r="AR329" s="427"/>
      <c r="AS329" s="522" t="str">
        <f t="shared" si="61"/>
        <v/>
      </c>
    </row>
    <row r="330" spans="2:45" x14ac:dyDescent="0.25">
      <c r="B330" s="426" t="str">
        <f t="shared" si="57"/>
        <v/>
      </c>
      <c r="C330" s="423" t="str">
        <f t="shared" si="58"/>
        <v/>
      </c>
      <c r="D330" s="643" t="str">
        <f t="shared" si="62"/>
        <v/>
      </c>
      <c r="E330" s="643"/>
      <c r="F330" s="643" t="str">
        <f t="shared" si="54"/>
        <v/>
      </c>
      <c r="G330" s="643"/>
      <c r="H330" s="671">
        <f t="shared" si="55"/>
        <v>0</v>
      </c>
      <c r="I330" s="671"/>
      <c r="J330" s="640" t="str">
        <f t="shared" si="59"/>
        <v/>
      </c>
      <c r="K330" s="640"/>
      <c r="L330" s="631" t="str">
        <f t="shared" si="63"/>
        <v/>
      </c>
      <c r="M330" s="631"/>
      <c r="N330" s="631" t="str">
        <f>IF(B330="","",VLOOKUP(TRIM(CONCATENATE($F$20," ",$F$17," ",$F$18," ",$F$22," ",$F$21," ",$F$16," ",$F$23," ",$F$24)),Catalogo_Condicione_Financieras!B:W,22,0)*1.16)</f>
        <v/>
      </c>
      <c r="O330" s="631"/>
      <c r="P330" s="641"/>
      <c r="Q330" s="641"/>
      <c r="R330" s="631"/>
      <c r="S330" s="631"/>
      <c r="T330" s="424" t="str">
        <f>IF(B330="","",'Tabla_Puntual&amp;Relacionamiento'!$B$24)</f>
        <v/>
      </c>
      <c r="U330" s="424"/>
      <c r="V330" s="642" t="str">
        <f t="shared" si="56"/>
        <v/>
      </c>
      <c r="W330" s="642"/>
      <c r="X330" s="642" t="str">
        <f t="shared" si="53"/>
        <v/>
      </c>
      <c r="Y330" s="642"/>
      <c r="AL330" s="420" t="str">
        <f t="shared" si="60"/>
        <v/>
      </c>
      <c r="AM330" s="421">
        <f t="shared" si="64"/>
        <v>0</v>
      </c>
      <c r="AN330" s="637"/>
      <c r="AO330" s="637"/>
      <c r="AP330" s="634"/>
      <c r="AQ330" s="634"/>
      <c r="AR330" s="427"/>
      <c r="AS330" s="522" t="str">
        <f t="shared" si="61"/>
        <v/>
      </c>
    </row>
    <row r="331" spans="2:45" x14ac:dyDescent="0.25">
      <c r="B331" s="426" t="str">
        <f t="shared" si="57"/>
        <v/>
      </c>
      <c r="C331" s="423" t="str">
        <f t="shared" si="58"/>
        <v/>
      </c>
      <c r="D331" s="643" t="str">
        <f t="shared" si="62"/>
        <v/>
      </c>
      <c r="E331" s="643"/>
      <c r="F331" s="643" t="str">
        <f t="shared" si="54"/>
        <v/>
      </c>
      <c r="G331" s="643"/>
      <c r="H331" s="671">
        <f t="shared" si="55"/>
        <v>0</v>
      </c>
      <c r="I331" s="671"/>
      <c r="J331" s="640" t="str">
        <f t="shared" si="59"/>
        <v/>
      </c>
      <c r="K331" s="640"/>
      <c r="L331" s="631" t="str">
        <f t="shared" si="63"/>
        <v/>
      </c>
      <c r="M331" s="631"/>
      <c r="N331" s="631" t="str">
        <f>IF(B331="","",VLOOKUP(TRIM(CONCATENATE($F$20," ",$F$17," ",$F$18," ",$F$22," ",$F$21," ",$F$16," ",$F$23," ",$F$24)),Catalogo_Condicione_Financieras!B:W,22,0)*1.16)</f>
        <v/>
      </c>
      <c r="O331" s="631"/>
      <c r="P331" s="641"/>
      <c r="Q331" s="641"/>
      <c r="R331" s="631" t="str">
        <f>IF(OR(X330=0,X330=""),"",IF($F$21="Apoyo Infonavit",IF(D331&gt;=C331,0,MIN(IF($F$30="",0,Caratula!$F$30),$AL$30*25)*10%),0))</f>
        <v/>
      </c>
      <c r="S331" s="631"/>
      <c r="T331" s="424" t="str">
        <f>IF(B331="","",'Tabla_Puntual&amp;Relacionamiento'!$B$24)</f>
        <v/>
      </c>
      <c r="U331" s="424"/>
      <c r="V331" s="642" t="str">
        <f t="shared" si="56"/>
        <v/>
      </c>
      <c r="W331" s="642"/>
      <c r="X331" s="642" t="str">
        <f t="shared" si="53"/>
        <v/>
      </c>
      <c r="Y331" s="642"/>
      <c r="AL331" s="420" t="str">
        <f t="shared" si="60"/>
        <v/>
      </c>
      <c r="AM331" s="421">
        <f t="shared" si="64"/>
        <v>0</v>
      </c>
      <c r="AN331" s="637"/>
      <c r="AO331" s="637"/>
      <c r="AP331" s="634"/>
      <c r="AQ331" s="634"/>
      <c r="AR331" s="427"/>
      <c r="AS331" s="522" t="str">
        <f t="shared" si="61"/>
        <v/>
      </c>
    </row>
    <row r="332" spans="2:45" x14ac:dyDescent="0.25">
      <c r="B332" s="426" t="str">
        <f t="shared" si="57"/>
        <v/>
      </c>
      <c r="C332" s="423" t="str">
        <f t="shared" si="58"/>
        <v/>
      </c>
      <c r="D332" s="643" t="str">
        <f t="shared" si="62"/>
        <v/>
      </c>
      <c r="E332" s="643"/>
      <c r="F332" s="643" t="str">
        <f t="shared" si="54"/>
        <v/>
      </c>
      <c r="G332" s="643"/>
      <c r="H332" s="671">
        <f t="shared" si="55"/>
        <v>0</v>
      </c>
      <c r="I332" s="671"/>
      <c r="J332" s="640" t="str">
        <f t="shared" si="59"/>
        <v/>
      </c>
      <c r="K332" s="640"/>
      <c r="L332" s="631" t="str">
        <f t="shared" si="63"/>
        <v/>
      </c>
      <c r="M332" s="631"/>
      <c r="N332" s="631" t="str">
        <f>IF(B332="","",VLOOKUP(TRIM(CONCATENATE($F$20," ",$F$17," ",$F$18," ",$F$22," ",$F$21," ",$F$16," ",$F$23," ",$F$24)),Catalogo_Condicione_Financieras!B:W,22,0)*1.16)</f>
        <v/>
      </c>
      <c r="O332" s="631"/>
      <c r="P332" s="641"/>
      <c r="Q332" s="641"/>
      <c r="R332" s="631"/>
      <c r="S332" s="631"/>
      <c r="T332" s="424" t="str">
        <f>IF(B332="","",'Tabla_Puntual&amp;Relacionamiento'!$B$24)</f>
        <v/>
      </c>
      <c r="U332" s="424"/>
      <c r="V332" s="642" t="str">
        <f t="shared" si="56"/>
        <v/>
      </c>
      <c r="W332" s="642"/>
      <c r="X332" s="642" t="str">
        <f t="shared" si="53"/>
        <v/>
      </c>
      <c r="Y332" s="642"/>
      <c r="AL332" s="420" t="str">
        <f t="shared" si="60"/>
        <v/>
      </c>
      <c r="AM332" s="421">
        <f t="shared" si="64"/>
        <v>0</v>
      </c>
      <c r="AN332" s="637"/>
      <c r="AO332" s="637"/>
      <c r="AP332" s="634"/>
      <c r="AQ332" s="634"/>
      <c r="AR332" s="427"/>
      <c r="AS332" s="522" t="str">
        <f t="shared" si="61"/>
        <v/>
      </c>
    </row>
    <row r="333" spans="2:45" x14ac:dyDescent="0.25">
      <c r="B333" s="426" t="str">
        <f t="shared" si="57"/>
        <v/>
      </c>
      <c r="C333" s="423" t="str">
        <f t="shared" si="58"/>
        <v/>
      </c>
      <c r="D333" s="643" t="str">
        <f t="shared" si="62"/>
        <v/>
      </c>
      <c r="E333" s="643"/>
      <c r="F333" s="643" t="str">
        <f t="shared" si="54"/>
        <v/>
      </c>
      <c r="G333" s="643"/>
      <c r="H333" s="671">
        <f t="shared" si="55"/>
        <v>0</v>
      </c>
      <c r="I333" s="671"/>
      <c r="J333" s="640" t="str">
        <f t="shared" si="59"/>
        <v/>
      </c>
      <c r="K333" s="640"/>
      <c r="L333" s="631" t="str">
        <f t="shared" si="63"/>
        <v/>
      </c>
      <c r="M333" s="631"/>
      <c r="N333" s="631" t="str">
        <f>IF(B333="","",VLOOKUP(TRIM(CONCATENATE($F$20," ",$F$17," ",$F$18," ",$F$22," ",$F$21," ",$F$16," ",$F$23," ",$F$24)),Catalogo_Condicione_Financieras!B:W,22,0)*1.16)</f>
        <v/>
      </c>
      <c r="O333" s="631"/>
      <c r="P333" s="641"/>
      <c r="Q333" s="641"/>
      <c r="R333" s="631" t="str">
        <f>IF(OR(X332=0,X332=""),"",IF($F$21="Apoyo Infonavit",IF(D333&gt;=C333,0,MIN(IF($F$30="",0,Caratula!$F$30),$AL$30*25)*10%),0))</f>
        <v/>
      </c>
      <c r="S333" s="631"/>
      <c r="T333" s="424" t="str">
        <f>IF(B333="","",'Tabla_Puntual&amp;Relacionamiento'!$B$24)</f>
        <v/>
      </c>
      <c r="U333" s="424"/>
      <c r="V333" s="642" t="str">
        <f t="shared" si="56"/>
        <v/>
      </c>
      <c r="W333" s="642"/>
      <c r="X333" s="642" t="str">
        <f t="shared" si="53"/>
        <v/>
      </c>
      <c r="Y333" s="642"/>
      <c r="AL333" s="420" t="str">
        <f t="shared" si="60"/>
        <v/>
      </c>
      <c r="AM333" s="421">
        <f t="shared" si="64"/>
        <v>0</v>
      </c>
      <c r="AN333" s="637"/>
      <c r="AO333" s="637"/>
      <c r="AP333" s="634"/>
      <c r="AQ333" s="634"/>
      <c r="AR333" s="427"/>
      <c r="AS333" s="522" t="str">
        <f t="shared" si="61"/>
        <v/>
      </c>
    </row>
    <row r="334" spans="2:45" x14ac:dyDescent="0.25">
      <c r="B334" s="426" t="str">
        <f t="shared" si="57"/>
        <v/>
      </c>
      <c r="C334" s="423" t="str">
        <f t="shared" si="58"/>
        <v/>
      </c>
      <c r="D334" s="643" t="str">
        <f t="shared" si="62"/>
        <v/>
      </c>
      <c r="E334" s="643"/>
      <c r="F334" s="643" t="str">
        <f t="shared" si="54"/>
        <v/>
      </c>
      <c r="G334" s="643"/>
      <c r="H334" s="671">
        <f t="shared" si="55"/>
        <v>0</v>
      </c>
      <c r="I334" s="671"/>
      <c r="J334" s="640" t="str">
        <f t="shared" si="59"/>
        <v/>
      </c>
      <c r="K334" s="640"/>
      <c r="L334" s="631" t="str">
        <f t="shared" si="63"/>
        <v/>
      </c>
      <c r="M334" s="631"/>
      <c r="N334" s="631" t="str">
        <f>IF(B334="","",VLOOKUP(TRIM(CONCATENATE($F$20," ",$F$17," ",$F$18," ",$F$22," ",$F$21," ",$F$16," ",$F$23," ",$F$24)),Catalogo_Condicione_Financieras!B:W,22,0)*1.16)</f>
        <v/>
      </c>
      <c r="O334" s="631"/>
      <c r="P334" s="641"/>
      <c r="Q334" s="641"/>
      <c r="R334" s="631"/>
      <c r="S334" s="631"/>
      <c r="T334" s="424" t="str">
        <f>IF(B334="","",'Tabla_Puntual&amp;Relacionamiento'!$B$24)</f>
        <v/>
      </c>
      <c r="U334" s="424"/>
      <c r="V334" s="642" t="str">
        <f t="shared" si="56"/>
        <v/>
      </c>
      <c r="W334" s="642"/>
      <c r="X334" s="642" t="str">
        <f t="shared" si="53"/>
        <v/>
      </c>
      <c r="Y334" s="642"/>
      <c r="AL334" s="420" t="str">
        <f t="shared" si="60"/>
        <v/>
      </c>
      <c r="AM334" s="421">
        <f t="shared" si="64"/>
        <v>0</v>
      </c>
      <c r="AN334" s="637"/>
      <c r="AO334" s="637"/>
      <c r="AP334" s="634"/>
      <c r="AQ334" s="634"/>
      <c r="AR334" s="427"/>
      <c r="AS334" s="522" t="str">
        <f t="shared" si="61"/>
        <v/>
      </c>
    </row>
    <row r="335" spans="2:45" x14ac:dyDescent="0.25">
      <c r="B335" s="426" t="str">
        <f t="shared" si="57"/>
        <v/>
      </c>
      <c r="C335" s="423" t="str">
        <f t="shared" si="58"/>
        <v/>
      </c>
      <c r="D335" s="643" t="str">
        <f t="shared" si="62"/>
        <v/>
      </c>
      <c r="E335" s="643"/>
      <c r="F335" s="643" t="str">
        <f t="shared" si="54"/>
        <v/>
      </c>
      <c r="G335" s="643"/>
      <c r="H335" s="671">
        <f t="shared" si="55"/>
        <v>0</v>
      </c>
      <c r="I335" s="671"/>
      <c r="J335" s="640" t="str">
        <f t="shared" si="59"/>
        <v/>
      </c>
      <c r="K335" s="640"/>
      <c r="L335" s="631" t="str">
        <f t="shared" si="63"/>
        <v/>
      </c>
      <c r="M335" s="631"/>
      <c r="N335" s="631" t="str">
        <f>IF(B335="","",VLOOKUP(TRIM(CONCATENATE($F$20," ",$F$17," ",$F$18," ",$F$22," ",$F$21," ",$F$16," ",$F$23," ",$F$24)),Catalogo_Condicione_Financieras!B:W,22,0)*1.16)</f>
        <v/>
      </c>
      <c r="O335" s="631"/>
      <c r="P335" s="641"/>
      <c r="Q335" s="641"/>
      <c r="R335" s="631" t="str">
        <f>IF(OR(X334=0,X334=""),"",IF($F$21="Apoyo Infonavit",IF(D335&gt;=C335,0,MIN(IF($F$30="",0,Caratula!$F$30),$AL$30*25)*10%),0))</f>
        <v/>
      </c>
      <c r="S335" s="631"/>
      <c r="T335" s="424" t="str">
        <f>IF(B335="","",'Tabla_Puntual&amp;Relacionamiento'!$B$24)</f>
        <v/>
      </c>
      <c r="U335" s="424"/>
      <c r="V335" s="642" t="str">
        <f t="shared" si="56"/>
        <v/>
      </c>
      <c r="W335" s="642"/>
      <c r="X335" s="642" t="str">
        <f t="shared" si="53"/>
        <v/>
      </c>
      <c r="Y335" s="642"/>
      <c r="AL335" s="420" t="str">
        <f t="shared" si="60"/>
        <v/>
      </c>
      <c r="AM335" s="421">
        <f t="shared" si="64"/>
        <v>0</v>
      </c>
      <c r="AN335" s="637"/>
      <c r="AO335" s="637"/>
      <c r="AP335" s="634"/>
      <c r="AQ335" s="634"/>
      <c r="AR335" s="427"/>
      <c r="AS335" s="522" t="str">
        <f t="shared" si="61"/>
        <v/>
      </c>
    </row>
    <row r="336" spans="2:45" x14ac:dyDescent="0.25">
      <c r="B336" s="426" t="str">
        <f t="shared" si="57"/>
        <v/>
      </c>
      <c r="C336" s="423" t="str">
        <f t="shared" si="58"/>
        <v/>
      </c>
      <c r="D336" s="643" t="str">
        <f t="shared" si="62"/>
        <v/>
      </c>
      <c r="E336" s="643"/>
      <c r="F336" s="643" t="str">
        <f t="shared" si="54"/>
        <v/>
      </c>
      <c r="G336" s="643"/>
      <c r="H336" s="671">
        <f t="shared" si="55"/>
        <v>0</v>
      </c>
      <c r="I336" s="671"/>
      <c r="J336" s="640" t="str">
        <f t="shared" si="59"/>
        <v/>
      </c>
      <c r="K336" s="640"/>
      <c r="L336" s="631" t="str">
        <f t="shared" si="63"/>
        <v/>
      </c>
      <c r="M336" s="631"/>
      <c r="N336" s="631" t="str">
        <f>IF(B336="","",VLOOKUP(TRIM(CONCATENATE($F$20," ",$F$17," ",$F$18," ",$F$22," ",$F$21," ",$F$16," ",$F$23," ",$F$24)),Catalogo_Condicione_Financieras!B:W,22,0)*1.16)</f>
        <v/>
      </c>
      <c r="O336" s="631"/>
      <c r="P336" s="641"/>
      <c r="Q336" s="641"/>
      <c r="R336" s="631"/>
      <c r="S336" s="631"/>
      <c r="T336" s="424" t="str">
        <f>IF(B336="","",'Tabla_Puntual&amp;Relacionamiento'!$B$24)</f>
        <v/>
      </c>
      <c r="U336" s="424"/>
      <c r="V336" s="642" t="str">
        <f t="shared" si="56"/>
        <v/>
      </c>
      <c r="W336" s="642"/>
      <c r="X336" s="642" t="str">
        <f t="shared" si="53"/>
        <v/>
      </c>
      <c r="Y336" s="642"/>
      <c r="AL336" s="420" t="str">
        <f t="shared" si="60"/>
        <v/>
      </c>
      <c r="AM336" s="421">
        <f t="shared" si="64"/>
        <v>0</v>
      </c>
      <c r="AN336" s="637"/>
      <c r="AO336" s="637"/>
      <c r="AP336" s="634"/>
      <c r="AQ336" s="634"/>
      <c r="AR336" s="427"/>
      <c r="AS336" s="522" t="str">
        <f t="shared" si="61"/>
        <v/>
      </c>
    </row>
    <row r="337" spans="2:45" x14ac:dyDescent="0.25">
      <c r="B337" s="426" t="str">
        <f t="shared" si="57"/>
        <v/>
      </c>
      <c r="C337" s="423" t="str">
        <f t="shared" si="58"/>
        <v/>
      </c>
      <c r="D337" s="643" t="str">
        <f t="shared" si="62"/>
        <v/>
      </c>
      <c r="E337" s="643"/>
      <c r="F337" s="643" t="str">
        <f t="shared" si="54"/>
        <v/>
      </c>
      <c r="G337" s="643"/>
      <c r="H337" s="671">
        <f t="shared" si="55"/>
        <v>0</v>
      </c>
      <c r="I337" s="671"/>
      <c r="J337" s="640" t="str">
        <f t="shared" si="59"/>
        <v/>
      </c>
      <c r="K337" s="640"/>
      <c r="L337" s="631" t="str">
        <f t="shared" si="63"/>
        <v/>
      </c>
      <c r="M337" s="631"/>
      <c r="N337" s="631" t="str">
        <f>IF(B337="","",VLOOKUP(TRIM(CONCATENATE($F$20," ",$F$17," ",$F$18," ",$F$22," ",$F$21," ",$F$16," ",$F$23," ",$F$24)),Catalogo_Condicione_Financieras!B:W,22,0)*1.16)</f>
        <v/>
      </c>
      <c r="O337" s="631"/>
      <c r="P337" s="641"/>
      <c r="Q337" s="641"/>
      <c r="R337" s="631" t="str">
        <f>IF(OR(X336=0,X336=""),"",IF($F$21="Apoyo Infonavit",IF(D337&gt;=C337,0,MIN(IF($F$30="",0,Caratula!$F$30),$AL$30*25)*10%),0))</f>
        <v/>
      </c>
      <c r="S337" s="631"/>
      <c r="T337" s="424" t="str">
        <f>IF(B337="","",'Tabla_Puntual&amp;Relacionamiento'!$B$24)</f>
        <v/>
      </c>
      <c r="U337" s="424"/>
      <c r="V337" s="642" t="str">
        <f t="shared" si="56"/>
        <v/>
      </c>
      <c r="W337" s="642"/>
      <c r="X337" s="642" t="str">
        <f t="shared" si="53"/>
        <v/>
      </c>
      <c r="Y337" s="642"/>
      <c r="AL337" s="420" t="str">
        <f t="shared" si="60"/>
        <v/>
      </c>
      <c r="AM337" s="421">
        <f t="shared" si="64"/>
        <v>0</v>
      </c>
      <c r="AN337" s="637"/>
      <c r="AO337" s="637"/>
      <c r="AP337" s="634"/>
      <c r="AQ337" s="634"/>
      <c r="AR337" s="427"/>
      <c r="AS337" s="522" t="str">
        <f t="shared" si="61"/>
        <v/>
      </c>
    </row>
    <row r="338" spans="2:45" x14ac:dyDescent="0.25">
      <c r="B338" s="426" t="str">
        <f t="shared" si="57"/>
        <v/>
      </c>
      <c r="C338" s="423" t="str">
        <f t="shared" si="58"/>
        <v/>
      </c>
      <c r="D338" s="643" t="str">
        <f t="shared" si="62"/>
        <v/>
      </c>
      <c r="E338" s="643"/>
      <c r="F338" s="643" t="str">
        <f t="shared" si="54"/>
        <v/>
      </c>
      <c r="G338" s="643"/>
      <c r="H338" s="671">
        <f t="shared" si="55"/>
        <v>0</v>
      </c>
      <c r="I338" s="671"/>
      <c r="J338" s="640" t="str">
        <f t="shared" si="59"/>
        <v/>
      </c>
      <c r="K338" s="640"/>
      <c r="L338" s="631" t="str">
        <f t="shared" si="63"/>
        <v/>
      </c>
      <c r="M338" s="631"/>
      <c r="N338" s="631" t="str">
        <f>IF(B338="","",VLOOKUP(TRIM(CONCATENATE($F$20," ",$F$17," ",$F$18," ",$F$22," ",$F$21," ",$F$16," ",$F$23," ",$F$24)),Catalogo_Condicione_Financieras!B:W,22,0)*1.16)</f>
        <v/>
      </c>
      <c r="O338" s="631"/>
      <c r="P338" s="641"/>
      <c r="Q338" s="641"/>
      <c r="R338" s="631"/>
      <c r="S338" s="631"/>
      <c r="T338" s="424" t="str">
        <f>IF(B338="","",'Tabla_Puntual&amp;Relacionamiento'!$B$24)</f>
        <v/>
      </c>
      <c r="U338" s="424"/>
      <c r="V338" s="642" t="str">
        <f t="shared" si="56"/>
        <v/>
      </c>
      <c r="W338" s="642"/>
      <c r="X338" s="642" t="str">
        <f t="shared" si="53"/>
        <v/>
      </c>
      <c r="Y338" s="642"/>
      <c r="AL338" s="420" t="str">
        <f t="shared" si="60"/>
        <v/>
      </c>
      <c r="AM338" s="421">
        <f t="shared" si="64"/>
        <v>0</v>
      </c>
      <c r="AN338" s="637"/>
      <c r="AO338" s="637"/>
      <c r="AP338" s="634"/>
      <c r="AQ338" s="634"/>
      <c r="AR338" s="427"/>
      <c r="AS338" s="522" t="str">
        <f t="shared" si="61"/>
        <v/>
      </c>
    </row>
    <row r="339" spans="2:45" x14ac:dyDescent="0.25">
      <c r="B339" s="426" t="str">
        <f t="shared" si="57"/>
        <v/>
      </c>
      <c r="C339" s="423" t="str">
        <f t="shared" si="58"/>
        <v/>
      </c>
      <c r="D339" s="643" t="str">
        <f t="shared" si="62"/>
        <v/>
      </c>
      <c r="E339" s="643"/>
      <c r="F339" s="643" t="str">
        <f t="shared" si="54"/>
        <v/>
      </c>
      <c r="G339" s="643"/>
      <c r="H339" s="671">
        <f t="shared" si="55"/>
        <v>0</v>
      </c>
      <c r="I339" s="671"/>
      <c r="J339" s="640" t="str">
        <f t="shared" si="59"/>
        <v/>
      </c>
      <c r="K339" s="640"/>
      <c r="L339" s="631" t="str">
        <f t="shared" si="63"/>
        <v/>
      </c>
      <c r="M339" s="631"/>
      <c r="N339" s="631" t="str">
        <f>IF(B339="","",VLOOKUP(TRIM(CONCATENATE($F$20," ",$F$17," ",$F$18," ",$F$22," ",$F$21," ",$F$16," ",$F$23," ",$F$24)),Catalogo_Condicione_Financieras!B:W,22,0)*1.16)</f>
        <v/>
      </c>
      <c r="O339" s="631"/>
      <c r="P339" s="641"/>
      <c r="Q339" s="641"/>
      <c r="R339" s="631" t="str">
        <f>IF(OR(X338=0,X338=""),"",IF($F$21="Apoyo Infonavit",IF(D339&gt;=C339,0,MIN(IF($F$30="",0,Caratula!$F$30),$AL$30*25)*10%),0))</f>
        <v/>
      </c>
      <c r="S339" s="631"/>
      <c r="T339" s="424" t="str">
        <f>IF(B339="","",'Tabla_Puntual&amp;Relacionamiento'!$B$24)</f>
        <v/>
      </c>
      <c r="U339" s="424"/>
      <c r="V339" s="642" t="str">
        <f t="shared" si="56"/>
        <v/>
      </c>
      <c r="W339" s="642"/>
      <c r="X339" s="642" t="str">
        <f t="shared" si="53"/>
        <v/>
      </c>
      <c r="Y339" s="642"/>
      <c r="AL339" s="420" t="str">
        <f t="shared" si="60"/>
        <v/>
      </c>
      <c r="AM339" s="421">
        <f t="shared" si="64"/>
        <v>0</v>
      </c>
      <c r="AN339" s="637"/>
      <c r="AO339" s="637"/>
      <c r="AP339" s="634"/>
      <c r="AQ339" s="634"/>
      <c r="AR339" s="427"/>
      <c r="AS339" s="522" t="str">
        <f t="shared" si="61"/>
        <v/>
      </c>
    </row>
    <row r="340" spans="2:45" x14ac:dyDescent="0.25">
      <c r="B340" s="426" t="str">
        <f t="shared" si="57"/>
        <v/>
      </c>
      <c r="C340" s="423" t="str">
        <f t="shared" si="58"/>
        <v/>
      </c>
      <c r="D340" s="643" t="str">
        <f t="shared" si="62"/>
        <v/>
      </c>
      <c r="E340" s="643"/>
      <c r="F340" s="643" t="str">
        <f t="shared" si="54"/>
        <v/>
      </c>
      <c r="G340" s="643"/>
      <c r="H340" s="671">
        <f t="shared" si="55"/>
        <v>0</v>
      </c>
      <c r="I340" s="671"/>
      <c r="J340" s="640" t="str">
        <f t="shared" si="59"/>
        <v/>
      </c>
      <c r="K340" s="640"/>
      <c r="L340" s="631" t="str">
        <f t="shared" si="63"/>
        <v/>
      </c>
      <c r="M340" s="631"/>
      <c r="N340" s="631" t="str">
        <f>IF(B340="","",VLOOKUP(TRIM(CONCATENATE($F$20," ",$F$17," ",$F$18," ",$F$22," ",$F$21," ",$F$16," ",$F$23," ",$F$24)),Catalogo_Condicione_Financieras!B:W,22,0)*1.16)</f>
        <v/>
      </c>
      <c r="O340" s="631"/>
      <c r="P340" s="641"/>
      <c r="Q340" s="641"/>
      <c r="R340" s="631"/>
      <c r="S340" s="631"/>
      <c r="T340" s="424" t="str">
        <f>IF(B340="","",'Tabla_Puntual&amp;Relacionamiento'!$B$25)</f>
        <v/>
      </c>
      <c r="U340" s="424" t="str">
        <f>IF(B340="","",IF($F$16="Pago_Bajo_Puntual",0.019,""))</f>
        <v/>
      </c>
      <c r="V340" s="642" t="str">
        <f t="shared" si="56"/>
        <v/>
      </c>
      <c r="W340" s="642"/>
      <c r="X340" s="642" t="str">
        <f t="shared" si="53"/>
        <v/>
      </c>
      <c r="Y340" s="642"/>
      <c r="AL340" s="420" t="str">
        <f t="shared" si="60"/>
        <v/>
      </c>
      <c r="AM340" s="421">
        <f t="shared" si="64"/>
        <v>0</v>
      </c>
      <c r="AN340" s="637"/>
      <c r="AO340" s="637"/>
      <c r="AP340" s="634"/>
      <c r="AQ340" s="634"/>
      <c r="AR340" s="427"/>
      <c r="AS340" s="522" t="str">
        <f t="shared" si="61"/>
        <v/>
      </c>
    </row>
    <row r="341" spans="2:45" x14ac:dyDescent="0.25">
      <c r="B341" s="426" t="str">
        <f t="shared" si="57"/>
        <v/>
      </c>
      <c r="C341" s="423" t="str">
        <f t="shared" si="58"/>
        <v/>
      </c>
      <c r="D341" s="643" t="str">
        <f t="shared" si="62"/>
        <v/>
      </c>
      <c r="E341" s="643"/>
      <c r="F341" s="643" t="str">
        <f t="shared" si="54"/>
        <v/>
      </c>
      <c r="G341" s="643"/>
      <c r="H341" s="671">
        <f t="shared" si="55"/>
        <v>0</v>
      </c>
      <c r="I341" s="671"/>
      <c r="J341" s="640" t="str">
        <f t="shared" si="59"/>
        <v/>
      </c>
      <c r="K341" s="640"/>
      <c r="L341" s="631" t="str">
        <f t="shared" si="63"/>
        <v/>
      </c>
      <c r="M341" s="631"/>
      <c r="N341" s="631" t="str">
        <f>IF(B341="","",VLOOKUP(TRIM(CONCATENATE($F$20," ",$F$17," ",$F$18," ",$F$22," ",$F$21," ",$F$16," ",$F$23," ",$F$24)),Catalogo_Condicione_Financieras!B:W,22,0)*1.16)</f>
        <v/>
      </c>
      <c r="O341" s="631"/>
      <c r="P341" s="641"/>
      <c r="Q341" s="641"/>
      <c r="R341" s="631" t="str">
        <f>IF(OR(X340=0,X340=""),"",IF($F$21="Apoyo Infonavit",IF(D341&gt;=C341,0,MIN(IF($F$30="",0,Caratula!$F$30),$AL$30*25)*10%),0))</f>
        <v/>
      </c>
      <c r="S341" s="631"/>
      <c r="T341" s="424" t="str">
        <f>IF(B341="","",'Tabla_Puntual&amp;Relacionamiento'!$B$25)</f>
        <v/>
      </c>
      <c r="U341" s="424"/>
      <c r="V341" s="642" t="str">
        <f t="shared" si="56"/>
        <v/>
      </c>
      <c r="W341" s="642"/>
      <c r="X341" s="642" t="str">
        <f t="shared" si="53"/>
        <v/>
      </c>
      <c r="Y341" s="642"/>
      <c r="AL341" s="420" t="str">
        <f t="shared" si="60"/>
        <v/>
      </c>
      <c r="AM341" s="421">
        <f t="shared" si="64"/>
        <v>0</v>
      </c>
      <c r="AN341" s="637"/>
      <c r="AO341" s="637"/>
      <c r="AP341" s="634"/>
      <c r="AQ341" s="634"/>
      <c r="AR341" s="427"/>
      <c r="AS341" s="522" t="str">
        <f t="shared" si="61"/>
        <v/>
      </c>
    </row>
    <row r="342" spans="2:45" x14ac:dyDescent="0.25">
      <c r="B342" s="426" t="str">
        <f t="shared" si="57"/>
        <v/>
      </c>
      <c r="C342" s="423" t="str">
        <f t="shared" si="58"/>
        <v/>
      </c>
      <c r="D342" s="643" t="str">
        <f t="shared" si="62"/>
        <v/>
      </c>
      <c r="E342" s="643"/>
      <c r="F342" s="643" t="str">
        <f t="shared" si="54"/>
        <v/>
      </c>
      <c r="G342" s="643"/>
      <c r="H342" s="671">
        <f t="shared" si="55"/>
        <v>0</v>
      </c>
      <c r="I342" s="671"/>
      <c r="J342" s="640" t="str">
        <f t="shared" si="59"/>
        <v/>
      </c>
      <c r="K342" s="640"/>
      <c r="L342" s="631" t="str">
        <f t="shared" si="63"/>
        <v/>
      </c>
      <c r="M342" s="631"/>
      <c r="N342" s="631" t="str">
        <f>IF(B342="","",VLOOKUP(TRIM(CONCATENATE($F$20," ",$F$17," ",$F$18," ",$F$22," ",$F$21," ",$F$16," ",$F$23," ",$F$24)),Catalogo_Condicione_Financieras!B:W,22,0)*1.16)</f>
        <v/>
      </c>
      <c r="O342" s="631"/>
      <c r="P342" s="641"/>
      <c r="Q342" s="641"/>
      <c r="R342" s="631"/>
      <c r="S342" s="631"/>
      <c r="T342" s="424" t="str">
        <f>IF(B342="","",'Tabla_Puntual&amp;Relacionamiento'!$B$25)</f>
        <v/>
      </c>
      <c r="U342" s="424"/>
      <c r="V342" s="642" t="str">
        <f t="shared" si="56"/>
        <v/>
      </c>
      <c r="W342" s="642"/>
      <c r="X342" s="642" t="str">
        <f t="shared" si="53"/>
        <v/>
      </c>
      <c r="Y342" s="642"/>
      <c r="AL342" s="420" t="str">
        <f t="shared" si="60"/>
        <v/>
      </c>
      <c r="AM342" s="421">
        <f t="shared" si="64"/>
        <v>0</v>
      </c>
      <c r="AN342" s="637"/>
      <c r="AO342" s="637"/>
      <c r="AP342" s="634"/>
      <c r="AQ342" s="634"/>
      <c r="AR342" s="427"/>
      <c r="AS342" s="522" t="str">
        <f t="shared" si="61"/>
        <v/>
      </c>
    </row>
    <row r="343" spans="2:45" x14ac:dyDescent="0.25">
      <c r="B343" s="426" t="str">
        <f t="shared" si="57"/>
        <v/>
      </c>
      <c r="C343" s="423" t="str">
        <f t="shared" si="58"/>
        <v/>
      </c>
      <c r="D343" s="643" t="str">
        <f t="shared" si="62"/>
        <v/>
      </c>
      <c r="E343" s="643"/>
      <c r="F343" s="643" t="str">
        <f t="shared" si="54"/>
        <v/>
      </c>
      <c r="G343" s="643"/>
      <c r="H343" s="671">
        <f t="shared" si="55"/>
        <v>0</v>
      </c>
      <c r="I343" s="671"/>
      <c r="J343" s="640" t="str">
        <f t="shared" si="59"/>
        <v/>
      </c>
      <c r="K343" s="640"/>
      <c r="L343" s="631" t="str">
        <f t="shared" si="63"/>
        <v/>
      </c>
      <c r="M343" s="631"/>
      <c r="N343" s="631" t="str">
        <f>IF(B343="","",VLOOKUP(TRIM(CONCATENATE($F$20," ",$F$17," ",$F$18," ",$F$22," ",$F$21," ",$F$16," ",$F$23," ",$F$24)),Catalogo_Condicione_Financieras!B:W,22,0)*1.16)</f>
        <v/>
      </c>
      <c r="O343" s="631"/>
      <c r="P343" s="641"/>
      <c r="Q343" s="641"/>
      <c r="R343" s="631" t="str">
        <f>IF(OR(X342=0,X342=""),"",IF($F$21="Apoyo Infonavit",IF(D343&gt;=C343,0,MIN(IF($F$30="",0,Caratula!$F$30),$AL$30*25)*10%),0))</f>
        <v/>
      </c>
      <c r="S343" s="631"/>
      <c r="T343" s="424" t="str">
        <f>IF(B343="","",'Tabla_Puntual&amp;Relacionamiento'!$B$25)</f>
        <v/>
      </c>
      <c r="U343" s="424"/>
      <c r="V343" s="642" t="str">
        <f t="shared" si="56"/>
        <v/>
      </c>
      <c r="W343" s="642"/>
      <c r="X343" s="642" t="str">
        <f t="shared" si="53"/>
        <v/>
      </c>
      <c r="Y343" s="642"/>
      <c r="AL343" s="420" t="str">
        <f t="shared" si="60"/>
        <v/>
      </c>
      <c r="AM343" s="421">
        <f t="shared" si="64"/>
        <v>0</v>
      </c>
      <c r="AN343" s="637"/>
      <c r="AO343" s="637"/>
      <c r="AP343" s="634"/>
      <c r="AQ343" s="634"/>
      <c r="AR343" s="427"/>
      <c r="AS343" s="522" t="str">
        <f t="shared" si="61"/>
        <v/>
      </c>
    </row>
    <row r="344" spans="2:45" x14ac:dyDescent="0.25">
      <c r="B344" s="426" t="str">
        <f t="shared" si="57"/>
        <v/>
      </c>
      <c r="C344" s="423" t="str">
        <f t="shared" si="58"/>
        <v/>
      </c>
      <c r="D344" s="643" t="str">
        <f t="shared" si="62"/>
        <v/>
      </c>
      <c r="E344" s="643"/>
      <c r="F344" s="643" t="str">
        <f t="shared" si="54"/>
        <v/>
      </c>
      <c r="G344" s="643"/>
      <c r="H344" s="671">
        <f t="shared" si="55"/>
        <v>0</v>
      </c>
      <c r="I344" s="671"/>
      <c r="J344" s="640" t="str">
        <f t="shared" si="59"/>
        <v/>
      </c>
      <c r="K344" s="640"/>
      <c r="L344" s="631" t="str">
        <f t="shared" si="63"/>
        <v/>
      </c>
      <c r="M344" s="631"/>
      <c r="N344" s="631" t="str">
        <f>IF(B344="","",VLOOKUP(TRIM(CONCATENATE($F$20," ",$F$17," ",$F$18," ",$F$22," ",$F$21," ",$F$16," ",$F$23," ",$F$24)),Catalogo_Condicione_Financieras!B:W,22,0)*1.16)</f>
        <v/>
      </c>
      <c r="O344" s="631"/>
      <c r="P344" s="641"/>
      <c r="Q344" s="641"/>
      <c r="R344" s="631"/>
      <c r="S344" s="631"/>
      <c r="T344" s="424" t="str">
        <f>IF(B344="","",'Tabla_Puntual&amp;Relacionamiento'!$B$25)</f>
        <v/>
      </c>
      <c r="U344" s="424"/>
      <c r="V344" s="642" t="str">
        <f t="shared" si="56"/>
        <v/>
      </c>
      <c r="W344" s="642"/>
      <c r="X344" s="642" t="str">
        <f t="shared" si="53"/>
        <v/>
      </c>
      <c r="Y344" s="642"/>
      <c r="AL344" s="420" t="str">
        <f t="shared" si="60"/>
        <v/>
      </c>
      <c r="AM344" s="421">
        <f t="shared" si="64"/>
        <v>0</v>
      </c>
      <c r="AN344" s="637"/>
      <c r="AO344" s="637"/>
      <c r="AP344" s="634"/>
      <c r="AQ344" s="634"/>
      <c r="AR344" s="427"/>
      <c r="AS344" s="522" t="str">
        <f t="shared" si="61"/>
        <v/>
      </c>
    </row>
    <row r="345" spans="2:45" x14ac:dyDescent="0.25">
      <c r="B345" s="426" t="str">
        <f t="shared" si="57"/>
        <v/>
      </c>
      <c r="C345" s="423" t="str">
        <f t="shared" si="58"/>
        <v/>
      </c>
      <c r="D345" s="643" t="str">
        <f t="shared" si="62"/>
        <v/>
      </c>
      <c r="E345" s="643"/>
      <c r="F345" s="643" t="str">
        <f t="shared" si="54"/>
        <v/>
      </c>
      <c r="G345" s="643"/>
      <c r="H345" s="671">
        <f t="shared" si="55"/>
        <v>0</v>
      </c>
      <c r="I345" s="671"/>
      <c r="J345" s="640" t="str">
        <f t="shared" si="59"/>
        <v/>
      </c>
      <c r="K345" s="640"/>
      <c r="L345" s="631" t="str">
        <f t="shared" si="63"/>
        <v/>
      </c>
      <c r="M345" s="631"/>
      <c r="N345" s="631" t="str">
        <f>IF(B345="","",VLOOKUP(TRIM(CONCATENATE($F$20," ",$F$17," ",$F$18," ",$F$22," ",$F$21," ",$F$16," ",$F$23," ",$F$24)),Catalogo_Condicione_Financieras!B:W,22,0)*1.16)</f>
        <v/>
      </c>
      <c r="O345" s="631"/>
      <c r="P345" s="641"/>
      <c r="Q345" s="641"/>
      <c r="R345" s="631" t="str">
        <f>IF(OR(X344=0,X344=""),"",IF($F$21="Apoyo Infonavit",IF(D345&gt;=C345,0,MIN(IF($F$30="",0,Caratula!$F$30),$AL$30*25)*10%),0))</f>
        <v/>
      </c>
      <c r="S345" s="631"/>
      <c r="T345" s="424" t="str">
        <f>IF(B345="","",'Tabla_Puntual&amp;Relacionamiento'!$B$25)</f>
        <v/>
      </c>
      <c r="U345" s="424"/>
      <c r="V345" s="642" t="str">
        <f t="shared" si="56"/>
        <v/>
      </c>
      <c r="W345" s="642"/>
      <c r="X345" s="642" t="str">
        <f t="shared" si="53"/>
        <v/>
      </c>
      <c r="Y345" s="642"/>
      <c r="AL345" s="420" t="str">
        <f t="shared" si="60"/>
        <v/>
      </c>
      <c r="AM345" s="421">
        <f t="shared" si="64"/>
        <v>0</v>
      </c>
      <c r="AN345" s="637"/>
      <c r="AO345" s="637"/>
      <c r="AP345" s="634"/>
      <c r="AQ345" s="634"/>
      <c r="AR345" s="427"/>
      <c r="AS345" s="522" t="str">
        <f t="shared" si="61"/>
        <v/>
      </c>
    </row>
    <row r="346" spans="2:45" x14ac:dyDescent="0.25">
      <c r="B346" s="426" t="str">
        <f t="shared" si="57"/>
        <v/>
      </c>
      <c r="C346" s="423" t="str">
        <f t="shared" si="58"/>
        <v/>
      </c>
      <c r="D346" s="643" t="str">
        <f t="shared" si="62"/>
        <v/>
      </c>
      <c r="E346" s="643"/>
      <c r="F346" s="643" t="str">
        <f t="shared" si="54"/>
        <v/>
      </c>
      <c r="G346" s="643"/>
      <c r="H346" s="671">
        <f t="shared" si="55"/>
        <v>0</v>
      </c>
      <c r="I346" s="671"/>
      <c r="J346" s="640" t="str">
        <f t="shared" si="59"/>
        <v/>
      </c>
      <c r="K346" s="640"/>
      <c r="L346" s="631" t="str">
        <f t="shared" si="63"/>
        <v/>
      </c>
      <c r="M346" s="631"/>
      <c r="N346" s="631" t="str">
        <f>IF(B346="","",VLOOKUP(TRIM(CONCATENATE($F$20," ",$F$17," ",$F$18," ",$F$22," ",$F$21," ",$F$16," ",$F$23," ",$F$24)),Catalogo_Condicione_Financieras!B:W,22,0)*1.16)</f>
        <v/>
      </c>
      <c r="O346" s="631"/>
      <c r="P346" s="641"/>
      <c r="Q346" s="641"/>
      <c r="R346" s="631"/>
      <c r="S346" s="631"/>
      <c r="T346" s="424" t="str">
        <f>IF(B346="","",'Tabla_Puntual&amp;Relacionamiento'!$B$25)</f>
        <v/>
      </c>
      <c r="U346" s="424"/>
      <c r="V346" s="642" t="str">
        <f t="shared" si="56"/>
        <v/>
      </c>
      <c r="W346" s="642"/>
      <c r="X346" s="642" t="str">
        <f t="shared" si="53"/>
        <v/>
      </c>
      <c r="Y346" s="642"/>
      <c r="AL346" s="420" t="str">
        <f t="shared" si="60"/>
        <v/>
      </c>
      <c r="AM346" s="421">
        <f t="shared" si="64"/>
        <v>0</v>
      </c>
      <c r="AN346" s="637"/>
      <c r="AO346" s="637"/>
      <c r="AP346" s="634"/>
      <c r="AQ346" s="634"/>
      <c r="AR346" s="427"/>
      <c r="AS346" s="522" t="str">
        <f t="shared" si="61"/>
        <v/>
      </c>
    </row>
    <row r="347" spans="2:45" x14ac:dyDescent="0.25">
      <c r="B347" s="426" t="str">
        <f t="shared" si="57"/>
        <v/>
      </c>
      <c r="C347" s="423" t="str">
        <f t="shared" si="58"/>
        <v/>
      </c>
      <c r="D347" s="643" t="str">
        <f t="shared" si="62"/>
        <v/>
      </c>
      <c r="E347" s="643"/>
      <c r="F347" s="643" t="str">
        <f t="shared" si="54"/>
        <v/>
      </c>
      <c r="G347" s="643"/>
      <c r="H347" s="671">
        <f t="shared" si="55"/>
        <v>0</v>
      </c>
      <c r="I347" s="671"/>
      <c r="J347" s="640" t="str">
        <f t="shared" si="59"/>
        <v/>
      </c>
      <c r="K347" s="640"/>
      <c r="L347" s="631" t="str">
        <f t="shared" si="63"/>
        <v/>
      </c>
      <c r="M347" s="631"/>
      <c r="N347" s="631" t="str">
        <f>IF(B347="","",VLOOKUP(TRIM(CONCATENATE($F$20," ",$F$17," ",$F$18," ",$F$22," ",$F$21," ",$F$16," ",$F$23," ",$F$24)),Catalogo_Condicione_Financieras!B:W,22,0)*1.16)</f>
        <v/>
      </c>
      <c r="O347" s="631"/>
      <c r="P347" s="641"/>
      <c r="Q347" s="641"/>
      <c r="R347" s="631" t="str">
        <f>IF(OR(X346=0,X346=""),"",IF($F$21="Apoyo Infonavit",IF(D347&gt;=C347,0,MIN(IF($F$30="",0,Caratula!$F$30),$AL$30*25)*10%),0))</f>
        <v/>
      </c>
      <c r="S347" s="631"/>
      <c r="T347" s="424" t="str">
        <f>IF(B347="","",'Tabla_Puntual&amp;Relacionamiento'!$B$25)</f>
        <v/>
      </c>
      <c r="U347" s="424"/>
      <c r="V347" s="642" t="str">
        <f t="shared" si="56"/>
        <v/>
      </c>
      <c r="W347" s="642"/>
      <c r="X347" s="642" t="str">
        <f t="shared" si="53"/>
        <v/>
      </c>
      <c r="Y347" s="642"/>
      <c r="AL347" s="420" t="str">
        <f t="shared" si="60"/>
        <v/>
      </c>
      <c r="AM347" s="421">
        <f t="shared" si="64"/>
        <v>0</v>
      </c>
      <c r="AN347" s="637"/>
      <c r="AO347" s="637"/>
      <c r="AP347" s="634"/>
      <c r="AQ347" s="634"/>
      <c r="AR347" s="427"/>
      <c r="AS347" s="522" t="str">
        <f t="shared" si="61"/>
        <v/>
      </c>
    </row>
    <row r="348" spans="2:45" x14ac:dyDescent="0.25">
      <c r="B348" s="426" t="str">
        <f t="shared" si="57"/>
        <v/>
      </c>
      <c r="C348" s="423" t="str">
        <f t="shared" si="58"/>
        <v/>
      </c>
      <c r="D348" s="643" t="str">
        <f t="shared" si="62"/>
        <v/>
      </c>
      <c r="E348" s="643"/>
      <c r="F348" s="643" t="str">
        <f t="shared" si="54"/>
        <v/>
      </c>
      <c r="G348" s="643"/>
      <c r="H348" s="671">
        <f t="shared" si="55"/>
        <v>0</v>
      </c>
      <c r="I348" s="671"/>
      <c r="J348" s="640" t="str">
        <f t="shared" si="59"/>
        <v/>
      </c>
      <c r="K348" s="640"/>
      <c r="L348" s="631" t="str">
        <f t="shared" si="63"/>
        <v/>
      </c>
      <c r="M348" s="631"/>
      <c r="N348" s="631" t="str">
        <f>IF(B348="","",VLOOKUP(TRIM(CONCATENATE($F$20," ",$F$17," ",$F$18," ",$F$22," ",$F$21," ",$F$16," ",$F$23," ",$F$24)),Catalogo_Condicione_Financieras!B:W,22,0)*1.16)</f>
        <v/>
      </c>
      <c r="O348" s="631"/>
      <c r="P348" s="641"/>
      <c r="Q348" s="641"/>
      <c r="R348" s="631"/>
      <c r="S348" s="631"/>
      <c r="T348" s="424" t="str">
        <f>IF(B348="","",'Tabla_Puntual&amp;Relacionamiento'!$B$25)</f>
        <v/>
      </c>
      <c r="U348" s="424"/>
      <c r="V348" s="642" t="str">
        <f t="shared" si="56"/>
        <v/>
      </c>
      <c r="W348" s="642"/>
      <c r="X348" s="642" t="str">
        <f t="shared" si="53"/>
        <v/>
      </c>
      <c r="Y348" s="642"/>
      <c r="AL348" s="420" t="str">
        <f t="shared" si="60"/>
        <v/>
      </c>
      <c r="AM348" s="421">
        <f t="shared" si="64"/>
        <v>0</v>
      </c>
      <c r="AN348" s="637"/>
      <c r="AO348" s="637"/>
      <c r="AP348" s="634"/>
      <c r="AQ348" s="634"/>
      <c r="AR348" s="427"/>
      <c r="AS348" s="522" t="str">
        <f t="shared" si="61"/>
        <v/>
      </c>
    </row>
    <row r="349" spans="2:45" x14ac:dyDescent="0.25">
      <c r="B349" s="426" t="str">
        <f t="shared" si="57"/>
        <v/>
      </c>
      <c r="C349" s="423" t="str">
        <f t="shared" si="58"/>
        <v/>
      </c>
      <c r="D349" s="643" t="str">
        <f t="shared" si="62"/>
        <v/>
      </c>
      <c r="E349" s="643"/>
      <c r="F349" s="643" t="str">
        <f t="shared" si="54"/>
        <v/>
      </c>
      <c r="G349" s="643"/>
      <c r="H349" s="671">
        <f t="shared" si="55"/>
        <v>0</v>
      </c>
      <c r="I349" s="671"/>
      <c r="J349" s="640" t="str">
        <f t="shared" si="59"/>
        <v/>
      </c>
      <c r="K349" s="640"/>
      <c r="L349" s="631" t="str">
        <f t="shared" si="63"/>
        <v/>
      </c>
      <c r="M349" s="631"/>
      <c r="N349" s="631" t="str">
        <f>IF(B349="","",VLOOKUP(TRIM(CONCATENATE($F$20," ",$F$17," ",$F$18," ",$F$22," ",$F$21," ",$F$16," ",$F$23," ",$F$24)),Catalogo_Condicione_Financieras!B:W,22,0)*1.16)</f>
        <v/>
      </c>
      <c r="O349" s="631"/>
      <c r="P349" s="641"/>
      <c r="Q349" s="641"/>
      <c r="R349" s="631" t="str">
        <f>IF(OR(X348=0,X348=""),"",IF($F$21="Apoyo Infonavit",IF(D349&gt;=C349,0,MIN(IF($F$30="",0,Caratula!$F$30),$AL$30*25)*10%),0))</f>
        <v/>
      </c>
      <c r="S349" s="631"/>
      <c r="T349" s="424" t="str">
        <f>IF(B349="","",'Tabla_Puntual&amp;Relacionamiento'!$B$25)</f>
        <v/>
      </c>
      <c r="U349" s="424"/>
      <c r="V349" s="642" t="str">
        <f t="shared" si="56"/>
        <v/>
      </c>
      <c r="W349" s="642"/>
      <c r="X349" s="642" t="str">
        <f t="shared" si="53"/>
        <v/>
      </c>
      <c r="Y349" s="642"/>
      <c r="AL349" s="420" t="str">
        <f t="shared" si="60"/>
        <v/>
      </c>
      <c r="AM349" s="421">
        <f t="shared" si="64"/>
        <v>0</v>
      </c>
      <c r="AN349" s="637"/>
      <c r="AO349" s="637"/>
      <c r="AP349" s="634"/>
      <c r="AQ349" s="634"/>
      <c r="AR349" s="427"/>
      <c r="AS349" s="522" t="str">
        <f t="shared" si="61"/>
        <v/>
      </c>
    </row>
    <row r="350" spans="2:45" x14ac:dyDescent="0.25">
      <c r="B350" s="426" t="str">
        <f t="shared" si="57"/>
        <v/>
      </c>
      <c r="C350" s="423" t="str">
        <f t="shared" si="58"/>
        <v/>
      </c>
      <c r="D350" s="643" t="str">
        <f t="shared" si="62"/>
        <v/>
      </c>
      <c r="E350" s="643"/>
      <c r="F350" s="643" t="str">
        <f t="shared" si="54"/>
        <v/>
      </c>
      <c r="G350" s="643"/>
      <c r="H350" s="671">
        <f t="shared" si="55"/>
        <v>0</v>
      </c>
      <c r="I350" s="671"/>
      <c r="J350" s="640" t="str">
        <f t="shared" si="59"/>
        <v/>
      </c>
      <c r="K350" s="640"/>
      <c r="L350" s="631" t="str">
        <f t="shared" si="63"/>
        <v/>
      </c>
      <c r="M350" s="631"/>
      <c r="N350" s="631" t="str">
        <f>IF(B350="","",VLOOKUP(TRIM(CONCATENATE($F$20," ",$F$17," ",$F$18," ",$F$22," ",$F$21," ",$F$16," ",$F$23," ",$F$24)),Catalogo_Condicione_Financieras!B:W,22,0)*1.16)</f>
        <v/>
      </c>
      <c r="O350" s="631"/>
      <c r="P350" s="641"/>
      <c r="Q350" s="641"/>
      <c r="R350" s="631"/>
      <c r="S350" s="631"/>
      <c r="T350" s="424" t="str">
        <f>IF(B350="","",'Tabla_Puntual&amp;Relacionamiento'!$B$25)</f>
        <v/>
      </c>
      <c r="U350" s="424"/>
      <c r="V350" s="642" t="str">
        <f t="shared" si="56"/>
        <v/>
      </c>
      <c r="W350" s="642"/>
      <c r="X350" s="642" t="str">
        <f t="shared" si="53"/>
        <v/>
      </c>
      <c r="Y350" s="642"/>
      <c r="AL350" s="420" t="str">
        <f t="shared" si="60"/>
        <v/>
      </c>
      <c r="AM350" s="421">
        <f t="shared" si="64"/>
        <v>0</v>
      </c>
      <c r="AN350" s="637"/>
      <c r="AO350" s="637"/>
      <c r="AP350" s="634"/>
      <c r="AQ350" s="634"/>
      <c r="AR350" s="427"/>
      <c r="AS350" s="522" t="str">
        <f t="shared" si="61"/>
        <v/>
      </c>
    </row>
    <row r="351" spans="2:45" x14ac:dyDescent="0.25">
      <c r="B351" s="426" t="str">
        <f t="shared" si="57"/>
        <v/>
      </c>
      <c r="C351" s="423" t="str">
        <f t="shared" si="58"/>
        <v/>
      </c>
      <c r="D351" s="643" t="str">
        <f t="shared" si="62"/>
        <v/>
      </c>
      <c r="E351" s="643"/>
      <c r="F351" s="643" t="str">
        <f t="shared" si="54"/>
        <v/>
      </c>
      <c r="G351" s="643"/>
      <c r="H351" s="671">
        <f t="shared" si="55"/>
        <v>0</v>
      </c>
      <c r="I351" s="671"/>
      <c r="J351" s="640" t="str">
        <f t="shared" si="59"/>
        <v/>
      </c>
      <c r="K351" s="640"/>
      <c r="L351" s="631" t="str">
        <f t="shared" si="63"/>
        <v/>
      </c>
      <c r="M351" s="631"/>
      <c r="N351" s="631" t="str">
        <f>IF(B351="","",VLOOKUP(TRIM(CONCATENATE($F$20," ",$F$17," ",$F$18," ",$F$22," ",$F$21," ",$F$16," ",$F$23," ",$F$24)),Catalogo_Condicione_Financieras!B:W,22,0)*1.16)</f>
        <v/>
      </c>
      <c r="O351" s="631"/>
      <c r="P351" s="641"/>
      <c r="Q351" s="641"/>
      <c r="R351" s="631" t="str">
        <f>IF(OR(X350=0,X350=""),"",IF($F$21="Apoyo Infonavit",IF(D351&gt;=C351,0,MIN(IF($F$30="",0,Caratula!$F$30),$AL$30*25)*10%),0))</f>
        <v/>
      </c>
      <c r="S351" s="631"/>
      <c r="T351" s="424" t="str">
        <f>IF(B351="","",'Tabla_Puntual&amp;Relacionamiento'!$B$25)</f>
        <v/>
      </c>
      <c r="U351" s="424"/>
      <c r="V351" s="642" t="str">
        <f t="shared" si="56"/>
        <v/>
      </c>
      <c r="W351" s="642"/>
      <c r="X351" s="642" t="str">
        <f t="shared" si="53"/>
        <v/>
      </c>
      <c r="Y351" s="642"/>
      <c r="AL351" s="420" t="str">
        <f t="shared" si="60"/>
        <v/>
      </c>
      <c r="AM351" s="421">
        <f t="shared" si="64"/>
        <v>0</v>
      </c>
      <c r="AN351" s="637"/>
      <c r="AO351" s="637"/>
      <c r="AP351" s="634"/>
      <c r="AQ351" s="634"/>
      <c r="AR351" s="427"/>
      <c r="AS351" s="522" t="str">
        <f t="shared" si="61"/>
        <v/>
      </c>
    </row>
    <row r="352" spans="2:45" x14ac:dyDescent="0.25">
      <c r="B352" s="426" t="str">
        <f t="shared" si="57"/>
        <v/>
      </c>
      <c r="C352" s="423" t="str">
        <f t="shared" si="58"/>
        <v/>
      </c>
      <c r="D352" s="643" t="str">
        <f t="shared" si="62"/>
        <v/>
      </c>
      <c r="E352" s="643"/>
      <c r="F352" s="643" t="str">
        <f t="shared" si="54"/>
        <v/>
      </c>
      <c r="G352" s="643"/>
      <c r="H352" s="671">
        <f t="shared" si="55"/>
        <v>0</v>
      </c>
      <c r="I352" s="671"/>
      <c r="J352" s="640" t="str">
        <f t="shared" si="59"/>
        <v/>
      </c>
      <c r="K352" s="640"/>
      <c r="L352" s="631" t="str">
        <f t="shared" si="63"/>
        <v/>
      </c>
      <c r="M352" s="631"/>
      <c r="N352" s="631" t="str">
        <f>IF(B352="","",VLOOKUP(TRIM(CONCATENATE($F$20," ",$F$17," ",$F$18," ",$F$22," ",$F$21," ",$F$16," ",$F$23," ",$F$24)),Catalogo_Condicione_Financieras!B:W,22,0)*1.16)</f>
        <v/>
      </c>
      <c r="O352" s="631"/>
      <c r="P352" s="641"/>
      <c r="Q352" s="641"/>
      <c r="R352" s="631"/>
      <c r="S352" s="631"/>
      <c r="T352" s="424" t="str">
        <f>IF(B352="","",'Tabla_Puntual&amp;Relacionamiento'!$B$26)</f>
        <v/>
      </c>
      <c r="U352" s="424" t="str">
        <f>IF(B352="","",IF($F$16="Pago_Bajo_Puntual",0.019,""))</f>
        <v/>
      </c>
      <c r="V352" s="642" t="str">
        <f t="shared" si="56"/>
        <v/>
      </c>
      <c r="W352" s="642"/>
      <c r="X352" s="642" t="str">
        <f t="shared" si="53"/>
        <v/>
      </c>
      <c r="Y352" s="642"/>
      <c r="AL352" s="420" t="str">
        <f t="shared" si="60"/>
        <v/>
      </c>
      <c r="AM352" s="421">
        <f t="shared" si="64"/>
        <v>0</v>
      </c>
      <c r="AN352" s="637"/>
      <c r="AO352" s="637"/>
      <c r="AP352" s="634"/>
      <c r="AQ352" s="634"/>
      <c r="AR352" s="427"/>
      <c r="AS352" s="522" t="str">
        <f t="shared" si="61"/>
        <v/>
      </c>
    </row>
    <row r="353" spans="2:45" x14ac:dyDescent="0.25">
      <c r="B353" s="426" t="str">
        <f t="shared" si="57"/>
        <v/>
      </c>
      <c r="C353" s="423" t="str">
        <f t="shared" si="58"/>
        <v/>
      </c>
      <c r="D353" s="643" t="str">
        <f t="shared" si="62"/>
        <v/>
      </c>
      <c r="E353" s="643"/>
      <c r="F353" s="643" t="str">
        <f t="shared" si="54"/>
        <v/>
      </c>
      <c r="G353" s="643"/>
      <c r="H353" s="671">
        <f t="shared" si="55"/>
        <v>0</v>
      </c>
      <c r="I353" s="671"/>
      <c r="J353" s="640" t="str">
        <f t="shared" si="59"/>
        <v/>
      </c>
      <c r="K353" s="640"/>
      <c r="L353" s="631" t="str">
        <f t="shared" si="63"/>
        <v/>
      </c>
      <c r="M353" s="631"/>
      <c r="N353" s="631" t="str">
        <f>IF(B353="","",VLOOKUP(TRIM(CONCATENATE($F$20," ",$F$17," ",$F$18," ",$F$22," ",$F$21," ",$F$16," ",$F$23," ",$F$24)),Catalogo_Condicione_Financieras!B:W,22,0)*1.16)</f>
        <v/>
      </c>
      <c r="O353" s="631"/>
      <c r="P353" s="641"/>
      <c r="Q353" s="641"/>
      <c r="R353" s="631" t="str">
        <f>IF(OR(X352=0,X352=""),"",IF($F$21="Apoyo Infonavit",IF(D353&gt;=C353,0,MIN(IF($F$30="",0,Caratula!$F$30),$AL$30*25)*10%),0))</f>
        <v/>
      </c>
      <c r="S353" s="631"/>
      <c r="T353" s="424" t="str">
        <f>IF(B353="","",'Tabla_Puntual&amp;Relacionamiento'!$B$26)</f>
        <v/>
      </c>
      <c r="U353" s="424"/>
      <c r="V353" s="642" t="str">
        <f t="shared" si="56"/>
        <v/>
      </c>
      <c r="W353" s="642"/>
      <c r="X353" s="642" t="str">
        <f t="shared" si="53"/>
        <v/>
      </c>
      <c r="Y353" s="642"/>
      <c r="AL353" s="420" t="str">
        <f t="shared" si="60"/>
        <v/>
      </c>
      <c r="AM353" s="421">
        <f t="shared" si="64"/>
        <v>0</v>
      </c>
      <c r="AN353" s="637"/>
      <c r="AO353" s="637"/>
      <c r="AP353" s="634"/>
      <c r="AQ353" s="634"/>
      <c r="AR353" s="427"/>
      <c r="AS353" s="522" t="str">
        <f t="shared" si="61"/>
        <v/>
      </c>
    </row>
    <row r="354" spans="2:45" x14ac:dyDescent="0.25">
      <c r="B354" s="426" t="str">
        <f t="shared" si="57"/>
        <v/>
      </c>
      <c r="C354" s="423" t="str">
        <f t="shared" si="58"/>
        <v/>
      </c>
      <c r="D354" s="643" t="str">
        <f t="shared" si="62"/>
        <v/>
      </c>
      <c r="E354" s="643"/>
      <c r="F354" s="643" t="str">
        <f t="shared" si="54"/>
        <v/>
      </c>
      <c r="G354" s="643"/>
      <c r="H354" s="671">
        <f t="shared" si="55"/>
        <v>0</v>
      </c>
      <c r="I354" s="671"/>
      <c r="J354" s="640" t="str">
        <f t="shared" si="59"/>
        <v/>
      </c>
      <c r="K354" s="640"/>
      <c r="L354" s="631" t="str">
        <f t="shared" si="63"/>
        <v/>
      </c>
      <c r="M354" s="631"/>
      <c r="N354" s="631" t="str">
        <f>IF(B354="","",VLOOKUP(TRIM(CONCATENATE($F$20," ",$F$17," ",$F$18," ",$F$22," ",$F$21," ",$F$16," ",$F$23," ",$F$24)),Catalogo_Condicione_Financieras!B:W,22,0)*1.16)</f>
        <v/>
      </c>
      <c r="O354" s="631"/>
      <c r="P354" s="641"/>
      <c r="Q354" s="641"/>
      <c r="R354" s="631"/>
      <c r="S354" s="631"/>
      <c r="T354" s="424" t="str">
        <f>IF(B354="","",'Tabla_Puntual&amp;Relacionamiento'!$B$26)</f>
        <v/>
      </c>
      <c r="U354" s="424"/>
      <c r="V354" s="642" t="str">
        <f t="shared" si="56"/>
        <v/>
      </c>
      <c r="W354" s="642"/>
      <c r="X354" s="642" t="str">
        <f t="shared" si="53"/>
        <v/>
      </c>
      <c r="Y354" s="642"/>
      <c r="AL354" s="420" t="str">
        <f t="shared" si="60"/>
        <v/>
      </c>
      <c r="AM354" s="421">
        <f t="shared" si="64"/>
        <v>0</v>
      </c>
      <c r="AN354" s="637"/>
      <c r="AO354" s="637"/>
      <c r="AP354" s="634"/>
      <c r="AQ354" s="634"/>
      <c r="AR354" s="427"/>
      <c r="AS354" s="522" t="str">
        <f t="shared" si="61"/>
        <v/>
      </c>
    </row>
    <row r="355" spans="2:45" x14ac:dyDescent="0.25">
      <c r="B355" s="426" t="str">
        <f t="shared" si="57"/>
        <v/>
      </c>
      <c r="C355" s="423" t="str">
        <f t="shared" si="58"/>
        <v/>
      </c>
      <c r="D355" s="643" t="str">
        <f t="shared" si="62"/>
        <v/>
      </c>
      <c r="E355" s="643"/>
      <c r="F355" s="643" t="str">
        <f t="shared" si="54"/>
        <v/>
      </c>
      <c r="G355" s="643"/>
      <c r="H355" s="671">
        <f t="shared" si="55"/>
        <v>0</v>
      </c>
      <c r="I355" s="671"/>
      <c r="J355" s="640" t="str">
        <f t="shared" si="59"/>
        <v/>
      </c>
      <c r="K355" s="640"/>
      <c r="L355" s="631" t="str">
        <f t="shared" si="63"/>
        <v/>
      </c>
      <c r="M355" s="631"/>
      <c r="N355" s="631" t="str">
        <f>IF(B355="","",VLOOKUP(TRIM(CONCATENATE($F$20," ",$F$17," ",$F$18," ",$F$22," ",$F$21," ",$F$16," ",$F$23," ",$F$24)),Catalogo_Condicione_Financieras!B:W,22,0)*1.16)</f>
        <v/>
      </c>
      <c r="O355" s="631"/>
      <c r="P355" s="641"/>
      <c r="Q355" s="641"/>
      <c r="R355" s="631" t="str">
        <f>IF(OR(X354=0,X354=""),"",IF($F$21="Apoyo Infonavit",IF(D355&gt;=C355,0,MIN(IF($F$30="",0,Caratula!$F$30),$AL$30*25)*10%),0))</f>
        <v/>
      </c>
      <c r="S355" s="631"/>
      <c r="T355" s="424" t="str">
        <f>IF(B355="","",'Tabla_Puntual&amp;Relacionamiento'!$B$26)</f>
        <v/>
      </c>
      <c r="U355" s="424"/>
      <c r="V355" s="642" t="str">
        <f t="shared" si="56"/>
        <v/>
      </c>
      <c r="W355" s="642"/>
      <c r="X355" s="642" t="str">
        <f t="shared" si="53"/>
        <v/>
      </c>
      <c r="Y355" s="642"/>
      <c r="AL355" s="420" t="str">
        <f t="shared" si="60"/>
        <v/>
      </c>
      <c r="AM355" s="421">
        <f t="shared" si="64"/>
        <v>0</v>
      </c>
      <c r="AN355" s="637"/>
      <c r="AO355" s="637"/>
      <c r="AP355" s="634"/>
      <c r="AQ355" s="634"/>
      <c r="AR355" s="427"/>
      <c r="AS355" s="522" t="str">
        <f t="shared" si="61"/>
        <v/>
      </c>
    </row>
    <row r="356" spans="2:45" x14ac:dyDescent="0.25">
      <c r="B356" s="426" t="str">
        <f t="shared" si="57"/>
        <v/>
      </c>
      <c r="C356" s="423" t="str">
        <f t="shared" si="58"/>
        <v/>
      </c>
      <c r="D356" s="643" t="str">
        <f t="shared" si="62"/>
        <v/>
      </c>
      <c r="E356" s="643"/>
      <c r="F356" s="643" t="str">
        <f t="shared" si="54"/>
        <v/>
      </c>
      <c r="G356" s="643"/>
      <c r="H356" s="671">
        <f t="shared" si="55"/>
        <v>0</v>
      </c>
      <c r="I356" s="671"/>
      <c r="J356" s="640" t="str">
        <f t="shared" si="59"/>
        <v/>
      </c>
      <c r="K356" s="640"/>
      <c r="L356" s="631" t="str">
        <f t="shared" si="63"/>
        <v/>
      </c>
      <c r="M356" s="631"/>
      <c r="N356" s="631" t="str">
        <f>IF(B356="","",VLOOKUP(TRIM(CONCATENATE($F$20," ",$F$17," ",$F$18," ",$F$22," ",$F$21," ",$F$16," ",$F$23," ",$F$24)),Catalogo_Condicione_Financieras!B:W,22,0)*1.16)</f>
        <v/>
      </c>
      <c r="O356" s="631"/>
      <c r="P356" s="641"/>
      <c r="Q356" s="641"/>
      <c r="R356" s="631"/>
      <c r="S356" s="631"/>
      <c r="T356" s="424" t="str">
        <f>IF(B356="","",'Tabla_Puntual&amp;Relacionamiento'!$B$26)</f>
        <v/>
      </c>
      <c r="U356" s="424"/>
      <c r="V356" s="642" t="str">
        <f t="shared" si="56"/>
        <v/>
      </c>
      <c r="W356" s="642"/>
      <c r="X356" s="642" t="str">
        <f t="shared" si="53"/>
        <v/>
      </c>
      <c r="Y356" s="642"/>
      <c r="AL356" s="420" t="str">
        <f t="shared" si="60"/>
        <v/>
      </c>
      <c r="AM356" s="421">
        <f t="shared" si="64"/>
        <v>0</v>
      </c>
      <c r="AN356" s="637"/>
      <c r="AO356" s="637"/>
      <c r="AP356" s="634"/>
      <c r="AQ356" s="634"/>
      <c r="AR356" s="427"/>
      <c r="AS356" s="522" t="str">
        <f t="shared" si="61"/>
        <v/>
      </c>
    </row>
    <row r="357" spans="2:45" x14ac:dyDescent="0.25">
      <c r="B357" s="426" t="str">
        <f t="shared" si="57"/>
        <v/>
      </c>
      <c r="C357" s="423" t="str">
        <f t="shared" si="58"/>
        <v/>
      </c>
      <c r="D357" s="643" t="str">
        <f t="shared" si="62"/>
        <v/>
      </c>
      <c r="E357" s="643"/>
      <c r="F357" s="643" t="str">
        <f t="shared" si="54"/>
        <v/>
      </c>
      <c r="G357" s="643"/>
      <c r="H357" s="671">
        <f t="shared" si="55"/>
        <v>0</v>
      </c>
      <c r="I357" s="671"/>
      <c r="J357" s="640" t="str">
        <f t="shared" si="59"/>
        <v/>
      </c>
      <c r="K357" s="640"/>
      <c r="L357" s="631" t="str">
        <f t="shared" si="63"/>
        <v/>
      </c>
      <c r="M357" s="631"/>
      <c r="N357" s="631" t="str">
        <f>IF(B357="","",VLOOKUP(TRIM(CONCATENATE($F$20," ",$F$17," ",$F$18," ",$F$22," ",$F$21," ",$F$16," ",$F$23," ",$F$24)),Catalogo_Condicione_Financieras!B:W,22,0)*1.16)</f>
        <v/>
      </c>
      <c r="O357" s="631"/>
      <c r="P357" s="641"/>
      <c r="Q357" s="641"/>
      <c r="R357" s="631" t="str">
        <f>IF(OR(X356=0,X356=""),"",IF($F$21="Apoyo Infonavit",IF(D357&gt;=C357,0,MIN(IF($F$30="",0,Caratula!$F$30),$AL$30*25)*10%),0))</f>
        <v/>
      </c>
      <c r="S357" s="631"/>
      <c r="T357" s="424" t="str">
        <f>IF(B357="","",'Tabla_Puntual&amp;Relacionamiento'!$B$26)</f>
        <v/>
      </c>
      <c r="U357" s="424"/>
      <c r="V357" s="642" t="str">
        <f t="shared" si="56"/>
        <v/>
      </c>
      <c r="W357" s="642"/>
      <c r="X357" s="642" t="str">
        <f t="shared" si="53"/>
        <v/>
      </c>
      <c r="Y357" s="642"/>
      <c r="AL357" s="420" t="str">
        <f t="shared" si="60"/>
        <v/>
      </c>
      <c r="AM357" s="421">
        <f t="shared" si="64"/>
        <v>0</v>
      </c>
      <c r="AN357" s="637"/>
      <c r="AO357" s="637"/>
      <c r="AP357" s="634"/>
      <c r="AQ357" s="634"/>
      <c r="AR357" s="427"/>
      <c r="AS357" s="522" t="str">
        <f t="shared" si="61"/>
        <v/>
      </c>
    </row>
    <row r="358" spans="2:45" x14ac:dyDescent="0.25">
      <c r="B358" s="426" t="str">
        <f t="shared" si="57"/>
        <v/>
      </c>
      <c r="C358" s="423" t="str">
        <f t="shared" si="58"/>
        <v/>
      </c>
      <c r="D358" s="643" t="str">
        <f t="shared" si="62"/>
        <v/>
      </c>
      <c r="E358" s="643"/>
      <c r="F358" s="643" t="str">
        <f t="shared" si="54"/>
        <v/>
      </c>
      <c r="G358" s="643"/>
      <c r="H358" s="671">
        <f t="shared" si="55"/>
        <v>0</v>
      </c>
      <c r="I358" s="671"/>
      <c r="J358" s="640" t="str">
        <f t="shared" si="59"/>
        <v/>
      </c>
      <c r="K358" s="640"/>
      <c r="L358" s="631" t="str">
        <f t="shared" si="63"/>
        <v/>
      </c>
      <c r="M358" s="631"/>
      <c r="N358" s="631" t="str">
        <f>IF(B358="","",VLOOKUP(TRIM(CONCATENATE($F$20," ",$F$17," ",$F$18," ",$F$22," ",$F$21," ",$F$16," ",$F$23," ",$F$24)),Catalogo_Condicione_Financieras!B:W,22,0)*1.16)</f>
        <v/>
      </c>
      <c r="O358" s="631"/>
      <c r="P358" s="641"/>
      <c r="Q358" s="641"/>
      <c r="R358" s="631"/>
      <c r="S358" s="631"/>
      <c r="T358" s="424" t="str">
        <f>IF(B358="","",'Tabla_Puntual&amp;Relacionamiento'!$B$26)</f>
        <v/>
      </c>
      <c r="U358" s="424"/>
      <c r="V358" s="642" t="str">
        <f t="shared" si="56"/>
        <v/>
      </c>
      <c r="W358" s="642"/>
      <c r="X358" s="642" t="str">
        <f t="shared" si="53"/>
        <v/>
      </c>
      <c r="Y358" s="642"/>
      <c r="AL358" s="420" t="str">
        <f t="shared" si="60"/>
        <v/>
      </c>
      <c r="AM358" s="421">
        <f t="shared" si="64"/>
        <v>0</v>
      </c>
      <c r="AN358" s="637"/>
      <c r="AO358" s="637"/>
      <c r="AP358" s="634"/>
      <c r="AQ358" s="634"/>
      <c r="AR358" s="427"/>
      <c r="AS358" s="522" t="str">
        <f t="shared" si="61"/>
        <v/>
      </c>
    </row>
    <row r="359" spans="2:45" x14ac:dyDescent="0.25">
      <c r="B359" s="426" t="str">
        <f t="shared" si="57"/>
        <v/>
      </c>
      <c r="C359" s="423" t="str">
        <f t="shared" si="58"/>
        <v/>
      </c>
      <c r="D359" s="643" t="str">
        <f t="shared" si="62"/>
        <v/>
      </c>
      <c r="E359" s="643"/>
      <c r="F359" s="643" t="str">
        <f t="shared" si="54"/>
        <v/>
      </c>
      <c r="G359" s="643"/>
      <c r="H359" s="671">
        <f t="shared" si="55"/>
        <v>0</v>
      </c>
      <c r="I359" s="671"/>
      <c r="J359" s="640" t="str">
        <f t="shared" si="59"/>
        <v/>
      </c>
      <c r="K359" s="640"/>
      <c r="L359" s="631" t="str">
        <f t="shared" si="63"/>
        <v/>
      </c>
      <c r="M359" s="631"/>
      <c r="N359" s="631" t="str">
        <f>IF(B359="","",VLOOKUP(TRIM(CONCATENATE($F$20," ",$F$17," ",$F$18," ",$F$22," ",$F$21," ",$F$16," ",$F$23," ",$F$24)),Catalogo_Condicione_Financieras!B:W,22,0)*1.16)</f>
        <v/>
      </c>
      <c r="O359" s="631"/>
      <c r="P359" s="641"/>
      <c r="Q359" s="641"/>
      <c r="R359" s="631" t="str">
        <f>IF(OR(X358=0,X358=""),"",IF($F$21="Apoyo Infonavit",IF(D359&gt;=C359,0,MIN(IF($F$30="",0,Caratula!$F$30),$AL$30*25)*10%),0))</f>
        <v/>
      </c>
      <c r="S359" s="631"/>
      <c r="T359" s="424" t="str">
        <f>IF(B359="","",'Tabla_Puntual&amp;Relacionamiento'!$B$26)</f>
        <v/>
      </c>
      <c r="U359" s="424"/>
      <c r="V359" s="642" t="str">
        <f t="shared" si="56"/>
        <v/>
      </c>
      <c r="W359" s="642"/>
      <c r="X359" s="642" t="str">
        <f t="shared" si="53"/>
        <v/>
      </c>
      <c r="Y359" s="642"/>
      <c r="AL359" s="420" t="str">
        <f t="shared" si="60"/>
        <v/>
      </c>
      <c r="AM359" s="421">
        <f t="shared" si="64"/>
        <v>0</v>
      </c>
      <c r="AN359" s="637"/>
      <c r="AO359" s="637"/>
      <c r="AP359" s="634"/>
      <c r="AQ359" s="634"/>
      <c r="AR359" s="427"/>
      <c r="AS359" s="522" t="str">
        <f t="shared" si="61"/>
        <v/>
      </c>
    </row>
    <row r="360" spans="2:45" x14ac:dyDescent="0.25">
      <c r="B360" s="426" t="str">
        <f t="shared" si="57"/>
        <v/>
      </c>
      <c r="C360" s="423" t="str">
        <f t="shared" si="58"/>
        <v/>
      </c>
      <c r="D360" s="643" t="str">
        <f t="shared" si="62"/>
        <v/>
      </c>
      <c r="E360" s="643"/>
      <c r="F360" s="643" t="str">
        <f t="shared" si="54"/>
        <v/>
      </c>
      <c r="G360" s="643"/>
      <c r="H360" s="671">
        <f t="shared" si="55"/>
        <v>0</v>
      </c>
      <c r="I360" s="671"/>
      <c r="J360" s="640" t="str">
        <f t="shared" si="59"/>
        <v/>
      </c>
      <c r="K360" s="640"/>
      <c r="L360" s="631" t="str">
        <f t="shared" si="63"/>
        <v/>
      </c>
      <c r="M360" s="631"/>
      <c r="N360" s="631" t="str">
        <f>IF(B360="","",VLOOKUP(TRIM(CONCATENATE($F$20," ",$F$17," ",$F$18," ",$F$22," ",$F$21," ",$F$16," ",$F$23," ",$F$24)),Catalogo_Condicione_Financieras!B:W,22,0)*1.16)</f>
        <v/>
      </c>
      <c r="O360" s="631"/>
      <c r="P360" s="641"/>
      <c r="Q360" s="641"/>
      <c r="R360" s="631"/>
      <c r="S360" s="631"/>
      <c r="T360" s="424" t="str">
        <f>IF(B360="","",'Tabla_Puntual&amp;Relacionamiento'!$B$26)</f>
        <v/>
      </c>
      <c r="U360" s="424"/>
      <c r="V360" s="642" t="str">
        <f t="shared" si="56"/>
        <v/>
      </c>
      <c r="W360" s="642"/>
      <c r="X360" s="642" t="str">
        <f t="shared" si="53"/>
        <v/>
      </c>
      <c r="Y360" s="642"/>
      <c r="AL360" s="420" t="str">
        <f t="shared" si="60"/>
        <v/>
      </c>
      <c r="AM360" s="421">
        <f t="shared" si="64"/>
        <v>0</v>
      </c>
      <c r="AN360" s="637"/>
      <c r="AO360" s="637"/>
      <c r="AP360" s="634"/>
      <c r="AQ360" s="634"/>
      <c r="AR360" s="427"/>
      <c r="AS360" s="522" t="str">
        <f t="shared" si="61"/>
        <v/>
      </c>
    </row>
    <row r="361" spans="2:45" x14ac:dyDescent="0.25">
      <c r="B361" s="426" t="str">
        <f t="shared" si="57"/>
        <v/>
      </c>
      <c r="C361" s="423" t="str">
        <f t="shared" si="58"/>
        <v/>
      </c>
      <c r="D361" s="643" t="str">
        <f t="shared" si="62"/>
        <v/>
      </c>
      <c r="E361" s="643"/>
      <c r="F361" s="643" t="str">
        <f t="shared" si="54"/>
        <v/>
      </c>
      <c r="G361" s="643"/>
      <c r="H361" s="671">
        <f t="shared" si="55"/>
        <v>0</v>
      </c>
      <c r="I361" s="671"/>
      <c r="J361" s="640" t="str">
        <f t="shared" si="59"/>
        <v/>
      </c>
      <c r="K361" s="640"/>
      <c r="L361" s="631" t="str">
        <f t="shared" si="63"/>
        <v/>
      </c>
      <c r="M361" s="631"/>
      <c r="N361" s="631" t="str">
        <f>IF(B361="","",VLOOKUP(TRIM(CONCATENATE($F$20," ",$F$17," ",$F$18," ",$F$22," ",$F$21," ",$F$16," ",$F$23," ",$F$24)),Catalogo_Condicione_Financieras!B:W,22,0)*1.16)</f>
        <v/>
      </c>
      <c r="O361" s="631"/>
      <c r="P361" s="641"/>
      <c r="Q361" s="641"/>
      <c r="R361" s="631" t="str">
        <f>IF(OR(X360=0,X360=""),"",IF($F$21="Apoyo Infonavit",IF(D361&gt;=C361,0,MIN(IF($F$30="",0,Caratula!$F$30),$AL$30*25)*10%),0))</f>
        <v/>
      </c>
      <c r="S361" s="631"/>
      <c r="T361" s="424" t="str">
        <f>IF(B361="","",'Tabla_Puntual&amp;Relacionamiento'!$B$26)</f>
        <v/>
      </c>
      <c r="U361" s="424"/>
      <c r="V361" s="642" t="str">
        <f t="shared" si="56"/>
        <v/>
      </c>
      <c r="W361" s="642"/>
      <c r="X361" s="642" t="str">
        <f t="shared" si="53"/>
        <v/>
      </c>
      <c r="Y361" s="642"/>
      <c r="AL361" s="420" t="str">
        <f t="shared" si="60"/>
        <v/>
      </c>
      <c r="AM361" s="421">
        <f t="shared" si="64"/>
        <v>0</v>
      </c>
      <c r="AN361" s="637"/>
      <c r="AO361" s="637"/>
      <c r="AP361" s="634"/>
      <c r="AQ361" s="634"/>
      <c r="AR361" s="427"/>
      <c r="AS361" s="522" t="str">
        <f t="shared" si="61"/>
        <v/>
      </c>
    </row>
    <row r="362" spans="2:45" x14ac:dyDescent="0.25">
      <c r="B362" s="426" t="str">
        <f t="shared" si="57"/>
        <v/>
      </c>
      <c r="C362" s="423" t="str">
        <f t="shared" si="58"/>
        <v/>
      </c>
      <c r="D362" s="643" t="str">
        <f t="shared" si="62"/>
        <v/>
      </c>
      <c r="E362" s="643"/>
      <c r="F362" s="643" t="str">
        <f t="shared" si="54"/>
        <v/>
      </c>
      <c r="G362" s="643"/>
      <c r="H362" s="671">
        <f t="shared" si="55"/>
        <v>0</v>
      </c>
      <c r="I362" s="671"/>
      <c r="J362" s="640" t="str">
        <f t="shared" si="59"/>
        <v/>
      </c>
      <c r="K362" s="640"/>
      <c r="L362" s="631" t="str">
        <f t="shared" si="63"/>
        <v/>
      </c>
      <c r="M362" s="631"/>
      <c r="N362" s="631" t="str">
        <f>IF(B362="","",VLOOKUP(TRIM(CONCATENATE($F$20," ",$F$17," ",$F$18," ",$F$22," ",$F$21," ",$F$16," ",$F$23," ",$F$24)),Catalogo_Condicione_Financieras!B:W,22,0)*1.16)</f>
        <v/>
      </c>
      <c r="O362" s="631"/>
      <c r="P362" s="641"/>
      <c r="Q362" s="641"/>
      <c r="R362" s="631"/>
      <c r="S362" s="631"/>
      <c r="T362" s="424" t="str">
        <f>IF(B362="","",'Tabla_Puntual&amp;Relacionamiento'!$B$26)</f>
        <v/>
      </c>
      <c r="U362" s="424"/>
      <c r="V362" s="642" t="str">
        <f t="shared" si="56"/>
        <v/>
      </c>
      <c r="W362" s="642"/>
      <c r="X362" s="642" t="str">
        <f t="shared" si="53"/>
        <v/>
      </c>
      <c r="Y362" s="642"/>
      <c r="AL362" s="420" t="str">
        <f t="shared" si="60"/>
        <v/>
      </c>
      <c r="AM362" s="421">
        <f t="shared" si="64"/>
        <v>0</v>
      </c>
      <c r="AN362" s="637"/>
      <c r="AO362" s="637"/>
      <c r="AP362" s="634"/>
      <c r="AQ362" s="634"/>
      <c r="AR362" s="427"/>
      <c r="AS362" s="522" t="str">
        <f t="shared" si="61"/>
        <v/>
      </c>
    </row>
    <row r="363" spans="2:45" x14ac:dyDescent="0.25">
      <c r="B363" s="426" t="str">
        <f t="shared" si="57"/>
        <v/>
      </c>
      <c r="C363" s="423" t="str">
        <f t="shared" si="58"/>
        <v/>
      </c>
      <c r="D363" s="643" t="str">
        <f t="shared" si="62"/>
        <v/>
      </c>
      <c r="E363" s="643"/>
      <c r="F363" s="643" t="str">
        <f t="shared" si="54"/>
        <v/>
      </c>
      <c r="G363" s="643"/>
      <c r="H363" s="671">
        <f t="shared" si="55"/>
        <v>0</v>
      </c>
      <c r="I363" s="671"/>
      <c r="J363" s="640" t="str">
        <f t="shared" si="59"/>
        <v/>
      </c>
      <c r="K363" s="640"/>
      <c r="L363" s="631" t="str">
        <f t="shared" si="63"/>
        <v/>
      </c>
      <c r="M363" s="631"/>
      <c r="N363" s="631" t="str">
        <f>IF(B363="","",VLOOKUP(TRIM(CONCATENATE($F$20," ",$F$17," ",$F$18," ",$F$22," ",$F$21," ",$F$16," ",$F$23," ",$F$24)),Catalogo_Condicione_Financieras!B:W,22,0)*1.16)</f>
        <v/>
      </c>
      <c r="O363" s="631"/>
      <c r="P363" s="641"/>
      <c r="Q363" s="641"/>
      <c r="R363" s="631" t="str">
        <f>IF(OR(X362=0,X362=""),"",IF($F$21="Apoyo Infonavit",IF(D363&gt;=C363,0,MIN(IF($F$30="",0,Caratula!$F$30),$AL$30*25)*10%),0))</f>
        <v/>
      </c>
      <c r="S363" s="631"/>
      <c r="T363" s="424" t="str">
        <f>IF(B363="","",'Tabla_Puntual&amp;Relacionamiento'!$B$26)</f>
        <v/>
      </c>
      <c r="U363" s="424"/>
      <c r="V363" s="642" t="str">
        <f t="shared" si="56"/>
        <v/>
      </c>
      <c r="W363" s="642"/>
      <c r="X363" s="642" t="str">
        <f t="shared" si="53"/>
        <v/>
      </c>
      <c r="Y363" s="642"/>
      <c r="AL363" s="420" t="str">
        <f t="shared" si="60"/>
        <v/>
      </c>
      <c r="AM363" s="421">
        <f t="shared" si="64"/>
        <v>0</v>
      </c>
      <c r="AN363" s="637"/>
      <c r="AO363" s="637"/>
      <c r="AP363" s="634"/>
      <c r="AQ363" s="634"/>
      <c r="AR363" s="427"/>
      <c r="AS363" s="522" t="str">
        <f t="shared" si="61"/>
        <v/>
      </c>
    </row>
    <row r="364" spans="2:45" ht="16.5" thickBot="1" x14ac:dyDescent="0.3">
      <c r="D364" s="632"/>
      <c r="E364" s="632"/>
      <c r="F364" s="632"/>
      <c r="G364" s="632"/>
      <c r="H364" s="632"/>
      <c r="I364" s="632"/>
      <c r="J364" s="718"/>
      <c r="K364" s="718"/>
      <c r="L364" s="718"/>
      <c r="M364" s="718"/>
      <c r="N364" s="632"/>
      <c r="O364" s="632"/>
      <c r="P364" s="641"/>
      <c r="Q364" s="641"/>
      <c r="R364" s="637"/>
      <c r="S364" s="637"/>
      <c r="V364" s="632"/>
      <c r="W364" s="632"/>
      <c r="X364" s="632"/>
      <c r="Y364" s="632"/>
      <c r="AJ364" s="428"/>
      <c r="AK364" s="426"/>
      <c r="AL364" s="426"/>
      <c r="AM364" s="426"/>
      <c r="AN364" s="637"/>
      <c r="AO364" s="637"/>
      <c r="AP364" s="717"/>
      <c r="AQ364" s="717"/>
    </row>
    <row r="365" spans="2:45" ht="16.5" thickBot="1" x14ac:dyDescent="0.3">
      <c r="B365" s="443"/>
      <c r="C365" s="444" t="s">
        <v>346</v>
      </c>
      <c r="D365" s="714" t="e">
        <f>SUM(D64:E363)</f>
        <v>#N/A</v>
      </c>
      <c r="E365" s="714"/>
      <c r="F365" s="714" t="e">
        <f>SUM(F64:G363)</f>
        <v>#VALUE!</v>
      </c>
      <c r="G365" s="714"/>
      <c r="H365" s="714"/>
      <c r="I365" s="714"/>
      <c r="J365" s="714" t="e">
        <f>SUM(J64:K363)</f>
        <v>#N/A</v>
      </c>
      <c r="K365" s="714"/>
      <c r="L365" s="714" t="e">
        <f>SUM(L64:M363)</f>
        <v>#N/A</v>
      </c>
      <c r="M365" s="714"/>
      <c r="N365" s="714" t="e">
        <f>SUM(N64:O363)</f>
        <v>#N/A</v>
      </c>
      <c r="O365" s="714"/>
      <c r="P365" s="714">
        <f>SUM(P64:Q363)</f>
        <v>0</v>
      </c>
      <c r="Q365" s="714"/>
      <c r="R365" s="714">
        <f>SUM(R64:S363)</f>
        <v>0</v>
      </c>
      <c r="S365" s="714"/>
      <c r="T365" s="429"/>
      <c r="U365" s="429"/>
      <c r="V365" s="714" t="e">
        <f>SUM(V64:W363)</f>
        <v>#N/A</v>
      </c>
      <c r="W365" s="714"/>
      <c r="X365" s="724"/>
      <c r="Y365" s="725"/>
      <c r="AJ365" s="430"/>
      <c r="AK365" s="431"/>
      <c r="AL365" s="431"/>
      <c r="AM365" s="431"/>
      <c r="AN365" s="715">
        <f>SUM(AN64:AN363)</f>
        <v>0</v>
      </c>
      <c r="AO365" s="715"/>
      <c r="AP365" s="716"/>
      <c r="AQ365" s="716"/>
    </row>
    <row r="367" spans="2:45" x14ac:dyDescent="0.25">
      <c r="C367" s="324" t="s">
        <v>334</v>
      </c>
    </row>
    <row r="368" spans="2:45" x14ac:dyDescent="0.25">
      <c r="C368" s="324" t="s">
        <v>337</v>
      </c>
      <c r="D368" s="365"/>
      <c r="E368" s="365"/>
      <c r="F368" s="365"/>
      <c r="G368" s="365"/>
      <c r="H368" s="341"/>
      <c r="I368" s="341"/>
      <c r="J368" s="341"/>
      <c r="K368" s="341"/>
      <c r="L368" s="341"/>
      <c r="M368" s="341"/>
      <c r="N368" s="341"/>
      <c r="O368" s="341"/>
      <c r="P368" s="341"/>
      <c r="Q368" s="341"/>
      <c r="R368" s="341"/>
      <c r="S368" s="341"/>
      <c r="T368" s="341"/>
      <c r="U368" s="341"/>
      <c r="V368" s="341"/>
      <c r="W368" s="341"/>
      <c r="X368" s="341"/>
      <c r="Y368" s="341"/>
      <c r="Z368" s="634"/>
      <c r="AA368" s="634"/>
      <c r="AB368" s="341"/>
      <c r="AC368" s="341"/>
    </row>
    <row r="369" spans="3:3" x14ac:dyDescent="0.25">
      <c r="C369" s="324" t="s">
        <v>223</v>
      </c>
    </row>
    <row r="370" spans="3:3" x14ac:dyDescent="0.25">
      <c r="C370" s="324" t="s">
        <v>225</v>
      </c>
    </row>
    <row r="371" spans="3:3" x14ac:dyDescent="0.25">
      <c r="C371" s="324" t="s">
        <v>226</v>
      </c>
    </row>
    <row r="372" spans="3:3" x14ac:dyDescent="0.25">
      <c r="C372" s="324" t="s">
        <v>355</v>
      </c>
    </row>
  </sheetData>
  <sheetProtection algorithmName="SHA-512" hashValue="blbM4j3Olr8SrmMI9PIGYib6vRcqtptfhI1NGeLOC3O8AFyV3nLfyjUFbY+SYJPQjAigXdcPPsoXtk+gLLxHVQ==" saltValue="SQOCo0kzPEZ9QL/dqwXycg==" spinCount="100000" sheet="1" formatCells="0"/>
  <mergeCells count="3758">
    <mergeCell ref="C25:E25"/>
    <mergeCell ref="F25:K25"/>
    <mergeCell ref="R9:V9"/>
    <mergeCell ref="Z368:AA368"/>
    <mergeCell ref="V359:W359"/>
    <mergeCell ref="V360:W360"/>
    <mergeCell ref="V361:W361"/>
    <mergeCell ref="V362:W362"/>
    <mergeCell ref="V363:W363"/>
    <mergeCell ref="D365:E365"/>
    <mergeCell ref="F365:G365"/>
    <mergeCell ref="H365:I365"/>
    <mergeCell ref="J365:K365"/>
    <mergeCell ref="L365:M365"/>
    <mergeCell ref="N365:O365"/>
    <mergeCell ref="V349:W349"/>
    <mergeCell ref="R364:S364"/>
    <mergeCell ref="P350:Q350"/>
    <mergeCell ref="P351:Q351"/>
    <mergeCell ref="P352:Q352"/>
    <mergeCell ref="P353:Q353"/>
    <mergeCell ref="P354:Q354"/>
    <mergeCell ref="P355:Q355"/>
    <mergeCell ref="P356:Q356"/>
    <mergeCell ref="P357:Q357"/>
    <mergeCell ref="P358:Q358"/>
    <mergeCell ref="B26:E26"/>
    <mergeCell ref="X365:Y365"/>
    <mergeCell ref="D364:E364"/>
    <mergeCell ref="F364:G364"/>
    <mergeCell ref="H364:I364"/>
    <mergeCell ref="J364:K364"/>
    <mergeCell ref="L364:M364"/>
    <mergeCell ref="N364:O364"/>
    <mergeCell ref="P364:Q364"/>
    <mergeCell ref="F363:G363"/>
    <mergeCell ref="X355:Y355"/>
    <mergeCell ref="X356:Y356"/>
    <mergeCell ref="X357:Y357"/>
    <mergeCell ref="X358:Y358"/>
    <mergeCell ref="X359:Y359"/>
    <mergeCell ref="X360:Y360"/>
    <mergeCell ref="X361:Y361"/>
    <mergeCell ref="X362:Y362"/>
    <mergeCell ref="X363:Y363"/>
    <mergeCell ref="N355:O355"/>
    <mergeCell ref="N356:O356"/>
    <mergeCell ref="D358:E358"/>
    <mergeCell ref="D359:E359"/>
    <mergeCell ref="D360:E360"/>
    <mergeCell ref="D361:E361"/>
    <mergeCell ref="D362:E362"/>
    <mergeCell ref="D363:E363"/>
    <mergeCell ref="N362:O362"/>
    <mergeCell ref="N363:O363"/>
    <mergeCell ref="N357:O357"/>
    <mergeCell ref="N358:O358"/>
    <mergeCell ref="N359:O359"/>
    <mergeCell ref="N360:O360"/>
    <mergeCell ref="N361:O361"/>
    <mergeCell ref="L359:M359"/>
    <mergeCell ref="L360:M360"/>
    <mergeCell ref="L361:M361"/>
    <mergeCell ref="L362:M362"/>
    <mergeCell ref="L363:M363"/>
    <mergeCell ref="D353:E353"/>
    <mergeCell ref="D354:E354"/>
    <mergeCell ref="D355:E355"/>
    <mergeCell ref="D356:E356"/>
    <mergeCell ref="D357:E357"/>
    <mergeCell ref="D349:E349"/>
    <mergeCell ref="F353:G353"/>
    <mergeCell ref="F354:G354"/>
    <mergeCell ref="F355:G355"/>
    <mergeCell ref="F356:G356"/>
    <mergeCell ref="F357:G357"/>
    <mergeCell ref="F358:G358"/>
    <mergeCell ref="F359:G359"/>
    <mergeCell ref="F360:G360"/>
    <mergeCell ref="F361:G361"/>
    <mergeCell ref="F362:G362"/>
    <mergeCell ref="J360:K360"/>
    <mergeCell ref="J352:K352"/>
    <mergeCell ref="J353:K353"/>
    <mergeCell ref="J354:K354"/>
    <mergeCell ref="J355:K355"/>
    <mergeCell ref="J356:K356"/>
    <mergeCell ref="J357:K357"/>
    <mergeCell ref="J358:K358"/>
    <mergeCell ref="J359:K359"/>
    <mergeCell ref="L350:M350"/>
    <mergeCell ref="L351:M351"/>
    <mergeCell ref="L352:M352"/>
    <mergeCell ref="L353:M353"/>
    <mergeCell ref="L354:M354"/>
    <mergeCell ref="L355:M355"/>
    <mergeCell ref="AP358:AQ358"/>
    <mergeCell ref="AP359:AQ359"/>
    <mergeCell ref="AN364:AO364"/>
    <mergeCell ref="H361:I361"/>
    <mergeCell ref="H362:I362"/>
    <mergeCell ref="H363:I363"/>
    <mergeCell ref="H349:I349"/>
    <mergeCell ref="H350:I350"/>
    <mergeCell ref="H351:I351"/>
    <mergeCell ref="H352:I352"/>
    <mergeCell ref="H353:I353"/>
    <mergeCell ref="H354:I354"/>
    <mergeCell ref="J361:K361"/>
    <mergeCell ref="J362:K362"/>
    <mergeCell ref="J363:K363"/>
    <mergeCell ref="J349:K349"/>
    <mergeCell ref="H355:I355"/>
    <mergeCell ref="H356:I356"/>
    <mergeCell ref="H357:I357"/>
    <mergeCell ref="H358:I358"/>
    <mergeCell ref="H359:I359"/>
    <mergeCell ref="H360:I360"/>
    <mergeCell ref="N354:O354"/>
    <mergeCell ref="V352:W352"/>
    <mergeCell ref="V353:W353"/>
    <mergeCell ref="V354:W354"/>
    <mergeCell ref="V355:W355"/>
    <mergeCell ref="V356:W356"/>
    <mergeCell ref="V357:W357"/>
    <mergeCell ref="V358:W358"/>
    <mergeCell ref="J350:K350"/>
    <mergeCell ref="J351:K351"/>
    <mergeCell ref="V327:W327"/>
    <mergeCell ref="V328:W328"/>
    <mergeCell ref="V329:W329"/>
    <mergeCell ref="V330:W330"/>
    <mergeCell ref="V331:W331"/>
    <mergeCell ref="V332:W332"/>
    <mergeCell ref="P365:Q365"/>
    <mergeCell ref="AN365:AO365"/>
    <mergeCell ref="AP365:AQ365"/>
    <mergeCell ref="R365:S365"/>
    <mergeCell ref="V365:W365"/>
    <mergeCell ref="V333:W333"/>
    <mergeCell ref="V334:W334"/>
    <mergeCell ref="V335:W335"/>
    <mergeCell ref="V336:W336"/>
    <mergeCell ref="V337:W337"/>
    <mergeCell ref="V338:W338"/>
    <mergeCell ref="V339:W339"/>
    <mergeCell ref="V340:W340"/>
    <mergeCell ref="V341:W341"/>
    <mergeCell ref="V342:W342"/>
    <mergeCell ref="V343:W343"/>
    <mergeCell ref="V344:W344"/>
    <mergeCell ref="V345:W345"/>
    <mergeCell ref="V346:W346"/>
    <mergeCell ref="V347:W347"/>
    <mergeCell ref="V348:W348"/>
    <mergeCell ref="AP364:AQ364"/>
    <mergeCell ref="V364:W364"/>
    <mergeCell ref="X364:Y364"/>
    <mergeCell ref="V350:W350"/>
    <mergeCell ref="V351:W351"/>
    <mergeCell ref="V310:W310"/>
    <mergeCell ref="V311:W311"/>
    <mergeCell ref="V312:W312"/>
    <mergeCell ref="V313:W313"/>
    <mergeCell ref="V314:W314"/>
    <mergeCell ref="V315:W315"/>
    <mergeCell ref="V316:W316"/>
    <mergeCell ref="V317:W317"/>
    <mergeCell ref="V318:W318"/>
    <mergeCell ref="V319:W319"/>
    <mergeCell ref="V320:W320"/>
    <mergeCell ref="V321:W321"/>
    <mergeCell ref="V322:W322"/>
    <mergeCell ref="V323:W323"/>
    <mergeCell ref="V324:W324"/>
    <mergeCell ref="V325:W325"/>
    <mergeCell ref="V326:W326"/>
    <mergeCell ref="V293:W293"/>
    <mergeCell ref="V294:W294"/>
    <mergeCell ref="V295:W295"/>
    <mergeCell ref="V296:W296"/>
    <mergeCell ref="V297:W297"/>
    <mergeCell ref="V298:W298"/>
    <mergeCell ref="V299:W299"/>
    <mergeCell ref="V300:W300"/>
    <mergeCell ref="V301:W301"/>
    <mergeCell ref="V302:W302"/>
    <mergeCell ref="V303:W303"/>
    <mergeCell ref="V304:W304"/>
    <mergeCell ref="V305:W305"/>
    <mergeCell ref="V306:W306"/>
    <mergeCell ref="V307:W307"/>
    <mergeCell ref="V308:W308"/>
    <mergeCell ref="V309:W309"/>
    <mergeCell ref="V276:W276"/>
    <mergeCell ref="V277:W277"/>
    <mergeCell ref="V278:W278"/>
    <mergeCell ref="V279:W279"/>
    <mergeCell ref="V280:W280"/>
    <mergeCell ref="V281:W281"/>
    <mergeCell ref="V282:W282"/>
    <mergeCell ref="V283:W283"/>
    <mergeCell ref="V284:W284"/>
    <mergeCell ref="V285:W285"/>
    <mergeCell ref="V286:W286"/>
    <mergeCell ref="V287:W287"/>
    <mergeCell ref="V288:W288"/>
    <mergeCell ref="V289:W289"/>
    <mergeCell ref="V290:W290"/>
    <mergeCell ref="V291:W291"/>
    <mergeCell ref="V292:W292"/>
    <mergeCell ref="V259:W259"/>
    <mergeCell ref="V260:W260"/>
    <mergeCell ref="V261:W261"/>
    <mergeCell ref="V262:W262"/>
    <mergeCell ref="V263:W263"/>
    <mergeCell ref="V264:W264"/>
    <mergeCell ref="V265:W265"/>
    <mergeCell ref="V266:W266"/>
    <mergeCell ref="V267:W267"/>
    <mergeCell ref="V268:W268"/>
    <mergeCell ref="V269:W269"/>
    <mergeCell ref="V270:W270"/>
    <mergeCell ref="V271:W271"/>
    <mergeCell ref="V272:W272"/>
    <mergeCell ref="V273:W273"/>
    <mergeCell ref="V274:W274"/>
    <mergeCell ref="V275:W275"/>
    <mergeCell ref="V242:W242"/>
    <mergeCell ref="V243:W243"/>
    <mergeCell ref="V244:W244"/>
    <mergeCell ref="V245:W245"/>
    <mergeCell ref="V246:W246"/>
    <mergeCell ref="V247:W247"/>
    <mergeCell ref="V248:W248"/>
    <mergeCell ref="V249:W249"/>
    <mergeCell ref="V250:W250"/>
    <mergeCell ref="V251:W251"/>
    <mergeCell ref="V252:W252"/>
    <mergeCell ref="V253:W253"/>
    <mergeCell ref="V254:W254"/>
    <mergeCell ref="V255:W255"/>
    <mergeCell ref="V256:W256"/>
    <mergeCell ref="V257:W257"/>
    <mergeCell ref="V258:W258"/>
    <mergeCell ref="V225:W225"/>
    <mergeCell ref="V226:W226"/>
    <mergeCell ref="V227:W227"/>
    <mergeCell ref="V228:W228"/>
    <mergeCell ref="V229:W229"/>
    <mergeCell ref="V230:W230"/>
    <mergeCell ref="V231:W231"/>
    <mergeCell ref="V232:W232"/>
    <mergeCell ref="V233:W233"/>
    <mergeCell ref="V234:W234"/>
    <mergeCell ref="V235:W235"/>
    <mergeCell ref="V236:W236"/>
    <mergeCell ref="V237:W237"/>
    <mergeCell ref="V238:W238"/>
    <mergeCell ref="V239:W239"/>
    <mergeCell ref="V240:W240"/>
    <mergeCell ref="V241:W241"/>
    <mergeCell ref="V208:W208"/>
    <mergeCell ref="V209:W209"/>
    <mergeCell ref="V210:W210"/>
    <mergeCell ref="V211:W211"/>
    <mergeCell ref="V212:W212"/>
    <mergeCell ref="V213:W213"/>
    <mergeCell ref="V214:W214"/>
    <mergeCell ref="V215:W215"/>
    <mergeCell ref="V216:W216"/>
    <mergeCell ref="V217:W217"/>
    <mergeCell ref="V218:W218"/>
    <mergeCell ref="V219:W219"/>
    <mergeCell ref="V220:W220"/>
    <mergeCell ref="V221:W221"/>
    <mergeCell ref="V222:W222"/>
    <mergeCell ref="V223:W223"/>
    <mergeCell ref="V224:W224"/>
    <mergeCell ref="V191:W191"/>
    <mergeCell ref="V192:W192"/>
    <mergeCell ref="V193:W193"/>
    <mergeCell ref="V194:W194"/>
    <mergeCell ref="V195:W195"/>
    <mergeCell ref="V196:W196"/>
    <mergeCell ref="V197:W197"/>
    <mergeCell ref="V198:W198"/>
    <mergeCell ref="V199:W199"/>
    <mergeCell ref="V200:W200"/>
    <mergeCell ref="V201:W201"/>
    <mergeCell ref="V202:W202"/>
    <mergeCell ref="V203:W203"/>
    <mergeCell ref="V204:W204"/>
    <mergeCell ref="V205:W205"/>
    <mergeCell ref="V206:W206"/>
    <mergeCell ref="V207:W207"/>
    <mergeCell ref="V174:W174"/>
    <mergeCell ref="V175:W175"/>
    <mergeCell ref="V176:W176"/>
    <mergeCell ref="V177:W177"/>
    <mergeCell ref="V178:W178"/>
    <mergeCell ref="V179:W179"/>
    <mergeCell ref="V180:W180"/>
    <mergeCell ref="V181:W181"/>
    <mergeCell ref="V182:W182"/>
    <mergeCell ref="V183:W183"/>
    <mergeCell ref="V184:W184"/>
    <mergeCell ref="V185:W185"/>
    <mergeCell ref="V186:W186"/>
    <mergeCell ref="V187:W187"/>
    <mergeCell ref="V188:W188"/>
    <mergeCell ref="V189:W189"/>
    <mergeCell ref="V190:W190"/>
    <mergeCell ref="V157:W157"/>
    <mergeCell ref="V158:W158"/>
    <mergeCell ref="V159:W159"/>
    <mergeCell ref="V160:W160"/>
    <mergeCell ref="V161:W161"/>
    <mergeCell ref="V162:W162"/>
    <mergeCell ref="V163:W163"/>
    <mergeCell ref="V164:W164"/>
    <mergeCell ref="V165:W165"/>
    <mergeCell ref="V166:W166"/>
    <mergeCell ref="V167:W167"/>
    <mergeCell ref="V168:W168"/>
    <mergeCell ref="V169:W169"/>
    <mergeCell ref="V170:W170"/>
    <mergeCell ref="V171:W171"/>
    <mergeCell ref="V172:W172"/>
    <mergeCell ref="V173:W173"/>
    <mergeCell ref="V140:W140"/>
    <mergeCell ref="V141:W141"/>
    <mergeCell ref="V142:W142"/>
    <mergeCell ref="V143:W143"/>
    <mergeCell ref="V144:W144"/>
    <mergeCell ref="V145:W145"/>
    <mergeCell ref="V146:W146"/>
    <mergeCell ref="V147:W147"/>
    <mergeCell ref="V148:W148"/>
    <mergeCell ref="V149:W149"/>
    <mergeCell ref="V150:W150"/>
    <mergeCell ref="V151:W151"/>
    <mergeCell ref="V152:W152"/>
    <mergeCell ref="V153:W153"/>
    <mergeCell ref="V154:W154"/>
    <mergeCell ref="V155:W155"/>
    <mergeCell ref="V156:W156"/>
    <mergeCell ref="V123:W123"/>
    <mergeCell ref="V124:W124"/>
    <mergeCell ref="V125:W125"/>
    <mergeCell ref="V126:W126"/>
    <mergeCell ref="V127:W127"/>
    <mergeCell ref="V128:W128"/>
    <mergeCell ref="V129:W129"/>
    <mergeCell ref="V130:W130"/>
    <mergeCell ref="V131:W131"/>
    <mergeCell ref="V132:W132"/>
    <mergeCell ref="V133:W133"/>
    <mergeCell ref="V134:W134"/>
    <mergeCell ref="V135:W135"/>
    <mergeCell ref="V136:W136"/>
    <mergeCell ref="V137:W137"/>
    <mergeCell ref="V138:W138"/>
    <mergeCell ref="V139:W139"/>
    <mergeCell ref="V106:W106"/>
    <mergeCell ref="V107:W107"/>
    <mergeCell ref="V108:W108"/>
    <mergeCell ref="V109:W109"/>
    <mergeCell ref="V110:W110"/>
    <mergeCell ref="V111:W111"/>
    <mergeCell ref="V112:W112"/>
    <mergeCell ref="V113:W113"/>
    <mergeCell ref="V114:W114"/>
    <mergeCell ref="V115:W115"/>
    <mergeCell ref="V116:W116"/>
    <mergeCell ref="V117:W117"/>
    <mergeCell ref="V118:W118"/>
    <mergeCell ref="V119:W119"/>
    <mergeCell ref="V120:W120"/>
    <mergeCell ref="V121:W121"/>
    <mergeCell ref="V122:W122"/>
    <mergeCell ref="V89:W89"/>
    <mergeCell ref="V90:W90"/>
    <mergeCell ref="V91:W91"/>
    <mergeCell ref="V92:W92"/>
    <mergeCell ref="V93:W93"/>
    <mergeCell ref="V94:W94"/>
    <mergeCell ref="V95:W95"/>
    <mergeCell ref="V96:W96"/>
    <mergeCell ref="V97:W97"/>
    <mergeCell ref="V98:W98"/>
    <mergeCell ref="V99:W99"/>
    <mergeCell ref="V100:W100"/>
    <mergeCell ref="V101:W101"/>
    <mergeCell ref="V102:W102"/>
    <mergeCell ref="V103:W103"/>
    <mergeCell ref="V104:W104"/>
    <mergeCell ref="V105:W105"/>
    <mergeCell ref="V71:W71"/>
    <mergeCell ref="V72:W72"/>
    <mergeCell ref="V73:W73"/>
    <mergeCell ref="V74:W74"/>
    <mergeCell ref="V75:W75"/>
    <mergeCell ref="V76:W76"/>
    <mergeCell ref="V77:W77"/>
    <mergeCell ref="V78:W78"/>
    <mergeCell ref="V79:W79"/>
    <mergeCell ref="V80:W80"/>
    <mergeCell ref="V81:W81"/>
    <mergeCell ref="V82:W82"/>
    <mergeCell ref="V84:W84"/>
    <mergeCell ref="V85:W85"/>
    <mergeCell ref="V86:W86"/>
    <mergeCell ref="V87:W87"/>
    <mergeCell ref="V88:W88"/>
    <mergeCell ref="V83:W83"/>
    <mergeCell ref="J333:K333"/>
    <mergeCell ref="J334:K334"/>
    <mergeCell ref="J335:K335"/>
    <mergeCell ref="J336:K336"/>
    <mergeCell ref="J337:K337"/>
    <mergeCell ref="J338:K338"/>
    <mergeCell ref="J339:K339"/>
    <mergeCell ref="J340:K340"/>
    <mergeCell ref="J341:K341"/>
    <mergeCell ref="J342:K342"/>
    <mergeCell ref="J343:K343"/>
    <mergeCell ref="J344:K344"/>
    <mergeCell ref="J345:K345"/>
    <mergeCell ref="J346:K346"/>
    <mergeCell ref="J347:K347"/>
    <mergeCell ref="J348:K348"/>
    <mergeCell ref="J316:K316"/>
    <mergeCell ref="J317:K317"/>
    <mergeCell ref="J318:K318"/>
    <mergeCell ref="J319:K319"/>
    <mergeCell ref="J320:K320"/>
    <mergeCell ref="J321:K321"/>
    <mergeCell ref="J322:K322"/>
    <mergeCell ref="J323:K323"/>
    <mergeCell ref="J324:K324"/>
    <mergeCell ref="J325:K325"/>
    <mergeCell ref="J326:K326"/>
    <mergeCell ref="J327:K327"/>
    <mergeCell ref="J328:K328"/>
    <mergeCell ref="J329:K329"/>
    <mergeCell ref="J330:K330"/>
    <mergeCell ref="J331:K331"/>
    <mergeCell ref="J332:K332"/>
    <mergeCell ref="J299:K299"/>
    <mergeCell ref="J300:K300"/>
    <mergeCell ref="J301:K301"/>
    <mergeCell ref="J302:K302"/>
    <mergeCell ref="J303:K303"/>
    <mergeCell ref="J304:K304"/>
    <mergeCell ref="J305:K305"/>
    <mergeCell ref="J306:K306"/>
    <mergeCell ref="J307:K307"/>
    <mergeCell ref="J308:K308"/>
    <mergeCell ref="J309:K309"/>
    <mergeCell ref="J310:K310"/>
    <mergeCell ref="J311:K311"/>
    <mergeCell ref="J312:K312"/>
    <mergeCell ref="J313:K313"/>
    <mergeCell ref="J314:K314"/>
    <mergeCell ref="J315:K315"/>
    <mergeCell ref="J282:K282"/>
    <mergeCell ref="J283:K283"/>
    <mergeCell ref="J284:K284"/>
    <mergeCell ref="J285:K285"/>
    <mergeCell ref="J286:K286"/>
    <mergeCell ref="J287:K287"/>
    <mergeCell ref="J288:K288"/>
    <mergeCell ref="J289:K289"/>
    <mergeCell ref="J290:K290"/>
    <mergeCell ref="J291:K291"/>
    <mergeCell ref="J292:K292"/>
    <mergeCell ref="J293:K293"/>
    <mergeCell ref="J294:K294"/>
    <mergeCell ref="J295:K295"/>
    <mergeCell ref="J296:K296"/>
    <mergeCell ref="J297:K297"/>
    <mergeCell ref="J298:K298"/>
    <mergeCell ref="J265:K265"/>
    <mergeCell ref="J266:K266"/>
    <mergeCell ref="J267:K267"/>
    <mergeCell ref="J268:K268"/>
    <mergeCell ref="J269:K269"/>
    <mergeCell ref="J270:K270"/>
    <mergeCell ref="J271:K271"/>
    <mergeCell ref="J272:K272"/>
    <mergeCell ref="J273:K273"/>
    <mergeCell ref="J274:K274"/>
    <mergeCell ref="J275:K275"/>
    <mergeCell ref="J276:K276"/>
    <mergeCell ref="J277:K277"/>
    <mergeCell ref="J278:K278"/>
    <mergeCell ref="J279:K279"/>
    <mergeCell ref="J280:K280"/>
    <mergeCell ref="J281:K281"/>
    <mergeCell ref="J248:K248"/>
    <mergeCell ref="J249:K249"/>
    <mergeCell ref="J250:K250"/>
    <mergeCell ref="J251:K251"/>
    <mergeCell ref="J252:K252"/>
    <mergeCell ref="J253:K253"/>
    <mergeCell ref="J254:K254"/>
    <mergeCell ref="J255:K255"/>
    <mergeCell ref="J256:K256"/>
    <mergeCell ref="J257:K257"/>
    <mergeCell ref="J258:K258"/>
    <mergeCell ref="J259:K259"/>
    <mergeCell ref="J260:K260"/>
    <mergeCell ref="J261:K261"/>
    <mergeCell ref="J262:K262"/>
    <mergeCell ref="J263:K263"/>
    <mergeCell ref="J264:K264"/>
    <mergeCell ref="J231:K231"/>
    <mergeCell ref="J232:K232"/>
    <mergeCell ref="J233:K233"/>
    <mergeCell ref="J234:K234"/>
    <mergeCell ref="J235:K235"/>
    <mergeCell ref="J236:K236"/>
    <mergeCell ref="J237:K237"/>
    <mergeCell ref="J238:K238"/>
    <mergeCell ref="J239:K239"/>
    <mergeCell ref="J240:K240"/>
    <mergeCell ref="J241:K241"/>
    <mergeCell ref="J242:K242"/>
    <mergeCell ref="J243:K243"/>
    <mergeCell ref="J244:K244"/>
    <mergeCell ref="J245:K245"/>
    <mergeCell ref="J246:K246"/>
    <mergeCell ref="J247:K247"/>
    <mergeCell ref="J214:K214"/>
    <mergeCell ref="J215:K215"/>
    <mergeCell ref="J216:K216"/>
    <mergeCell ref="J217:K217"/>
    <mergeCell ref="J218:K218"/>
    <mergeCell ref="J219:K219"/>
    <mergeCell ref="J220:K220"/>
    <mergeCell ref="J221:K221"/>
    <mergeCell ref="J222:K222"/>
    <mergeCell ref="J223:K223"/>
    <mergeCell ref="J224:K224"/>
    <mergeCell ref="J225:K225"/>
    <mergeCell ref="J226:K226"/>
    <mergeCell ref="J227:K227"/>
    <mergeCell ref="J228:K228"/>
    <mergeCell ref="J229:K229"/>
    <mergeCell ref="J230:K230"/>
    <mergeCell ref="J197:K197"/>
    <mergeCell ref="J198:K198"/>
    <mergeCell ref="J199:K199"/>
    <mergeCell ref="J200:K200"/>
    <mergeCell ref="J201:K201"/>
    <mergeCell ref="J202:K202"/>
    <mergeCell ref="J203:K203"/>
    <mergeCell ref="J204:K204"/>
    <mergeCell ref="J205:K205"/>
    <mergeCell ref="J206:K206"/>
    <mergeCell ref="J207:K207"/>
    <mergeCell ref="J208:K208"/>
    <mergeCell ref="J209:K209"/>
    <mergeCell ref="J210:K210"/>
    <mergeCell ref="J211:K211"/>
    <mergeCell ref="J212:K212"/>
    <mergeCell ref="J213:K213"/>
    <mergeCell ref="J180:K180"/>
    <mergeCell ref="J181:K181"/>
    <mergeCell ref="J182:K182"/>
    <mergeCell ref="J183:K183"/>
    <mergeCell ref="J184:K184"/>
    <mergeCell ref="J185:K185"/>
    <mergeCell ref="J186:K186"/>
    <mergeCell ref="J187:K187"/>
    <mergeCell ref="J188:K188"/>
    <mergeCell ref="J189:K189"/>
    <mergeCell ref="J190:K190"/>
    <mergeCell ref="J191:K191"/>
    <mergeCell ref="J192:K192"/>
    <mergeCell ref="J193:K193"/>
    <mergeCell ref="J194:K194"/>
    <mergeCell ref="J195:K195"/>
    <mergeCell ref="J196:K196"/>
    <mergeCell ref="J163:K163"/>
    <mergeCell ref="J164:K164"/>
    <mergeCell ref="J165:K165"/>
    <mergeCell ref="J166:K166"/>
    <mergeCell ref="J167:K167"/>
    <mergeCell ref="J168:K168"/>
    <mergeCell ref="J169:K169"/>
    <mergeCell ref="J170:K170"/>
    <mergeCell ref="J171:K171"/>
    <mergeCell ref="J172:K172"/>
    <mergeCell ref="J173:K173"/>
    <mergeCell ref="J174:K174"/>
    <mergeCell ref="J175:K175"/>
    <mergeCell ref="J176:K176"/>
    <mergeCell ref="J177:K177"/>
    <mergeCell ref="J178:K178"/>
    <mergeCell ref="J179:K179"/>
    <mergeCell ref="J146:K146"/>
    <mergeCell ref="J147:K147"/>
    <mergeCell ref="J148:K148"/>
    <mergeCell ref="J149:K149"/>
    <mergeCell ref="J150:K150"/>
    <mergeCell ref="J151:K151"/>
    <mergeCell ref="J152:K152"/>
    <mergeCell ref="J153:K153"/>
    <mergeCell ref="J154:K154"/>
    <mergeCell ref="J155:K155"/>
    <mergeCell ref="J156:K156"/>
    <mergeCell ref="J157:K157"/>
    <mergeCell ref="J158:K158"/>
    <mergeCell ref="J159:K159"/>
    <mergeCell ref="J160:K160"/>
    <mergeCell ref="J161:K161"/>
    <mergeCell ref="J162:K162"/>
    <mergeCell ref="J129:K129"/>
    <mergeCell ref="J130:K130"/>
    <mergeCell ref="J131:K131"/>
    <mergeCell ref="J132:K132"/>
    <mergeCell ref="J133:K133"/>
    <mergeCell ref="J134:K134"/>
    <mergeCell ref="J135:K135"/>
    <mergeCell ref="J136:K136"/>
    <mergeCell ref="J137:K137"/>
    <mergeCell ref="J138:K138"/>
    <mergeCell ref="J139:K139"/>
    <mergeCell ref="J140:K140"/>
    <mergeCell ref="J141:K141"/>
    <mergeCell ref="J142:K142"/>
    <mergeCell ref="J143:K143"/>
    <mergeCell ref="J144:K144"/>
    <mergeCell ref="J145:K145"/>
    <mergeCell ref="J112:K112"/>
    <mergeCell ref="J113:K113"/>
    <mergeCell ref="J114:K114"/>
    <mergeCell ref="J115:K115"/>
    <mergeCell ref="J116:K116"/>
    <mergeCell ref="J117:K117"/>
    <mergeCell ref="J118:K118"/>
    <mergeCell ref="J119:K119"/>
    <mergeCell ref="J120:K120"/>
    <mergeCell ref="J121:K121"/>
    <mergeCell ref="J122:K122"/>
    <mergeCell ref="J123:K123"/>
    <mergeCell ref="J124:K124"/>
    <mergeCell ref="J125:K125"/>
    <mergeCell ref="J126:K126"/>
    <mergeCell ref="J127:K127"/>
    <mergeCell ref="J128:K128"/>
    <mergeCell ref="J95:K95"/>
    <mergeCell ref="J96:K96"/>
    <mergeCell ref="J97:K97"/>
    <mergeCell ref="J98:K98"/>
    <mergeCell ref="J99:K99"/>
    <mergeCell ref="J100:K100"/>
    <mergeCell ref="J101:K101"/>
    <mergeCell ref="J102:K102"/>
    <mergeCell ref="J103:K103"/>
    <mergeCell ref="J104:K104"/>
    <mergeCell ref="J105:K105"/>
    <mergeCell ref="J106:K106"/>
    <mergeCell ref="J107:K107"/>
    <mergeCell ref="J108:K108"/>
    <mergeCell ref="J92:K92"/>
    <mergeCell ref="J93:K93"/>
    <mergeCell ref="J94:K94"/>
    <mergeCell ref="H338:I338"/>
    <mergeCell ref="H339:I339"/>
    <mergeCell ref="H340:I340"/>
    <mergeCell ref="H341:I341"/>
    <mergeCell ref="H342:I342"/>
    <mergeCell ref="H343:I343"/>
    <mergeCell ref="H344:I344"/>
    <mergeCell ref="H345:I345"/>
    <mergeCell ref="H346:I346"/>
    <mergeCell ref="H347:I347"/>
    <mergeCell ref="H348:I348"/>
    <mergeCell ref="H321:I321"/>
    <mergeCell ref="H322:I322"/>
    <mergeCell ref="H323:I323"/>
    <mergeCell ref="H324:I324"/>
    <mergeCell ref="H325:I325"/>
    <mergeCell ref="H326:I326"/>
    <mergeCell ref="H327:I327"/>
    <mergeCell ref="H328:I328"/>
    <mergeCell ref="H329:I329"/>
    <mergeCell ref="H330:I330"/>
    <mergeCell ref="H331:I331"/>
    <mergeCell ref="H332:I332"/>
    <mergeCell ref="H333:I333"/>
    <mergeCell ref="H334:I334"/>
    <mergeCell ref="H335:I335"/>
    <mergeCell ref="J109:K109"/>
    <mergeCell ref="J110:K110"/>
    <mergeCell ref="J111:K111"/>
    <mergeCell ref="H336:I336"/>
    <mergeCell ref="H337:I337"/>
    <mergeCell ref="H304:I304"/>
    <mergeCell ref="H305:I305"/>
    <mergeCell ref="H306:I306"/>
    <mergeCell ref="H307:I307"/>
    <mergeCell ref="H308:I308"/>
    <mergeCell ref="H309:I309"/>
    <mergeCell ref="H310:I310"/>
    <mergeCell ref="H311:I311"/>
    <mergeCell ref="H312:I312"/>
    <mergeCell ref="H313:I313"/>
    <mergeCell ref="H314:I314"/>
    <mergeCell ref="H315:I315"/>
    <mergeCell ref="H316:I316"/>
    <mergeCell ref="H317:I317"/>
    <mergeCell ref="H318:I318"/>
    <mergeCell ref="H319:I319"/>
    <mergeCell ref="H320:I320"/>
    <mergeCell ref="H287:I287"/>
    <mergeCell ref="H288:I288"/>
    <mergeCell ref="H289:I289"/>
    <mergeCell ref="H290:I290"/>
    <mergeCell ref="H291:I291"/>
    <mergeCell ref="H292:I292"/>
    <mergeCell ref="H293:I293"/>
    <mergeCell ref="H294:I294"/>
    <mergeCell ref="H295:I295"/>
    <mergeCell ref="H296:I296"/>
    <mergeCell ref="H297:I297"/>
    <mergeCell ref="H298:I298"/>
    <mergeCell ref="H299:I299"/>
    <mergeCell ref="H300:I300"/>
    <mergeCell ref="H301:I301"/>
    <mergeCell ref="H302:I302"/>
    <mergeCell ref="H303:I303"/>
    <mergeCell ref="H270:I270"/>
    <mergeCell ref="H271:I271"/>
    <mergeCell ref="H272:I272"/>
    <mergeCell ref="H273:I273"/>
    <mergeCell ref="H274:I274"/>
    <mergeCell ref="H275:I275"/>
    <mergeCell ref="H276:I276"/>
    <mergeCell ref="H277:I277"/>
    <mergeCell ref="H278:I278"/>
    <mergeCell ref="H279:I279"/>
    <mergeCell ref="H280:I280"/>
    <mergeCell ref="H281:I281"/>
    <mergeCell ref="H282:I282"/>
    <mergeCell ref="H283:I283"/>
    <mergeCell ref="H284:I284"/>
    <mergeCell ref="H285:I285"/>
    <mergeCell ref="H286:I286"/>
    <mergeCell ref="H253:I253"/>
    <mergeCell ref="H254:I254"/>
    <mergeCell ref="H255:I255"/>
    <mergeCell ref="H256:I256"/>
    <mergeCell ref="H257:I257"/>
    <mergeCell ref="H258:I258"/>
    <mergeCell ref="H259:I259"/>
    <mergeCell ref="H260:I260"/>
    <mergeCell ref="H261:I261"/>
    <mergeCell ref="H262:I262"/>
    <mergeCell ref="H263:I263"/>
    <mergeCell ref="H264:I264"/>
    <mergeCell ref="H265:I265"/>
    <mergeCell ref="H266:I266"/>
    <mergeCell ref="H267:I267"/>
    <mergeCell ref="H268:I268"/>
    <mergeCell ref="H269:I269"/>
    <mergeCell ref="H236:I236"/>
    <mergeCell ref="H237:I237"/>
    <mergeCell ref="H238:I238"/>
    <mergeCell ref="H239:I239"/>
    <mergeCell ref="H240:I240"/>
    <mergeCell ref="H241:I241"/>
    <mergeCell ref="H242:I242"/>
    <mergeCell ref="H243:I243"/>
    <mergeCell ref="H244:I244"/>
    <mergeCell ref="H245:I245"/>
    <mergeCell ref="H246:I246"/>
    <mergeCell ref="H247:I247"/>
    <mergeCell ref="H248:I248"/>
    <mergeCell ref="H249:I249"/>
    <mergeCell ref="H250:I250"/>
    <mergeCell ref="H251:I251"/>
    <mergeCell ref="H252:I252"/>
    <mergeCell ref="H219:I219"/>
    <mergeCell ref="H220:I220"/>
    <mergeCell ref="H221:I221"/>
    <mergeCell ref="H222:I222"/>
    <mergeCell ref="H223:I223"/>
    <mergeCell ref="H224:I224"/>
    <mergeCell ref="H225:I225"/>
    <mergeCell ref="H226:I226"/>
    <mergeCell ref="H227:I227"/>
    <mergeCell ref="H228:I228"/>
    <mergeCell ref="H229:I229"/>
    <mergeCell ref="H230:I230"/>
    <mergeCell ref="H231:I231"/>
    <mergeCell ref="H232:I232"/>
    <mergeCell ref="H233:I233"/>
    <mergeCell ref="H234:I234"/>
    <mergeCell ref="H235:I235"/>
    <mergeCell ref="H202:I202"/>
    <mergeCell ref="H203:I203"/>
    <mergeCell ref="H204:I204"/>
    <mergeCell ref="H205:I205"/>
    <mergeCell ref="H206:I206"/>
    <mergeCell ref="H207:I207"/>
    <mergeCell ref="H208:I208"/>
    <mergeCell ref="H209:I209"/>
    <mergeCell ref="H210:I210"/>
    <mergeCell ref="H211:I211"/>
    <mergeCell ref="H212:I212"/>
    <mergeCell ref="H213:I213"/>
    <mergeCell ref="H214:I214"/>
    <mergeCell ref="H215:I215"/>
    <mergeCell ref="H216:I216"/>
    <mergeCell ref="H217:I217"/>
    <mergeCell ref="H218:I218"/>
    <mergeCell ref="H185:I185"/>
    <mergeCell ref="H186:I186"/>
    <mergeCell ref="H187:I187"/>
    <mergeCell ref="H188:I188"/>
    <mergeCell ref="H189:I189"/>
    <mergeCell ref="H190:I190"/>
    <mergeCell ref="H191:I191"/>
    <mergeCell ref="H192:I192"/>
    <mergeCell ref="H193:I193"/>
    <mergeCell ref="H194:I194"/>
    <mergeCell ref="H195:I195"/>
    <mergeCell ref="H196:I196"/>
    <mergeCell ref="H197:I197"/>
    <mergeCell ref="H198:I198"/>
    <mergeCell ref="H199:I199"/>
    <mergeCell ref="H200:I200"/>
    <mergeCell ref="H201:I201"/>
    <mergeCell ref="H168:I168"/>
    <mergeCell ref="H169:I169"/>
    <mergeCell ref="H170:I170"/>
    <mergeCell ref="H171:I171"/>
    <mergeCell ref="H172:I172"/>
    <mergeCell ref="H173:I173"/>
    <mergeCell ref="H174:I174"/>
    <mergeCell ref="H175:I175"/>
    <mergeCell ref="H176:I176"/>
    <mergeCell ref="H177:I177"/>
    <mergeCell ref="H178:I178"/>
    <mergeCell ref="H179:I179"/>
    <mergeCell ref="H180:I180"/>
    <mergeCell ref="H181:I181"/>
    <mergeCell ref="H182:I182"/>
    <mergeCell ref="H183:I183"/>
    <mergeCell ref="H184:I184"/>
    <mergeCell ref="H151:I151"/>
    <mergeCell ref="H152:I152"/>
    <mergeCell ref="H153:I153"/>
    <mergeCell ref="H154:I154"/>
    <mergeCell ref="H155:I155"/>
    <mergeCell ref="H156:I156"/>
    <mergeCell ref="H157:I157"/>
    <mergeCell ref="H158:I158"/>
    <mergeCell ref="H159:I159"/>
    <mergeCell ref="H160:I160"/>
    <mergeCell ref="H161:I161"/>
    <mergeCell ref="H162:I162"/>
    <mergeCell ref="H163:I163"/>
    <mergeCell ref="H164:I164"/>
    <mergeCell ref="H165:I165"/>
    <mergeCell ref="H166:I166"/>
    <mergeCell ref="H167:I167"/>
    <mergeCell ref="H134:I134"/>
    <mergeCell ref="H135:I135"/>
    <mergeCell ref="H136:I136"/>
    <mergeCell ref="H137:I137"/>
    <mergeCell ref="H138:I138"/>
    <mergeCell ref="H139:I139"/>
    <mergeCell ref="H140:I140"/>
    <mergeCell ref="H141:I141"/>
    <mergeCell ref="H142:I142"/>
    <mergeCell ref="H143:I143"/>
    <mergeCell ref="H144:I144"/>
    <mergeCell ref="H145:I145"/>
    <mergeCell ref="H146:I146"/>
    <mergeCell ref="H147:I147"/>
    <mergeCell ref="H148:I148"/>
    <mergeCell ref="H149:I149"/>
    <mergeCell ref="H150:I150"/>
    <mergeCell ref="H109:I109"/>
    <mergeCell ref="H110:I110"/>
    <mergeCell ref="H111:I111"/>
    <mergeCell ref="H112:I112"/>
    <mergeCell ref="H113:I113"/>
    <mergeCell ref="H114:I114"/>
    <mergeCell ref="H115:I115"/>
    <mergeCell ref="H116:I116"/>
    <mergeCell ref="H117:I117"/>
    <mergeCell ref="H118:I118"/>
    <mergeCell ref="H119:I119"/>
    <mergeCell ref="H120:I120"/>
    <mergeCell ref="H121:I121"/>
    <mergeCell ref="H122:I122"/>
    <mergeCell ref="H123:I123"/>
    <mergeCell ref="H93:I93"/>
    <mergeCell ref="H94:I94"/>
    <mergeCell ref="H95:I95"/>
    <mergeCell ref="H96:I96"/>
    <mergeCell ref="H97:I97"/>
    <mergeCell ref="H98:I98"/>
    <mergeCell ref="H99:I99"/>
    <mergeCell ref="H100:I100"/>
    <mergeCell ref="H101:I101"/>
    <mergeCell ref="H102:I102"/>
    <mergeCell ref="H103:I103"/>
    <mergeCell ref="H104:I104"/>
    <mergeCell ref="H105:I105"/>
    <mergeCell ref="H106:I106"/>
    <mergeCell ref="H107:I107"/>
    <mergeCell ref="H108:I108"/>
    <mergeCell ref="P347:Q347"/>
    <mergeCell ref="P348:Q348"/>
    <mergeCell ref="P349:Q349"/>
    <mergeCell ref="P313:Q313"/>
    <mergeCell ref="P314:Q314"/>
    <mergeCell ref="P315:Q315"/>
    <mergeCell ref="P316:Q316"/>
    <mergeCell ref="P317:Q317"/>
    <mergeCell ref="P318:Q318"/>
    <mergeCell ref="P319:Q319"/>
    <mergeCell ref="P320:Q320"/>
    <mergeCell ref="P321:Q321"/>
    <mergeCell ref="P322:Q322"/>
    <mergeCell ref="P323:Q323"/>
    <mergeCell ref="P324:Q324"/>
    <mergeCell ref="P325:Q325"/>
    <mergeCell ref="P326:Q326"/>
    <mergeCell ref="P327:Q327"/>
    <mergeCell ref="P328:Q328"/>
    <mergeCell ref="P329:Q329"/>
    <mergeCell ref="H124:I124"/>
    <mergeCell ref="H125:I125"/>
    <mergeCell ref="H126:I126"/>
    <mergeCell ref="H127:I127"/>
    <mergeCell ref="H128:I128"/>
    <mergeCell ref="H129:I129"/>
    <mergeCell ref="H130:I130"/>
    <mergeCell ref="H131:I131"/>
    <mergeCell ref="H132:I132"/>
    <mergeCell ref="H133:I133"/>
    <mergeCell ref="P359:Q359"/>
    <mergeCell ref="P360:Q360"/>
    <mergeCell ref="P361:Q361"/>
    <mergeCell ref="P362:Q362"/>
    <mergeCell ref="P363:Q363"/>
    <mergeCell ref="P330:Q330"/>
    <mergeCell ref="P331:Q331"/>
    <mergeCell ref="P332:Q332"/>
    <mergeCell ref="P333:Q333"/>
    <mergeCell ref="P334:Q334"/>
    <mergeCell ref="P335:Q335"/>
    <mergeCell ref="P336:Q336"/>
    <mergeCell ref="P337:Q337"/>
    <mergeCell ref="P338:Q338"/>
    <mergeCell ref="P339:Q339"/>
    <mergeCell ref="P340:Q340"/>
    <mergeCell ref="P341:Q341"/>
    <mergeCell ref="P342:Q342"/>
    <mergeCell ref="P343:Q343"/>
    <mergeCell ref="P344:Q344"/>
    <mergeCell ref="P345:Q345"/>
    <mergeCell ref="P346:Q346"/>
    <mergeCell ref="P296:Q296"/>
    <mergeCell ref="P297:Q297"/>
    <mergeCell ref="P298:Q298"/>
    <mergeCell ref="P299:Q299"/>
    <mergeCell ref="P300:Q300"/>
    <mergeCell ref="P301:Q301"/>
    <mergeCell ref="P302:Q302"/>
    <mergeCell ref="P303:Q303"/>
    <mergeCell ref="P304:Q304"/>
    <mergeCell ref="P305:Q305"/>
    <mergeCell ref="P306:Q306"/>
    <mergeCell ref="P307:Q307"/>
    <mergeCell ref="P308:Q308"/>
    <mergeCell ref="P309:Q309"/>
    <mergeCell ref="P310:Q310"/>
    <mergeCell ref="P311:Q311"/>
    <mergeCell ref="P312:Q312"/>
    <mergeCell ref="P279:Q279"/>
    <mergeCell ref="P280:Q280"/>
    <mergeCell ref="P281:Q281"/>
    <mergeCell ref="P282:Q282"/>
    <mergeCell ref="P283:Q283"/>
    <mergeCell ref="P284:Q284"/>
    <mergeCell ref="P285:Q285"/>
    <mergeCell ref="P286:Q286"/>
    <mergeCell ref="P287:Q287"/>
    <mergeCell ref="P288:Q288"/>
    <mergeCell ref="P289:Q289"/>
    <mergeCell ref="P290:Q290"/>
    <mergeCell ref="P291:Q291"/>
    <mergeCell ref="P292:Q292"/>
    <mergeCell ref="P293:Q293"/>
    <mergeCell ref="P294:Q294"/>
    <mergeCell ref="P295:Q295"/>
    <mergeCell ref="P262:Q262"/>
    <mergeCell ref="P263:Q263"/>
    <mergeCell ref="P264:Q264"/>
    <mergeCell ref="P265:Q265"/>
    <mergeCell ref="P266:Q266"/>
    <mergeCell ref="P267:Q267"/>
    <mergeCell ref="P268:Q268"/>
    <mergeCell ref="P269:Q269"/>
    <mergeCell ref="P270:Q270"/>
    <mergeCell ref="P271:Q271"/>
    <mergeCell ref="P272:Q272"/>
    <mergeCell ref="P273:Q273"/>
    <mergeCell ref="P274:Q274"/>
    <mergeCell ref="P275:Q275"/>
    <mergeCell ref="P276:Q276"/>
    <mergeCell ref="P277:Q277"/>
    <mergeCell ref="P278:Q278"/>
    <mergeCell ref="P245:Q245"/>
    <mergeCell ref="P246:Q246"/>
    <mergeCell ref="P247:Q247"/>
    <mergeCell ref="P248:Q248"/>
    <mergeCell ref="P249:Q249"/>
    <mergeCell ref="P250:Q250"/>
    <mergeCell ref="P251:Q251"/>
    <mergeCell ref="P252:Q252"/>
    <mergeCell ref="P253:Q253"/>
    <mergeCell ref="P254:Q254"/>
    <mergeCell ref="P255:Q255"/>
    <mergeCell ref="P256:Q256"/>
    <mergeCell ref="P257:Q257"/>
    <mergeCell ref="P258:Q258"/>
    <mergeCell ref="P259:Q259"/>
    <mergeCell ref="P260:Q260"/>
    <mergeCell ref="P261:Q261"/>
    <mergeCell ref="P228:Q228"/>
    <mergeCell ref="P229:Q229"/>
    <mergeCell ref="P230:Q230"/>
    <mergeCell ref="P231:Q231"/>
    <mergeCell ref="P232:Q232"/>
    <mergeCell ref="P233:Q233"/>
    <mergeCell ref="P234:Q234"/>
    <mergeCell ref="P235:Q235"/>
    <mergeCell ref="P236:Q236"/>
    <mergeCell ref="P237:Q237"/>
    <mergeCell ref="P238:Q238"/>
    <mergeCell ref="P239:Q239"/>
    <mergeCell ref="P240:Q240"/>
    <mergeCell ref="P241:Q241"/>
    <mergeCell ref="P242:Q242"/>
    <mergeCell ref="P243:Q243"/>
    <mergeCell ref="P244:Q244"/>
    <mergeCell ref="P211:Q211"/>
    <mergeCell ref="P212:Q212"/>
    <mergeCell ref="P213:Q213"/>
    <mergeCell ref="P214:Q214"/>
    <mergeCell ref="P215:Q215"/>
    <mergeCell ref="P216:Q216"/>
    <mergeCell ref="P217:Q217"/>
    <mergeCell ref="P218:Q218"/>
    <mergeCell ref="P219:Q219"/>
    <mergeCell ref="P220:Q220"/>
    <mergeCell ref="P221:Q221"/>
    <mergeCell ref="P222:Q222"/>
    <mergeCell ref="P223:Q223"/>
    <mergeCell ref="P224:Q224"/>
    <mergeCell ref="P225:Q225"/>
    <mergeCell ref="P226:Q226"/>
    <mergeCell ref="P227:Q227"/>
    <mergeCell ref="P194:Q194"/>
    <mergeCell ref="P195:Q195"/>
    <mergeCell ref="P196:Q196"/>
    <mergeCell ref="P197:Q197"/>
    <mergeCell ref="P198:Q198"/>
    <mergeCell ref="P199:Q199"/>
    <mergeCell ref="P200:Q200"/>
    <mergeCell ref="P201:Q201"/>
    <mergeCell ref="P202:Q202"/>
    <mergeCell ref="P203:Q203"/>
    <mergeCell ref="P204:Q204"/>
    <mergeCell ref="P205:Q205"/>
    <mergeCell ref="P206:Q206"/>
    <mergeCell ref="P207:Q207"/>
    <mergeCell ref="P208:Q208"/>
    <mergeCell ref="P209:Q209"/>
    <mergeCell ref="P210:Q210"/>
    <mergeCell ref="P177:Q177"/>
    <mergeCell ref="P178:Q178"/>
    <mergeCell ref="P179:Q179"/>
    <mergeCell ref="P180:Q180"/>
    <mergeCell ref="P181:Q181"/>
    <mergeCell ref="P182:Q182"/>
    <mergeCell ref="P183:Q183"/>
    <mergeCell ref="P184:Q184"/>
    <mergeCell ref="P185:Q185"/>
    <mergeCell ref="P186:Q186"/>
    <mergeCell ref="P187:Q187"/>
    <mergeCell ref="P188:Q188"/>
    <mergeCell ref="P189:Q189"/>
    <mergeCell ref="P190:Q190"/>
    <mergeCell ref="P191:Q191"/>
    <mergeCell ref="P192:Q192"/>
    <mergeCell ref="P193:Q193"/>
    <mergeCell ref="P160:Q160"/>
    <mergeCell ref="P161:Q161"/>
    <mergeCell ref="P162:Q162"/>
    <mergeCell ref="P163:Q163"/>
    <mergeCell ref="P164:Q164"/>
    <mergeCell ref="P165:Q165"/>
    <mergeCell ref="P166:Q166"/>
    <mergeCell ref="P167:Q167"/>
    <mergeCell ref="P168:Q168"/>
    <mergeCell ref="P169:Q169"/>
    <mergeCell ref="P170:Q170"/>
    <mergeCell ref="P171:Q171"/>
    <mergeCell ref="P172:Q172"/>
    <mergeCell ref="P173:Q173"/>
    <mergeCell ref="P174:Q174"/>
    <mergeCell ref="P175:Q175"/>
    <mergeCell ref="P176:Q176"/>
    <mergeCell ref="P143:Q143"/>
    <mergeCell ref="P144:Q144"/>
    <mergeCell ref="P145:Q145"/>
    <mergeCell ref="P146:Q146"/>
    <mergeCell ref="P147:Q147"/>
    <mergeCell ref="P148:Q148"/>
    <mergeCell ref="P149:Q149"/>
    <mergeCell ref="P150:Q150"/>
    <mergeCell ref="P151:Q151"/>
    <mergeCell ref="P152:Q152"/>
    <mergeCell ref="P153:Q153"/>
    <mergeCell ref="P154:Q154"/>
    <mergeCell ref="P155:Q155"/>
    <mergeCell ref="P156:Q156"/>
    <mergeCell ref="P157:Q157"/>
    <mergeCell ref="P158:Q158"/>
    <mergeCell ref="P159:Q159"/>
    <mergeCell ref="P126:Q126"/>
    <mergeCell ref="P127:Q127"/>
    <mergeCell ref="P128:Q128"/>
    <mergeCell ref="P129:Q129"/>
    <mergeCell ref="P130:Q130"/>
    <mergeCell ref="P131:Q131"/>
    <mergeCell ref="P132:Q132"/>
    <mergeCell ref="P133:Q133"/>
    <mergeCell ref="P134:Q134"/>
    <mergeCell ref="P135:Q135"/>
    <mergeCell ref="P136:Q136"/>
    <mergeCell ref="P137:Q137"/>
    <mergeCell ref="P138:Q138"/>
    <mergeCell ref="P139:Q139"/>
    <mergeCell ref="P140:Q140"/>
    <mergeCell ref="P141:Q141"/>
    <mergeCell ref="P142:Q142"/>
    <mergeCell ref="P109:Q109"/>
    <mergeCell ref="P110:Q110"/>
    <mergeCell ref="P111:Q111"/>
    <mergeCell ref="P112:Q112"/>
    <mergeCell ref="P113:Q113"/>
    <mergeCell ref="P114:Q114"/>
    <mergeCell ref="P115:Q115"/>
    <mergeCell ref="P116:Q116"/>
    <mergeCell ref="P117:Q117"/>
    <mergeCell ref="P118:Q118"/>
    <mergeCell ref="P119:Q119"/>
    <mergeCell ref="P120:Q120"/>
    <mergeCell ref="P121:Q121"/>
    <mergeCell ref="P122:Q122"/>
    <mergeCell ref="P123:Q123"/>
    <mergeCell ref="P124:Q124"/>
    <mergeCell ref="P125:Q125"/>
    <mergeCell ref="P92:Q92"/>
    <mergeCell ref="P93:Q93"/>
    <mergeCell ref="P94:Q94"/>
    <mergeCell ref="P95:Q95"/>
    <mergeCell ref="P96:Q96"/>
    <mergeCell ref="P97:Q97"/>
    <mergeCell ref="P98:Q98"/>
    <mergeCell ref="P99:Q99"/>
    <mergeCell ref="P100:Q100"/>
    <mergeCell ref="P101:Q101"/>
    <mergeCell ref="P102:Q102"/>
    <mergeCell ref="P103:Q103"/>
    <mergeCell ref="P104:Q104"/>
    <mergeCell ref="P105:Q105"/>
    <mergeCell ref="P106:Q106"/>
    <mergeCell ref="P107:Q107"/>
    <mergeCell ref="P108:Q108"/>
    <mergeCell ref="H76:I76"/>
    <mergeCell ref="H77:I77"/>
    <mergeCell ref="H78:I78"/>
    <mergeCell ref="H79:I79"/>
    <mergeCell ref="H80:I80"/>
    <mergeCell ref="P87:Q87"/>
    <mergeCell ref="P88:Q88"/>
    <mergeCell ref="P89:Q89"/>
    <mergeCell ref="P90:Q90"/>
    <mergeCell ref="P91:Q91"/>
    <mergeCell ref="H81:I81"/>
    <mergeCell ref="H82:I82"/>
    <mergeCell ref="J89:K89"/>
    <mergeCell ref="J90:K90"/>
    <mergeCell ref="J91:K91"/>
    <mergeCell ref="J72:K72"/>
    <mergeCell ref="J73:K73"/>
    <mergeCell ref="J74:K74"/>
    <mergeCell ref="J75:K75"/>
    <mergeCell ref="J76:K76"/>
    <mergeCell ref="J77:K77"/>
    <mergeCell ref="J78:K78"/>
    <mergeCell ref="J79:K79"/>
    <mergeCell ref="J80:K80"/>
    <mergeCell ref="J81:K81"/>
    <mergeCell ref="J86:K86"/>
    <mergeCell ref="J87:K87"/>
    <mergeCell ref="J88:K88"/>
    <mergeCell ref="L90:M90"/>
    <mergeCell ref="L91:M91"/>
    <mergeCell ref="F75:G75"/>
    <mergeCell ref="F76:G76"/>
    <mergeCell ref="F77:G77"/>
    <mergeCell ref="F78:G78"/>
    <mergeCell ref="F79:G79"/>
    <mergeCell ref="F80:G80"/>
    <mergeCell ref="AP63:AQ63"/>
    <mergeCell ref="AP64:AQ64"/>
    <mergeCell ref="AN64:AO64"/>
    <mergeCell ref="P64:Q64"/>
    <mergeCell ref="V64:W64"/>
    <mergeCell ref="P63:Q63"/>
    <mergeCell ref="N63:O63"/>
    <mergeCell ref="L63:M63"/>
    <mergeCell ref="J63:K63"/>
    <mergeCell ref="H63:I63"/>
    <mergeCell ref="P75:Q75"/>
    <mergeCell ref="P76:Q76"/>
    <mergeCell ref="P77:Q77"/>
    <mergeCell ref="P78:Q78"/>
    <mergeCell ref="P79:Q79"/>
    <mergeCell ref="P80:Q80"/>
    <mergeCell ref="H66:I66"/>
    <mergeCell ref="H67:I67"/>
    <mergeCell ref="H68:I68"/>
    <mergeCell ref="H69:I69"/>
    <mergeCell ref="H70:I70"/>
    <mergeCell ref="H71:I71"/>
    <mergeCell ref="H72:I72"/>
    <mergeCell ref="H73:I73"/>
    <mergeCell ref="H74:I74"/>
    <mergeCell ref="H75:I75"/>
    <mergeCell ref="D81:E81"/>
    <mergeCell ref="D82:E82"/>
    <mergeCell ref="D83:E83"/>
    <mergeCell ref="D84:E84"/>
    <mergeCell ref="D85:E85"/>
    <mergeCell ref="D86:E86"/>
    <mergeCell ref="AP62:AQ62"/>
    <mergeCell ref="R62:S62"/>
    <mergeCell ref="N64:O64"/>
    <mergeCell ref="L64:M64"/>
    <mergeCell ref="J64:K64"/>
    <mergeCell ref="V62:W62"/>
    <mergeCell ref="X62:Y62"/>
    <mergeCell ref="X63:Y63"/>
    <mergeCell ref="V63:W63"/>
    <mergeCell ref="R63:S63"/>
    <mergeCell ref="X65:Y65"/>
    <mergeCell ref="X66:Y66"/>
    <mergeCell ref="X67:Y67"/>
    <mergeCell ref="X68:Y68"/>
    <mergeCell ref="X69:Y69"/>
    <mergeCell ref="X70:Y70"/>
    <mergeCell ref="X71:Y71"/>
    <mergeCell ref="X72:Y72"/>
    <mergeCell ref="X73:Y73"/>
    <mergeCell ref="X74:Y74"/>
    <mergeCell ref="X75:Y75"/>
    <mergeCell ref="X76:Y76"/>
    <mergeCell ref="X77:Y77"/>
    <mergeCell ref="F64:G64"/>
    <mergeCell ref="F65:G65"/>
    <mergeCell ref="F66:G66"/>
    <mergeCell ref="H62:I62"/>
    <mergeCell ref="H64:I64"/>
    <mergeCell ref="D62:E62"/>
    <mergeCell ref="D64:E64"/>
    <mergeCell ref="D65:E65"/>
    <mergeCell ref="D66:E66"/>
    <mergeCell ref="D67:E67"/>
    <mergeCell ref="D68:E68"/>
    <mergeCell ref="D69:E69"/>
    <mergeCell ref="D70:E70"/>
    <mergeCell ref="D96:E96"/>
    <mergeCell ref="D97:E97"/>
    <mergeCell ref="D98:E98"/>
    <mergeCell ref="D99:E99"/>
    <mergeCell ref="D78:E78"/>
    <mergeCell ref="D79:E79"/>
    <mergeCell ref="F90:G90"/>
    <mergeCell ref="F81:G81"/>
    <mergeCell ref="F82:G82"/>
    <mergeCell ref="D80:E80"/>
    <mergeCell ref="D95:E95"/>
    <mergeCell ref="F62:G62"/>
    <mergeCell ref="F63:G63"/>
    <mergeCell ref="F91:G91"/>
    <mergeCell ref="F92:G92"/>
    <mergeCell ref="F93:G93"/>
    <mergeCell ref="D89:E89"/>
    <mergeCell ref="F83:G83"/>
    <mergeCell ref="F84:G84"/>
    <mergeCell ref="F85:G85"/>
    <mergeCell ref="F86:G86"/>
    <mergeCell ref="D90:E90"/>
    <mergeCell ref="D114:E114"/>
    <mergeCell ref="D115:E115"/>
    <mergeCell ref="BM51:BU51"/>
    <mergeCell ref="D350:E350"/>
    <mergeCell ref="D351:E351"/>
    <mergeCell ref="D352:E352"/>
    <mergeCell ref="P62:Q62"/>
    <mergeCell ref="J62:K62"/>
    <mergeCell ref="L62:M62"/>
    <mergeCell ref="N62:O62"/>
    <mergeCell ref="AN62:AO62"/>
    <mergeCell ref="H83:I83"/>
    <mergeCell ref="H84:I84"/>
    <mergeCell ref="H85:I85"/>
    <mergeCell ref="H86:I86"/>
    <mergeCell ref="H87:I87"/>
    <mergeCell ref="H88:I88"/>
    <mergeCell ref="H89:I89"/>
    <mergeCell ref="H90:I90"/>
    <mergeCell ref="H91:I91"/>
    <mergeCell ref="H92:I92"/>
    <mergeCell ref="P82:Q82"/>
    <mergeCell ref="P83:Q83"/>
    <mergeCell ref="P84:Q84"/>
    <mergeCell ref="P85:Q85"/>
    <mergeCell ref="P86:Q86"/>
    <mergeCell ref="D94:E94"/>
    <mergeCell ref="D91:E91"/>
    <mergeCell ref="D92:E92"/>
    <mergeCell ref="D93:E93"/>
    <mergeCell ref="AN65:AO65"/>
    <mergeCell ref="AP65:AQ65"/>
    <mergeCell ref="S19:W19"/>
    <mergeCell ref="S21:W21"/>
    <mergeCell ref="N27:R27"/>
    <mergeCell ref="N28:R28"/>
    <mergeCell ref="S26:W26"/>
    <mergeCell ref="CH49:CJ49"/>
    <mergeCell ref="CH50:CJ50"/>
    <mergeCell ref="S25:W25"/>
    <mergeCell ref="U18:W18"/>
    <mergeCell ref="S16:W16"/>
    <mergeCell ref="S18:T18"/>
    <mergeCell ref="N18:R18"/>
    <mergeCell ref="U24:W24"/>
    <mergeCell ref="S24:T24"/>
    <mergeCell ref="N24:R24"/>
    <mergeCell ref="N20:R20"/>
    <mergeCell ref="N21:R21"/>
    <mergeCell ref="N19:R19"/>
    <mergeCell ref="S20:T20"/>
    <mergeCell ref="U20:W20"/>
    <mergeCell ref="S31:W31"/>
    <mergeCell ref="S32:W32"/>
    <mergeCell ref="N31:R31"/>
    <mergeCell ref="N32:R32"/>
    <mergeCell ref="N30:W30"/>
    <mergeCell ref="N17:R17"/>
    <mergeCell ref="N16:R16"/>
    <mergeCell ref="BL48:CK48"/>
    <mergeCell ref="O43:Q43"/>
    <mergeCell ref="O42:Q42"/>
    <mergeCell ref="S42:U42"/>
    <mergeCell ref="S43:U43"/>
    <mergeCell ref="F21:K21"/>
    <mergeCell ref="D8:K8"/>
    <mergeCell ref="D9:K9"/>
    <mergeCell ref="R8:T8"/>
    <mergeCell ref="F16:K16"/>
    <mergeCell ref="F17:K17"/>
    <mergeCell ref="C16:E16"/>
    <mergeCell ref="C15:E15"/>
    <mergeCell ref="D71:E71"/>
    <mergeCell ref="D72:E72"/>
    <mergeCell ref="D73:E73"/>
    <mergeCell ref="D74:E74"/>
    <mergeCell ref="D75:E75"/>
    <mergeCell ref="D76:E76"/>
    <mergeCell ref="D77:E77"/>
    <mergeCell ref="P65:Q65"/>
    <mergeCell ref="N65:O65"/>
    <mergeCell ref="L65:M65"/>
    <mergeCell ref="J65:K65"/>
    <mergeCell ref="H65:I65"/>
    <mergeCell ref="N76:O76"/>
    <mergeCell ref="N77:O77"/>
    <mergeCell ref="S17:W17"/>
    <mergeCell ref="L72:M72"/>
    <mergeCell ref="L73:M73"/>
    <mergeCell ref="L74:M74"/>
    <mergeCell ref="L75:M75"/>
    <mergeCell ref="L76:M76"/>
    <mergeCell ref="L77:M77"/>
    <mergeCell ref="C21:E21"/>
    <mergeCell ref="D63:E63"/>
    <mergeCell ref="F67:G67"/>
    <mergeCell ref="R65:S65"/>
    <mergeCell ref="P66:Q66"/>
    <mergeCell ref="P67:Q67"/>
    <mergeCell ref="P68:Q68"/>
    <mergeCell ref="P69:Q69"/>
    <mergeCell ref="P70:Q70"/>
    <mergeCell ref="CD49:CF49"/>
    <mergeCell ref="CD50:CF50"/>
    <mergeCell ref="BV51:BY51"/>
    <mergeCell ref="BM50:BU50"/>
    <mergeCell ref="S27:W27"/>
    <mergeCell ref="N25:R25"/>
    <mergeCell ref="N26:R26"/>
    <mergeCell ref="CF51:CI51"/>
    <mergeCell ref="CA51:CD51"/>
    <mergeCell ref="BZ49:CB49"/>
    <mergeCell ref="BZ50:CB50"/>
    <mergeCell ref="N41:Y41"/>
    <mergeCell ref="E42:H42"/>
    <mergeCell ref="BV49:BX49"/>
    <mergeCell ref="BV50:BX50"/>
    <mergeCell ref="V66:W66"/>
    <mergeCell ref="V67:W67"/>
    <mergeCell ref="V68:W68"/>
    <mergeCell ref="V69:W69"/>
    <mergeCell ref="V70:W70"/>
    <mergeCell ref="B42:D42"/>
    <mergeCell ref="B41:D41"/>
    <mergeCell ref="I41:K41"/>
    <mergeCell ref="E41:H41"/>
    <mergeCell ref="S28:W28"/>
    <mergeCell ref="V42:X42"/>
    <mergeCell ref="V43:X43"/>
    <mergeCell ref="X84:Y84"/>
    <mergeCell ref="X64:Y64"/>
    <mergeCell ref="R64:S64"/>
    <mergeCell ref="X78:Y78"/>
    <mergeCell ref="X79:Y79"/>
    <mergeCell ref="X80:Y80"/>
    <mergeCell ref="X81:Y81"/>
    <mergeCell ref="X82:Y82"/>
    <mergeCell ref="X83:Y83"/>
    <mergeCell ref="V65:W65"/>
    <mergeCell ref="AN83:AO83"/>
    <mergeCell ref="AN63:AO63"/>
    <mergeCell ref="AN66:AO66"/>
    <mergeCell ref="AN67:AO67"/>
    <mergeCell ref="AN68:AO68"/>
    <mergeCell ref="AN69:AO69"/>
    <mergeCell ref="AN70:AO70"/>
    <mergeCell ref="F89:G89"/>
    <mergeCell ref="P71:Q71"/>
    <mergeCell ref="P72:Q72"/>
    <mergeCell ref="P73:Q73"/>
    <mergeCell ref="P74:Q74"/>
    <mergeCell ref="N73:O73"/>
    <mergeCell ref="N74:O74"/>
    <mergeCell ref="L66:M66"/>
    <mergeCell ref="L67:M67"/>
    <mergeCell ref="L68:M68"/>
    <mergeCell ref="L69:M69"/>
    <mergeCell ref="L70:M70"/>
    <mergeCell ref="L71:M71"/>
    <mergeCell ref="R85:S85"/>
    <mergeCell ref="R86:S86"/>
    <mergeCell ref="R87:S87"/>
    <mergeCell ref="R88:S88"/>
    <mergeCell ref="R89:S89"/>
    <mergeCell ref="L83:M83"/>
    <mergeCell ref="L84:M84"/>
    <mergeCell ref="L85:M85"/>
    <mergeCell ref="L86:M86"/>
    <mergeCell ref="L87:M87"/>
    <mergeCell ref="L88:M88"/>
    <mergeCell ref="L89:M89"/>
    <mergeCell ref="F68:G68"/>
    <mergeCell ref="F69:G69"/>
    <mergeCell ref="F70:G70"/>
    <mergeCell ref="F71:G71"/>
    <mergeCell ref="F72:G72"/>
    <mergeCell ref="F73:G73"/>
    <mergeCell ref="F74:G74"/>
    <mergeCell ref="D116:E116"/>
    <mergeCell ref="D117:E117"/>
    <mergeCell ref="D87:E87"/>
    <mergeCell ref="D88:E88"/>
    <mergeCell ref="D118:E118"/>
    <mergeCell ref="D119:E119"/>
    <mergeCell ref="F110:G110"/>
    <mergeCell ref="F111:G111"/>
    <mergeCell ref="F112:G112"/>
    <mergeCell ref="F113:G113"/>
    <mergeCell ref="F118:G118"/>
    <mergeCell ref="F119:G119"/>
    <mergeCell ref="D109:E109"/>
    <mergeCell ref="F100:G100"/>
    <mergeCell ref="F101:G101"/>
    <mergeCell ref="F102:G102"/>
    <mergeCell ref="F103:G103"/>
    <mergeCell ref="D110:E110"/>
    <mergeCell ref="D111:E111"/>
    <mergeCell ref="D112:E112"/>
    <mergeCell ref="D113:E113"/>
    <mergeCell ref="D100:E100"/>
    <mergeCell ref="D101:E101"/>
    <mergeCell ref="D102:E102"/>
    <mergeCell ref="D103:E103"/>
    <mergeCell ref="D104:E104"/>
    <mergeCell ref="D105:E105"/>
    <mergeCell ref="D106:E106"/>
    <mergeCell ref="D107:E107"/>
    <mergeCell ref="D108:E108"/>
    <mergeCell ref="F87:G87"/>
    <mergeCell ref="F88:G88"/>
    <mergeCell ref="F120:G120"/>
    <mergeCell ref="F121:G121"/>
    <mergeCell ref="F122:G122"/>
    <mergeCell ref="F123:G123"/>
    <mergeCell ref="D130:E130"/>
    <mergeCell ref="D131:E131"/>
    <mergeCell ref="D132:E132"/>
    <mergeCell ref="D133:E133"/>
    <mergeCell ref="F124:G124"/>
    <mergeCell ref="F125:G125"/>
    <mergeCell ref="F126:G126"/>
    <mergeCell ref="F127:G127"/>
    <mergeCell ref="F128:G128"/>
    <mergeCell ref="F129:G129"/>
    <mergeCell ref="D120:E120"/>
    <mergeCell ref="D121:E121"/>
    <mergeCell ref="D122:E122"/>
    <mergeCell ref="D123:E123"/>
    <mergeCell ref="D124:E124"/>
    <mergeCell ref="D125:E125"/>
    <mergeCell ref="D126:E126"/>
    <mergeCell ref="D127:E127"/>
    <mergeCell ref="D128:E128"/>
    <mergeCell ref="D134:E134"/>
    <mergeCell ref="D135:E135"/>
    <mergeCell ref="D136:E136"/>
    <mergeCell ref="D137:E137"/>
    <mergeCell ref="D138:E138"/>
    <mergeCell ref="D139:E139"/>
    <mergeCell ref="F130:G130"/>
    <mergeCell ref="F131:G131"/>
    <mergeCell ref="F132:G132"/>
    <mergeCell ref="F133:G133"/>
    <mergeCell ref="F134:G134"/>
    <mergeCell ref="F135:G135"/>
    <mergeCell ref="F136:G136"/>
    <mergeCell ref="F137:G137"/>
    <mergeCell ref="F138:G138"/>
    <mergeCell ref="F139:G139"/>
    <mergeCell ref="D129:E129"/>
    <mergeCell ref="F140:G140"/>
    <mergeCell ref="F141:G141"/>
    <mergeCell ref="F142:G142"/>
    <mergeCell ref="F143:G143"/>
    <mergeCell ref="D150:E150"/>
    <mergeCell ref="D151:E151"/>
    <mergeCell ref="D152:E152"/>
    <mergeCell ref="D153:E153"/>
    <mergeCell ref="F144:G144"/>
    <mergeCell ref="F145:G145"/>
    <mergeCell ref="F146:G146"/>
    <mergeCell ref="F147:G147"/>
    <mergeCell ref="F148:G148"/>
    <mergeCell ref="F149:G149"/>
    <mergeCell ref="D140:E140"/>
    <mergeCell ref="D141:E141"/>
    <mergeCell ref="D142:E142"/>
    <mergeCell ref="D143:E143"/>
    <mergeCell ref="D144:E144"/>
    <mergeCell ref="D145:E145"/>
    <mergeCell ref="D146:E146"/>
    <mergeCell ref="D147:E147"/>
    <mergeCell ref="D148:E148"/>
    <mergeCell ref="D154:E154"/>
    <mergeCell ref="D155:E155"/>
    <mergeCell ref="D156:E156"/>
    <mergeCell ref="D157:E157"/>
    <mergeCell ref="D158:E158"/>
    <mergeCell ref="D159:E159"/>
    <mergeCell ref="F150:G150"/>
    <mergeCell ref="F151:G151"/>
    <mergeCell ref="F152:G152"/>
    <mergeCell ref="F153:G153"/>
    <mergeCell ref="F154:G154"/>
    <mergeCell ref="F155:G155"/>
    <mergeCell ref="F156:G156"/>
    <mergeCell ref="F157:G157"/>
    <mergeCell ref="F158:G158"/>
    <mergeCell ref="F159:G159"/>
    <mergeCell ref="D149:E149"/>
    <mergeCell ref="F160:G160"/>
    <mergeCell ref="F161:G161"/>
    <mergeCell ref="F162:G162"/>
    <mergeCell ref="F163:G163"/>
    <mergeCell ref="D170:E170"/>
    <mergeCell ref="D171:E171"/>
    <mergeCell ref="D172:E172"/>
    <mergeCell ref="D173:E173"/>
    <mergeCell ref="F164:G164"/>
    <mergeCell ref="F165:G165"/>
    <mergeCell ref="F166:G166"/>
    <mergeCell ref="F167:G167"/>
    <mergeCell ref="F168:G168"/>
    <mergeCell ref="F169:G169"/>
    <mergeCell ref="D160:E160"/>
    <mergeCell ref="D161:E161"/>
    <mergeCell ref="D162:E162"/>
    <mergeCell ref="D163:E163"/>
    <mergeCell ref="D164:E164"/>
    <mergeCell ref="D165:E165"/>
    <mergeCell ref="D166:E166"/>
    <mergeCell ref="D167:E167"/>
    <mergeCell ref="D168:E168"/>
    <mergeCell ref="D174:E174"/>
    <mergeCell ref="D175:E175"/>
    <mergeCell ref="D176:E176"/>
    <mergeCell ref="D177:E177"/>
    <mergeCell ref="D178:E178"/>
    <mergeCell ref="D179:E179"/>
    <mergeCell ref="F170:G170"/>
    <mergeCell ref="F171:G171"/>
    <mergeCell ref="F172:G172"/>
    <mergeCell ref="F173:G173"/>
    <mergeCell ref="F174:G174"/>
    <mergeCell ref="F175:G175"/>
    <mergeCell ref="F176:G176"/>
    <mergeCell ref="F177:G177"/>
    <mergeCell ref="F178:G178"/>
    <mergeCell ref="F179:G179"/>
    <mergeCell ref="D169:E169"/>
    <mergeCell ref="F180:G180"/>
    <mergeCell ref="F181:G181"/>
    <mergeCell ref="F182:G182"/>
    <mergeCell ref="F183:G183"/>
    <mergeCell ref="D190:E190"/>
    <mergeCell ref="D191:E191"/>
    <mergeCell ref="D192:E192"/>
    <mergeCell ref="D193:E193"/>
    <mergeCell ref="F184:G184"/>
    <mergeCell ref="F185:G185"/>
    <mergeCell ref="F186:G186"/>
    <mergeCell ref="F187:G187"/>
    <mergeCell ref="F188:G188"/>
    <mergeCell ref="F189:G189"/>
    <mergeCell ref="D180:E180"/>
    <mergeCell ref="D181:E181"/>
    <mergeCell ref="D182:E182"/>
    <mergeCell ref="D183:E183"/>
    <mergeCell ref="D184:E184"/>
    <mergeCell ref="D185:E185"/>
    <mergeCell ref="D186:E186"/>
    <mergeCell ref="D187:E187"/>
    <mergeCell ref="D188:E188"/>
    <mergeCell ref="D194:E194"/>
    <mergeCell ref="D195:E195"/>
    <mergeCell ref="D196:E196"/>
    <mergeCell ref="D197:E197"/>
    <mergeCell ref="D198:E198"/>
    <mergeCell ref="D199:E199"/>
    <mergeCell ref="F190:G190"/>
    <mergeCell ref="F191:G191"/>
    <mergeCell ref="F192:G192"/>
    <mergeCell ref="F193:G193"/>
    <mergeCell ref="F194:G194"/>
    <mergeCell ref="F195:G195"/>
    <mergeCell ref="F196:G196"/>
    <mergeCell ref="F197:G197"/>
    <mergeCell ref="F198:G198"/>
    <mergeCell ref="F199:G199"/>
    <mergeCell ref="D189:E189"/>
    <mergeCell ref="F200:G200"/>
    <mergeCell ref="F201:G201"/>
    <mergeCell ref="F202:G202"/>
    <mergeCell ref="F203:G203"/>
    <mergeCell ref="D210:E210"/>
    <mergeCell ref="D211:E211"/>
    <mergeCell ref="D212:E212"/>
    <mergeCell ref="D213:E213"/>
    <mergeCell ref="F204:G204"/>
    <mergeCell ref="F205:G205"/>
    <mergeCell ref="F206:G206"/>
    <mergeCell ref="F207:G207"/>
    <mergeCell ref="F208:G208"/>
    <mergeCell ref="F209:G209"/>
    <mergeCell ref="D200:E200"/>
    <mergeCell ref="D201:E201"/>
    <mergeCell ref="D202:E202"/>
    <mergeCell ref="D203:E203"/>
    <mergeCell ref="D204:E204"/>
    <mergeCell ref="D205:E205"/>
    <mergeCell ref="D206:E206"/>
    <mergeCell ref="D207:E207"/>
    <mergeCell ref="D208:E208"/>
    <mergeCell ref="D214:E214"/>
    <mergeCell ref="D215:E215"/>
    <mergeCell ref="D216:E216"/>
    <mergeCell ref="D217:E217"/>
    <mergeCell ref="D218:E218"/>
    <mergeCell ref="D219:E219"/>
    <mergeCell ref="F210:G210"/>
    <mergeCell ref="F211:G211"/>
    <mergeCell ref="F212:G212"/>
    <mergeCell ref="F213:G213"/>
    <mergeCell ref="F214:G214"/>
    <mergeCell ref="F215:G215"/>
    <mergeCell ref="F216:G216"/>
    <mergeCell ref="F217:G217"/>
    <mergeCell ref="F218:G218"/>
    <mergeCell ref="F219:G219"/>
    <mergeCell ref="D209:E209"/>
    <mergeCell ref="D229:E229"/>
    <mergeCell ref="F220:G220"/>
    <mergeCell ref="F221:G221"/>
    <mergeCell ref="F222:G222"/>
    <mergeCell ref="F223:G223"/>
    <mergeCell ref="D230:E230"/>
    <mergeCell ref="D231:E231"/>
    <mergeCell ref="D232:E232"/>
    <mergeCell ref="D233:E233"/>
    <mergeCell ref="F224:G224"/>
    <mergeCell ref="F225:G225"/>
    <mergeCell ref="F226:G226"/>
    <mergeCell ref="F227:G227"/>
    <mergeCell ref="F228:G228"/>
    <mergeCell ref="F229:G229"/>
    <mergeCell ref="D220:E220"/>
    <mergeCell ref="D221:E221"/>
    <mergeCell ref="D222:E222"/>
    <mergeCell ref="D223:E223"/>
    <mergeCell ref="D224:E224"/>
    <mergeCell ref="D225:E225"/>
    <mergeCell ref="D226:E226"/>
    <mergeCell ref="D227:E227"/>
    <mergeCell ref="D228:E228"/>
    <mergeCell ref="D247:E247"/>
    <mergeCell ref="D248:E248"/>
    <mergeCell ref="D234:E234"/>
    <mergeCell ref="D235:E235"/>
    <mergeCell ref="D236:E236"/>
    <mergeCell ref="D237:E237"/>
    <mergeCell ref="D238:E238"/>
    <mergeCell ref="D239:E239"/>
    <mergeCell ref="F230:G230"/>
    <mergeCell ref="F231:G231"/>
    <mergeCell ref="F232:G232"/>
    <mergeCell ref="F233:G233"/>
    <mergeCell ref="F234:G234"/>
    <mergeCell ref="F235:G235"/>
    <mergeCell ref="F236:G236"/>
    <mergeCell ref="F237:G237"/>
    <mergeCell ref="F238:G238"/>
    <mergeCell ref="F239:G239"/>
    <mergeCell ref="F250:G250"/>
    <mergeCell ref="F251:G251"/>
    <mergeCell ref="F252:G252"/>
    <mergeCell ref="F253:G253"/>
    <mergeCell ref="F254:G254"/>
    <mergeCell ref="F255:G255"/>
    <mergeCell ref="F256:G256"/>
    <mergeCell ref="F257:G257"/>
    <mergeCell ref="F258:G258"/>
    <mergeCell ref="F259:G259"/>
    <mergeCell ref="D249:E249"/>
    <mergeCell ref="F240:G240"/>
    <mergeCell ref="F241:G241"/>
    <mergeCell ref="F242:G242"/>
    <mergeCell ref="F243:G243"/>
    <mergeCell ref="D250:E250"/>
    <mergeCell ref="D251:E251"/>
    <mergeCell ref="D252:E252"/>
    <mergeCell ref="D253:E253"/>
    <mergeCell ref="F244:G244"/>
    <mergeCell ref="F245:G245"/>
    <mergeCell ref="F246:G246"/>
    <mergeCell ref="F247:G247"/>
    <mergeCell ref="F248:G248"/>
    <mergeCell ref="F249:G249"/>
    <mergeCell ref="D240:E240"/>
    <mergeCell ref="D241:E241"/>
    <mergeCell ref="D242:E242"/>
    <mergeCell ref="D243:E243"/>
    <mergeCell ref="D244:E244"/>
    <mergeCell ref="D245:E245"/>
    <mergeCell ref="D246:E246"/>
    <mergeCell ref="F264:G264"/>
    <mergeCell ref="F265:G265"/>
    <mergeCell ref="F266:G266"/>
    <mergeCell ref="F267:G267"/>
    <mergeCell ref="F268:G268"/>
    <mergeCell ref="F269:G269"/>
    <mergeCell ref="D260:E260"/>
    <mergeCell ref="D261:E261"/>
    <mergeCell ref="D262:E262"/>
    <mergeCell ref="D263:E263"/>
    <mergeCell ref="D264:E264"/>
    <mergeCell ref="D265:E265"/>
    <mergeCell ref="D266:E266"/>
    <mergeCell ref="D267:E267"/>
    <mergeCell ref="D268:E268"/>
    <mergeCell ref="D254:E254"/>
    <mergeCell ref="D255:E255"/>
    <mergeCell ref="D256:E256"/>
    <mergeCell ref="D257:E257"/>
    <mergeCell ref="D258:E258"/>
    <mergeCell ref="D259:E259"/>
    <mergeCell ref="D274:E274"/>
    <mergeCell ref="D275:E275"/>
    <mergeCell ref="D276:E276"/>
    <mergeCell ref="D277:E277"/>
    <mergeCell ref="D278:E278"/>
    <mergeCell ref="D279:E279"/>
    <mergeCell ref="F270:G270"/>
    <mergeCell ref="F271:G271"/>
    <mergeCell ref="F272:G272"/>
    <mergeCell ref="F273:G273"/>
    <mergeCell ref="F274:G274"/>
    <mergeCell ref="F275:G275"/>
    <mergeCell ref="F276:G276"/>
    <mergeCell ref="F277:G277"/>
    <mergeCell ref="F278:G278"/>
    <mergeCell ref="F279:G279"/>
    <mergeCell ref="D269:E269"/>
    <mergeCell ref="D270:E270"/>
    <mergeCell ref="D271:E271"/>
    <mergeCell ref="D272:E272"/>
    <mergeCell ref="D273:E273"/>
    <mergeCell ref="D289:E289"/>
    <mergeCell ref="F280:G280"/>
    <mergeCell ref="F281:G281"/>
    <mergeCell ref="F282:G282"/>
    <mergeCell ref="F283:G283"/>
    <mergeCell ref="D290:E290"/>
    <mergeCell ref="D291:E291"/>
    <mergeCell ref="D292:E292"/>
    <mergeCell ref="D293:E293"/>
    <mergeCell ref="F284:G284"/>
    <mergeCell ref="F285:G285"/>
    <mergeCell ref="F286:G286"/>
    <mergeCell ref="F287:G287"/>
    <mergeCell ref="F288:G288"/>
    <mergeCell ref="F289:G289"/>
    <mergeCell ref="D280:E280"/>
    <mergeCell ref="D281:E281"/>
    <mergeCell ref="D282:E282"/>
    <mergeCell ref="D283:E283"/>
    <mergeCell ref="D284:E284"/>
    <mergeCell ref="D285:E285"/>
    <mergeCell ref="D286:E286"/>
    <mergeCell ref="D287:E287"/>
    <mergeCell ref="D288:E288"/>
    <mergeCell ref="F290:G290"/>
    <mergeCell ref="F291:G291"/>
    <mergeCell ref="F292:G292"/>
    <mergeCell ref="F293:G293"/>
    <mergeCell ref="F309:G309"/>
    <mergeCell ref="D300:E300"/>
    <mergeCell ref="D301:E301"/>
    <mergeCell ref="D302:E302"/>
    <mergeCell ref="D303:E303"/>
    <mergeCell ref="D304:E304"/>
    <mergeCell ref="D305:E305"/>
    <mergeCell ref="D306:E306"/>
    <mergeCell ref="D307:E307"/>
    <mergeCell ref="D308:E308"/>
    <mergeCell ref="D294:E294"/>
    <mergeCell ref="D295:E295"/>
    <mergeCell ref="D296:E296"/>
    <mergeCell ref="D297:E297"/>
    <mergeCell ref="D298:E298"/>
    <mergeCell ref="D299:E299"/>
    <mergeCell ref="F294:G294"/>
    <mergeCell ref="F295:G295"/>
    <mergeCell ref="F296:G296"/>
    <mergeCell ref="F297:G297"/>
    <mergeCell ref="F298:G298"/>
    <mergeCell ref="F299:G299"/>
    <mergeCell ref="F300:G300"/>
    <mergeCell ref="F301:G301"/>
    <mergeCell ref="F302:G302"/>
    <mergeCell ref="F303:G303"/>
    <mergeCell ref="F304:G304"/>
    <mergeCell ref="F305:G305"/>
    <mergeCell ref="F306:G306"/>
    <mergeCell ref="D309:E309"/>
    <mergeCell ref="D320:E320"/>
    <mergeCell ref="D321:E321"/>
    <mergeCell ref="D322:E322"/>
    <mergeCell ref="D323:E323"/>
    <mergeCell ref="D324:E324"/>
    <mergeCell ref="D325:E325"/>
    <mergeCell ref="D326:E326"/>
    <mergeCell ref="D327:E327"/>
    <mergeCell ref="D328:E328"/>
    <mergeCell ref="D314:E314"/>
    <mergeCell ref="D315:E315"/>
    <mergeCell ref="D316:E316"/>
    <mergeCell ref="D317:E317"/>
    <mergeCell ref="D318:E318"/>
    <mergeCell ref="D319:E319"/>
    <mergeCell ref="F310:G310"/>
    <mergeCell ref="F311:G311"/>
    <mergeCell ref="F312:G312"/>
    <mergeCell ref="F313:G313"/>
    <mergeCell ref="F314:G314"/>
    <mergeCell ref="F315:G315"/>
    <mergeCell ref="F316:G316"/>
    <mergeCell ref="F317:G317"/>
    <mergeCell ref="F318:G318"/>
    <mergeCell ref="F319:G319"/>
    <mergeCell ref="D313:E313"/>
    <mergeCell ref="D310:E310"/>
    <mergeCell ref="D311:E311"/>
    <mergeCell ref="D312:E312"/>
    <mergeCell ref="D348:E348"/>
    <mergeCell ref="D334:E334"/>
    <mergeCell ref="D335:E335"/>
    <mergeCell ref="D336:E336"/>
    <mergeCell ref="D337:E337"/>
    <mergeCell ref="D338:E338"/>
    <mergeCell ref="D339:E339"/>
    <mergeCell ref="F330:G330"/>
    <mergeCell ref="F331:G331"/>
    <mergeCell ref="F332:G332"/>
    <mergeCell ref="F333:G333"/>
    <mergeCell ref="F334:G334"/>
    <mergeCell ref="F335:G335"/>
    <mergeCell ref="F336:G336"/>
    <mergeCell ref="F337:G337"/>
    <mergeCell ref="F338:G338"/>
    <mergeCell ref="F339:G339"/>
    <mergeCell ref="F340:G340"/>
    <mergeCell ref="F341:G341"/>
    <mergeCell ref="F342:G342"/>
    <mergeCell ref="F343:G343"/>
    <mergeCell ref="D341:E341"/>
    <mergeCell ref="D342:E342"/>
    <mergeCell ref="D343:E343"/>
    <mergeCell ref="D344:E344"/>
    <mergeCell ref="D345:E345"/>
    <mergeCell ref="D346:E346"/>
    <mergeCell ref="D347:E347"/>
    <mergeCell ref="F344:G344"/>
    <mergeCell ref="F345:G345"/>
    <mergeCell ref="F346:G346"/>
    <mergeCell ref="F347:G347"/>
    <mergeCell ref="F94:G94"/>
    <mergeCell ref="F95:G95"/>
    <mergeCell ref="F96:G96"/>
    <mergeCell ref="F97:G97"/>
    <mergeCell ref="F98:G98"/>
    <mergeCell ref="F99:G99"/>
    <mergeCell ref="F104:G104"/>
    <mergeCell ref="F105:G105"/>
    <mergeCell ref="F106:G106"/>
    <mergeCell ref="F107:G107"/>
    <mergeCell ref="F108:G108"/>
    <mergeCell ref="F109:G109"/>
    <mergeCell ref="F114:G114"/>
    <mergeCell ref="F115:G115"/>
    <mergeCell ref="F116:G116"/>
    <mergeCell ref="F117:G117"/>
    <mergeCell ref="D340:E340"/>
    <mergeCell ref="D329:E329"/>
    <mergeCell ref="F320:G320"/>
    <mergeCell ref="F321:G321"/>
    <mergeCell ref="F322:G322"/>
    <mergeCell ref="F323:G323"/>
    <mergeCell ref="D330:E330"/>
    <mergeCell ref="D331:E331"/>
    <mergeCell ref="D332:E332"/>
    <mergeCell ref="D333:E333"/>
    <mergeCell ref="F324:G324"/>
    <mergeCell ref="F325:G325"/>
    <mergeCell ref="F326:G326"/>
    <mergeCell ref="F327:G327"/>
    <mergeCell ref="F328:G328"/>
    <mergeCell ref="F329:G329"/>
    <mergeCell ref="F348:G348"/>
    <mergeCell ref="F349:G349"/>
    <mergeCell ref="F350:G350"/>
    <mergeCell ref="F351:G351"/>
    <mergeCell ref="F352:G352"/>
    <mergeCell ref="F307:G307"/>
    <mergeCell ref="F308:G308"/>
    <mergeCell ref="F260:G260"/>
    <mergeCell ref="F261:G261"/>
    <mergeCell ref="F262:G262"/>
    <mergeCell ref="F263:G263"/>
    <mergeCell ref="X85:Y85"/>
    <mergeCell ref="X86:Y86"/>
    <mergeCell ref="X87:Y87"/>
    <mergeCell ref="X88:Y88"/>
    <mergeCell ref="X89:Y89"/>
    <mergeCell ref="X90:Y90"/>
    <mergeCell ref="X91:Y91"/>
    <mergeCell ref="X92:Y92"/>
    <mergeCell ref="X93:Y93"/>
    <mergeCell ref="X121:Y121"/>
    <mergeCell ref="X122:Y122"/>
    <mergeCell ref="X123:Y123"/>
    <mergeCell ref="X124:Y124"/>
    <mergeCell ref="X125:Y125"/>
    <mergeCell ref="X126:Y126"/>
    <mergeCell ref="X127:Y127"/>
    <mergeCell ref="X128:Y128"/>
    <mergeCell ref="X129:Y129"/>
    <mergeCell ref="X112:Y112"/>
    <mergeCell ref="X113:Y113"/>
    <mergeCell ref="X114:Y114"/>
    <mergeCell ref="X115:Y115"/>
    <mergeCell ref="X116:Y116"/>
    <mergeCell ref="X117:Y117"/>
    <mergeCell ref="X103:Y103"/>
    <mergeCell ref="X104:Y104"/>
    <mergeCell ref="X105:Y105"/>
    <mergeCell ref="X106:Y106"/>
    <mergeCell ref="X107:Y107"/>
    <mergeCell ref="X108:Y108"/>
    <mergeCell ref="X109:Y109"/>
    <mergeCell ref="X110:Y110"/>
    <mergeCell ref="X111:Y111"/>
    <mergeCell ref="X94:Y94"/>
    <mergeCell ref="X95:Y95"/>
    <mergeCell ref="X96:Y96"/>
    <mergeCell ref="X97:Y97"/>
    <mergeCell ref="X98:Y98"/>
    <mergeCell ref="X99:Y99"/>
    <mergeCell ref="X100:Y100"/>
    <mergeCell ref="X101:Y101"/>
    <mergeCell ref="X102:Y102"/>
    <mergeCell ref="X118:Y118"/>
    <mergeCell ref="X119:Y119"/>
    <mergeCell ref="X120:Y120"/>
    <mergeCell ref="X139:Y139"/>
    <mergeCell ref="X140:Y140"/>
    <mergeCell ref="X141:Y141"/>
    <mergeCell ref="X142:Y142"/>
    <mergeCell ref="X143:Y143"/>
    <mergeCell ref="X144:Y144"/>
    <mergeCell ref="X145:Y145"/>
    <mergeCell ref="X146:Y146"/>
    <mergeCell ref="X147:Y147"/>
    <mergeCell ref="X130:Y130"/>
    <mergeCell ref="X131:Y131"/>
    <mergeCell ref="X132:Y132"/>
    <mergeCell ref="X133:Y133"/>
    <mergeCell ref="X134:Y134"/>
    <mergeCell ref="X135:Y135"/>
    <mergeCell ref="X136:Y136"/>
    <mergeCell ref="X137:Y137"/>
    <mergeCell ref="X138:Y138"/>
    <mergeCell ref="X157:Y157"/>
    <mergeCell ref="X158:Y158"/>
    <mergeCell ref="X159:Y159"/>
    <mergeCell ref="X160:Y160"/>
    <mergeCell ref="X161:Y161"/>
    <mergeCell ref="X162:Y162"/>
    <mergeCell ref="X163:Y163"/>
    <mergeCell ref="X164:Y164"/>
    <mergeCell ref="X165:Y165"/>
    <mergeCell ref="X148:Y148"/>
    <mergeCell ref="X149:Y149"/>
    <mergeCell ref="X150:Y150"/>
    <mergeCell ref="X151:Y151"/>
    <mergeCell ref="X152:Y152"/>
    <mergeCell ref="X153:Y153"/>
    <mergeCell ref="X154:Y154"/>
    <mergeCell ref="X155:Y155"/>
    <mergeCell ref="X156:Y156"/>
    <mergeCell ref="X175:Y175"/>
    <mergeCell ref="X176:Y176"/>
    <mergeCell ref="X177:Y177"/>
    <mergeCell ref="X178:Y178"/>
    <mergeCell ref="X179:Y179"/>
    <mergeCell ref="X180:Y180"/>
    <mergeCell ref="X181:Y181"/>
    <mergeCell ref="X182:Y182"/>
    <mergeCell ref="X183:Y183"/>
    <mergeCell ref="X166:Y166"/>
    <mergeCell ref="X167:Y167"/>
    <mergeCell ref="X168:Y168"/>
    <mergeCell ref="X169:Y169"/>
    <mergeCell ref="X170:Y170"/>
    <mergeCell ref="X171:Y171"/>
    <mergeCell ref="X172:Y172"/>
    <mergeCell ref="X173:Y173"/>
    <mergeCell ref="X174:Y174"/>
    <mergeCell ref="X193:Y193"/>
    <mergeCell ref="X194:Y194"/>
    <mergeCell ref="X195:Y195"/>
    <mergeCell ref="X196:Y196"/>
    <mergeCell ref="X197:Y197"/>
    <mergeCell ref="X198:Y198"/>
    <mergeCell ref="X199:Y199"/>
    <mergeCell ref="X200:Y200"/>
    <mergeCell ref="X201:Y201"/>
    <mergeCell ref="X184:Y184"/>
    <mergeCell ref="X185:Y185"/>
    <mergeCell ref="X186:Y186"/>
    <mergeCell ref="X187:Y187"/>
    <mergeCell ref="X188:Y188"/>
    <mergeCell ref="X189:Y189"/>
    <mergeCell ref="X190:Y190"/>
    <mergeCell ref="X191:Y191"/>
    <mergeCell ref="X192:Y192"/>
    <mergeCell ref="X211:Y211"/>
    <mergeCell ref="X212:Y212"/>
    <mergeCell ref="X213:Y213"/>
    <mergeCell ref="X214:Y214"/>
    <mergeCell ref="X215:Y215"/>
    <mergeCell ref="X216:Y216"/>
    <mergeCell ref="X217:Y217"/>
    <mergeCell ref="X218:Y218"/>
    <mergeCell ref="X219:Y219"/>
    <mergeCell ref="X202:Y202"/>
    <mergeCell ref="X203:Y203"/>
    <mergeCell ref="X204:Y204"/>
    <mergeCell ref="X205:Y205"/>
    <mergeCell ref="X206:Y206"/>
    <mergeCell ref="X207:Y207"/>
    <mergeCell ref="X208:Y208"/>
    <mergeCell ref="X209:Y209"/>
    <mergeCell ref="X210:Y210"/>
    <mergeCell ref="X229:Y229"/>
    <mergeCell ref="X230:Y230"/>
    <mergeCell ref="X231:Y231"/>
    <mergeCell ref="X232:Y232"/>
    <mergeCell ref="X233:Y233"/>
    <mergeCell ref="X234:Y234"/>
    <mergeCell ref="X235:Y235"/>
    <mergeCell ref="X236:Y236"/>
    <mergeCell ref="X237:Y237"/>
    <mergeCell ref="X220:Y220"/>
    <mergeCell ref="X221:Y221"/>
    <mergeCell ref="X222:Y222"/>
    <mergeCell ref="X223:Y223"/>
    <mergeCell ref="X224:Y224"/>
    <mergeCell ref="X225:Y225"/>
    <mergeCell ref="X226:Y226"/>
    <mergeCell ref="X227:Y227"/>
    <mergeCell ref="X228:Y228"/>
    <mergeCell ref="X247:Y247"/>
    <mergeCell ref="X248:Y248"/>
    <mergeCell ref="X249:Y249"/>
    <mergeCell ref="X250:Y250"/>
    <mergeCell ref="X251:Y251"/>
    <mergeCell ref="X252:Y252"/>
    <mergeCell ref="X253:Y253"/>
    <mergeCell ref="X254:Y254"/>
    <mergeCell ref="X255:Y255"/>
    <mergeCell ref="X238:Y238"/>
    <mergeCell ref="X239:Y239"/>
    <mergeCell ref="X240:Y240"/>
    <mergeCell ref="X241:Y241"/>
    <mergeCell ref="X242:Y242"/>
    <mergeCell ref="X243:Y243"/>
    <mergeCell ref="X244:Y244"/>
    <mergeCell ref="X245:Y245"/>
    <mergeCell ref="X246:Y246"/>
    <mergeCell ref="X265:Y265"/>
    <mergeCell ref="X266:Y266"/>
    <mergeCell ref="X267:Y267"/>
    <mergeCell ref="X268:Y268"/>
    <mergeCell ref="X269:Y269"/>
    <mergeCell ref="X270:Y270"/>
    <mergeCell ref="X271:Y271"/>
    <mergeCell ref="X272:Y272"/>
    <mergeCell ref="X273:Y273"/>
    <mergeCell ref="X256:Y256"/>
    <mergeCell ref="X257:Y257"/>
    <mergeCell ref="X258:Y258"/>
    <mergeCell ref="X259:Y259"/>
    <mergeCell ref="X260:Y260"/>
    <mergeCell ref="X261:Y261"/>
    <mergeCell ref="X262:Y262"/>
    <mergeCell ref="X263:Y263"/>
    <mergeCell ref="X264:Y264"/>
    <mergeCell ref="X283:Y283"/>
    <mergeCell ref="X284:Y284"/>
    <mergeCell ref="X285:Y285"/>
    <mergeCell ref="X286:Y286"/>
    <mergeCell ref="X287:Y287"/>
    <mergeCell ref="X288:Y288"/>
    <mergeCell ref="X289:Y289"/>
    <mergeCell ref="X290:Y290"/>
    <mergeCell ref="X291:Y291"/>
    <mergeCell ref="X274:Y274"/>
    <mergeCell ref="X275:Y275"/>
    <mergeCell ref="X276:Y276"/>
    <mergeCell ref="X277:Y277"/>
    <mergeCell ref="X278:Y278"/>
    <mergeCell ref="X279:Y279"/>
    <mergeCell ref="X280:Y280"/>
    <mergeCell ref="X281:Y281"/>
    <mergeCell ref="X282:Y282"/>
    <mergeCell ref="X301:Y301"/>
    <mergeCell ref="X302:Y302"/>
    <mergeCell ref="X303:Y303"/>
    <mergeCell ref="X304:Y304"/>
    <mergeCell ref="X305:Y305"/>
    <mergeCell ref="X306:Y306"/>
    <mergeCell ref="X307:Y307"/>
    <mergeCell ref="X308:Y308"/>
    <mergeCell ref="X309:Y309"/>
    <mergeCell ref="X292:Y292"/>
    <mergeCell ref="X293:Y293"/>
    <mergeCell ref="X294:Y294"/>
    <mergeCell ref="X295:Y295"/>
    <mergeCell ref="X296:Y296"/>
    <mergeCell ref="X297:Y297"/>
    <mergeCell ref="X298:Y298"/>
    <mergeCell ref="X299:Y299"/>
    <mergeCell ref="X300:Y300"/>
    <mergeCell ref="X332:Y332"/>
    <mergeCell ref="X333:Y333"/>
    <mergeCell ref="X334:Y334"/>
    <mergeCell ref="X335:Y335"/>
    <mergeCell ref="X336:Y336"/>
    <mergeCell ref="X319:Y319"/>
    <mergeCell ref="X320:Y320"/>
    <mergeCell ref="X321:Y321"/>
    <mergeCell ref="X322:Y322"/>
    <mergeCell ref="X323:Y323"/>
    <mergeCell ref="X324:Y324"/>
    <mergeCell ref="X325:Y325"/>
    <mergeCell ref="X326:Y326"/>
    <mergeCell ref="X327:Y327"/>
    <mergeCell ref="X310:Y310"/>
    <mergeCell ref="X311:Y311"/>
    <mergeCell ref="X312:Y312"/>
    <mergeCell ref="X313:Y313"/>
    <mergeCell ref="X314:Y314"/>
    <mergeCell ref="X315:Y315"/>
    <mergeCell ref="X316:Y316"/>
    <mergeCell ref="X317:Y317"/>
    <mergeCell ref="X318:Y318"/>
    <mergeCell ref="X328:Y328"/>
    <mergeCell ref="X329:Y329"/>
    <mergeCell ref="X330:Y330"/>
    <mergeCell ref="X331:Y331"/>
    <mergeCell ref="X346:Y346"/>
    <mergeCell ref="X347:Y347"/>
    <mergeCell ref="X348:Y348"/>
    <mergeCell ref="X349:Y349"/>
    <mergeCell ref="X350:Y350"/>
    <mergeCell ref="X351:Y351"/>
    <mergeCell ref="X352:Y352"/>
    <mergeCell ref="X353:Y353"/>
    <mergeCell ref="X354:Y354"/>
    <mergeCell ref="X337:Y337"/>
    <mergeCell ref="X338:Y338"/>
    <mergeCell ref="X339:Y339"/>
    <mergeCell ref="X340:Y340"/>
    <mergeCell ref="X341:Y341"/>
    <mergeCell ref="X342:Y342"/>
    <mergeCell ref="X343:Y343"/>
    <mergeCell ref="X344:Y344"/>
    <mergeCell ref="X345:Y345"/>
    <mergeCell ref="R90:S90"/>
    <mergeCell ref="R91:S91"/>
    <mergeCell ref="J66:K66"/>
    <mergeCell ref="J67:K67"/>
    <mergeCell ref="J68:K68"/>
    <mergeCell ref="J69:K69"/>
    <mergeCell ref="J70:K70"/>
    <mergeCell ref="J71:K71"/>
    <mergeCell ref="N75:O75"/>
    <mergeCell ref="N81:O81"/>
    <mergeCell ref="N82:O82"/>
    <mergeCell ref="N83:O83"/>
    <mergeCell ref="N66:O66"/>
    <mergeCell ref="N67:O67"/>
    <mergeCell ref="N68:O68"/>
    <mergeCell ref="N69:O69"/>
    <mergeCell ref="N70:O70"/>
    <mergeCell ref="N71:O71"/>
    <mergeCell ref="N72:O72"/>
    <mergeCell ref="N78:O78"/>
    <mergeCell ref="N79:O79"/>
    <mergeCell ref="N80:O80"/>
    <mergeCell ref="P81:Q81"/>
    <mergeCell ref="J82:K82"/>
    <mergeCell ref="J83:K83"/>
    <mergeCell ref="J84:K84"/>
    <mergeCell ref="J85:K85"/>
    <mergeCell ref="L78:M78"/>
    <mergeCell ref="L79:M79"/>
    <mergeCell ref="L80:M80"/>
    <mergeCell ref="L81:M81"/>
    <mergeCell ref="L82:M82"/>
    <mergeCell ref="N93:O93"/>
    <mergeCell ref="N94:O94"/>
    <mergeCell ref="N95:O95"/>
    <mergeCell ref="N96:O96"/>
    <mergeCell ref="N97:O97"/>
    <mergeCell ref="N98:O98"/>
    <mergeCell ref="N99:O99"/>
    <mergeCell ref="N100:O100"/>
    <mergeCell ref="N101:O101"/>
    <mergeCell ref="N84:O84"/>
    <mergeCell ref="N85:O85"/>
    <mergeCell ref="N86:O86"/>
    <mergeCell ref="N87:O87"/>
    <mergeCell ref="N88:O88"/>
    <mergeCell ref="N89:O89"/>
    <mergeCell ref="N90:O90"/>
    <mergeCell ref="N91:O91"/>
    <mergeCell ref="N92:O92"/>
    <mergeCell ref="L98:M98"/>
    <mergeCell ref="L99:M99"/>
    <mergeCell ref="L100:M100"/>
    <mergeCell ref="N111:O111"/>
    <mergeCell ref="N112:O112"/>
    <mergeCell ref="N113:O113"/>
    <mergeCell ref="N114:O114"/>
    <mergeCell ref="N115:O115"/>
    <mergeCell ref="N116:O116"/>
    <mergeCell ref="N117:O117"/>
    <mergeCell ref="N118:O118"/>
    <mergeCell ref="N119:O119"/>
    <mergeCell ref="N102:O102"/>
    <mergeCell ref="N103:O103"/>
    <mergeCell ref="N104:O104"/>
    <mergeCell ref="N105:O105"/>
    <mergeCell ref="N106:O106"/>
    <mergeCell ref="N107:O107"/>
    <mergeCell ref="N108:O108"/>
    <mergeCell ref="N109:O109"/>
    <mergeCell ref="N110:O110"/>
    <mergeCell ref="L101:M101"/>
    <mergeCell ref="L102:M102"/>
    <mergeCell ref="L103:M103"/>
    <mergeCell ref="L104:M104"/>
    <mergeCell ref="L105:M105"/>
    <mergeCell ref="L106:M106"/>
    <mergeCell ref="N129:O129"/>
    <mergeCell ref="N130:O130"/>
    <mergeCell ref="N131:O131"/>
    <mergeCell ref="N132:O132"/>
    <mergeCell ref="N133:O133"/>
    <mergeCell ref="N134:O134"/>
    <mergeCell ref="N135:O135"/>
    <mergeCell ref="N136:O136"/>
    <mergeCell ref="N137:O137"/>
    <mergeCell ref="N120:O120"/>
    <mergeCell ref="N121:O121"/>
    <mergeCell ref="N122:O122"/>
    <mergeCell ref="N123:O123"/>
    <mergeCell ref="N124:O124"/>
    <mergeCell ref="N125:O125"/>
    <mergeCell ref="N126:O126"/>
    <mergeCell ref="N127:O127"/>
    <mergeCell ref="N128:O128"/>
    <mergeCell ref="L92:M92"/>
    <mergeCell ref="L93:M93"/>
    <mergeCell ref="L94:M94"/>
    <mergeCell ref="L95:M95"/>
    <mergeCell ref="L96:M96"/>
    <mergeCell ref="L97:M97"/>
    <mergeCell ref="L116:M116"/>
    <mergeCell ref="L117:M117"/>
    <mergeCell ref="L118:M118"/>
    <mergeCell ref="L119:M119"/>
    <mergeCell ref="L120:M120"/>
    <mergeCell ref="L121:M121"/>
    <mergeCell ref="N147:O147"/>
    <mergeCell ref="N148:O148"/>
    <mergeCell ref="N149:O149"/>
    <mergeCell ref="N150:O150"/>
    <mergeCell ref="N151:O151"/>
    <mergeCell ref="L122:M122"/>
    <mergeCell ref="L123:M123"/>
    <mergeCell ref="L124:M124"/>
    <mergeCell ref="L107:M107"/>
    <mergeCell ref="L108:M108"/>
    <mergeCell ref="L109:M109"/>
    <mergeCell ref="L110:M110"/>
    <mergeCell ref="L111:M111"/>
    <mergeCell ref="L112:M112"/>
    <mergeCell ref="L113:M113"/>
    <mergeCell ref="L114:M114"/>
    <mergeCell ref="L115:M115"/>
    <mergeCell ref="L134:M134"/>
    <mergeCell ref="L135:M135"/>
    <mergeCell ref="L136:M136"/>
    <mergeCell ref="N152:O152"/>
    <mergeCell ref="N153:O153"/>
    <mergeCell ref="N154:O154"/>
    <mergeCell ref="N155:O155"/>
    <mergeCell ref="N138:O138"/>
    <mergeCell ref="N139:O139"/>
    <mergeCell ref="N140:O140"/>
    <mergeCell ref="N141:O141"/>
    <mergeCell ref="N142:O142"/>
    <mergeCell ref="N143:O143"/>
    <mergeCell ref="N144:O144"/>
    <mergeCell ref="N145:O145"/>
    <mergeCell ref="N146:O146"/>
    <mergeCell ref="N165:O165"/>
    <mergeCell ref="N166:O166"/>
    <mergeCell ref="N167:O167"/>
    <mergeCell ref="N168:O168"/>
    <mergeCell ref="N169:O169"/>
    <mergeCell ref="N170:O170"/>
    <mergeCell ref="N171:O171"/>
    <mergeCell ref="N172:O172"/>
    <mergeCell ref="N173:O173"/>
    <mergeCell ref="N156:O156"/>
    <mergeCell ref="N157:O157"/>
    <mergeCell ref="N158:O158"/>
    <mergeCell ref="N159:O159"/>
    <mergeCell ref="N160:O160"/>
    <mergeCell ref="N161:O161"/>
    <mergeCell ref="N162:O162"/>
    <mergeCell ref="N163:O163"/>
    <mergeCell ref="N164:O164"/>
    <mergeCell ref="N183:O183"/>
    <mergeCell ref="N184:O184"/>
    <mergeCell ref="N185:O185"/>
    <mergeCell ref="N186:O186"/>
    <mergeCell ref="N187:O187"/>
    <mergeCell ref="N188:O188"/>
    <mergeCell ref="N189:O189"/>
    <mergeCell ref="N190:O190"/>
    <mergeCell ref="N191:O191"/>
    <mergeCell ref="N174:O174"/>
    <mergeCell ref="N175:O175"/>
    <mergeCell ref="N176:O176"/>
    <mergeCell ref="N177:O177"/>
    <mergeCell ref="N178:O178"/>
    <mergeCell ref="N179:O179"/>
    <mergeCell ref="N180:O180"/>
    <mergeCell ref="N181:O181"/>
    <mergeCell ref="N182:O182"/>
    <mergeCell ref="N201:O201"/>
    <mergeCell ref="N202:O202"/>
    <mergeCell ref="N203:O203"/>
    <mergeCell ref="N204:O204"/>
    <mergeCell ref="N205:O205"/>
    <mergeCell ref="N206:O206"/>
    <mergeCell ref="N207:O207"/>
    <mergeCell ref="N208:O208"/>
    <mergeCell ref="N209:O209"/>
    <mergeCell ref="N192:O192"/>
    <mergeCell ref="N193:O193"/>
    <mergeCell ref="N194:O194"/>
    <mergeCell ref="N195:O195"/>
    <mergeCell ref="N196:O196"/>
    <mergeCell ref="N197:O197"/>
    <mergeCell ref="N198:O198"/>
    <mergeCell ref="N199:O199"/>
    <mergeCell ref="N200:O200"/>
    <mergeCell ref="N219:O219"/>
    <mergeCell ref="N220:O220"/>
    <mergeCell ref="N221:O221"/>
    <mergeCell ref="N222:O222"/>
    <mergeCell ref="N223:O223"/>
    <mergeCell ref="N224:O224"/>
    <mergeCell ref="N225:O225"/>
    <mergeCell ref="N226:O226"/>
    <mergeCell ref="N227:O227"/>
    <mergeCell ref="N210:O210"/>
    <mergeCell ref="N211:O211"/>
    <mergeCell ref="N212:O212"/>
    <mergeCell ref="N213:O213"/>
    <mergeCell ref="N214:O214"/>
    <mergeCell ref="N215:O215"/>
    <mergeCell ref="N216:O216"/>
    <mergeCell ref="N217:O217"/>
    <mergeCell ref="N218:O218"/>
    <mergeCell ref="N237:O237"/>
    <mergeCell ref="N238:O238"/>
    <mergeCell ref="N239:O239"/>
    <mergeCell ref="N240:O240"/>
    <mergeCell ref="N241:O241"/>
    <mergeCell ref="N242:O242"/>
    <mergeCell ref="N243:O243"/>
    <mergeCell ref="N244:O244"/>
    <mergeCell ref="N245:O245"/>
    <mergeCell ref="N228:O228"/>
    <mergeCell ref="N229:O229"/>
    <mergeCell ref="N230:O230"/>
    <mergeCell ref="N231:O231"/>
    <mergeCell ref="N232:O232"/>
    <mergeCell ref="N233:O233"/>
    <mergeCell ref="N234:O234"/>
    <mergeCell ref="N235:O235"/>
    <mergeCell ref="N236:O236"/>
    <mergeCell ref="N255:O255"/>
    <mergeCell ref="N256:O256"/>
    <mergeCell ref="N257:O257"/>
    <mergeCell ref="N258:O258"/>
    <mergeCell ref="N259:O259"/>
    <mergeCell ref="N260:O260"/>
    <mergeCell ref="N261:O261"/>
    <mergeCell ref="N262:O262"/>
    <mergeCell ref="N263:O263"/>
    <mergeCell ref="N246:O246"/>
    <mergeCell ref="N247:O247"/>
    <mergeCell ref="N248:O248"/>
    <mergeCell ref="N249:O249"/>
    <mergeCell ref="N250:O250"/>
    <mergeCell ref="N251:O251"/>
    <mergeCell ref="N252:O252"/>
    <mergeCell ref="N253:O253"/>
    <mergeCell ref="N254:O254"/>
    <mergeCell ref="N273:O273"/>
    <mergeCell ref="N274:O274"/>
    <mergeCell ref="N275:O275"/>
    <mergeCell ref="N276:O276"/>
    <mergeCell ref="N277:O277"/>
    <mergeCell ref="N278:O278"/>
    <mergeCell ref="N279:O279"/>
    <mergeCell ref="N280:O280"/>
    <mergeCell ref="N281:O281"/>
    <mergeCell ref="N264:O264"/>
    <mergeCell ref="N265:O265"/>
    <mergeCell ref="N266:O266"/>
    <mergeCell ref="N267:O267"/>
    <mergeCell ref="N268:O268"/>
    <mergeCell ref="N269:O269"/>
    <mergeCell ref="N270:O270"/>
    <mergeCell ref="N271:O271"/>
    <mergeCell ref="N272:O272"/>
    <mergeCell ref="N291:O291"/>
    <mergeCell ref="N292:O292"/>
    <mergeCell ref="N293:O293"/>
    <mergeCell ref="N294:O294"/>
    <mergeCell ref="N295:O295"/>
    <mergeCell ref="N296:O296"/>
    <mergeCell ref="N297:O297"/>
    <mergeCell ref="N298:O298"/>
    <mergeCell ref="N299:O299"/>
    <mergeCell ref="N282:O282"/>
    <mergeCell ref="N283:O283"/>
    <mergeCell ref="N284:O284"/>
    <mergeCell ref="N285:O285"/>
    <mergeCell ref="N286:O286"/>
    <mergeCell ref="N287:O287"/>
    <mergeCell ref="N288:O288"/>
    <mergeCell ref="N289:O289"/>
    <mergeCell ref="N290:O290"/>
    <mergeCell ref="N309:O309"/>
    <mergeCell ref="N310:O310"/>
    <mergeCell ref="N311:O311"/>
    <mergeCell ref="N312:O312"/>
    <mergeCell ref="N313:O313"/>
    <mergeCell ref="N314:O314"/>
    <mergeCell ref="N315:O315"/>
    <mergeCell ref="N316:O316"/>
    <mergeCell ref="N317:O317"/>
    <mergeCell ref="N300:O300"/>
    <mergeCell ref="N301:O301"/>
    <mergeCell ref="N302:O302"/>
    <mergeCell ref="N303:O303"/>
    <mergeCell ref="N304:O304"/>
    <mergeCell ref="N305:O305"/>
    <mergeCell ref="N306:O306"/>
    <mergeCell ref="N307:O307"/>
    <mergeCell ref="N308:O308"/>
    <mergeCell ref="N327:O327"/>
    <mergeCell ref="N328:O328"/>
    <mergeCell ref="N329:O329"/>
    <mergeCell ref="N330:O330"/>
    <mergeCell ref="N331:O331"/>
    <mergeCell ref="N332:O332"/>
    <mergeCell ref="N333:O333"/>
    <mergeCell ref="N334:O334"/>
    <mergeCell ref="N335:O335"/>
    <mergeCell ref="N318:O318"/>
    <mergeCell ref="N319:O319"/>
    <mergeCell ref="N320:O320"/>
    <mergeCell ref="N321:O321"/>
    <mergeCell ref="N322:O322"/>
    <mergeCell ref="N323:O323"/>
    <mergeCell ref="N324:O324"/>
    <mergeCell ref="N325:O325"/>
    <mergeCell ref="N326:O326"/>
    <mergeCell ref="N345:O345"/>
    <mergeCell ref="N346:O346"/>
    <mergeCell ref="N347:O347"/>
    <mergeCell ref="N348:O348"/>
    <mergeCell ref="N349:O349"/>
    <mergeCell ref="N350:O350"/>
    <mergeCell ref="N351:O351"/>
    <mergeCell ref="N352:O352"/>
    <mergeCell ref="N353:O353"/>
    <mergeCell ref="N336:O336"/>
    <mergeCell ref="N337:O337"/>
    <mergeCell ref="N338:O338"/>
    <mergeCell ref="N339:O339"/>
    <mergeCell ref="N340:O340"/>
    <mergeCell ref="N341:O341"/>
    <mergeCell ref="N342:O342"/>
    <mergeCell ref="N343:O343"/>
    <mergeCell ref="N344:O344"/>
    <mergeCell ref="L137:M137"/>
    <mergeCell ref="L138:M138"/>
    <mergeCell ref="L139:M139"/>
    <mergeCell ref="L140:M140"/>
    <mergeCell ref="L141:M141"/>
    <mergeCell ref="L142:M142"/>
    <mergeCell ref="L125:M125"/>
    <mergeCell ref="L126:M126"/>
    <mergeCell ref="L127:M127"/>
    <mergeCell ref="L128:M128"/>
    <mergeCell ref="L129:M129"/>
    <mergeCell ref="L130:M130"/>
    <mergeCell ref="L131:M131"/>
    <mergeCell ref="L132:M132"/>
    <mergeCell ref="L133:M133"/>
    <mergeCell ref="L152:M152"/>
    <mergeCell ref="L153:M153"/>
    <mergeCell ref="L154:M154"/>
    <mergeCell ref="L155:M155"/>
    <mergeCell ref="L156:M156"/>
    <mergeCell ref="L157:M157"/>
    <mergeCell ref="L158:M158"/>
    <mergeCell ref="L159:M159"/>
    <mergeCell ref="L160:M160"/>
    <mergeCell ref="L143:M143"/>
    <mergeCell ref="L144:M144"/>
    <mergeCell ref="L145:M145"/>
    <mergeCell ref="L146:M146"/>
    <mergeCell ref="L147:M147"/>
    <mergeCell ref="L148:M148"/>
    <mergeCell ref="L149:M149"/>
    <mergeCell ref="L150:M150"/>
    <mergeCell ref="L151:M151"/>
    <mergeCell ref="L170:M170"/>
    <mergeCell ref="L171:M171"/>
    <mergeCell ref="L172:M172"/>
    <mergeCell ref="L173:M173"/>
    <mergeCell ref="L174:M174"/>
    <mergeCell ref="L175:M175"/>
    <mergeCell ref="L176:M176"/>
    <mergeCell ref="L177:M177"/>
    <mergeCell ref="L178:M178"/>
    <mergeCell ref="L161:M161"/>
    <mergeCell ref="L162:M162"/>
    <mergeCell ref="L163:M163"/>
    <mergeCell ref="L164:M164"/>
    <mergeCell ref="L165:M165"/>
    <mergeCell ref="L166:M166"/>
    <mergeCell ref="L167:M167"/>
    <mergeCell ref="L168:M168"/>
    <mergeCell ref="L169:M169"/>
    <mergeCell ref="L188:M188"/>
    <mergeCell ref="L189:M189"/>
    <mergeCell ref="L190:M190"/>
    <mergeCell ref="L191:M191"/>
    <mergeCell ref="L192:M192"/>
    <mergeCell ref="L193:M193"/>
    <mergeCell ref="L194:M194"/>
    <mergeCell ref="L195:M195"/>
    <mergeCell ref="L196:M196"/>
    <mergeCell ref="L179:M179"/>
    <mergeCell ref="L180:M180"/>
    <mergeCell ref="L181:M181"/>
    <mergeCell ref="L182:M182"/>
    <mergeCell ref="L183:M183"/>
    <mergeCell ref="L184:M184"/>
    <mergeCell ref="L185:M185"/>
    <mergeCell ref="L186:M186"/>
    <mergeCell ref="L187:M187"/>
    <mergeCell ref="L206:M206"/>
    <mergeCell ref="L207:M207"/>
    <mergeCell ref="L208:M208"/>
    <mergeCell ref="L209:M209"/>
    <mergeCell ref="L210:M210"/>
    <mergeCell ref="L211:M211"/>
    <mergeCell ref="L212:M212"/>
    <mergeCell ref="L213:M213"/>
    <mergeCell ref="L214:M214"/>
    <mergeCell ref="L197:M197"/>
    <mergeCell ref="L198:M198"/>
    <mergeCell ref="L199:M199"/>
    <mergeCell ref="L200:M200"/>
    <mergeCell ref="L201:M201"/>
    <mergeCell ref="L202:M202"/>
    <mergeCell ref="L203:M203"/>
    <mergeCell ref="L204:M204"/>
    <mergeCell ref="L205:M205"/>
    <mergeCell ref="L224:M224"/>
    <mergeCell ref="L225:M225"/>
    <mergeCell ref="L226:M226"/>
    <mergeCell ref="L227:M227"/>
    <mergeCell ref="L228:M228"/>
    <mergeCell ref="L229:M229"/>
    <mergeCell ref="L230:M230"/>
    <mergeCell ref="L231:M231"/>
    <mergeCell ref="L232:M232"/>
    <mergeCell ref="L215:M215"/>
    <mergeCell ref="L216:M216"/>
    <mergeCell ref="L217:M217"/>
    <mergeCell ref="L218:M218"/>
    <mergeCell ref="L219:M219"/>
    <mergeCell ref="L220:M220"/>
    <mergeCell ref="L221:M221"/>
    <mergeCell ref="L222:M222"/>
    <mergeCell ref="L223:M223"/>
    <mergeCell ref="L242:M242"/>
    <mergeCell ref="L243:M243"/>
    <mergeCell ref="L244:M244"/>
    <mergeCell ref="L245:M245"/>
    <mergeCell ref="L246:M246"/>
    <mergeCell ref="L247:M247"/>
    <mergeCell ref="L248:M248"/>
    <mergeCell ref="L249:M249"/>
    <mergeCell ref="L250:M250"/>
    <mergeCell ref="L233:M233"/>
    <mergeCell ref="L234:M234"/>
    <mergeCell ref="L235:M235"/>
    <mergeCell ref="L236:M236"/>
    <mergeCell ref="L237:M237"/>
    <mergeCell ref="L238:M238"/>
    <mergeCell ref="L239:M239"/>
    <mergeCell ref="L240:M240"/>
    <mergeCell ref="L241:M241"/>
    <mergeCell ref="L260:M260"/>
    <mergeCell ref="L261:M261"/>
    <mergeCell ref="L262:M262"/>
    <mergeCell ref="L263:M263"/>
    <mergeCell ref="L264:M264"/>
    <mergeCell ref="L265:M265"/>
    <mergeCell ref="L266:M266"/>
    <mergeCell ref="L267:M267"/>
    <mergeCell ref="L268:M268"/>
    <mergeCell ref="L251:M251"/>
    <mergeCell ref="L252:M252"/>
    <mergeCell ref="L253:M253"/>
    <mergeCell ref="L254:M254"/>
    <mergeCell ref="L255:M255"/>
    <mergeCell ref="L256:M256"/>
    <mergeCell ref="L257:M257"/>
    <mergeCell ref="L258:M258"/>
    <mergeCell ref="L259:M259"/>
    <mergeCell ref="L278:M278"/>
    <mergeCell ref="L279:M279"/>
    <mergeCell ref="L280:M280"/>
    <mergeCell ref="L281:M281"/>
    <mergeCell ref="L282:M282"/>
    <mergeCell ref="L283:M283"/>
    <mergeCell ref="L284:M284"/>
    <mergeCell ref="L285:M285"/>
    <mergeCell ref="L286:M286"/>
    <mergeCell ref="L269:M269"/>
    <mergeCell ref="L270:M270"/>
    <mergeCell ref="L271:M271"/>
    <mergeCell ref="L272:M272"/>
    <mergeCell ref="L273:M273"/>
    <mergeCell ref="L274:M274"/>
    <mergeCell ref="L275:M275"/>
    <mergeCell ref="L276:M276"/>
    <mergeCell ref="L277:M277"/>
    <mergeCell ref="L296:M296"/>
    <mergeCell ref="L297:M297"/>
    <mergeCell ref="L298:M298"/>
    <mergeCell ref="L299:M299"/>
    <mergeCell ref="L300:M300"/>
    <mergeCell ref="L301:M301"/>
    <mergeCell ref="L302:M302"/>
    <mergeCell ref="L303:M303"/>
    <mergeCell ref="L304:M304"/>
    <mergeCell ref="L287:M287"/>
    <mergeCell ref="L288:M288"/>
    <mergeCell ref="L289:M289"/>
    <mergeCell ref="L290:M290"/>
    <mergeCell ref="L291:M291"/>
    <mergeCell ref="L292:M292"/>
    <mergeCell ref="L293:M293"/>
    <mergeCell ref="L294:M294"/>
    <mergeCell ref="L295:M295"/>
    <mergeCell ref="L327:M327"/>
    <mergeCell ref="L328:M328"/>
    <mergeCell ref="L329:M329"/>
    <mergeCell ref="L330:M330"/>
    <mergeCell ref="L331:M331"/>
    <mergeCell ref="L314:M314"/>
    <mergeCell ref="L315:M315"/>
    <mergeCell ref="L316:M316"/>
    <mergeCell ref="L317:M317"/>
    <mergeCell ref="L318:M318"/>
    <mergeCell ref="L319:M319"/>
    <mergeCell ref="L320:M320"/>
    <mergeCell ref="L321:M321"/>
    <mergeCell ref="L322:M322"/>
    <mergeCell ref="L305:M305"/>
    <mergeCell ref="L306:M306"/>
    <mergeCell ref="L307:M307"/>
    <mergeCell ref="L308:M308"/>
    <mergeCell ref="L309:M309"/>
    <mergeCell ref="L310:M310"/>
    <mergeCell ref="L311:M311"/>
    <mergeCell ref="L312:M312"/>
    <mergeCell ref="L313:M313"/>
    <mergeCell ref="L323:M323"/>
    <mergeCell ref="L324:M324"/>
    <mergeCell ref="L325:M325"/>
    <mergeCell ref="L326:M326"/>
    <mergeCell ref="AN90:AO90"/>
    <mergeCell ref="AN91:AO91"/>
    <mergeCell ref="AN92:AO92"/>
    <mergeCell ref="AN107:AO107"/>
    <mergeCell ref="AN108:AO108"/>
    <mergeCell ref="AN109:AO109"/>
    <mergeCell ref="AN110:AO110"/>
    <mergeCell ref="AN120:AO120"/>
    <mergeCell ref="AN121:AO121"/>
    <mergeCell ref="AN122:AO122"/>
    <mergeCell ref="AN123:AO123"/>
    <mergeCell ref="L356:M356"/>
    <mergeCell ref="L357:M357"/>
    <mergeCell ref="L358:M358"/>
    <mergeCell ref="L341:M341"/>
    <mergeCell ref="L342:M342"/>
    <mergeCell ref="L343:M343"/>
    <mergeCell ref="L344:M344"/>
    <mergeCell ref="L345:M345"/>
    <mergeCell ref="L346:M346"/>
    <mergeCell ref="L347:M347"/>
    <mergeCell ref="L348:M348"/>
    <mergeCell ref="L349:M349"/>
    <mergeCell ref="L332:M332"/>
    <mergeCell ref="L333:M333"/>
    <mergeCell ref="L334:M334"/>
    <mergeCell ref="L335:M335"/>
    <mergeCell ref="L336:M336"/>
    <mergeCell ref="L337:M337"/>
    <mergeCell ref="L338:M338"/>
    <mergeCell ref="L339:M339"/>
    <mergeCell ref="L340:M340"/>
    <mergeCell ref="AN71:AO71"/>
    <mergeCell ref="AN72:AO72"/>
    <mergeCell ref="AN73:AO73"/>
    <mergeCell ref="AN74:AO74"/>
    <mergeCell ref="AN75:AO75"/>
    <mergeCell ref="AN76:AO76"/>
    <mergeCell ref="AN77:AO77"/>
    <mergeCell ref="AN78:AO78"/>
    <mergeCell ref="AN79:AO79"/>
    <mergeCell ref="AN80:AO80"/>
    <mergeCell ref="AN81:AO81"/>
    <mergeCell ref="AN82:AO82"/>
    <mergeCell ref="AN102:AO102"/>
    <mergeCell ref="AN103:AO103"/>
    <mergeCell ref="AN104:AO104"/>
    <mergeCell ref="AN105:AO105"/>
    <mergeCell ref="AN106:AO106"/>
    <mergeCell ref="AN93:AO93"/>
    <mergeCell ref="AN94:AO94"/>
    <mergeCell ref="AN95:AO95"/>
    <mergeCell ref="AN96:AO96"/>
    <mergeCell ref="AN97:AO97"/>
    <mergeCell ref="AN98:AO98"/>
    <mergeCell ref="AN99:AO99"/>
    <mergeCell ref="AN100:AO100"/>
    <mergeCell ref="AN101:AO101"/>
    <mergeCell ref="AN84:AO84"/>
    <mergeCell ref="AN85:AO85"/>
    <mergeCell ref="AN86:AO86"/>
    <mergeCell ref="AN87:AO87"/>
    <mergeCell ref="AN88:AO88"/>
    <mergeCell ref="AN89:AO89"/>
    <mergeCell ref="AN126:AO126"/>
    <mergeCell ref="AN127:AO127"/>
    <mergeCell ref="AN128:AO128"/>
    <mergeCell ref="AN111:AO111"/>
    <mergeCell ref="AN112:AO112"/>
    <mergeCell ref="AN113:AO113"/>
    <mergeCell ref="AN114:AO114"/>
    <mergeCell ref="AN115:AO115"/>
    <mergeCell ref="AN116:AO116"/>
    <mergeCell ref="AN117:AO117"/>
    <mergeCell ref="AN118:AO118"/>
    <mergeCell ref="AN119:AO119"/>
    <mergeCell ref="AN138:AO138"/>
    <mergeCell ref="AN139:AO139"/>
    <mergeCell ref="AN140:AO140"/>
    <mergeCell ref="AN141:AO141"/>
    <mergeCell ref="AN142:AO142"/>
    <mergeCell ref="AN124:AO124"/>
    <mergeCell ref="AN125:AO125"/>
    <mergeCell ref="AN143:AO143"/>
    <mergeCell ref="AN144:AO144"/>
    <mergeCell ref="AN145:AO145"/>
    <mergeCell ref="AN146:AO146"/>
    <mergeCell ref="AN129:AO129"/>
    <mergeCell ref="AN130:AO130"/>
    <mergeCell ref="AN131:AO131"/>
    <mergeCell ref="AN132:AO132"/>
    <mergeCell ref="AN133:AO133"/>
    <mergeCell ref="AN134:AO134"/>
    <mergeCell ref="AN135:AO135"/>
    <mergeCell ref="AN136:AO136"/>
    <mergeCell ref="AN137:AO137"/>
    <mergeCell ref="AN156:AO156"/>
    <mergeCell ref="AN157:AO157"/>
    <mergeCell ref="AN158:AO158"/>
    <mergeCell ref="AN159:AO159"/>
    <mergeCell ref="AN160:AO160"/>
    <mergeCell ref="AN161:AO161"/>
    <mergeCell ref="AN162:AO162"/>
    <mergeCell ref="AN163:AO163"/>
    <mergeCell ref="AN164:AO164"/>
    <mergeCell ref="AN147:AO147"/>
    <mergeCell ref="AN148:AO148"/>
    <mergeCell ref="AN149:AO149"/>
    <mergeCell ref="AN150:AO150"/>
    <mergeCell ref="AN151:AO151"/>
    <mergeCell ref="AN152:AO152"/>
    <mergeCell ref="AN153:AO153"/>
    <mergeCell ref="AN154:AO154"/>
    <mergeCell ref="AN155:AO155"/>
    <mergeCell ref="AN174:AO174"/>
    <mergeCell ref="AN175:AO175"/>
    <mergeCell ref="AN176:AO176"/>
    <mergeCell ref="AN177:AO177"/>
    <mergeCell ref="AN178:AO178"/>
    <mergeCell ref="AN179:AO179"/>
    <mergeCell ref="AN180:AO180"/>
    <mergeCell ref="AN181:AO181"/>
    <mergeCell ref="AN182:AO182"/>
    <mergeCell ref="AN165:AO165"/>
    <mergeCell ref="AN166:AO166"/>
    <mergeCell ref="AN167:AO167"/>
    <mergeCell ref="AN168:AO168"/>
    <mergeCell ref="AN169:AO169"/>
    <mergeCell ref="AN170:AO170"/>
    <mergeCell ref="AN171:AO171"/>
    <mergeCell ref="AN172:AO172"/>
    <mergeCell ref="AN173:AO173"/>
    <mergeCell ref="AN192:AO192"/>
    <mergeCell ref="AN193:AO193"/>
    <mergeCell ref="AN194:AO194"/>
    <mergeCell ref="AN195:AO195"/>
    <mergeCell ref="AN196:AO196"/>
    <mergeCell ref="AN197:AO197"/>
    <mergeCell ref="AN198:AO198"/>
    <mergeCell ref="AN199:AO199"/>
    <mergeCell ref="AN200:AO200"/>
    <mergeCell ref="AN183:AO183"/>
    <mergeCell ref="AN184:AO184"/>
    <mergeCell ref="AN185:AO185"/>
    <mergeCell ref="AN186:AO186"/>
    <mergeCell ref="AN187:AO187"/>
    <mergeCell ref="AN188:AO188"/>
    <mergeCell ref="AN189:AO189"/>
    <mergeCell ref="AN190:AO190"/>
    <mergeCell ref="AN191:AO191"/>
    <mergeCell ref="AN210:AO210"/>
    <mergeCell ref="AN211:AO211"/>
    <mergeCell ref="AN212:AO212"/>
    <mergeCell ref="AN213:AO213"/>
    <mergeCell ref="AN214:AO214"/>
    <mergeCell ref="AN215:AO215"/>
    <mergeCell ref="AN216:AO216"/>
    <mergeCell ref="AN217:AO217"/>
    <mergeCell ref="AN218:AO218"/>
    <mergeCell ref="AN201:AO201"/>
    <mergeCell ref="AN202:AO202"/>
    <mergeCell ref="AN203:AO203"/>
    <mergeCell ref="AN204:AO204"/>
    <mergeCell ref="AN205:AO205"/>
    <mergeCell ref="AN206:AO206"/>
    <mergeCell ref="AN207:AO207"/>
    <mergeCell ref="AN208:AO208"/>
    <mergeCell ref="AN209:AO209"/>
    <mergeCell ref="AN228:AO228"/>
    <mergeCell ref="AN229:AO229"/>
    <mergeCell ref="AN230:AO230"/>
    <mergeCell ref="AN231:AO231"/>
    <mergeCell ref="AN232:AO232"/>
    <mergeCell ref="AN233:AO233"/>
    <mergeCell ref="AN234:AO234"/>
    <mergeCell ref="AN235:AO235"/>
    <mergeCell ref="AN236:AO236"/>
    <mergeCell ref="AN219:AO219"/>
    <mergeCell ref="AN220:AO220"/>
    <mergeCell ref="AN221:AO221"/>
    <mergeCell ref="AN222:AO222"/>
    <mergeCell ref="AN223:AO223"/>
    <mergeCell ref="AN224:AO224"/>
    <mergeCell ref="AN225:AO225"/>
    <mergeCell ref="AN226:AO226"/>
    <mergeCell ref="AN227:AO227"/>
    <mergeCell ref="AN246:AO246"/>
    <mergeCell ref="AN247:AO247"/>
    <mergeCell ref="AN248:AO248"/>
    <mergeCell ref="AN249:AO249"/>
    <mergeCell ref="AN250:AO250"/>
    <mergeCell ref="AN251:AO251"/>
    <mergeCell ref="AN252:AO252"/>
    <mergeCell ref="AN253:AO253"/>
    <mergeCell ref="AN254:AO254"/>
    <mergeCell ref="AN237:AO237"/>
    <mergeCell ref="AN238:AO238"/>
    <mergeCell ref="AN239:AO239"/>
    <mergeCell ref="AN240:AO240"/>
    <mergeCell ref="AN241:AO241"/>
    <mergeCell ref="AN242:AO242"/>
    <mergeCell ref="AN243:AO243"/>
    <mergeCell ref="AN244:AO244"/>
    <mergeCell ref="AN245:AO245"/>
    <mergeCell ref="AN264:AO264"/>
    <mergeCell ref="AN265:AO265"/>
    <mergeCell ref="AN266:AO266"/>
    <mergeCell ref="AN267:AO267"/>
    <mergeCell ref="AN268:AO268"/>
    <mergeCell ref="AN269:AO269"/>
    <mergeCell ref="AN270:AO270"/>
    <mergeCell ref="AN271:AO271"/>
    <mergeCell ref="AN272:AO272"/>
    <mergeCell ref="AN255:AO255"/>
    <mergeCell ref="AN256:AO256"/>
    <mergeCell ref="AN257:AO257"/>
    <mergeCell ref="AN258:AO258"/>
    <mergeCell ref="AN259:AO259"/>
    <mergeCell ref="AN260:AO260"/>
    <mergeCell ref="AN261:AO261"/>
    <mergeCell ref="AN262:AO262"/>
    <mergeCell ref="AN263:AO263"/>
    <mergeCell ref="AN282:AO282"/>
    <mergeCell ref="AN283:AO283"/>
    <mergeCell ref="AN284:AO284"/>
    <mergeCell ref="AN285:AO285"/>
    <mergeCell ref="AN286:AO286"/>
    <mergeCell ref="AN287:AO287"/>
    <mergeCell ref="AN288:AO288"/>
    <mergeCell ref="AN289:AO289"/>
    <mergeCell ref="AN290:AO290"/>
    <mergeCell ref="AN273:AO273"/>
    <mergeCell ref="AN274:AO274"/>
    <mergeCell ref="AN275:AO275"/>
    <mergeCell ref="AN276:AO276"/>
    <mergeCell ref="AN277:AO277"/>
    <mergeCell ref="AN278:AO278"/>
    <mergeCell ref="AN279:AO279"/>
    <mergeCell ref="AN280:AO280"/>
    <mergeCell ref="AN281:AO281"/>
    <mergeCell ref="AN300:AO300"/>
    <mergeCell ref="AN301:AO301"/>
    <mergeCell ref="AN302:AO302"/>
    <mergeCell ref="AN303:AO303"/>
    <mergeCell ref="AN304:AO304"/>
    <mergeCell ref="AN305:AO305"/>
    <mergeCell ref="AN306:AO306"/>
    <mergeCell ref="AN307:AO307"/>
    <mergeCell ref="AN308:AO308"/>
    <mergeCell ref="AN291:AO291"/>
    <mergeCell ref="AN292:AO292"/>
    <mergeCell ref="AN293:AO293"/>
    <mergeCell ref="AN294:AO294"/>
    <mergeCell ref="AN295:AO295"/>
    <mergeCell ref="AN296:AO296"/>
    <mergeCell ref="AN297:AO297"/>
    <mergeCell ref="AN298:AO298"/>
    <mergeCell ref="AN299:AO299"/>
    <mergeCell ref="AN331:AO331"/>
    <mergeCell ref="AN332:AO332"/>
    <mergeCell ref="AN333:AO333"/>
    <mergeCell ref="AN334:AO334"/>
    <mergeCell ref="AN335:AO335"/>
    <mergeCell ref="AN318:AO318"/>
    <mergeCell ref="AN319:AO319"/>
    <mergeCell ref="AN320:AO320"/>
    <mergeCell ref="AN321:AO321"/>
    <mergeCell ref="AN322:AO322"/>
    <mergeCell ref="AN323:AO323"/>
    <mergeCell ref="AN324:AO324"/>
    <mergeCell ref="AN325:AO325"/>
    <mergeCell ref="AN326:AO326"/>
    <mergeCell ref="AN309:AO309"/>
    <mergeCell ref="AN310:AO310"/>
    <mergeCell ref="AN311:AO311"/>
    <mergeCell ref="AN312:AO312"/>
    <mergeCell ref="AN313:AO313"/>
    <mergeCell ref="AN314:AO314"/>
    <mergeCell ref="AN315:AO315"/>
    <mergeCell ref="AN316:AO316"/>
    <mergeCell ref="AN317:AO317"/>
    <mergeCell ref="AP88:AQ88"/>
    <mergeCell ref="AN354:AO354"/>
    <mergeCell ref="AN355:AO355"/>
    <mergeCell ref="AN356:AO356"/>
    <mergeCell ref="AN357:AO357"/>
    <mergeCell ref="AN358:AO358"/>
    <mergeCell ref="AN359:AO359"/>
    <mergeCell ref="AN360:AO360"/>
    <mergeCell ref="AN361:AO361"/>
    <mergeCell ref="AN362:AO362"/>
    <mergeCell ref="AN345:AO345"/>
    <mergeCell ref="AN346:AO346"/>
    <mergeCell ref="AN347:AO347"/>
    <mergeCell ref="AN348:AO348"/>
    <mergeCell ref="AN349:AO349"/>
    <mergeCell ref="AN350:AO350"/>
    <mergeCell ref="AN351:AO351"/>
    <mergeCell ref="AN352:AO352"/>
    <mergeCell ref="AN353:AO353"/>
    <mergeCell ref="AN336:AO336"/>
    <mergeCell ref="AN337:AO337"/>
    <mergeCell ref="AN338:AO338"/>
    <mergeCell ref="AN339:AO339"/>
    <mergeCell ref="AN340:AO340"/>
    <mergeCell ref="AN341:AO341"/>
    <mergeCell ref="AN342:AO342"/>
    <mergeCell ref="AN343:AO343"/>
    <mergeCell ref="AN344:AO344"/>
    <mergeCell ref="AN327:AO327"/>
    <mergeCell ref="AN328:AO328"/>
    <mergeCell ref="AN329:AO329"/>
    <mergeCell ref="AN330:AO330"/>
    <mergeCell ref="AP89:AQ89"/>
    <mergeCell ref="AP90:AQ90"/>
    <mergeCell ref="AP91:AQ91"/>
    <mergeCell ref="AP92:AQ92"/>
    <mergeCell ref="AP93:AQ93"/>
    <mergeCell ref="AP94:AQ94"/>
    <mergeCell ref="AP95:AQ95"/>
    <mergeCell ref="AP96:AQ96"/>
    <mergeCell ref="AP97:AQ97"/>
    <mergeCell ref="AN363:AO363"/>
    <mergeCell ref="AP66:AQ66"/>
    <mergeCell ref="AP67:AQ67"/>
    <mergeCell ref="AP68:AQ68"/>
    <mergeCell ref="AP69:AQ69"/>
    <mergeCell ref="AP70:AQ70"/>
    <mergeCell ref="AP71:AQ71"/>
    <mergeCell ref="AP72:AQ72"/>
    <mergeCell ref="AP73:AQ73"/>
    <mergeCell ref="AP74:AQ74"/>
    <mergeCell ref="AP75:AQ75"/>
    <mergeCell ref="AP76:AQ76"/>
    <mergeCell ref="AP77:AQ77"/>
    <mergeCell ref="AP78:AQ78"/>
    <mergeCell ref="AP79:AQ79"/>
    <mergeCell ref="AP80:AQ80"/>
    <mergeCell ref="AP81:AQ81"/>
    <mergeCell ref="AP82:AQ82"/>
    <mergeCell ref="AP83:AQ83"/>
    <mergeCell ref="AP84:AQ84"/>
    <mergeCell ref="AP85:AQ85"/>
    <mergeCell ref="AP86:AQ86"/>
    <mergeCell ref="AP87:AQ87"/>
    <mergeCell ref="AP107:AQ107"/>
    <mergeCell ref="AP108:AQ108"/>
    <mergeCell ref="AP109:AQ109"/>
    <mergeCell ref="AP110:AQ110"/>
    <mergeCell ref="AP111:AQ111"/>
    <mergeCell ref="AP112:AQ112"/>
    <mergeCell ref="AP113:AQ113"/>
    <mergeCell ref="AP114:AQ114"/>
    <mergeCell ref="AP115:AQ115"/>
    <mergeCell ref="AP98:AQ98"/>
    <mergeCell ref="AP99:AQ99"/>
    <mergeCell ref="AP100:AQ100"/>
    <mergeCell ref="AP101:AQ101"/>
    <mergeCell ref="AP102:AQ102"/>
    <mergeCell ref="AP103:AQ103"/>
    <mergeCell ref="AP104:AQ104"/>
    <mergeCell ref="AP105:AQ105"/>
    <mergeCell ref="AP106:AQ106"/>
    <mergeCell ref="AP125:AQ125"/>
    <mergeCell ref="AP126:AQ126"/>
    <mergeCell ref="AP127:AQ127"/>
    <mergeCell ref="AP128:AQ128"/>
    <mergeCell ref="AP129:AQ129"/>
    <mergeCell ref="AP130:AQ130"/>
    <mergeCell ref="AP131:AQ131"/>
    <mergeCell ref="AP132:AQ132"/>
    <mergeCell ref="AP133:AQ133"/>
    <mergeCell ref="AP116:AQ116"/>
    <mergeCell ref="AP117:AQ117"/>
    <mergeCell ref="AP118:AQ118"/>
    <mergeCell ref="AP119:AQ119"/>
    <mergeCell ref="AP120:AQ120"/>
    <mergeCell ref="AP121:AQ121"/>
    <mergeCell ref="AP122:AQ122"/>
    <mergeCell ref="AP123:AQ123"/>
    <mergeCell ref="AP124:AQ124"/>
    <mergeCell ref="AP143:AQ143"/>
    <mergeCell ref="AP144:AQ144"/>
    <mergeCell ref="AP145:AQ145"/>
    <mergeCell ref="AP146:AQ146"/>
    <mergeCell ref="AP147:AQ147"/>
    <mergeCell ref="AP148:AQ148"/>
    <mergeCell ref="AP149:AQ149"/>
    <mergeCell ref="AP150:AQ150"/>
    <mergeCell ref="AP151:AQ151"/>
    <mergeCell ref="AP134:AQ134"/>
    <mergeCell ref="AP135:AQ135"/>
    <mergeCell ref="AP136:AQ136"/>
    <mergeCell ref="AP137:AQ137"/>
    <mergeCell ref="AP138:AQ138"/>
    <mergeCell ref="AP139:AQ139"/>
    <mergeCell ref="AP140:AQ140"/>
    <mergeCell ref="AP141:AQ141"/>
    <mergeCell ref="AP142:AQ142"/>
    <mergeCell ref="AP161:AQ161"/>
    <mergeCell ref="AP162:AQ162"/>
    <mergeCell ref="AP163:AQ163"/>
    <mergeCell ref="AP164:AQ164"/>
    <mergeCell ref="AP165:AQ165"/>
    <mergeCell ref="AP166:AQ166"/>
    <mergeCell ref="AP167:AQ167"/>
    <mergeCell ref="AP168:AQ168"/>
    <mergeCell ref="AP169:AQ169"/>
    <mergeCell ref="AP152:AQ152"/>
    <mergeCell ref="AP153:AQ153"/>
    <mergeCell ref="AP154:AQ154"/>
    <mergeCell ref="AP155:AQ155"/>
    <mergeCell ref="AP156:AQ156"/>
    <mergeCell ref="AP157:AQ157"/>
    <mergeCell ref="AP158:AQ158"/>
    <mergeCell ref="AP159:AQ159"/>
    <mergeCell ref="AP160:AQ160"/>
    <mergeCell ref="AP179:AQ179"/>
    <mergeCell ref="AP180:AQ180"/>
    <mergeCell ref="AP181:AQ181"/>
    <mergeCell ref="AP182:AQ182"/>
    <mergeCell ref="AP183:AQ183"/>
    <mergeCell ref="AP184:AQ184"/>
    <mergeCell ref="AP185:AQ185"/>
    <mergeCell ref="AP186:AQ186"/>
    <mergeCell ref="AP187:AQ187"/>
    <mergeCell ref="AP170:AQ170"/>
    <mergeCell ref="AP171:AQ171"/>
    <mergeCell ref="AP172:AQ172"/>
    <mergeCell ref="AP173:AQ173"/>
    <mergeCell ref="AP174:AQ174"/>
    <mergeCell ref="AP175:AQ175"/>
    <mergeCell ref="AP176:AQ176"/>
    <mergeCell ref="AP177:AQ177"/>
    <mergeCell ref="AP178:AQ178"/>
    <mergeCell ref="AP197:AQ197"/>
    <mergeCell ref="AP198:AQ198"/>
    <mergeCell ref="AP199:AQ199"/>
    <mergeCell ref="AP200:AQ200"/>
    <mergeCell ref="AP201:AQ201"/>
    <mergeCell ref="AP202:AQ202"/>
    <mergeCell ref="AP203:AQ203"/>
    <mergeCell ref="AP204:AQ204"/>
    <mergeCell ref="AP205:AQ205"/>
    <mergeCell ref="AP188:AQ188"/>
    <mergeCell ref="AP189:AQ189"/>
    <mergeCell ref="AP190:AQ190"/>
    <mergeCell ref="AP191:AQ191"/>
    <mergeCell ref="AP192:AQ192"/>
    <mergeCell ref="AP193:AQ193"/>
    <mergeCell ref="AP194:AQ194"/>
    <mergeCell ref="AP195:AQ195"/>
    <mergeCell ref="AP196:AQ196"/>
    <mergeCell ref="AP215:AQ215"/>
    <mergeCell ref="AP216:AQ216"/>
    <mergeCell ref="AP217:AQ217"/>
    <mergeCell ref="AP218:AQ218"/>
    <mergeCell ref="AP219:AQ219"/>
    <mergeCell ref="AP220:AQ220"/>
    <mergeCell ref="AP221:AQ221"/>
    <mergeCell ref="AP222:AQ222"/>
    <mergeCell ref="AP223:AQ223"/>
    <mergeCell ref="AP206:AQ206"/>
    <mergeCell ref="AP207:AQ207"/>
    <mergeCell ref="AP208:AQ208"/>
    <mergeCell ref="AP209:AQ209"/>
    <mergeCell ref="AP210:AQ210"/>
    <mergeCell ref="AP211:AQ211"/>
    <mergeCell ref="AP212:AQ212"/>
    <mergeCell ref="AP213:AQ213"/>
    <mergeCell ref="AP214:AQ214"/>
    <mergeCell ref="AP233:AQ233"/>
    <mergeCell ref="AP234:AQ234"/>
    <mergeCell ref="AP235:AQ235"/>
    <mergeCell ref="AP236:AQ236"/>
    <mergeCell ref="AP237:AQ237"/>
    <mergeCell ref="AP238:AQ238"/>
    <mergeCell ref="AP239:AQ239"/>
    <mergeCell ref="AP240:AQ240"/>
    <mergeCell ref="AP241:AQ241"/>
    <mergeCell ref="AP224:AQ224"/>
    <mergeCell ref="AP225:AQ225"/>
    <mergeCell ref="AP226:AQ226"/>
    <mergeCell ref="AP227:AQ227"/>
    <mergeCell ref="AP228:AQ228"/>
    <mergeCell ref="AP229:AQ229"/>
    <mergeCell ref="AP230:AQ230"/>
    <mergeCell ref="AP231:AQ231"/>
    <mergeCell ref="AP232:AQ232"/>
    <mergeCell ref="AP251:AQ251"/>
    <mergeCell ref="AP252:AQ252"/>
    <mergeCell ref="AP253:AQ253"/>
    <mergeCell ref="AP254:AQ254"/>
    <mergeCell ref="AP255:AQ255"/>
    <mergeCell ref="AP256:AQ256"/>
    <mergeCell ref="AP257:AQ257"/>
    <mergeCell ref="AP258:AQ258"/>
    <mergeCell ref="AP259:AQ259"/>
    <mergeCell ref="AP242:AQ242"/>
    <mergeCell ref="AP243:AQ243"/>
    <mergeCell ref="AP244:AQ244"/>
    <mergeCell ref="AP245:AQ245"/>
    <mergeCell ref="AP246:AQ246"/>
    <mergeCell ref="AP247:AQ247"/>
    <mergeCell ref="AP248:AQ248"/>
    <mergeCell ref="AP249:AQ249"/>
    <mergeCell ref="AP250:AQ250"/>
    <mergeCell ref="AP269:AQ269"/>
    <mergeCell ref="AP270:AQ270"/>
    <mergeCell ref="AP271:AQ271"/>
    <mergeCell ref="AP272:AQ272"/>
    <mergeCell ref="AP273:AQ273"/>
    <mergeCell ref="AP274:AQ274"/>
    <mergeCell ref="AP275:AQ275"/>
    <mergeCell ref="AP276:AQ276"/>
    <mergeCell ref="AP277:AQ277"/>
    <mergeCell ref="AP260:AQ260"/>
    <mergeCell ref="AP261:AQ261"/>
    <mergeCell ref="AP262:AQ262"/>
    <mergeCell ref="AP263:AQ263"/>
    <mergeCell ref="AP264:AQ264"/>
    <mergeCell ref="AP265:AQ265"/>
    <mergeCell ref="AP266:AQ266"/>
    <mergeCell ref="AP267:AQ267"/>
    <mergeCell ref="AP268:AQ268"/>
    <mergeCell ref="AP287:AQ287"/>
    <mergeCell ref="AP288:AQ288"/>
    <mergeCell ref="AP289:AQ289"/>
    <mergeCell ref="AP290:AQ290"/>
    <mergeCell ref="AP291:AQ291"/>
    <mergeCell ref="AP292:AQ292"/>
    <mergeCell ref="AP293:AQ293"/>
    <mergeCell ref="AP294:AQ294"/>
    <mergeCell ref="AP295:AQ295"/>
    <mergeCell ref="AP278:AQ278"/>
    <mergeCell ref="AP279:AQ279"/>
    <mergeCell ref="AP280:AQ280"/>
    <mergeCell ref="AP281:AQ281"/>
    <mergeCell ref="AP282:AQ282"/>
    <mergeCell ref="AP283:AQ283"/>
    <mergeCell ref="AP284:AQ284"/>
    <mergeCell ref="AP285:AQ285"/>
    <mergeCell ref="AP286:AQ286"/>
    <mergeCell ref="AP305:AQ305"/>
    <mergeCell ref="AP306:AQ306"/>
    <mergeCell ref="AP307:AQ307"/>
    <mergeCell ref="AP308:AQ308"/>
    <mergeCell ref="AP309:AQ309"/>
    <mergeCell ref="AP310:AQ310"/>
    <mergeCell ref="AP311:AQ311"/>
    <mergeCell ref="AP312:AQ312"/>
    <mergeCell ref="AP313:AQ313"/>
    <mergeCell ref="AP296:AQ296"/>
    <mergeCell ref="AP297:AQ297"/>
    <mergeCell ref="AP298:AQ298"/>
    <mergeCell ref="AP299:AQ299"/>
    <mergeCell ref="AP300:AQ300"/>
    <mergeCell ref="AP301:AQ301"/>
    <mergeCell ref="AP302:AQ302"/>
    <mergeCell ref="AP303:AQ303"/>
    <mergeCell ref="AP304:AQ304"/>
    <mergeCell ref="AP323:AQ323"/>
    <mergeCell ref="AP324:AQ324"/>
    <mergeCell ref="AP325:AQ325"/>
    <mergeCell ref="AP326:AQ326"/>
    <mergeCell ref="AP327:AQ327"/>
    <mergeCell ref="AP328:AQ328"/>
    <mergeCell ref="AP329:AQ329"/>
    <mergeCell ref="AP330:AQ330"/>
    <mergeCell ref="AP331:AQ331"/>
    <mergeCell ref="AP314:AQ314"/>
    <mergeCell ref="AP315:AQ315"/>
    <mergeCell ref="AP316:AQ316"/>
    <mergeCell ref="AP317:AQ317"/>
    <mergeCell ref="AP318:AQ318"/>
    <mergeCell ref="AP319:AQ319"/>
    <mergeCell ref="AP320:AQ320"/>
    <mergeCell ref="AP321:AQ321"/>
    <mergeCell ref="AP322:AQ322"/>
    <mergeCell ref="AP341:AQ341"/>
    <mergeCell ref="AP342:AQ342"/>
    <mergeCell ref="AP343:AQ343"/>
    <mergeCell ref="AP344:AQ344"/>
    <mergeCell ref="AP345:AQ345"/>
    <mergeCell ref="AP346:AQ346"/>
    <mergeCell ref="AP347:AQ347"/>
    <mergeCell ref="AP348:AQ348"/>
    <mergeCell ref="AP349:AQ349"/>
    <mergeCell ref="AP332:AQ332"/>
    <mergeCell ref="AP333:AQ333"/>
    <mergeCell ref="AP334:AQ334"/>
    <mergeCell ref="AP335:AQ335"/>
    <mergeCell ref="AP336:AQ336"/>
    <mergeCell ref="AP337:AQ337"/>
    <mergeCell ref="AP338:AQ338"/>
    <mergeCell ref="AP339:AQ339"/>
    <mergeCell ref="AP340:AQ340"/>
    <mergeCell ref="AP360:AQ360"/>
    <mergeCell ref="AP361:AQ361"/>
    <mergeCell ref="AP362:AQ362"/>
    <mergeCell ref="AP363:AQ363"/>
    <mergeCell ref="R66:S66"/>
    <mergeCell ref="R67:S67"/>
    <mergeCell ref="R68:S68"/>
    <mergeCell ref="R69:S69"/>
    <mergeCell ref="R70:S70"/>
    <mergeCell ref="R71:S71"/>
    <mergeCell ref="R72:S72"/>
    <mergeCell ref="R73:S73"/>
    <mergeCell ref="R74:S74"/>
    <mergeCell ref="R75:S75"/>
    <mergeCell ref="R76:S76"/>
    <mergeCell ref="R77:S77"/>
    <mergeCell ref="R78:S78"/>
    <mergeCell ref="R79:S79"/>
    <mergeCell ref="R80:S80"/>
    <mergeCell ref="R81:S81"/>
    <mergeCell ref="R82:S82"/>
    <mergeCell ref="R83:S83"/>
    <mergeCell ref="R84:S84"/>
    <mergeCell ref="AP350:AQ350"/>
    <mergeCell ref="AP351:AQ351"/>
    <mergeCell ref="AP352:AQ352"/>
    <mergeCell ref="AP353:AQ353"/>
    <mergeCell ref="AP354:AQ354"/>
    <mergeCell ref="AP355:AQ355"/>
    <mergeCell ref="AP356:AQ356"/>
    <mergeCell ref="AP357:AQ357"/>
    <mergeCell ref="R94:S94"/>
    <mergeCell ref="R92:S92"/>
    <mergeCell ref="R93:S93"/>
    <mergeCell ref="R112:S112"/>
    <mergeCell ref="R113:S113"/>
    <mergeCell ref="R114:S114"/>
    <mergeCell ref="R115:S115"/>
    <mergeCell ref="R116:S116"/>
    <mergeCell ref="R117:S117"/>
    <mergeCell ref="R118:S118"/>
    <mergeCell ref="R119:S119"/>
    <mergeCell ref="R120:S120"/>
    <mergeCell ref="R103:S103"/>
    <mergeCell ref="R104:S104"/>
    <mergeCell ref="R105:S105"/>
    <mergeCell ref="R106:S106"/>
    <mergeCell ref="R107:S107"/>
    <mergeCell ref="R108:S108"/>
    <mergeCell ref="R109:S109"/>
    <mergeCell ref="R110:S110"/>
    <mergeCell ref="R111:S111"/>
    <mergeCell ref="R95:S95"/>
    <mergeCell ref="R96:S96"/>
    <mergeCell ref="R97:S97"/>
    <mergeCell ref="R98:S98"/>
    <mergeCell ref="R99:S99"/>
    <mergeCell ref="R100:S100"/>
    <mergeCell ref="R101:S101"/>
    <mergeCell ref="R102:S102"/>
    <mergeCell ref="R130:S130"/>
    <mergeCell ref="R131:S131"/>
    <mergeCell ref="R132:S132"/>
    <mergeCell ref="R133:S133"/>
    <mergeCell ref="R134:S134"/>
    <mergeCell ref="R135:S135"/>
    <mergeCell ref="R136:S136"/>
    <mergeCell ref="R137:S137"/>
    <mergeCell ref="R138:S138"/>
    <mergeCell ref="R121:S121"/>
    <mergeCell ref="R122:S122"/>
    <mergeCell ref="R123:S123"/>
    <mergeCell ref="R124:S124"/>
    <mergeCell ref="R125:S125"/>
    <mergeCell ref="R126:S126"/>
    <mergeCell ref="R127:S127"/>
    <mergeCell ref="R128:S128"/>
    <mergeCell ref="R129:S129"/>
    <mergeCell ref="R148:S148"/>
    <mergeCell ref="R149:S149"/>
    <mergeCell ref="R150:S150"/>
    <mergeCell ref="R151:S151"/>
    <mergeCell ref="R152:S152"/>
    <mergeCell ref="R153:S153"/>
    <mergeCell ref="R154:S154"/>
    <mergeCell ref="R155:S155"/>
    <mergeCell ref="R156:S156"/>
    <mergeCell ref="R139:S139"/>
    <mergeCell ref="R140:S140"/>
    <mergeCell ref="R141:S141"/>
    <mergeCell ref="R142:S142"/>
    <mergeCell ref="R143:S143"/>
    <mergeCell ref="R144:S144"/>
    <mergeCell ref="R145:S145"/>
    <mergeCell ref="R146:S146"/>
    <mergeCell ref="R147:S147"/>
    <mergeCell ref="R166:S166"/>
    <mergeCell ref="R167:S167"/>
    <mergeCell ref="R168:S168"/>
    <mergeCell ref="R169:S169"/>
    <mergeCell ref="R170:S170"/>
    <mergeCell ref="R171:S171"/>
    <mergeCell ref="R172:S172"/>
    <mergeCell ref="R173:S173"/>
    <mergeCell ref="R174:S174"/>
    <mergeCell ref="R157:S157"/>
    <mergeCell ref="R158:S158"/>
    <mergeCell ref="R159:S159"/>
    <mergeCell ref="R160:S160"/>
    <mergeCell ref="R161:S161"/>
    <mergeCell ref="R162:S162"/>
    <mergeCell ref="R163:S163"/>
    <mergeCell ref="R164:S164"/>
    <mergeCell ref="R165:S165"/>
    <mergeCell ref="R184:S184"/>
    <mergeCell ref="R185:S185"/>
    <mergeCell ref="R186:S186"/>
    <mergeCell ref="R187:S187"/>
    <mergeCell ref="R188:S188"/>
    <mergeCell ref="R189:S189"/>
    <mergeCell ref="R190:S190"/>
    <mergeCell ref="R191:S191"/>
    <mergeCell ref="R192:S192"/>
    <mergeCell ref="R175:S175"/>
    <mergeCell ref="R176:S176"/>
    <mergeCell ref="R177:S177"/>
    <mergeCell ref="R178:S178"/>
    <mergeCell ref="R179:S179"/>
    <mergeCell ref="R180:S180"/>
    <mergeCell ref="R181:S181"/>
    <mergeCell ref="R182:S182"/>
    <mergeCell ref="R183:S183"/>
    <mergeCell ref="R202:S202"/>
    <mergeCell ref="R203:S203"/>
    <mergeCell ref="R204:S204"/>
    <mergeCell ref="R205:S205"/>
    <mergeCell ref="R206:S206"/>
    <mergeCell ref="R207:S207"/>
    <mergeCell ref="R208:S208"/>
    <mergeCell ref="R209:S209"/>
    <mergeCell ref="R210:S210"/>
    <mergeCell ref="R193:S193"/>
    <mergeCell ref="R194:S194"/>
    <mergeCell ref="R195:S195"/>
    <mergeCell ref="R196:S196"/>
    <mergeCell ref="R197:S197"/>
    <mergeCell ref="R198:S198"/>
    <mergeCell ref="R199:S199"/>
    <mergeCell ref="R200:S200"/>
    <mergeCell ref="R201:S201"/>
    <mergeCell ref="R220:S220"/>
    <mergeCell ref="R221:S221"/>
    <mergeCell ref="R222:S222"/>
    <mergeCell ref="R223:S223"/>
    <mergeCell ref="R224:S224"/>
    <mergeCell ref="R225:S225"/>
    <mergeCell ref="R226:S226"/>
    <mergeCell ref="R227:S227"/>
    <mergeCell ref="R228:S228"/>
    <mergeCell ref="R211:S211"/>
    <mergeCell ref="R212:S212"/>
    <mergeCell ref="R213:S213"/>
    <mergeCell ref="R214:S214"/>
    <mergeCell ref="R215:S215"/>
    <mergeCell ref="R216:S216"/>
    <mergeCell ref="R217:S217"/>
    <mergeCell ref="R218:S218"/>
    <mergeCell ref="R219:S219"/>
    <mergeCell ref="R238:S238"/>
    <mergeCell ref="R239:S239"/>
    <mergeCell ref="R240:S240"/>
    <mergeCell ref="R241:S241"/>
    <mergeCell ref="R242:S242"/>
    <mergeCell ref="R243:S243"/>
    <mergeCell ref="R244:S244"/>
    <mergeCell ref="R245:S245"/>
    <mergeCell ref="R246:S246"/>
    <mergeCell ref="R229:S229"/>
    <mergeCell ref="R230:S230"/>
    <mergeCell ref="R231:S231"/>
    <mergeCell ref="R232:S232"/>
    <mergeCell ref="R233:S233"/>
    <mergeCell ref="R234:S234"/>
    <mergeCell ref="R235:S235"/>
    <mergeCell ref="R236:S236"/>
    <mergeCell ref="R237:S237"/>
    <mergeCell ref="R256:S256"/>
    <mergeCell ref="R257:S257"/>
    <mergeCell ref="R258:S258"/>
    <mergeCell ref="R259:S259"/>
    <mergeCell ref="R260:S260"/>
    <mergeCell ref="R261:S261"/>
    <mergeCell ref="R262:S262"/>
    <mergeCell ref="R263:S263"/>
    <mergeCell ref="R264:S264"/>
    <mergeCell ref="R247:S247"/>
    <mergeCell ref="R248:S248"/>
    <mergeCell ref="R249:S249"/>
    <mergeCell ref="R250:S250"/>
    <mergeCell ref="R251:S251"/>
    <mergeCell ref="R252:S252"/>
    <mergeCell ref="R253:S253"/>
    <mergeCell ref="R254:S254"/>
    <mergeCell ref="R255:S255"/>
    <mergeCell ref="R274:S274"/>
    <mergeCell ref="R275:S275"/>
    <mergeCell ref="R276:S276"/>
    <mergeCell ref="R277:S277"/>
    <mergeCell ref="R278:S278"/>
    <mergeCell ref="R279:S279"/>
    <mergeCell ref="R280:S280"/>
    <mergeCell ref="R281:S281"/>
    <mergeCell ref="R282:S282"/>
    <mergeCell ref="R265:S265"/>
    <mergeCell ref="R266:S266"/>
    <mergeCell ref="R267:S267"/>
    <mergeCell ref="R268:S268"/>
    <mergeCell ref="R269:S269"/>
    <mergeCell ref="R270:S270"/>
    <mergeCell ref="R271:S271"/>
    <mergeCell ref="R272:S272"/>
    <mergeCell ref="R273:S273"/>
    <mergeCell ref="R299:S299"/>
    <mergeCell ref="R300:S300"/>
    <mergeCell ref="R283:S283"/>
    <mergeCell ref="R284:S284"/>
    <mergeCell ref="R285:S285"/>
    <mergeCell ref="R286:S286"/>
    <mergeCell ref="R287:S287"/>
    <mergeCell ref="R288:S288"/>
    <mergeCell ref="R289:S289"/>
    <mergeCell ref="R290:S290"/>
    <mergeCell ref="R291:S291"/>
    <mergeCell ref="R319:S319"/>
    <mergeCell ref="R320:S320"/>
    <mergeCell ref="R321:S321"/>
    <mergeCell ref="R322:S322"/>
    <mergeCell ref="R323:S323"/>
    <mergeCell ref="R324:S324"/>
    <mergeCell ref="R307:S307"/>
    <mergeCell ref="R308:S308"/>
    <mergeCell ref="R309:S309"/>
    <mergeCell ref="R292:S292"/>
    <mergeCell ref="R293:S293"/>
    <mergeCell ref="R294:S294"/>
    <mergeCell ref="R295:S295"/>
    <mergeCell ref="R296:S296"/>
    <mergeCell ref="R297:S297"/>
    <mergeCell ref="R298:S298"/>
    <mergeCell ref="R325:S325"/>
    <mergeCell ref="R326:S326"/>
    <mergeCell ref="R327:S327"/>
    <mergeCell ref="R363:S363"/>
    <mergeCell ref="R346:S346"/>
    <mergeCell ref="R347:S347"/>
    <mergeCell ref="R348:S348"/>
    <mergeCell ref="R349:S349"/>
    <mergeCell ref="R350:S350"/>
    <mergeCell ref="R351:S351"/>
    <mergeCell ref="R352:S352"/>
    <mergeCell ref="R353:S353"/>
    <mergeCell ref="R354:S354"/>
    <mergeCell ref="R337:S337"/>
    <mergeCell ref="R338:S338"/>
    <mergeCell ref="R339:S339"/>
    <mergeCell ref="R340:S340"/>
    <mergeCell ref="R341:S341"/>
    <mergeCell ref="R342:S342"/>
    <mergeCell ref="R343:S343"/>
    <mergeCell ref="R344:S344"/>
    <mergeCell ref="R345:S345"/>
    <mergeCell ref="R362:S362"/>
    <mergeCell ref="R330:S330"/>
    <mergeCell ref="R331:S331"/>
    <mergeCell ref="R332:S332"/>
    <mergeCell ref="R333:S333"/>
    <mergeCell ref="R334:S334"/>
    <mergeCell ref="R335:S335"/>
    <mergeCell ref="R336:S336"/>
    <mergeCell ref="C22:E22"/>
    <mergeCell ref="C20:E20"/>
    <mergeCell ref="F19:K19"/>
    <mergeCell ref="C19:E19"/>
    <mergeCell ref="F18:K18"/>
    <mergeCell ref="C18:E18"/>
    <mergeCell ref="C17:E17"/>
    <mergeCell ref="R355:S355"/>
    <mergeCell ref="R356:S356"/>
    <mergeCell ref="R357:S357"/>
    <mergeCell ref="R358:S358"/>
    <mergeCell ref="R359:S359"/>
    <mergeCell ref="R360:S360"/>
    <mergeCell ref="R361:S361"/>
    <mergeCell ref="R310:S310"/>
    <mergeCell ref="R311:S311"/>
    <mergeCell ref="R312:S312"/>
    <mergeCell ref="R313:S313"/>
    <mergeCell ref="R314:S314"/>
    <mergeCell ref="R315:S315"/>
    <mergeCell ref="R316:S316"/>
    <mergeCell ref="R317:S317"/>
    <mergeCell ref="R318:S318"/>
    <mergeCell ref="R301:S301"/>
    <mergeCell ref="R302:S302"/>
    <mergeCell ref="R303:S303"/>
    <mergeCell ref="R304:S304"/>
    <mergeCell ref="R305:S305"/>
    <mergeCell ref="R306:S306"/>
    <mergeCell ref="R328:S328"/>
    <mergeCell ref="R329:S329"/>
    <mergeCell ref="B32:E32"/>
    <mergeCell ref="F38:K38"/>
    <mergeCell ref="I42:K42"/>
    <mergeCell ref="F20:K20"/>
    <mergeCell ref="Q10:V10"/>
    <mergeCell ref="B31:E31"/>
    <mergeCell ref="D5:F5"/>
    <mergeCell ref="F32:K32"/>
    <mergeCell ref="F33:K33"/>
    <mergeCell ref="C33:E33"/>
    <mergeCell ref="F30:K30"/>
    <mergeCell ref="C30:E30"/>
    <mergeCell ref="F31:K31"/>
    <mergeCell ref="F34:K34"/>
    <mergeCell ref="C34:E34"/>
    <mergeCell ref="F35:K35"/>
    <mergeCell ref="C35:E35"/>
    <mergeCell ref="F36:K36"/>
    <mergeCell ref="C36:E36"/>
    <mergeCell ref="N23:W23"/>
    <mergeCell ref="N15:W15"/>
    <mergeCell ref="F26:K26"/>
    <mergeCell ref="F24:K24"/>
    <mergeCell ref="F23:K23"/>
    <mergeCell ref="C23:E23"/>
    <mergeCell ref="C24:E24"/>
    <mergeCell ref="F27:K27"/>
    <mergeCell ref="C27:E27"/>
    <mergeCell ref="F28:K28"/>
    <mergeCell ref="C28:E28"/>
    <mergeCell ref="F29:K29"/>
    <mergeCell ref="C29:E29"/>
    <mergeCell ref="F22:K22"/>
  </mergeCells>
  <phoneticPr fontId="15" type="noConversion"/>
  <conditionalFormatting sqref="CL43:CL44">
    <cfRule type="dataBar" priority="528">
      <dataBar>
        <cfvo type="num" val="0"/>
        <cfvo type="num" val="1"/>
        <color theme="9" tint="0.59999389629810485"/>
      </dataBar>
      <extLst>
        <ext xmlns:x14="http://schemas.microsoft.com/office/spreadsheetml/2009/9/main" uri="{B025F937-C7B1-47D3-B67F-A62EFF666E3E}">
          <x14:id>{F3F1B603-DE52-4C93-B1BE-ADB9BCAEF4E7}</x14:id>
        </ext>
      </extLst>
    </cfRule>
  </conditionalFormatting>
  <conditionalFormatting sqref="BM50:BU50">
    <cfRule type="expression" dxfId="173" priority="509">
      <formula>$BM$50="Selecciona el Crédito a Simular Pago de Hipoteca o Liquidez"</formula>
    </cfRule>
  </conditionalFormatting>
  <conditionalFormatting sqref="F22">
    <cfRule type="expression" dxfId="172" priority="701">
      <formula>$C$22&lt;&gt;""</formula>
    </cfRule>
  </conditionalFormatting>
  <conditionalFormatting sqref="F21">
    <cfRule type="expression" dxfId="171" priority="702">
      <formula>$C$21&lt;&gt;""</formula>
    </cfRule>
  </conditionalFormatting>
  <conditionalFormatting sqref="AN365">
    <cfRule type="expression" dxfId="170" priority="346">
      <formula>$AO$322=0</formula>
    </cfRule>
  </conditionalFormatting>
  <conditionalFormatting sqref="F36">
    <cfRule type="expression" dxfId="169" priority="725">
      <formula>$F$20="Pago_Hipoteca+Liquidez"</formula>
    </cfRule>
  </conditionalFormatting>
  <conditionalFormatting sqref="H64:I363">
    <cfRule type="expression" dxfId="168" priority="39">
      <formula>$H64=0</formula>
    </cfRule>
  </conditionalFormatting>
  <conditionalFormatting sqref="N64:O363">
    <cfRule type="expression" dxfId="167" priority="38">
      <formula>$N64=0</formula>
    </cfRule>
  </conditionalFormatting>
  <conditionalFormatting sqref="AN64:AO363">
    <cfRule type="expression" dxfId="166" priority="728">
      <formula>$AN64=0</formula>
    </cfRule>
  </conditionalFormatting>
  <conditionalFormatting sqref="AP64:AQ363">
    <cfRule type="expression" dxfId="165" priority="729">
      <formula>$AP64=0</formula>
    </cfRule>
  </conditionalFormatting>
  <conditionalFormatting sqref="R64:S363">
    <cfRule type="expression" dxfId="164" priority="730">
      <formula>$R64=0</formula>
    </cfRule>
  </conditionalFormatting>
  <conditionalFormatting sqref="P57">
    <cfRule type="expression" dxfId="163" priority="33">
      <formula>$Q$322=0</formula>
    </cfRule>
  </conditionalFormatting>
  <conditionalFormatting sqref="N57">
    <cfRule type="expression" dxfId="162" priority="34">
      <formula>$AM$322=0</formula>
    </cfRule>
  </conditionalFormatting>
  <conditionalFormatting sqref="N30:W30">
    <cfRule type="expression" dxfId="161" priority="32">
      <formula>$F$20="Pago_Hipoteca+Liquidez"</formula>
    </cfRule>
  </conditionalFormatting>
  <conditionalFormatting sqref="N31:W32">
    <cfRule type="expression" dxfId="160" priority="31">
      <formula>$F$20="Pago_Hipoteca+Liquidez"</formula>
    </cfRule>
  </conditionalFormatting>
  <conditionalFormatting sqref="B64:Y64">
    <cfRule type="expression" dxfId="159" priority="30">
      <formula>$X$63=0</formula>
    </cfRule>
  </conditionalFormatting>
  <conditionalFormatting sqref="X63:Y63">
    <cfRule type="expression" dxfId="158" priority="29">
      <formula>$X$63=0</formula>
    </cfRule>
  </conditionalFormatting>
  <conditionalFormatting sqref="BM46:CK46">
    <cfRule type="expression" dxfId="157" priority="733">
      <formula>BM$46=#REF!</formula>
    </cfRule>
    <cfRule type="expression" dxfId="156" priority="734">
      <formula>BM$46=#REF!</formula>
    </cfRule>
  </conditionalFormatting>
  <conditionalFormatting sqref="B41:K41">
    <cfRule type="expression" dxfId="155" priority="25">
      <formula>$X$63&gt;0</formula>
    </cfRule>
  </conditionalFormatting>
  <conditionalFormatting sqref="B42:K42">
    <cfRule type="expression" dxfId="154" priority="24">
      <formula>$X$63</formula>
    </cfRule>
  </conditionalFormatting>
  <conditionalFormatting sqref="N42:Y42">
    <cfRule type="expression" dxfId="153" priority="750">
      <formula>$R$36="SI"</formula>
    </cfRule>
  </conditionalFormatting>
  <conditionalFormatting sqref="N43:Q43">
    <cfRule type="expression" dxfId="152" priority="751">
      <formula>$R$36="SI"</formula>
    </cfRule>
  </conditionalFormatting>
  <conditionalFormatting sqref="R43:Y43">
    <cfRule type="expression" dxfId="151" priority="752">
      <formula>$R$36="SI"</formula>
    </cfRule>
  </conditionalFormatting>
  <conditionalFormatting sqref="N41:Y41">
    <cfRule type="expression" dxfId="150" priority="753">
      <formula>$R$36="SI"</formula>
    </cfRule>
  </conditionalFormatting>
  <conditionalFormatting sqref="F35">
    <cfRule type="expression" dxfId="149" priority="775">
      <formula>$C$35&lt;&gt;""</formula>
    </cfRule>
  </conditionalFormatting>
  <conditionalFormatting sqref="F34">
    <cfRule type="expression" dxfId="148" priority="776">
      <formula>$C$34&lt;&gt;""</formula>
    </cfRule>
  </conditionalFormatting>
  <conditionalFormatting sqref="F33">
    <cfRule type="expression" dxfId="147" priority="777">
      <formula>$C$33&lt;&gt;""</formula>
    </cfRule>
  </conditionalFormatting>
  <conditionalFormatting sqref="F32">
    <cfRule type="expression" dxfId="146" priority="778">
      <formula>$B$32&lt;&gt;""</formula>
    </cfRule>
  </conditionalFormatting>
  <conditionalFormatting sqref="F31">
    <cfRule type="expression" dxfId="145" priority="779">
      <formula>$B$31&lt;&gt;""</formula>
    </cfRule>
  </conditionalFormatting>
  <conditionalFormatting sqref="F30">
    <cfRule type="expression" dxfId="144" priority="780">
      <formula>$C$30&lt;&gt;""</formula>
    </cfRule>
  </conditionalFormatting>
  <conditionalFormatting sqref="F29">
    <cfRule type="expression" dxfId="143" priority="781">
      <formula>$C$29&lt;&gt;""</formula>
    </cfRule>
  </conditionalFormatting>
  <conditionalFormatting sqref="F26">
    <cfRule type="expression" dxfId="142" priority="782">
      <formula>$B$26&lt;&gt;""</formula>
    </cfRule>
  </conditionalFormatting>
  <conditionalFormatting sqref="C25:E25">
    <cfRule type="expression" dxfId="141" priority="2">
      <formula>$F$24=0.101</formula>
    </cfRule>
    <cfRule type="expression" dxfId="140" priority="18">
      <formula>$F$24=0.103</formula>
    </cfRule>
  </conditionalFormatting>
  <conditionalFormatting sqref="F25:K25">
    <cfRule type="expression" dxfId="139" priority="17">
      <formula>$C$25&lt;&gt;""</formula>
    </cfRule>
  </conditionalFormatting>
  <conditionalFormatting sqref="L65:M65">
    <cfRule type="expression" dxfId="138" priority="16">
      <formula>$X$63=0</formula>
    </cfRule>
  </conditionalFormatting>
  <conditionalFormatting sqref="L66:M363">
    <cfRule type="expression" dxfId="137" priority="3">
      <formula>$X$63=0</formula>
    </cfRule>
  </conditionalFormatting>
  <conditionalFormatting sqref="F38:K38">
    <cfRule type="expression" dxfId="136" priority="1">
      <formula>$F$38&lt;&gt;" "</formula>
    </cfRule>
  </conditionalFormatting>
  <dataValidations count="12">
    <dataValidation type="list" allowBlank="1" showInputMessage="1" showErrorMessage="1" sqref="N18:R18" xr:uid="{1C934AA4-7199-4748-9D44-F466F8154E27}">
      <formula1>"C. Contratación Crédito,C. Penalización Pago Anticipado,Sin Comisiones"</formula1>
    </dataValidation>
    <dataValidation type="list" allowBlank="1" showInputMessage="1" showErrorMessage="1" sqref="F19 F25:F26" xr:uid="{A44E6B38-CA8B-4334-8ADD-B743E0077950}">
      <formula1>"Si,No"</formula1>
    </dataValidation>
    <dataValidation type="whole" allowBlank="1" showInputMessage="1" showErrorMessage="1" errorTitle="Monto Máximo de Crédito" error="Recuerda que el monto máximo de crédito Redisponible es de $1,000,000" sqref="AC16:AG16" xr:uid="{94D45672-1570-4DEF-BD21-E8BB155980C7}">
      <formula1>0</formula1>
      <formula2>1000000</formula2>
    </dataValidation>
    <dataValidation type="list" allowBlank="1" showInputMessage="1" showErrorMessage="1" sqref="AC19:AG19 N43" xr:uid="{8C61BA5A-BB2C-4F20-9AA3-32E1D20FBB53}">
      <formula1>"15,14,13,12,11,10,9,8,7,6,5,4,3"</formula1>
    </dataValidation>
    <dataValidation type="list" allowBlank="1" showInputMessage="1" showErrorMessage="1" sqref="F27" xr:uid="{C1569698-401B-4C0A-8560-65C263FC127C}">
      <formula1>"Por monto de crédito y valor de la vivienda,Por ingresos del cliente,Por Valor de la Vivienda"</formula1>
    </dataValidation>
    <dataValidation type="list" allowBlank="1" showInputMessage="1" showErrorMessage="1" sqref="F21:K21" xr:uid="{A4E802A2-C6A5-4AD4-804E-F7679B46FCFF}">
      <formula1>INDIRECT($F$20)</formula1>
    </dataValidation>
    <dataValidation type="list" allowBlank="1" showInputMessage="1" showErrorMessage="1" sqref="F36" xr:uid="{E82BDD28-0551-413E-AF96-749CB7682140}">
      <formula1>"Pago de Hipoteca,Liquidez"</formula1>
    </dataValidation>
    <dataValidation type="list" allowBlank="1" showInputMessage="1" showErrorMessage="1" sqref="F17:K17" xr:uid="{463A6FDC-7E79-4560-A6E6-DF4965A64CE4}">
      <formula1>INDIRECT($F$16)</formula1>
    </dataValidation>
    <dataValidation type="list" allowBlank="1" showInputMessage="1" showErrorMessage="1" sqref="R36 R34" xr:uid="{60184A4B-2323-4AAE-AB6F-00CEC82DBD48}">
      <formula1>"SI,NO"</formula1>
    </dataValidation>
    <dataValidation type="list" allowBlank="1" showInputMessage="1" showErrorMessage="1" sqref="N17:R17" xr:uid="{538D63B1-3A5C-45C2-B43D-DDA426AD3DF8}">
      <formula1>"Gastos de Preoriginación - Avalúo Hipotecario,Campaña Sin Cobro de Avalúo"</formula1>
    </dataValidation>
    <dataValidation type="whole" allowBlank="1" showInputMessage="1" showErrorMessage="1" errorTitle="Monto Mínimo y/o Máximo" error="El monto mínimo de disposición de la línea de Liquidez no puede ser menor a $50,000 o mayor a $1,000,000" promptTitle="Monto Mínimo y/o Máximo" sqref="O43:Q43" xr:uid="{4E90F120-1748-4D96-B1E4-2AD6D4F56F02}">
      <formula1>50000</formula1>
      <formula2>1000000</formula2>
    </dataValidation>
    <dataValidation type="list" allowBlank="1" showInputMessage="1" showErrorMessage="1" sqref="F20:K20" xr:uid="{CCE67B14-4B3C-4A08-848C-23300221D8E2}">
      <formula1>INDIRECT($BM$17)</formula1>
    </dataValidation>
  </dataValidations>
  <printOptions horizontalCentered="1"/>
  <pageMargins left="0.19685039370078741" right="0.19685039370078741" top="0.74803149606299213" bottom="0.19685039370078741" header="0.31496062992125984" footer="0.31496062992125984"/>
  <pageSetup scale="45" orientation="portrait" r:id="rId1"/>
  <headerFooter>
    <oddFooter>&amp;C&amp;1#&amp;"Calibri"&amp;10&amp;K000000PUBLIC</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053" r:id="rId6" name="Check Box 5">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054" r:id="rId7" name="Check Box 6">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057" r:id="rId8" name="Check Box 9">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058" r:id="rId9" name="Check Box 10">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063" r:id="rId10" name="Check Box 15">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064" r:id="rId11" name="Check Box 16">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069" r:id="rId12" name="Check Box 21">
              <controlPr defaultSize="0" autoFill="0" autoLine="0" autoPict="0">
                <anchor moveWithCells="1">
                  <from>
                    <xdr:col>112</xdr:col>
                    <xdr:colOff>180975</xdr:colOff>
                    <xdr:row>40</xdr:row>
                    <xdr:rowOff>0</xdr:rowOff>
                  </from>
                  <to>
                    <xdr:col>112</xdr:col>
                    <xdr:colOff>428625</xdr:colOff>
                    <xdr:row>40</xdr:row>
                    <xdr:rowOff>0</xdr:rowOff>
                  </to>
                </anchor>
              </controlPr>
            </control>
          </mc:Choice>
        </mc:AlternateContent>
        <mc:AlternateContent xmlns:mc="http://schemas.openxmlformats.org/markup-compatibility/2006">
          <mc:Choice Requires="x14">
            <control shapeId="2070" r:id="rId13" name="Check Box 22">
              <controlPr defaultSize="0" autoFill="0" autoLine="0" autoPict="0">
                <anchor moveWithCells="1">
                  <from>
                    <xdr:col>112</xdr:col>
                    <xdr:colOff>180975</xdr:colOff>
                    <xdr:row>40</xdr:row>
                    <xdr:rowOff>0</xdr:rowOff>
                  </from>
                  <to>
                    <xdr:col>112</xdr:col>
                    <xdr:colOff>466725</xdr:colOff>
                    <xdr:row>40</xdr:row>
                    <xdr:rowOff>0</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076" r:id="rId15" name="Check Box 28">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081" r:id="rId16" name="Check Box 33">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082" r:id="rId17" name="Check Box 34">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087" r:id="rId18" name="Check Box 39">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093" r:id="rId20" name="Check Box 45">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094" r:id="rId21" name="Check Box 46">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099" r:id="rId22" name="Check Box 51">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00" r:id="rId23" name="Check Box 52">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05" r:id="rId24" name="Check Box 57">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06" r:id="rId25" name="Check Box 58">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11" r:id="rId26" name="Check Box 63">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12" r:id="rId27" name="Check Box 64">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17" r:id="rId28" name="Check Box 69">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18" r:id="rId29" name="Check Box 70">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23" r:id="rId30" name="Check Box 75">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24" r:id="rId31" name="Check Box 76">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29" r:id="rId32" name="Check Box 81">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30" r:id="rId33" name="Check Box 82">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35" r:id="rId34" name="Check Box 87">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36" r:id="rId35" name="Check Box 88">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41" r:id="rId36" name="Check Box 93">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42" r:id="rId37" name="Check Box 94">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47" r:id="rId38" name="Check Box 99">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48" r:id="rId39" name="Check Box 100">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53" r:id="rId40" name="Check Box 105">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54" r:id="rId41" name="Check Box 106">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59" r:id="rId42" name="Check Box 111">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60" r:id="rId43" name="Check Box 112">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65" r:id="rId44" name="Check Box 117">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66" r:id="rId45" name="Check Box 118">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71" r:id="rId46" name="Check Box 123">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72" r:id="rId47" name="Check Box 124">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77" r:id="rId48" name="Check Box 129">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78" r:id="rId49" name="Check Box 130">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83" r:id="rId50" name="Check Box 135">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84" r:id="rId51" name="Check Box 136">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mc:AlternateContent xmlns:mc="http://schemas.openxmlformats.org/markup-compatibility/2006">
          <mc:Choice Requires="x14">
            <control shapeId="2187" r:id="rId52" name="Check Box 139">
              <controlPr defaultSize="0" autoFill="0" autoLine="0" autoPict="0">
                <anchor moveWithCells="1">
                  <from>
                    <xdr:col>112</xdr:col>
                    <xdr:colOff>180975</xdr:colOff>
                    <xdr:row>40</xdr:row>
                    <xdr:rowOff>0</xdr:rowOff>
                  </from>
                  <to>
                    <xdr:col>112</xdr:col>
                    <xdr:colOff>447675</xdr:colOff>
                    <xdr:row>40</xdr:row>
                    <xdr:rowOff>0</xdr:rowOff>
                  </to>
                </anchor>
              </controlPr>
            </control>
          </mc:Choice>
        </mc:AlternateContent>
        <mc:AlternateContent xmlns:mc="http://schemas.openxmlformats.org/markup-compatibility/2006">
          <mc:Choice Requires="x14">
            <control shapeId="2188" r:id="rId53" name="Check Box 140">
              <controlPr defaultSize="0" autoFill="0" autoLine="0" autoPict="0">
                <anchor moveWithCells="1">
                  <from>
                    <xdr:col>112</xdr:col>
                    <xdr:colOff>180975</xdr:colOff>
                    <xdr:row>40</xdr:row>
                    <xdr:rowOff>0</xdr:rowOff>
                  </from>
                  <to>
                    <xdr:col>112</xdr:col>
                    <xdr:colOff>457200</xdr:colOff>
                    <xdr:row>40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3F1B603-DE52-4C93-B1BE-ADB9BCAEF4E7}">
            <x14:dataBar minLength="0" maxLength="100" gradient="0" direction="leftToRight">
              <x14:cfvo type="num">
                <xm:f>0</xm:f>
              </x14:cfvo>
              <x14:cfvo type="num">
                <xm:f>1</xm:f>
              </x14:cfvo>
              <x14:negativeFillColor rgb="FFFF0000"/>
              <x14:axisColor rgb="FF000000"/>
            </x14:dataBar>
          </x14:cfRule>
          <xm:sqref>CL43:CL44</xm:sqref>
        </x14:conditionalFormatting>
        <x14:conditionalFormatting xmlns:xm="http://schemas.microsoft.com/office/excel/2006/main">
          <x14:cfRule type="expression" priority="530" id="{8BD6A10C-3734-423F-928A-7D9DB3612302}">
            <xm:f>#REF!&lt;Tabla_Amortización_PeorEscenari!$U$322</xm:f>
            <x14:dxf>
              <font>
                <b/>
                <i val="0"/>
                <color rgb="FF00B050"/>
              </font>
              <fill>
                <patternFill patternType="none">
                  <bgColor auto="1"/>
                </patternFill>
              </fill>
            </x14:dxf>
          </x14:cfRule>
          <xm:sqref>BZ50 CB50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44084983-F6E8-4CC1-AF22-9183E3150A93}">
          <x14:formula1>
            <xm:f>Catalogos!$AH$2:$AH$9</xm:f>
          </x14:formula1>
          <xm:sqref>F22</xm:sqref>
        </x14:dataValidation>
        <x14:dataValidation type="list" allowBlank="1" showInputMessage="1" showErrorMessage="1" xr:uid="{51388276-3F42-4204-B204-D5B02DD12180}">
          <x14:formula1>
            <xm:f>Catalogos!$Q$1:$R$1</xm:f>
          </x14:formula1>
          <xm:sqref>F16</xm:sqref>
        </x14:dataValidation>
        <x14:dataValidation type="list" allowBlank="1" showInputMessage="1" showErrorMessage="1" xr:uid="{8A071752-8DC5-47A3-8FEC-5856372780C2}">
          <x14:formula1>
            <xm:f>Catalogos!$E$2:$E$3</xm:f>
          </x14:formula1>
          <xm:sqref>F18:K18</xm:sqref>
        </x14:dataValidation>
        <x14:dataValidation type="list" allowBlank="1" showInputMessage="1" showErrorMessage="1" xr:uid="{0AE13878-29D1-4927-86CD-CCA0BB5BB17C}">
          <x14:formula1>
            <xm:f>IF(AND(OR(F22="Nómina Especial",F22="GSC"),F18="No_Premier"),Catalogos!$AW$2:$AW$5, IF(F20="Liquidez",Catalogos!$BD$2:$BD$6,Catalogos!$AZ$2:$AZ$6))</xm:f>
          </x14:formula1>
          <xm:sqref>F24:K24</xm:sqref>
        </x14:dataValidation>
        <x14:dataValidation type="list" showInputMessage="1" showErrorMessage="1" xr:uid="{898DF6D2-D87F-430A-B2FC-531AF9EF9D49}">
          <x14:formula1>
            <xm:f>Catalogos!$AR$2:$AR$17</xm:f>
          </x14:formula1>
          <xm:sqref>F23:K23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Y2617"/>
  <sheetViews>
    <sheetView zoomScale="115" zoomScaleNormal="115" workbookViewId="0">
      <pane ySplit="1" topLeftCell="A2" activePane="bottomLeft" state="frozen"/>
      <selection activeCell="Z1" sqref="Z1"/>
      <selection pane="bottomLeft"/>
    </sheetView>
  </sheetViews>
  <sheetFormatPr baseColWidth="10" defaultColWidth="11.42578125" defaultRowHeight="15" x14ac:dyDescent="0.25"/>
  <cols>
    <col min="1" max="1" width="77.140625" style="37" bestFit="1" customWidth="1"/>
    <col min="2" max="2" width="95.7109375" style="37" bestFit="1" customWidth="1"/>
    <col min="3" max="9" width="46.28515625" style="37" customWidth="1"/>
    <col min="10" max="16" width="11.42578125" style="37"/>
    <col min="17" max="17" width="13.5703125" style="37" bestFit="1" customWidth="1"/>
    <col min="18" max="24" width="11.42578125" style="37"/>
    <col min="25" max="25" width="19.5703125" style="37" bestFit="1" customWidth="1"/>
    <col min="26" max="16384" width="11.42578125" style="37"/>
  </cols>
  <sheetData>
    <row r="1" spans="1:25" ht="45" x14ac:dyDescent="0.25">
      <c r="A1" s="72" t="s">
        <v>21</v>
      </c>
      <c r="B1" s="72" t="s">
        <v>129</v>
      </c>
      <c r="C1" s="73" t="s">
        <v>5</v>
      </c>
      <c r="D1" s="73" t="s">
        <v>131</v>
      </c>
      <c r="E1" s="73" t="s">
        <v>145</v>
      </c>
      <c r="F1" s="73" t="s">
        <v>177</v>
      </c>
      <c r="G1" s="73" t="s">
        <v>144</v>
      </c>
      <c r="H1" s="73" t="s">
        <v>146</v>
      </c>
      <c r="I1" s="73" t="s">
        <v>25</v>
      </c>
      <c r="J1" s="73" t="s">
        <v>0</v>
      </c>
      <c r="K1" s="73" t="s">
        <v>141</v>
      </c>
      <c r="L1" s="73" t="s">
        <v>1</v>
      </c>
      <c r="M1" s="73" t="s">
        <v>149</v>
      </c>
      <c r="N1" s="73" t="s">
        <v>39</v>
      </c>
      <c r="O1" s="73" t="s">
        <v>26</v>
      </c>
      <c r="P1" s="73" t="s">
        <v>23</v>
      </c>
      <c r="Q1" s="73" t="s">
        <v>34</v>
      </c>
      <c r="R1" s="73" t="s">
        <v>35</v>
      </c>
      <c r="S1" s="73" t="s">
        <v>36</v>
      </c>
      <c r="T1" s="73" t="s">
        <v>128</v>
      </c>
      <c r="U1" s="74" t="s">
        <v>130</v>
      </c>
      <c r="V1" s="74" t="s">
        <v>158</v>
      </c>
      <c r="W1" s="74" t="s">
        <v>137</v>
      </c>
      <c r="X1" s="460" t="s">
        <v>388</v>
      </c>
      <c r="Y1" s="76" t="s">
        <v>468</v>
      </c>
    </row>
    <row r="2" spans="1:25" x14ac:dyDescent="0.25">
      <c r="A2" s="75" t="str">
        <f>TRIM(CONCATENATE(C2," ",D2," ",E2," ",F2," ",G2," ",I2," ",X2," ",J2))</f>
        <v>Adquisicion PF No_Premier GSC Apoyo Infonavit Pago_Fijo_Puntual Si 20</v>
      </c>
      <c r="B2" s="75" t="str">
        <f t="shared" ref="B2:B65" si="0">CONCATENATE(A2," ",N2)</f>
        <v>Adquisicion PF No_Premier GSC Apoyo Infonavit Pago_Fijo_Puntual Si 20 0.101</v>
      </c>
      <c r="C2" s="75" t="s">
        <v>114</v>
      </c>
      <c r="D2" s="75" t="s">
        <v>132</v>
      </c>
      <c r="E2" s="75" t="s">
        <v>179</v>
      </c>
      <c r="F2" s="75" t="s">
        <v>172</v>
      </c>
      <c r="G2" s="75" t="s">
        <v>112</v>
      </c>
      <c r="H2" s="75"/>
      <c r="I2" s="75" t="s">
        <v>171</v>
      </c>
      <c r="J2" s="76">
        <v>20</v>
      </c>
      <c r="K2" s="519" t="s">
        <v>387</v>
      </c>
      <c r="L2" s="520">
        <v>10.02</v>
      </c>
      <c r="M2" s="520">
        <v>10.68</v>
      </c>
      <c r="N2" s="507">
        <v>0.10100000000000001</v>
      </c>
      <c r="O2" s="507">
        <v>9.8000000000000004E-2</v>
      </c>
      <c r="P2" s="507">
        <v>0.11</v>
      </c>
      <c r="Q2" s="78">
        <v>0.44</v>
      </c>
      <c r="R2" s="78">
        <v>0.31740000000000002</v>
      </c>
      <c r="S2" s="69">
        <v>0</v>
      </c>
      <c r="T2" s="69">
        <v>0</v>
      </c>
      <c r="U2" s="507">
        <v>0.95</v>
      </c>
      <c r="V2" s="76">
        <v>0</v>
      </c>
      <c r="W2" s="76">
        <v>0</v>
      </c>
      <c r="X2" s="76" t="s">
        <v>147</v>
      </c>
      <c r="Y2" s="519" t="s">
        <v>469</v>
      </c>
    </row>
    <row r="3" spans="1:25" x14ac:dyDescent="0.25">
      <c r="A3" s="75" t="str">
        <f t="shared" ref="A3:A66" si="1">TRIM(CONCATENATE(C3," ",D3," ",E3," ",F3," ",G3," ",I3," ",X3," ",J3))</f>
        <v>Adquisicion PF No_Premier GSC Apoyo Infonavit Pago_Fijo_Puntual 20</v>
      </c>
      <c r="B3" s="75" t="str">
        <f t="shared" si="0"/>
        <v>Adquisicion PF No_Premier GSC Apoyo Infonavit Pago_Fijo_Puntual 20 0.104</v>
      </c>
      <c r="C3" s="75" t="s">
        <v>114</v>
      </c>
      <c r="D3" s="75" t="s">
        <v>132</v>
      </c>
      <c r="E3" s="75" t="s">
        <v>179</v>
      </c>
      <c r="F3" s="75" t="s">
        <v>172</v>
      </c>
      <c r="G3" s="75" t="s">
        <v>112</v>
      </c>
      <c r="H3" s="75"/>
      <c r="I3" s="75" t="s">
        <v>171</v>
      </c>
      <c r="J3" s="76">
        <v>20</v>
      </c>
      <c r="K3" s="519">
        <v>3</v>
      </c>
      <c r="L3" s="520">
        <v>10.27</v>
      </c>
      <c r="M3" s="520">
        <v>10.93</v>
      </c>
      <c r="N3" s="507">
        <v>0.104</v>
      </c>
      <c r="O3" s="507">
        <v>0.10100000000000001</v>
      </c>
      <c r="P3" s="507">
        <v>0.11600000000000001</v>
      </c>
      <c r="Q3" s="78">
        <v>0.44</v>
      </c>
      <c r="R3" s="78">
        <v>0.31740000000000002</v>
      </c>
      <c r="S3" s="69">
        <v>0</v>
      </c>
      <c r="T3" s="69">
        <v>0</v>
      </c>
      <c r="U3" s="507">
        <v>0.95</v>
      </c>
      <c r="V3" s="76">
        <v>0</v>
      </c>
      <c r="W3" s="76">
        <v>0</v>
      </c>
      <c r="X3" s="76"/>
      <c r="Y3" s="519" t="s">
        <v>469</v>
      </c>
    </row>
    <row r="4" spans="1:25" x14ac:dyDescent="0.25">
      <c r="A4" s="75" t="str">
        <f t="shared" si="1"/>
        <v>Adquisicion PF No_Premier GSC Apoyo Infonavit Pago_Fijo_Puntual Si 15</v>
      </c>
      <c r="B4" s="75" t="str">
        <f t="shared" si="0"/>
        <v>Adquisicion PF No_Premier GSC Apoyo Infonavit Pago_Fijo_Puntual Si 15 0.101</v>
      </c>
      <c r="C4" s="75" t="s">
        <v>114</v>
      </c>
      <c r="D4" s="75" t="s">
        <v>132</v>
      </c>
      <c r="E4" s="75" t="s">
        <v>179</v>
      </c>
      <c r="F4" s="75" t="s">
        <v>172</v>
      </c>
      <c r="G4" s="75" t="s">
        <v>112</v>
      </c>
      <c r="H4" s="75"/>
      <c r="I4" s="75" t="s">
        <v>171</v>
      </c>
      <c r="J4" s="76">
        <v>15</v>
      </c>
      <c r="K4" s="519" t="s">
        <v>387</v>
      </c>
      <c r="L4" s="520">
        <v>11.05</v>
      </c>
      <c r="M4" s="520">
        <v>11.71</v>
      </c>
      <c r="N4" s="507">
        <v>0.10100000000000001</v>
      </c>
      <c r="O4" s="507">
        <v>9.8000000000000004E-2</v>
      </c>
      <c r="P4" s="507">
        <v>0.11</v>
      </c>
      <c r="Q4" s="78">
        <v>0.44</v>
      </c>
      <c r="R4" s="78">
        <v>0.31740000000000002</v>
      </c>
      <c r="S4" s="69">
        <v>0</v>
      </c>
      <c r="T4" s="69">
        <v>0</v>
      </c>
      <c r="U4" s="507">
        <v>0.95</v>
      </c>
      <c r="V4" s="76">
        <v>0</v>
      </c>
      <c r="W4" s="76">
        <v>0</v>
      </c>
      <c r="X4" s="76" t="s">
        <v>147</v>
      </c>
      <c r="Y4" s="519" t="s">
        <v>469</v>
      </c>
    </row>
    <row r="5" spans="1:25" x14ac:dyDescent="0.25">
      <c r="A5" s="75" t="str">
        <f t="shared" si="1"/>
        <v>Adquisicion PF No_Premier GSC Apoyo Infonavit Pago_Fijo_Puntual 15</v>
      </c>
      <c r="B5" s="75" t="str">
        <f t="shared" si="0"/>
        <v>Adquisicion PF No_Premier GSC Apoyo Infonavit Pago_Fijo_Puntual 15 0.104</v>
      </c>
      <c r="C5" s="75" t="s">
        <v>114</v>
      </c>
      <c r="D5" s="75" t="s">
        <v>132</v>
      </c>
      <c r="E5" s="75" t="s">
        <v>179</v>
      </c>
      <c r="F5" s="75" t="s">
        <v>172</v>
      </c>
      <c r="G5" s="75" t="s">
        <v>112</v>
      </c>
      <c r="H5" s="75"/>
      <c r="I5" s="75" t="s">
        <v>171</v>
      </c>
      <c r="J5" s="76">
        <v>15</v>
      </c>
      <c r="K5" s="519">
        <v>3</v>
      </c>
      <c r="L5" s="520">
        <v>11.26</v>
      </c>
      <c r="M5" s="520">
        <v>11.92</v>
      </c>
      <c r="N5" s="507">
        <v>0.104</v>
      </c>
      <c r="O5" s="507">
        <v>0.10100000000000001</v>
      </c>
      <c r="P5" s="507">
        <v>0.11600000000000001</v>
      </c>
      <c r="Q5" s="78">
        <v>0.44</v>
      </c>
      <c r="R5" s="78">
        <v>0.31740000000000002</v>
      </c>
      <c r="S5" s="69">
        <v>0</v>
      </c>
      <c r="T5" s="69">
        <v>0</v>
      </c>
      <c r="U5" s="507">
        <v>0.95</v>
      </c>
      <c r="V5" s="76">
        <v>0</v>
      </c>
      <c r="W5" s="76">
        <v>0</v>
      </c>
      <c r="X5" s="76"/>
      <c r="Y5" s="519" t="s">
        <v>469</v>
      </c>
    </row>
    <row r="6" spans="1:25" x14ac:dyDescent="0.25">
      <c r="A6" s="75" t="str">
        <f t="shared" si="1"/>
        <v>Adquisicion PF No_Premier GSC Apoyo Infonavit Pago_Fijo_Puntual Si 10</v>
      </c>
      <c r="B6" s="75" t="str">
        <f t="shared" si="0"/>
        <v>Adquisicion PF No_Premier GSC Apoyo Infonavit Pago_Fijo_Puntual Si 10 0.101</v>
      </c>
      <c r="C6" s="75" t="s">
        <v>114</v>
      </c>
      <c r="D6" s="75" t="s">
        <v>132</v>
      </c>
      <c r="E6" s="75" t="s">
        <v>179</v>
      </c>
      <c r="F6" s="75" t="s">
        <v>172</v>
      </c>
      <c r="G6" s="75" t="s">
        <v>112</v>
      </c>
      <c r="H6" s="75"/>
      <c r="I6" s="75" t="s">
        <v>171</v>
      </c>
      <c r="J6" s="76">
        <v>10</v>
      </c>
      <c r="K6" s="519" t="s">
        <v>387</v>
      </c>
      <c r="L6" s="520">
        <v>13.42</v>
      </c>
      <c r="M6" s="520">
        <v>14.08</v>
      </c>
      <c r="N6" s="507">
        <v>0.10100000000000001</v>
      </c>
      <c r="O6" s="507">
        <v>9.8000000000000004E-2</v>
      </c>
      <c r="P6" s="507">
        <v>0.11</v>
      </c>
      <c r="Q6" s="78">
        <v>0.44</v>
      </c>
      <c r="R6" s="78">
        <v>0.31740000000000002</v>
      </c>
      <c r="S6" s="69">
        <v>0</v>
      </c>
      <c r="T6" s="69">
        <v>0</v>
      </c>
      <c r="U6" s="507">
        <v>0.95</v>
      </c>
      <c r="V6" s="76">
        <v>0</v>
      </c>
      <c r="W6" s="76">
        <v>0</v>
      </c>
      <c r="X6" s="76" t="s">
        <v>147</v>
      </c>
      <c r="Y6" s="519" t="s">
        <v>469</v>
      </c>
    </row>
    <row r="7" spans="1:25" x14ac:dyDescent="0.25">
      <c r="A7" s="75" t="str">
        <f t="shared" si="1"/>
        <v>Adquisicion PF No_Premier GSC Apoyo Infonavit Pago_Fijo_Puntual 10</v>
      </c>
      <c r="B7" s="75" t="str">
        <f t="shared" si="0"/>
        <v>Adquisicion PF No_Premier GSC Apoyo Infonavit Pago_Fijo_Puntual 10 0.104</v>
      </c>
      <c r="C7" s="75" t="s">
        <v>114</v>
      </c>
      <c r="D7" s="75" t="s">
        <v>132</v>
      </c>
      <c r="E7" s="75" t="s">
        <v>179</v>
      </c>
      <c r="F7" s="75" t="s">
        <v>172</v>
      </c>
      <c r="G7" s="75" t="s">
        <v>112</v>
      </c>
      <c r="H7" s="75"/>
      <c r="I7" s="75" t="s">
        <v>171</v>
      </c>
      <c r="J7" s="76">
        <v>10</v>
      </c>
      <c r="K7" s="519">
        <v>3</v>
      </c>
      <c r="L7" s="520">
        <v>13.59</v>
      </c>
      <c r="M7" s="520">
        <v>14.25</v>
      </c>
      <c r="N7" s="507">
        <v>0.104</v>
      </c>
      <c r="O7" s="507">
        <v>0.10100000000000001</v>
      </c>
      <c r="P7" s="507">
        <v>0.11600000000000001</v>
      </c>
      <c r="Q7" s="78">
        <v>0.44</v>
      </c>
      <c r="R7" s="78">
        <v>0.31740000000000002</v>
      </c>
      <c r="S7" s="69">
        <v>0</v>
      </c>
      <c r="T7" s="69">
        <v>0</v>
      </c>
      <c r="U7" s="507">
        <v>0.95</v>
      </c>
      <c r="V7" s="76">
        <v>0</v>
      </c>
      <c r="W7" s="76">
        <v>0</v>
      </c>
      <c r="X7" s="76"/>
      <c r="Y7" s="519" t="s">
        <v>469</v>
      </c>
    </row>
    <row r="8" spans="1:25" x14ac:dyDescent="0.25">
      <c r="A8" s="75" t="str">
        <f t="shared" si="1"/>
        <v>Adquisicion PF No_Premier GSC Apoyo Infonavit Pago_Fijo_Puntual Si 5</v>
      </c>
      <c r="B8" s="75" t="str">
        <f t="shared" si="0"/>
        <v>Adquisicion PF No_Premier GSC Apoyo Infonavit Pago_Fijo_Puntual Si 5 0.101</v>
      </c>
      <c r="C8" s="75" t="s">
        <v>114</v>
      </c>
      <c r="D8" s="75" t="s">
        <v>132</v>
      </c>
      <c r="E8" s="75" t="s">
        <v>179</v>
      </c>
      <c r="F8" s="75" t="s">
        <v>172</v>
      </c>
      <c r="G8" s="75" t="s">
        <v>112</v>
      </c>
      <c r="H8" s="75"/>
      <c r="I8" s="75" t="s">
        <v>171</v>
      </c>
      <c r="J8" s="76">
        <v>5</v>
      </c>
      <c r="K8" s="519" t="s">
        <v>387</v>
      </c>
      <c r="L8" s="520">
        <v>21.34</v>
      </c>
      <c r="M8" s="520">
        <v>22</v>
      </c>
      <c r="N8" s="507">
        <v>0.10100000000000001</v>
      </c>
      <c r="O8" s="507">
        <v>9.8000000000000004E-2</v>
      </c>
      <c r="P8" s="507">
        <v>0.11</v>
      </c>
      <c r="Q8" s="78">
        <v>0.44</v>
      </c>
      <c r="R8" s="78">
        <v>0.31740000000000002</v>
      </c>
      <c r="S8" s="69">
        <v>0</v>
      </c>
      <c r="T8" s="69">
        <v>0</v>
      </c>
      <c r="U8" s="507">
        <v>0.95</v>
      </c>
      <c r="V8" s="76">
        <v>0</v>
      </c>
      <c r="W8" s="76">
        <v>0</v>
      </c>
      <c r="X8" s="76" t="s">
        <v>147</v>
      </c>
      <c r="Y8" s="519" t="s">
        <v>469</v>
      </c>
    </row>
    <row r="9" spans="1:25" x14ac:dyDescent="0.25">
      <c r="A9" s="75" t="str">
        <f t="shared" si="1"/>
        <v>Adquisicion PF No_Premier GSC Apoyo Infonavit Pago_Fijo_Puntual 5</v>
      </c>
      <c r="B9" s="75" t="str">
        <f t="shared" si="0"/>
        <v>Adquisicion PF No_Premier GSC Apoyo Infonavit Pago_Fijo_Puntual 5 0.104</v>
      </c>
      <c r="C9" s="75" t="s">
        <v>114</v>
      </c>
      <c r="D9" s="75" t="s">
        <v>132</v>
      </c>
      <c r="E9" s="75" t="s">
        <v>179</v>
      </c>
      <c r="F9" s="75" t="s">
        <v>172</v>
      </c>
      <c r="G9" s="75" t="s">
        <v>112</v>
      </c>
      <c r="H9" s="75"/>
      <c r="I9" s="75" t="s">
        <v>171</v>
      </c>
      <c r="J9" s="76">
        <v>5</v>
      </c>
      <c r="K9" s="519">
        <v>3</v>
      </c>
      <c r="L9" s="520">
        <v>21.49</v>
      </c>
      <c r="M9" s="520">
        <v>22.15</v>
      </c>
      <c r="N9" s="507">
        <v>0.104</v>
      </c>
      <c r="O9" s="507">
        <v>0.10100000000000001</v>
      </c>
      <c r="P9" s="507">
        <v>0.11600000000000001</v>
      </c>
      <c r="Q9" s="78">
        <v>0.44</v>
      </c>
      <c r="R9" s="78">
        <v>0.31740000000000002</v>
      </c>
      <c r="S9" s="69">
        <v>0</v>
      </c>
      <c r="T9" s="69">
        <v>0</v>
      </c>
      <c r="U9" s="507">
        <v>0.95</v>
      </c>
      <c r="V9" s="76">
        <v>0</v>
      </c>
      <c r="W9" s="76">
        <v>0</v>
      </c>
      <c r="X9" s="76"/>
      <c r="Y9" s="519" t="s">
        <v>469</v>
      </c>
    </row>
    <row r="10" spans="1:25" x14ac:dyDescent="0.25">
      <c r="A10" s="75" t="str">
        <f t="shared" si="1"/>
        <v>Adquisicion PF No_Premier GSC Cofinavit Pago_Fijo_Puntual Si 20</v>
      </c>
      <c r="B10" s="75" t="str">
        <f t="shared" si="0"/>
        <v>Adquisicion PF No_Premier GSC Cofinavit Pago_Fijo_Puntual Si 20 0.101</v>
      </c>
      <c r="C10" s="75" t="s">
        <v>114</v>
      </c>
      <c r="D10" s="75" t="s">
        <v>132</v>
      </c>
      <c r="E10" s="75" t="s">
        <v>179</v>
      </c>
      <c r="F10" s="75" t="s">
        <v>172</v>
      </c>
      <c r="G10" s="75" t="s">
        <v>113</v>
      </c>
      <c r="H10" s="75"/>
      <c r="I10" s="75" t="s">
        <v>171</v>
      </c>
      <c r="J10" s="76">
        <v>20</v>
      </c>
      <c r="K10" s="519" t="s">
        <v>387</v>
      </c>
      <c r="L10" s="520">
        <v>10.02</v>
      </c>
      <c r="M10" s="520">
        <v>10.68</v>
      </c>
      <c r="N10" s="507">
        <v>0.10100000000000001</v>
      </c>
      <c r="O10" s="507">
        <v>9.8000000000000004E-2</v>
      </c>
      <c r="P10" s="507">
        <v>0.11</v>
      </c>
      <c r="Q10" s="78">
        <v>0.44</v>
      </c>
      <c r="R10" s="78">
        <v>0.31740000000000002</v>
      </c>
      <c r="S10" s="69">
        <v>0</v>
      </c>
      <c r="T10" s="69">
        <v>0</v>
      </c>
      <c r="U10" s="507">
        <v>0.95</v>
      </c>
      <c r="V10" s="76">
        <v>0</v>
      </c>
      <c r="W10" s="76">
        <v>0</v>
      </c>
      <c r="X10" s="76" t="s">
        <v>147</v>
      </c>
      <c r="Y10" s="519" t="s">
        <v>469</v>
      </c>
    </row>
    <row r="11" spans="1:25" x14ac:dyDescent="0.25">
      <c r="A11" s="75" t="str">
        <f t="shared" si="1"/>
        <v>Adquisicion PF No_Premier GSC Cofinavit Pago_Fijo_Puntual 20</v>
      </c>
      <c r="B11" s="75" t="str">
        <f t="shared" si="0"/>
        <v>Adquisicion PF No_Premier GSC Cofinavit Pago_Fijo_Puntual 20 0.104</v>
      </c>
      <c r="C11" s="75" t="s">
        <v>114</v>
      </c>
      <c r="D11" s="75" t="s">
        <v>132</v>
      </c>
      <c r="E11" s="75" t="s">
        <v>179</v>
      </c>
      <c r="F11" s="75" t="s">
        <v>172</v>
      </c>
      <c r="G11" s="75" t="s">
        <v>113</v>
      </c>
      <c r="H11" s="75"/>
      <c r="I11" s="75" t="s">
        <v>171</v>
      </c>
      <c r="J11" s="76">
        <v>20</v>
      </c>
      <c r="K11" s="519">
        <v>3</v>
      </c>
      <c r="L11" s="520">
        <v>10.27</v>
      </c>
      <c r="M11" s="520">
        <v>10.93</v>
      </c>
      <c r="N11" s="507">
        <v>0.104</v>
      </c>
      <c r="O11" s="507">
        <v>0.10100000000000001</v>
      </c>
      <c r="P11" s="507">
        <v>0.11600000000000001</v>
      </c>
      <c r="Q11" s="78">
        <v>0.44</v>
      </c>
      <c r="R11" s="78">
        <v>0.31740000000000002</v>
      </c>
      <c r="S11" s="69">
        <v>0</v>
      </c>
      <c r="T11" s="69">
        <v>0</v>
      </c>
      <c r="U11" s="507">
        <v>0.95</v>
      </c>
      <c r="V11" s="76">
        <v>0</v>
      </c>
      <c r="W11" s="76">
        <v>0</v>
      </c>
      <c r="X11" s="76"/>
      <c r="Y11" s="519" t="s">
        <v>469</v>
      </c>
    </row>
    <row r="12" spans="1:25" x14ac:dyDescent="0.25">
      <c r="A12" s="75" t="str">
        <f t="shared" si="1"/>
        <v>Adquisicion PF No_Premier GSC Cofinavit Pago_Fijo_Puntual Si 15</v>
      </c>
      <c r="B12" s="75" t="str">
        <f t="shared" si="0"/>
        <v>Adquisicion PF No_Premier GSC Cofinavit Pago_Fijo_Puntual Si 15 0.101</v>
      </c>
      <c r="C12" s="75" t="s">
        <v>114</v>
      </c>
      <c r="D12" s="75" t="s">
        <v>132</v>
      </c>
      <c r="E12" s="75" t="s">
        <v>179</v>
      </c>
      <c r="F12" s="75" t="s">
        <v>172</v>
      </c>
      <c r="G12" s="75" t="s">
        <v>113</v>
      </c>
      <c r="H12" s="75"/>
      <c r="I12" s="75" t="s">
        <v>171</v>
      </c>
      <c r="J12" s="76">
        <v>15</v>
      </c>
      <c r="K12" s="519" t="s">
        <v>387</v>
      </c>
      <c r="L12" s="520">
        <v>11.05</v>
      </c>
      <c r="M12" s="520">
        <v>11.71</v>
      </c>
      <c r="N12" s="507">
        <v>0.10100000000000001</v>
      </c>
      <c r="O12" s="507">
        <v>9.8000000000000004E-2</v>
      </c>
      <c r="P12" s="507">
        <v>0.11</v>
      </c>
      <c r="Q12" s="78">
        <v>0.44</v>
      </c>
      <c r="R12" s="78">
        <v>0.31740000000000002</v>
      </c>
      <c r="S12" s="69">
        <v>0</v>
      </c>
      <c r="T12" s="69">
        <v>0</v>
      </c>
      <c r="U12" s="507">
        <v>0.95</v>
      </c>
      <c r="V12" s="76">
        <v>0</v>
      </c>
      <c r="W12" s="76">
        <v>0</v>
      </c>
      <c r="X12" s="76" t="s">
        <v>147</v>
      </c>
      <c r="Y12" s="519" t="s">
        <v>469</v>
      </c>
    </row>
    <row r="13" spans="1:25" x14ac:dyDescent="0.25">
      <c r="A13" s="75" t="str">
        <f t="shared" si="1"/>
        <v>Adquisicion PF No_Premier GSC Cofinavit Pago_Fijo_Puntual 15</v>
      </c>
      <c r="B13" s="75" t="str">
        <f t="shared" si="0"/>
        <v>Adquisicion PF No_Premier GSC Cofinavit Pago_Fijo_Puntual 15 0.104</v>
      </c>
      <c r="C13" s="75" t="s">
        <v>114</v>
      </c>
      <c r="D13" s="75" t="s">
        <v>132</v>
      </c>
      <c r="E13" s="75" t="s">
        <v>179</v>
      </c>
      <c r="F13" s="75" t="s">
        <v>172</v>
      </c>
      <c r="G13" s="75" t="s">
        <v>113</v>
      </c>
      <c r="H13" s="75"/>
      <c r="I13" s="75" t="s">
        <v>171</v>
      </c>
      <c r="J13" s="76">
        <v>15</v>
      </c>
      <c r="K13" s="519">
        <v>3</v>
      </c>
      <c r="L13" s="520">
        <v>11.26</v>
      </c>
      <c r="M13" s="520">
        <v>11.92</v>
      </c>
      <c r="N13" s="507">
        <v>0.104</v>
      </c>
      <c r="O13" s="507">
        <v>0.10100000000000001</v>
      </c>
      <c r="P13" s="507">
        <v>0.11600000000000001</v>
      </c>
      <c r="Q13" s="78">
        <v>0.44</v>
      </c>
      <c r="R13" s="78">
        <v>0.31740000000000002</v>
      </c>
      <c r="S13" s="69">
        <v>0</v>
      </c>
      <c r="T13" s="69">
        <v>0</v>
      </c>
      <c r="U13" s="507">
        <v>0.95</v>
      </c>
      <c r="V13" s="76">
        <v>0</v>
      </c>
      <c r="W13" s="76">
        <v>0</v>
      </c>
      <c r="X13" s="76"/>
      <c r="Y13" s="519" t="s">
        <v>469</v>
      </c>
    </row>
    <row r="14" spans="1:25" x14ac:dyDescent="0.25">
      <c r="A14" s="75" t="str">
        <f t="shared" si="1"/>
        <v>Adquisicion PF No_Premier GSC Cofinavit Pago_Fijo_Puntual Si 10</v>
      </c>
      <c r="B14" s="75" t="str">
        <f t="shared" si="0"/>
        <v>Adquisicion PF No_Premier GSC Cofinavit Pago_Fijo_Puntual Si 10 0.101</v>
      </c>
      <c r="C14" s="75" t="s">
        <v>114</v>
      </c>
      <c r="D14" s="75" t="s">
        <v>132</v>
      </c>
      <c r="E14" s="75" t="s">
        <v>179</v>
      </c>
      <c r="F14" s="75" t="s">
        <v>172</v>
      </c>
      <c r="G14" s="75" t="s">
        <v>113</v>
      </c>
      <c r="H14" s="75"/>
      <c r="I14" s="75" t="s">
        <v>171</v>
      </c>
      <c r="J14" s="76">
        <v>10</v>
      </c>
      <c r="K14" s="519" t="s">
        <v>387</v>
      </c>
      <c r="L14" s="520">
        <v>13.42</v>
      </c>
      <c r="M14" s="520">
        <v>14.08</v>
      </c>
      <c r="N14" s="507">
        <v>0.10100000000000001</v>
      </c>
      <c r="O14" s="507">
        <v>9.8000000000000004E-2</v>
      </c>
      <c r="P14" s="507">
        <v>0.11</v>
      </c>
      <c r="Q14" s="78">
        <v>0.44</v>
      </c>
      <c r="R14" s="78">
        <v>0.31740000000000002</v>
      </c>
      <c r="S14" s="69">
        <v>0</v>
      </c>
      <c r="T14" s="69">
        <v>0</v>
      </c>
      <c r="U14" s="507">
        <v>0.95</v>
      </c>
      <c r="V14" s="76">
        <v>0</v>
      </c>
      <c r="W14" s="76">
        <v>0</v>
      </c>
      <c r="X14" s="76" t="s">
        <v>147</v>
      </c>
      <c r="Y14" s="519" t="s">
        <v>469</v>
      </c>
    </row>
    <row r="15" spans="1:25" x14ac:dyDescent="0.25">
      <c r="A15" s="75" t="str">
        <f t="shared" si="1"/>
        <v>Adquisicion PF No_Premier GSC Cofinavit Pago_Fijo_Puntual 10</v>
      </c>
      <c r="B15" s="75" t="str">
        <f t="shared" si="0"/>
        <v>Adquisicion PF No_Premier GSC Cofinavit Pago_Fijo_Puntual 10 0.104</v>
      </c>
      <c r="C15" s="75" t="s">
        <v>114</v>
      </c>
      <c r="D15" s="75" t="s">
        <v>132</v>
      </c>
      <c r="E15" s="75" t="s">
        <v>179</v>
      </c>
      <c r="F15" s="75" t="s">
        <v>172</v>
      </c>
      <c r="G15" s="75" t="s">
        <v>113</v>
      </c>
      <c r="H15" s="75"/>
      <c r="I15" s="75" t="s">
        <v>171</v>
      </c>
      <c r="J15" s="76">
        <v>10</v>
      </c>
      <c r="K15" s="519">
        <v>3</v>
      </c>
      <c r="L15" s="520">
        <v>13.59</v>
      </c>
      <c r="M15" s="520">
        <v>14.25</v>
      </c>
      <c r="N15" s="507">
        <v>0.104</v>
      </c>
      <c r="O15" s="507">
        <v>0.10100000000000001</v>
      </c>
      <c r="P15" s="507">
        <v>0.11600000000000001</v>
      </c>
      <c r="Q15" s="78">
        <v>0.44</v>
      </c>
      <c r="R15" s="78">
        <v>0.31740000000000002</v>
      </c>
      <c r="S15" s="69">
        <v>0</v>
      </c>
      <c r="T15" s="69">
        <v>0</v>
      </c>
      <c r="U15" s="507">
        <v>0.95</v>
      </c>
      <c r="V15" s="76">
        <v>0</v>
      </c>
      <c r="W15" s="76">
        <v>0</v>
      </c>
      <c r="X15" s="76"/>
      <c r="Y15" s="519" t="s">
        <v>469</v>
      </c>
    </row>
    <row r="16" spans="1:25" x14ac:dyDescent="0.25">
      <c r="A16" s="75" t="str">
        <f t="shared" si="1"/>
        <v>Adquisicion PF No_Premier GSC Cofinavit Pago_Fijo_Puntual Si 5</v>
      </c>
      <c r="B16" s="75" t="str">
        <f t="shared" si="0"/>
        <v>Adquisicion PF No_Premier GSC Cofinavit Pago_Fijo_Puntual Si 5 0.101</v>
      </c>
      <c r="C16" s="75" t="s">
        <v>114</v>
      </c>
      <c r="D16" s="75" t="s">
        <v>132</v>
      </c>
      <c r="E16" s="75" t="s">
        <v>179</v>
      </c>
      <c r="F16" s="75" t="s">
        <v>172</v>
      </c>
      <c r="G16" s="75" t="s">
        <v>113</v>
      </c>
      <c r="H16" s="75"/>
      <c r="I16" s="75" t="s">
        <v>171</v>
      </c>
      <c r="J16" s="76">
        <v>5</v>
      </c>
      <c r="K16" s="519" t="s">
        <v>387</v>
      </c>
      <c r="L16" s="520">
        <v>21.34</v>
      </c>
      <c r="M16" s="520">
        <v>22</v>
      </c>
      <c r="N16" s="507">
        <v>0.10100000000000001</v>
      </c>
      <c r="O16" s="507">
        <v>9.8000000000000004E-2</v>
      </c>
      <c r="P16" s="507">
        <v>0.11</v>
      </c>
      <c r="Q16" s="78">
        <v>0.44</v>
      </c>
      <c r="R16" s="78">
        <v>0.31740000000000002</v>
      </c>
      <c r="S16" s="69">
        <v>0</v>
      </c>
      <c r="T16" s="69">
        <v>0</v>
      </c>
      <c r="U16" s="507">
        <v>0.95</v>
      </c>
      <c r="V16" s="76">
        <v>0</v>
      </c>
      <c r="W16" s="76">
        <v>0</v>
      </c>
      <c r="X16" s="76" t="s">
        <v>147</v>
      </c>
      <c r="Y16" s="519" t="s">
        <v>469</v>
      </c>
    </row>
    <row r="17" spans="1:25" x14ac:dyDescent="0.25">
      <c r="A17" s="75" t="str">
        <f t="shared" si="1"/>
        <v>Adquisicion PF No_Premier GSC Cofinavit Pago_Fijo_Puntual 5</v>
      </c>
      <c r="B17" s="75" t="str">
        <f t="shared" si="0"/>
        <v>Adquisicion PF No_Premier GSC Cofinavit Pago_Fijo_Puntual 5 0.104</v>
      </c>
      <c r="C17" s="75" t="s">
        <v>114</v>
      </c>
      <c r="D17" s="75" t="s">
        <v>132</v>
      </c>
      <c r="E17" s="75" t="s">
        <v>179</v>
      </c>
      <c r="F17" s="75" t="s">
        <v>172</v>
      </c>
      <c r="G17" s="75" t="s">
        <v>113</v>
      </c>
      <c r="H17" s="75"/>
      <c r="I17" s="75" t="s">
        <v>171</v>
      </c>
      <c r="J17" s="76">
        <v>5</v>
      </c>
      <c r="K17" s="519">
        <v>3</v>
      </c>
      <c r="L17" s="520">
        <v>21.49</v>
      </c>
      <c r="M17" s="520">
        <v>22.15</v>
      </c>
      <c r="N17" s="507">
        <v>0.104</v>
      </c>
      <c r="O17" s="507">
        <v>0.10100000000000001</v>
      </c>
      <c r="P17" s="507">
        <v>0.11600000000000001</v>
      </c>
      <c r="Q17" s="78">
        <v>0.44</v>
      </c>
      <c r="R17" s="78">
        <v>0.31740000000000002</v>
      </c>
      <c r="S17" s="69">
        <v>0</v>
      </c>
      <c r="T17" s="69">
        <v>0</v>
      </c>
      <c r="U17" s="507">
        <v>0.95</v>
      </c>
      <c r="V17" s="76">
        <v>0</v>
      </c>
      <c r="W17" s="76">
        <v>0</v>
      </c>
      <c r="X17" s="76"/>
      <c r="Y17" s="519" t="s">
        <v>469</v>
      </c>
    </row>
    <row r="18" spans="1:25" x14ac:dyDescent="0.25">
      <c r="A18" s="75" t="str">
        <f t="shared" si="1"/>
        <v>Adquisicion PF No_Premier Nómina Apoyo Infonavit Pago_Fijo_Puntual Si 25</v>
      </c>
      <c r="B18" s="75" t="str">
        <f t="shared" si="0"/>
        <v>Adquisicion PF No_Premier Nómina Apoyo Infonavit Pago_Fijo_Puntual Si 25 0.103</v>
      </c>
      <c r="C18" s="75" t="s">
        <v>114</v>
      </c>
      <c r="D18" s="75" t="s">
        <v>132</v>
      </c>
      <c r="E18" s="75" t="s">
        <v>179</v>
      </c>
      <c r="F18" s="75" t="s">
        <v>181</v>
      </c>
      <c r="G18" s="75" t="s">
        <v>112</v>
      </c>
      <c r="H18" s="75"/>
      <c r="I18" s="75" t="s">
        <v>171</v>
      </c>
      <c r="J18" s="76">
        <v>25</v>
      </c>
      <c r="K18" s="519" t="s">
        <v>387</v>
      </c>
      <c r="L18" s="520">
        <v>9.65</v>
      </c>
      <c r="M18" s="520">
        <v>10.31</v>
      </c>
      <c r="N18" s="507">
        <v>0.10299999999999999</v>
      </c>
      <c r="O18" s="507">
        <v>0.1</v>
      </c>
      <c r="P18" s="507">
        <v>0.112</v>
      </c>
      <c r="Q18" s="78">
        <v>0.44</v>
      </c>
      <c r="R18" s="78">
        <v>0.31740000000000002</v>
      </c>
      <c r="S18" s="69">
        <v>2.5000000000000001E-2</v>
      </c>
      <c r="T18" s="69">
        <v>5.0000000000000001E-3</v>
      </c>
      <c r="U18" s="507">
        <v>0.95</v>
      </c>
      <c r="V18" s="76">
        <v>0</v>
      </c>
      <c r="W18" s="76">
        <v>0</v>
      </c>
      <c r="X18" s="76" t="s">
        <v>147</v>
      </c>
      <c r="Y18" s="519" t="s">
        <v>469</v>
      </c>
    </row>
    <row r="19" spans="1:25" x14ac:dyDescent="0.25">
      <c r="A19" s="75" t="str">
        <f t="shared" si="1"/>
        <v>Adquisicion PF No_Premier Nómina Apoyo Infonavit Pago_Fijo_Puntual 25</v>
      </c>
      <c r="B19" s="75" t="str">
        <f t="shared" si="0"/>
        <v>Adquisicion PF No_Premier Nómina Apoyo Infonavit Pago_Fijo_Puntual 25 0.106</v>
      </c>
      <c r="C19" s="75" t="s">
        <v>114</v>
      </c>
      <c r="D19" s="75" t="s">
        <v>132</v>
      </c>
      <c r="E19" s="75" t="s">
        <v>179</v>
      </c>
      <c r="F19" s="75" t="s">
        <v>181</v>
      </c>
      <c r="G19" s="75" t="s">
        <v>112</v>
      </c>
      <c r="H19" s="75"/>
      <c r="I19" s="75" t="s">
        <v>171</v>
      </c>
      <c r="J19" s="76">
        <v>25</v>
      </c>
      <c r="K19" s="519">
        <v>3</v>
      </c>
      <c r="L19" s="520">
        <v>9.93</v>
      </c>
      <c r="M19" s="520">
        <v>10.59</v>
      </c>
      <c r="N19" s="507">
        <v>0.106</v>
      </c>
      <c r="O19" s="507">
        <v>0.10299999999999999</v>
      </c>
      <c r="P19" s="507">
        <v>0.11799999999999999</v>
      </c>
      <c r="Q19" s="78">
        <v>0.44</v>
      </c>
      <c r="R19" s="78">
        <v>0.31740000000000002</v>
      </c>
      <c r="S19" s="69">
        <v>2.5000000000000001E-2</v>
      </c>
      <c r="T19" s="69">
        <v>5.0000000000000001E-3</v>
      </c>
      <c r="U19" s="507">
        <v>0.95</v>
      </c>
      <c r="V19" s="76">
        <v>0</v>
      </c>
      <c r="W19" s="76">
        <v>0</v>
      </c>
      <c r="X19" s="76"/>
      <c r="Y19" s="519" t="s">
        <v>469</v>
      </c>
    </row>
    <row r="20" spans="1:25" x14ac:dyDescent="0.25">
      <c r="A20" s="75" t="str">
        <f t="shared" si="1"/>
        <v>Adquisicion PF No_Premier Nómina Apoyo Infonavit Pago_Fijo_Puntual Si 20</v>
      </c>
      <c r="B20" s="75" t="str">
        <f t="shared" si="0"/>
        <v>Adquisicion PF No_Premier Nómina Apoyo Infonavit Pago_Fijo_Puntual Si 20 0.103</v>
      </c>
      <c r="C20" s="75" t="s">
        <v>114</v>
      </c>
      <c r="D20" s="75" t="s">
        <v>132</v>
      </c>
      <c r="E20" s="75" t="s">
        <v>179</v>
      </c>
      <c r="F20" s="75" t="s">
        <v>181</v>
      </c>
      <c r="G20" s="75" t="s">
        <v>112</v>
      </c>
      <c r="H20" s="75"/>
      <c r="I20" s="75" t="s">
        <v>171</v>
      </c>
      <c r="J20" s="76">
        <v>20</v>
      </c>
      <c r="K20" s="519" t="s">
        <v>387</v>
      </c>
      <c r="L20" s="520">
        <v>10.16</v>
      </c>
      <c r="M20" s="520">
        <v>10.82</v>
      </c>
      <c r="N20" s="507">
        <v>0.10299999999999999</v>
      </c>
      <c r="O20" s="507">
        <v>0.1</v>
      </c>
      <c r="P20" s="507">
        <v>0.112</v>
      </c>
      <c r="Q20" s="78">
        <v>0.44</v>
      </c>
      <c r="R20" s="78">
        <v>0.31740000000000002</v>
      </c>
      <c r="S20" s="69">
        <v>2.5000000000000001E-2</v>
      </c>
      <c r="T20" s="69">
        <v>5.0000000000000001E-3</v>
      </c>
      <c r="U20" s="507">
        <v>0.95</v>
      </c>
      <c r="V20" s="76">
        <v>0</v>
      </c>
      <c r="W20" s="76">
        <v>0</v>
      </c>
      <c r="X20" s="76" t="s">
        <v>147</v>
      </c>
      <c r="Y20" s="519" t="s">
        <v>469</v>
      </c>
    </row>
    <row r="21" spans="1:25" x14ac:dyDescent="0.25">
      <c r="A21" s="75" t="str">
        <f t="shared" si="1"/>
        <v>Adquisicion PF No_Premier Nómina Apoyo Infonavit Pago_Fijo_Puntual 20</v>
      </c>
      <c r="B21" s="75" t="str">
        <f t="shared" si="0"/>
        <v>Adquisicion PF No_Premier Nómina Apoyo Infonavit Pago_Fijo_Puntual 20 0.106</v>
      </c>
      <c r="C21" s="75" t="s">
        <v>114</v>
      </c>
      <c r="D21" s="75" t="s">
        <v>132</v>
      </c>
      <c r="E21" s="75" t="s">
        <v>179</v>
      </c>
      <c r="F21" s="75" t="s">
        <v>181</v>
      </c>
      <c r="G21" s="75" t="s">
        <v>112</v>
      </c>
      <c r="H21" s="75"/>
      <c r="I21" s="75" t="s">
        <v>171</v>
      </c>
      <c r="J21" s="76">
        <v>20</v>
      </c>
      <c r="K21" s="519">
        <v>3</v>
      </c>
      <c r="L21" s="520">
        <v>10.41</v>
      </c>
      <c r="M21" s="520">
        <v>11.07</v>
      </c>
      <c r="N21" s="507">
        <v>0.106</v>
      </c>
      <c r="O21" s="507">
        <v>0.10299999999999999</v>
      </c>
      <c r="P21" s="507">
        <v>0.11799999999999999</v>
      </c>
      <c r="Q21" s="78">
        <v>0.44</v>
      </c>
      <c r="R21" s="78">
        <v>0.31740000000000002</v>
      </c>
      <c r="S21" s="69">
        <v>2.5000000000000001E-2</v>
      </c>
      <c r="T21" s="69">
        <v>5.0000000000000001E-3</v>
      </c>
      <c r="U21" s="507">
        <v>0.95</v>
      </c>
      <c r="V21" s="76">
        <v>0</v>
      </c>
      <c r="W21" s="76">
        <v>0</v>
      </c>
      <c r="X21" s="76"/>
      <c r="Y21" s="519" t="s">
        <v>469</v>
      </c>
    </row>
    <row r="22" spans="1:25" x14ac:dyDescent="0.25">
      <c r="A22" s="75" t="str">
        <f t="shared" si="1"/>
        <v>Adquisicion PF No_Premier Nómina Apoyo Infonavit Pago_Fijo_Puntual Si 15</v>
      </c>
      <c r="B22" s="75" t="str">
        <f t="shared" si="0"/>
        <v>Adquisicion PF No_Premier Nómina Apoyo Infonavit Pago_Fijo_Puntual Si 15 0.103</v>
      </c>
      <c r="C22" s="75" t="s">
        <v>114</v>
      </c>
      <c r="D22" s="75" t="s">
        <v>132</v>
      </c>
      <c r="E22" s="75" t="s">
        <v>179</v>
      </c>
      <c r="F22" s="75" t="s">
        <v>181</v>
      </c>
      <c r="G22" s="75" t="s">
        <v>112</v>
      </c>
      <c r="H22" s="75"/>
      <c r="I22" s="75" t="s">
        <v>171</v>
      </c>
      <c r="J22" s="76">
        <v>15</v>
      </c>
      <c r="K22" s="519" t="s">
        <v>387</v>
      </c>
      <c r="L22" s="520">
        <v>11.18</v>
      </c>
      <c r="M22" s="520">
        <v>11.84</v>
      </c>
      <c r="N22" s="507">
        <v>0.10299999999999999</v>
      </c>
      <c r="O22" s="507">
        <v>0.1</v>
      </c>
      <c r="P22" s="507">
        <v>0.112</v>
      </c>
      <c r="Q22" s="78">
        <v>0.44</v>
      </c>
      <c r="R22" s="78">
        <v>0.31740000000000002</v>
      </c>
      <c r="S22" s="69">
        <v>2.5000000000000001E-2</v>
      </c>
      <c r="T22" s="69">
        <v>5.0000000000000001E-3</v>
      </c>
      <c r="U22" s="507">
        <v>0.95</v>
      </c>
      <c r="V22" s="76">
        <v>0</v>
      </c>
      <c r="W22" s="76">
        <v>0</v>
      </c>
      <c r="X22" s="76" t="s">
        <v>147</v>
      </c>
      <c r="Y22" s="519" t="s">
        <v>469</v>
      </c>
    </row>
    <row r="23" spans="1:25" x14ac:dyDescent="0.25">
      <c r="A23" s="75" t="str">
        <f t="shared" si="1"/>
        <v>Adquisicion PF No_Premier Nómina Apoyo Infonavit Pago_Fijo_Puntual 15</v>
      </c>
      <c r="B23" s="75" t="str">
        <f t="shared" si="0"/>
        <v>Adquisicion PF No_Premier Nómina Apoyo Infonavit Pago_Fijo_Puntual 15 0.106</v>
      </c>
      <c r="C23" s="75" t="s">
        <v>114</v>
      </c>
      <c r="D23" s="75" t="s">
        <v>132</v>
      </c>
      <c r="E23" s="75" t="s">
        <v>179</v>
      </c>
      <c r="F23" s="75" t="s">
        <v>181</v>
      </c>
      <c r="G23" s="75" t="s">
        <v>112</v>
      </c>
      <c r="H23" s="75"/>
      <c r="I23" s="75" t="s">
        <v>171</v>
      </c>
      <c r="J23" s="76">
        <v>15</v>
      </c>
      <c r="K23" s="519">
        <v>3</v>
      </c>
      <c r="L23" s="520">
        <v>11.39</v>
      </c>
      <c r="M23" s="520">
        <v>12.05</v>
      </c>
      <c r="N23" s="507">
        <v>0.106</v>
      </c>
      <c r="O23" s="507">
        <v>0.10299999999999999</v>
      </c>
      <c r="P23" s="507">
        <v>0.11799999999999999</v>
      </c>
      <c r="Q23" s="78">
        <v>0.44</v>
      </c>
      <c r="R23" s="78">
        <v>0.31740000000000002</v>
      </c>
      <c r="S23" s="69">
        <v>2.5000000000000001E-2</v>
      </c>
      <c r="T23" s="69">
        <v>5.0000000000000001E-3</v>
      </c>
      <c r="U23" s="507">
        <v>0.95</v>
      </c>
      <c r="V23" s="76">
        <v>0</v>
      </c>
      <c r="W23" s="76">
        <v>0</v>
      </c>
      <c r="X23" s="76"/>
      <c r="Y23" s="519" t="s">
        <v>469</v>
      </c>
    </row>
    <row r="24" spans="1:25" x14ac:dyDescent="0.25">
      <c r="A24" s="75" t="str">
        <f t="shared" si="1"/>
        <v>Adquisicion PF No_Premier Nómina Apoyo Infonavit Pago_Fijo_Puntual Si 10</v>
      </c>
      <c r="B24" s="75" t="str">
        <f t="shared" si="0"/>
        <v>Adquisicion PF No_Premier Nómina Apoyo Infonavit Pago_Fijo_Puntual Si 10 0.103</v>
      </c>
      <c r="C24" s="75" t="s">
        <v>114</v>
      </c>
      <c r="D24" s="75" t="s">
        <v>132</v>
      </c>
      <c r="E24" s="75" t="s">
        <v>179</v>
      </c>
      <c r="F24" s="75" t="s">
        <v>181</v>
      </c>
      <c r="G24" s="75" t="s">
        <v>112</v>
      </c>
      <c r="H24" s="75"/>
      <c r="I24" s="75" t="s">
        <v>171</v>
      </c>
      <c r="J24" s="76">
        <v>10</v>
      </c>
      <c r="K24" s="519" t="s">
        <v>387</v>
      </c>
      <c r="L24" s="520">
        <v>13.54</v>
      </c>
      <c r="M24" s="520">
        <v>14.2</v>
      </c>
      <c r="N24" s="507">
        <v>0.10299999999999999</v>
      </c>
      <c r="O24" s="507">
        <v>0.1</v>
      </c>
      <c r="P24" s="507">
        <v>0.112</v>
      </c>
      <c r="Q24" s="78">
        <v>0.44</v>
      </c>
      <c r="R24" s="78">
        <v>0.31740000000000002</v>
      </c>
      <c r="S24" s="69">
        <v>2.5000000000000001E-2</v>
      </c>
      <c r="T24" s="69">
        <v>5.0000000000000001E-3</v>
      </c>
      <c r="U24" s="507">
        <v>0.95</v>
      </c>
      <c r="V24" s="76">
        <v>0</v>
      </c>
      <c r="W24" s="76">
        <v>0</v>
      </c>
      <c r="X24" s="76" t="s">
        <v>147</v>
      </c>
      <c r="Y24" s="519" t="s">
        <v>469</v>
      </c>
    </row>
    <row r="25" spans="1:25" x14ac:dyDescent="0.25">
      <c r="A25" s="75" t="str">
        <f t="shared" si="1"/>
        <v>Adquisicion PF No_Premier Nómina Apoyo Infonavit Pago_Fijo_Puntual 10</v>
      </c>
      <c r="B25" s="75" t="str">
        <f t="shared" si="0"/>
        <v>Adquisicion PF No_Premier Nómina Apoyo Infonavit Pago_Fijo_Puntual 10 0.106</v>
      </c>
      <c r="C25" s="75" t="s">
        <v>114</v>
      </c>
      <c r="D25" s="75" t="s">
        <v>132</v>
      </c>
      <c r="E25" s="75" t="s">
        <v>179</v>
      </c>
      <c r="F25" s="75" t="s">
        <v>181</v>
      </c>
      <c r="G25" s="75" t="s">
        <v>112</v>
      </c>
      <c r="H25" s="75"/>
      <c r="I25" s="75" t="s">
        <v>171</v>
      </c>
      <c r="J25" s="76">
        <v>10</v>
      </c>
      <c r="K25" s="519">
        <v>3</v>
      </c>
      <c r="L25" s="520">
        <v>13.71</v>
      </c>
      <c r="M25" s="520">
        <v>14.37</v>
      </c>
      <c r="N25" s="507">
        <v>0.106</v>
      </c>
      <c r="O25" s="507">
        <v>0.10299999999999999</v>
      </c>
      <c r="P25" s="507">
        <v>0.11799999999999999</v>
      </c>
      <c r="Q25" s="78">
        <v>0.44</v>
      </c>
      <c r="R25" s="78">
        <v>0.31740000000000002</v>
      </c>
      <c r="S25" s="69">
        <v>2.5000000000000001E-2</v>
      </c>
      <c r="T25" s="69">
        <v>5.0000000000000001E-3</v>
      </c>
      <c r="U25" s="507">
        <v>0.95</v>
      </c>
      <c r="V25" s="76">
        <v>0</v>
      </c>
      <c r="W25" s="76">
        <v>0</v>
      </c>
      <c r="X25" s="76"/>
      <c r="Y25" s="519" t="s">
        <v>469</v>
      </c>
    </row>
    <row r="26" spans="1:25" x14ac:dyDescent="0.25">
      <c r="A26" s="75" t="str">
        <f t="shared" si="1"/>
        <v>Adquisicion PF No_Premier Nómina Apoyo Infonavit Pago_Fijo_Puntual Si 5</v>
      </c>
      <c r="B26" s="75" t="str">
        <f t="shared" si="0"/>
        <v>Adquisicion PF No_Premier Nómina Apoyo Infonavit Pago_Fijo_Puntual Si 5 0.103</v>
      </c>
      <c r="C26" s="75" t="s">
        <v>114</v>
      </c>
      <c r="D26" s="75" t="s">
        <v>132</v>
      </c>
      <c r="E26" s="75" t="s">
        <v>179</v>
      </c>
      <c r="F26" s="75" t="s">
        <v>181</v>
      </c>
      <c r="G26" s="75" t="s">
        <v>112</v>
      </c>
      <c r="H26" s="75"/>
      <c r="I26" s="75" t="s">
        <v>171</v>
      </c>
      <c r="J26" s="76">
        <v>5</v>
      </c>
      <c r="K26" s="519" t="s">
        <v>387</v>
      </c>
      <c r="L26" s="520">
        <v>21.44</v>
      </c>
      <c r="M26" s="520">
        <v>22.1</v>
      </c>
      <c r="N26" s="507">
        <v>0.10299999999999999</v>
      </c>
      <c r="O26" s="507">
        <v>0.1</v>
      </c>
      <c r="P26" s="507">
        <v>0.112</v>
      </c>
      <c r="Q26" s="78">
        <v>0.44</v>
      </c>
      <c r="R26" s="78">
        <v>0.31740000000000002</v>
      </c>
      <c r="S26" s="69">
        <v>2.5000000000000001E-2</v>
      </c>
      <c r="T26" s="69">
        <v>5.0000000000000001E-3</v>
      </c>
      <c r="U26" s="507">
        <v>0.95</v>
      </c>
      <c r="V26" s="76">
        <v>0</v>
      </c>
      <c r="W26" s="76">
        <v>0</v>
      </c>
      <c r="X26" s="76" t="s">
        <v>147</v>
      </c>
      <c r="Y26" s="519" t="s">
        <v>469</v>
      </c>
    </row>
    <row r="27" spans="1:25" x14ac:dyDescent="0.25">
      <c r="A27" s="75" t="str">
        <f t="shared" si="1"/>
        <v>Adquisicion PF No_Premier Nómina Apoyo Infonavit Pago_Fijo_Puntual 5</v>
      </c>
      <c r="B27" s="75" t="str">
        <f t="shared" si="0"/>
        <v>Adquisicion PF No_Premier Nómina Apoyo Infonavit Pago_Fijo_Puntual 5 0.106</v>
      </c>
      <c r="C27" s="75" t="s">
        <v>114</v>
      </c>
      <c r="D27" s="75" t="s">
        <v>132</v>
      </c>
      <c r="E27" s="75" t="s">
        <v>179</v>
      </c>
      <c r="F27" s="75" t="s">
        <v>181</v>
      </c>
      <c r="G27" s="75" t="s">
        <v>112</v>
      </c>
      <c r="H27" s="75"/>
      <c r="I27" s="75" t="s">
        <v>171</v>
      </c>
      <c r="J27" s="76">
        <v>5</v>
      </c>
      <c r="K27" s="519">
        <v>3</v>
      </c>
      <c r="L27" s="520">
        <v>21.59</v>
      </c>
      <c r="M27" s="520">
        <v>22.25</v>
      </c>
      <c r="N27" s="507">
        <v>0.106</v>
      </c>
      <c r="O27" s="507">
        <v>0.10299999999999999</v>
      </c>
      <c r="P27" s="507">
        <v>0.11799999999999999</v>
      </c>
      <c r="Q27" s="78">
        <v>0.44</v>
      </c>
      <c r="R27" s="78">
        <v>0.31740000000000002</v>
      </c>
      <c r="S27" s="69">
        <v>2.5000000000000001E-2</v>
      </c>
      <c r="T27" s="69">
        <v>5.0000000000000001E-3</v>
      </c>
      <c r="U27" s="507">
        <v>0.95</v>
      </c>
      <c r="V27" s="76">
        <v>0</v>
      </c>
      <c r="W27" s="76">
        <v>0</v>
      </c>
      <c r="X27" s="76"/>
      <c r="Y27" s="519" t="s">
        <v>469</v>
      </c>
    </row>
    <row r="28" spans="1:25" x14ac:dyDescent="0.25">
      <c r="A28" s="75" t="str">
        <f t="shared" si="1"/>
        <v>Adquisicion PF No_Premier Nómina Apoyo Infonavit Pago_Bajo_Puntual Si 25</v>
      </c>
      <c r="B28" s="75" t="str">
        <f t="shared" si="0"/>
        <v>Adquisicion PF No_Premier Nómina Apoyo Infonavit Pago_Bajo_Puntual Si 25 0.103</v>
      </c>
      <c r="C28" s="75" t="s">
        <v>114</v>
      </c>
      <c r="D28" s="75" t="s">
        <v>132</v>
      </c>
      <c r="E28" s="75" t="s">
        <v>179</v>
      </c>
      <c r="F28" s="75" t="s">
        <v>181</v>
      </c>
      <c r="G28" s="75" t="s">
        <v>112</v>
      </c>
      <c r="H28" s="75"/>
      <c r="I28" s="75" t="s">
        <v>170</v>
      </c>
      <c r="J28" s="523">
        <v>25</v>
      </c>
      <c r="K28" s="519" t="s">
        <v>387</v>
      </c>
      <c r="L28" s="520">
        <v>8.64</v>
      </c>
      <c r="M28" s="520">
        <v>9.3000000000000007</v>
      </c>
      <c r="N28" s="507">
        <v>0.10299999999999999</v>
      </c>
      <c r="O28" s="507">
        <v>0.1</v>
      </c>
      <c r="P28" s="507">
        <v>0.112</v>
      </c>
      <c r="Q28" s="78">
        <v>0.44</v>
      </c>
      <c r="R28" s="78">
        <v>0.31740000000000002</v>
      </c>
      <c r="S28" s="69">
        <v>2.5000000000000001E-2</v>
      </c>
      <c r="T28" s="69">
        <v>5.0000000000000001E-3</v>
      </c>
      <c r="U28" s="507">
        <v>0.95</v>
      </c>
      <c r="V28" s="76">
        <v>0</v>
      </c>
      <c r="W28" s="76">
        <v>0</v>
      </c>
      <c r="X28" s="76" t="s">
        <v>147</v>
      </c>
      <c r="Y28" s="519" t="s">
        <v>469</v>
      </c>
    </row>
    <row r="29" spans="1:25" x14ac:dyDescent="0.25">
      <c r="A29" s="75" t="str">
        <f t="shared" si="1"/>
        <v>Adquisicion PF No_Premier Nómina Apoyo Infonavit Pago_Bajo_Puntual 25</v>
      </c>
      <c r="B29" s="75" t="str">
        <f t="shared" si="0"/>
        <v>Adquisicion PF No_Premier Nómina Apoyo Infonavit Pago_Bajo_Puntual 25 0.106</v>
      </c>
      <c r="C29" s="75" t="s">
        <v>114</v>
      </c>
      <c r="D29" s="75" t="s">
        <v>132</v>
      </c>
      <c r="E29" s="75" t="s">
        <v>179</v>
      </c>
      <c r="F29" s="75" t="s">
        <v>181</v>
      </c>
      <c r="G29" s="75" t="s">
        <v>112</v>
      </c>
      <c r="H29" s="75"/>
      <c r="I29" s="75" t="s">
        <v>170</v>
      </c>
      <c r="J29" s="523">
        <v>25</v>
      </c>
      <c r="K29" s="519">
        <v>3</v>
      </c>
      <c r="L29" s="520">
        <v>8.89</v>
      </c>
      <c r="M29" s="520">
        <v>9.5500000000000007</v>
      </c>
      <c r="N29" s="507">
        <v>0.106</v>
      </c>
      <c r="O29" s="507">
        <v>0.10299999999999999</v>
      </c>
      <c r="P29" s="507">
        <v>0.11799999999999999</v>
      </c>
      <c r="Q29" s="78">
        <v>0.44</v>
      </c>
      <c r="R29" s="78">
        <v>0.31740000000000002</v>
      </c>
      <c r="S29" s="69">
        <v>2.5000000000000001E-2</v>
      </c>
      <c r="T29" s="69">
        <v>5.0000000000000001E-3</v>
      </c>
      <c r="U29" s="507">
        <v>0.95</v>
      </c>
      <c r="V29" s="76">
        <v>0</v>
      </c>
      <c r="W29" s="76">
        <v>0</v>
      </c>
      <c r="X29" s="76"/>
      <c r="Y29" s="519" t="s">
        <v>469</v>
      </c>
    </row>
    <row r="30" spans="1:25" x14ac:dyDescent="0.25">
      <c r="A30" s="75" t="str">
        <f t="shared" si="1"/>
        <v>Adquisicion PF No_Premier Nómina Apoyo Infonavit Pago_Bajo_Puntual Si 20</v>
      </c>
      <c r="B30" s="75" t="str">
        <f t="shared" si="0"/>
        <v>Adquisicion PF No_Premier Nómina Apoyo Infonavit Pago_Bajo_Puntual Si 20 0.103</v>
      </c>
      <c r="C30" s="75" t="s">
        <v>114</v>
      </c>
      <c r="D30" s="75" t="s">
        <v>132</v>
      </c>
      <c r="E30" s="75" t="s">
        <v>179</v>
      </c>
      <c r="F30" s="75" t="s">
        <v>181</v>
      </c>
      <c r="G30" s="75" t="s">
        <v>112</v>
      </c>
      <c r="H30" s="75"/>
      <c r="I30" s="75" t="s">
        <v>170</v>
      </c>
      <c r="J30" s="76">
        <v>20</v>
      </c>
      <c r="K30" s="519" t="s">
        <v>387</v>
      </c>
      <c r="L30" s="520">
        <v>9</v>
      </c>
      <c r="M30" s="520">
        <v>9.66</v>
      </c>
      <c r="N30" s="507">
        <v>0.10299999999999999</v>
      </c>
      <c r="O30" s="507">
        <v>0.1</v>
      </c>
      <c r="P30" s="507">
        <v>0.112</v>
      </c>
      <c r="Q30" s="78">
        <v>0.44</v>
      </c>
      <c r="R30" s="78">
        <v>0.31740000000000002</v>
      </c>
      <c r="S30" s="69">
        <v>2.5000000000000001E-2</v>
      </c>
      <c r="T30" s="69">
        <v>5.0000000000000001E-3</v>
      </c>
      <c r="U30" s="507">
        <v>0.95</v>
      </c>
      <c r="V30" s="76">
        <v>0</v>
      </c>
      <c r="W30" s="76">
        <v>0</v>
      </c>
      <c r="X30" s="76" t="s">
        <v>147</v>
      </c>
      <c r="Y30" s="519" t="s">
        <v>469</v>
      </c>
    </row>
    <row r="31" spans="1:25" x14ac:dyDescent="0.25">
      <c r="A31" s="75" t="str">
        <f t="shared" si="1"/>
        <v>Adquisicion PF No_Premier Nómina Apoyo Infonavit Pago_Bajo_Puntual 20</v>
      </c>
      <c r="B31" s="75" t="str">
        <f t="shared" si="0"/>
        <v>Adquisicion PF No_Premier Nómina Apoyo Infonavit Pago_Bajo_Puntual 20 0.106</v>
      </c>
      <c r="C31" s="75" t="s">
        <v>114</v>
      </c>
      <c r="D31" s="75" t="s">
        <v>132</v>
      </c>
      <c r="E31" s="75" t="s">
        <v>179</v>
      </c>
      <c r="F31" s="75" t="s">
        <v>181</v>
      </c>
      <c r="G31" s="75" t="s">
        <v>112</v>
      </c>
      <c r="H31" s="75"/>
      <c r="I31" s="75" t="s">
        <v>170</v>
      </c>
      <c r="J31" s="76">
        <v>20</v>
      </c>
      <c r="K31" s="519">
        <v>3</v>
      </c>
      <c r="L31" s="520">
        <v>9.24</v>
      </c>
      <c r="M31" s="520">
        <v>9.9</v>
      </c>
      <c r="N31" s="507">
        <v>0.106</v>
      </c>
      <c r="O31" s="507">
        <v>0.10299999999999999</v>
      </c>
      <c r="P31" s="507">
        <v>0.11799999999999999</v>
      </c>
      <c r="Q31" s="78">
        <v>0.44</v>
      </c>
      <c r="R31" s="78">
        <v>0.31740000000000002</v>
      </c>
      <c r="S31" s="69">
        <v>2.5000000000000001E-2</v>
      </c>
      <c r="T31" s="69">
        <v>5.0000000000000001E-3</v>
      </c>
      <c r="U31" s="507">
        <v>0.95</v>
      </c>
      <c r="V31" s="76">
        <v>0</v>
      </c>
      <c r="W31" s="76">
        <v>0</v>
      </c>
      <c r="X31" s="76"/>
      <c r="Y31" s="519" t="s">
        <v>469</v>
      </c>
    </row>
    <row r="32" spans="1:25" x14ac:dyDescent="0.25">
      <c r="A32" s="75" t="str">
        <f t="shared" si="1"/>
        <v>Adquisicion PF No_Premier Nómina Apoyo Infonavit Pago_Bajo_Puntual Si 15</v>
      </c>
      <c r="B32" s="75" t="str">
        <f t="shared" si="0"/>
        <v>Adquisicion PF No_Premier Nómina Apoyo Infonavit Pago_Bajo_Puntual Si 15 0.103</v>
      </c>
      <c r="C32" s="75" t="s">
        <v>114</v>
      </c>
      <c r="D32" s="75" t="s">
        <v>132</v>
      </c>
      <c r="E32" s="75" t="s">
        <v>179</v>
      </c>
      <c r="F32" s="75" t="s">
        <v>181</v>
      </c>
      <c r="G32" s="75" t="s">
        <v>112</v>
      </c>
      <c r="H32" s="75"/>
      <c r="I32" s="75" t="s">
        <v>170</v>
      </c>
      <c r="J32" s="76">
        <v>15</v>
      </c>
      <c r="K32" s="519" t="s">
        <v>387</v>
      </c>
      <c r="L32" s="520">
        <v>10.119999999999999</v>
      </c>
      <c r="M32" s="520">
        <v>10.78</v>
      </c>
      <c r="N32" s="507">
        <v>0.10299999999999999</v>
      </c>
      <c r="O32" s="507">
        <v>0.1</v>
      </c>
      <c r="P32" s="507">
        <v>0.112</v>
      </c>
      <c r="Q32" s="78">
        <v>0.44</v>
      </c>
      <c r="R32" s="78">
        <v>0.31740000000000002</v>
      </c>
      <c r="S32" s="69">
        <v>2.5000000000000001E-2</v>
      </c>
      <c r="T32" s="69">
        <v>5.0000000000000001E-3</v>
      </c>
      <c r="U32" s="507">
        <v>0.95</v>
      </c>
      <c r="V32" s="76">
        <v>0</v>
      </c>
      <c r="W32" s="76">
        <v>0</v>
      </c>
      <c r="X32" s="76" t="s">
        <v>147</v>
      </c>
      <c r="Y32" s="519" t="s">
        <v>469</v>
      </c>
    </row>
    <row r="33" spans="1:25" x14ac:dyDescent="0.25">
      <c r="A33" s="75" t="str">
        <f t="shared" si="1"/>
        <v>Adquisicion PF No_Premier Nómina Apoyo Infonavit Pago_Bajo_Puntual 15</v>
      </c>
      <c r="B33" s="75" t="str">
        <f t="shared" si="0"/>
        <v>Adquisicion PF No_Premier Nómina Apoyo Infonavit Pago_Bajo_Puntual 15 0.106</v>
      </c>
      <c r="C33" s="75" t="s">
        <v>114</v>
      </c>
      <c r="D33" s="75" t="s">
        <v>132</v>
      </c>
      <c r="E33" s="75" t="s">
        <v>179</v>
      </c>
      <c r="F33" s="75" t="s">
        <v>181</v>
      </c>
      <c r="G33" s="75" t="s">
        <v>112</v>
      </c>
      <c r="H33" s="75"/>
      <c r="I33" s="75" t="s">
        <v>170</v>
      </c>
      <c r="J33" s="76">
        <v>15</v>
      </c>
      <c r="K33" s="519">
        <v>3</v>
      </c>
      <c r="L33" s="520">
        <v>10.33</v>
      </c>
      <c r="M33" s="520">
        <v>10.99</v>
      </c>
      <c r="N33" s="507">
        <v>0.106</v>
      </c>
      <c r="O33" s="507">
        <v>0.10299999999999999</v>
      </c>
      <c r="P33" s="507">
        <v>0.11799999999999999</v>
      </c>
      <c r="Q33" s="78">
        <v>0.44</v>
      </c>
      <c r="R33" s="78">
        <v>0.31740000000000002</v>
      </c>
      <c r="S33" s="69">
        <v>2.5000000000000001E-2</v>
      </c>
      <c r="T33" s="69">
        <v>5.0000000000000001E-3</v>
      </c>
      <c r="U33" s="507">
        <v>0.95</v>
      </c>
      <c r="V33" s="76">
        <v>0</v>
      </c>
      <c r="W33" s="76">
        <v>0</v>
      </c>
      <c r="X33" s="76"/>
      <c r="Y33" s="519" t="s">
        <v>469</v>
      </c>
    </row>
    <row r="34" spans="1:25" x14ac:dyDescent="0.25">
      <c r="A34" s="75" t="str">
        <f t="shared" si="1"/>
        <v>Adquisicion PF No_Premier GSC Mercado_Abierto Pago_Fijo_Puntual Si 20</v>
      </c>
      <c r="B34" s="75" t="str">
        <f t="shared" si="0"/>
        <v>Adquisicion PF No_Premier GSC Mercado_Abierto Pago_Fijo_Puntual Si 20 0.101</v>
      </c>
      <c r="C34" s="75" t="s">
        <v>114</v>
      </c>
      <c r="D34" s="75" t="s">
        <v>132</v>
      </c>
      <c r="E34" s="75" t="s">
        <v>179</v>
      </c>
      <c r="F34" s="75" t="s">
        <v>172</v>
      </c>
      <c r="G34" s="75" t="s">
        <v>396</v>
      </c>
      <c r="H34" s="75"/>
      <c r="I34" s="75" t="s">
        <v>171</v>
      </c>
      <c r="J34" s="76">
        <v>20</v>
      </c>
      <c r="K34" s="519" t="s">
        <v>387</v>
      </c>
      <c r="L34" s="520">
        <v>10.02</v>
      </c>
      <c r="M34" s="520">
        <v>10.68</v>
      </c>
      <c r="N34" s="507">
        <v>0.10100000000000001</v>
      </c>
      <c r="O34" s="507">
        <v>9.8000000000000004E-2</v>
      </c>
      <c r="P34" s="507">
        <v>0.11</v>
      </c>
      <c r="Q34" s="78">
        <v>0.44</v>
      </c>
      <c r="R34" s="78">
        <v>0.31740000000000002</v>
      </c>
      <c r="S34" s="69">
        <v>0</v>
      </c>
      <c r="T34" s="69">
        <v>0</v>
      </c>
      <c r="U34" s="507">
        <v>0.9</v>
      </c>
      <c r="V34" s="76">
        <v>0</v>
      </c>
      <c r="W34" s="76">
        <v>0</v>
      </c>
      <c r="X34" s="76" t="s">
        <v>147</v>
      </c>
      <c r="Y34" s="519" t="s">
        <v>469</v>
      </c>
    </row>
    <row r="35" spans="1:25" x14ac:dyDescent="0.25">
      <c r="A35" s="75" t="str">
        <f t="shared" si="1"/>
        <v>Adquisicion PF No_Premier GSC Mercado_Abierto Pago_Fijo_Puntual 20</v>
      </c>
      <c r="B35" s="75" t="str">
        <f t="shared" si="0"/>
        <v>Adquisicion PF No_Premier GSC Mercado_Abierto Pago_Fijo_Puntual 20 0.104</v>
      </c>
      <c r="C35" s="75" t="s">
        <v>114</v>
      </c>
      <c r="D35" s="75" t="s">
        <v>132</v>
      </c>
      <c r="E35" s="75" t="s">
        <v>179</v>
      </c>
      <c r="F35" s="75" t="s">
        <v>172</v>
      </c>
      <c r="G35" s="75" t="s">
        <v>396</v>
      </c>
      <c r="H35" s="75"/>
      <c r="I35" s="75" t="s">
        <v>171</v>
      </c>
      <c r="J35" s="76">
        <v>20</v>
      </c>
      <c r="K35" s="519">
        <v>3</v>
      </c>
      <c r="L35" s="520">
        <v>10.27</v>
      </c>
      <c r="M35" s="520">
        <v>10.93</v>
      </c>
      <c r="N35" s="507">
        <v>0.104</v>
      </c>
      <c r="O35" s="507">
        <v>0.10100000000000001</v>
      </c>
      <c r="P35" s="507">
        <v>0.11600000000000001</v>
      </c>
      <c r="Q35" s="78">
        <v>0.44</v>
      </c>
      <c r="R35" s="78">
        <v>0.31740000000000002</v>
      </c>
      <c r="S35" s="69">
        <v>0</v>
      </c>
      <c r="T35" s="69">
        <v>0</v>
      </c>
      <c r="U35" s="507">
        <v>0.85</v>
      </c>
      <c r="V35" s="76">
        <v>0</v>
      </c>
      <c r="W35" s="76">
        <v>0</v>
      </c>
      <c r="X35" s="76"/>
      <c r="Y35" s="519" t="s">
        <v>469</v>
      </c>
    </row>
    <row r="36" spans="1:25" x14ac:dyDescent="0.25">
      <c r="A36" s="75" t="str">
        <f t="shared" si="1"/>
        <v>Adquisicion PF No_Premier GSC Mercado_Abierto Pago_Fijo_Puntual Si 15</v>
      </c>
      <c r="B36" s="75" t="str">
        <f t="shared" si="0"/>
        <v>Adquisicion PF No_Premier GSC Mercado_Abierto Pago_Fijo_Puntual Si 15 0.101</v>
      </c>
      <c r="C36" s="75" t="s">
        <v>114</v>
      </c>
      <c r="D36" s="75" t="s">
        <v>132</v>
      </c>
      <c r="E36" s="75" t="s">
        <v>179</v>
      </c>
      <c r="F36" s="75" t="s">
        <v>172</v>
      </c>
      <c r="G36" s="75" t="s">
        <v>396</v>
      </c>
      <c r="H36" s="75"/>
      <c r="I36" s="75" t="s">
        <v>171</v>
      </c>
      <c r="J36" s="76">
        <v>15</v>
      </c>
      <c r="K36" s="519" t="s">
        <v>387</v>
      </c>
      <c r="L36" s="520">
        <v>11.05</v>
      </c>
      <c r="M36" s="520">
        <v>11.71</v>
      </c>
      <c r="N36" s="507">
        <v>0.10100000000000001</v>
      </c>
      <c r="O36" s="507">
        <v>9.8000000000000004E-2</v>
      </c>
      <c r="P36" s="507">
        <v>0.11</v>
      </c>
      <c r="Q36" s="78">
        <v>0.44</v>
      </c>
      <c r="R36" s="78">
        <v>0.31740000000000002</v>
      </c>
      <c r="S36" s="69">
        <v>0</v>
      </c>
      <c r="T36" s="69">
        <v>0</v>
      </c>
      <c r="U36" s="507">
        <v>0.9</v>
      </c>
      <c r="V36" s="76">
        <v>0</v>
      </c>
      <c r="W36" s="76">
        <v>0</v>
      </c>
      <c r="X36" s="76" t="s">
        <v>147</v>
      </c>
      <c r="Y36" s="519" t="s">
        <v>469</v>
      </c>
    </row>
    <row r="37" spans="1:25" x14ac:dyDescent="0.25">
      <c r="A37" s="75" t="str">
        <f t="shared" si="1"/>
        <v>Adquisicion PF No_Premier GSC Mercado_Abierto Pago_Fijo_Puntual 15</v>
      </c>
      <c r="B37" s="75" t="str">
        <f t="shared" si="0"/>
        <v>Adquisicion PF No_Premier GSC Mercado_Abierto Pago_Fijo_Puntual 15 0.104</v>
      </c>
      <c r="C37" s="75" t="s">
        <v>114</v>
      </c>
      <c r="D37" s="75" t="s">
        <v>132</v>
      </c>
      <c r="E37" s="75" t="s">
        <v>179</v>
      </c>
      <c r="F37" s="75" t="s">
        <v>172</v>
      </c>
      <c r="G37" s="75" t="s">
        <v>396</v>
      </c>
      <c r="H37" s="75"/>
      <c r="I37" s="75" t="s">
        <v>171</v>
      </c>
      <c r="J37" s="76">
        <v>15</v>
      </c>
      <c r="K37" s="519">
        <v>3</v>
      </c>
      <c r="L37" s="520">
        <v>11.26</v>
      </c>
      <c r="M37" s="520">
        <v>11.92</v>
      </c>
      <c r="N37" s="507">
        <v>0.104</v>
      </c>
      <c r="O37" s="507">
        <v>0.10100000000000001</v>
      </c>
      <c r="P37" s="507">
        <v>0.11600000000000001</v>
      </c>
      <c r="Q37" s="78">
        <v>0.44</v>
      </c>
      <c r="R37" s="78">
        <v>0.31740000000000002</v>
      </c>
      <c r="S37" s="69">
        <v>0</v>
      </c>
      <c r="T37" s="69">
        <v>0</v>
      </c>
      <c r="U37" s="507">
        <v>0.85</v>
      </c>
      <c r="V37" s="76">
        <v>0</v>
      </c>
      <c r="W37" s="76">
        <v>0</v>
      </c>
      <c r="X37" s="76"/>
      <c r="Y37" s="519" t="s">
        <v>469</v>
      </c>
    </row>
    <row r="38" spans="1:25" x14ac:dyDescent="0.25">
      <c r="A38" s="75" t="str">
        <f t="shared" si="1"/>
        <v>Adquisicion PF No_Premier GSC Mercado_Abierto Pago_Fijo_Puntual Si 10</v>
      </c>
      <c r="B38" s="75" t="str">
        <f t="shared" si="0"/>
        <v>Adquisicion PF No_Premier GSC Mercado_Abierto Pago_Fijo_Puntual Si 10 0.101</v>
      </c>
      <c r="C38" s="75" t="s">
        <v>114</v>
      </c>
      <c r="D38" s="75" t="s">
        <v>132</v>
      </c>
      <c r="E38" s="75" t="s">
        <v>179</v>
      </c>
      <c r="F38" s="75" t="s">
        <v>172</v>
      </c>
      <c r="G38" s="75" t="s">
        <v>396</v>
      </c>
      <c r="H38" s="75"/>
      <c r="I38" s="75" t="s">
        <v>171</v>
      </c>
      <c r="J38" s="76">
        <v>10</v>
      </c>
      <c r="K38" s="519" t="s">
        <v>387</v>
      </c>
      <c r="L38" s="520">
        <v>13.42</v>
      </c>
      <c r="M38" s="520">
        <v>14.08</v>
      </c>
      <c r="N38" s="507">
        <v>0.10100000000000001</v>
      </c>
      <c r="O38" s="507">
        <v>9.8000000000000004E-2</v>
      </c>
      <c r="P38" s="507">
        <v>0.11</v>
      </c>
      <c r="Q38" s="78">
        <v>0.44</v>
      </c>
      <c r="R38" s="78">
        <v>0.31740000000000002</v>
      </c>
      <c r="S38" s="69">
        <v>0</v>
      </c>
      <c r="T38" s="69">
        <v>0</v>
      </c>
      <c r="U38" s="507">
        <v>0.9</v>
      </c>
      <c r="V38" s="76">
        <v>0</v>
      </c>
      <c r="W38" s="76">
        <v>0</v>
      </c>
      <c r="X38" s="76" t="s">
        <v>147</v>
      </c>
      <c r="Y38" s="519" t="s">
        <v>469</v>
      </c>
    </row>
    <row r="39" spans="1:25" x14ac:dyDescent="0.25">
      <c r="A39" s="75" t="str">
        <f t="shared" si="1"/>
        <v>Adquisicion PF No_Premier GSC Mercado_Abierto Pago_Fijo_Puntual 10</v>
      </c>
      <c r="B39" s="75" t="str">
        <f t="shared" si="0"/>
        <v>Adquisicion PF No_Premier GSC Mercado_Abierto Pago_Fijo_Puntual 10 0.104</v>
      </c>
      <c r="C39" s="75" t="s">
        <v>114</v>
      </c>
      <c r="D39" s="75" t="s">
        <v>132</v>
      </c>
      <c r="E39" s="75" t="s">
        <v>179</v>
      </c>
      <c r="F39" s="75" t="s">
        <v>172</v>
      </c>
      <c r="G39" s="75" t="s">
        <v>396</v>
      </c>
      <c r="H39" s="75"/>
      <c r="I39" s="75" t="s">
        <v>171</v>
      </c>
      <c r="J39" s="76">
        <v>10</v>
      </c>
      <c r="K39" s="519">
        <v>3</v>
      </c>
      <c r="L39" s="520">
        <v>13.59</v>
      </c>
      <c r="M39" s="520">
        <v>14.25</v>
      </c>
      <c r="N39" s="507">
        <v>0.104</v>
      </c>
      <c r="O39" s="507">
        <v>0.10100000000000001</v>
      </c>
      <c r="P39" s="507">
        <v>0.11600000000000001</v>
      </c>
      <c r="Q39" s="78">
        <v>0.44</v>
      </c>
      <c r="R39" s="78">
        <v>0.31740000000000002</v>
      </c>
      <c r="S39" s="69">
        <v>0</v>
      </c>
      <c r="T39" s="69">
        <v>0</v>
      </c>
      <c r="U39" s="507">
        <v>0.85</v>
      </c>
      <c r="V39" s="76">
        <v>0</v>
      </c>
      <c r="W39" s="76">
        <v>0</v>
      </c>
      <c r="X39" s="76"/>
      <c r="Y39" s="519" t="s">
        <v>469</v>
      </c>
    </row>
    <row r="40" spans="1:25" x14ac:dyDescent="0.25">
      <c r="A40" s="75" t="str">
        <f t="shared" si="1"/>
        <v>Adquisicion PF No_Premier GSC Mercado_Abierto Pago_Fijo_Puntual Si 5</v>
      </c>
      <c r="B40" s="75" t="str">
        <f t="shared" si="0"/>
        <v>Adquisicion PF No_Premier GSC Mercado_Abierto Pago_Fijo_Puntual Si 5 0.101</v>
      </c>
      <c r="C40" s="75" t="s">
        <v>114</v>
      </c>
      <c r="D40" s="75" t="s">
        <v>132</v>
      </c>
      <c r="E40" s="75" t="s">
        <v>179</v>
      </c>
      <c r="F40" s="75" t="s">
        <v>172</v>
      </c>
      <c r="G40" s="75" t="s">
        <v>396</v>
      </c>
      <c r="H40" s="75"/>
      <c r="I40" s="75" t="s">
        <v>171</v>
      </c>
      <c r="J40" s="76">
        <v>5</v>
      </c>
      <c r="K40" s="519" t="s">
        <v>387</v>
      </c>
      <c r="L40" s="520">
        <v>21.34</v>
      </c>
      <c r="M40" s="520">
        <v>22</v>
      </c>
      <c r="N40" s="507">
        <v>0.10100000000000001</v>
      </c>
      <c r="O40" s="507">
        <v>9.8000000000000004E-2</v>
      </c>
      <c r="P40" s="507">
        <v>0.11</v>
      </c>
      <c r="Q40" s="78">
        <v>0.44</v>
      </c>
      <c r="R40" s="78">
        <v>0.31740000000000002</v>
      </c>
      <c r="S40" s="69">
        <v>0</v>
      </c>
      <c r="T40" s="69">
        <v>0</v>
      </c>
      <c r="U40" s="507">
        <v>0.9</v>
      </c>
      <c r="V40" s="76">
        <v>0</v>
      </c>
      <c r="W40" s="76">
        <v>0</v>
      </c>
      <c r="X40" s="76" t="s">
        <v>147</v>
      </c>
      <c r="Y40" s="519" t="s">
        <v>469</v>
      </c>
    </row>
    <row r="41" spans="1:25" x14ac:dyDescent="0.25">
      <c r="A41" s="75" t="str">
        <f t="shared" si="1"/>
        <v>Adquisicion PF No_Premier GSC Mercado_Abierto Pago_Fijo_Puntual 5</v>
      </c>
      <c r="B41" s="75" t="str">
        <f t="shared" si="0"/>
        <v>Adquisicion PF No_Premier GSC Mercado_Abierto Pago_Fijo_Puntual 5 0.104</v>
      </c>
      <c r="C41" s="75" t="s">
        <v>114</v>
      </c>
      <c r="D41" s="75" t="s">
        <v>132</v>
      </c>
      <c r="E41" s="75" t="s">
        <v>179</v>
      </c>
      <c r="F41" s="75" t="s">
        <v>172</v>
      </c>
      <c r="G41" s="75" t="s">
        <v>396</v>
      </c>
      <c r="H41" s="75"/>
      <c r="I41" s="75" t="s">
        <v>171</v>
      </c>
      <c r="J41" s="76">
        <v>5</v>
      </c>
      <c r="K41" s="519">
        <v>3</v>
      </c>
      <c r="L41" s="520">
        <v>21.49</v>
      </c>
      <c r="M41" s="520">
        <v>22.15</v>
      </c>
      <c r="N41" s="507">
        <v>0.104</v>
      </c>
      <c r="O41" s="507">
        <v>0.10100000000000001</v>
      </c>
      <c r="P41" s="507">
        <v>0.11600000000000001</v>
      </c>
      <c r="Q41" s="78">
        <v>0.44</v>
      </c>
      <c r="R41" s="78">
        <v>0.31740000000000002</v>
      </c>
      <c r="S41" s="69">
        <v>0</v>
      </c>
      <c r="T41" s="69">
        <v>0</v>
      </c>
      <c r="U41" s="507">
        <v>0.85</v>
      </c>
      <c r="V41" s="76">
        <v>0</v>
      </c>
      <c r="W41" s="76">
        <v>0</v>
      </c>
      <c r="X41" s="76"/>
      <c r="Y41" s="519" t="s">
        <v>469</v>
      </c>
    </row>
    <row r="42" spans="1:25" x14ac:dyDescent="0.25">
      <c r="A42" s="75" t="str">
        <f t="shared" si="1"/>
        <v>Adquisicion PF No_Premier GSC Mercado_Abierto Pago_Fijo_Puntual 20</v>
      </c>
      <c r="B42" s="75" t="str">
        <f t="shared" si="0"/>
        <v>Adquisicion PF No_Premier GSC Mercado_Abierto Pago_Fijo_Puntual 20 0.0945</v>
      </c>
      <c r="C42" s="75" t="s">
        <v>114</v>
      </c>
      <c r="D42" s="75" t="s">
        <v>132</v>
      </c>
      <c r="E42" s="75" t="s">
        <v>179</v>
      </c>
      <c r="F42" s="75" t="s">
        <v>172</v>
      </c>
      <c r="G42" s="75" t="s">
        <v>396</v>
      </c>
      <c r="H42" s="75"/>
      <c r="I42" s="75" t="s">
        <v>171</v>
      </c>
      <c r="J42" s="76">
        <v>20</v>
      </c>
      <c r="K42" s="516" t="s">
        <v>385</v>
      </c>
      <c r="L42" s="517">
        <v>9.5299999999999994</v>
      </c>
      <c r="M42" s="517">
        <v>10.19</v>
      </c>
      <c r="N42" s="518">
        <v>9.4500000000000001E-2</v>
      </c>
      <c r="O42" s="518">
        <v>0.09</v>
      </c>
      <c r="P42" s="518">
        <v>0.10050000000000001</v>
      </c>
      <c r="Q42" s="78">
        <v>0.44</v>
      </c>
      <c r="R42" s="78">
        <v>0.31740000000000002</v>
      </c>
      <c r="S42" s="69">
        <v>0</v>
      </c>
      <c r="T42" s="69">
        <v>0</v>
      </c>
      <c r="U42" s="518">
        <v>0.7</v>
      </c>
      <c r="V42" s="76">
        <v>0</v>
      </c>
      <c r="W42" s="76">
        <v>0</v>
      </c>
      <c r="X42" s="76"/>
      <c r="Y42" s="516" t="s">
        <v>470</v>
      </c>
    </row>
    <row r="43" spans="1:25" x14ac:dyDescent="0.25">
      <c r="A43" s="75" t="str">
        <f t="shared" si="1"/>
        <v>Adquisicion PF No_Premier GSC Mercado_Abierto Pago_Fijo_Puntual 20</v>
      </c>
      <c r="B43" s="75" t="str">
        <f t="shared" si="0"/>
        <v>Adquisicion PF No_Premier GSC Mercado_Abierto Pago_Fijo_Puntual 20 0.101</v>
      </c>
      <c r="C43" s="75" t="s">
        <v>114</v>
      </c>
      <c r="D43" s="75" t="s">
        <v>132</v>
      </c>
      <c r="E43" s="75" t="s">
        <v>179</v>
      </c>
      <c r="F43" s="75" t="s">
        <v>172</v>
      </c>
      <c r="G43" s="75" t="s">
        <v>396</v>
      </c>
      <c r="H43" s="75"/>
      <c r="I43" s="75" t="s">
        <v>171</v>
      </c>
      <c r="J43" s="76">
        <v>20</v>
      </c>
      <c r="K43" s="516" t="s">
        <v>386</v>
      </c>
      <c r="L43" s="517">
        <v>10.02</v>
      </c>
      <c r="M43" s="517">
        <v>10.68</v>
      </c>
      <c r="N43" s="518">
        <v>0.10100000000000001</v>
      </c>
      <c r="O43" s="518">
        <v>9.8000000000000004E-2</v>
      </c>
      <c r="P43" s="518">
        <v>0.11</v>
      </c>
      <c r="Q43" s="78">
        <v>0.44</v>
      </c>
      <c r="R43" s="78">
        <v>0.31740000000000002</v>
      </c>
      <c r="S43" s="69">
        <v>0</v>
      </c>
      <c r="T43" s="69">
        <v>0</v>
      </c>
      <c r="U43" s="518">
        <v>0.7</v>
      </c>
      <c r="V43" s="76">
        <v>0</v>
      </c>
      <c r="W43" s="76">
        <v>0</v>
      </c>
      <c r="X43" s="76"/>
      <c r="Y43" s="516" t="s">
        <v>470</v>
      </c>
    </row>
    <row r="44" spans="1:25" x14ac:dyDescent="0.25">
      <c r="A44" s="75" t="str">
        <f t="shared" si="1"/>
        <v>Adquisicion PF No_Premier GSC Mercado_Abierto Pago_Fijo_Puntual 15</v>
      </c>
      <c r="B44" s="75" t="str">
        <f t="shared" si="0"/>
        <v>Adquisicion PF No_Premier GSC Mercado_Abierto Pago_Fijo_Puntual 15 0.0945</v>
      </c>
      <c r="C44" s="75" t="s">
        <v>114</v>
      </c>
      <c r="D44" s="75" t="s">
        <v>132</v>
      </c>
      <c r="E44" s="75" t="s">
        <v>179</v>
      </c>
      <c r="F44" s="75" t="s">
        <v>172</v>
      </c>
      <c r="G44" s="75" t="s">
        <v>396</v>
      </c>
      <c r="H44" s="75"/>
      <c r="I44" s="75" t="s">
        <v>171</v>
      </c>
      <c r="J44" s="76">
        <v>15</v>
      </c>
      <c r="K44" s="516" t="s">
        <v>385</v>
      </c>
      <c r="L44" s="517">
        <v>10.61</v>
      </c>
      <c r="M44" s="517">
        <v>11.27</v>
      </c>
      <c r="N44" s="518">
        <v>9.4500000000000001E-2</v>
      </c>
      <c r="O44" s="518">
        <v>0.09</v>
      </c>
      <c r="P44" s="518">
        <v>0.10050000000000001</v>
      </c>
      <c r="Q44" s="78">
        <v>0.44</v>
      </c>
      <c r="R44" s="78">
        <v>0.31740000000000002</v>
      </c>
      <c r="S44" s="69">
        <v>0</v>
      </c>
      <c r="T44" s="69">
        <v>0</v>
      </c>
      <c r="U44" s="518">
        <v>0.7</v>
      </c>
      <c r="V44" s="76">
        <v>0</v>
      </c>
      <c r="W44" s="76">
        <v>0</v>
      </c>
      <c r="X44" s="76"/>
      <c r="Y44" s="516" t="s">
        <v>470</v>
      </c>
    </row>
    <row r="45" spans="1:25" x14ac:dyDescent="0.25">
      <c r="A45" s="75" t="str">
        <f t="shared" si="1"/>
        <v>Adquisicion PF No_Premier GSC Mercado_Abierto Pago_Fijo_Puntual 15</v>
      </c>
      <c r="B45" s="75" t="str">
        <f t="shared" si="0"/>
        <v>Adquisicion PF No_Premier GSC Mercado_Abierto Pago_Fijo_Puntual 15 0.101</v>
      </c>
      <c r="C45" s="75" t="s">
        <v>114</v>
      </c>
      <c r="D45" s="75" t="s">
        <v>132</v>
      </c>
      <c r="E45" s="75" t="s">
        <v>179</v>
      </c>
      <c r="F45" s="75" t="s">
        <v>172</v>
      </c>
      <c r="G45" s="75" t="s">
        <v>396</v>
      </c>
      <c r="H45" s="75"/>
      <c r="I45" s="75" t="s">
        <v>171</v>
      </c>
      <c r="J45" s="76">
        <v>15</v>
      </c>
      <c r="K45" s="516" t="s">
        <v>386</v>
      </c>
      <c r="L45" s="517">
        <v>11.05</v>
      </c>
      <c r="M45" s="517">
        <v>11.71</v>
      </c>
      <c r="N45" s="518">
        <v>0.10100000000000001</v>
      </c>
      <c r="O45" s="518">
        <v>9.8000000000000004E-2</v>
      </c>
      <c r="P45" s="518">
        <v>0.11</v>
      </c>
      <c r="Q45" s="78">
        <v>0.44</v>
      </c>
      <c r="R45" s="78">
        <v>0.31740000000000002</v>
      </c>
      <c r="S45" s="69">
        <v>0</v>
      </c>
      <c r="T45" s="69">
        <v>0</v>
      </c>
      <c r="U45" s="518">
        <v>0.7</v>
      </c>
      <c r="V45" s="76">
        <v>0</v>
      </c>
      <c r="W45" s="76">
        <v>0</v>
      </c>
      <c r="X45" s="76"/>
      <c r="Y45" s="516" t="s">
        <v>470</v>
      </c>
    </row>
    <row r="46" spans="1:25" x14ac:dyDescent="0.25">
      <c r="A46" s="75" t="str">
        <f t="shared" si="1"/>
        <v>Adquisicion PF No_Premier GSC Mercado_Abierto Pago_Fijo_Puntual 10</v>
      </c>
      <c r="B46" s="75" t="str">
        <f t="shared" si="0"/>
        <v>Adquisicion PF No_Premier GSC Mercado_Abierto Pago_Fijo_Puntual 10 0.0945</v>
      </c>
      <c r="C46" s="75" t="s">
        <v>114</v>
      </c>
      <c r="D46" s="75" t="s">
        <v>132</v>
      </c>
      <c r="E46" s="75" t="s">
        <v>179</v>
      </c>
      <c r="F46" s="75" t="s">
        <v>172</v>
      </c>
      <c r="G46" s="75" t="s">
        <v>396</v>
      </c>
      <c r="H46" s="75"/>
      <c r="I46" s="75" t="s">
        <v>171</v>
      </c>
      <c r="J46" s="76">
        <v>10</v>
      </c>
      <c r="K46" s="516" t="s">
        <v>385</v>
      </c>
      <c r="L46" s="517">
        <v>13.05</v>
      </c>
      <c r="M46" s="517">
        <v>13.71</v>
      </c>
      <c r="N46" s="518">
        <v>9.4500000000000001E-2</v>
      </c>
      <c r="O46" s="518">
        <v>0.09</v>
      </c>
      <c r="P46" s="518">
        <v>0.10050000000000001</v>
      </c>
      <c r="Q46" s="78">
        <v>0.44</v>
      </c>
      <c r="R46" s="78">
        <v>0.31740000000000002</v>
      </c>
      <c r="S46" s="69">
        <v>0</v>
      </c>
      <c r="T46" s="69">
        <v>0</v>
      </c>
      <c r="U46" s="518">
        <v>0.7</v>
      </c>
      <c r="V46" s="76">
        <v>0</v>
      </c>
      <c r="W46" s="76">
        <v>0</v>
      </c>
      <c r="X46" s="76"/>
      <c r="Y46" s="516" t="s">
        <v>470</v>
      </c>
    </row>
    <row r="47" spans="1:25" x14ac:dyDescent="0.25">
      <c r="A47" s="75" t="str">
        <f t="shared" si="1"/>
        <v>Adquisicion PF No_Premier GSC Mercado_Abierto Pago_Fijo_Puntual 10</v>
      </c>
      <c r="B47" s="75" t="str">
        <f t="shared" si="0"/>
        <v>Adquisicion PF No_Premier GSC Mercado_Abierto Pago_Fijo_Puntual 10 0.101</v>
      </c>
      <c r="C47" s="75" t="s">
        <v>114</v>
      </c>
      <c r="D47" s="75" t="s">
        <v>132</v>
      </c>
      <c r="E47" s="75" t="s">
        <v>179</v>
      </c>
      <c r="F47" s="75" t="s">
        <v>172</v>
      </c>
      <c r="G47" s="75" t="s">
        <v>396</v>
      </c>
      <c r="H47" s="75"/>
      <c r="I47" s="75" t="s">
        <v>171</v>
      </c>
      <c r="J47" s="76">
        <v>10</v>
      </c>
      <c r="K47" s="516" t="s">
        <v>386</v>
      </c>
      <c r="L47" s="517">
        <v>13.42</v>
      </c>
      <c r="M47" s="517">
        <v>14.08</v>
      </c>
      <c r="N47" s="518">
        <v>0.10100000000000001</v>
      </c>
      <c r="O47" s="518">
        <v>9.8000000000000004E-2</v>
      </c>
      <c r="P47" s="518">
        <v>0.11</v>
      </c>
      <c r="Q47" s="78">
        <v>0.44</v>
      </c>
      <c r="R47" s="78">
        <v>0.31740000000000002</v>
      </c>
      <c r="S47" s="69">
        <v>0</v>
      </c>
      <c r="T47" s="69">
        <v>0</v>
      </c>
      <c r="U47" s="518">
        <v>0.7</v>
      </c>
      <c r="V47" s="76">
        <v>0</v>
      </c>
      <c r="W47" s="76">
        <v>0</v>
      </c>
      <c r="X47" s="76"/>
      <c r="Y47" s="516" t="s">
        <v>470</v>
      </c>
    </row>
    <row r="48" spans="1:25" x14ac:dyDescent="0.25">
      <c r="A48" s="75" t="str">
        <f t="shared" si="1"/>
        <v>Adquisicion PF No_Premier GSC Mercado_Abierto Pago_Fijo_Puntual 5</v>
      </c>
      <c r="B48" s="75" t="str">
        <f t="shared" si="0"/>
        <v>Adquisicion PF No_Premier GSC Mercado_Abierto Pago_Fijo_Puntual 5 0.0945</v>
      </c>
      <c r="C48" s="75" t="s">
        <v>114</v>
      </c>
      <c r="D48" s="75" t="s">
        <v>132</v>
      </c>
      <c r="E48" s="75" t="s">
        <v>179</v>
      </c>
      <c r="F48" s="75" t="s">
        <v>172</v>
      </c>
      <c r="G48" s="75" t="s">
        <v>396</v>
      </c>
      <c r="H48" s="75"/>
      <c r="I48" s="75" t="s">
        <v>171</v>
      </c>
      <c r="J48" s="76">
        <v>5</v>
      </c>
      <c r="K48" s="516" t="s">
        <v>385</v>
      </c>
      <c r="L48" s="517">
        <v>21.02</v>
      </c>
      <c r="M48" s="517">
        <v>21.68</v>
      </c>
      <c r="N48" s="518">
        <v>9.4500000000000001E-2</v>
      </c>
      <c r="O48" s="518">
        <v>0.09</v>
      </c>
      <c r="P48" s="518">
        <v>0.10050000000000001</v>
      </c>
      <c r="Q48" s="78">
        <v>0.44</v>
      </c>
      <c r="R48" s="78">
        <v>0.31740000000000002</v>
      </c>
      <c r="S48" s="69">
        <v>0</v>
      </c>
      <c r="T48" s="69">
        <v>0</v>
      </c>
      <c r="U48" s="518">
        <v>0.7</v>
      </c>
      <c r="V48" s="76">
        <v>0</v>
      </c>
      <c r="W48" s="76">
        <v>0</v>
      </c>
      <c r="X48" s="76"/>
      <c r="Y48" s="516" t="s">
        <v>470</v>
      </c>
    </row>
    <row r="49" spans="1:25" x14ac:dyDescent="0.25">
      <c r="A49" s="75" t="str">
        <f t="shared" si="1"/>
        <v>Adquisicion PF No_Premier GSC Mercado_Abierto Pago_Fijo_Puntual 5</v>
      </c>
      <c r="B49" s="75" t="str">
        <f t="shared" si="0"/>
        <v>Adquisicion PF No_Premier GSC Mercado_Abierto Pago_Fijo_Puntual 5 0.101</v>
      </c>
      <c r="C49" s="75" t="s">
        <v>114</v>
      </c>
      <c r="D49" s="75" t="s">
        <v>132</v>
      </c>
      <c r="E49" s="75" t="s">
        <v>179</v>
      </c>
      <c r="F49" s="75" t="s">
        <v>172</v>
      </c>
      <c r="G49" s="75" t="s">
        <v>396</v>
      </c>
      <c r="H49" s="75"/>
      <c r="I49" s="75" t="s">
        <v>171</v>
      </c>
      <c r="J49" s="76">
        <v>5</v>
      </c>
      <c r="K49" s="516" t="s">
        <v>386</v>
      </c>
      <c r="L49" s="517">
        <v>21.34</v>
      </c>
      <c r="M49" s="517">
        <v>22</v>
      </c>
      <c r="N49" s="518">
        <v>0.10100000000000001</v>
      </c>
      <c r="O49" s="518">
        <v>9.8000000000000004E-2</v>
      </c>
      <c r="P49" s="518">
        <v>0.11</v>
      </c>
      <c r="Q49" s="78">
        <v>0.44</v>
      </c>
      <c r="R49" s="78">
        <v>0.31740000000000002</v>
      </c>
      <c r="S49" s="69">
        <v>0</v>
      </c>
      <c r="T49" s="69">
        <v>0</v>
      </c>
      <c r="U49" s="518">
        <v>0.7</v>
      </c>
      <c r="V49" s="76">
        <v>0</v>
      </c>
      <c r="W49" s="76">
        <v>0</v>
      </c>
      <c r="X49" s="76"/>
      <c r="Y49" s="516" t="s">
        <v>470</v>
      </c>
    </row>
    <row r="50" spans="1:25" x14ac:dyDescent="0.25">
      <c r="A50" s="75" t="str">
        <f t="shared" si="1"/>
        <v>Adquisicion PF No_Premier Nómina Apoyo Infonavit Pago_Bajo_Puntual Si 10</v>
      </c>
      <c r="B50" s="75" t="str">
        <f t="shared" si="0"/>
        <v>Adquisicion PF No_Premier Nómina Apoyo Infonavit Pago_Bajo_Puntual Si 10 0.103</v>
      </c>
      <c r="C50" s="75" t="s">
        <v>114</v>
      </c>
      <c r="D50" s="75" t="s">
        <v>132</v>
      </c>
      <c r="E50" s="75" t="s">
        <v>179</v>
      </c>
      <c r="F50" s="75" t="s">
        <v>181</v>
      </c>
      <c r="G50" s="75" t="s">
        <v>112</v>
      </c>
      <c r="H50" s="75"/>
      <c r="I50" s="75" t="s">
        <v>170</v>
      </c>
      <c r="J50" s="76">
        <v>10</v>
      </c>
      <c r="K50" s="519" t="s">
        <v>387</v>
      </c>
      <c r="L50" s="520">
        <v>12.62</v>
      </c>
      <c r="M50" s="520">
        <v>13.28</v>
      </c>
      <c r="N50" s="507">
        <v>0.10299999999999999</v>
      </c>
      <c r="O50" s="507">
        <v>0.1</v>
      </c>
      <c r="P50" s="507">
        <v>0.112</v>
      </c>
      <c r="Q50" s="78">
        <v>0.44</v>
      </c>
      <c r="R50" s="78">
        <v>0.31740000000000002</v>
      </c>
      <c r="S50" s="69">
        <v>2.5000000000000001E-2</v>
      </c>
      <c r="T50" s="69">
        <v>5.0000000000000001E-3</v>
      </c>
      <c r="U50" s="507">
        <v>0.95</v>
      </c>
      <c r="V50" s="76">
        <v>0</v>
      </c>
      <c r="W50" s="76">
        <v>0</v>
      </c>
      <c r="X50" s="76" t="s">
        <v>147</v>
      </c>
      <c r="Y50" s="519" t="s">
        <v>469</v>
      </c>
    </row>
    <row r="51" spans="1:25" x14ac:dyDescent="0.25">
      <c r="A51" s="75" t="str">
        <f t="shared" si="1"/>
        <v>Adquisicion PF No_Premier Nómina Apoyo Infonavit Pago_Bajo_Puntual 10</v>
      </c>
      <c r="B51" s="75" t="str">
        <f t="shared" si="0"/>
        <v>Adquisicion PF No_Premier Nómina Apoyo Infonavit Pago_Bajo_Puntual 10 0.106</v>
      </c>
      <c r="C51" s="75" t="s">
        <v>114</v>
      </c>
      <c r="D51" s="75" t="s">
        <v>132</v>
      </c>
      <c r="E51" s="75" t="s">
        <v>179</v>
      </c>
      <c r="F51" s="75" t="s">
        <v>181</v>
      </c>
      <c r="G51" s="75" t="s">
        <v>112</v>
      </c>
      <c r="H51" s="75"/>
      <c r="I51" s="75" t="s">
        <v>170</v>
      </c>
      <c r="J51" s="76">
        <v>10</v>
      </c>
      <c r="K51" s="519">
        <v>3</v>
      </c>
      <c r="L51" s="520">
        <v>12.78</v>
      </c>
      <c r="M51" s="520">
        <v>13.44</v>
      </c>
      <c r="N51" s="507">
        <v>0.106</v>
      </c>
      <c r="O51" s="507">
        <v>0.10299999999999999</v>
      </c>
      <c r="P51" s="507">
        <v>0.11799999999999999</v>
      </c>
      <c r="Q51" s="78">
        <v>0.44</v>
      </c>
      <c r="R51" s="78">
        <v>0.31740000000000002</v>
      </c>
      <c r="S51" s="69">
        <v>2.5000000000000001E-2</v>
      </c>
      <c r="T51" s="69">
        <v>5.0000000000000001E-3</v>
      </c>
      <c r="U51" s="507">
        <v>0.95</v>
      </c>
      <c r="V51" s="76">
        <v>0</v>
      </c>
      <c r="W51" s="76">
        <v>0</v>
      </c>
      <c r="X51" s="76"/>
      <c r="Y51" s="519" t="s">
        <v>469</v>
      </c>
    </row>
    <row r="52" spans="1:25" x14ac:dyDescent="0.25">
      <c r="A52" s="75" t="str">
        <f t="shared" si="1"/>
        <v>Adquisicion PF No_Premier Nómina Apoyo Infonavit Pago_Bajo_Puntual Si 5</v>
      </c>
      <c r="B52" s="75" t="str">
        <f t="shared" si="0"/>
        <v>Adquisicion PF No_Premier Nómina Apoyo Infonavit Pago_Bajo_Puntual Si 5 0.103</v>
      </c>
      <c r="C52" s="75" t="s">
        <v>114</v>
      </c>
      <c r="D52" s="75" t="s">
        <v>132</v>
      </c>
      <c r="E52" s="75" t="s">
        <v>179</v>
      </c>
      <c r="F52" s="75" t="s">
        <v>181</v>
      </c>
      <c r="G52" s="75" t="s">
        <v>112</v>
      </c>
      <c r="H52" s="75"/>
      <c r="I52" s="75" t="s">
        <v>170</v>
      </c>
      <c r="J52" s="76">
        <v>5</v>
      </c>
      <c r="K52" s="519" t="s">
        <v>387</v>
      </c>
      <c r="L52" s="520">
        <v>20.72</v>
      </c>
      <c r="M52" s="520">
        <v>21.38</v>
      </c>
      <c r="N52" s="507">
        <v>0.10299999999999999</v>
      </c>
      <c r="O52" s="507">
        <v>0.1</v>
      </c>
      <c r="P52" s="507">
        <v>0.112</v>
      </c>
      <c r="Q52" s="78">
        <v>0.44</v>
      </c>
      <c r="R52" s="78">
        <v>0.31740000000000002</v>
      </c>
      <c r="S52" s="69">
        <v>2.5000000000000001E-2</v>
      </c>
      <c r="T52" s="69">
        <v>5.0000000000000001E-3</v>
      </c>
      <c r="U52" s="507">
        <v>0.95</v>
      </c>
      <c r="V52" s="76">
        <v>0</v>
      </c>
      <c r="W52" s="76">
        <v>0</v>
      </c>
      <c r="X52" s="76" t="s">
        <v>147</v>
      </c>
      <c r="Y52" s="519" t="s">
        <v>469</v>
      </c>
    </row>
    <row r="53" spans="1:25" x14ac:dyDescent="0.25">
      <c r="A53" s="75" t="str">
        <f t="shared" si="1"/>
        <v>Adquisicion PF No_Premier Nómina Apoyo Infonavit Pago_Bajo_Puntual 5</v>
      </c>
      <c r="B53" s="75" t="str">
        <f t="shared" si="0"/>
        <v>Adquisicion PF No_Premier Nómina Apoyo Infonavit Pago_Bajo_Puntual 5 0.106</v>
      </c>
      <c r="C53" s="75" t="s">
        <v>114</v>
      </c>
      <c r="D53" s="75" t="s">
        <v>132</v>
      </c>
      <c r="E53" s="75" t="s">
        <v>179</v>
      </c>
      <c r="F53" s="75" t="s">
        <v>181</v>
      </c>
      <c r="G53" s="75" t="s">
        <v>112</v>
      </c>
      <c r="H53" s="75"/>
      <c r="I53" s="75" t="s">
        <v>170</v>
      </c>
      <c r="J53" s="76">
        <v>5</v>
      </c>
      <c r="K53" s="519">
        <v>3</v>
      </c>
      <c r="L53" s="520">
        <v>20.86</v>
      </c>
      <c r="M53" s="520">
        <v>21.52</v>
      </c>
      <c r="N53" s="507">
        <v>0.106</v>
      </c>
      <c r="O53" s="507">
        <v>0.10299999999999999</v>
      </c>
      <c r="P53" s="507">
        <v>0.11799999999999999</v>
      </c>
      <c r="Q53" s="78">
        <v>0.44</v>
      </c>
      <c r="R53" s="78">
        <v>0.31740000000000002</v>
      </c>
      <c r="S53" s="69">
        <v>2.5000000000000001E-2</v>
      </c>
      <c r="T53" s="69">
        <v>5.0000000000000001E-3</v>
      </c>
      <c r="U53" s="507">
        <v>0.95</v>
      </c>
      <c r="V53" s="76">
        <v>0</v>
      </c>
      <c r="W53" s="76">
        <v>0</v>
      </c>
      <c r="X53" s="76"/>
      <c r="Y53" s="519" t="s">
        <v>469</v>
      </c>
    </row>
    <row r="54" spans="1:25" x14ac:dyDescent="0.25">
      <c r="A54" s="75" t="str">
        <f t="shared" si="1"/>
        <v>Adquisicion PF No_Premier Nómina Cofinavit Pago_Fijo_Puntual Si 25</v>
      </c>
      <c r="B54" s="75" t="str">
        <f t="shared" si="0"/>
        <v>Adquisicion PF No_Premier Nómina Cofinavit Pago_Fijo_Puntual Si 25 0.103</v>
      </c>
      <c r="C54" s="75" t="s">
        <v>114</v>
      </c>
      <c r="D54" s="75" t="s">
        <v>132</v>
      </c>
      <c r="E54" s="75" t="s">
        <v>179</v>
      </c>
      <c r="F54" s="75" t="s">
        <v>181</v>
      </c>
      <c r="G54" s="75" t="s">
        <v>113</v>
      </c>
      <c r="H54" s="75"/>
      <c r="I54" s="75" t="s">
        <v>171</v>
      </c>
      <c r="J54" s="76">
        <v>25</v>
      </c>
      <c r="K54" s="519" t="s">
        <v>387</v>
      </c>
      <c r="L54" s="520">
        <v>9.65</v>
      </c>
      <c r="M54" s="520">
        <v>10.31</v>
      </c>
      <c r="N54" s="507">
        <v>0.10299999999999999</v>
      </c>
      <c r="O54" s="507">
        <v>0.1</v>
      </c>
      <c r="P54" s="507">
        <v>0.112</v>
      </c>
      <c r="Q54" s="78">
        <v>0.44</v>
      </c>
      <c r="R54" s="78">
        <v>0.31740000000000002</v>
      </c>
      <c r="S54" s="69">
        <v>2.5000000000000001E-2</v>
      </c>
      <c r="T54" s="69">
        <v>5.0000000000000001E-3</v>
      </c>
      <c r="U54" s="507">
        <v>0.95</v>
      </c>
      <c r="V54" s="76">
        <v>0</v>
      </c>
      <c r="W54" s="76">
        <v>0</v>
      </c>
      <c r="X54" s="76" t="s">
        <v>147</v>
      </c>
      <c r="Y54" s="519" t="s">
        <v>469</v>
      </c>
    </row>
    <row r="55" spans="1:25" x14ac:dyDescent="0.25">
      <c r="A55" s="75" t="str">
        <f t="shared" si="1"/>
        <v>Adquisicion PF No_Premier Nómina Cofinavit Pago_Fijo_Puntual 25</v>
      </c>
      <c r="B55" s="75" t="str">
        <f t="shared" si="0"/>
        <v>Adquisicion PF No_Premier Nómina Cofinavit Pago_Fijo_Puntual 25 0.106</v>
      </c>
      <c r="C55" s="75" t="s">
        <v>114</v>
      </c>
      <c r="D55" s="75" t="s">
        <v>132</v>
      </c>
      <c r="E55" s="75" t="s">
        <v>179</v>
      </c>
      <c r="F55" s="75" t="s">
        <v>181</v>
      </c>
      <c r="G55" s="75" t="s">
        <v>113</v>
      </c>
      <c r="H55" s="75"/>
      <c r="I55" s="75" t="s">
        <v>171</v>
      </c>
      <c r="J55" s="76">
        <v>25</v>
      </c>
      <c r="K55" s="519">
        <v>3</v>
      </c>
      <c r="L55" s="520">
        <v>9.93</v>
      </c>
      <c r="M55" s="520">
        <v>10.59</v>
      </c>
      <c r="N55" s="507">
        <v>0.106</v>
      </c>
      <c r="O55" s="507">
        <v>0.10299999999999999</v>
      </c>
      <c r="P55" s="507">
        <v>0.11799999999999999</v>
      </c>
      <c r="Q55" s="78">
        <v>0.44</v>
      </c>
      <c r="R55" s="78">
        <v>0.31740000000000002</v>
      </c>
      <c r="S55" s="69">
        <v>2.5000000000000001E-2</v>
      </c>
      <c r="T55" s="69">
        <v>5.0000000000000001E-3</v>
      </c>
      <c r="U55" s="507">
        <v>0.95</v>
      </c>
      <c r="V55" s="76">
        <v>0</v>
      </c>
      <c r="W55" s="76">
        <v>0</v>
      </c>
      <c r="X55" s="76"/>
      <c r="Y55" s="519" t="s">
        <v>469</v>
      </c>
    </row>
    <row r="56" spans="1:25" x14ac:dyDescent="0.25">
      <c r="A56" s="75" t="str">
        <f t="shared" si="1"/>
        <v>Adquisicion PF No_Premier Nómina Cofinavit Pago_Fijo_Puntual Si 20</v>
      </c>
      <c r="B56" s="75" t="str">
        <f t="shared" si="0"/>
        <v>Adquisicion PF No_Premier Nómina Cofinavit Pago_Fijo_Puntual Si 20 0.103</v>
      </c>
      <c r="C56" s="75" t="s">
        <v>114</v>
      </c>
      <c r="D56" s="75" t="s">
        <v>132</v>
      </c>
      <c r="E56" s="75" t="s">
        <v>179</v>
      </c>
      <c r="F56" s="75" t="s">
        <v>181</v>
      </c>
      <c r="G56" s="75" t="s">
        <v>113</v>
      </c>
      <c r="H56" s="75"/>
      <c r="I56" s="75" t="s">
        <v>171</v>
      </c>
      <c r="J56" s="76">
        <v>20</v>
      </c>
      <c r="K56" s="519" t="s">
        <v>387</v>
      </c>
      <c r="L56" s="520">
        <v>10.16</v>
      </c>
      <c r="M56" s="520">
        <v>10.82</v>
      </c>
      <c r="N56" s="507">
        <v>0.10299999999999999</v>
      </c>
      <c r="O56" s="507">
        <v>0.1</v>
      </c>
      <c r="P56" s="507">
        <v>0.112</v>
      </c>
      <c r="Q56" s="78">
        <v>0.44</v>
      </c>
      <c r="R56" s="78">
        <v>0.31740000000000002</v>
      </c>
      <c r="S56" s="69">
        <v>2.5000000000000001E-2</v>
      </c>
      <c r="T56" s="69">
        <v>5.0000000000000001E-3</v>
      </c>
      <c r="U56" s="507">
        <v>0.95</v>
      </c>
      <c r="V56" s="76">
        <v>0</v>
      </c>
      <c r="W56" s="76">
        <v>0</v>
      </c>
      <c r="X56" s="76" t="s">
        <v>147</v>
      </c>
      <c r="Y56" s="519" t="s">
        <v>469</v>
      </c>
    </row>
    <row r="57" spans="1:25" x14ac:dyDescent="0.25">
      <c r="A57" s="75" t="str">
        <f t="shared" si="1"/>
        <v>Adquisicion PF No_Premier Nómina Cofinavit Pago_Fijo_Puntual 20</v>
      </c>
      <c r="B57" s="75" t="str">
        <f t="shared" si="0"/>
        <v>Adquisicion PF No_Premier Nómina Cofinavit Pago_Fijo_Puntual 20 0.106</v>
      </c>
      <c r="C57" s="75" t="s">
        <v>114</v>
      </c>
      <c r="D57" s="75" t="s">
        <v>132</v>
      </c>
      <c r="E57" s="75" t="s">
        <v>179</v>
      </c>
      <c r="F57" s="75" t="s">
        <v>181</v>
      </c>
      <c r="G57" s="75" t="s">
        <v>113</v>
      </c>
      <c r="H57" s="75"/>
      <c r="I57" s="75" t="s">
        <v>171</v>
      </c>
      <c r="J57" s="76">
        <v>20</v>
      </c>
      <c r="K57" s="519">
        <v>3</v>
      </c>
      <c r="L57" s="520">
        <v>10.41</v>
      </c>
      <c r="M57" s="520">
        <v>11.07</v>
      </c>
      <c r="N57" s="507">
        <v>0.106</v>
      </c>
      <c r="O57" s="507">
        <v>0.10299999999999999</v>
      </c>
      <c r="P57" s="507">
        <v>0.11799999999999999</v>
      </c>
      <c r="Q57" s="78">
        <v>0.44</v>
      </c>
      <c r="R57" s="78">
        <v>0.31740000000000002</v>
      </c>
      <c r="S57" s="69">
        <v>2.5000000000000001E-2</v>
      </c>
      <c r="T57" s="69">
        <v>5.0000000000000001E-3</v>
      </c>
      <c r="U57" s="507">
        <v>0.95</v>
      </c>
      <c r="V57" s="76">
        <v>0</v>
      </c>
      <c r="W57" s="76">
        <v>0</v>
      </c>
      <c r="X57" s="76"/>
      <c r="Y57" s="519" t="s">
        <v>469</v>
      </c>
    </row>
    <row r="58" spans="1:25" x14ac:dyDescent="0.25">
      <c r="A58" s="75" t="str">
        <f t="shared" si="1"/>
        <v>Adquisicion PF No_Premier Nómina Cofinavit Pago_Fijo_Puntual Si 15</v>
      </c>
      <c r="B58" s="75" t="str">
        <f t="shared" si="0"/>
        <v>Adquisicion PF No_Premier Nómina Cofinavit Pago_Fijo_Puntual Si 15 0.103</v>
      </c>
      <c r="C58" s="75" t="s">
        <v>114</v>
      </c>
      <c r="D58" s="75" t="s">
        <v>132</v>
      </c>
      <c r="E58" s="75" t="s">
        <v>179</v>
      </c>
      <c r="F58" s="75" t="s">
        <v>181</v>
      </c>
      <c r="G58" s="75" t="s">
        <v>113</v>
      </c>
      <c r="H58" s="75"/>
      <c r="I58" s="75" t="s">
        <v>171</v>
      </c>
      <c r="J58" s="76">
        <v>15</v>
      </c>
      <c r="K58" s="519" t="s">
        <v>387</v>
      </c>
      <c r="L58" s="520">
        <v>11.18</v>
      </c>
      <c r="M58" s="520">
        <v>11.84</v>
      </c>
      <c r="N58" s="507">
        <v>0.10299999999999999</v>
      </c>
      <c r="O58" s="507">
        <v>0.1</v>
      </c>
      <c r="P58" s="507">
        <v>0.112</v>
      </c>
      <c r="Q58" s="78">
        <v>0.44</v>
      </c>
      <c r="R58" s="78">
        <v>0.31740000000000002</v>
      </c>
      <c r="S58" s="69">
        <v>2.5000000000000001E-2</v>
      </c>
      <c r="T58" s="69">
        <v>5.0000000000000001E-3</v>
      </c>
      <c r="U58" s="507">
        <v>0.95</v>
      </c>
      <c r="V58" s="76">
        <v>0</v>
      </c>
      <c r="W58" s="76">
        <v>0</v>
      </c>
      <c r="X58" s="76" t="s">
        <v>147</v>
      </c>
      <c r="Y58" s="519" t="s">
        <v>469</v>
      </c>
    </row>
    <row r="59" spans="1:25" x14ac:dyDescent="0.25">
      <c r="A59" s="75" t="str">
        <f t="shared" si="1"/>
        <v>Adquisicion PF No_Premier Nómina Cofinavit Pago_Fijo_Puntual 15</v>
      </c>
      <c r="B59" s="75" t="str">
        <f t="shared" si="0"/>
        <v>Adquisicion PF No_Premier Nómina Cofinavit Pago_Fijo_Puntual 15 0.106</v>
      </c>
      <c r="C59" s="75" t="s">
        <v>114</v>
      </c>
      <c r="D59" s="75" t="s">
        <v>132</v>
      </c>
      <c r="E59" s="75" t="s">
        <v>179</v>
      </c>
      <c r="F59" s="75" t="s">
        <v>181</v>
      </c>
      <c r="G59" s="75" t="s">
        <v>113</v>
      </c>
      <c r="H59" s="75"/>
      <c r="I59" s="75" t="s">
        <v>171</v>
      </c>
      <c r="J59" s="76">
        <v>15</v>
      </c>
      <c r="K59" s="519">
        <v>3</v>
      </c>
      <c r="L59" s="520">
        <v>11.39</v>
      </c>
      <c r="M59" s="520">
        <v>12.05</v>
      </c>
      <c r="N59" s="507">
        <v>0.106</v>
      </c>
      <c r="O59" s="507">
        <v>0.10299999999999999</v>
      </c>
      <c r="P59" s="507">
        <v>0.11799999999999999</v>
      </c>
      <c r="Q59" s="78">
        <v>0.44</v>
      </c>
      <c r="R59" s="78">
        <v>0.31740000000000002</v>
      </c>
      <c r="S59" s="69">
        <v>2.5000000000000001E-2</v>
      </c>
      <c r="T59" s="69">
        <v>5.0000000000000001E-3</v>
      </c>
      <c r="U59" s="507">
        <v>0.95</v>
      </c>
      <c r="V59" s="76">
        <v>0</v>
      </c>
      <c r="W59" s="76">
        <v>0</v>
      </c>
      <c r="X59" s="76"/>
      <c r="Y59" s="519" t="s">
        <v>469</v>
      </c>
    </row>
    <row r="60" spans="1:25" x14ac:dyDescent="0.25">
      <c r="A60" s="75" t="str">
        <f t="shared" si="1"/>
        <v>Adquisicion PF No_Premier Nómina Cofinavit Pago_Fijo_Puntual Si 10</v>
      </c>
      <c r="B60" s="75" t="str">
        <f t="shared" si="0"/>
        <v>Adquisicion PF No_Premier Nómina Cofinavit Pago_Fijo_Puntual Si 10 0.103</v>
      </c>
      <c r="C60" s="75" t="s">
        <v>114</v>
      </c>
      <c r="D60" s="75" t="s">
        <v>132</v>
      </c>
      <c r="E60" s="75" t="s">
        <v>179</v>
      </c>
      <c r="F60" s="75" t="s">
        <v>181</v>
      </c>
      <c r="G60" s="75" t="s">
        <v>113</v>
      </c>
      <c r="H60" s="75"/>
      <c r="I60" s="75" t="s">
        <v>171</v>
      </c>
      <c r="J60" s="76">
        <v>10</v>
      </c>
      <c r="K60" s="519" t="s">
        <v>387</v>
      </c>
      <c r="L60" s="520">
        <v>13.54</v>
      </c>
      <c r="M60" s="520">
        <v>14.2</v>
      </c>
      <c r="N60" s="507">
        <v>0.10299999999999999</v>
      </c>
      <c r="O60" s="507">
        <v>0.1</v>
      </c>
      <c r="P60" s="507">
        <v>0.112</v>
      </c>
      <c r="Q60" s="78">
        <v>0.44</v>
      </c>
      <c r="R60" s="78">
        <v>0.31740000000000002</v>
      </c>
      <c r="S60" s="69">
        <v>2.5000000000000001E-2</v>
      </c>
      <c r="T60" s="69">
        <v>5.0000000000000001E-3</v>
      </c>
      <c r="U60" s="507">
        <v>0.95</v>
      </c>
      <c r="V60" s="76">
        <v>0</v>
      </c>
      <c r="W60" s="76">
        <v>0</v>
      </c>
      <c r="X60" s="76" t="s">
        <v>147</v>
      </c>
      <c r="Y60" s="519" t="s">
        <v>469</v>
      </c>
    </row>
    <row r="61" spans="1:25" x14ac:dyDescent="0.25">
      <c r="A61" s="75" t="str">
        <f t="shared" si="1"/>
        <v>Adquisicion PF No_Premier Nómina Cofinavit Pago_Fijo_Puntual 10</v>
      </c>
      <c r="B61" s="75" t="str">
        <f t="shared" si="0"/>
        <v>Adquisicion PF No_Premier Nómina Cofinavit Pago_Fijo_Puntual 10 0.106</v>
      </c>
      <c r="C61" s="75" t="s">
        <v>114</v>
      </c>
      <c r="D61" s="75" t="s">
        <v>132</v>
      </c>
      <c r="E61" s="75" t="s">
        <v>179</v>
      </c>
      <c r="F61" s="75" t="s">
        <v>181</v>
      </c>
      <c r="G61" s="75" t="s">
        <v>113</v>
      </c>
      <c r="H61" s="75"/>
      <c r="I61" s="75" t="s">
        <v>171</v>
      </c>
      <c r="J61" s="76">
        <v>10</v>
      </c>
      <c r="K61" s="519">
        <v>3</v>
      </c>
      <c r="L61" s="520">
        <v>13.71</v>
      </c>
      <c r="M61" s="520">
        <v>14.37</v>
      </c>
      <c r="N61" s="507">
        <v>0.106</v>
      </c>
      <c r="O61" s="507">
        <v>0.10299999999999999</v>
      </c>
      <c r="P61" s="507">
        <v>0.11799999999999999</v>
      </c>
      <c r="Q61" s="78">
        <v>0.44</v>
      </c>
      <c r="R61" s="78">
        <v>0.31740000000000002</v>
      </c>
      <c r="S61" s="69">
        <v>2.5000000000000001E-2</v>
      </c>
      <c r="T61" s="69">
        <v>5.0000000000000001E-3</v>
      </c>
      <c r="U61" s="507">
        <v>0.95</v>
      </c>
      <c r="V61" s="76">
        <v>0</v>
      </c>
      <c r="W61" s="76">
        <v>0</v>
      </c>
      <c r="X61" s="76"/>
      <c r="Y61" s="519" t="s">
        <v>469</v>
      </c>
    </row>
    <row r="62" spans="1:25" x14ac:dyDescent="0.25">
      <c r="A62" s="75" t="str">
        <f t="shared" si="1"/>
        <v>Adquisicion PF No_Premier Nómina Cofinavit Pago_Fijo_Puntual Si 5</v>
      </c>
      <c r="B62" s="75" t="str">
        <f t="shared" si="0"/>
        <v>Adquisicion PF No_Premier Nómina Cofinavit Pago_Fijo_Puntual Si 5 0.103</v>
      </c>
      <c r="C62" s="75" t="s">
        <v>114</v>
      </c>
      <c r="D62" s="75" t="s">
        <v>132</v>
      </c>
      <c r="E62" s="75" t="s">
        <v>179</v>
      </c>
      <c r="F62" s="75" t="s">
        <v>181</v>
      </c>
      <c r="G62" s="75" t="s">
        <v>113</v>
      </c>
      <c r="H62" s="75"/>
      <c r="I62" s="75" t="s">
        <v>171</v>
      </c>
      <c r="J62" s="76">
        <v>5</v>
      </c>
      <c r="K62" s="519" t="s">
        <v>387</v>
      </c>
      <c r="L62" s="520">
        <v>21.44</v>
      </c>
      <c r="M62" s="520">
        <v>22.1</v>
      </c>
      <c r="N62" s="507">
        <v>0.10299999999999999</v>
      </c>
      <c r="O62" s="507">
        <v>0.1</v>
      </c>
      <c r="P62" s="507">
        <v>0.112</v>
      </c>
      <c r="Q62" s="78">
        <v>0.44</v>
      </c>
      <c r="R62" s="78">
        <v>0.31740000000000002</v>
      </c>
      <c r="S62" s="69">
        <v>2.5000000000000001E-2</v>
      </c>
      <c r="T62" s="69">
        <v>5.0000000000000001E-3</v>
      </c>
      <c r="U62" s="507">
        <v>0.95</v>
      </c>
      <c r="V62" s="76">
        <v>0</v>
      </c>
      <c r="W62" s="76">
        <v>0</v>
      </c>
      <c r="X62" s="76" t="s">
        <v>147</v>
      </c>
      <c r="Y62" s="519" t="s">
        <v>469</v>
      </c>
    </row>
    <row r="63" spans="1:25" x14ac:dyDescent="0.25">
      <c r="A63" s="75" t="str">
        <f t="shared" si="1"/>
        <v>Adquisicion PF No_Premier Nómina Cofinavit Pago_Fijo_Puntual 5</v>
      </c>
      <c r="B63" s="75" t="str">
        <f t="shared" si="0"/>
        <v>Adquisicion PF No_Premier Nómina Cofinavit Pago_Fijo_Puntual 5 0.106</v>
      </c>
      <c r="C63" s="75" t="s">
        <v>114</v>
      </c>
      <c r="D63" s="75" t="s">
        <v>132</v>
      </c>
      <c r="E63" s="75" t="s">
        <v>179</v>
      </c>
      <c r="F63" s="75" t="s">
        <v>181</v>
      </c>
      <c r="G63" s="75" t="s">
        <v>113</v>
      </c>
      <c r="H63" s="75"/>
      <c r="I63" s="75" t="s">
        <v>171</v>
      </c>
      <c r="J63" s="76">
        <v>5</v>
      </c>
      <c r="K63" s="519">
        <v>3</v>
      </c>
      <c r="L63" s="520">
        <v>21.59</v>
      </c>
      <c r="M63" s="520">
        <v>22.25</v>
      </c>
      <c r="N63" s="507">
        <v>0.106</v>
      </c>
      <c r="O63" s="507">
        <v>0.10299999999999999</v>
      </c>
      <c r="P63" s="507">
        <v>0.11799999999999999</v>
      </c>
      <c r="Q63" s="78">
        <v>0.44</v>
      </c>
      <c r="R63" s="78">
        <v>0.31740000000000002</v>
      </c>
      <c r="S63" s="69">
        <v>2.5000000000000001E-2</v>
      </c>
      <c r="T63" s="69">
        <v>5.0000000000000001E-3</v>
      </c>
      <c r="U63" s="507">
        <v>0.95</v>
      </c>
      <c r="V63" s="76">
        <v>0</v>
      </c>
      <c r="W63" s="76">
        <v>0</v>
      </c>
      <c r="X63" s="76"/>
      <c r="Y63" s="519" t="s">
        <v>469</v>
      </c>
    </row>
    <row r="64" spans="1:25" x14ac:dyDescent="0.25">
      <c r="A64" s="75" t="str">
        <f t="shared" si="1"/>
        <v>Adquisicion PF No_Premier Nómina Cofinavit Pago_Bajo_Puntual Si 25</v>
      </c>
      <c r="B64" s="75" t="str">
        <f t="shared" si="0"/>
        <v>Adquisicion PF No_Premier Nómina Cofinavit Pago_Bajo_Puntual Si 25 0.103</v>
      </c>
      <c r="C64" s="75" t="s">
        <v>114</v>
      </c>
      <c r="D64" s="75" t="s">
        <v>132</v>
      </c>
      <c r="E64" s="75" t="s">
        <v>179</v>
      </c>
      <c r="F64" s="75" t="s">
        <v>181</v>
      </c>
      <c r="G64" s="75" t="s">
        <v>113</v>
      </c>
      <c r="H64" s="75"/>
      <c r="I64" s="75" t="s">
        <v>170</v>
      </c>
      <c r="J64" s="523">
        <v>25</v>
      </c>
      <c r="K64" s="519" t="s">
        <v>387</v>
      </c>
      <c r="L64" s="520">
        <v>8.64</v>
      </c>
      <c r="M64" s="520">
        <v>9.3000000000000007</v>
      </c>
      <c r="N64" s="507">
        <v>0.10299999999999999</v>
      </c>
      <c r="O64" s="507">
        <v>0.1</v>
      </c>
      <c r="P64" s="507">
        <v>0.112</v>
      </c>
      <c r="Q64" s="78">
        <v>0.44</v>
      </c>
      <c r="R64" s="78">
        <v>0.31740000000000002</v>
      </c>
      <c r="S64" s="69">
        <v>2.5000000000000001E-2</v>
      </c>
      <c r="T64" s="69">
        <v>5.0000000000000001E-3</v>
      </c>
      <c r="U64" s="507">
        <v>0.95</v>
      </c>
      <c r="V64" s="76">
        <v>0</v>
      </c>
      <c r="W64" s="76">
        <v>0</v>
      </c>
      <c r="X64" s="76" t="s">
        <v>147</v>
      </c>
      <c r="Y64" s="519" t="s">
        <v>469</v>
      </c>
    </row>
    <row r="65" spans="1:25" x14ac:dyDescent="0.25">
      <c r="A65" s="75" t="str">
        <f t="shared" si="1"/>
        <v>Adquisicion PF No_Premier Nómina Cofinavit Pago_Bajo_Puntual 25</v>
      </c>
      <c r="B65" s="75" t="str">
        <f t="shared" si="0"/>
        <v>Adquisicion PF No_Premier Nómina Cofinavit Pago_Bajo_Puntual 25 0.106</v>
      </c>
      <c r="C65" s="75" t="s">
        <v>114</v>
      </c>
      <c r="D65" s="75" t="s">
        <v>132</v>
      </c>
      <c r="E65" s="75" t="s">
        <v>179</v>
      </c>
      <c r="F65" s="75" t="s">
        <v>181</v>
      </c>
      <c r="G65" s="75" t="s">
        <v>113</v>
      </c>
      <c r="H65" s="75"/>
      <c r="I65" s="75" t="s">
        <v>170</v>
      </c>
      <c r="J65" s="523">
        <v>25</v>
      </c>
      <c r="K65" s="519">
        <v>3</v>
      </c>
      <c r="L65" s="520">
        <v>8.89</v>
      </c>
      <c r="M65" s="520">
        <v>9.5500000000000007</v>
      </c>
      <c r="N65" s="507">
        <v>0.106</v>
      </c>
      <c r="O65" s="507">
        <v>0.10299999999999999</v>
      </c>
      <c r="P65" s="507">
        <v>0.11799999999999999</v>
      </c>
      <c r="Q65" s="78">
        <v>0.44</v>
      </c>
      <c r="R65" s="78">
        <v>0.31740000000000002</v>
      </c>
      <c r="S65" s="69">
        <v>2.5000000000000001E-2</v>
      </c>
      <c r="T65" s="69">
        <v>5.0000000000000001E-3</v>
      </c>
      <c r="U65" s="507">
        <v>0.95</v>
      </c>
      <c r="V65" s="76">
        <v>0</v>
      </c>
      <c r="W65" s="76">
        <v>0</v>
      </c>
      <c r="X65" s="76"/>
      <c r="Y65" s="519" t="s">
        <v>469</v>
      </c>
    </row>
    <row r="66" spans="1:25" x14ac:dyDescent="0.25">
      <c r="A66" s="75" t="str">
        <f t="shared" si="1"/>
        <v>Adquisicion PF No_Premier Nómina Cofinavit Pago_Bajo_Puntual Si 20</v>
      </c>
      <c r="B66" s="75" t="str">
        <f t="shared" ref="B66:B127" si="2">CONCATENATE(A66," ",N66)</f>
        <v>Adquisicion PF No_Premier Nómina Cofinavit Pago_Bajo_Puntual Si 20 0.103</v>
      </c>
      <c r="C66" s="75" t="s">
        <v>114</v>
      </c>
      <c r="D66" s="75" t="s">
        <v>132</v>
      </c>
      <c r="E66" s="75" t="s">
        <v>179</v>
      </c>
      <c r="F66" s="75" t="s">
        <v>181</v>
      </c>
      <c r="G66" s="75" t="s">
        <v>113</v>
      </c>
      <c r="H66" s="75"/>
      <c r="I66" s="75" t="s">
        <v>170</v>
      </c>
      <c r="J66" s="76">
        <v>20</v>
      </c>
      <c r="K66" s="519" t="s">
        <v>387</v>
      </c>
      <c r="L66" s="520">
        <v>9</v>
      </c>
      <c r="M66" s="520">
        <v>9.66</v>
      </c>
      <c r="N66" s="507">
        <v>0.10299999999999999</v>
      </c>
      <c r="O66" s="507">
        <v>0.1</v>
      </c>
      <c r="P66" s="507">
        <v>0.112</v>
      </c>
      <c r="Q66" s="78">
        <v>0.44</v>
      </c>
      <c r="R66" s="78">
        <v>0.31740000000000002</v>
      </c>
      <c r="S66" s="69">
        <v>2.5000000000000001E-2</v>
      </c>
      <c r="T66" s="69">
        <v>5.0000000000000001E-3</v>
      </c>
      <c r="U66" s="507">
        <v>0.95</v>
      </c>
      <c r="V66" s="76">
        <v>0</v>
      </c>
      <c r="W66" s="76">
        <v>0</v>
      </c>
      <c r="X66" s="76" t="s">
        <v>147</v>
      </c>
      <c r="Y66" s="519" t="s">
        <v>469</v>
      </c>
    </row>
    <row r="67" spans="1:25" x14ac:dyDescent="0.25">
      <c r="A67" s="75" t="str">
        <f t="shared" ref="A67:A134" si="3">TRIM(CONCATENATE(C67," ",D67," ",E67," ",F67," ",G67," ",I67," ",X67," ",J67))</f>
        <v>Adquisicion PF No_Premier Nómina Cofinavit Pago_Bajo_Puntual 20</v>
      </c>
      <c r="B67" s="75" t="str">
        <f t="shared" si="2"/>
        <v>Adquisicion PF No_Premier Nómina Cofinavit Pago_Bajo_Puntual 20 0.106</v>
      </c>
      <c r="C67" s="75" t="s">
        <v>114</v>
      </c>
      <c r="D67" s="75" t="s">
        <v>132</v>
      </c>
      <c r="E67" s="75" t="s">
        <v>179</v>
      </c>
      <c r="F67" s="75" t="s">
        <v>181</v>
      </c>
      <c r="G67" s="75" t="s">
        <v>113</v>
      </c>
      <c r="H67" s="75"/>
      <c r="I67" s="75" t="s">
        <v>170</v>
      </c>
      <c r="J67" s="76">
        <v>20</v>
      </c>
      <c r="K67" s="519">
        <v>3</v>
      </c>
      <c r="L67" s="520">
        <v>9.24</v>
      </c>
      <c r="M67" s="520">
        <v>9.9</v>
      </c>
      <c r="N67" s="507">
        <v>0.106</v>
      </c>
      <c r="O67" s="507">
        <v>0.10299999999999999</v>
      </c>
      <c r="P67" s="507">
        <v>0.11799999999999999</v>
      </c>
      <c r="Q67" s="78">
        <v>0.44</v>
      </c>
      <c r="R67" s="78">
        <v>0.31740000000000002</v>
      </c>
      <c r="S67" s="69">
        <v>2.5000000000000001E-2</v>
      </c>
      <c r="T67" s="69">
        <v>5.0000000000000001E-3</v>
      </c>
      <c r="U67" s="507">
        <v>0.95</v>
      </c>
      <c r="V67" s="76">
        <v>0</v>
      </c>
      <c r="W67" s="76">
        <v>0</v>
      </c>
      <c r="X67" s="76"/>
      <c r="Y67" s="519" t="s">
        <v>469</v>
      </c>
    </row>
    <row r="68" spans="1:25" x14ac:dyDescent="0.25">
      <c r="A68" s="75" t="str">
        <f t="shared" si="3"/>
        <v>Adquisicion PF No_Premier Nómina Cofinavit Pago_Bajo_Puntual Si 15</v>
      </c>
      <c r="B68" s="75" t="str">
        <f t="shared" si="2"/>
        <v>Adquisicion PF No_Premier Nómina Cofinavit Pago_Bajo_Puntual Si 15 0.103</v>
      </c>
      <c r="C68" s="75" t="s">
        <v>114</v>
      </c>
      <c r="D68" s="75" t="s">
        <v>132</v>
      </c>
      <c r="E68" s="75" t="s">
        <v>179</v>
      </c>
      <c r="F68" s="75" t="s">
        <v>181</v>
      </c>
      <c r="G68" s="75" t="s">
        <v>113</v>
      </c>
      <c r="H68" s="75"/>
      <c r="I68" s="75" t="s">
        <v>170</v>
      </c>
      <c r="J68" s="76">
        <v>15</v>
      </c>
      <c r="K68" s="519" t="s">
        <v>387</v>
      </c>
      <c r="L68" s="520">
        <v>10.119999999999999</v>
      </c>
      <c r="M68" s="520">
        <v>10.78</v>
      </c>
      <c r="N68" s="507">
        <v>0.10299999999999999</v>
      </c>
      <c r="O68" s="507">
        <v>0.1</v>
      </c>
      <c r="P68" s="507">
        <v>0.112</v>
      </c>
      <c r="Q68" s="78">
        <v>0.44</v>
      </c>
      <c r="R68" s="78">
        <v>0.31740000000000002</v>
      </c>
      <c r="S68" s="69">
        <v>2.5000000000000001E-2</v>
      </c>
      <c r="T68" s="69">
        <v>5.0000000000000001E-3</v>
      </c>
      <c r="U68" s="507">
        <v>0.95</v>
      </c>
      <c r="V68" s="76">
        <v>0</v>
      </c>
      <c r="W68" s="76">
        <v>0</v>
      </c>
      <c r="X68" s="76" t="s">
        <v>147</v>
      </c>
      <c r="Y68" s="519" t="s">
        <v>469</v>
      </c>
    </row>
    <row r="69" spans="1:25" x14ac:dyDescent="0.25">
      <c r="A69" s="75" t="str">
        <f t="shared" si="3"/>
        <v>Adquisicion PF No_Premier Nómina Cofinavit Pago_Bajo_Puntual 15</v>
      </c>
      <c r="B69" s="75" t="str">
        <f t="shared" si="2"/>
        <v>Adquisicion PF No_Premier Nómina Cofinavit Pago_Bajo_Puntual 15 0.106</v>
      </c>
      <c r="C69" s="75" t="s">
        <v>114</v>
      </c>
      <c r="D69" s="75" t="s">
        <v>132</v>
      </c>
      <c r="E69" s="75" t="s">
        <v>179</v>
      </c>
      <c r="F69" s="75" t="s">
        <v>181</v>
      </c>
      <c r="G69" s="75" t="s">
        <v>113</v>
      </c>
      <c r="H69" s="75"/>
      <c r="I69" s="75" t="s">
        <v>170</v>
      </c>
      <c r="J69" s="76">
        <v>15</v>
      </c>
      <c r="K69" s="519">
        <v>3</v>
      </c>
      <c r="L69" s="520">
        <v>10.33</v>
      </c>
      <c r="M69" s="520">
        <v>10.99</v>
      </c>
      <c r="N69" s="507">
        <v>0.106</v>
      </c>
      <c r="O69" s="507">
        <v>0.10299999999999999</v>
      </c>
      <c r="P69" s="507">
        <v>0.11799999999999999</v>
      </c>
      <c r="Q69" s="78">
        <v>0.44</v>
      </c>
      <c r="R69" s="78">
        <v>0.31740000000000002</v>
      </c>
      <c r="S69" s="69">
        <v>2.5000000000000001E-2</v>
      </c>
      <c r="T69" s="69">
        <v>5.0000000000000001E-3</v>
      </c>
      <c r="U69" s="507">
        <v>0.95</v>
      </c>
      <c r="V69" s="76">
        <v>0</v>
      </c>
      <c r="W69" s="76">
        <v>0</v>
      </c>
      <c r="X69" s="76"/>
      <c r="Y69" s="519" t="s">
        <v>469</v>
      </c>
    </row>
    <row r="70" spans="1:25" x14ac:dyDescent="0.25">
      <c r="A70" s="75" t="str">
        <f t="shared" si="3"/>
        <v>Adquisicion PF No_Premier Nómina Cofinavit Pago_Bajo_Puntual Si 10</v>
      </c>
      <c r="B70" s="75" t="str">
        <f t="shared" si="2"/>
        <v>Adquisicion PF No_Premier Nómina Cofinavit Pago_Bajo_Puntual Si 10 0.103</v>
      </c>
      <c r="C70" s="75" t="s">
        <v>114</v>
      </c>
      <c r="D70" s="75" t="s">
        <v>132</v>
      </c>
      <c r="E70" s="75" t="s">
        <v>179</v>
      </c>
      <c r="F70" s="75" t="s">
        <v>181</v>
      </c>
      <c r="G70" s="75" t="s">
        <v>113</v>
      </c>
      <c r="H70" s="75"/>
      <c r="I70" s="75" t="s">
        <v>170</v>
      </c>
      <c r="J70" s="76">
        <v>10</v>
      </c>
      <c r="K70" s="519" t="s">
        <v>387</v>
      </c>
      <c r="L70" s="520">
        <v>12.62</v>
      </c>
      <c r="M70" s="520">
        <v>13.28</v>
      </c>
      <c r="N70" s="507">
        <v>0.10299999999999999</v>
      </c>
      <c r="O70" s="507">
        <v>0.1</v>
      </c>
      <c r="P70" s="507">
        <v>0.112</v>
      </c>
      <c r="Q70" s="78">
        <v>0.44</v>
      </c>
      <c r="R70" s="78">
        <v>0.31740000000000002</v>
      </c>
      <c r="S70" s="69">
        <v>2.5000000000000001E-2</v>
      </c>
      <c r="T70" s="69">
        <v>5.0000000000000001E-3</v>
      </c>
      <c r="U70" s="507">
        <v>0.95</v>
      </c>
      <c r="V70" s="76">
        <v>0</v>
      </c>
      <c r="W70" s="76">
        <v>0</v>
      </c>
      <c r="X70" s="76" t="s">
        <v>147</v>
      </c>
      <c r="Y70" s="519" t="s">
        <v>469</v>
      </c>
    </row>
    <row r="71" spans="1:25" x14ac:dyDescent="0.25">
      <c r="A71" s="75" t="str">
        <f t="shared" si="3"/>
        <v>Adquisicion PF No_Premier Nómina Cofinavit Pago_Bajo_Puntual 10</v>
      </c>
      <c r="B71" s="75" t="str">
        <f t="shared" si="2"/>
        <v>Adquisicion PF No_Premier Nómina Cofinavit Pago_Bajo_Puntual 10 0.106</v>
      </c>
      <c r="C71" s="75" t="s">
        <v>114</v>
      </c>
      <c r="D71" s="75" t="s">
        <v>132</v>
      </c>
      <c r="E71" s="75" t="s">
        <v>179</v>
      </c>
      <c r="F71" s="75" t="s">
        <v>181</v>
      </c>
      <c r="G71" s="75" t="s">
        <v>113</v>
      </c>
      <c r="H71" s="75"/>
      <c r="I71" s="75" t="s">
        <v>170</v>
      </c>
      <c r="J71" s="76">
        <v>10</v>
      </c>
      <c r="K71" s="519">
        <v>3</v>
      </c>
      <c r="L71" s="520">
        <v>12.78</v>
      </c>
      <c r="M71" s="520">
        <v>13.44</v>
      </c>
      <c r="N71" s="507">
        <v>0.106</v>
      </c>
      <c r="O71" s="507">
        <v>0.10299999999999999</v>
      </c>
      <c r="P71" s="507">
        <v>0.11799999999999999</v>
      </c>
      <c r="Q71" s="78">
        <v>0.44</v>
      </c>
      <c r="R71" s="78">
        <v>0.31740000000000002</v>
      </c>
      <c r="S71" s="69">
        <v>2.5000000000000001E-2</v>
      </c>
      <c r="T71" s="69">
        <v>5.0000000000000001E-3</v>
      </c>
      <c r="U71" s="507">
        <v>0.95</v>
      </c>
      <c r="V71" s="76">
        <v>0</v>
      </c>
      <c r="W71" s="76">
        <v>0</v>
      </c>
      <c r="X71" s="76"/>
      <c r="Y71" s="519" t="s">
        <v>469</v>
      </c>
    </row>
    <row r="72" spans="1:25" x14ac:dyDescent="0.25">
      <c r="A72" s="75" t="str">
        <f t="shared" si="3"/>
        <v>Adquisicion PF No_Premier Nómina Cofinavit Pago_Bajo_Puntual Si 5</v>
      </c>
      <c r="B72" s="75" t="str">
        <f t="shared" si="2"/>
        <v>Adquisicion PF No_Premier Nómina Cofinavit Pago_Bajo_Puntual Si 5 0.103</v>
      </c>
      <c r="C72" s="75" t="s">
        <v>114</v>
      </c>
      <c r="D72" s="75" t="s">
        <v>132</v>
      </c>
      <c r="E72" s="75" t="s">
        <v>179</v>
      </c>
      <c r="F72" s="75" t="s">
        <v>181</v>
      </c>
      <c r="G72" s="75" t="s">
        <v>113</v>
      </c>
      <c r="H72" s="75"/>
      <c r="I72" s="75" t="s">
        <v>170</v>
      </c>
      <c r="J72" s="76">
        <v>5</v>
      </c>
      <c r="K72" s="519" t="s">
        <v>387</v>
      </c>
      <c r="L72" s="520">
        <v>20.72</v>
      </c>
      <c r="M72" s="520">
        <v>21.38</v>
      </c>
      <c r="N72" s="507">
        <v>0.10299999999999999</v>
      </c>
      <c r="O72" s="507">
        <v>0.1</v>
      </c>
      <c r="P72" s="507">
        <v>0.112</v>
      </c>
      <c r="Q72" s="78">
        <v>0.44</v>
      </c>
      <c r="R72" s="78">
        <v>0.31740000000000002</v>
      </c>
      <c r="S72" s="69">
        <v>2.5000000000000001E-2</v>
      </c>
      <c r="T72" s="69">
        <v>5.0000000000000001E-3</v>
      </c>
      <c r="U72" s="507">
        <v>0.95</v>
      </c>
      <c r="V72" s="76">
        <v>0</v>
      </c>
      <c r="W72" s="76">
        <v>0</v>
      </c>
      <c r="X72" s="76" t="s">
        <v>147</v>
      </c>
      <c r="Y72" s="519" t="s">
        <v>469</v>
      </c>
    </row>
    <row r="73" spans="1:25" x14ac:dyDescent="0.25">
      <c r="A73" s="75" t="str">
        <f t="shared" si="3"/>
        <v>Adquisicion PF No_Premier Nómina Cofinavit Pago_Bajo_Puntual 5</v>
      </c>
      <c r="B73" s="75" t="str">
        <f t="shared" si="2"/>
        <v>Adquisicion PF No_Premier Nómina Cofinavit Pago_Bajo_Puntual 5 0.106</v>
      </c>
      <c r="C73" s="75" t="s">
        <v>114</v>
      </c>
      <c r="D73" s="75" t="s">
        <v>132</v>
      </c>
      <c r="E73" s="75" t="s">
        <v>179</v>
      </c>
      <c r="F73" s="75" t="s">
        <v>181</v>
      </c>
      <c r="G73" s="75" t="s">
        <v>113</v>
      </c>
      <c r="H73" s="75"/>
      <c r="I73" s="75" t="s">
        <v>170</v>
      </c>
      <c r="J73" s="76">
        <v>5</v>
      </c>
      <c r="K73" s="519">
        <v>3</v>
      </c>
      <c r="L73" s="520">
        <v>20.86</v>
      </c>
      <c r="M73" s="520">
        <v>21.52</v>
      </c>
      <c r="N73" s="507">
        <v>0.106</v>
      </c>
      <c r="O73" s="507">
        <v>0.10299999999999999</v>
      </c>
      <c r="P73" s="507">
        <v>0.11799999999999999</v>
      </c>
      <c r="Q73" s="78">
        <v>0.44</v>
      </c>
      <c r="R73" s="78">
        <v>0.31740000000000002</v>
      </c>
      <c r="S73" s="69">
        <v>2.5000000000000001E-2</v>
      </c>
      <c r="T73" s="69">
        <v>5.0000000000000001E-3</v>
      </c>
      <c r="U73" s="507">
        <v>0.95</v>
      </c>
      <c r="V73" s="76">
        <v>0</v>
      </c>
      <c r="W73" s="76">
        <v>0</v>
      </c>
      <c r="X73" s="76"/>
      <c r="Y73" s="519" t="s">
        <v>469</v>
      </c>
    </row>
    <row r="74" spans="1:25" x14ac:dyDescent="0.25">
      <c r="A74" s="75" t="str">
        <f t="shared" si="3"/>
        <v>Adquisicion PF No_Premier Nómina Especial Apoyo Infonavit Pago_Fijo_Puntual Si 25</v>
      </c>
      <c r="B74" s="75" t="str">
        <f t="shared" si="2"/>
        <v>Adquisicion PF No_Premier Nómina Especial Apoyo Infonavit Pago_Fijo_Puntual Si 25 0.101</v>
      </c>
      <c r="C74" s="75" t="s">
        <v>114</v>
      </c>
      <c r="D74" s="75" t="s">
        <v>132</v>
      </c>
      <c r="E74" s="75" t="s">
        <v>179</v>
      </c>
      <c r="F74" s="75" t="s">
        <v>182</v>
      </c>
      <c r="G74" s="75" t="s">
        <v>112</v>
      </c>
      <c r="H74" s="75"/>
      <c r="I74" s="75" t="s">
        <v>171</v>
      </c>
      <c r="J74" s="76">
        <v>25</v>
      </c>
      <c r="K74" s="519" t="s">
        <v>387</v>
      </c>
      <c r="L74" s="520">
        <v>9.51</v>
      </c>
      <c r="M74" s="520">
        <v>10.17</v>
      </c>
      <c r="N74" s="507">
        <v>0.10100000000000001</v>
      </c>
      <c r="O74" s="507">
        <v>9.8000000000000004E-2</v>
      </c>
      <c r="P74" s="507">
        <v>0.11</v>
      </c>
      <c r="Q74" s="78">
        <v>0.44</v>
      </c>
      <c r="R74" s="78">
        <v>0.31740000000000002</v>
      </c>
      <c r="S74" s="69">
        <v>2.5000000000000001E-2</v>
      </c>
      <c r="T74" s="69">
        <v>5.0000000000000001E-3</v>
      </c>
      <c r="U74" s="507">
        <v>0.95</v>
      </c>
      <c r="V74" s="76">
        <v>0</v>
      </c>
      <c r="W74" s="76">
        <v>0</v>
      </c>
      <c r="X74" s="76" t="s">
        <v>147</v>
      </c>
      <c r="Y74" s="519" t="s">
        <v>469</v>
      </c>
    </row>
    <row r="75" spans="1:25" x14ac:dyDescent="0.25">
      <c r="A75" s="75" t="str">
        <f t="shared" si="3"/>
        <v>Adquisicion PF No_Premier Nómina Especial Apoyo Infonavit Pago_Fijo_Puntual 25</v>
      </c>
      <c r="B75" s="75" t="str">
        <f t="shared" si="2"/>
        <v>Adquisicion PF No_Premier Nómina Especial Apoyo Infonavit Pago_Fijo_Puntual 25 0.104</v>
      </c>
      <c r="C75" s="75" t="s">
        <v>114</v>
      </c>
      <c r="D75" s="75" t="s">
        <v>132</v>
      </c>
      <c r="E75" s="75" t="s">
        <v>179</v>
      </c>
      <c r="F75" s="75" t="s">
        <v>182</v>
      </c>
      <c r="G75" s="75" t="s">
        <v>112</v>
      </c>
      <c r="H75" s="75"/>
      <c r="I75" s="75" t="s">
        <v>171</v>
      </c>
      <c r="J75" s="76">
        <v>25</v>
      </c>
      <c r="K75" s="519">
        <v>3</v>
      </c>
      <c r="L75" s="520">
        <v>9.7799999999999994</v>
      </c>
      <c r="M75" s="520">
        <v>10.44</v>
      </c>
      <c r="N75" s="507">
        <v>0.104</v>
      </c>
      <c r="O75" s="507">
        <v>0.10100000000000001</v>
      </c>
      <c r="P75" s="507">
        <v>0.11600000000000001</v>
      </c>
      <c r="Q75" s="78">
        <v>0.44</v>
      </c>
      <c r="R75" s="78">
        <v>0.31740000000000002</v>
      </c>
      <c r="S75" s="69">
        <v>2.5000000000000001E-2</v>
      </c>
      <c r="T75" s="69">
        <v>5.0000000000000001E-3</v>
      </c>
      <c r="U75" s="507">
        <v>0.95</v>
      </c>
      <c r="V75" s="76">
        <v>0</v>
      </c>
      <c r="W75" s="76">
        <v>0</v>
      </c>
      <c r="X75" s="76"/>
      <c r="Y75" s="519" t="s">
        <v>469</v>
      </c>
    </row>
    <row r="76" spans="1:25" x14ac:dyDescent="0.25">
      <c r="A76" s="75" t="str">
        <f t="shared" si="3"/>
        <v>Adquisicion PF No_Premier Nómina Especial Apoyo Infonavit Pago_Fijo_Puntual Si 20</v>
      </c>
      <c r="B76" s="75" t="str">
        <f t="shared" si="2"/>
        <v>Adquisicion PF No_Premier Nómina Especial Apoyo Infonavit Pago_Fijo_Puntual Si 20 0.101</v>
      </c>
      <c r="C76" s="75" t="s">
        <v>114</v>
      </c>
      <c r="D76" s="75" t="s">
        <v>132</v>
      </c>
      <c r="E76" s="75" t="s">
        <v>179</v>
      </c>
      <c r="F76" s="75" t="s">
        <v>182</v>
      </c>
      <c r="G76" s="75" t="s">
        <v>112</v>
      </c>
      <c r="H76" s="75"/>
      <c r="I76" s="75" t="s">
        <v>171</v>
      </c>
      <c r="J76" s="76">
        <v>20</v>
      </c>
      <c r="K76" s="519" t="s">
        <v>387</v>
      </c>
      <c r="L76" s="520">
        <v>10.02</v>
      </c>
      <c r="M76" s="520">
        <v>10.68</v>
      </c>
      <c r="N76" s="507">
        <v>0.10100000000000001</v>
      </c>
      <c r="O76" s="507">
        <v>9.8000000000000004E-2</v>
      </c>
      <c r="P76" s="507">
        <v>0.11</v>
      </c>
      <c r="Q76" s="78">
        <v>0.44</v>
      </c>
      <c r="R76" s="78">
        <v>0.31740000000000002</v>
      </c>
      <c r="S76" s="69">
        <v>2.5000000000000001E-2</v>
      </c>
      <c r="T76" s="69">
        <v>5.0000000000000001E-3</v>
      </c>
      <c r="U76" s="507">
        <v>0.95</v>
      </c>
      <c r="V76" s="76">
        <v>0</v>
      </c>
      <c r="W76" s="76">
        <v>0</v>
      </c>
      <c r="X76" s="76" t="s">
        <v>147</v>
      </c>
      <c r="Y76" s="519" t="s">
        <v>469</v>
      </c>
    </row>
    <row r="77" spans="1:25" x14ac:dyDescent="0.25">
      <c r="A77" s="75" t="str">
        <f t="shared" si="3"/>
        <v>Adquisicion PF No_Premier Nómina Especial Apoyo Infonavit Pago_Fijo_Puntual 20</v>
      </c>
      <c r="B77" s="75" t="str">
        <f t="shared" si="2"/>
        <v>Adquisicion PF No_Premier Nómina Especial Apoyo Infonavit Pago_Fijo_Puntual 20 0.104</v>
      </c>
      <c r="C77" s="75" t="s">
        <v>114</v>
      </c>
      <c r="D77" s="75" t="s">
        <v>132</v>
      </c>
      <c r="E77" s="75" t="s">
        <v>179</v>
      </c>
      <c r="F77" s="75" t="s">
        <v>182</v>
      </c>
      <c r="G77" s="75" t="s">
        <v>112</v>
      </c>
      <c r="H77" s="75"/>
      <c r="I77" s="75" t="s">
        <v>171</v>
      </c>
      <c r="J77" s="76">
        <v>20</v>
      </c>
      <c r="K77" s="519">
        <v>3</v>
      </c>
      <c r="L77" s="520">
        <v>10.27</v>
      </c>
      <c r="M77" s="520">
        <v>10.93</v>
      </c>
      <c r="N77" s="507">
        <v>0.104</v>
      </c>
      <c r="O77" s="507">
        <v>0.10100000000000001</v>
      </c>
      <c r="P77" s="507">
        <v>0.11600000000000001</v>
      </c>
      <c r="Q77" s="78">
        <v>0.44</v>
      </c>
      <c r="R77" s="78">
        <v>0.31740000000000002</v>
      </c>
      <c r="S77" s="69">
        <v>2.5000000000000001E-2</v>
      </c>
      <c r="T77" s="69">
        <v>5.0000000000000001E-3</v>
      </c>
      <c r="U77" s="507">
        <v>0.95</v>
      </c>
      <c r="V77" s="76">
        <v>0</v>
      </c>
      <c r="W77" s="76">
        <v>0</v>
      </c>
      <c r="X77" s="76"/>
      <c r="Y77" s="519" t="s">
        <v>469</v>
      </c>
    </row>
    <row r="78" spans="1:25" x14ac:dyDescent="0.25">
      <c r="A78" s="75" t="str">
        <f t="shared" si="3"/>
        <v>Adquisicion PF No_Premier Nómina Especial Apoyo Infonavit Pago_Fijo_Puntual Si 15</v>
      </c>
      <c r="B78" s="75" t="str">
        <f t="shared" si="2"/>
        <v>Adquisicion PF No_Premier Nómina Especial Apoyo Infonavit Pago_Fijo_Puntual Si 15 0.101</v>
      </c>
      <c r="C78" s="75" t="s">
        <v>114</v>
      </c>
      <c r="D78" s="75" t="s">
        <v>132</v>
      </c>
      <c r="E78" s="75" t="s">
        <v>179</v>
      </c>
      <c r="F78" s="75" t="s">
        <v>182</v>
      </c>
      <c r="G78" s="75" t="s">
        <v>112</v>
      </c>
      <c r="H78" s="75"/>
      <c r="I78" s="75" t="s">
        <v>171</v>
      </c>
      <c r="J78" s="76">
        <v>15</v>
      </c>
      <c r="K78" s="519" t="s">
        <v>387</v>
      </c>
      <c r="L78" s="520">
        <v>11.05</v>
      </c>
      <c r="M78" s="520">
        <v>11.71</v>
      </c>
      <c r="N78" s="507">
        <v>0.10100000000000001</v>
      </c>
      <c r="O78" s="507">
        <v>9.8000000000000004E-2</v>
      </c>
      <c r="P78" s="507">
        <v>0.11</v>
      </c>
      <c r="Q78" s="78">
        <v>0.44</v>
      </c>
      <c r="R78" s="78">
        <v>0.31740000000000002</v>
      </c>
      <c r="S78" s="69">
        <v>2.5000000000000001E-2</v>
      </c>
      <c r="T78" s="69">
        <v>5.0000000000000001E-3</v>
      </c>
      <c r="U78" s="507">
        <v>0.95</v>
      </c>
      <c r="V78" s="76">
        <v>0</v>
      </c>
      <c r="W78" s="76">
        <v>0</v>
      </c>
      <c r="X78" s="76" t="s">
        <v>147</v>
      </c>
      <c r="Y78" s="519" t="s">
        <v>469</v>
      </c>
    </row>
    <row r="79" spans="1:25" x14ac:dyDescent="0.25">
      <c r="A79" s="75" t="str">
        <f t="shared" si="3"/>
        <v>Adquisicion PF No_Premier Nómina Especial Apoyo Infonavit Pago_Fijo_Puntual 15</v>
      </c>
      <c r="B79" s="75" t="str">
        <f t="shared" si="2"/>
        <v>Adquisicion PF No_Premier Nómina Especial Apoyo Infonavit Pago_Fijo_Puntual 15 0.104</v>
      </c>
      <c r="C79" s="75" t="s">
        <v>114</v>
      </c>
      <c r="D79" s="75" t="s">
        <v>132</v>
      </c>
      <c r="E79" s="75" t="s">
        <v>179</v>
      </c>
      <c r="F79" s="75" t="s">
        <v>182</v>
      </c>
      <c r="G79" s="75" t="s">
        <v>112</v>
      </c>
      <c r="H79" s="75"/>
      <c r="I79" s="75" t="s">
        <v>171</v>
      </c>
      <c r="J79" s="76">
        <v>15</v>
      </c>
      <c r="K79" s="519">
        <v>3</v>
      </c>
      <c r="L79" s="520">
        <v>11.26</v>
      </c>
      <c r="M79" s="520">
        <v>11.92</v>
      </c>
      <c r="N79" s="507">
        <v>0.104</v>
      </c>
      <c r="O79" s="507">
        <v>0.10100000000000001</v>
      </c>
      <c r="P79" s="507">
        <v>0.11600000000000001</v>
      </c>
      <c r="Q79" s="78">
        <v>0.44</v>
      </c>
      <c r="R79" s="78">
        <v>0.31740000000000002</v>
      </c>
      <c r="S79" s="69">
        <v>2.5000000000000001E-2</v>
      </c>
      <c r="T79" s="69">
        <v>5.0000000000000001E-3</v>
      </c>
      <c r="U79" s="507">
        <v>0.95</v>
      </c>
      <c r="V79" s="76">
        <v>0</v>
      </c>
      <c r="W79" s="76">
        <v>0</v>
      </c>
      <c r="X79" s="76"/>
      <c r="Y79" s="519" t="s">
        <v>469</v>
      </c>
    </row>
    <row r="80" spans="1:25" x14ac:dyDescent="0.25">
      <c r="A80" s="75" t="str">
        <f t="shared" si="3"/>
        <v>Adquisicion PF No_Premier Nómina Especial Apoyo Infonavit Pago_Fijo_Puntual Si 10</v>
      </c>
      <c r="B80" s="75" t="str">
        <f t="shared" si="2"/>
        <v>Adquisicion PF No_Premier Nómina Especial Apoyo Infonavit Pago_Fijo_Puntual Si 10 0.101</v>
      </c>
      <c r="C80" s="75" t="s">
        <v>114</v>
      </c>
      <c r="D80" s="75" t="s">
        <v>132</v>
      </c>
      <c r="E80" s="75" t="s">
        <v>179</v>
      </c>
      <c r="F80" s="75" t="s">
        <v>182</v>
      </c>
      <c r="G80" s="75" t="s">
        <v>112</v>
      </c>
      <c r="H80" s="75"/>
      <c r="I80" s="75" t="s">
        <v>171</v>
      </c>
      <c r="J80" s="76">
        <v>10</v>
      </c>
      <c r="K80" s="519" t="s">
        <v>387</v>
      </c>
      <c r="L80" s="520">
        <v>13.42</v>
      </c>
      <c r="M80" s="520">
        <v>14.08</v>
      </c>
      <c r="N80" s="507">
        <v>0.10100000000000001</v>
      </c>
      <c r="O80" s="507">
        <v>9.8000000000000004E-2</v>
      </c>
      <c r="P80" s="507">
        <v>0.11</v>
      </c>
      <c r="Q80" s="78">
        <v>0.44</v>
      </c>
      <c r="R80" s="78">
        <v>0.31740000000000002</v>
      </c>
      <c r="S80" s="69">
        <v>2.5000000000000001E-2</v>
      </c>
      <c r="T80" s="69">
        <v>5.0000000000000001E-3</v>
      </c>
      <c r="U80" s="507">
        <v>0.95</v>
      </c>
      <c r="V80" s="76">
        <v>0</v>
      </c>
      <c r="W80" s="76">
        <v>0</v>
      </c>
      <c r="X80" s="76" t="s">
        <v>147</v>
      </c>
      <c r="Y80" s="519" t="s">
        <v>469</v>
      </c>
    </row>
    <row r="81" spans="1:25" x14ac:dyDescent="0.25">
      <c r="A81" s="75" t="str">
        <f t="shared" si="3"/>
        <v>Adquisicion PF No_Premier Nómina Especial Apoyo Infonavit Pago_Fijo_Puntual 10</v>
      </c>
      <c r="B81" s="75" t="str">
        <f t="shared" si="2"/>
        <v>Adquisicion PF No_Premier Nómina Especial Apoyo Infonavit Pago_Fijo_Puntual 10 0.104</v>
      </c>
      <c r="C81" s="75" t="s">
        <v>114</v>
      </c>
      <c r="D81" s="75" t="s">
        <v>132</v>
      </c>
      <c r="E81" s="75" t="s">
        <v>179</v>
      </c>
      <c r="F81" s="75" t="s">
        <v>182</v>
      </c>
      <c r="G81" s="75" t="s">
        <v>112</v>
      </c>
      <c r="H81" s="75"/>
      <c r="I81" s="75" t="s">
        <v>171</v>
      </c>
      <c r="J81" s="76">
        <v>10</v>
      </c>
      <c r="K81" s="519">
        <v>3</v>
      </c>
      <c r="L81" s="520">
        <v>13.59</v>
      </c>
      <c r="M81" s="520">
        <v>14.25</v>
      </c>
      <c r="N81" s="507">
        <v>0.104</v>
      </c>
      <c r="O81" s="507">
        <v>0.10100000000000001</v>
      </c>
      <c r="P81" s="507">
        <v>0.11600000000000001</v>
      </c>
      <c r="Q81" s="78">
        <v>0.44</v>
      </c>
      <c r="R81" s="78">
        <v>0.31740000000000002</v>
      </c>
      <c r="S81" s="69">
        <v>2.5000000000000001E-2</v>
      </c>
      <c r="T81" s="69">
        <v>5.0000000000000001E-3</v>
      </c>
      <c r="U81" s="507">
        <v>0.95</v>
      </c>
      <c r="V81" s="76">
        <v>0</v>
      </c>
      <c r="W81" s="76">
        <v>0</v>
      </c>
      <c r="X81" s="76"/>
      <c r="Y81" s="519" t="s">
        <v>469</v>
      </c>
    </row>
    <row r="82" spans="1:25" x14ac:dyDescent="0.25">
      <c r="A82" s="75" t="str">
        <f t="shared" si="3"/>
        <v>Adquisicion PF No_Premier Nómina Especial Apoyo Infonavit Pago_Fijo_Puntual Si 5</v>
      </c>
      <c r="B82" s="75" t="str">
        <f t="shared" si="2"/>
        <v>Adquisicion PF No_Premier Nómina Especial Apoyo Infonavit Pago_Fijo_Puntual Si 5 0.101</v>
      </c>
      <c r="C82" s="75" t="s">
        <v>114</v>
      </c>
      <c r="D82" s="75" t="s">
        <v>132</v>
      </c>
      <c r="E82" s="75" t="s">
        <v>179</v>
      </c>
      <c r="F82" s="75" t="s">
        <v>182</v>
      </c>
      <c r="G82" s="75" t="s">
        <v>112</v>
      </c>
      <c r="H82" s="75"/>
      <c r="I82" s="75" t="s">
        <v>171</v>
      </c>
      <c r="J82" s="76">
        <v>5</v>
      </c>
      <c r="K82" s="519" t="s">
        <v>387</v>
      </c>
      <c r="L82" s="520">
        <v>21.34</v>
      </c>
      <c r="M82" s="520">
        <v>22</v>
      </c>
      <c r="N82" s="507">
        <v>0.10100000000000001</v>
      </c>
      <c r="O82" s="507">
        <v>9.8000000000000004E-2</v>
      </c>
      <c r="P82" s="507">
        <v>0.11</v>
      </c>
      <c r="Q82" s="78">
        <v>0.44</v>
      </c>
      <c r="R82" s="78">
        <v>0.31740000000000002</v>
      </c>
      <c r="S82" s="69">
        <v>2.5000000000000001E-2</v>
      </c>
      <c r="T82" s="69">
        <v>5.0000000000000001E-3</v>
      </c>
      <c r="U82" s="507">
        <v>0.95</v>
      </c>
      <c r="V82" s="76">
        <v>0</v>
      </c>
      <c r="W82" s="76">
        <v>0</v>
      </c>
      <c r="X82" s="76" t="s">
        <v>147</v>
      </c>
      <c r="Y82" s="519" t="s">
        <v>469</v>
      </c>
    </row>
    <row r="83" spans="1:25" x14ac:dyDescent="0.25">
      <c r="A83" s="75" t="str">
        <f t="shared" si="3"/>
        <v>Adquisicion PF No_Premier Nómina Especial Apoyo Infonavit Pago_Fijo_Puntual 5</v>
      </c>
      <c r="B83" s="75" t="str">
        <f t="shared" si="2"/>
        <v>Adquisicion PF No_Premier Nómina Especial Apoyo Infonavit Pago_Fijo_Puntual 5 0.104</v>
      </c>
      <c r="C83" s="75" t="s">
        <v>114</v>
      </c>
      <c r="D83" s="75" t="s">
        <v>132</v>
      </c>
      <c r="E83" s="75" t="s">
        <v>179</v>
      </c>
      <c r="F83" s="75" t="s">
        <v>182</v>
      </c>
      <c r="G83" s="75" t="s">
        <v>112</v>
      </c>
      <c r="H83" s="75"/>
      <c r="I83" s="75" t="s">
        <v>171</v>
      </c>
      <c r="J83" s="76">
        <v>5</v>
      </c>
      <c r="K83" s="519">
        <v>3</v>
      </c>
      <c r="L83" s="520">
        <v>21.49</v>
      </c>
      <c r="M83" s="520">
        <v>22.15</v>
      </c>
      <c r="N83" s="507">
        <v>0.104</v>
      </c>
      <c r="O83" s="507">
        <v>0.10100000000000001</v>
      </c>
      <c r="P83" s="507">
        <v>0.11600000000000001</v>
      </c>
      <c r="Q83" s="78">
        <v>0.44</v>
      </c>
      <c r="R83" s="78">
        <v>0.31740000000000002</v>
      </c>
      <c r="S83" s="69">
        <v>2.5000000000000001E-2</v>
      </c>
      <c r="T83" s="69">
        <v>5.0000000000000001E-3</v>
      </c>
      <c r="U83" s="507">
        <v>0.95</v>
      </c>
      <c r="V83" s="76">
        <v>0</v>
      </c>
      <c r="W83" s="76">
        <v>0</v>
      </c>
      <c r="X83" s="76"/>
      <c r="Y83" s="519" t="s">
        <v>469</v>
      </c>
    </row>
    <row r="84" spans="1:25" x14ac:dyDescent="0.25">
      <c r="A84" s="75" t="str">
        <f t="shared" si="3"/>
        <v>Adquisicion PF No_Premier Nómina Especial Apoyo Infonavit Pago_Bajo_Puntual Si 25</v>
      </c>
      <c r="B84" s="75" t="str">
        <f t="shared" si="2"/>
        <v>Adquisicion PF No_Premier Nómina Especial Apoyo Infonavit Pago_Bajo_Puntual Si 25 0.101</v>
      </c>
      <c r="C84" s="75" t="s">
        <v>114</v>
      </c>
      <c r="D84" s="75" t="s">
        <v>132</v>
      </c>
      <c r="E84" s="75" t="s">
        <v>179</v>
      </c>
      <c r="F84" s="75" t="s">
        <v>182</v>
      </c>
      <c r="G84" s="75" t="s">
        <v>112</v>
      </c>
      <c r="H84" s="75"/>
      <c r="I84" s="75" t="s">
        <v>170</v>
      </c>
      <c r="J84" s="523">
        <v>25</v>
      </c>
      <c r="K84" s="519" t="s">
        <v>387</v>
      </c>
      <c r="L84" s="520">
        <v>8.4700000000000006</v>
      </c>
      <c r="M84" s="520">
        <v>9.1300000000000008</v>
      </c>
      <c r="N84" s="507">
        <v>0.10100000000000001</v>
      </c>
      <c r="O84" s="507">
        <v>9.8000000000000004E-2</v>
      </c>
      <c r="P84" s="507">
        <v>0.11</v>
      </c>
      <c r="Q84" s="78">
        <v>0.44</v>
      </c>
      <c r="R84" s="78">
        <v>0.31740000000000002</v>
      </c>
      <c r="S84" s="69">
        <v>2.5000000000000001E-2</v>
      </c>
      <c r="T84" s="69">
        <v>5.0000000000000001E-3</v>
      </c>
      <c r="U84" s="507">
        <v>0.95</v>
      </c>
      <c r="V84" s="76">
        <v>0</v>
      </c>
      <c r="W84" s="76">
        <v>0</v>
      </c>
      <c r="X84" s="76" t="s">
        <v>147</v>
      </c>
      <c r="Y84" s="519" t="s">
        <v>469</v>
      </c>
    </row>
    <row r="85" spans="1:25" x14ac:dyDescent="0.25">
      <c r="A85" s="75" t="str">
        <f t="shared" si="3"/>
        <v>Adquisicion PF No_Premier Nómina Especial Apoyo Infonavit Pago_Bajo_Puntual 25</v>
      </c>
      <c r="B85" s="75" t="str">
        <f t="shared" si="2"/>
        <v>Adquisicion PF No_Premier Nómina Especial Apoyo Infonavit Pago_Bajo_Puntual 25 0.104</v>
      </c>
      <c r="C85" s="75" t="s">
        <v>114</v>
      </c>
      <c r="D85" s="75" t="s">
        <v>132</v>
      </c>
      <c r="E85" s="75" t="s">
        <v>179</v>
      </c>
      <c r="F85" s="75" t="s">
        <v>182</v>
      </c>
      <c r="G85" s="75" t="s">
        <v>112</v>
      </c>
      <c r="H85" s="75"/>
      <c r="I85" s="75" t="s">
        <v>170</v>
      </c>
      <c r="J85" s="523">
        <v>25</v>
      </c>
      <c r="K85" s="519">
        <v>3</v>
      </c>
      <c r="L85" s="520">
        <v>8.7200000000000006</v>
      </c>
      <c r="M85" s="520">
        <v>9.3800000000000008</v>
      </c>
      <c r="N85" s="507">
        <v>0.104</v>
      </c>
      <c r="O85" s="507">
        <v>0.10100000000000001</v>
      </c>
      <c r="P85" s="507">
        <v>0.11600000000000001</v>
      </c>
      <c r="Q85" s="78">
        <v>0.44</v>
      </c>
      <c r="R85" s="78">
        <v>0.31740000000000002</v>
      </c>
      <c r="S85" s="69">
        <v>2.5000000000000001E-2</v>
      </c>
      <c r="T85" s="69">
        <v>5.0000000000000001E-3</v>
      </c>
      <c r="U85" s="507">
        <v>0.95</v>
      </c>
      <c r="V85" s="76">
        <v>0</v>
      </c>
      <c r="W85" s="76">
        <v>0</v>
      </c>
      <c r="X85" s="76"/>
      <c r="Y85" s="519" t="s">
        <v>469</v>
      </c>
    </row>
    <row r="86" spans="1:25" x14ac:dyDescent="0.25">
      <c r="A86" s="75" t="str">
        <f t="shared" si="3"/>
        <v>Adquisicion PF No_Premier Nómina Especial Apoyo Infonavit Pago_Bajo_Puntual Si 20</v>
      </c>
      <c r="B86" s="75" t="str">
        <f t="shared" si="2"/>
        <v>Adquisicion PF No_Premier Nómina Especial Apoyo Infonavit Pago_Bajo_Puntual Si 20 0.101</v>
      </c>
      <c r="C86" s="75" t="s">
        <v>114</v>
      </c>
      <c r="D86" s="75" t="s">
        <v>132</v>
      </c>
      <c r="E86" s="75" t="s">
        <v>179</v>
      </c>
      <c r="F86" s="75" t="s">
        <v>182</v>
      </c>
      <c r="G86" s="75" t="s">
        <v>112</v>
      </c>
      <c r="H86" s="75"/>
      <c r="I86" s="75" t="s">
        <v>170</v>
      </c>
      <c r="J86" s="76">
        <v>20</v>
      </c>
      <c r="K86" s="519" t="s">
        <v>387</v>
      </c>
      <c r="L86" s="520">
        <v>8.8800000000000008</v>
      </c>
      <c r="M86" s="520">
        <v>9.5399999999999991</v>
      </c>
      <c r="N86" s="507">
        <v>0.10100000000000001</v>
      </c>
      <c r="O86" s="507">
        <v>9.8000000000000004E-2</v>
      </c>
      <c r="P86" s="507">
        <v>0.11</v>
      </c>
      <c r="Q86" s="78">
        <v>0.44</v>
      </c>
      <c r="R86" s="78">
        <v>0.31740000000000002</v>
      </c>
      <c r="S86" s="69">
        <v>2.5000000000000001E-2</v>
      </c>
      <c r="T86" s="69">
        <v>5.0000000000000001E-3</v>
      </c>
      <c r="U86" s="507">
        <v>0.95</v>
      </c>
      <c r="V86" s="76">
        <v>0</v>
      </c>
      <c r="W86" s="76">
        <v>0</v>
      </c>
      <c r="X86" s="76" t="s">
        <v>147</v>
      </c>
      <c r="Y86" s="519" t="s">
        <v>469</v>
      </c>
    </row>
    <row r="87" spans="1:25" x14ac:dyDescent="0.25">
      <c r="A87" s="75" t="str">
        <f t="shared" si="3"/>
        <v>Adquisicion PF No_Premier Nómina Especial Apoyo Infonavit Pago_Bajo_Puntual 20</v>
      </c>
      <c r="B87" s="75" t="str">
        <f t="shared" si="2"/>
        <v>Adquisicion PF No_Premier Nómina Especial Apoyo Infonavit Pago_Bajo_Puntual 20 0.104</v>
      </c>
      <c r="C87" s="75" t="s">
        <v>114</v>
      </c>
      <c r="D87" s="75" t="s">
        <v>132</v>
      </c>
      <c r="E87" s="75" t="s">
        <v>179</v>
      </c>
      <c r="F87" s="75" t="s">
        <v>182</v>
      </c>
      <c r="G87" s="75" t="s">
        <v>112</v>
      </c>
      <c r="H87" s="75"/>
      <c r="I87" s="75" t="s">
        <v>170</v>
      </c>
      <c r="J87" s="76">
        <v>20</v>
      </c>
      <c r="K87" s="519">
        <v>3</v>
      </c>
      <c r="L87" s="520">
        <v>9.1199999999999992</v>
      </c>
      <c r="M87" s="520">
        <v>9.7799999999999994</v>
      </c>
      <c r="N87" s="507">
        <v>0.104</v>
      </c>
      <c r="O87" s="507">
        <v>0.10100000000000001</v>
      </c>
      <c r="P87" s="507">
        <v>0.11600000000000001</v>
      </c>
      <c r="Q87" s="78">
        <v>0.44</v>
      </c>
      <c r="R87" s="78">
        <v>0.31740000000000002</v>
      </c>
      <c r="S87" s="69">
        <v>2.5000000000000001E-2</v>
      </c>
      <c r="T87" s="69">
        <v>5.0000000000000001E-3</v>
      </c>
      <c r="U87" s="507">
        <v>0.95</v>
      </c>
      <c r="V87" s="76">
        <v>0</v>
      </c>
      <c r="W87" s="76">
        <v>0</v>
      </c>
      <c r="X87" s="76"/>
      <c r="Y87" s="519" t="s">
        <v>469</v>
      </c>
    </row>
    <row r="88" spans="1:25" x14ac:dyDescent="0.25">
      <c r="A88" s="75" t="str">
        <f t="shared" si="3"/>
        <v>Adquisicion PF No_Premier Nómina Especial Apoyo Infonavit Pago_Bajo_Puntual Si 15</v>
      </c>
      <c r="B88" s="75" t="str">
        <f t="shared" si="2"/>
        <v>Adquisicion PF No_Premier Nómina Especial Apoyo Infonavit Pago_Bajo_Puntual Si 15 0.101</v>
      </c>
      <c r="C88" s="75" t="s">
        <v>114</v>
      </c>
      <c r="D88" s="75" t="s">
        <v>132</v>
      </c>
      <c r="E88" s="75" t="s">
        <v>179</v>
      </c>
      <c r="F88" s="75" t="s">
        <v>182</v>
      </c>
      <c r="G88" s="75" t="s">
        <v>112</v>
      </c>
      <c r="H88" s="75"/>
      <c r="I88" s="75" t="s">
        <v>170</v>
      </c>
      <c r="J88" s="76">
        <v>15</v>
      </c>
      <c r="K88" s="519" t="s">
        <v>387</v>
      </c>
      <c r="L88" s="520">
        <v>10.01</v>
      </c>
      <c r="M88" s="520">
        <v>10.67</v>
      </c>
      <c r="N88" s="507">
        <v>0.10100000000000001</v>
      </c>
      <c r="O88" s="507">
        <v>9.8000000000000004E-2</v>
      </c>
      <c r="P88" s="507">
        <v>0.11</v>
      </c>
      <c r="Q88" s="78">
        <v>0.44</v>
      </c>
      <c r="R88" s="78">
        <v>0.31740000000000002</v>
      </c>
      <c r="S88" s="69">
        <v>2.5000000000000001E-2</v>
      </c>
      <c r="T88" s="69">
        <v>5.0000000000000001E-3</v>
      </c>
      <c r="U88" s="507">
        <v>0.95</v>
      </c>
      <c r="V88" s="76">
        <v>0</v>
      </c>
      <c r="W88" s="76">
        <v>0</v>
      </c>
      <c r="X88" s="76" t="s">
        <v>147</v>
      </c>
      <c r="Y88" s="519" t="s">
        <v>469</v>
      </c>
    </row>
    <row r="89" spans="1:25" x14ac:dyDescent="0.25">
      <c r="A89" s="75" t="str">
        <f t="shared" si="3"/>
        <v>Adquisicion PF No_Premier Nómina Especial Apoyo Infonavit Pago_Bajo_Puntual 15</v>
      </c>
      <c r="B89" s="75" t="str">
        <f t="shared" si="2"/>
        <v>Adquisicion PF No_Premier Nómina Especial Apoyo Infonavit Pago_Bajo_Puntual 15 0.104</v>
      </c>
      <c r="C89" s="75" t="s">
        <v>114</v>
      </c>
      <c r="D89" s="75" t="s">
        <v>132</v>
      </c>
      <c r="E89" s="75" t="s">
        <v>179</v>
      </c>
      <c r="F89" s="75" t="s">
        <v>182</v>
      </c>
      <c r="G89" s="75" t="s">
        <v>112</v>
      </c>
      <c r="H89" s="75"/>
      <c r="I89" s="75" t="s">
        <v>170</v>
      </c>
      <c r="J89" s="76">
        <v>15</v>
      </c>
      <c r="K89" s="519">
        <v>3</v>
      </c>
      <c r="L89" s="520">
        <v>10.210000000000001</v>
      </c>
      <c r="M89" s="520">
        <v>10.87</v>
      </c>
      <c r="N89" s="507">
        <v>0.104</v>
      </c>
      <c r="O89" s="507">
        <v>0.10100000000000001</v>
      </c>
      <c r="P89" s="507">
        <v>0.11600000000000001</v>
      </c>
      <c r="Q89" s="78">
        <v>0.44</v>
      </c>
      <c r="R89" s="78">
        <v>0.31740000000000002</v>
      </c>
      <c r="S89" s="69">
        <v>2.5000000000000001E-2</v>
      </c>
      <c r="T89" s="69">
        <v>5.0000000000000001E-3</v>
      </c>
      <c r="U89" s="507">
        <v>0.95</v>
      </c>
      <c r="V89" s="76">
        <v>0</v>
      </c>
      <c r="W89" s="76">
        <v>0</v>
      </c>
      <c r="X89" s="76"/>
      <c r="Y89" s="519" t="s">
        <v>469</v>
      </c>
    </row>
    <row r="90" spans="1:25" x14ac:dyDescent="0.25">
      <c r="A90" s="75" t="str">
        <f t="shared" si="3"/>
        <v>Adquisicion PF No_Premier Nómina Especial Apoyo Infonavit Pago_Bajo_Puntual Si 10</v>
      </c>
      <c r="B90" s="75" t="str">
        <f t="shared" si="2"/>
        <v>Adquisicion PF No_Premier Nómina Especial Apoyo Infonavit Pago_Bajo_Puntual Si 10 0.101</v>
      </c>
      <c r="C90" s="75" t="s">
        <v>114</v>
      </c>
      <c r="D90" s="75" t="s">
        <v>132</v>
      </c>
      <c r="E90" s="75" t="s">
        <v>179</v>
      </c>
      <c r="F90" s="75" t="s">
        <v>182</v>
      </c>
      <c r="G90" s="75" t="s">
        <v>112</v>
      </c>
      <c r="H90" s="75"/>
      <c r="I90" s="75" t="s">
        <v>170</v>
      </c>
      <c r="J90" s="76">
        <v>10</v>
      </c>
      <c r="K90" s="519" t="s">
        <v>387</v>
      </c>
      <c r="L90" s="520">
        <v>12.51</v>
      </c>
      <c r="M90" s="520">
        <v>13.17</v>
      </c>
      <c r="N90" s="507">
        <v>0.10100000000000001</v>
      </c>
      <c r="O90" s="507">
        <v>9.8000000000000004E-2</v>
      </c>
      <c r="P90" s="507">
        <v>0.11</v>
      </c>
      <c r="Q90" s="78">
        <v>0.44</v>
      </c>
      <c r="R90" s="78">
        <v>0.31740000000000002</v>
      </c>
      <c r="S90" s="69">
        <v>2.5000000000000001E-2</v>
      </c>
      <c r="T90" s="69">
        <v>5.0000000000000001E-3</v>
      </c>
      <c r="U90" s="507">
        <v>0.95</v>
      </c>
      <c r="V90" s="76">
        <v>0</v>
      </c>
      <c r="W90" s="76">
        <v>0</v>
      </c>
      <c r="X90" s="76" t="s">
        <v>147</v>
      </c>
      <c r="Y90" s="519" t="s">
        <v>469</v>
      </c>
    </row>
    <row r="91" spans="1:25" x14ac:dyDescent="0.25">
      <c r="A91" s="75" t="str">
        <f t="shared" si="3"/>
        <v>Adquisicion PF No_Premier Nómina Especial Apoyo Infonavit Pago_Bajo_Puntual 10</v>
      </c>
      <c r="B91" s="75" t="str">
        <f t="shared" si="2"/>
        <v>Adquisicion PF No_Premier Nómina Especial Apoyo Infonavit Pago_Bajo_Puntual 10 0.104</v>
      </c>
      <c r="C91" s="75" t="s">
        <v>114</v>
      </c>
      <c r="D91" s="75" t="s">
        <v>132</v>
      </c>
      <c r="E91" s="75" t="s">
        <v>179</v>
      </c>
      <c r="F91" s="75" t="s">
        <v>182</v>
      </c>
      <c r="G91" s="75" t="s">
        <v>112</v>
      </c>
      <c r="H91" s="75"/>
      <c r="I91" s="75" t="s">
        <v>170</v>
      </c>
      <c r="J91" s="76">
        <v>10</v>
      </c>
      <c r="K91" s="519">
        <v>3</v>
      </c>
      <c r="L91" s="520">
        <v>12.68</v>
      </c>
      <c r="M91" s="520">
        <v>13.34</v>
      </c>
      <c r="N91" s="507">
        <v>0.104</v>
      </c>
      <c r="O91" s="507">
        <v>0.10100000000000001</v>
      </c>
      <c r="P91" s="507">
        <v>0.11600000000000001</v>
      </c>
      <c r="Q91" s="78">
        <v>0.44</v>
      </c>
      <c r="R91" s="78">
        <v>0.31740000000000002</v>
      </c>
      <c r="S91" s="69">
        <v>2.5000000000000001E-2</v>
      </c>
      <c r="T91" s="69">
        <v>5.0000000000000001E-3</v>
      </c>
      <c r="U91" s="507">
        <v>0.95</v>
      </c>
      <c r="V91" s="76">
        <v>0</v>
      </c>
      <c r="W91" s="76">
        <v>0</v>
      </c>
      <c r="X91" s="76"/>
      <c r="Y91" s="519" t="s">
        <v>469</v>
      </c>
    </row>
    <row r="92" spans="1:25" x14ac:dyDescent="0.25">
      <c r="A92" s="75" t="str">
        <f t="shared" si="3"/>
        <v>Adquisicion PF No_Premier Nómina Especial Apoyo Infonavit Pago_Bajo_Puntual Si 5</v>
      </c>
      <c r="B92" s="75" t="str">
        <f t="shared" si="2"/>
        <v>Adquisicion PF No_Premier Nómina Especial Apoyo Infonavit Pago_Bajo_Puntual Si 5 0.101</v>
      </c>
      <c r="C92" s="75" t="s">
        <v>114</v>
      </c>
      <c r="D92" s="75" t="s">
        <v>132</v>
      </c>
      <c r="E92" s="75" t="s">
        <v>179</v>
      </c>
      <c r="F92" s="75" t="s">
        <v>182</v>
      </c>
      <c r="G92" s="75" t="s">
        <v>112</v>
      </c>
      <c r="H92" s="75"/>
      <c r="I92" s="75" t="s">
        <v>170</v>
      </c>
      <c r="J92" s="76">
        <v>5</v>
      </c>
      <c r="K92" s="519" t="s">
        <v>387</v>
      </c>
      <c r="L92" s="520">
        <v>20.62</v>
      </c>
      <c r="M92" s="520">
        <v>21.28</v>
      </c>
      <c r="N92" s="507">
        <v>0.10100000000000001</v>
      </c>
      <c r="O92" s="507">
        <v>9.8000000000000004E-2</v>
      </c>
      <c r="P92" s="507">
        <v>0.11</v>
      </c>
      <c r="Q92" s="78">
        <v>0.44</v>
      </c>
      <c r="R92" s="78">
        <v>0.31740000000000002</v>
      </c>
      <c r="S92" s="69">
        <v>2.5000000000000001E-2</v>
      </c>
      <c r="T92" s="69">
        <v>5.0000000000000001E-3</v>
      </c>
      <c r="U92" s="507">
        <v>0.95</v>
      </c>
      <c r="V92" s="76">
        <v>0</v>
      </c>
      <c r="W92" s="76">
        <v>0</v>
      </c>
      <c r="X92" s="76" t="s">
        <v>147</v>
      </c>
      <c r="Y92" s="519" t="s">
        <v>469</v>
      </c>
    </row>
    <row r="93" spans="1:25" x14ac:dyDescent="0.25">
      <c r="A93" s="75" t="str">
        <f t="shared" si="3"/>
        <v>Adquisicion PF No_Premier Nómina Especial Apoyo Infonavit Pago_Bajo_Puntual 5</v>
      </c>
      <c r="B93" s="75" t="str">
        <f t="shared" si="2"/>
        <v>Adquisicion PF No_Premier Nómina Especial Apoyo Infonavit Pago_Bajo_Puntual 5 0.104</v>
      </c>
      <c r="C93" s="75" t="s">
        <v>114</v>
      </c>
      <c r="D93" s="75" t="s">
        <v>132</v>
      </c>
      <c r="E93" s="75" t="s">
        <v>179</v>
      </c>
      <c r="F93" s="75" t="s">
        <v>182</v>
      </c>
      <c r="G93" s="75" t="s">
        <v>112</v>
      </c>
      <c r="H93" s="75"/>
      <c r="I93" s="75" t="s">
        <v>170</v>
      </c>
      <c r="J93" s="76">
        <v>5</v>
      </c>
      <c r="K93" s="519">
        <v>3</v>
      </c>
      <c r="L93" s="520">
        <v>20.77</v>
      </c>
      <c r="M93" s="520">
        <v>21.43</v>
      </c>
      <c r="N93" s="507">
        <v>0.104</v>
      </c>
      <c r="O93" s="507">
        <v>0.10100000000000001</v>
      </c>
      <c r="P93" s="507">
        <v>0.11600000000000001</v>
      </c>
      <c r="Q93" s="78">
        <v>0.44</v>
      </c>
      <c r="R93" s="78">
        <v>0.31740000000000002</v>
      </c>
      <c r="S93" s="69">
        <v>2.5000000000000001E-2</v>
      </c>
      <c r="T93" s="69">
        <v>5.0000000000000001E-3</v>
      </c>
      <c r="U93" s="507">
        <v>0.95</v>
      </c>
      <c r="V93" s="76">
        <v>0</v>
      </c>
      <c r="W93" s="76">
        <v>0</v>
      </c>
      <c r="X93" s="76"/>
      <c r="Y93" s="519" t="s">
        <v>469</v>
      </c>
    </row>
    <row r="94" spans="1:25" x14ac:dyDescent="0.25">
      <c r="A94" s="75" t="str">
        <f t="shared" si="3"/>
        <v>Adquisicion PF No_Premier Nómina Especial Cofinavit Pago_Fijo_Puntual Si 25</v>
      </c>
      <c r="B94" s="75" t="str">
        <f t="shared" si="2"/>
        <v>Adquisicion PF No_Premier Nómina Especial Cofinavit Pago_Fijo_Puntual Si 25 0.101</v>
      </c>
      <c r="C94" s="75" t="s">
        <v>114</v>
      </c>
      <c r="D94" s="75" t="s">
        <v>132</v>
      </c>
      <c r="E94" s="75" t="s">
        <v>179</v>
      </c>
      <c r="F94" s="75" t="s">
        <v>182</v>
      </c>
      <c r="G94" s="75" t="s">
        <v>113</v>
      </c>
      <c r="H94" s="75"/>
      <c r="I94" s="75" t="s">
        <v>171</v>
      </c>
      <c r="J94" s="76">
        <v>25</v>
      </c>
      <c r="K94" s="519" t="s">
        <v>387</v>
      </c>
      <c r="L94" s="520">
        <v>9.51</v>
      </c>
      <c r="M94" s="520">
        <v>10.17</v>
      </c>
      <c r="N94" s="507">
        <v>0.10100000000000001</v>
      </c>
      <c r="O94" s="507">
        <v>9.8000000000000004E-2</v>
      </c>
      <c r="P94" s="507">
        <v>0.11</v>
      </c>
      <c r="Q94" s="78">
        <v>0.44</v>
      </c>
      <c r="R94" s="78">
        <v>0.31740000000000002</v>
      </c>
      <c r="S94" s="69">
        <v>2.5000000000000001E-2</v>
      </c>
      <c r="T94" s="69">
        <v>5.0000000000000001E-3</v>
      </c>
      <c r="U94" s="507">
        <v>0.95</v>
      </c>
      <c r="V94" s="76">
        <v>0</v>
      </c>
      <c r="W94" s="76">
        <v>0</v>
      </c>
      <c r="X94" s="76" t="s">
        <v>147</v>
      </c>
      <c r="Y94" s="519" t="s">
        <v>469</v>
      </c>
    </row>
    <row r="95" spans="1:25" x14ac:dyDescent="0.25">
      <c r="A95" s="75" t="str">
        <f t="shared" si="3"/>
        <v>Adquisicion PF No_Premier Nómina Especial Cofinavit Pago_Fijo_Puntual 25</v>
      </c>
      <c r="B95" s="75" t="str">
        <f t="shared" si="2"/>
        <v>Adquisicion PF No_Premier Nómina Especial Cofinavit Pago_Fijo_Puntual 25 0.104</v>
      </c>
      <c r="C95" s="75" t="s">
        <v>114</v>
      </c>
      <c r="D95" s="75" t="s">
        <v>132</v>
      </c>
      <c r="E95" s="75" t="s">
        <v>179</v>
      </c>
      <c r="F95" s="75" t="s">
        <v>182</v>
      </c>
      <c r="G95" s="75" t="s">
        <v>113</v>
      </c>
      <c r="H95" s="75"/>
      <c r="I95" s="75" t="s">
        <v>171</v>
      </c>
      <c r="J95" s="76">
        <v>25</v>
      </c>
      <c r="K95" s="519">
        <v>3</v>
      </c>
      <c r="L95" s="520">
        <v>9.7799999999999994</v>
      </c>
      <c r="M95" s="520">
        <v>10.44</v>
      </c>
      <c r="N95" s="507">
        <v>0.104</v>
      </c>
      <c r="O95" s="507">
        <v>0.10100000000000001</v>
      </c>
      <c r="P95" s="507">
        <v>0.11600000000000001</v>
      </c>
      <c r="Q95" s="78">
        <v>0.44</v>
      </c>
      <c r="R95" s="78">
        <v>0.31740000000000002</v>
      </c>
      <c r="S95" s="69">
        <v>2.5000000000000001E-2</v>
      </c>
      <c r="T95" s="69">
        <v>5.0000000000000001E-3</v>
      </c>
      <c r="U95" s="507">
        <v>0.95</v>
      </c>
      <c r="V95" s="76">
        <v>0</v>
      </c>
      <c r="W95" s="76">
        <v>0</v>
      </c>
      <c r="X95" s="76"/>
      <c r="Y95" s="519" t="s">
        <v>469</v>
      </c>
    </row>
    <row r="96" spans="1:25" x14ac:dyDescent="0.25">
      <c r="A96" s="75" t="str">
        <f t="shared" si="3"/>
        <v>Adquisicion PF No_Premier Nómina Especial Cofinavit Pago_Fijo_Puntual Si 20</v>
      </c>
      <c r="B96" s="75" t="str">
        <f t="shared" si="2"/>
        <v>Adquisicion PF No_Premier Nómina Especial Cofinavit Pago_Fijo_Puntual Si 20 0.101</v>
      </c>
      <c r="C96" s="75" t="s">
        <v>114</v>
      </c>
      <c r="D96" s="75" t="s">
        <v>132</v>
      </c>
      <c r="E96" s="75" t="s">
        <v>179</v>
      </c>
      <c r="F96" s="75" t="s">
        <v>182</v>
      </c>
      <c r="G96" s="75" t="s">
        <v>113</v>
      </c>
      <c r="H96" s="75"/>
      <c r="I96" s="75" t="s">
        <v>171</v>
      </c>
      <c r="J96" s="76">
        <v>20</v>
      </c>
      <c r="K96" s="519" t="s">
        <v>387</v>
      </c>
      <c r="L96" s="520">
        <v>10.02</v>
      </c>
      <c r="M96" s="520">
        <v>10.68</v>
      </c>
      <c r="N96" s="507">
        <v>0.10100000000000001</v>
      </c>
      <c r="O96" s="507">
        <v>9.8000000000000004E-2</v>
      </c>
      <c r="P96" s="507">
        <v>0.11</v>
      </c>
      <c r="Q96" s="78">
        <v>0.44</v>
      </c>
      <c r="R96" s="78">
        <v>0.31740000000000002</v>
      </c>
      <c r="S96" s="69">
        <v>2.5000000000000001E-2</v>
      </c>
      <c r="T96" s="69">
        <v>5.0000000000000001E-3</v>
      </c>
      <c r="U96" s="507">
        <v>0.95</v>
      </c>
      <c r="V96" s="76">
        <v>0</v>
      </c>
      <c r="W96" s="76">
        <v>0</v>
      </c>
      <c r="X96" s="76" t="s">
        <v>147</v>
      </c>
      <c r="Y96" s="519" t="s">
        <v>469</v>
      </c>
    </row>
    <row r="97" spans="1:25" x14ac:dyDescent="0.25">
      <c r="A97" s="75" t="str">
        <f t="shared" si="3"/>
        <v>Adquisicion PF No_Premier Nómina Especial Cofinavit Pago_Fijo_Puntual 20</v>
      </c>
      <c r="B97" s="75" t="str">
        <f t="shared" si="2"/>
        <v>Adquisicion PF No_Premier Nómina Especial Cofinavit Pago_Fijo_Puntual 20 0.104</v>
      </c>
      <c r="C97" s="75" t="s">
        <v>114</v>
      </c>
      <c r="D97" s="75" t="s">
        <v>132</v>
      </c>
      <c r="E97" s="75" t="s">
        <v>179</v>
      </c>
      <c r="F97" s="75" t="s">
        <v>182</v>
      </c>
      <c r="G97" s="75" t="s">
        <v>113</v>
      </c>
      <c r="H97" s="75"/>
      <c r="I97" s="75" t="s">
        <v>171</v>
      </c>
      <c r="J97" s="76">
        <v>20</v>
      </c>
      <c r="K97" s="519">
        <v>3</v>
      </c>
      <c r="L97" s="520">
        <v>10.27</v>
      </c>
      <c r="M97" s="520">
        <v>10.93</v>
      </c>
      <c r="N97" s="507">
        <v>0.104</v>
      </c>
      <c r="O97" s="507">
        <v>0.10100000000000001</v>
      </c>
      <c r="P97" s="507">
        <v>0.11600000000000001</v>
      </c>
      <c r="Q97" s="78">
        <v>0.44</v>
      </c>
      <c r="R97" s="78">
        <v>0.31740000000000002</v>
      </c>
      <c r="S97" s="69">
        <v>2.5000000000000001E-2</v>
      </c>
      <c r="T97" s="69">
        <v>5.0000000000000001E-3</v>
      </c>
      <c r="U97" s="507">
        <v>0.95</v>
      </c>
      <c r="V97" s="76">
        <v>0</v>
      </c>
      <c r="W97" s="76">
        <v>0</v>
      </c>
      <c r="X97" s="76"/>
      <c r="Y97" s="519" t="s">
        <v>469</v>
      </c>
    </row>
    <row r="98" spans="1:25" x14ac:dyDescent="0.25">
      <c r="A98" s="75" t="str">
        <f t="shared" si="3"/>
        <v>Adquisicion PF No_Premier Nómina Especial Cofinavit Pago_Fijo_Puntual Si 15</v>
      </c>
      <c r="B98" s="75" t="str">
        <f t="shared" si="2"/>
        <v>Adquisicion PF No_Premier Nómina Especial Cofinavit Pago_Fijo_Puntual Si 15 0.101</v>
      </c>
      <c r="C98" s="75" t="s">
        <v>114</v>
      </c>
      <c r="D98" s="75" t="s">
        <v>132</v>
      </c>
      <c r="E98" s="75" t="s">
        <v>179</v>
      </c>
      <c r="F98" s="75" t="s">
        <v>182</v>
      </c>
      <c r="G98" s="75" t="s">
        <v>113</v>
      </c>
      <c r="H98" s="75"/>
      <c r="I98" s="75" t="s">
        <v>171</v>
      </c>
      <c r="J98" s="76">
        <v>15</v>
      </c>
      <c r="K98" s="519" t="s">
        <v>387</v>
      </c>
      <c r="L98" s="520">
        <v>11.05</v>
      </c>
      <c r="M98" s="520">
        <v>11.71</v>
      </c>
      <c r="N98" s="507">
        <v>0.10100000000000001</v>
      </c>
      <c r="O98" s="507">
        <v>9.8000000000000004E-2</v>
      </c>
      <c r="P98" s="507">
        <v>0.11</v>
      </c>
      <c r="Q98" s="78">
        <v>0.44</v>
      </c>
      <c r="R98" s="78">
        <v>0.31740000000000002</v>
      </c>
      <c r="S98" s="69">
        <v>2.5000000000000001E-2</v>
      </c>
      <c r="T98" s="69">
        <v>5.0000000000000001E-3</v>
      </c>
      <c r="U98" s="507">
        <v>0.95</v>
      </c>
      <c r="V98" s="76">
        <v>0</v>
      </c>
      <c r="W98" s="76">
        <v>0</v>
      </c>
      <c r="X98" s="76" t="s">
        <v>147</v>
      </c>
      <c r="Y98" s="519" t="s">
        <v>469</v>
      </c>
    </row>
    <row r="99" spans="1:25" x14ac:dyDescent="0.25">
      <c r="A99" s="75" t="str">
        <f t="shared" si="3"/>
        <v>Adquisicion PF No_Premier Nómina Especial Cofinavit Pago_Fijo_Puntual 15</v>
      </c>
      <c r="B99" s="75" t="str">
        <f t="shared" si="2"/>
        <v>Adquisicion PF No_Premier Nómina Especial Cofinavit Pago_Fijo_Puntual 15 0.104</v>
      </c>
      <c r="C99" s="75" t="s">
        <v>114</v>
      </c>
      <c r="D99" s="75" t="s">
        <v>132</v>
      </c>
      <c r="E99" s="75" t="s">
        <v>179</v>
      </c>
      <c r="F99" s="75" t="s">
        <v>182</v>
      </c>
      <c r="G99" s="75" t="s">
        <v>113</v>
      </c>
      <c r="H99" s="75"/>
      <c r="I99" s="75" t="s">
        <v>171</v>
      </c>
      <c r="J99" s="76">
        <v>15</v>
      </c>
      <c r="K99" s="519">
        <v>3</v>
      </c>
      <c r="L99" s="520">
        <v>11.26</v>
      </c>
      <c r="M99" s="520">
        <v>11.92</v>
      </c>
      <c r="N99" s="507">
        <v>0.104</v>
      </c>
      <c r="O99" s="507">
        <v>0.10100000000000001</v>
      </c>
      <c r="P99" s="507">
        <v>0.11600000000000001</v>
      </c>
      <c r="Q99" s="78">
        <v>0.44</v>
      </c>
      <c r="R99" s="78">
        <v>0.31740000000000002</v>
      </c>
      <c r="S99" s="69">
        <v>2.5000000000000001E-2</v>
      </c>
      <c r="T99" s="69">
        <v>5.0000000000000001E-3</v>
      </c>
      <c r="U99" s="507">
        <v>0.95</v>
      </c>
      <c r="V99" s="76">
        <v>0</v>
      </c>
      <c r="W99" s="76">
        <v>0</v>
      </c>
      <c r="X99" s="76"/>
      <c r="Y99" s="519" t="s">
        <v>469</v>
      </c>
    </row>
    <row r="100" spans="1:25" x14ac:dyDescent="0.25">
      <c r="A100" s="75" t="str">
        <f t="shared" si="3"/>
        <v>Adquisicion PF No_Premier Nómina Especial Cofinavit Pago_Fijo_Puntual Si 10</v>
      </c>
      <c r="B100" s="75" t="str">
        <f t="shared" si="2"/>
        <v>Adquisicion PF No_Premier Nómina Especial Cofinavit Pago_Fijo_Puntual Si 10 0.101</v>
      </c>
      <c r="C100" s="75" t="s">
        <v>114</v>
      </c>
      <c r="D100" s="75" t="s">
        <v>132</v>
      </c>
      <c r="E100" s="75" t="s">
        <v>179</v>
      </c>
      <c r="F100" s="75" t="s">
        <v>182</v>
      </c>
      <c r="G100" s="75" t="s">
        <v>113</v>
      </c>
      <c r="H100" s="75"/>
      <c r="I100" s="75" t="s">
        <v>171</v>
      </c>
      <c r="J100" s="76">
        <v>10</v>
      </c>
      <c r="K100" s="519" t="s">
        <v>387</v>
      </c>
      <c r="L100" s="520">
        <v>13.42</v>
      </c>
      <c r="M100" s="520">
        <v>14.08</v>
      </c>
      <c r="N100" s="507">
        <v>0.10100000000000001</v>
      </c>
      <c r="O100" s="507">
        <v>9.8000000000000004E-2</v>
      </c>
      <c r="P100" s="507">
        <v>0.11</v>
      </c>
      <c r="Q100" s="78">
        <v>0.44</v>
      </c>
      <c r="R100" s="78">
        <v>0.31740000000000002</v>
      </c>
      <c r="S100" s="69">
        <v>2.5000000000000001E-2</v>
      </c>
      <c r="T100" s="69">
        <v>5.0000000000000001E-3</v>
      </c>
      <c r="U100" s="507">
        <v>0.95</v>
      </c>
      <c r="V100" s="76">
        <v>0</v>
      </c>
      <c r="W100" s="76">
        <v>0</v>
      </c>
      <c r="X100" s="76" t="s">
        <v>147</v>
      </c>
      <c r="Y100" s="519" t="s">
        <v>469</v>
      </c>
    </row>
    <row r="101" spans="1:25" x14ac:dyDescent="0.25">
      <c r="A101" s="75" t="str">
        <f t="shared" si="3"/>
        <v>Adquisicion PF No_Premier Nómina Especial Cofinavit Pago_Fijo_Puntual 10</v>
      </c>
      <c r="B101" s="75" t="str">
        <f t="shared" si="2"/>
        <v>Adquisicion PF No_Premier Nómina Especial Cofinavit Pago_Fijo_Puntual 10 0.104</v>
      </c>
      <c r="C101" s="75" t="s">
        <v>114</v>
      </c>
      <c r="D101" s="75" t="s">
        <v>132</v>
      </c>
      <c r="E101" s="75" t="s">
        <v>179</v>
      </c>
      <c r="F101" s="75" t="s">
        <v>182</v>
      </c>
      <c r="G101" s="75" t="s">
        <v>113</v>
      </c>
      <c r="H101" s="75"/>
      <c r="I101" s="75" t="s">
        <v>171</v>
      </c>
      <c r="J101" s="76">
        <v>10</v>
      </c>
      <c r="K101" s="519">
        <v>3</v>
      </c>
      <c r="L101" s="520">
        <v>13.59</v>
      </c>
      <c r="M101" s="520">
        <v>14.25</v>
      </c>
      <c r="N101" s="507">
        <v>0.104</v>
      </c>
      <c r="O101" s="507">
        <v>0.10100000000000001</v>
      </c>
      <c r="P101" s="507">
        <v>0.11600000000000001</v>
      </c>
      <c r="Q101" s="78">
        <v>0.44</v>
      </c>
      <c r="R101" s="78">
        <v>0.31740000000000002</v>
      </c>
      <c r="S101" s="69">
        <v>2.5000000000000001E-2</v>
      </c>
      <c r="T101" s="69">
        <v>5.0000000000000001E-3</v>
      </c>
      <c r="U101" s="507">
        <v>0.95</v>
      </c>
      <c r="V101" s="76">
        <v>0</v>
      </c>
      <c r="W101" s="76">
        <v>0</v>
      </c>
      <c r="X101" s="76"/>
      <c r="Y101" s="519" t="s">
        <v>469</v>
      </c>
    </row>
    <row r="102" spans="1:25" x14ac:dyDescent="0.25">
      <c r="A102" s="75" t="str">
        <f t="shared" si="3"/>
        <v>Adquisicion PF No_Premier Nómina Especial Cofinavit Pago_Fijo_Puntual Si 5</v>
      </c>
      <c r="B102" s="75" t="str">
        <f t="shared" si="2"/>
        <v>Adquisicion PF No_Premier Nómina Especial Cofinavit Pago_Fijo_Puntual Si 5 0.101</v>
      </c>
      <c r="C102" s="75" t="s">
        <v>114</v>
      </c>
      <c r="D102" s="75" t="s">
        <v>132</v>
      </c>
      <c r="E102" s="75" t="s">
        <v>179</v>
      </c>
      <c r="F102" s="75" t="s">
        <v>182</v>
      </c>
      <c r="G102" s="75" t="s">
        <v>113</v>
      </c>
      <c r="H102" s="75"/>
      <c r="I102" s="75" t="s">
        <v>171</v>
      </c>
      <c r="J102" s="76">
        <v>5</v>
      </c>
      <c r="K102" s="519" t="s">
        <v>387</v>
      </c>
      <c r="L102" s="520">
        <v>21.34</v>
      </c>
      <c r="M102" s="520">
        <v>22</v>
      </c>
      <c r="N102" s="507">
        <v>0.10100000000000001</v>
      </c>
      <c r="O102" s="507">
        <v>9.8000000000000004E-2</v>
      </c>
      <c r="P102" s="507">
        <v>0.11</v>
      </c>
      <c r="Q102" s="78">
        <v>0.44</v>
      </c>
      <c r="R102" s="78">
        <v>0.31740000000000002</v>
      </c>
      <c r="S102" s="69">
        <v>2.5000000000000001E-2</v>
      </c>
      <c r="T102" s="69">
        <v>5.0000000000000001E-3</v>
      </c>
      <c r="U102" s="507">
        <v>0.95</v>
      </c>
      <c r="V102" s="76">
        <v>0</v>
      </c>
      <c r="W102" s="76">
        <v>0</v>
      </c>
      <c r="X102" s="76" t="s">
        <v>147</v>
      </c>
      <c r="Y102" s="519" t="s">
        <v>469</v>
      </c>
    </row>
    <row r="103" spans="1:25" x14ac:dyDescent="0.25">
      <c r="A103" s="75" t="str">
        <f t="shared" si="3"/>
        <v>Adquisicion PF No_Premier Nómina Especial Cofinavit Pago_Fijo_Puntual 5</v>
      </c>
      <c r="B103" s="75" t="str">
        <f t="shared" si="2"/>
        <v>Adquisicion PF No_Premier Nómina Especial Cofinavit Pago_Fijo_Puntual 5 0.104</v>
      </c>
      <c r="C103" s="75" t="s">
        <v>114</v>
      </c>
      <c r="D103" s="75" t="s">
        <v>132</v>
      </c>
      <c r="E103" s="75" t="s">
        <v>179</v>
      </c>
      <c r="F103" s="75" t="s">
        <v>182</v>
      </c>
      <c r="G103" s="75" t="s">
        <v>113</v>
      </c>
      <c r="H103" s="75"/>
      <c r="I103" s="75" t="s">
        <v>171</v>
      </c>
      <c r="J103" s="76">
        <v>5</v>
      </c>
      <c r="K103" s="519">
        <v>3</v>
      </c>
      <c r="L103" s="520">
        <v>21.49</v>
      </c>
      <c r="M103" s="520">
        <v>22.15</v>
      </c>
      <c r="N103" s="507">
        <v>0.104</v>
      </c>
      <c r="O103" s="507">
        <v>0.10100000000000001</v>
      </c>
      <c r="P103" s="507">
        <v>0.11600000000000001</v>
      </c>
      <c r="Q103" s="78">
        <v>0.44</v>
      </c>
      <c r="R103" s="78">
        <v>0.31740000000000002</v>
      </c>
      <c r="S103" s="69">
        <v>2.5000000000000001E-2</v>
      </c>
      <c r="T103" s="69">
        <v>5.0000000000000001E-3</v>
      </c>
      <c r="U103" s="507">
        <v>0.95</v>
      </c>
      <c r="V103" s="76">
        <v>0</v>
      </c>
      <c r="W103" s="76">
        <v>0</v>
      </c>
      <c r="X103" s="76"/>
      <c r="Y103" s="519" t="s">
        <v>469</v>
      </c>
    </row>
    <row r="104" spans="1:25" x14ac:dyDescent="0.25">
      <c r="A104" s="75" t="str">
        <f t="shared" si="3"/>
        <v>Adquisicion PF No_Premier Nómina Especial Cofinavit Pago_Bajo_Puntual Si 25</v>
      </c>
      <c r="B104" s="75" t="str">
        <f t="shared" si="2"/>
        <v>Adquisicion PF No_Premier Nómina Especial Cofinavit Pago_Bajo_Puntual Si 25 0.101</v>
      </c>
      <c r="C104" s="75" t="s">
        <v>114</v>
      </c>
      <c r="D104" s="75" t="s">
        <v>132</v>
      </c>
      <c r="E104" s="75" t="s">
        <v>179</v>
      </c>
      <c r="F104" s="75" t="s">
        <v>182</v>
      </c>
      <c r="G104" s="75" t="s">
        <v>113</v>
      </c>
      <c r="H104" s="75"/>
      <c r="I104" s="75" t="s">
        <v>170</v>
      </c>
      <c r="J104" s="523">
        <v>25</v>
      </c>
      <c r="K104" s="519" t="s">
        <v>387</v>
      </c>
      <c r="L104" s="520">
        <v>8.4700000000000006</v>
      </c>
      <c r="M104" s="520">
        <v>9.1300000000000008</v>
      </c>
      <c r="N104" s="507">
        <v>0.10100000000000001</v>
      </c>
      <c r="O104" s="507">
        <v>9.8000000000000004E-2</v>
      </c>
      <c r="P104" s="507">
        <v>0.11</v>
      </c>
      <c r="Q104" s="78">
        <v>0.44</v>
      </c>
      <c r="R104" s="78">
        <v>0.31740000000000002</v>
      </c>
      <c r="S104" s="69">
        <v>2.5000000000000001E-2</v>
      </c>
      <c r="T104" s="69">
        <v>5.0000000000000001E-3</v>
      </c>
      <c r="U104" s="507">
        <v>0.95</v>
      </c>
      <c r="V104" s="76">
        <v>0</v>
      </c>
      <c r="W104" s="76">
        <v>0</v>
      </c>
      <c r="X104" s="76" t="s">
        <v>147</v>
      </c>
      <c r="Y104" s="519" t="s">
        <v>469</v>
      </c>
    </row>
    <row r="105" spans="1:25" x14ac:dyDescent="0.25">
      <c r="A105" s="75" t="str">
        <f t="shared" si="3"/>
        <v>Adquisicion PF No_Premier Nómina Especial Cofinavit Pago_Bajo_Puntual 25</v>
      </c>
      <c r="B105" s="75" t="str">
        <f t="shared" si="2"/>
        <v>Adquisicion PF No_Premier Nómina Especial Cofinavit Pago_Bajo_Puntual 25 0.104</v>
      </c>
      <c r="C105" s="75" t="s">
        <v>114</v>
      </c>
      <c r="D105" s="75" t="s">
        <v>132</v>
      </c>
      <c r="E105" s="75" t="s">
        <v>179</v>
      </c>
      <c r="F105" s="75" t="s">
        <v>182</v>
      </c>
      <c r="G105" s="75" t="s">
        <v>113</v>
      </c>
      <c r="H105" s="75"/>
      <c r="I105" s="75" t="s">
        <v>170</v>
      </c>
      <c r="J105" s="523">
        <v>25</v>
      </c>
      <c r="K105" s="519">
        <v>3</v>
      </c>
      <c r="L105" s="520">
        <v>8.7200000000000006</v>
      </c>
      <c r="M105" s="520">
        <v>9.3800000000000008</v>
      </c>
      <c r="N105" s="507">
        <v>0.104</v>
      </c>
      <c r="O105" s="507">
        <v>0.10100000000000001</v>
      </c>
      <c r="P105" s="507">
        <v>0.11600000000000001</v>
      </c>
      <c r="Q105" s="78">
        <v>0.44</v>
      </c>
      <c r="R105" s="78">
        <v>0.31740000000000002</v>
      </c>
      <c r="S105" s="69">
        <v>2.5000000000000001E-2</v>
      </c>
      <c r="T105" s="69">
        <v>5.0000000000000001E-3</v>
      </c>
      <c r="U105" s="507">
        <v>0.95</v>
      </c>
      <c r="V105" s="76">
        <v>0</v>
      </c>
      <c r="W105" s="76">
        <v>0</v>
      </c>
      <c r="X105" s="76"/>
      <c r="Y105" s="519" t="s">
        <v>469</v>
      </c>
    </row>
    <row r="106" spans="1:25" x14ac:dyDescent="0.25">
      <c r="A106" s="75" t="str">
        <f t="shared" si="3"/>
        <v>Adquisicion PF No_Premier Nómina Especial Cofinavit Pago_Bajo_Puntual Si 20</v>
      </c>
      <c r="B106" s="75" t="str">
        <f t="shared" si="2"/>
        <v>Adquisicion PF No_Premier Nómina Especial Cofinavit Pago_Bajo_Puntual Si 20 0.101</v>
      </c>
      <c r="C106" s="75" t="s">
        <v>114</v>
      </c>
      <c r="D106" s="75" t="s">
        <v>132</v>
      </c>
      <c r="E106" s="75" t="s">
        <v>179</v>
      </c>
      <c r="F106" s="75" t="s">
        <v>182</v>
      </c>
      <c r="G106" s="75" t="s">
        <v>113</v>
      </c>
      <c r="H106" s="75"/>
      <c r="I106" s="75" t="s">
        <v>170</v>
      </c>
      <c r="J106" s="76">
        <v>20</v>
      </c>
      <c r="K106" s="519" t="s">
        <v>387</v>
      </c>
      <c r="L106" s="520">
        <v>8.8800000000000008</v>
      </c>
      <c r="M106" s="520">
        <v>9.5399999999999991</v>
      </c>
      <c r="N106" s="507">
        <v>0.10100000000000001</v>
      </c>
      <c r="O106" s="507">
        <v>9.8000000000000004E-2</v>
      </c>
      <c r="P106" s="507">
        <v>0.11</v>
      </c>
      <c r="Q106" s="78">
        <v>0.44</v>
      </c>
      <c r="R106" s="78">
        <v>0.31740000000000002</v>
      </c>
      <c r="S106" s="69">
        <v>2.5000000000000001E-2</v>
      </c>
      <c r="T106" s="69">
        <v>5.0000000000000001E-3</v>
      </c>
      <c r="U106" s="507">
        <v>0.95</v>
      </c>
      <c r="V106" s="76">
        <v>0</v>
      </c>
      <c r="W106" s="76">
        <v>0</v>
      </c>
      <c r="X106" s="76" t="s">
        <v>147</v>
      </c>
      <c r="Y106" s="519" t="s">
        <v>469</v>
      </c>
    </row>
    <row r="107" spans="1:25" x14ac:dyDescent="0.25">
      <c r="A107" s="75" t="str">
        <f t="shared" si="3"/>
        <v>Adquisicion PF No_Premier Nómina Especial Cofinavit Pago_Bajo_Puntual 20</v>
      </c>
      <c r="B107" s="75" t="str">
        <f t="shared" si="2"/>
        <v>Adquisicion PF No_Premier Nómina Especial Cofinavit Pago_Bajo_Puntual 20 0.104</v>
      </c>
      <c r="C107" s="75" t="s">
        <v>114</v>
      </c>
      <c r="D107" s="75" t="s">
        <v>132</v>
      </c>
      <c r="E107" s="75" t="s">
        <v>179</v>
      </c>
      <c r="F107" s="75" t="s">
        <v>182</v>
      </c>
      <c r="G107" s="75" t="s">
        <v>113</v>
      </c>
      <c r="H107" s="75"/>
      <c r="I107" s="75" t="s">
        <v>170</v>
      </c>
      <c r="J107" s="76">
        <v>20</v>
      </c>
      <c r="K107" s="519">
        <v>3</v>
      </c>
      <c r="L107" s="520">
        <v>9.1199999999999992</v>
      </c>
      <c r="M107" s="520">
        <v>9.7799999999999994</v>
      </c>
      <c r="N107" s="507">
        <v>0.104</v>
      </c>
      <c r="O107" s="507">
        <v>0.10100000000000001</v>
      </c>
      <c r="P107" s="507">
        <v>0.11600000000000001</v>
      </c>
      <c r="Q107" s="78">
        <v>0.44</v>
      </c>
      <c r="R107" s="78">
        <v>0.31740000000000002</v>
      </c>
      <c r="S107" s="69">
        <v>2.5000000000000001E-2</v>
      </c>
      <c r="T107" s="69">
        <v>5.0000000000000001E-3</v>
      </c>
      <c r="U107" s="507">
        <v>0.95</v>
      </c>
      <c r="V107" s="76">
        <v>0</v>
      </c>
      <c r="W107" s="76">
        <v>0</v>
      </c>
      <c r="X107" s="76"/>
      <c r="Y107" s="519" t="s">
        <v>469</v>
      </c>
    </row>
    <row r="108" spans="1:25" x14ac:dyDescent="0.25">
      <c r="A108" s="75" t="str">
        <f t="shared" si="3"/>
        <v>Adquisicion PF No_Premier Nómina Especial Cofinavit Pago_Bajo_Puntual Si 15</v>
      </c>
      <c r="B108" s="75" t="str">
        <f t="shared" si="2"/>
        <v>Adquisicion PF No_Premier Nómina Especial Cofinavit Pago_Bajo_Puntual Si 15 0.101</v>
      </c>
      <c r="C108" s="75" t="s">
        <v>114</v>
      </c>
      <c r="D108" s="75" t="s">
        <v>132</v>
      </c>
      <c r="E108" s="75" t="s">
        <v>179</v>
      </c>
      <c r="F108" s="75" t="s">
        <v>182</v>
      </c>
      <c r="G108" s="75" t="s">
        <v>113</v>
      </c>
      <c r="H108" s="75"/>
      <c r="I108" s="75" t="s">
        <v>170</v>
      </c>
      <c r="J108" s="76">
        <v>15</v>
      </c>
      <c r="K108" s="519" t="s">
        <v>387</v>
      </c>
      <c r="L108" s="520">
        <v>10.01</v>
      </c>
      <c r="M108" s="520">
        <v>10.67</v>
      </c>
      <c r="N108" s="507">
        <v>0.10100000000000001</v>
      </c>
      <c r="O108" s="507">
        <v>9.8000000000000004E-2</v>
      </c>
      <c r="P108" s="507">
        <v>0.11</v>
      </c>
      <c r="Q108" s="78">
        <v>0.44</v>
      </c>
      <c r="R108" s="78">
        <v>0.31740000000000002</v>
      </c>
      <c r="S108" s="69">
        <v>2.5000000000000001E-2</v>
      </c>
      <c r="T108" s="69">
        <v>5.0000000000000001E-3</v>
      </c>
      <c r="U108" s="507">
        <v>0.95</v>
      </c>
      <c r="V108" s="76">
        <v>0</v>
      </c>
      <c r="W108" s="76">
        <v>0</v>
      </c>
      <c r="X108" s="76" t="s">
        <v>147</v>
      </c>
      <c r="Y108" s="519" t="s">
        <v>469</v>
      </c>
    </row>
    <row r="109" spans="1:25" x14ac:dyDescent="0.25">
      <c r="A109" s="75" t="str">
        <f t="shared" si="3"/>
        <v>Adquisicion PF No_Premier Nómina Especial Cofinavit Pago_Bajo_Puntual 15</v>
      </c>
      <c r="B109" s="75" t="str">
        <f t="shared" si="2"/>
        <v>Adquisicion PF No_Premier Nómina Especial Cofinavit Pago_Bajo_Puntual 15 0.104</v>
      </c>
      <c r="C109" s="75" t="s">
        <v>114</v>
      </c>
      <c r="D109" s="75" t="s">
        <v>132</v>
      </c>
      <c r="E109" s="75" t="s">
        <v>179</v>
      </c>
      <c r="F109" s="75" t="s">
        <v>182</v>
      </c>
      <c r="G109" s="75" t="s">
        <v>113</v>
      </c>
      <c r="H109" s="75"/>
      <c r="I109" s="75" t="s">
        <v>170</v>
      </c>
      <c r="J109" s="76">
        <v>15</v>
      </c>
      <c r="K109" s="519">
        <v>3</v>
      </c>
      <c r="L109" s="520">
        <v>10.210000000000001</v>
      </c>
      <c r="M109" s="520">
        <v>10.87</v>
      </c>
      <c r="N109" s="507">
        <v>0.104</v>
      </c>
      <c r="O109" s="507">
        <v>0.10100000000000001</v>
      </c>
      <c r="P109" s="507">
        <v>0.11600000000000001</v>
      </c>
      <c r="Q109" s="78">
        <v>0.44</v>
      </c>
      <c r="R109" s="78">
        <v>0.31740000000000002</v>
      </c>
      <c r="S109" s="69">
        <v>2.5000000000000001E-2</v>
      </c>
      <c r="T109" s="69">
        <v>5.0000000000000001E-3</v>
      </c>
      <c r="U109" s="507">
        <v>0.95</v>
      </c>
      <c r="V109" s="76">
        <v>0</v>
      </c>
      <c r="W109" s="76">
        <v>0</v>
      </c>
      <c r="X109" s="76"/>
      <c r="Y109" s="519" t="s">
        <v>469</v>
      </c>
    </row>
    <row r="110" spans="1:25" x14ac:dyDescent="0.25">
      <c r="A110" s="75" t="str">
        <f t="shared" si="3"/>
        <v>Adquisicion PF No_Premier Nómina Especial Cofinavit Pago_Bajo_Puntual Si 10</v>
      </c>
      <c r="B110" s="75" t="str">
        <f t="shared" si="2"/>
        <v>Adquisicion PF No_Premier Nómina Especial Cofinavit Pago_Bajo_Puntual Si 10 0.101</v>
      </c>
      <c r="C110" s="75" t="s">
        <v>114</v>
      </c>
      <c r="D110" s="75" t="s">
        <v>132</v>
      </c>
      <c r="E110" s="75" t="s">
        <v>179</v>
      </c>
      <c r="F110" s="75" t="s">
        <v>182</v>
      </c>
      <c r="G110" s="75" t="s">
        <v>113</v>
      </c>
      <c r="H110" s="75"/>
      <c r="I110" s="75" t="s">
        <v>170</v>
      </c>
      <c r="J110" s="76">
        <v>10</v>
      </c>
      <c r="K110" s="519" t="s">
        <v>387</v>
      </c>
      <c r="L110" s="520">
        <v>12.51</v>
      </c>
      <c r="M110" s="520">
        <v>13.17</v>
      </c>
      <c r="N110" s="507">
        <v>0.10100000000000001</v>
      </c>
      <c r="O110" s="507">
        <v>9.8000000000000004E-2</v>
      </c>
      <c r="P110" s="507">
        <v>0.11</v>
      </c>
      <c r="Q110" s="78">
        <v>0.44</v>
      </c>
      <c r="R110" s="78">
        <v>0.31740000000000002</v>
      </c>
      <c r="S110" s="69">
        <v>2.5000000000000001E-2</v>
      </c>
      <c r="T110" s="69">
        <v>5.0000000000000001E-3</v>
      </c>
      <c r="U110" s="507">
        <v>0.95</v>
      </c>
      <c r="V110" s="76">
        <v>0</v>
      </c>
      <c r="W110" s="76">
        <v>0</v>
      </c>
      <c r="X110" s="76" t="s">
        <v>147</v>
      </c>
      <c r="Y110" s="519" t="s">
        <v>469</v>
      </c>
    </row>
    <row r="111" spans="1:25" x14ac:dyDescent="0.25">
      <c r="A111" s="75" t="str">
        <f t="shared" si="3"/>
        <v>Adquisicion PF No_Premier Nómina Especial Cofinavit Pago_Bajo_Puntual 10</v>
      </c>
      <c r="B111" s="75" t="str">
        <f t="shared" si="2"/>
        <v>Adquisicion PF No_Premier Nómina Especial Cofinavit Pago_Bajo_Puntual 10 0.104</v>
      </c>
      <c r="C111" s="75" t="s">
        <v>114</v>
      </c>
      <c r="D111" s="75" t="s">
        <v>132</v>
      </c>
      <c r="E111" s="75" t="s">
        <v>179</v>
      </c>
      <c r="F111" s="75" t="s">
        <v>182</v>
      </c>
      <c r="G111" s="75" t="s">
        <v>113</v>
      </c>
      <c r="H111" s="75"/>
      <c r="I111" s="75" t="s">
        <v>170</v>
      </c>
      <c r="J111" s="76">
        <v>10</v>
      </c>
      <c r="K111" s="519">
        <v>3</v>
      </c>
      <c r="L111" s="520">
        <v>12.68</v>
      </c>
      <c r="M111" s="520">
        <v>13.34</v>
      </c>
      <c r="N111" s="507">
        <v>0.104</v>
      </c>
      <c r="O111" s="507">
        <v>0.10100000000000001</v>
      </c>
      <c r="P111" s="507">
        <v>0.11600000000000001</v>
      </c>
      <c r="Q111" s="78">
        <v>0.44</v>
      </c>
      <c r="R111" s="78">
        <v>0.31740000000000002</v>
      </c>
      <c r="S111" s="69">
        <v>2.5000000000000001E-2</v>
      </c>
      <c r="T111" s="69">
        <v>5.0000000000000001E-3</v>
      </c>
      <c r="U111" s="507">
        <v>0.95</v>
      </c>
      <c r="V111" s="76">
        <v>0</v>
      </c>
      <c r="W111" s="76">
        <v>0</v>
      </c>
      <c r="X111" s="76"/>
      <c r="Y111" s="519" t="s">
        <v>469</v>
      </c>
    </row>
    <row r="112" spans="1:25" x14ac:dyDescent="0.25">
      <c r="A112" s="75" t="str">
        <f t="shared" si="3"/>
        <v>Adquisicion PF No_Premier Nómina Especial Cofinavit Pago_Bajo_Puntual Si 5</v>
      </c>
      <c r="B112" s="75" t="str">
        <f t="shared" si="2"/>
        <v>Adquisicion PF No_Premier Nómina Especial Cofinavit Pago_Bajo_Puntual Si 5 0.101</v>
      </c>
      <c r="C112" s="75" t="s">
        <v>114</v>
      </c>
      <c r="D112" s="75" t="s">
        <v>132</v>
      </c>
      <c r="E112" s="75" t="s">
        <v>179</v>
      </c>
      <c r="F112" s="75" t="s">
        <v>182</v>
      </c>
      <c r="G112" s="75" t="s">
        <v>113</v>
      </c>
      <c r="H112" s="75"/>
      <c r="I112" s="75" t="s">
        <v>170</v>
      </c>
      <c r="J112" s="76">
        <v>5</v>
      </c>
      <c r="K112" s="519" t="s">
        <v>387</v>
      </c>
      <c r="L112" s="520">
        <v>20.62</v>
      </c>
      <c r="M112" s="520">
        <v>21.28</v>
      </c>
      <c r="N112" s="507">
        <v>0.10100000000000001</v>
      </c>
      <c r="O112" s="507">
        <v>9.8000000000000004E-2</v>
      </c>
      <c r="P112" s="507">
        <v>0.11</v>
      </c>
      <c r="Q112" s="78">
        <v>0.44</v>
      </c>
      <c r="R112" s="78">
        <v>0.31740000000000002</v>
      </c>
      <c r="S112" s="69">
        <v>2.5000000000000001E-2</v>
      </c>
      <c r="T112" s="69">
        <v>5.0000000000000001E-3</v>
      </c>
      <c r="U112" s="507">
        <v>0.95</v>
      </c>
      <c r="V112" s="76">
        <v>0</v>
      </c>
      <c r="W112" s="76">
        <v>0</v>
      </c>
      <c r="X112" s="76" t="s">
        <v>147</v>
      </c>
      <c r="Y112" s="519" t="s">
        <v>469</v>
      </c>
    </row>
    <row r="113" spans="1:25" x14ac:dyDescent="0.25">
      <c r="A113" s="75" t="str">
        <f t="shared" si="3"/>
        <v>Adquisicion PF No_Premier Nómina Especial Cofinavit Pago_Bajo_Puntual 5</v>
      </c>
      <c r="B113" s="75" t="str">
        <f t="shared" si="2"/>
        <v>Adquisicion PF No_Premier Nómina Especial Cofinavit Pago_Bajo_Puntual 5 0.104</v>
      </c>
      <c r="C113" s="75" t="s">
        <v>114</v>
      </c>
      <c r="D113" s="75" t="s">
        <v>132</v>
      </c>
      <c r="E113" s="75" t="s">
        <v>179</v>
      </c>
      <c r="F113" s="75" t="s">
        <v>182</v>
      </c>
      <c r="G113" s="75" t="s">
        <v>113</v>
      </c>
      <c r="H113" s="75"/>
      <c r="I113" s="75" t="s">
        <v>170</v>
      </c>
      <c r="J113" s="76">
        <v>5</v>
      </c>
      <c r="K113" s="519">
        <v>3</v>
      </c>
      <c r="L113" s="520">
        <v>20.77</v>
      </c>
      <c r="M113" s="520">
        <v>21.43</v>
      </c>
      <c r="N113" s="507">
        <v>0.104</v>
      </c>
      <c r="O113" s="507">
        <v>0.10100000000000001</v>
      </c>
      <c r="P113" s="507">
        <v>0.11600000000000001</v>
      </c>
      <c r="Q113" s="78">
        <v>0.44</v>
      </c>
      <c r="R113" s="78">
        <v>0.31740000000000002</v>
      </c>
      <c r="S113" s="69">
        <v>2.5000000000000001E-2</v>
      </c>
      <c r="T113" s="69">
        <v>5.0000000000000001E-3</v>
      </c>
      <c r="U113" s="507">
        <v>0.95</v>
      </c>
      <c r="V113" s="76">
        <v>0</v>
      </c>
      <c r="W113" s="76">
        <v>0</v>
      </c>
      <c r="X113" s="76"/>
      <c r="Y113" s="519" t="s">
        <v>469</v>
      </c>
    </row>
    <row r="114" spans="1:25" x14ac:dyDescent="0.25">
      <c r="A114" s="75" t="str">
        <f t="shared" si="3"/>
        <v>Adquisicion PF No_Premier Normal Apoyo Infonavit Pago_Fijo_Puntual Si 25</v>
      </c>
      <c r="B114" s="75" t="str">
        <f t="shared" si="2"/>
        <v>Adquisicion PF No_Premier Normal Apoyo Infonavit Pago_Fijo_Puntual Si 25 0.103</v>
      </c>
      <c r="C114" s="75" t="s">
        <v>114</v>
      </c>
      <c r="D114" s="75" t="s">
        <v>132</v>
      </c>
      <c r="E114" s="75" t="s">
        <v>179</v>
      </c>
      <c r="F114" s="75" t="s">
        <v>180</v>
      </c>
      <c r="G114" s="75" t="s">
        <v>112</v>
      </c>
      <c r="H114" s="75"/>
      <c r="I114" s="75" t="s">
        <v>171</v>
      </c>
      <c r="J114" s="76">
        <v>25</v>
      </c>
      <c r="K114" s="519" t="s">
        <v>387</v>
      </c>
      <c r="L114" s="520">
        <v>9.65</v>
      </c>
      <c r="M114" s="520">
        <v>10.31</v>
      </c>
      <c r="N114" s="507">
        <v>0.10299999999999999</v>
      </c>
      <c r="O114" s="507">
        <v>0.1</v>
      </c>
      <c r="P114" s="507">
        <v>0.112</v>
      </c>
      <c r="Q114" s="78">
        <v>0.44</v>
      </c>
      <c r="R114" s="78">
        <v>0.31740000000000002</v>
      </c>
      <c r="S114" s="69">
        <v>2.5000000000000001E-2</v>
      </c>
      <c r="T114" s="69">
        <v>5.0000000000000001E-3</v>
      </c>
      <c r="U114" s="507">
        <v>0.95</v>
      </c>
      <c r="V114" s="76">
        <v>0</v>
      </c>
      <c r="W114" s="76">
        <v>0</v>
      </c>
      <c r="X114" s="76" t="s">
        <v>147</v>
      </c>
      <c r="Y114" s="519" t="s">
        <v>469</v>
      </c>
    </row>
    <row r="115" spans="1:25" x14ac:dyDescent="0.25">
      <c r="A115" s="75" t="str">
        <f t="shared" si="3"/>
        <v>Adquisicion PF No_Premier Normal Apoyo Infonavit Pago_Fijo_Puntual 25</v>
      </c>
      <c r="B115" s="75" t="str">
        <f t="shared" si="2"/>
        <v>Adquisicion PF No_Premier Normal Apoyo Infonavit Pago_Fijo_Puntual 25 0.106</v>
      </c>
      <c r="C115" s="75" t="s">
        <v>114</v>
      </c>
      <c r="D115" s="75" t="s">
        <v>132</v>
      </c>
      <c r="E115" s="75" t="s">
        <v>179</v>
      </c>
      <c r="F115" s="75" t="s">
        <v>180</v>
      </c>
      <c r="G115" s="75" t="s">
        <v>112</v>
      </c>
      <c r="H115" s="75"/>
      <c r="I115" s="75" t="s">
        <v>171</v>
      </c>
      <c r="J115" s="76">
        <v>25</v>
      </c>
      <c r="K115" s="519">
        <v>3</v>
      </c>
      <c r="L115" s="520">
        <v>9.93</v>
      </c>
      <c r="M115" s="520">
        <v>10.59</v>
      </c>
      <c r="N115" s="507">
        <v>0.106</v>
      </c>
      <c r="O115" s="507">
        <v>0.10299999999999999</v>
      </c>
      <c r="P115" s="507">
        <v>0.11799999999999999</v>
      </c>
      <c r="Q115" s="78">
        <v>0.44</v>
      </c>
      <c r="R115" s="78">
        <v>0.31740000000000002</v>
      </c>
      <c r="S115" s="69">
        <v>2.5000000000000001E-2</v>
      </c>
      <c r="T115" s="69">
        <v>5.0000000000000001E-3</v>
      </c>
      <c r="U115" s="507">
        <v>0.95</v>
      </c>
      <c r="V115" s="76">
        <v>0</v>
      </c>
      <c r="W115" s="76">
        <v>0</v>
      </c>
      <c r="X115" s="76"/>
      <c r="Y115" s="519" t="s">
        <v>469</v>
      </c>
    </row>
    <row r="116" spans="1:25" x14ac:dyDescent="0.25">
      <c r="A116" s="75" t="str">
        <f t="shared" si="3"/>
        <v>Adquisicion PF No_Premier Normal Apoyo Infonavit Pago_Fijo_Puntual Si 20</v>
      </c>
      <c r="B116" s="75" t="str">
        <f t="shared" si="2"/>
        <v>Adquisicion PF No_Premier Normal Apoyo Infonavit Pago_Fijo_Puntual Si 20 0.103</v>
      </c>
      <c r="C116" s="75" t="s">
        <v>114</v>
      </c>
      <c r="D116" s="75" t="s">
        <v>132</v>
      </c>
      <c r="E116" s="75" t="s">
        <v>179</v>
      </c>
      <c r="F116" s="75" t="s">
        <v>180</v>
      </c>
      <c r="G116" s="75" t="s">
        <v>112</v>
      </c>
      <c r="H116" s="75"/>
      <c r="I116" s="75" t="s">
        <v>171</v>
      </c>
      <c r="J116" s="76">
        <v>20</v>
      </c>
      <c r="K116" s="519" t="s">
        <v>387</v>
      </c>
      <c r="L116" s="520">
        <v>10.16</v>
      </c>
      <c r="M116" s="520">
        <v>10.82</v>
      </c>
      <c r="N116" s="507">
        <v>0.10299999999999999</v>
      </c>
      <c r="O116" s="507">
        <v>0.1</v>
      </c>
      <c r="P116" s="507">
        <v>0.112</v>
      </c>
      <c r="Q116" s="78">
        <v>0.44</v>
      </c>
      <c r="R116" s="78">
        <v>0.31740000000000002</v>
      </c>
      <c r="S116" s="69">
        <v>2.5000000000000001E-2</v>
      </c>
      <c r="T116" s="69">
        <v>5.0000000000000001E-3</v>
      </c>
      <c r="U116" s="507">
        <v>0.95</v>
      </c>
      <c r="V116" s="76">
        <v>0</v>
      </c>
      <c r="W116" s="76">
        <v>0</v>
      </c>
      <c r="X116" s="76" t="s">
        <v>147</v>
      </c>
      <c r="Y116" s="519" t="s">
        <v>469</v>
      </c>
    </row>
    <row r="117" spans="1:25" x14ac:dyDescent="0.25">
      <c r="A117" s="75" t="str">
        <f t="shared" si="3"/>
        <v>Adquisicion PF No_Premier Normal Apoyo Infonavit Pago_Fijo_Puntual 20</v>
      </c>
      <c r="B117" s="75" t="str">
        <f t="shared" si="2"/>
        <v>Adquisicion PF No_Premier Normal Apoyo Infonavit Pago_Fijo_Puntual 20 0.106</v>
      </c>
      <c r="C117" s="75" t="s">
        <v>114</v>
      </c>
      <c r="D117" s="75" t="s">
        <v>132</v>
      </c>
      <c r="E117" s="75" t="s">
        <v>179</v>
      </c>
      <c r="F117" s="75" t="s">
        <v>180</v>
      </c>
      <c r="G117" s="75" t="s">
        <v>112</v>
      </c>
      <c r="H117" s="75"/>
      <c r="I117" s="75" t="s">
        <v>171</v>
      </c>
      <c r="J117" s="76">
        <v>20</v>
      </c>
      <c r="K117" s="519">
        <v>3</v>
      </c>
      <c r="L117" s="520">
        <v>10.41</v>
      </c>
      <c r="M117" s="520">
        <v>11.07</v>
      </c>
      <c r="N117" s="507">
        <v>0.106</v>
      </c>
      <c r="O117" s="507">
        <v>0.10299999999999999</v>
      </c>
      <c r="P117" s="507">
        <v>0.11799999999999999</v>
      </c>
      <c r="Q117" s="78">
        <v>0.44</v>
      </c>
      <c r="R117" s="78">
        <v>0.31740000000000002</v>
      </c>
      <c r="S117" s="69">
        <v>2.5000000000000001E-2</v>
      </c>
      <c r="T117" s="69">
        <v>5.0000000000000001E-3</v>
      </c>
      <c r="U117" s="507">
        <v>0.95</v>
      </c>
      <c r="V117" s="76">
        <v>0</v>
      </c>
      <c r="W117" s="76">
        <v>0</v>
      </c>
      <c r="X117" s="76"/>
      <c r="Y117" s="519" t="s">
        <v>469</v>
      </c>
    </row>
    <row r="118" spans="1:25" x14ac:dyDescent="0.25">
      <c r="A118" s="75" t="str">
        <f t="shared" si="3"/>
        <v>Adquisicion PF No_Premier Normal Apoyo Infonavit Pago_Fijo_Puntual Si 15</v>
      </c>
      <c r="B118" s="75" t="str">
        <f t="shared" si="2"/>
        <v>Adquisicion PF No_Premier Normal Apoyo Infonavit Pago_Fijo_Puntual Si 15 0.103</v>
      </c>
      <c r="C118" s="75" t="s">
        <v>114</v>
      </c>
      <c r="D118" s="75" t="s">
        <v>132</v>
      </c>
      <c r="E118" s="75" t="s">
        <v>179</v>
      </c>
      <c r="F118" s="75" t="s">
        <v>180</v>
      </c>
      <c r="G118" s="75" t="s">
        <v>112</v>
      </c>
      <c r="H118" s="75"/>
      <c r="I118" s="75" t="s">
        <v>171</v>
      </c>
      <c r="J118" s="76">
        <v>15</v>
      </c>
      <c r="K118" s="519" t="s">
        <v>387</v>
      </c>
      <c r="L118" s="520">
        <v>11.18</v>
      </c>
      <c r="M118" s="520">
        <v>11.84</v>
      </c>
      <c r="N118" s="507">
        <v>0.10299999999999999</v>
      </c>
      <c r="O118" s="507">
        <v>0.1</v>
      </c>
      <c r="P118" s="507">
        <v>0.112</v>
      </c>
      <c r="Q118" s="78">
        <v>0.44</v>
      </c>
      <c r="R118" s="78">
        <v>0.31740000000000002</v>
      </c>
      <c r="S118" s="69">
        <v>2.5000000000000001E-2</v>
      </c>
      <c r="T118" s="69">
        <v>5.0000000000000001E-3</v>
      </c>
      <c r="U118" s="507">
        <v>0.95</v>
      </c>
      <c r="V118" s="76">
        <v>0</v>
      </c>
      <c r="W118" s="76">
        <v>0</v>
      </c>
      <c r="X118" s="76" t="s">
        <v>147</v>
      </c>
      <c r="Y118" s="519" t="s">
        <v>469</v>
      </c>
    </row>
    <row r="119" spans="1:25" x14ac:dyDescent="0.25">
      <c r="A119" s="75" t="str">
        <f t="shared" si="3"/>
        <v>Adquisicion PF No_Premier Normal Apoyo Infonavit Pago_Fijo_Puntual 15</v>
      </c>
      <c r="B119" s="75" t="str">
        <f t="shared" si="2"/>
        <v>Adquisicion PF No_Premier Normal Apoyo Infonavit Pago_Fijo_Puntual 15 0.106</v>
      </c>
      <c r="C119" s="75" t="s">
        <v>114</v>
      </c>
      <c r="D119" s="75" t="s">
        <v>132</v>
      </c>
      <c r="E119" s="75" t="s">
        <v>179</v>
      </c>
      <c r="F119" s="75" t="s">
        <v>180</v>
      </c>
      <c r="G119" s="75" t="s">
        <v>112</v>
      </c>
      <c r="H119" s="75"/>
      <c r="I119" s="75" t="s">
        <v>171</v>
      </c>
      <c r="J119" s="76">
        <v>15</v>
      </c>
      <c r="K119" s="519">
        <v>3</v>
      </c>
      <c r="L119" s="520">
        <v>11.39</v>
      </c>
      <c r="M119" s="520">
        <v>12.05</v>
      </c>
      <c r="N119" s="507">
        <v>0.106</v>
      </c>
      <c r="O119" s="507">
        <v>0.10299999999999999</v>
      </c>
      <c r="P119" s="507">
        <v>0.11799999999999999</v>
      </c>
      <c r="Q119" s="78">
        <v>0.44</v>
      </c>
      <c r="R119" s="78">
        <v>0.31740000000000002</v>
      </c>
      <c r="S119" s="69">
        <v>2.5000000000000001E-2</v>
      </c>
      <c r="T119" s="69">
        <v>5.0000000000000001E-3</v>
      </c>
      <c r="U119" s="507">
        <v>0.95</v>
      </c>
      <c r="V119" s="76">
        <v>0</v>
      </c>
      <c r="W119" s="76">
        <v>0</v>
      </c>
      <c r="X119" s="76"/>
      <c r="Y119" s="519" t="s">
        <v>469</v>
      </c>
    </row>
    <row r="120" spans="1:25" x14ac:dyDescent="0.25">
      <c r="A120" s="75" t="str">
        <f t="shared" si="3"/>
        <v>Adquisicion PF No_Premier Normal Apoyo Infonavit Pago_Fijo_Puntual Si 10</v>
      </c>
      <c r="B120" s="75" t="str">
        <f t="shared" si="2"/>
        <v>Adquisicion PF No_Premier Normal Apoyo Infonavit Pago_Fijo_Puntual Si 10 0.103</v>
      </c>
      <c r="C120" s="75" t="s">
        <v>114</v>
      </c>
      <c r="D120" s="75" t="s">
        <v>132</v>
      </c>
      <c r="E120" s="75" t="s">
        <v>179</v>
      </c>
      <c r="F120" s="75" t="s">
        <v>180</v>
      </c>
      <c r="G120" s="75" t="s">
        <v>112</v>
      </c>
      <c r="H120" s="75"/>
      <c r="I120" s="75" t="s">
        <v>171</v>
      </c>
      <c r="J120" s="76">
        <v>10</v>
      </c>
      <c r="K120" s="519" t="s">
        <v>387</v>
      </c>
      <c r="L120" s="520">
        <v>13.54</v>
      </c>
      <c r="M120" s="520">
        <v>14.2</v>
      </c>
      <c r="N120" s="507">
        <v>0.10299999999999999</v>
      </c>
      <c r="O120" s="507">
        <v>0.1</v>
      </c>
      <c r="P120" s="507">
        <v>0.112</v>
      </c>
      <c r="Q120" s="78">
        <v>0.44</v>
      </c>
      <c r="R120" s="78">
        <v>0.31740000000000002</v>
      </c>
      <c r="S120" s="69">
        <v>2.5000000000000001E-2</v>
      </c>
      <c r="T120" s="69">
        <v>5.0000000000000001E-3</v>
      </c>
      <c r="U120" s="507">
        <v>0.95</v>
      </c>
      <c r="V120" s="76">
        <v>0</v>
      </c>
      <c r="W120" s="76">
        <v>0</v>
      </c>
      <c r="X120" s="76" t="s">
        <v>147</v>
      </c>
      <c r="Y120" s="519" t="s">
        <v>469</v>
      </c>
    </row>
    <row r="121" spans="1:25" x14ac:dyDescent="0.25">
      <c r="A121" s="75" t="str">
        <f t="shared" si="3"/>
        <v>Adquisicion PF No_Premier Normal Apoyo Infonavit Pago_Fijo_Puntual 10</v>
      </c>
      <c r="B121" s="75" t="str">
        <f t="shared" si="2"/>
        <v>Adquisicion PF No_Premier Normal Apoyo Infonavit Pago_Fijo_Puntual 10 0.106</v>
      </c>
      <c r="C121" s="75" t="s">
        <v>114</v>
      </c>
      <c r="D121" s="75" t="s">
        <v>132</v>
      </c>
      <c r="E121" s="75" t="s">
        <v>179</v>
      </c>
      <c r="F121" s="75" t="s">
        <v>180</v>
      </c>
      <c r="G121" s="75" t="s">
        <v>112</v>
      </c>
      <c r="H121" s="75"/>
      <c r="I121" s="75" t="s">
        <v>171</v>
      </c>
      <c r="J121" s="76">
        <v>10</v>
      </c>
      <c r="K121" s="519">
        <v>3</v>
      </c>
      <c r="L121" s="520">
        <v>13.71</v>
      </c>
      <c r="M121" s="520">
        <v>14.37</v>
      </c>
      <c r="N121" s="507">
        <v>0.106</v>
      </c>
      <c r="O121" s="507">
        <v>0.10299999999999999</v>
      </c>
      <c r="P121" s="507">
        <v>0.11799999999999999</v>
      </c>
      <c r="Q121" s="78">
        <v>0.44</v>
      </c>
      <c r="R121" s="78">
        <v>0.31740000000000002</v>
      </c>
      <c r="S121" s="69">
        <v>2.5000000000000001E-2</v>
      </c>
      <c r="T121" s="69">
        <v>5.0000000000000001E-3</v>
      </c>
      <c r="U121" s="507">
        <v>0.95</v>
      </c>
      <c r="V121" s="76">
        <v>0</v>
      </c>
      <c r="W121" s="76">
        <v>0</v>
      </c>
      <c r="X121" s="76"/>
      <c r="Y121" s="519" t="s">
        <v>469</v>
      </c>
    </row>
    <row r="122" spans="1:25" x14ac:dyDescent="0.25">
      <c r="A122" s="75" t="str">
        <f t="shared" si="3"/>
        <v>Adquisicion PF No_Premier Normal Apoyo Infonavit Pago_Fijo_Puntual Si 5</v>
      </c>
      <c r="B122" s="75" t="str">
        <f t="shared" si="2"/>
        <v>Adquisicion PF No_Premier Normal Apoyo Infonavit Pago_Fijo_Puntual Si 5 0.103</v>
      </c>
      <c r="C122" s="75" t="s">
        <v>114</v>
      </c>
      <c r="D122" s="75" t="s">
        <v>132</v>
      </c>
      <c r="E122" s="75" t="s">
        <v>179</v>
      </c>
      <c r="F122" s="75" t="s">
        <v>180</v>
      </c>
      <c r="G122" s="75" t="s">
        <v>112</v>
      </c>
      <c r="H122" s="75"/>
      <c r="I122" s="75" t="s">
        <v>171</v>
      </c>
      <c r="J122" s="76">
        <v>5</v>
      </c>
      <c r="K122" s="519" t="s">
        <v>387</v>
      </c>
      <c r="L122" s="520">
        <v>21.44</v>
      </c>
      <c r="M122" s="520">
        <v>22.1</v>
      </c>
      <c r="N122" s="507">
        <v>0.10299999999999999</v>
      </c>
      <c r="O122" s="507">
        <v>0.1</v>
      </c>
      <c r="P122" s="507">
        <v>0.112</v>
      </c>
      <c r="Q122" s="78">
        <v>0.44</v>
      </c>
      <c r="R122" s="78">
        <v>0.31740000000000002</v>
      </c>
      <c r="S122" s="69">
        <v>2.5000000000000001E-2</v>
      </c>
      <c r="T122" s="69">
        <v>5.0000000000000001E-3</v>
      </c>
      <c r="U122" s="507">
        <v>0.95</v>
      </c>
      <c r="V122" s="76">
        <v>0</v>
      </c>
      <c r="W122" s="76">
        <v>0</v>
      </c>
      <c r="X122" s="76" t="s">
        <v>147</v>
      </c>
      <c r="Y122" s="519" t="s">
        <v>469</v>
      </c>
    </row>
    <row r="123" spans="1:25" x14ac:dyDescent="0.25">
      <c r="A123" s="75" t="str">
        <f t="shared" si="3"/>
        <v>Adquisicion PF No_Premier Normal Apoyo Infonavit Pago_Fijo_Puntual 5</v>
      </c>
      <c r="B123" s="75" t="str">
        <f t="shared" si="2"/>
        <v>Adquisicion PF No_Premier Normal Apoyo Infonavit Pago_Fijo_Puntual 5 0.106</v>
      </c>
      <c r="C123" s="75" t="s">
        <v>114</v>
      </c>
      <c r="D123" s="75" t="s">
        <v>132</v>
      </c>
      <c r="E123" s="75" t="s">
        <v>179</v>
      </c>
      <c r="F123" s="75" t="s">
        <v>180</v>
      </c>
      <c r="G123" s="75" t="s">
        <v>112</v>
      </c>
      <c r="H123" s="75"/>
      <c r="I123" s="75" t="s">
        <v>171</v>
      </c>
      <c r="J123" s="76">
        <v>5</v>
      </c>
      <c r="K123" s="519">
        <v>3</v>
      </c>
      <c r="L123" s="520">
        <v>21.59</v>
      </c>
      <c r="M123" s="520">
        <v>22.25</v>
      </c>
      <c r="N123" s="507">
        <v>0.106</v>
      </c>
      <c r="O123" s="507">
        <v>0.10299999999999999</v>
      </c>
      <c r="P123" s="507">
        <v>0.11799999999999999</v>
      </c>
      <c r="Q123" s="78">
        <v>0.44</v>
      </c>
      <c r="R123" s="78">
        <v>0.31740000000000002</v>
      </c>
      <c r="S123" s="69">
        <v>2.5000000000000001E-2</v>
      </c>
      <c r="T123" s="69">
        <v>5.0000000000000001E-3</v>
      </c>
      <c r="U123" s="507">
        <v>0.95</v>
      </c>
      <c r="V123" s="76">
        <v>0</v>
      </c>
      <c r="W123" s="76">
        <v>0</v>
      </c>
      <c r="X123" s="76"/>
      <c r="Y123" s="519" t="s">
        <v>469</v>
      </c>
    </row>
    <row r="124" spans="1:25" x14ac:dyDescent="0.25">
      <c r="A124" s="75" t="str">
        <f t="shared" si="3"/>
        <v>Adquisicion PF No_Premier Normal Apoyo Infonavit Pago_Bajo_Puntual Si 25</v>
      </c>
      <c r="B124" s="75" t="str">
        <f t="shared" si="2"/>
        <v>Adquisicion PF No_Premier Normal Apoyo Infonavit Pago_Bajo_Puntual Si 25 0.103</v>
      </c>
      <c r="C124" s="75" t="s">
        <v>114</v>
      </c>
      <c r="D124" s="75" t="s">
        <v>132</v>
      </c>
      <c r="E124" s="75" t="s">
        <v>179</v>
      </c>
      <c r="F124" s="75" t="s">
        <v>180</v>
      </c>
      <c r="G124" s="75" t="s">
        <v>112</v>
      </c>
      <c r="H124" s="75"/>
      <c r="I124" s="75" t="s">
        <v>170</v>
      </c>
      <c r="J124" s="523">
        <v>25</v>
      </c>
      <c r="K124" s="519" t="s">
        <v>387</v>
      </c>
      <c r="L124" s="520">
        <v>8.64</v>
      </c>
      <c r="M124" s="520">
        <v>9.3000000000000007</v>
      </c>
      <c r="N124" s="507">
        <v>0.10299999999999999</v>
      </c>
      <c r="O124" s="507">
        <v>0.1</v>
      </c>
      <c r="P124" s="507">
        <v>0.112</v>
      </c>
      <c r="Q124" s="78">
        <v>0.44</v>
      </c>
      <c r="R124" s="78">
        <v>0.31740000000000002</v>
      </c>
      <c r="S124" s="69">
        <v>2.5000000000000001E-2</v>
      </c>
      <c r="T124" s="69">
        <v>5.0000000000000001E-3</v>
      </c>
      <c r="U124" s="507">
        <v>0.95</v>
      </c>
      <c r="V124" s="76">
        <v>0</v>
      </c>
      <c r="W124" s="76">
        <v>0</v>
      </c>
      <c r="X124" s="76" t="s">
        <v>147</v>
      </c>
      <c r="Y124" s="519" t="s">
        <v>469</v>
      </c>
    </row>
    <row r="125" spans="1:25" x14ac:dyDescent="0.25">
      <c r="A125" s="75" t="str">
        <f t="shared" si="3"/>
        <v>Adquisicion PF No_Premier Normal Apoyo Infonavit Pago_Bajo_Puntual 25</v>
      </c>
      <c r="B125" s="75" t="str">
        <f t="shared" si="2"/>
        <v>Adquisicion PF No_Premier Normal Apoyo Infonavit Pago_Bajo_Puntual 25 0.106</v>
      </c>
      <c r="C125" s="75" t="s">
        <v>114</v>
      </c>
      <c r="D125" s="75" t="s">
        <v>132</v>
      </c>
      <c r="E125" s="75" t="s">
        <v>179</v>
      </c>
      <c r="F125" s="75" t="s">
        <v>180</v>
      </c>
      <c r="G125" s="75" t="s">
        <v>112</v>
      </c>
      <c r="H125" s="75"/>
      <c r="I125" s="75" t="s">
        <v>170</v>
      </c>
      <c r="J125" s="523">
        <v>25</v>
      </c>
      <c r="K125" s="519">
        <v>3</v>
      </c>
      <c r="L125" s="520">
        <v>8.89</v>
      </c>
      <c r="M125" s="520">
        <v>9.5500000000000007</v>
      </c>
      <c r="N125" s="507">
        <v>0.106</v>
      </c>
      <c r="O125" s="507">
        <v>0.10299999999999999</v>
      </c>
      <c r="P125" s="507">
        <v>0.11799999999999999</v>
      </c>
      <c r="Q125" s="78">
        <v>0.44</v>
      </c>
      <c r="R125" s="78">
        <v>0.31740000000000002</v>
      </c>
      <c r="S125" s="69">
        <v>2.5000000000000001E-2</v>
      </c>
      <c r="T125" s="69">
        <v>5.0000000000000001E-3</v>
      </c>
      <c r="U125" s="507">
        <v>0.95</v>
      </c>
      <c r="V125" s="76">
        <v>0</v>
      </c>
      <c r="W125" s="76">
        <v>0</v>
      </c>
      <c r="X125" s="76"/>
      <c r="Y125" s="519" t="s">
        <v>469</v>
      </c>
    </row>
    <row r="126" spans="1:25" x14ac:dyDescent="0.25">
      <c r="A126" s="75" t="str">
        <f t="shared" si="3"/>
        <v>Adquisicion PF No_Premier Normal Apoyo Infonavit Pago_Bajo_Puntual Si 20</v>
      </c>
      <c r="B126" s="75" t="str">
        <f t="shared" si="2"/>
        <v>Adquisicion PF No_Premier Normal Apoyo Infonavit Pago_Bajo_Puntual Si 20 0.103</v>
      </c>
      <c r="C126" s="75" t="s">
        <v>114</v>
      </c>
      <c r="D126" s="75" t="s">
        <v>132</v>
      </c>
      <c r="E126" s="75" t="s">
        <v>179</v>
      </c>
      <c r="F126" s="75" t="s">
        <v>180</v>
      </c>
      <c r="G126" s="75" t="s">
        <v>112</v>
      </c>
      <c r="H126" s="75"/>
      <c r="I126" s="75" t="s">
        <v>170</v>
      </c>
      <c r="J126" s="76">
        <v>20</v>
      </c>
      <c r="K126" s="519" t="s">
        <v>387</v>
      </c>
      <c r="L126" s="520">
        <v>9</v>
      </c>
      <c r="M126" s="520">
        <v>9.66</v>
      </c>
      <c r="N126" s="507">
        <v>0.10299999999999999</v>
      </c>
      <c r="O126" s="507">
        <v>0.1</v>
      </c>
      <c r="P126" s="507">
        <v>0.112</v>
      </c>
      <c r="Q126" s="78">
        <v>0.44</v>
      </c>
      <c r="R126" s="78">
        <v>0.31740000000000002</v>
      </c>
      <c r="S126" s="69">
        <v>2.5000000000000001E-2</v>
      </c>
      <c r="T126" s="69">
        <v>5.0000000000000001E-3</v>
      </c>
      <c r="U126" s="507">
        <v>0.95</v>
      </c>
      <c r="V126" s="76">
        <v>0</v>
      </c>
      <c r="W126" s="76">
        <v>0</v>
      </c>
      <c r="X126" s="76" t="s">
        <v>147</v>
      </c>
      <c r="Y126" s="519" t="s">
        <v>469</v>
      </c>
    </row>
    <row r="127" spans="1:25" x14ac:dyDescent="0.25">
      <c r="A127" s="75" t="str">
        <f t="shared" si="3"/>
        <v>Adquisicion PF No_Premier Normal Apoyo Infonavit Pago_Bajo_Puntual 20</v>
      </c>
      <c r="B127" s="75" t="str">
        <f t="shared" si="2"/>
        <v>Adquisicion PF No_Premier Normal Apoyo Infonavit Pago_Bajo_Puntual 20 0.106</v>
      </c>
      <c r="C127" s="75" t="s">
        <v>114</v>
      </c>
      <c r="D127" s="75" t="s">
        <v>132</v>
      </c>
      <c r="E127" s="75" t="s">
        <v>179</v>
      </c>
      <c r="F127" s="75" t="s">
        <v>180</v>
      </c>
      <c r="G127" s="75" t="s">
        <v>112</v>
      </c>
      <c r="H127" s="75"/>
      <c r="I127" s="75" t="s">
        <v>170</v>
      </c>
      <c r="J127" s="76">
        <v>20</v>
      </c>
      <c r="K127" s="519">
        <v>3</v>
      </c>
      <c r="L127" s="520">
        <v>9.24</v>
      </c>
      <c r="M127" s="520">
        <v>9.9</v>
      </c>
      <c r="N127" s="507">
        <v>0.106</v>
      </c>
      <c r="O127" s="507">
        <v>0.10299999999999999</v>
      </c>
      <c r="P127" s="507">
        <v>0.11799999999999999</v>
      </c>
      <c r="Q127" s="78">
        <v>0.44</v>
      </c>
      <c r="R127" s="78">
        <v>0.31740000000000002</v>
      </c>
      <c r="S127" s="69">
        <v>2.5000000000000001E-2</v>
      </c>
      <c r="T127" s="69">
        <v>5.0000000000000001E-3</v>
      </c>
      <c r="U127" s="507">
        <v>0.95</v>
      </c>
      <c r="V127" s="76">
        <v>0</v>
      </c>
      <c r="W127" s="76">
        <v>0</v>
      </c>
      <c r="X127" s="76"/>
      <c r="Y127" s="519" t="s">
        <v>469</v>
      </c>
    </row>
    <row r="128" spans="1:25" x14ac:dyDescent="0.25">
      <c r="A128" s="75" t="str">
        <f t="shared" ref="A128:A133" si="4">TRIM(CONCATENATE(C128," ",D128," ",E128," ",F128," ",G128," ",I128," ",X128," ",J128))</f>
        <v>Adquisicion PF No_Premier Normal Apoyo Infonavit Pago_Bajo_Puntual Si 15</v>
      </c>
      <c r="B128" s="75" t="str">
        <f t="shared" ref="B128:B133" si="5">CONCATENATE(A128," ",N128)</f>
        <v>Adquisicion PF No_Premier Normal Apoyo Infonavit Pago_Bajo_Puntual Si 15 0.103</v>
      </c>
      <c r="C128" s="75" t="s">
        <v>114</v>
      </c>
      <c r="D128" s="75" t="s">
        <v>132</v>
      </c>
      <c r="E128" s="75" t="s">
        <v>179</v>
      </c>
      <c r="F128" s="75" t="s">
        <v>180</v>
      </c>
      <c r="G128" s="75" t="s">
        <v>112</v>
      </c>
      <c r="H128" s="75"/>
      <c r="I128" s="75" t="s">
        <v>170</v>
      </c>
      <c r="J128" s="76">
        <v>15</v>
      </c>
      <c r="K128" s="519" t="s">
        <v>387</v>
      </c>
      <c r="L128" s="520">
        <v>10.119999999999999</v>
      </c>
      <c r="M128" s="520">
        <v>10.78</v>
      </c>
      <c r="N128" s="507">
        <v>0.10299999999999999</v>
      </c>
      <c r="O128" s="507">
        <v>0.1</v>
      </c>
      <c r="P128" s="507">
        <v>0.112</v>
      </c>
      <c r="Q128" s="78">
        <v>0.44</v>
      </c>
      <c r="R128" s="78">
        <v>0.31740000000000002</v>
      </c>
      <c r="S128" s="69">
        <v>2.5000000000000001E-2</v>
      </c>
      <c r="T128" s="69">
        <v>5.0000000000000001E-3</v>
      </c>
      <c r="U128" s="507">
        <v>0.95</v>
      </c>
      <c r="V128" s="76">
        <v>0</v>
      </c>
      <c r="W128" s="76">
        <v>0</v>
      </c>
      <c r="X128" s="76" t="s">
        <v>147</v>
      </c>
      <c r="Y128" s="519" t="s">
        <v>469</v>
      </c>
    </row>
    <row r="129" spans="1:25" x14ac:dyDescent="0.25">
      <c r="A129" s="75" t="str">
        <f t="shared" si="4"/>
        <v>Adquisicion PF No_Premier Normal Apoyo Infonavit Pago_Bajo_Puntual 15</v>
      </c>
      <c r="B129" s="75" t="str">
        <f t="shared" si="5"/>
        <v>Adquisicion PF No_Premier Normal Apoyo Infonavit Pago_Bajo_Puntual 15 0.106</v>
      </c>
      <c r="C129" s="75" t="s">
        <v>114</v>
      </c>
      <c r="D129" s="75" t="s">
        <v>132</v>
      </c>
      <c r="E129" s="75" t="s">
        <v>179</v>
      </c>
      <c r="F129" s="75" t="s">
        <v>180</v>
      </c>
      <c r="G129" s="75" t="s">
        <v>112</v>
      </c>
      <c r="H129" s="75"/>
      <c r="I129" s="75" t="s">
        <v>170</v>
      </c>
      <c r="J129" s="76">
        <v>15</v>
      </c>
      <c r="K129" s="519">
        <v>3</v>
      </c>
      <c r="L129" s="520">
        <v>10.33</v>
      </c>
      <c r="M129" s="520">
        <v>10.99</v>
      </c>
      <c r="N129" s="507">
        <v>0.106</v>
      </c>
      <c r="O129" s="507">
        <v>0.10299999999999999</v>
      </c>
      <c r="P129" s="507">
        <v>0.11799999999999999</v>
      </c>
      <c r="Q129" s="78">
        <v>0.44</v>
      </c>
      <c r="R129" s="78">
        <v>0.31740000000000002</v>
      </c>
      <c r="S129" s="69">
        <v>2.5000000000000001E-2</v>
      </c>
      <c r="T129" s="69">
        <v>5.0000000000000001E-3</v>
      </c>
      <c r="U129" s="507">
        <v>0.95</v>
      </c>
      <c r="V129" s="76">
        <v>0</v>
      </c>
      <c r="W129" s="76">
        <v>0</v>
      </c>
      <c r="X129" s="76"/>
      <c r="Y129" s="519" t="s">
        <v>469</v>
      </c>
    </row>
    <row r="130" spans="1:25" x14ac:dyDescent="0.25">
      <c r="A130" s="75" t="str">
        <f t="shared" si="4"/>
        <v>Adquisicion PF No_Premier Normal Apoyo Infonavit Pago_Bajo_Puntual Si 10</v>
      </c>
      <c r="B130" s="75" t="str">
        <f t="shared" si="5"/>
        <v>Adquisicion PF No_Premier Normal Apoyo Infonavit Pago_Bajo_Puntual Si 10 0.103</v>
      </c>
      <c r="C130" s="75" t="s">
        <v>114</v>
      </c>
      <c r="D130" s="75" t="s">
        <v>132</v>
      </c>
      <c r="E130" s="75" t="s">
        <v>179</v>
      </c>
      <c r="F130" s="75" t="s">
        <v>180</v>
      </c>
      <c r="G130" s="75" t="s">
        <v>112</v>
      </c>
      <c r="H130" s="75"/>
      <c r="I130" s="75" t="s">
        <v>170</v>
      </c>
      <c r="J130" s="76">
        <v>10</v>
      </c>
      <c r="K130" s="519" t="s">
        <v>387</v>
      </c>
      <c r="L130" s="520">
        <v>12.62</v>
      </c>
      <c r="M130" s="520">
        <v>13.28</v>
      </c>
      <c r="N130" s="507">
        <v>0.10299999999999999</v>
      </c>
      <c r="O130" s="507">
        <v>0.1</v>
      </c>
      <c r="P130" s="507">
        <v>0.112</v>
      </c>
      <c r="Q130" s="78">
        <v>0.44</v>
      </c>
      <c r="R130" s="78">
        <v>0.31740000000000002</v>
      </c>
      <c r="S130" s="69">
        <v>2.5000000000000001E-2</v>
      </c>
      <c r="T130" s="69">
        <v>5.0000000000000001E-3</v>
      </c>
      <c r="U130" s="507">
        <v>0.95</v>
      </c>
      <c r="V130" s="76">
        <v>0</v>
      </c>
      <c r="W130" s="76">
        <v>0</v>
      </c>
      <c r="X130" s="76" t="s">
        <v>147</v>
      </c>
      <c r="Y130" s="519" t="s">
        <v>469</v>
      </c>
    </row>
    <row r="131" spans="1:25" x14ac:dyDescent="0.25">
      <c r="A131" s="75" t="str">
        <f t="shared" si="4"/>
        <v>Adquisicion PF No_Premier Normal Apoyo Infonavit Pago_Bajo_Puntual 10</v>
      </c>
      <c r="B131" s="75" t="str">
        <f t="shared" si="5"/>
        <v>Adquisicion PF No_Premier Normal Apoyo Infonavit Pago_Bajo_Puntual 10 0.106</v>
      </c>
      <c r="C131" s="75" t="s">
        <v>114</v>
      </c>
      <c r="D131" s="75" t="s">
        <v>132</v>
      </c>
      <c r="E131" s="75" t="s">
        <v>179</v>
      </c>
      <c r="F131" s="75" t="s">
        <v>180</v>
      </c>
      <c r="G131" s="75" t="s">
        <v>112</v>
      </c>
      <c r="H131" s="75"/>
      <c r="I131" s="75" t="s">
        <v>170</v>
      </c>
      <c r="J131" s="76">
        <v>10</v>
      </c>
      <c r="K131" s="519">
        <v>3</v>
      </c>
      <c r="L131" s="520">
        <v>12.78</v>
      </c>
      <c r="M131" s="520">
        <v>13.44</v>
      </c>
      <c r="N131" s="507">
        <v>0.106</v>
      </c>
      <c r="O131" s="507">
        <v>0.10299999999999999</v>
      </c>
      <c r="P131" s="507">
        <v>0.11799999999999999</v>
      </c>
      <c r="Q131" s="78">
        <v>0.44</v>
      </c>
      <c r="R131" s="78">
        <v>0.31740000000000002</v>
      </c>
      <c r="S131" s="69">
        <v>2.5000000000000001E-2</v>
      </c>
      <c r="T131" s="69">
        <v>5.0000000000000001E-3</v>
      </c>
      <c r="U131" s="507">
        <v>0.95</v>
      </c>
      <c r="V131" s="76">
        <v>0</v>
      </c>
      <c r="W131" s="76">
        <v>0</v>
      </c>
      <c r="X131" s="76"/>
      <c r="Y131" s="519" t="s">
        <v>469</v>
      </c>
    </row>
    <row r="132" spans="1:25" x14ac:dyDescent="0.25">
      <c r="A132" s="75" t="str">
        <f t="shared" si="4"/>
        <v>Adquisicion PF No_Premier Normal Apoyo Infonavit Pago_Bajo_Puntual Si 5</v>
      </c>
      <c r="B132" s="75" t="str">
        <f t="shared" si="5"/>
        <v>Adquisicion PF No_Premier Normal Apoyo Infonavit Pago_Bajo_Puntual Si 5 0.103</v>
      </c>
      <c r="C132" s="75" t="s">
        <v>114</v>
      </c>
      <c r="D132" s="75" t="s">
        <v>132</v>
      </c>
      <c r="E132" s="75" t="s">
        <v>179</v>
      </c>
      <c r="F132" s="75" t="s">
        <v>180</v>
      </c>
      <c r="G132" s="75" t="s">
        <v>112</v>
      </c>
      <c r="H132" s="75"/>
      <c r="I132" s="75" t="s">
        <v>170</v>
      </c>
      <c r="J132" s="76">
        <v>5</v>
      </c>
      <c r="K132" s="519" t="s">
        <v>387</v>
      </c>
      <c r="L132" s="520">
        <v>20.72</v>
      </c>
      <c r="M132" s="520">
        <v>21.38</v>
      </c>
      <c r="N132" s="507">
        <v>0.10299999999999999</v>
      </c>
      <c r="O132" s="507">
        <v>0.1</v>
      </c>
      <c r="P132" s="507">
        <v>0.112</v>
      </c>
      <c r="Q132" s="78">
        <v>0.44</v>
      </c>
      <c r="R132" s="78">
        <v>0.31740000000000002</v>
      </c>
      <c r="S132" s="69">
        <v>2.5000000000000001E-2</v>
      </c>
      <c r="T132" s="69">
        <v>5.0000000000000001E-3</v>
      </c>
      <c r="U132" s="507">
        <v>0.95</v>
      </c>
      <c r="V132" s="76">
        <v>0</v>
      </c>
      <c r="W132" s="76">
        <v>0</v>
      </c>
      <c r="X132" s="76" t="s">
        <v>147</v>
      </c>
      <c r="Y132" s="519" t="s">
        <v>469</v>
      </c>
    </row>
    <row r="133" spans="1:25" x14ac:dyDescent="0.25">
      <c r="A133" s="75" t="str">
        <f t="shared" si="4"/>
        <v>Adquisicion PF No_Premier Normal Apoyo Infonavit Pago_Bajo_Puntual 5</v>
      </c>
      <c r="B133" s="75" t="str">
        <f t="shared" si="5"/>
        <v>Adquisicion PF No_Premier Normal Apoyo Infonavit Pago_Bajo_Puntual 5 0.106</v>
      </c>
      <c r="C133" s="75" t="s">
        <v>114</v>
      </c>
      <c r="D133" s="75" t="s">
        <v>132</v>
      </c>
      <c r="E133" s="75" t="s">
        <v>179</v>
      </c>
      <c r="F133" s="75" t="s">
        <v>180</v>
      </c>
      <c r="G133" s="75" t="s">
        <v>112</v>
      </c>
      <c r="H133" s="75"/>
      <c r="I133" s="75" t="s">
        <v>170</v>
      </c>
      <c r="J133" s="76">
        <v>5</v>
      </c>
      <c r="K133" s="519">
        <v>3</v>
      </c>
      <c r="L133" s="520">
        <v>20.86</v>
      </c>
      <c r="M133" s="520">
        <v>21.52</v>
      </c>
      <c r="N133" s="507">
        <v>0.106</v>
      </c>
      <c r="O133" s="507">
        <v>0.10299999999999999</v>
      </c>
      <c r="P133" s="507">
        <v>0.11799999999999999</v>
      </c>
      <c r="Q133" s="78">
        <v>0.44</v>
      </c>
      <c r="R133" s="78">
        <v>0.31740000000000002</v>
      </c>
      <c r="S133" s="69">
        <v>2.5000000000000001E-2</v>
      </c>
      <c r="T133" s="69">
        <v>5.0000000000000001E-3</v>
      </c>
      <c r="U133" s="507">
        <v>0.95</v>
      </c>
      <c r="V133" s="76">
        <v>0</v>
      </c>
      <c r="W133" s="76">
        <v>0</v>
      </c>
      <c r="X133" s="76"/>
      <c r="Y133" s="519" t="s">
        <v>469</v>
      </c>
    </row>
    <row r="134" spans="1:25" x14ac:dyDescent="0.25">
      <c r="A134" s="75" t="str">
        <f t="shared" si="3"/>
        <v>Adquisicion PF No_Premier Nómina Especial Mercado_Abierto Pago_Fijo_Puntual Si 20</v>
      </c>
      <c r="B134" s="75" t="str">
        <f t="shared" ref="B134:B193" si="6">CONCATENATE(A134," ",N134)</f>
        <v>Adquisicion PF No_Premier Nómina Especial Mercado_Abierto Pago_Fijo_Puntual Si 20 0.101</v>
      </c>
      <c r="C134" s="75" t="s">
        <v>114</v>
      </c>
      <c r="D134" s="75" t="s">
        <v>132</v>
      </c>
      <c r="E134" s="75" t="s">
        <v>179</v>
      </c>
      <c r="F134" s="75" t="s">
        <v>182</v>
      </c>
      <c r="G134" s="75" t="s">
        <v>396</v>
      </c>
      <c r="H134" s="75"/>
      <c r="I134" s="75" t="s">
        <v>171</v>
      </c>
      <c r="J134" s="76">
        <v>20</v>
      </c>
      <c r="K134" s="519" t="s">
        <v>387</v>
      </c>
      <c r="L134" s="520">
        <v>10.02</v>
      </c>
      <c r="M134" s="520">
        <v>10.68</v>
      </c>
      <c r="N134" s="507">
        <v>0.10100000000000001</v>
      </c>
      <c r="O134" s="507">
        <v>9.8000000000000004E-2</v>
      </c>
      <c r="P134" s="507">
        <v>0.11</v>
      </c>
      <c r="Q134" s="78">
        <v>0.44</v>
      </c>
      <c r="R134" s="78">
        <v>0.31740000000000002</v>
      </c>
      <c r="S134" s="69">
        <v>2.5000000000000001E-2</v>
      </c>
      <c r="T134" s="69">
        <v>5.0000000000000001E-3</v>
      </c>
      <c r="U134" s="507">
        <v>0.9</v>
      </c>
      <c r="V134" s="76">
        <v>0</v>
      </c>
      <c r="W134" s="76">
        <v>250</v>
      </c>
      <c r="X134" s="76" t="s">
        <v>147</v>
      </c>
      <c r="Y134" s="519" t="s">
        <v>469</v>
      </c>
    </row>
    <row r="135" spans="1:25" x14ac:dyDescent="0.25">
      <c r="A135" s="75" t="str">
        <f t="shared" ref="A135:A194" si="7">TRIM(CONCATENATE(C135," ",D135," ",E135," ",F135," ",G135," ",I135," ",X135," ",J135))</f>
        <v>Adquisicion PF No_Premier Nómina Especial Mercado_Abierto Pago_Fijo_Puntual 20</v>
      </c>
      <c r="B135" s="75" t="str">
        <f t="shared" si="6"/>
        <v>Adquisicion PF No_Premier Nómina Especial Mercado_Abierto Pago_Fijo_Puntual 20 0.104</v>
      </c>
      <c r="C135" s="75" t="s">
        <v>114</v>
      </c>
      <c r="D135" s="75" t="s">
        <v>132</v>
      </c>
      <c r="E135" s="75" t="s">
        <v>179</v>
      </c>
      <c r="F135" s="75" t="s">
        <v>182</v>
      </c>
      <c r="G135" s="75" t="s">
        <v>396</v>
      </c>
      <c r="H135" s="75"/>
      <c r="I135" s="75" t="s">
        <v>171</v>
      </c>
      <c r="J135" s="76">
        <v>20</v>
      </c>
      <c r="K135" s="519">
        <v>3</v>
      </c>
      <c r="L135" s="520">
        <v>10.27</v>
      </c>
      <c r="M135" s="520">
        <v>10.93</v>
      </c>
      <c r="N135" s="507">
        <v>0.104</v>
      </c>
      <c r="O135" s="507">
        <v>0.10100000000000001</v>
      </c>
      <c r="P135" s="507">
        <v>0.11600000000000001</v>
      </c>
      <c r="Q135" s="78">
        <v>0.44</v>
      </c>
      <c r="R135" s="78">
        <v>0.31740000000000002</v>
      </c>
      <c r="S135" s="69">
        <v>2.5000000000000001E-2</v>
      </c>
      <c r="T135" s="69">
        <v>5.0000000000000001E-3</v>
      </c>
      <c r="U135" s="507">
        <v>0.85</v>
      </c>
      <c r="V135" s="76">
        <v>0</v>
      </c>
      <c r="W135" s="76">
        <v>250</v>
      </c>
      <c r="X135" s="76"/>
      <c r="Y135" s="519" t="s">
        <v>469</v>
      </c>
    </row>
    <row r="136" spans="1:25" x14ac:dyDescent="0.25">
      <c r="A136" s="75" t="str">
        <f t="shared" si="7"/>
        <v>Adquisicion PF No_Premier Nómina Especial Mercado_Abierto Pago_Fijo_Puntual Si 15</v>
      </c>
      <c r="B136" s="75" t="str">
        <f t="shared" si="6"/>
        <v>Adquisicion PF No_Premier Nómina Especial Mercado_Abierto Pago_Fijo_Puntual Si 15 0.104</v>
      </c>
      <c r="C136" s="75" t="s">
        <v>114</v>
      </c>
      <c r="D136" s="75" t="s">
        <v>132</v>
      </c>
      <c r="E136" s="75" t="s">
        <v>179</v>
      </c>
      <c r="F136" s="75" t="s">
        <v>182</v>
      </c>
      <c r="G136" s="75" t="s">
        <v>396</v>
      </c>
      <c r="H136" s="75"/>
      <c r="I136" s="75" t="s">
        <v>171</v>
      </c>
      <c r="J136" s="76">
        <v>15</v>
      </c>
      <c r="K136" s="519" t="s">
        <v>387</v>
      </c>
      <c r="L136" s="520">
        <v>11.05</v>
      </c>
      <c r="M136" s="520">
        <v>11.71</v>
      </c>
      <c r="N136" s="507">
        <v>0.104</v>
      </c>
      <c r="O136" s="507">
        <v>0.10100000000000001</v>
      </c>
      <c r="P136" s="507">
        <v>0.11600000000000001</v>
      </c>
      <c r="Q136" s="78">
        <v>0.44</v>
      </c>
      <c r="R136" s="78">
        <v>0.31740000000000002</v>
      </c>
      <c r="S136" s="69">
        <v>2.5000000000000001E-2</v>
      </c>
      <c r="T136" s="69">
        <v>5.0000000000000001E-3</v>
      </c>
      <c r="U136" s="507">
        <v>0.9</v>
      </c>
      <c r="V136" s="76">
        <v>0</v>
      </c>
      <c r="W136" s="76">
        <v>250</v>
      </c>
      <c r="X136" s="76" t="s">
        <v>147</v>
      </c>
      <c r="Y136" s="519" t="s">
        <v>469</v>
      </c>
    </row>
    <row r="137" spans="1:25" x14ac:dyDescent="0.25">
      <c r="A137" s="75" t="str">
        <f t="shared" si="7"/>
        <v>Adquisicion PF No_Premier Nómina Especial Mercado_Abierto Pago_Fijo_Puntual 15</v>
      </c>
      <c r="B137" s="75" t="str">
        <f t="shared" si="6"/>
        <v>Adquisicion PF No_Premier Nómina Especial Mercado_Abierto Pago_Fijo_Puntual 15 0.101</v>
      </c>
      <c r="C137" s="75" t="s">
        <v>114</v>
      </c>
      <c r="D137" s="75" t="s">
        <v>132</v>
      </c>
      <c r="E137" s="75" t="s">
        <v>179</v>
      </c>
      <c r="F137" s="75" t="s">
        <v>182</v>
      </c>
      <c r="G137" s="75" t="s">
        <v>396</v>
      </c>
      <c r="H137" s="75"/>
      <c r="I137" s="75" t="s">
        <v>171</v>
      </c>
      <c r="J137" s="76">
        <v>15</v>
      </c>
      <c r="K137" s="519">
        <v>3</v>
      </c>
      <c r="L137" s="520">
        <v>11.26</v>
      </c>
      <c r="M137" s="520">
        <v>11.92</v>
      </c>
      <c r="N137" s="507">
        <v>0.10100000000000001</v>
      </c>
      <c r="O137" s="507">
        <v>9.8000000000000004E-2</v>
      </c>
      <c r="P137" s="507">
        <v>0.11</v>
      </c>
      <c r="Q137" s="78">
        <v>0.44</v>
      </c>
      <c r="R137" s="78">
        <v>0.31740000000000002</v>
      </c>
      <c r="S137" s="69">
        <v>2.5000000000000001E-2</v>
      </c>
      <c r="T137" s="69">
        <v>5.0000000000000001E-3</v>
      </c>
      <c r="U137" s="507">
        <v>0.85</v>
      </c>
      <c r="V137" s="76">
        <v>0</v>
      </c>
      <c r="W137" s="76">
        <v>250</v>
      </c>
      <c r="X137" s="76"/>
      <c r="Y137" s="519" t="s">
        <v>469</v>
      </c>
    </row>
    <row r="138" spans="1:25" x14ac:dyDescent="0.25">
      <c r="A138" s="75" t="str">
        <f t="shared" si="7"/>
        <v>Adquisicion PF No_Premier Nómina Especial Mercado_Abierto Pago_Fijo_Puntual Si 10</v>
      </c>
      <c r="B138" s="75" t="str">
        <f t="shared" si="6"/>
        <v>Adquisicion PF No_Premier Nómina Especial Mercado_Abierto Pago_Fijo_Puntual Si 10 0.104</v>
      </c>
      <c r="C138" s="75" t="s">
        <v>114</v>
      </c>
      <c r="D138" s="75" t="s">
        <v>132</v>
      </c>
      <c r="E138" s="75" t="s">
        <v>179</v>
      </c>
      <c r="F138" s="75" t="s">
        <v>182</v>
      </c>
      <c r="G138" s="75" t="s">
        <v>396</v>
      </c>
      <c r="H138" s="75"/>
      <c r="I138" s="75" t="s">
        <v>171</v>
      </c>
      <c r="J138" s="76">
        <v>10</v>
      </c>
      <c r="K138" s="519" t="s">
        <v>387</v>
      </c>
      <c r="L138" s="520">
        <v>13.42</v>
      </c>
      <c r="M138" s="520">
        <v>14.08</v>
      </c>
      <c r="N138" s="507">
        <v>0.104</v>
      </c>
      <c r="O138" s="507">
        <v>0.10100000000000001</v>
      </c>
      <c r="P138" s="507">
        <v>0.11600000000000001</v>
      </c>
      <c r="Q138" s="78">
        <v>0.44</v>
      </c>
      <c r="R138" s="78">
        <v>0.31740000000000002</v>
      </c>
      <c r="S138" s="69">
        <v>2.5000000000000001E-2</v>
      </c>
      <c r="T138" s="69">
        <v>5.0000000000000001E-3</v>
      </c>
      <c r="U138" s="507">
        <v>0.9</v>
      </c>
      <c r="V138" s="76">
        <v>0</v>
      </c>
      <c r="W138" s="76">
        <v>250</v>
      </c>
      <c r="X138" s="76" t="s">
        <v>147</v>
      </c>
      <c r="Y138" s="519" t="s">
        <v>469</v>
      </c>
    </row>
    <row r="139" spans="1:25" x14ac:dyDescent="0.25">
      <c r="A139" s="75" t="str">
        <f t="shared" si="7"/>
        <v>Adquisicion PF No_Premier Nómina Especial Mercado_Abierto Pago_Fijo_Puntual 10</v>
      </c>
      <c r="B139" s="75" t="str">
        <f t="shared" si="6"/>
        <v>Adquisicion PF No_Premier Nómina Especial Mercado_Abierto Pago_Fijo_Puntual 10 0.104</v>
      </c>
      <c r="C139" s="75" t="s">
        <v>114</v>
      </c>
      <c r="D139" s="75" t="s">
        <v>132</v>
      </c>
      <c r="E139" s="75" t="s">
        <v>179</v>
      </c>
      <c r="F139" s="75" t="s">
        <v>182</v>
      </c>
      <c r="G139" s="75" t="s">
        <v>396</v>
      </c>
      <c r="H139" s="75"/>
      <c r="I139" s="75" t="s">
        <v>171</v>
      </c>
      <c r="J139" s="76">
        <v>10</v>
      </c>
      <c r="K139" s="519">
        <v>3</v>
      </c>
      <c r="L139" s="520">
        <v>13.59</v>
      </c>
      <c r="M139" s="520">
        <v>14.25</v>
      </c>
      <c r="N139" s="507">
        <v>0.104</v>
      </c>
      <c r="O139" s="507">
        <v>0.10100000000000001</v>
      </c>
      <c r="P139" s="507">
        <v>0.11600000000000001</v>
      </c>
      <c r="Q139" s="78">
        <v>0.44</v>
      </c>
      <c r="R139" s="78">
        <v>0.31740000000000002</v>
      </c>
      <c r="S139" s="69">
        <v>2.5000000000000001E-2</v>
      </c>
      <c r="T139" s="69">
        <v>5.0000000000000001E-3</v>
      </c>
      <c r="U139" s="507">
        <v>0.85</v>
      </c>
      <c r="V139" s="76">
        <v>0</v>
      </c>
      <c r="W139" s="76">
        <v>250</v>
      </c>
      <c r="X139" s="76"/>
      <c r="Y139" s="519" t="s">
        <v>469</v>
      </c>
    </row>
    <row r="140" spans="1:25" x14ac:dyDescent="0.25">
      <c r="A140" s="75" t="str">
        <f t="shared" si="7"/>
        <v>Adquisicion PF No_Premier Nómina Especial Mercado_Abierto Pago_Fijo_Puntual Si 5</v>
      </c>
      <c r="B140" s="75" t="str">
        <f t="shared" si="6"/>
        <v>Adquisicion PF No_Premier Nómina Especial Mercado_Abierto Pago_Fijo_Puntual Si 5 0.101</v>
      </c>
      <c r="C140" s="75" t="s">
        <v>114</v>
      </c>
      <c r="D140" s="75" t="s">
        <v>132</v>
      </c>
      <c r="E140" s="75" t="s">
        <v>179</v>
      </c>
      <c r="F140" s="75" t="s">
        <v>182</v>
      </c>
      <c r="G140" s="75" t="s">
        <v>396</v>
      </c>
      <c r="H140" s="75"/>
      <c r="I140" s="75" t="s">
        <v>171</v>
      </c>
      <c r="J140" s="76">
        <v>5</v>
      </c>
      <c r="K140" s="519" t="s">
        <v>387</v>
      </c>
      <c r="L140" s="520">
        <v>21.34</v>
      </c>
      <c r="M140" s="520">
        <v>22</v>
      </c>
      <c r="N140" s="507">
        <v>0.10100000000000001</v>
      </c>
      <c r="O140" s="507">
        <v>9.8000000000000004E-2</v>
      </c>
      <c r="P140" s="507">
        <v>0.11</v>
      </c>
      <c r="Q140" s="78">
        <v>0.44</v>
      </c>
      <c r="R140" s="78">
        <v>0.31740000000000002</v>
      </c>
      <c r="S140" s="69">
        <v>2.5000000000000001E-2</v>
      </c>
      <c r="T140" s="69">
        <v>5.0000000000000001E-3</v>
      </c>
      <c r="U140" s="507">
        <v>0.9</v>
      </c>
      <c r="V140" s="76">
        <v>0</v>
      </c>
      <c r="W140" s="76">
        <v>250</v>
      </c>
      <c r="X140" s="76" t="s">
        <v>147</v>
      </c>
      <c r="Y140" s="519" t="s">
        <v>469</v>
      </c>
    </row>
    <row r="141" spans="1:25" x14ac:dyDescent="0.25">
      <c r="A141" s="75" t="str">
        <f t="shared" si="7"/>
        <v>Adquisicion PF No_Premier Nómina Especial Mercado_Abierto Pago_Fijo_Puntual 5</v>
      </c>
      <c r="B141" s="75" t="str">
        <f t="shared" si="6"/>
        <v>Adquisicion PF No_Premier Nómina Especial Mercado_Abierto Pago_Fijo_Puntual 5 0.104</v>
      </c>
      <c r="C141" s="75" t="s">
        <v>114</v>
      </c>
      <c r="D141" s="75" t="s">
        <v>132</v>
      </c>
      <c r="E141" s="75" t="s">
        <v>179</v>
      </c>
      <c r="F141" s="75" t="s">
        <v>182</v>
      </c>
      <c r="G141" s="75" t="s">
        <v>396</v>
      </c>
      <c r="H141" s="75"/>
      <c r="I141" s="75" t="s">
        <v>171</v>
      </c>
      <c r="J141" s="76">
        <v>5</v>
      </c>
      <c r="K141" s="519">
        <v>3</v>
      </c>
      <c r="L141" s="520">
        <v>21.49</v>
      </c>
      <c r="M141" s="520">
        <v>22.15</v>
      </c>
      <c r="N141" s="507">
        <v>0.104</v>
      </c>
      <c r="O141" s="507">
        <v>0.10100000000000001</v>
      </c>
      <c r="P141" s="507">
        <v>0.11600000000000001</v>
      </c>
      <c r="Q141" s="78">
        <v>0.44</v>
      </c>
      <c r="R141" s="78">
        <v>0.31740000000000002</v>
      </c>
      <c r="S141" s="69">
        <v>2.5000000000000001E-2</v>
      </c>
      <c r="T141" s="69">
        <v>5.0000000000000001E-3</v>
      </c>
      <c r="U141" s="507">
        <v>0.85</v>
      </c>
      <c r="V141" s="76">
        <v>0</v>
      </c>
      <c r="W141" s="76">
        <v>250</v>
      </c>
      <c r="X141" s="76"/>
      <c r="Y141" s="519" t="s">
        <v>469</v>
      </c>
    </row>
    <row r="142" spans="1:25" x14ac:dyDescent="0.25">
      <c r="A142" s="75" t="str">
        <f t="shared" si="7"/>
        <v>Adquisicion PF No_Premier Nómina Especial Mercado_Abierto Pago_Bajo_Puntual Si 20</v>
      </c>
      <c r="B142" s="75" t="str">
        <f t="shared" si="6"/>
        <v>Adquisicion PF No_Premier Nómina Especial Mercado_Abierto Pago_Bajo_Puntual Si 20 0.101</v>
      </c>
      <c r="C142" s="75" t="s">
        <v>114</v>
      </c>
      <c r="D142" s="75" t="s">
        <v>132</v>
      </c>
      <c r="E142" s="75" t="s">
        <v>179</v>
      </c>
      <c r="F142" s="75" t="s">
        <v>182</v>
      </c>
      <c r="G142" s="75" t="s">
        <v>396</v>
      </c>
      <c r="H142" s="75"/>
      <c r="I142" s="75" t="s">
        <v>170</v>
      </c>
      <c r="J142" s="76">
        <v>20</v>
      </c>
      <c r="K142" s="519" t="s">
        <v>387</v>
      </c>
      <c r="L142" s="520">
        <v>8.8800000000000008</v>
      </c>
      <c r="M142" s="520">
        <v>9.5399999999999991</v>
      </c>
      <c r="N142" s="507">
        <v>0.10100000000000001</v>
      </c>
      <c r="O142" s="507">
        <v>9.8000000000000004E-2</v>
      </c>
      <c r="P142" s="507">
        <v>0.11</v>
      </c>
      <c r="Q142" s="78">
        <v>0.44</v>
      </c>
      <c r="R142" s="78">
        <v>0.31740000000000002</v>
      </c>
      <c r="S142" s="69">
        <v>2.5000000000000001E-2</v>
      </c>
      <c r="T142" s="69">
        <v>5.0000000000000001E-3</v>
      </c>
      <c r="U142" s="507">
        <v>0.9</v>
      </c>
      <c r="V142" s="76">
        <v>0</v>
      </c>
      <c r="W142" s="76">
        <v>250</v>
      </c>
      <c r="X142" s="76" t="s">
        <v>147</v>
      </c>
      <c r="Y142" s="519" t="s">
        <v>469</v>
      </c>
    </row>
    <row r="143" spans="1:25" x14ac:dyDescent="0.25">
      <c r="A143" s="75" t="str">
        <f t="shared" si="7"/>
        <v>Adquisicion PF No_Premier Nómina Especial Mercado_Abierto Pago_Bajo_Puntual 20</v>
      </c>
      <c r="B143" s="75" t="str">
        <f t="shared" si="6"/>
        <v>Adquisicion PF No_Premier Nómina Especial Mercado_Abierto Pago_Bajo_Puntual 20 0.104</v>
      </c>
      <c r="C143" s="75" t="s">
        <v>114</v>
      </c>
      <c r="D143" s="75" t="s">
        <v>132</v>
      </c>
      <c r="E143" s="75" t="s">
        <v>179</v>
      </c>
      <c r="F143" s="75" t="s">
        <v>182</v>
      </c>
      <c r="G143" s="75" t="s">
        <v>396</v>
      </c>
      <c r="H143" s="75"/>
      <c r="I143" s="75" t="s">
        <v>170</v>
      </c>
      <c r="J143" s="76">
        <v>20</v>
      </c>
      <c r="K143" s="519">
        <v>3</v>
      </c>
      <c r="L143" s="520">
        <v>9.1199999999999992</v>
      </c>
      <c r="M143" s="520">
        <v>9.7799999999999994</v>
      </c>
      <c r="N143" s="507">
        <v>0.104</v>
      </c>
      <c r="O143" s="507">
        <v>0.10100000000000001</v>
      </c>
      <c r="P143" s="507">
        <v>0.11600000000000001</v>
      </c>
      <c r="Q143" s="78">
        <v>0.44</v>
      </c>
      <c r="R143" s="78">
        <v>0.31740000000000002</v>
      </c>
      <c r="S143" s="69">
        <v>2.5000000000000001E-2</v>
      </c>
      <c r="T143" s="69">
        <v>5.0000000000000001E-3</v>
      </c>
      <c r="U143" s="507">
        <v>0.85</v>
      </c>
      <c r="V143" s="76">
        <v>0</v>
      </c>
      <c r="W143" s="76">
        <v>250</v>
      </c>
      <c r="X143" s="76"/>
      <c r="Y143" s="519" t="s">
        <v>469</v>
      </c>
    </row>
    <row r="144" spans="1:25" x14ac:dyDescent="0.25">
      <c r="A144" s="75" t="str">
        <f t="shared" si="7"/>
        <v>Adquisicion PF No_Premier Nómina Especial Mercado_Abierto Pago_Bajo_Puntual Si 15</v>
      </c>
      <c r="B144" s="75" t="str">
        <f t="shared" si="6"/>
        <v>Adquisicion PF No_Premier Nómina Especial Mercado_Abierto Pago_Bajo_Puntual Si 15 0.101</v>
      </c>
      <c r="C144" s="75" t="s">
        <v>114</v>
      </c>
      <c r="D144" s="75" t="s">
        <v>132</v>
      </c>
      <c r="E144" s="75" t="s">
        <v>179</v>
      </c>
      <c r="F144" s="75" t="s">
        <v>182</v>
      </c>
      <c r="G144" s="75" t="s">
        <v>396</v>
      </c>
      <c r="H144" s="75"/>
      <c r="I144" s="75" t="s">
        <v>170</v>
      </c>
      <c r="J144" s="76">
        <v>15</v>
      </c>
      <c r="K144" s="519" t="s">
        <v>387</v>
      </c>
      <c r="L144" s="520">
        <v>10.01</v>
      </c>
      <c r="M144" s="520">
        <v>10.67</v>
      </c>
      <c r="N144" s="507">
        <v>0.10100000000000001</v>
      </c>
      <c r="O144" s="507">
        <v>9.8000000000000004E-2</v>
      </c>
      <c r="P144" s="507">
        <v>0.11</v>
      </c>
      <c r="Q144" s="78">
        <v>0.44</v>
      </c>
      <c r="R144" s="78">
        <v>0.31740000000000002</v>
      </c>
      <c r="S144" s="69">
        <v>2.5000000000000001E-2</v>
      </c>
      <c r="T144" s="69">
        <v>5.0000000000000001E-3</v>
      </c>
      <c r="U144" s="507">
        <v>0.9</v>
      </c>
      <c r="V144" s="76">
        <v>0</v>
      </c>
      <c r="W144" s="76">
        <v>250</v>
      </c>
      <c r="X144" s="76" t="s">
        <v>147</v>
      </c>
      <c r="Y144" s="519" t="s">
        <v>469</v>
      </c>
    </row>
    <row r="145" spans="1:25" x14ac:dyDescent="0.25">
      <c r="A145" s="75" t="str">
        <f t="shared" si="7"/>
        <v>Adquisicion PF No_Premier Nómina Especial Mercado_Abierto Pago_Bajo_Puntual 15</v>
      </c>
      <c r="B145" s="75" t="str">
        <f t="shared" si="6"/>
        <v>Adquisicion PF No_Premier Nómina Especial Mercado_Abierto Pago_Bajo_Puntual 15 0.104</v>
      </c>
      <c r="C145" s="75" t="s">
        <v>114</v>
      </c>
      <c r="D145" s="75" t="s">
        <v>132</v>
      </c>
      <c r="E145" s="75" t="s">
        <v>179</v>
      </c>
      <c r="F145" s="75" t="s">
        <v>182</v>
      </c>
      <c r="G145" s="75" t="s">
        <v>396</v>
      </c>
      <c r="H145" s="75"/>
      <c r="I145" s="75" t="s">
        <v>170</v>
      </c>
      <c r="J145" s="76">
        <v>15</v>
      </c>
      <c r="K145" s="519">
        <v>3</v>
      </c>
      <c r="L145" s="520">
        <v>10.210000000000001</v>
      </c>
      <c r="M145" s="520">
        <v>10.87</v>
      </c>
      <c r="N145" s="507">
        <v>0.104</v>
      </c>
      <c r="O145" s="507">
        <v>0.10100000000000001</v>
      </c>
      <c r="P145" s="507">
        <v>0.11600000000000001</v>
      </c>
      <c r="Q145" s="78">
        <v>0.44</v>
      </c>
      <c r="R145" s="78">
        <v>0.31740000000000002</v>
      </c>
      <c r="S145" s="69">
        <v>2.5000000000000001E-2</v>
      </c>
      <c r="T145" s="69">
        <v>5.0000000000000001E-3</v>
      </c>
      <c r="U145" s="507">
        <v>0.85</v>
      </c>
      <c r="V145" s="76">
        <v>0</v>
      </c>
      <c r="W145" s="76">
        <v>250</v>
      </c>
      <c r="X145" s="76"/>
      <c r="Y145" s="519" t="s">
        <v>469</v>
      </c>
    </row>
    <row r="146" spans="1:25" x14ac:dyDescent="0.25">
      <c r="A146" s="75" t="str">
        <f t="shared" si="7"/>
        <v>Adquisicion PF No_Premier Nómina Especial Mercado_Abierto Pago_Bajo_Puntual Si 10</v>
      </c>
      <c r="B146" s="75" t="str">
        <f t="shared" si="6"/>
        <v>Adquisicion PF No_Premier Nómina Especial Mercado_Abierto Pago_Bajo_Puntual Si 10 0.101</v>
      </c>
      <c r="C146" s="75" t="s">
        <v>114</v>
      </c>
      <c r="D146" s="75" t="s">
        <v>132</v>
      </c>
      <c r="E146" s="75" t="s">
        <v>179</v>
      </c>
      <c r="F146" s="75" t="s">
        <v>182</v>
      </c>
      <c r="G146" s="75" t="s">
        <v>396</v>
      </c>
      <c r="H146" s="75"/>
      <c r="I146" s="75" t="s">
        <v>170</v>
      </c>
      <c r="J146" s="76">
        <v>10</v>
      </c>
      <c r="K146" s="519" t="s">
        <v>387</v>
      </c>
      <c r="L146" s="520">
        <v>12.51</v>
      </c>
      <c r="M146" s="520">
        <v>13.17</v>
      </c>
      <c r="N146" s="507">
        <v>0.10100000000000001</v>
      </c>
      <c r="O146" s="507">
        <v>9.8000000000000004E-2</v>
      </c>
      <c r="P146" s="507">
        <v>0.11</v>
      </c>
      <c r="Q146" s="78">
        <v>0.44</v>
      </c>
      <c r="R146" s="78">
        <v>0.31740000000000002</v>
      </c>
      <c r="S146" s="69">
        <v>2.5000000000000001E-2</v>
      </c>
      <c r="T146" s="69">
        <v>5.0000000000000001E-3</v>
      </c>
      <c r="U146" s="507">
        <v>0.9</v>
      </c>
      <c r="V146" s="76">
        <v>0</v>
      </c>
      <c r="W146" s="76">
        <v>250</v>
      </c>
      <c r="X146" s="76" t="s">
        <v>147</v>
      </c>
      <c r="Y146" s="519" t="s">
        <v>469</v>
      </c>
    </row>
    <row r="147" spans="1:25" x14ac:dyDescent="0.25">
      <c r="A147" s="75" t="str">
        <f t="shared" si="7"/>
        <v>Adquisicion PF No_Premier Nómina Especial Mercado_Abierto Pago_Bajo_Puntual 10</v>
      </c>
      <c r="B147" s="75" t="str">
        <f t="shared" si="6"/>
        <v>Adquisicion PF No_Premier Nómina Especial Mercado_Abierto Pago_Bajo_Puntual 10 0.104</v>
      </c>
      <c r="C147" s="75" t="s">
        <v>114</v>
      </c>
      <c r="D147" s="75" t="s">
        <v>132</v>
      </c>
      <c r="E147" s="75" t="s">
        <v>179</v>
      </c>
      <c r="F147" s="75" t="s">
        <v>182</v>
      </c>
      <c r="G147" s="75" t="s">
        <v>396</v>
      </c>
      <c r="H147" s="75"/>
      <c r="I147" s="75" t="s">
        <v>170</v>
      </c>
      <c r="J147" s="76">
        <v>10</v>
      </c>
      <c r="K147" s="519">
        <v>3</v>
      </c>
      <c r="L147" s="520">
        <v>12.68</v>
      </c>
      <c r="M147" s="520">
        <v>13.34</v>
      </c>
      <c r="N147" s="507">
        <v>0.104</v>
      </c>
      <c r="O147" s="507">
        <v>0.10100000000000001</v>
      </c>
      <c r="P147" s="507">
        <v>0.11600000000000001</v>
      </c>
      <c r="Q147" s="78">
        <v>0.44</v>
      </c>
      <c r="R147" s="78">
        <v>0.31740000000000002</v>
      </c>
      <c r="S147" s="69">
        <v>2.5000000000000001E-2</v>
      </c>
      <c r="T147" s="69">
        <v>5.0000000000000001E-3</v>
      </c>
      <c r="U147" s="507">
        <v>0.85</v>
      </c>
      <c r="V147" s="76">
        <v>0</v>
      </c>
      <c r="W147" s="76">
        <v>250</v>
      </c>
      <c r="X147" s="76"/>
      <c r="Y147" s="519" t="s">
        <v>469</v>
      </c>
    </row>
    <row r="148" spans="1:25" x14ac:dyDescent="0.25">
      <c r="A148" s="75" t="str">
        <f t="shared" si="7"/>
        <v>Adquisicion PF No_Premier Nómina Especial Mercado_Abierto Pago_Bajo_Puntual Si 5</v>
      </c>
      <c r="B148" s="75" t="str">
        <f t="shared" si="6"/>
        <v>Adquisicion PF No_Premier Nómina Especial Mercado_Abierto Pago_Bajo_Puntual Si 5 0.101</v>
      </c>
      <c r="C148" s="75" t="s">
        <v>114</v>
      </c>
      <c r="D148" s="75" t="s">
        <v>132</v>
      </c>
      <c r="E148" s="75" t="s">
        <v>179</v>
      </c>
      <c r="F148" s="75" t="s">
        <v>182</v>
      </c>
      <c r="G148" s="75" t="s">
        <v>396</v>
      </c>
      <c r="H148" s="75"/>
      <c r="I148" s="75" t="s">
        <v>170</v>
      </c>
      <c r="J148" s="76">
        <v>5</v>
      </c>
      <c r="K148" s="519" t="s">
        <v>387</v>
      </c>
      <c r="L148" s="520">
        <v>20.62</v>
      </c>
      <c r="M148" s="520">
        <v>21.28</v>
      </c>
      <c r="N148" s="507">
        <v>0.10100000000000001</v>
      </c>
      <c r="O148" s="507">
        <v>9.8000000000000004E-2</v>
      </c>
      <c r="P148" s="507">
        <v>0.11</v>
      </c>
      <c r="Q148" s="78">
        <v>0.44</v>
      </c>
      <c r="R148" s="78">
        <v>0.31740000000000002</v>
      </c>
      <c r="S148" s="69">
        <v>2.5000000000000001E-2</v>
      </c>
      <c r="T148" s="69">
        <v>5.0000000000000001E-3</v>
      </c>
      <c r="U148" s="507">
        <v>0.9</v>
      </c>
      <c r="V148" s="76">
        <v>0</v>
      </c>
      <c r="W148" s="76">
        <v>250</v>
      </c>
      <c r="X148" s="76" t="s">
        <v>147</v>
      </c>
      <c r="Y148" s="519" t="s">
        <v>469</v>
      </c>
    </row>
    <row r="149" spans="1:25" x14ac:dyDescent="0.25">
      <c r="A149" s="75" t="str">
        <f t="shared" si="7"/>
        <v>Adquisicion PF No_Premier Nómina Especial Mercado_Abierto Pago_Bajo_Puntual 5</v>
      </c>
      <c r="B149" s="75" t="str">
        <f t="shared" si="6"/>
        <v>Adquisicion PF No_Premier Nómina Especial Mercado_Abierto Pago_Bajo_Puntual 5 0.104</v>
      </c>
      <c r="C149" s="75" t="s">
        <v>114</v>
      </c>
      <c r="D149" s="75" t="s">
        <v>132</v>
      </c>
      <c r="E149" s="75" t="s">
        <v>179</v>
      </c>
      <c r="F149" s="75" t="s">
        <v>182</v>
      </c>
      <c r="G149" s="75" t="s">
        <v>396</v>
      </c>
      <c r="H149" s="75"/>
      <c r="I149" s="75" t="s">
        <v>170</v>
      </c>
      <c r="J149" s="76">
        <v>5</v>
      </c>
      <c r="K149" s="519">
        <v>3</v>
      </c>
      <c r="L149" s="520">
        <v>20.77</v>
      </c>
      <c r="M149" s="520">
        <v>21.43</v>
      </c>
      <c r="N149" s="507">
        <v>0.104</v>
      </c>
      <c r="O149" s="507">
        <v>0.10100000000000001</v>
      </c>
      <c r="P149" s="507">
        <v>0.11600000000000001</v>
      </c>
      <c r="Q149" s="78">
        <v>0.44</v>
      </c>
      <c r="R149" s="78">
        <v>0.31740000000000002</v>
      </c>
      <c r="S149" s="69">
        <v>2.5000000000000001E-2</v>
      </c>
      <c r="T149" s="69">
        <v>5.0000000000000001E-3</v>
      </c>
      <c r="U149" s="507">
        <v>0.85</v>
      </c>
      <c r="V149" s="76">
        <v>0</v>
      </c>
      <c r="W149" s="76">
        <v>250</v>
      </c>
      <c r="X149" s="76"/>
      <c r="Y149" s="519" t="s">
        <v>469</v>
      </c>
    </row>
    <row r="150" spans="1:25" x14ac:dyDescent="0.25">
      <c r="A150" s="75" t="str">
        <f t="shared" si="7"/>
        <v>Adquisicion PF No_Premier Nómina Especial Mercado_Abierto Pago_Fijo_Puntual 20</v>
      </c>
      <c r="B150" s="75" t="str">
        <f t="shared" si="6"/>
        <v>Adquisicion PF No_Premier Nómina Especial Mercado_Abierto Pago_Fijo_Puntual 20 0.0945</v>
      </c>
      <c r="C150" s="75" t="s">
        <v>114</v>
      </c>
      <c r="D150" s="75" t="s">
        <v>132</v>
      </c>
      <c r="E150" s="75" t="s">
        <v>179</v>
      </c>
      <c r="F150" s="75" t="s">
        <v>182</v>
      </c>
      <c r="G150" s="75" t="s">
        <v>396</v>
      </c>
      <c r="H150" s="75"/>
      <c r="I150" s="75" t="s">
        <v>171</v>
      </c>
      <c r="J150" s="76">
        <v>20</v>
      </c>
      <c r="K150" s="516" t="s">
        <v>385</v>
      </c>
      <c r="L150" s="517">
        <v>9.5299999999999994</v>
      </c>
      <c r="M150" s="517">
        <v>10.19</v>
      </c>
      <c r="N150" s="518">
        <v>9.4500000000000001E-2</v>
      </c>
      <c r="O150" s="518">
        <v>0.09</v>
      </c>
      <c r="P150" s="518">
        <v>0.10050000000000001</v>
      </c>
      <c r="Q150" s="78">
        <v>0.44</v>
      </c>
      <c r="R150" s="78">
        <v>0.31740000000000002</v>
      </c>
      <c r="S150" s="69">
        <v>2.5000000000000001E-2</v>
      </c>
      <c r="T150" s="69">
        <v>5.0000000000000001E-3</v>
      </c>
      <c r="U150" s="518">
        <v>0.7</v>
      </c>
      <c r="V150" s="76">
        <v>0</v>
      </c>
      <c r="W150" s="76">
        <v>250</v>
      </c>
      <c r="X150" s="76"/>
      <c r="Y150" s="516" t="s">
        <v>470</v>
      </c>
    </row>
    <row r="151" spans="1:25" x14ac:dyDescent="0.25">
      <c r="A151" s="75" t="str">
        <f t="shared" si="7"/>
        <v>Adquisicion PF No_Premier Nómina Especial Mercado_Abierto Pago_Fijo_Puntual 20</v>
      </c>
      <c r="B151" s="75" t="str">
        <f t="shared" si="6"/>
        <v>Adquisicion PF No_Premier Nómina Especial Mercado_Abierto Pago_Fijo_Puntual 20 0.101</v>
      </c>
      <c r="C151" s="75" t="s">
        <v>114</v>
      </c>
      <c r="D151" s="75" t="s">
        <v>132</v>
      </c>
      <c r="E151" s="75" t="s">
        <v>179</v>
      </c>
      <c r="F151" s="75" t="s">
        <v>182</v>
      </c>
      <c r="G151" s="75" t="s">
        <v>396</v>
      </c>
      <c r="H151" s="75"/>
      <c r="I151" s="75" t="s">
        <v>171</v>
      </c>
      <c r="J151" s="76">
        <v>20</v>
      </c>
      <c r="K151" s="516" t="s">
        <v>386</v>
      </c>
      <c r="L151" s="517">
        <v>10.02</v>
      </c>
      <c r="M151" s="517">
        <v>10.68</v>
      </c>
      <c r="N151" s="518">
        <v>0.10100000000000001</v>
      </c>
      <c r="O151" s="518">
        <v>9.8000000000000004E-2</v>
      </c>
      <c r="P151" s="518">
        <v>0.11</v>
      </c>
      <c r="Q151" s="78">
        <v>0.44</v>
      </c>
      <c r="R151" s="78">
        <v>0.31740000000000002</v>
      </c>
      <c r="S151" s="69">
        <v>2.5000000000000001E-2</v>
      </c>
      <c r="T151" s="69">
        <v>5.0000000000000001E-3</v>
      </c>
      <c r="U151" s="518">
        <v>0.7</v>
      </c>
      <c r="V151" s="76">
        <v>0</v>
      </c>
      <c r="W151" s="76">
        <v>250</v>
      </c>
      <c r="X151" s="76"/>
      <c r="Y151" s="516" t="s">
        <v>470</v>
      </c>
    </row>
    <row r="152" spans="1:25" x14ac:dyDescent="0.25">
      <c r="A152" s="75" t="str">
        <f t="shared" si="7"/>
        <v>Adquisicion PF No_Premier Nómina Especial Mercado_Abierto Pago_Fijo_Puntual 15</v>
      </c>
      <c r="B152" s="75" t="str">
        <f t="shared" si="6"/>
        <v>Adquisicion PF No_Premier Nómina Especial Mercado_Abierto Pago_Fijo_Puntual 15 0.0945</v>
      </c>
      <c r="C152" s="75" t="s">
        <v>114</v>
      </c>
      <c r="D152" s="75" t="s">
        <v>132</v>
      </c>
      <c r="E152" s="75" t="s">
        <v>179</v>
      </c>
      <c r="F152" s="75" t="s">
        <v>182</v>
      </c>
      <c r="G152" s="75" t="s">
        <v>396</v>
      </c>
      <c r="H152" s="75"/>
      <c r="I152" s="75" t="s">
        <v>171</v>
      </c>
      <c r="J152" s="76">
        <v>15</v>
      </c>
      <c r="K152" s="516" t="s">
        <v>385</v>
      </c>
      <c r="L152" s="517">
        <v>10.61</v>
      </c>
      <c r="M152" s="517">
        <v>11.27</v>
      </c>
      <c r="N152" s="518">
        <v>9.4500000000000001E-2</v>
      </c>
      <c r="O152" s="518">
        <v>0.09</v>
      </c>
      <c r="P152" s="518">
        <v>0.10050000000000001</v>
      </c>
      <c r="Q152" s="78">
        <v>0.44</v>
      </c>
      <c r="R152" s="78">
        <v>0.31740000000000002</v>
      </c>
      <c r="S152" s="69">
        <v>2.5000000000000001E-2</v>
      </c>
      <c r="T152" s="69">
        <v>5.0000000000000001E-3</v>
      </c>
      <c r="U152" s="518">
        <v>0.7</v>
      </c>
      <c r="V152" s="76">
        <v>0</v>
      </c>
      <c r="W152" s="76">
        <v>250</v>
      </c>
      <c r="X152" s="76"/>
      <c r="Y152" s="516" t="s">
        <v>470</v>
      </c>
    </row>
    <row r="153" spans="1:25" x14ac:dyDescent="0.25">
      <c r="A153" s="75" t="str">
        <f t="shared" si="7"/>
        <v>Adquisicion PF No_Premier Nómina Especial Mercado_Abierto Pago_Fijo_Puntual 15</v>
      </c>
      <c r="B153" s="75" t="str">
        <f t="shared" si="6"/>
        <v>Adquisicion PF No_Premier Nómina Especial Mercado_Abierto Pago_Fijo_Puntual 15 0.101</v>
      </c>
      <c r="C153" s="75" t="s">
        <v>114</v>
      </c>
      <c r="D153" s="75" t="s">
        <v>132</v>
      </c>
      <c r="E153" s="75" t="s">
        <v>179</v>
      </c>
      <c r="F153" s="75" t="s">
        <v>182</v>
      </c>
      <c r="G153" s="75" t="s">
        <v>396</v>
      </c>
      <c r="H153" s="75"/>
      <c r="I153" s="75" t="s">
        <v>171</v>
      </c>
      <c r="J153" s="76">
        <v>15</v>
      </c>
      <c r="K153" s="516" t="s">
        <v>386</v>
      </c>
      <c r="L153" s="517">
        <v>11.05</v>
      </c>
      <c r="M153" s="517">
        <v>11.71</v>
      </c>
      <c r="N153" s="518">
        <v>0.10100000000000001</v>
      </c>
      <c r="O153" s="518">
        <v>9.8000000000000004E-2</v>
      </c>
      <c r="P153" s="518">
        <v>0.11</v>
      </c>
      <c r="Q153" s="78">
        <v>0.44</v>
      </c>
      <c r="R153" s="78">
        <v>0.31740000000000002</v>
      </c>
      <c r="S153" s="69">
        <v>2.5000000000000001E-2</v>
      </c>
      <c r="T153" s="69">
        <v>5.0000000000000001E-3</v>
      </c>
      <c r="U153" s="518">
        <v>0.7</v>
      </c>
      <c r="V153" s="76">
        <v>0</v>
      </c>
      <c r="W153" s="76">
        <v>250</v>
      </c>
      <c r="X153" s="76"/>
      <c r="Y153" s="516" t="s">
        <v>470</v>
      </c>
    </row>
    <row r="154" spans="1:25" x14ac:dyDescent="0.25">
      <c r="A154" s="75" t="str">
        <f t="shared" si="7"/>
        <v>Adquisicion PF No_Premier Nómina Especial Mercado_Abierto Pago_Fijo_Puntual 10</v>
      </c>
      <c r="B154" s="75" t="str">
        <f t="shared" si="6"/>
        <v>Adquisicion PF No_Premier Nómina Especial Mercado_Abierto Pago_Fijo_Puntual 10 0.0945</v>
      </c>
      <c r="C154" s="75" t="s">
        <v>114</v>
      </c>
      <c r="D154" s="75" t="s">
        <v>132</v>
      </c>
      <c r="E154" s="75" t="s">
        <v>179</v>
      </c>
      <c r="F154" s="75" t="s">
        <v>182</v>
      </c>
      <c r="G154" s="75" t="s">
        <v>396</v>
      </c>
      <c r="H154" s="75"/>
      <c r="I154" s="75" t="s">
        <v>171</v>
      </c>
      <c r="J154" s="76">
        <v>10</v>
      </c>
      <c r="K154" s="516" t="s">
        <v>385</v>
      </c>
      <c r="L154" s="517">
        <v>13.05</v>
      </c>
      <c r="M154" s="517">
        <v>13.71</v>
      </c>
      <c r="N154" s="518">
        <v>9.4500000000000001E-2</v>
      </c>
      <c r="O154" s="518">
        <v>0.09</v>
      </c>
      <c r="P154" s="518">
        <v>0.10050000000000001</v>
      </c>
      <c r="Q154" s="78">
        <v>0.44</v>
      </c>
      <c r="R154" s="78">
        <v>0.31740000000000002</v>
      </c>
      <c r="S154" s="69">
        <v>2.5000000000000001E-2</v>
      </c>
      <c r="T154" s="69">
        <v>5.0000000000000001E-3</v>
      </c>
      <c r="U154" s="518">
        <v>0.7</v>
      </c>
      <c r="V154" s="76">
        <v>0</v>
      </c>
      <c r="W154" s="76">
        <v>250</v>
      </c>
      <c r="X154" s="76"/>
      <c r="Y154" s="516" t="s">
        <v>470</v>
      </c>
    </row>
    <row r="155" spans="1:25" x14ac:dyDescent="0.25">
      <c r="A155" s="75" t="str">
        <f t="shared" si="7"/>
        <v>Adquisicion PF No_Premier Nómina Especial Mercado_Abierto Pago_Fijo_Puntual 10</v>
      </c>
      <c r="B155" s="75" t="str">
        <f t="shared" si="6"/>
        <v>Adquisicion PF No_Premier Nómina Especial Mercado_Abierto Pago_Fijo_Puntual 10 0.101</v>
      </c>
      <c r="C155" s="75" t="s">
        <v>114</v>
      </c>
      <c r="D155" s="75" t="s">
        <v>132</v>
      </c>
      <c r="E155" s="75" t="s">
        <v>179</v>
      </c>
      <c r="F155" s="75" t="s">
        <v>182</v>
      </c>
      <c r="G155" s="75" t="s">
        <v>396</v>
      </c>
      <c r="H155" s="75"/>
      <c r="I155" s="75" t="s">
        <v>171</v>
      </c>
      <c r="J155" s="76">
        <v>10</v>
      </c>
      <c r="K155" s="516" t="s">
        <v>386</v>
      </c>
      <c r="L155" s="517">
        <v>13.42</v>
      </c>
      <c r="M155" s="517">
        <v>14.08</v>
      </c>
      <c r="N155" s="518">
        <v>0.10100000000000001</v>
      </c>
      <c r="O155" s="518">
        <v>9.8000000000000004E-2</v>
      </c>
      <c r="P155" s="518">
        <v>0.11</v>
      </c>
      <c r="Q155" s="78">
        <v>0.44</v>
      </c>
      <c r="R155" s="78">
        <v>0.31740000000000002</v>
      </c>
      <c r="S155" s="69">
        <v>2.5000000000000001E-2</v>
      </c>
      <c r="T155" s="69">
        <v>5.0000000000000001E-3</v>
      </c>
      <c r="U155" s="518">
        <v>0.7</v>
      </c>
      <c r="V155" s="76">
        <v>0</v>
      </c>
      <c r="W155" s="76">
        <v>250</v>
      </c>
      <c r="X155" s="76"/>
      <c r="Y155" s="516" t="s">
        <v>470</v>
      </c>
    </row>
    <row r="156" spans="1:25" x14ac:dyDescent="0.25">
      <c r="A156" s="75" t="str">
        <f t="shared" si="7"/>
        <v>Adquisicion PF No_Premier Nómina Especial Mercado_Abierto Pago_Fijo_Puntual 5</v>
      </c>
      <c r="B156" s="75" t="str">
        <f t="shared" si="6"/>
        <v>Adquisicion PF No_Premier Nómina Especial Mercado_Abierto Pago_Fijo_Puntual 5 0.0945</v>
      </c>
      <c r="C156" s="75" t="s">
        <v>114</v>
      </c>
      <c r="D156" s="75" t="s">
        <v>132</v>
      </c>
      <c r="E156" s="75" t="s">
        <v>179</v>
      </c>
      <c r="F156" s="75" t="s">
        <v>182</v>
      </c>
      <c r="G156" s="75" t="s">
        <v>396</v>
      </c>
      <c r="H156" s="75"/>
      <c r="I156" s="75" t="s">
        <v>171</v>
      </c>
      <c r="J156" s="76">
        <v>5</v>
      </c>
      <c r="K156" s="516" t="s">
        <v>385</v>
      </c>
      <c r="L156" s="517">
        <v>21.02</v>
      </c>
      <c r="M156" s="517">
        <v>21.68</v>
      </c>
      <c r="N156" s="518">
        <v>9.4500000000000001E-2</v>
      </c>
      <c r="O156" s="518">
        <v>0.09</v>
      </c>
      <c r="P156" s="518">
        <v>0.10050000000000001</v>
      </c>
      <c r="Q156" s="78">
        <v>0.44</v>
      </c>
      <c r="R156" s="78">
        <v>0.31740000000000002</v>
      </c>
      <c r="S156" s="69">
        <v>2.5000000000000001E-2</v>
      </c>
      <c r="T156" s="69">
        <v>5.0000000000000001E-3</v>
      </c>
      <c r="U156" s="518">
        <v>0.7</v>
      </c>
      <c r="V156" s="76">
        <v>0</v>
      </c>
      <c r="W156" s="76">
        <v>250</v>
      </c>
      <c r="X156" s="76"/>
      <c r="Y156" s="516" t="s">
        <v>470</v>
      </c>
    </row>
    <row r="157" spans="1:25" x14ac:dyDescent="0.25">
      <c r="A157" s="75" t="str">
        <f t="shared" si="7"/>
        <v>Adquisicion PF No_Premier Nómina Especial Mercado_Abierto Pago_Fijo_Puntual 5</v>
      </c>
      <c r="B157" s="75" t="str">
        <f t="shared" si="6"/>
        <v>Adquisicion PF No_Premier Nómina Especial Mercado_Abierto Pago_Fijo_Puntual 5 0.101</v>
      </c>
      <c r="C157" s="75" t="s">
        <v>114</v>
      </c>
      <c r="D157" s="75" t="s">
        <v>132</v>
      </c>
      <c r="E157" s="75" t="s">
        <v>179</v>
      </c>
      <c r="F157" s="75" t="s">
        <v>182</v>
      </c>
      <c r="G157" s="75" t="s">
        <v>396</v>
      </c>
      <c r="H157" s="75"/>
      <c r="I157" s="75" t="s">
        <v>171</v>
      </c>
      <c r="J157" s="76">
        <v>5</v>
      </c>
      <c r="K157" s="516" t="s">
        <v>386</v>
      </c>
      <c r="L157" s="517">
        <v>21.34</v>
      </c>
      <c r="M157" s="517">
        <v>22</v>
      </c>
      <c r="N157" s="518">
        <v>0.10100000000000001</v>
      </c>
      <c r="O157" s="518">
        <v>9.8000000000000004E-2</v>
      </c>
      <c r="P157" s="518">
        <v>0.11</v>
      </c>
      <c r="Q157" s="78">
        <v>0.44</v>
      </c>
      <c r="R157" s="78">
        <v>0.31740000000000002</v>
      </c>
      <c r="S157" s="69">
        <v>2.5000000000000001E-2</v>
      </c>
      <c r="T157" s="69">
        <v>5.0000000000000001E-3</v>
      </c>
      <c r="U157" s="518">
        <v>0.7</v>
      </c>
      <c r="V157" s="76">
        <v>0</v>
      </c>
      <c r="W157" s="76">
        <v>250</v>
      </c>
      <c r="X157" s="76"/>
      <c r="Y157" s="516" t="s">
        <v>470</v>
      </c>
    </row>
    <row r="158" spans="1:25" x14ac:dyDescent="0.25">
      <c r="A158" s="75" t="str">
        <f t="shared" si="7"/>
        <v>Adquisicion PF No_Premier Nómina Especial Mercado_Abierto Pago_Bajo_Puntual 20</v>
      </c>
      <c r="B158" s="75" t="str">
        <f t="shared" si="6"/>
        <v>Adquisicion PF No_Premier Nómina Especial Mercado_Abierto Pago_Bajo_Puntual 20 0.0945</v>
      </c>
      <c r="C158" s="75" t="s">
        <v>114</v>
      </c>
      <c r="D158" s="75" t="s">
        <v>132</v>
      </c>
      <c r="E158" s="75" t="s">
        <v>179</v>
      </c>
      <c r="F158" s="75" t="s">
        <v>182</v>
      </c>
      <c r="G158" s="75" t="s">
        <v>396</v>
      </c>
      <c r="H158" s="75"/>
      <c r="I158" s="75" t="s">
        <v>170</v>
      </c>
      <c r="J158" s="76">
        <v>20</v>
      </c>
      <c r="K158" s="516" t="s">
        <v>385</v>
      </c>
      <c r="L158" s="517">
        <v>8.4</v>
      </c>
      <c r="M158" s="517">
        <v>9.06</v>
      </c>
      <c r="N158" s="518">
        <v>9.4500000000000001E-2</v>
      </c>
      <c r="O158" s="518">
        <v>0.09</v>
      </c>
      <c r="P158" s="518">
        <v>0.10050000000000001</v>
      </c>
      <c r="Q158" s="78">
        <v>0.44</v>
      </c>
      <c r="R158" s="78">
        <v>0.31740000000000002</v>
      </c>
      <c r="S158" s="69">
        <v>2.5000000000000001E-2</v>
      </c>
      <c r="T158" s="69">
        <v>5.0000000000000001E-3</v>
      </c>
      <c r="U158" s="518">
        <v>0.7</v>
      </c>
      <c r="V158" s="76">
        <v>0</v>
      </c>
      <c r="W158" s="76">
        <v>250</v>
      </c>
      <c r="X158" s="76"/>
      <c r="Y158" s="516" t="s">
        <v>470</v>
      </c>
    </row>
    <row r="159" spans="1:25" x14ac:dyDescent="0.25">
      <c r="A159" s="75" t="str">
        <f t="shared" si="7"/>
        <v>Adquisicion PF No_Premier Nómina Especial Mercado_Abierto Pago_Bajo_Puntual 20</v>
      </c>
      <c r="B159" s="75" t="str">
        <f t="shared" si="6"/>
        <v>Adquisicion PF No_Premier Nómina Especial Mercado_Abierto Pago_Bajo_Puntual 20 0.101</v>
      </c>
      <c r="C159" s="75" t="s">
        <v>114</v>
      </c>
      <c r="D159" s="75" t="s">
        <v>132</v>
      </c>
      <c r="E159" s="75" t="s">
        <v>179</v>
      </c>
      <c r="F159" s="75" t="s">
        <v>182</v>
      </c>
      <c r="G159" s="75" t="s">
        <v>396</v>
      </c>
      <c r="H159" s="75"/>
      <c r="I159" s="75" t="s">
        <v>170</v>
      </c>
      <c r="J159" s="76">
        <v>20</v>
      </c>
      <c r="K159" s="516" t="s">
        <v>386</v>
      </c>
      <c r="L159" s="517">
        <v>8.8800000000000008</v>
      </c>
      <c r="M159" s="517">
        <v>9.5399999999999991</v>
      </c>
      <c r="N159" s="518">
        <v>0.10100000000000001</v>
      </c>
      <c r="O159" s="518">
        <v>9.8000000000000004E-2</v>
      </c>
      <c r="P159" s="518">
        <v>0.11</v>
      </c>
      <c r="Q159" s="78">
        <v>0.44</v>
      </c>
      <c r="R159" s="78">
        <v>0.31740000000000002</v>
      </c>
      <c r="S159" s="69">
        <v>2.5000000000000001E-2</v>
      </c>
      <c r="T159" s="69">
        <v>5.0000000000000001E-3</v>
      </c>
      <c r="U159" s="518">
        <v>0.7</v>
      </c>
      <c r="V159" s="76">
        <v>0</v>
      </c>
      <c r="W159" s="76">
        <v>250</v>
      </c>
      <c r="X159" s="76"/>
      <c r="Y159" s="516" t="s">
        <v>470</v>
      </c>
    </row>
    <row r="160" spans="1:25" x14ac:dyDescent="0.25">
      <c r="A160" s="75" t="str">
        <f t="shared" si="7"/>
        <v>Adquisicion PF No_Premier Nómina Especial Mercado_Abierto Pago_Bajo_Puntual 15</v>
      </c>
      <c r="B160" s="75" t="str">
        <f t="shared" si="6"/>
        <v>Adquisicion PF No_Premier Nómina Especial Mercado_Abierto Pago_Bajo_Puntual 15 0.0945</v>
      </c>
      <c r="C160" s="75" t="s">
        <v>114</v>
      </c>
      <c r="D160" s="75" t="s">
        <v>132</v>
      </c>
      <c r="E160" s="75" t="s">
        <v>179</v>
      </c>
      <c r="F160" s="75" t="s">
        <v>182</v>
      </c>
      <c r="G160" s="75" t="s">
        <v>396</v>
      </c>
      <c r="H160" s="75"/>
      <c r="I160" s="75" t="s">
        <v>170</v>
      </c>
      <c r="J160" s="76">
        <v>15</v>
      </c>
      <c r="K160" s="516" t="s">
        <v>385</v>
      </c>
      <c r="L160" s="517">
        <v>9.59</v>
      </c>
      <c r="M160" s="517">
        <v>10.25</v>
      </c>
      <c r="N160" s="518">
        <v>9.4500000000000001E-2</v>
      </c>
      <c r="O160" s="518">
        <v>0.09</v>
      </c>
      <c r="P160" s="518">
        <v>0.10050000000000001</v>
      </c>
      <c r="Q160" s="78">
        <v>0.44</v>
      </c>
      <c r="R160" s="78">
        <v>0.31740000000000002</v>
      </c>
      <c r="S160" s="69">
        <v>2.5000000000000001E-2</v>
      </c>
      <c r="T160" s="69">
        <v>5.0000000000000001E-3</v>
      </c>
      <c r="U160" s="518">
        <v>0.7</v>
      </c>
      <c r="V160" s="76">
        <v>0</v>
      </c>
      <c r="W160" s="76">
        <v>250</v>
      </c>
      <c r="X160" s="76"/>
      <c r="Y160" s="516" t="s">
        <v>470</v>
      </c>
    </row>
    <row r="161" spans="1:25" x14ac:dyDescent="0.25">
      <c r="A161" s="75" t="str">
        <f t="shared" si="7"/>
        <v>Adquisicion PF No_Premier Nómina Especial Mercado_Abierto Pago_Bajo_Puntual 15</v>
      </c>
      <c r="B161" s="75" t="str">
        <f t="shared" si="6"/>
        <v>Adquisicion PF No_Premier Nómina Especial Mercado_Abierto Pago_Bajo_Puntual 15 0.101</v>
      </c>
      <c r="C161" s="75" t="s">
        <v>114</v>
      </c>
      <c r="D161" s="75" t="s">
        <v>132</v>
      </c>
      <c r="E161" s="75" t="s">
        <v>179</v>
      </c>
      <c r="F161" s="75" t="s">
        <v>182</v>
      </c>
      <c r="G161" s="75" t="s">
        <v>396</v>
      </c>
      <c r="H161" s="75"/>
      <c r="I161" s="75" t="s">
        <v>170</v>
      </c>
      <c r="J161" s="76">
        <v>15</v>
      </c>
      <c r="K161" s="516" t="s">
        <v>386</v>
      </c>
      <c r="L161" s="517">
        <v>10.01</v>
      </c>
      <c r="M161" s="517">
        <v>10.67</v>
      </c>
      <c r="N161" s="518">
        <v>0.10100000000000001</v>
      </c>
      <c r="O161" s="518">
        <v>9.8000000000000004E-2</v>
      </c>
      <c r="P161" s="518">
        <v>0.11</v>
      </c>
      <c r="Q161" s="78">
        <v>0.44</v>
      </c>
      <c r="R161" s="78">
        <v>0.31740000000000002</v>
      </c>
      <c r="S161" s="69">
        <v>2.5000000000000001E-2</v>
      </c>
      <c r="T161" s="69">
        <v>5.0000000000000001E-3</v>
      </c>
      <c r="U161" s="518">
        <v>0.7</v>
      </c>
      <c r="V161" s="76">
        <v>0</v>
      </c>
      <c r="W161" s="76">
        <v>250</v>
      </c>
      <c r="X161" s="76"/>
      <c r="Y161" s="516" t="s">
        <v>470</v>
      </c>
    </row>
    <row r="162" spans="1:25" x14ac:dyDescent="0.25">
      <c r="A162" s="75" t="str">
        <f t="shared" si="7"/>
        <v>Adquisicion PF No_Premier Nómina Especial Mercado_Abierto Pago_Bajo_Puntual 10</v>
      </c>
      <c r="B162" s="75" t="str">
        <f t="shared" si="6"/>
        <v>Adquisicion PF No_Premier Nómina Especial Mercado_Abierto Pago_Bajo_Puntual 10 0.0945</v>
      </c>
      <c r="C162" s="75" t="s">
        <v>114</v>
      </c>
      <c r="D162" s="75" t="s">
        <v>132</v>
      </c>
      <c r="E162" s="75" t="s">
        <v>179</v>
      </c>
      <c r="F162" s="75" t="s">
        <v>182</v>
      </c>
      <c r="G162" s="75" t="s">
        <v>396</v>
      </c>
      <c r="H162" s="75"/>
      <c r="I162" s="75" t="s">
        <v>170</v>
      </c>
      <c r="J162" s="76">
        <v>10</v>
      </c>
      <c r="K162" s="516" t="s">
        <v>385</v>
      </c>
      <c r="L162" s="517">
        <v>12.15</v>
      </c>
      <c r="M162" s="517">
        <v>12.81</v>
      </c>
      <c r="N162" s="518">
        <v>9.4500000000000001E-2</v>
      </c>
      <c r="O162" s="518">
        <v>0.09</v>
      </c>
      <c r="P162" s="518">
        <v>0.10050000000000001</v>
      </c>
      <c r="Q162" s="78">
        <v>0.44</v>
      </c>
      <c r="R162" s="78">
        <v>0.31740000000000002</v>
      </c>
      <c r="S162" s="69">
        <v>2.5000000000000001E-2</v>
      </c>
      <c r="T162" s="69">
        <v>5.0000000000000001E-3</v>
      </c>
      <c r="U162" s="518">
        <v>0.7</v>
      </c>
      <c r="V162" s="76">
        <v>0</v>
      </c>
      <c r="W162" s="76">
        <v>250</v>
      </c>
      <c r="X162" s="76"/>
      <c r="Y162" s="516" t="s">
        <v>470</v>
      </c>
    </row>
    <row r="163" spans="1:25" x14ac:dyDescent="0.25">
      <c r="A163" s="75" t="str">
        <f t="shared" si="7"/>
        <v>Adquisicion PF No_Premier Nómina Especial Mercado_Abierto Pago_Bajo_Puntual 10</v>
      </c>
      <c r="B163" s="75" t="str">
        <f t="shared" si="6"/>
        <v>Adquisicion PF No_Premier Nómina Especial Mercado_Abierto Pago_Bajo_Puntual 10 0.101</v>
      </c>
      <c r="C163" s="75" t="s">
        <v>114</v>
      </c>
      <c r="D163" s="75" t="s">
        <v>132</v>
      </c>
      <c r="E163" s="75" t="s">
        <v>179</v>
      </c>
      <c r="F163" s="75" t="s">
        <v>182</v>
      </c>
      <c r="G163" s="75" t="s">
        <v>396</v>
      </c>
      <c r="H163" s="75"/>
      <c r="I163" s="75" t="s">
        <v>170</v>
      </c>
      <c r="J163" s="76">
        <v>10</v>
      </c>
      <c r="K163" s="516" t="s">
        <v>386</v>
      </c>
      <c r="L163" s="517">
        <v>12.51</v>
      </c>
      <c r="M163" s="517">
        <v>13.17</v>
      </c>
      <c r="N163" s="518">
        <v>0.10100000000000001</v>
      </c>
      <c r="O163" s="518">
        <v>9.8000000000000004E-2</v>
      </c>
      <c r="P163" s="518">
        <v>0.11</v>
      </c>
      <c r="Q163" s="78">
        <v>0.44</v>
      </c>
      <c r="R163" s="78">
        <v>0.31740000000000002</v>
      </c>
      <c r="S163" s="69">
        <v>2.5000000000000001E-2</v>
      </c>
      <c r="T163" s="69">
        <v>5.0000000000000001E-3</v>
      </c>
      <c r="U163" s="518">
        <v>0.7</v>
      </c>
      <c r="V163" s="76">
        <v>0</v>
      </c>
      <c r="W163" s="76">
        <v>250</v>
      </c>
      <c r="X163" s="76"/>
      <c r="Y163" s="516" t="s">
        <v>470</v>
      </c>
    </row>
    <row r="164" spans="1:25" x14ac:dyDescent="0.25">
      <c r="A164" s="75" t="str">
        <f t="shared" si="7"/>
        <v>Adquisicion PF No_Premier Nómina Especial Mercado_Abierto Pago_Bajo_Puntual 5</v>
      </c>
      <c r="B164" s="75" t="str">
        <f t="shared" si="6"/>
        <v>Adquisicion PF No_Premier Nómina Especial Mercado_Abierto Pago_Bajo_Puntual 5 0.0945</v>
      </c>
      <c r="C164" s="75" t="s">
        <v>114</v>
      </c>
      <c r="D164" s="75" t="s">
        <v>132</v>
      </c>
      <c r="E164" s="75" t="s">
        <v>179</v>
      </c>
      <c r="F164" s="75" t="s">
        <v>182</v>
      </c>
      <c r="G164" s="75" t="s">
        <v>396</v>
      </c>
      <c r="H164" s="75"/>
      <c r="I164" s="75" t="s">
        <v>170</v>
      </c>
      <c r="J164" s="76">
        <v>5</v>
      </c>
      <c r="K164" s="516" t="s">
        <v>385</v>
      </c>
      <c r="L164" s="517">
        <v>20.309999999999999</v>
      </c>
      <c r="M164" s="517">
        <v>20.97</v>
      </c>
      <c r="N164" s="518">
        <v>9.4500000000000001E-2</v>
      </c>
      <c r="O164" s="518">
        <v>0.09</v>
      </c>
      <c r="P164" s="518">
        <v>0.10050000000000001</v>
      </c>
      <c r="Q164" s="78">
        <v>0.44</v>
      </c>
      <c r="R164" s="78">
        <v>0.31740000000000002</v>
      </c>
      <c r="S164" s="69">
        <v>2.5000000000000001E-2</v>
      </c>
      <c r="T164" s="69">
        <v>5.0000000000000001E-3</v>
      </c>
      <c r="U164" s="518">
        <v>0.7</v>
      </c>
      <c r="V164" s="76">
        <v>0</v>
      </c>
      <c r="W164" s="76">
        <v>250</v>
      </c>
      <c r="X164" s="76"/>
      <c r="Y164" s="516" t="s">
        <v>470</v>
      </c>
    </row>
    <row r="165" spans="1:25" x14ac:dyDescent="0.25">
      <c r="A165" s="75" t="str">
        <f t="shared" si="7"/>
        <v>Adquisicion PF No_Premier Nómina Especial Mercado_Abierto Pago_Bajo_Puntual 5</v>
      </c>
      <c r="B165" s="75" t="str">
        <f t="shared" si="6"/>
        <v>Adquisicion PF No_Premier Nómina Especial Mercado_Abierto Pago_Bajo_Puntual 5 0.101</v>
      </c>
      <c r="C165" s="75" t="s">
        <v>114</v>
      </c>
      <c r="D165" s="75" t="s">
        <v>132</v>
      </c>
      <c r="E165" s="75" t="s">
        <v>179</v>
      </c>
      <c r="F165" s="75" t="s">
        <v>182</v>
      </c>
      <c r="G165" s="75" t="s">
        <v>396</v>
      </c>
      <c r="H165" s="75"/>
      <c r="I165" s="75" t="s">
        <v>170</v>
      </c>
      <c r="J165" s="76">
        <v>5</v>
      </c>
      <c r="K165" s="516" t="s">
        <v>386</v>
      </c>
      <c r="L165" s="517">
        <v>20.62</v>
      </c>
      <c r="M165" s="517">
        <v>21.28</v>
      </c>
      <c r="N165" s="518">
        <v>0.10100000000000001</v>
      </c>
      <c r="O165" s="518">
        <v>9.8000000000000004E-2</v>
      </c>
      <c r="P165" s="518">
        <v>0.11</v>
      </c>
      <c r="Q165" s="78">
        <v>0.44</v>
      </c>
      <c r="R165" s="78">
        <v>0.31740000000000002</v>
      </c>
      <c r="S165" s="69">
        <v>2.5000000000000001E-2</v>
      </c>
      <c r="T165" s="69">
        <v>5.0000000000000001E-3</v>
      </c>
      <c r="U165" s="518">
        <v>0.7</v>
      </c>
      <c r="V165" s="76">
        <v>0</v>
      </c>
      <c r="W165" s="76">
        <v>250</v>
      </c>
      <c r="X165" s="76"/>
      <c r="Y165" s="516" t="s">
        <v>470</v>
      </c>
    </row>
    <row r="166" spans="1:25" x14ac:dyDescent="0.25">
      <c r="A166" s="75" t="str">
        <f t="shared" si="7"/>
        <v>Adquisicion PF No_Premier Normal Cofinavit Pago_Fijo_Puntual Si 25</v>
      </c>
      <c r="B166" s="75" t="str">
        <f t="shared" si="6"/>
        <v>Adquisicion PF No_Premier Normal Cofinavit Pago_Fijo_Puntual Si 25 0.103</v>
      </c>
      <c r="C166" s="75" t="s">
        <v>114</v>
      </c>
      <c r="D166" s="75" t="s">
        <v>132</v>
      </c>
      <c r="E166" s="75" t="s">
        <v>179</v>
      </c>
      <c r="F166" s="75" t="s">
        <v>180</v>
      </c>
      <c r="G166" s="75" t="s">
        <v>113</v>
      </c>
      <c r="H166" s="75"/>
      <c r="I166" s="75" t="s">
        <v>171</v>
      </c>
      <c r="J166" s="76">
        <v>25</v>
      </c>
      <c r="K166" s="519" t="s">
        <v>387</v>
      </c>
      <c r="L166" s="520">
        <v>9.65</v>
      </c>
      <c r="M166" s="520">
        <v>10.31</v>
      </c>
      <c r="N166" s="507">
        <v>0.10299999999999999</v>
      </c>
      <c r="O166" s="507">
        <v>0.1</v>
      </c>
      <c r="P166" s="507">
        <v>0.112</v>
      </c>
      <c r="Q166" s="78">
        <v>0.44</v>
      </c>
      <c r="R166" s="78">
        <v>0.31740000000000002</v>
      </c>
      <c r="S166" s="69">
        <v>2.5000000000000001E-2</v>
      </c>
      <c r="T166" s="69">
        <v>5.0000000000000001E-3</v>
      </c>
      <c r="U166" s="507">
        <v>0.95</v>
      </c>
      <c r="V166" s="76">
        <v>0</v>
      </c>
      <c r="W166" s="76">
        <v>0</v>
      </c>
      <c r="X166" s="76" t="s">
        <v>147</v>
      </c>
      <c r="Y166" s="519" t="s">
        <v>469</v>
      </c>
    </row>
    <row r="167" spans="1:25" x14ac:dyDescent="0.25">
      <c r="A167" s="75" t="str">
        <f t="shared" si="7"/>
        <v>Adquisicion PF No_Premier Normal Cofinavit Pago_Fijo_Puntual 25</v>
      </c>
      <c r="B167" s="75" t="str">
        <f t="shared" si="6"/>
        <v>Adquisicion PF No_Premier Normal Cofinavit Pago_Fijo_Puntual 25 0.106</v>
      </c>
      <c r="C167" s="75" t="s">
        <v>114</v>
      </c>
      <c r="D167" s="75" t="s">
        <v>132</v>
      </c>
      <c r="E167" s="75" t="s">
        <v>179</v>
      </c>
      <c r="F167" s="75" t="s">
        <v>180</v>
      </c>
      <c r="G167" s="75" t="s">
        <v>113</v>
      </c>
      <c r="H167" s="75"/>
      <c r="I167" s="75" t="s">
        <v>171</v>
      </c>
      <c r="J167" s="76">
        <v>25</v>
      </c>
      <c r="K167" s="519">
        <v>3</v>
      </c>
      <c r="L167" s="520">
        <v>9.93</v>
      </c>
      <c r="M167" s="520">
        <v>10.59</v>
      </c>
      <c r="N167" s="507">
        <v>0.106</v>
      </c>
      <c r="O167" s="507">
        <v>0.10299999999999999</v>
      </c>
      <c r="P167" s="507">
        <v>0.11799999999999999</v>
      </c>
      <c r="Q167" s="78">
        <v>0.44</v>
      </c>
      <c r="R167" s="78">
        <v>0.31740000000000002</v>
      </c>
      <c r="S167" s="69">
        <v>2.5000000000000001E-2</v>
      </c>
      <c r="T167" s="69">
        <v>5.0000000000000001E-3</v>
      </c>
      <c r="U167" s="507">
        <v>0.95</v>
      </c>
      <c r="V167" s="76">
        <v>0</v>
      </c>
      <c r="W167" s="76">
        <v>0</v>
      </c>
      <c r="X167" s="76"/>
      <c r="Y167" s="519" t="s">
        <v>469</v>
      </c>
    </row>
    <row r="168" spans="1:25" x14ac:dyDescent="0.25">
      <c r="A168" s="75" t="str">
        <f t="shared" si="7"/>
        <v>Adquisicion PF No_Premier Normal Cofinavit Pago_Fijo_Puntual Si 20</v>
      </c>
      <c r="B168" s="75" t="str">
        <f t="shared" si="6"/>
        <v>Adquisicion PF No_Premier Normal Cofinavit Pago_Fijo_Puntual Si 20 0.103</v>
      </c>
      <c r="C168" s="75" t="s">
        <v>114</v>
      </c>
      <c r="D168" s="75" t="s">
        <v>132</v>
      </c>
      <c r="E168" s="75" t="s">
        <v>179</v>
      </c>
      <c r="F168" s="75" t="s">
        <v>180</v>
      </c>
      <c r="G168" s="75" t="s">
        <v>113</v>
      </c>
      <c r="H168" s="75"/>
      <c r="I168" s="75" t="s">
        <v>171</v>
      </c>
      <c r="J168" s="76">
        <v>20</v>
      </c>
      <c r="K168" s="519" t="s">
        <v>387</v>
      </c>
      <c r="L168" s="520">
        <v>10.16</v>
      </c>
      <c r="M168" s="520">
        <v>10.82</v>
      </c>
      <c r="N168" s="507">
        <v>0.10299999999999999</v>
      </c>
      <c r="O168" s="507">
        <v>0.1</v>
      </c>
      <c r="P168" s="507">
        <v>0.112</v>
      </c>
      <c r="Q168" s="78">
        <v>0.44</v>
      </c>
      <c r="R168" s="78">
        <v>0.31740000000000002</v>
      </c>
      <c r="S168" s="69">
        <v>2.5000000000000001E-2</v>
      </c>
      <c r="T168" s="69">
        <v>5.0000000000000001E-3</v>
      </c>
      <c r="U168" s="507">
        <v>0.95</v>
      </c>
      <c r="V168" s="76">
        <v>0</v>
      </c>
      <c r="W168" s="76">
        <v>0</v>
      </c>
      <c r="X168" s="76" t="s">
        <v>147</v>
      </c>
      <c r="Y168" s="519" t="s">
        <v>469</v>
      </c>
    </row>
    <row r="169" spans="1:25" x14ac:dyDescent="0.25">
      <c r="A169" s="75" t="str">
        <f t="shared" si="7"/>
        <v>Adquisicion PF No_Premier Normal Cofinavit Pago_Fijo_Puntual 20</v>
      </c>
      <c r="B169" s="75" t="str">
        <f t="shared" si="6"/>
        <v>Adquisicion PF No_Premier Normal Cofinavit Pago_Fijo_Puntual 20 0.106</v>
      </c>
      <c r="C169" s="75" t="s">
        <v>114</v>
      </c>
      <c r="D169" s="75" t="s">
        <v>132</v>
      </c>
      <c r="E169" s="75" t="s">
        <v>179</v>
      </c>
      <c r="F169" s="75" t="s">
        <v>180</v>
      </c>
      <c r="G169" s="75" t="s">
        <v>113</v>
      </c>
      <c r="H169" s="75"/>
      <c r="I169" s="75" t="s">
        <v>171</v>
      </c>
      <c r="J169" s="76">
        <v>20</v>
      </c>
      <c r="K169" s="519">
        <v>3</v>
      </c>
      <c r="L169" s="520">
        <v>10.41</v>
      </c>
      <c r="M169" s="520">
        <v>11.07</v>
      </c>
      <c r="N169" s="507">
        <v>0.106</v>
      </c>
      <c r="O169" s="507">
        <v>0.10299999999999999</v>
      </c>
      <c r="P169" s="507">
        <v>0.11799999999999999</v>
      </c>
      <c r="Q169" s="78">
        <v>0.44</v>
      </c>
      <c r="R169" s="78">
        <v>0.31740000000000002</v>
      </c>
      <c r="S169" s="69">
        <v>2.5000000000000001E-2</v>
      </c>
      <c r="T169" s="69">
        <v>5.0000000000000001E-3</v>
      </c>
      <c r="U169" s="507">
        <v>0.95</v>
      </c>
      <c r="V169" s="76">
        <v>0</v>
      </c>
      <c r="W169" s="76">
        <v>0</v>
      </c>
      <c r="X169" s="76"/>
      <c r="Y169" s="519" t="s">
        <v>469</v>
      </c>
    </row>
    <row r="170" spans="1:25" x14ac:dyDescent="0.25">
      <c r="A170" s="75" t="str">
        <f t="shared" si="7"/>
        <v>Adquisicion PF No_Premier Normal Cofinavit Pago_Fijo_Puntual Si 15</v>
      </c>
      <c r="B170" s="75" t="str">
        <f t="shared" si="6"/>
        <v>Adquisicion PF No_Premier Normal Cofinavit Pago_Fijo_Puntual Si 15 0.103</v>
      </c>
      <c r="C170" s="75" t="s">
        <v>114</v>
      </c>
      <c r="D170" s="75" t="s">
        <v>132</v>
      </c>
      <c r="E170" s="75" t="s">
        <v>179</v>
      </c>
      <c r="F170" s="75" t="s">
        <v>180</v>
      </c>
      <c r="G170" s="75" t="s">
        <v>113</v>
      </c>
      <c r="H170" s="75"/>
      <c r="I170" s="75" t="s">
        <v>171</v>
      </c>
      <c r="J170" s="76">
        <v>15</v>
      </c>
      <c r="K170" s="519" t="s">
        <v>387</v>
      </c>
      <c r="L170" s="520">
        <v>11.18</v>
      </c>
      <c r="M170" s="520">
        <v>11.84</v>
      </c>
      <c r="N170" s="507">
        <v>0.10299999999999999</v>
      </c>
      <c r="O170" s="507">
        <v>0.1</v>
      </c>
      <c r="P170" s="507">
        <v>0.112</v>
      </c>
      <c r="Q170" s="78">
        <v>0.44</v>
      </c>
      <c r="R170" s="78">
        <v>0.31740000000000002</v>
      </c>
      <c r="S170" s="69">
        <v>2.5000000000000001E-2</v>
      </c>
      <c r="T170" s="69">
        <v>5.0000000000000001E-3</v>
      </c>
      <c r="U170" s="507">
        <v>0.95</v>
      </c>
      <c r="V170" s="76">
        <v>0</v>
      </c>
      <c r="W170" s="76">
        <v>0</v>
      </c>
      <c r="X170" s="76" t="s">
        <v>147</v>
      </c>
      <c r="Y170" s="519" t="s">
        <v>469</v>
      </c>
    </row>
    <row r="171" spans="1:25" x14ac:dyDescent="0.25">
      <c r="A171" s="75" t="str">
        <f t="shared" si="7"/>
        <v>Adquisicion PF No_Premier Normal Cofinavit Pago_Fijo_Puntual 15</v>
      </c>
      <c r="B171" s="75" t="str">
        <f t="shared" si="6"/>
        <v>Adquisicion PF No_Premier Normal Cofinavit Pago_Fijo_Puntual 15 0.106</v>
      </c>
      <c r="C171" s="75" t="s">
        <v>114</v>
      </c>
      <c r="D171" s="75" t="s">
        <v>132</v>
      </c>
      <c r="E171" s="75" t="s">
        <v>179</v>
      </c>
      <c r="F171" s="75" t="s">
        <v>180</v>
      </c>
      <c r="G171" s="75" t="s">
        <v>113</v>
      </c>
      <c r="H171" s="75"/>
      <c r="I171" s="75" t="s">
        <v>171</v>
      </c>
      <c r="J171" s="76">
        <v>15</v>
      </c>
      <c r="K171" s="519">
        <v>3</v>
      </c>
      <c r="L171" s="520">
        <v>11.39</v>
      </c>
      <c r="M171" s="520">
        <v>12.05</v>
      </c>
      <c r="N171" s="507">
        <v>0.106</v>
      </c>
      <c r="O171" s="507">
        <v>0.10299999999999999</v>
      </c>
      <c r="P171" s="507">
        <v>0.11799999999999999</v>
      </c>
      <c r="Q171" s="78">
        <v>0.44</v>
      </c>
      <c r="R171" s="78">
        <v>0.31740000000000002</v>
      </c>
      <c r="S171" s="69">
        <v>2.5000000000000001E-2</v>
      </c>
      <c r="T171" s="69">
        <v>5.0000000000000001E-3</v>
      </c>
      <c r="U171" s="507">
        <v>0.95</v>
      </c>
      <c r="V171" s="76">
        <v>0</v>
      </c>
      <c r="W171" s="76">
        <v>0</v>
      </c>
      <c r="X171" s="76"/>
      <c r="Y171" s="519" t="s">
        <v>469</v>
      </c>
    </row>
    <row r="172" spans="1:25" x14ac:dyDescent="0.25">
      <c r="A172" s="75" t="str">
        <f t="shared" si="7"/>
        <v>Adquisicion PF No_Premier Normal Cofinavit Pago_Fijo_Puntual Si 10</v>
      </c>
      <c r="B172" s="75" t="str">
        <f t="shared" si="6"/>
        <v>Adquisicion PF No_Premier Normal Cofinavit Pago_Fijo_Puntual Si 10 0.103</v>
      </c>
      <c r="C172" s="75" t="s">
        <v>114</v>
      </c>
      <c r="D172" s="75" t="s">
        <v>132</v>
      </c>
      <c r="E172" s="75" t="s">
        <v>179</v>
      </c>
      <c r="F172" s="75" t="s">
        <v>180</v>
      </c>
      <c r="G172" s="75" t="s">
        <v>113</v>
      </c>
      <c r="H172" s="75"/>
      <c r="I172" s="75" t="s">
        <v>171</v>
      </c>
      <c r="J172" s="76">
        <v>10</v>
      </c>
      <c r="K172" s="519" t="s">
        <v>387</v>
      </c>
      <c r="L172" s="520">
        <v>13.54</v>
      </c>
      <c r="M172" s="520">
        <v>14.2</v>
      </c>
      <c r="N172" s="507">
        <v>0.10299999999999999</v>
      </c>
      <c r="O172" s="507">
        <v>0.1</v>
      </c>
      <c r="P172" s="507">
        <v>0.112</v>
      </c>
      <c r="Q172" s="78">
        <v>0.44</v>
      </c>
      <c r="R172" s="78">
        <v>0.31740000000000002</v>
      </c>
      <c r="S172" s="69">
        <v>2.5000000000000001E-2</v>
      </c>
      <c r="T172" s="69">
        <v>5.0000000000000001E-3</v>
      </c>
      <c r="U172" s="507">
        <v>0.95</v>
      </c>
      <c r="V172" s="76">
        <v>0</v>
      </c>
      <c r="W172" s="76">
        <v>0</v>
      </c>
      <c r="X172" s="76" t="s">
        <v>147</v>
      </c>
      <c r="Y172" s="519" t="s">
        <v>469</v>
      </c>
    </row>
    <row r="173" spans="1:25" x14ac:dyDescent="0.25">
      <c r="A173" s="75" t="str">
        <f t="shared" si="7"/>
        <v>Adquisicion PF No_Premier Normal Cofinavit Pago_Fijo_Puntual 10</v>
      </c>
      <c r="B173" s="75" t="str">
        <f t="shared" si="6"/>
        <v>Adquisicion PF No_Premier Normal Cofinavit Pago_Fijo_Puntual 10 0.106</v>
      </c>
      <c r="C173" s="75" t="s">
        <v>114</v>
      </c>
      <c r="D173" s="75" t="s">
        <v>132</v>
      </c>
      <c r="E173" s="75" t="s">
        <v>179</v>
      </c>
      <c r="F173" s="75" t="s">
        <v>180</v>
      </c>
      <c r="G173" s="75" t="s">
        <v>113</v>
      </c>
      <c r="H173" s="75"/>
      <c r="I173" s="75" t="s">
        <v>171</v>
      </c>
      <c r="J173" s="76">
        <v>10</v>
      </c>
      <c r="K173" s="519">
        <v>3</v>
      </c>
      <c r="L173" s="520">
        <v>13.71</v>
      </c>
      <c r="M173" s="520">
        <v>14.37</v>
      </c>
      <c r="N173" s="507">
        <v>0.106</v>
      </c>
      <c r="O173" s="507">
        <v>0.10299999999999999</v>
      </c>
      <c r="P173" s="507">
        <v>0.11799999999999999</v>
      </c>
      <c r="Q173" s="78">
        <v>0.44</v>
      </c>
      <c r="R173" s="78">
        <v>0.31740000000000002</v>
      </c>
      <c r="S173" s="69">
        <v>2.5000000000000001E-2</v>
      </c>
      <c r="T173" s="69">
        <v>5.0000000000000001E-3</v>
      </c>
      <c r="U173" s="507">
        <v>0.95</v>
      </c>
      <c r="V173" s="76">
        <v>0</v>
      </c>
      <c r="W173" s="76">
        <v>0</v>
      </c>
      <c r="X173" s="76"/>
      <c r="Y173" s="519" t="s">
        <v>469</v>
      </c>
    </row>
    <row r="174" spans="1:25" x14ac:dyDescent="0.25">
      <c r="A174" s="75" t="str">
        <f t="shared" si="7"/>
        <v>Adquisicion PF No_Premier Normal Cofinavit Pago_Fijo_Puntual Si 5</v>
      </c>
      <c r="B174" s="75" t="str">
        <f t="shared" si="6"/>
        <v>Adquisicion PF No_Premier Normal Cofinavit Pago_Fijo_Puntual Si 5 0.103</v>
      </c>
      <c r="C174" s="75" t="s">
        <v>114</v>
      </c>
      <c r="D174" s="75" t="s">
        <v>132</v>
      </c>
      <c r="E174" s="75" t="s">
        <v>179</v>
      </c>
      <c r="F174" s="75" t="s">
        <v>180</v>
      </c>
      <c r="G174" s="75" t="s">
        <v>113</v>
      </c>
      <c r="H174" s="75"/>
      <c r="I174" s="75" t="s">
        <v>171</v>
      </c>
      <c r="J174" s="76">
        <v>5</v>
      </c>
      <c r="K174" s="519" t="s">
        <v>387</v>
      </c>
      <c r="L174" s="520">
        <v>21.44</v>
      </c>
      <c r="M174" s="520">
        <v>22.1</v>
      </c>
      <c r="N174" s="507">
        <v>0.10299999999999999</v>
      </c>
      <c r="O174" s="507">
        <v>0.1</v>
      </c>
      <c r="P174" s="507">
        <v>0.112</v>
      </c>
      <c r="Q174" s="78">
        <v>0.44</v>
      </c>
      <c r="R174" s="78">
        <v>0.31740000000000002</v>
      </c>
      <c r="S174" s="69">
        <v>2.5000000000000001E-2</v>
      </c>
      <c r="T174" s="69">
        <v>5.0000000000000001E-3</v>
      </c>
      <c r="U174" s="507">
        <v>0.95</v>
      </c>
      <c r="V174" s="76">
        <v>0</v>
      </c>
      <c r="W174" s="76">
        <v>0</v>
      </c>
      <c r="X174" s="76" t="s">
        <v>147</v>
      </c>
      <c r="Y174" s="519" t="s">
        <v>469</v>
      </c>
    </row>
    <row r="175" spans="1:25" x14ac:dyDescent="0.25">
      <c r="A175" s="75" t="str">
        <f t="shared" si="7"/>
        <v>Adquisicion PF No_Premier Normal Cofinavit Pago_Fijo_Puntual 5</v>
      </c>
      <c r="B175" s="75" t="str">
        <f t="shared" si="6"/>
        <v>Adquisicion PF No_Premier Normal Cofinavit Pago_Fijo_Puntual 5 0.106</v>
      </c>
      <c r="C175" s="75" t="s">
        <v>114</v>
      </c>
      <c r="D175" s="75" t="s">
        <v>132</v>
      </c>
      <c r="E175" s="75" t="s">
        <v>179</v>
      </c>
      <c r="F175" s="75" t="s">
        <v>180</v>
      </c>
      <c r="G175" s="75" t="s">
        <v>113</v>
      </c>
      <c r="H175" s="75"/>
      <c r="I175" s="75" t="s">
        <v>171</v>
      </c>
      <c r="J175" s="76">
        <v>5</v>
      </c>
      <c r="K175" s="519">
        <v>3</v>
      </c>
      <c r="L175" s="520">
        <v>21.59</v>
      </c>
      <c r="M175" s="520">
        <v>22.25</v>
      </c>
      <c r="N175" s="507">
        <v>0.106</v>
      </c>
      <c r="O175" s="507">
        <v>0.10299999999999999</v>
      </c>
      <c r="P175" s="507">
        <v>0.11799999999999999</v>
      </c>
      <c r="Q175" s="78">
        <v>0.44</v>
      </c>
      <c r="R175" s="78">
        <v>0.31740000000000002</v>
      </c>
      <c r="S175" s="69">
        <v>2.5000000000000001E-2</v>
      </c>
      <c r="T175" s="69">
        <v>5.0000000000000001E-3</v>
      </c>
      <c r="U175" s="507">
        <v>0.95</v>
      </c>
      <c r="V175" s="76">
        <v>0</v>
      </c>
      <c r="W175" s="76">
        <v>0</v>
      </c>
      <c r="X175" s="76"/>
      <c r="Y175" s="519" t="s">
        <v>469</v>
      </c>
    </row>
    <row r="176" spans="1:25" x14ac:dyDescent="0.25">
      <c r="A176" s="75" t="str">
        <f t="shared" si="7"/>
        <v>Adquisicion PF No_Premier Normal Cofinavit Pago_Bajo_Puntual Si 25</v>
      </c>
      <c r="B176" s="75" t="str">
        <f t="shared" si="6"/>
        <v>Adquisicion PF No_Premier Normal Cofinavit Pago_Bajo_Puntual Si 25 0.103</v>
      </c>
      <c r="C176" s="75" t="s">
        <v>114</v>
      </c>
      <c r="D176" s="75" t="s">
        <v>132</v>
      </c>
      <c r="E176" s="75" t="s">
        <v>179</v>
      </c>
      <c r="F176" s="75" t="s">
        <v>180</v>
      </c>
      <c r="G176" s="75" t="s">
        <v>113</v>
      </c>
      <c r="H176" s="75"/>
      <c r="I176" s="75" t="s">
        <v>170</v>
      </c>
      <c r="J176" s="523">
        <v>25</v>
      </c>
      <c r="K176" s="519" t="s">
        <v>387</v>
      </c>
      <c r="L176" s="520">
        <v>8.64</v>
      </c>
      <c r="M176" s="520">
        <v>9.3000000000000007</v>
      </c>
      <c r="N176" s="507">
        <v>0.10299999999999999</v>
      </c>
      <c r="O176" s="507">
        <v>0.1</v>
      </c>
      <c r="P176" s="507">
        <v>0.112</v>
      </c>
      <c r="Q176" s="78">
        <v>0.44</v>
      </c>
      <c r="R176" s="78">
        <v>0.31740000000000002</v>
      </c>
      <c r="S176" s="69">
        <v>2.5000000000000001E-2</v>
      </c>
      <c r="T176" s="69">
        <v>5.0000000000000001E-3</v>
      </c>
      <c r="U176" s="507">
        <v>0.95</v>
      </c>
      <c r="V176" s="76">
        <v>0</v>
      </c>
      <c r="W176" s="76">
        <v>0</v>
      </c>
      <c r="X176" s="76" t="s">
        <v>147</v>
      </c>
      <c r="Y176" s="519" t="s">
        <v>469</v>
      </c>
    </row>
    <row r="177" spans="1:25" x14ac:dyDescent="0.25">
      <c r="A177" s="75" t="str">
        <f t="shared" si="7"/>
        <v>Adquisicion PF No_Premier Normal Cofinavit Pago_Bajo_Puntual 25</v>
      </c>
      <c r="B177" s="75" t="str">
        <f t="shared" si="6"/>
        <v>Adquisicion PF No_Premier Normal Cofinavit Pago_Bajo_Puntual 25 0.106</v>
      </c>
      <c r="C177" s="75" t="s">
        <v>114</v>
      </c>
      <c r="D177" s="75" t="s">
        <v>132</v>
      </c>
      <c r="E177" s="75" t="s">
        <v>179</v>
      </c>
      <c r="F177" s="75" t="s">
        <v>180</v>
      </c>
      <c r="G177" s="75" t="s">
        <v>113</v>
      </c>
      <c r="H177" s="75"/>
      <c r="I177" s="75" t="s">
        <v>170</v>
      </c>
      <c r="J177" s="523">
        <v>25</v>
      </c>
      <c r="K177" s="519">
        <v>3</v>
      </c>
      <c r="L177" s="520">
        <v>8.89</v>
      </c>
      <c r="M177" s="520">
        <v>9.5500000000000007</v>
      </c>
      <c r="N177" s="507">
        <v>0.106</v>
      </c>
      <c r="O177" s="507">
        <v>0.10299999999999999</v>
      </c>
      <c r="P177" s="507">
        <v>0.11799999999999999</v>
      </c>
      <c r="Q177" s="78">
        <v>0.44</v>
      </c>
      <c r="R177" s="78">
        <v>0.31740000000000002</v>
      </c>
      <c r="S177" s="69">
        <v>2.5000000000000001E-2</v>
      </c>
      <c r="T177" s="69">
        <v>5.0000000000000001E-3</v>
      </c>
      <c r="U177" s="507">
        <v>0.95</v>
      </c>
      <c r="V177" s="76">
        <v>0</v>
      </c>
      <c r="W177" s="76">
        <v>0</v>
      </c>
      <c r="X177" s="76"/>
      <c r="Y177" s="519" t="s">
        <v>469</v>
      </c>
    </row>
    <row r="178" spans="1:25" x14ac:dyDescent="0.25">
      <c r="A178" s="75" t="str">
        <f t="shared" si="7"/>
        <v>Adquisicion PF No_Premier Normal Cofinavit Pago_Bajo_Puntual Si 20</v>
      </c>
      <c r="B178" s="75" t="str">
        <f t="shared" si="6"/>
        <v>Adquisicion PF No_Premier Normal Cofinavit Pago_Bajo_Puntual Si 20 0.103</v>
      </c>
      <c r="C178" s="75" t="s">
        <v>114</v>
      </c>
      <c r="D178" s="75" t="s">
        <v>132</v>
      </c>
      <c r="E178" s="75" t="s">
        <v>179</v>
      </c>
      <c r="F178" s="75" t="s">
        <v>180</v>
      </c>
      <c r="G178" s="75" t="s">
        <v>113</v>
      </c>
      <c r="H178" s="75"/>
      <c r="I178" s="75" t="s">
        <v>170</v>
      </c>
      <c r="J178" s="76">
        <v>20</v>
      </c>
      <c r="K178" s="519" t="s">
        <v>387</v>
      </c>
      <c r="L178" s="520">
        <v>9</v>
      </c>
      <c r="M178" s="520">
        <v>9.66</v>
      </c>
      <c r="N178" s="507">
        <v>0.10299999999999999</v>
      </c>
      <c r="O178" s="507">
        <v>0.1</v>
      </c>
      <c r="P178" s="507">
        <v>0.112</v>
      </c>
      <c r="Q178" s="78">
        <v>0.44</v>
      </c>
      <c r="R178" s="78">
        <v>0.31740000000000002</v>
      </c>
      <c r="S178" s="69">
        <v>2.5000000000000001E-2</v>
      </c>
      <c r="T178" s="69">
        <v>5.0000000000000001E-3</v>
      </c>
      <c r="U178" s="507">
        <v>0.95</v>
      </c>
      <c r="V178" s="76">
        <v>0</v>
      </c>
      <c r="W178" s="76">
        <v>0</v>
      </c>
      <c r="X178" s="76" t="s">
        <v>147</v>
      </c>
      <c r="Y178" s="519" t="s">
        <v>469</v>
      </c>
    </row>
    <row r="179" spans="1:25" x14ac:dyDescent="0.25">
      <c r="A179" s="75" t="str">
        <f t="shared" si="7"/>
        <v>Adquisicion PF No_Premier Normal Cofinavit Pago_Bajo_Puntual 20</v>
      </c>
      <c r="B179" s="75" t="str">
        <f t="shared" si="6"/>
        <v>Adquisicion PF No_Premier Normal Cofinavit Pago_Bajo_Puntual 20 0.106</v>
      </c>
      <c r="C179" s="75" t="s">
        <v>114</v>
      </c>
      <c r="D179" s="75" t="s">
        <v>132</v>
      </c>
      <c r="E179" s="75" t="s">
        <v>179</v>
      </c>
      <c r="F179" s="75" t="s">
        <v>180</v>
      </c>
      <c r="G179" s="75" t="s">
        <v>113</v>
      </c>
      <c r="H179" s="75"/>
      <c r="I179" s="75" t="s">
        <v>170</v>
      </c>
      <c r="J179" s="76">
        <v>20</v>
      </c>
      <c r="K179" s="519">
        <v>3</v>
      </c>
      <c r="L179" s="520">
        <v>9.24</v>
      </c>
      <c r="M179" s="520">
        <v>9.9</v>
      </c>
      <c r="N179" s="507">
        <v>0.106</v>
      </c>
      <c r="O179" s="507">
        <v>0.10299999999999999</v>
      </c>
      <c r="P179" s="507">
        <v>0.11799999999999999</v>
      </c>
      <c r="Q179" s="78">
        <v>0.44</v>
      </c>
      <c r="R179" s="78">
        <v>0.31740000000000002</v>
      </c>
      <c r="S179" s="69">
        <v>2.5000000000000001E-2</v>
      </c>
      <c r="T179" s="69">
        <v>5.0000000000000001E-3</v>
      </c>
      <c r="U179" s="507">
        <v>0.95</v>
      </c>
      <c r="V179" s="76">
        <v>0</v>
      </c>
      <c r="W179" s="76">
        <v>0</v>
      </c>
      <c r="X179" s="76"/>
      <c r="Y179" s="519" t="s">
        <v>469</v>
      </c>
    </row>
    <row r="180" spans="1:25" x14ac:dyDescent="0.25">
      <c r="A180" s="75" t="str">
        <f t="shared" si="7"/>
        <v>Adquisicion PF No_Premier Normal Cofinavit Pago_Bajo_Puntual Si 15</v>
      </c>
      <c r="B180" s="75" t="str">
        <f t="shared" si="6"/>
        <v>Adquisicion PF No_Premier Normal Cofinavit Pago_Bajo_Puntual Si 15 0.103</v>
      </c>
      <c r="C180" s="75" t="s">
        <v>114</v>
      </c>
      <c r="D180" s="75" t="s">
        <v>132</v>
      </c>
      <c r="E180" s="75" t="s">
        <v>179</v>
      </c>
      <c r="F180" s="75" t="s">
        <v>180</v>
      </c>
      <c r="G180" s="75" t="s">
        <v>113</v>
      </c>
      <c r="H180" s="75"/>
      <c r="I180" s="75" t="s">
        <v>170</v>
      </c>
      <c r="J180" s="76">
        <v>15</v>
      </c>
      <c r="K180" s="519" t="s">
        <v>387</v>
      </c>
      <c r="L180" s="520">
        <v>10.119999999999999</v>
      </c>
      <c r="M180" s="520">
        <v>10.78</v>
      </c>
      <c r="N180" s="507">
        <v>0.10299999999999999</v>
      </c>
      <c r="O180" s="507">
        <v>0.1</v>
      </c>
      <c r="P180" s="507">
        <v>0.112</v>
      </c>
      <c r="Q180" s="78">
        <v>0.44</v>
      </c>
      <c r="R180" s="78">
        <v>0.31740000000000002</v>
      </c>
      <c r="S180" s="69">
        <v>2.5000000000000001E-2</v>
      </c>
      <c r="T180" s="69">
        <v>5.0000000000000001E-3</v>
      </c>
      <c r="U180" s="507">
        <v>0.95</v>
      </c>
      <c r="V180" s="76">
        <v>0</v>
      </c>
      <c r="W180" s="76">
        <v>0</v>
      </c>
      <c r="X180" s="76" t="s">
        <v>147</v>
      </c>
      <c r="Y180" s="519" t="s">
        <v>469</v>
      </c>
    </row>
    <row r="181" spans="1:25" x14ac:dyDescent="0.25">
      <c r="A181" s="75" t="str">
        <f t="shared" si="7"/>
        <v>Adquisicion PF No_Premier Normal Cofinavit Pago_Bajo_Puntual 15</v>
      </c>
      <c r="B181" s="75" t="str">
        <f t="shared" si="6"/>
        <v>Adquisicion PF No_Premier Normal Cofinavit Pago_Bajo_Puntual 15 0.106</v>
      </c>
      <c r="C181" s="75" t="s">
        <v>114</v>
      </c>
      <c r="D181" s="75" t="s">
        <v>132</v>
      </c>
      <c r="E181" s="75" t="s">
        <v>179</v>
      </c>
      <c r="F181" s="75" t="s">
        <v>180</v>
      </c>
      <c r="G181" s="75" t="s">
        <v>113</v>
      </c>
      <c r="H181" s="75"/>
      <c r="I181" s="75" t="s">
        <v>170</v>
      </c>
      <c r="J181" s="76">
        <v>15</v>
      </c>
      <c r="K181" s="519">
        <v>3</v>
      </c>
      <c r="L181" s="520">
        <v>10.33</v>
      </c>
      <c r="M181" s="520">
        <v>10.99</v>
      </c>
      <c r="N181" s="507">
        <v>0.106</v>
      </c>
      <c r="O181" s="507">
        <v>0.10299999999999999</v>
      </c>
      <c r="P181" s="507">
        <v>0.11799999999999999</v>
      </c>
      <c r="Q181" s="78">
        <v>0.44</v>
      </c>
      <c r="R181" s="78">
        <v>0.31740000000000002</v>
      </c>
      <c r="S181" s="69">
        <v>2.5000000000000001E-2</v>
      </c>
      <c r="T181" s="69">
        <v>5.0000000000000001E-3</v>
      </c>
      <c r="U181" s="507">
        <v>0.95</v>
      </c>
      <c r="V181" s="76">
        <v>0</v>
      </c>
      <c r="W181" s="76">
        <v>0</v>
      </c>
      <c r="X181" s="76"/>
      <c r="Y181" s="519" t="s">
        <v>469</v>
      </c>
    </row>
    <row r="182" spans="1:25" x14ac:dyDescent="0.25">
      <c r="A182" s="75" t="str">
        <f t="shared" si="7"/>
        <v>Adquisicion PF No_Premier Normal Cofinavit Pago_Bajo_Puntual Si 10</v>
      </c>
      <c r="B182" s="75" t="str">
        <f t="shared" si="6"/>
        <v>Adquisicion PF No_Premier Normal Cofinavit Pago_Bajo_Puntual Si 10 0.103</v>
      </c>
      <c r="C182" s="75" t="s">
        <v>114</v>
      </c>
      <c r="D182" s="75" t="s">
        <v>132</v>
      </c>
      <c r="E182" s="75" t="s">
        <v>179</v>
      </c>
      <c r="F182" s="75" t="s">
        <v>180</v>
      </c>
      <c r="G182" s="75" t="s">
        <v>113</v>
      </c>
      <c r="H182" s="75"/>
      <c r="I182" s="75" t="s">
        <v>170</v>
      </c>
      <c r="J182" s="76">
        <v>10</v>
      </c>
      <c r="K182" s="519" t="s">
        <v>387</v>
      </c>
      <c r="L182" s="520">
        <v>12.62</v>
      </c>
      <c r="M182" s="520">
        <v>13.28</v>
      </c>
      <c r="N182" s="507">
        <v>0.10299999999999999</v>
      </c>
      <c r="O182" s="507">
        <v>0.1</v>
      </c>
      <c r="P182" s="507">
        <v>0.112</v>
      </c>
      <c r="Q182" s="78">
        <v>0.44</v>
      </c>
      <c r="R182" s="78">
        <v>0.31740000000000002</v>
      </c>
      <c r="S182" s="69">
        <v>2.5000000000000001E-2</v>
      </c>
      <c r="T182" s="69">
        <v>5.0000000000000001E-3</v>
      </c>
      <c r="U182" s="507">
        <v>0.95</v>
      </c>
      <c r="V182" s="76">
        <v>0</v>
      </c>
      <c r="W182" s="76">
        <v>0</v>
      </c>
      <c r="X182" s="76" t="s">
        <v>147</v>
      </c>
      <c r="Y182" s="519" t="s">
        <v>469</v>
      </c>
    </row>
    <row r="183" spans="1:25" x14ac:dyDescent="0.25">
      <c r="A183" s="75" t="str">
        <f t="shared" si="7"/>
        <v>Adquisicion PF No_Premier Normal Cofinavit Pago_Bajo_Puntual 10</v>
      </c>
      <c r="B183" s="75" t="str">
        <f t="shared" si="6"/>
        <v>Adquisicion PF No_Premier Normal Cofinavit Pago_Bajo_Puntual 10 0.106</v>
      </c>
      <c r="C183" s="75" t="s">
        <v>114</v>
      </c>
      <c r="D183" s="75" t="s">
        <v>132</v>
      </c>
      <c r="E183" s="75" t="s">
        <v>179</v>
      </c>
      <c r="F183" s="75" t="s">
        <v>180</v>
      </c>
      <c r="G183" s="75" t="s">
        <v>113</v>
      </c>
      <c r="H183" s="75"/>
      <c r="I183" s="75" t="s">
        <v>170</v>
      </c>
      <c r="J183" s="76">
        <v>10</v>
      </c>
      <c r="K183" s="519">
        <v>3</v>
      </c>
      <c r="L183" s="520">
        <v>12.78</v>
      </c>
      <c r="M183" s="520">
        <v>13.44</v>
      </c>
      <c r="N183" s="507">
        <v>0.106</v>
      </c>
      <c r="O183" s="507">
        <v>0.10299999999999999</v>
      </c>
      <c r="P183" s="507">
        <v>0.11799999999999999</v>
      </c>
      <c r="Q183" s="78">
        <v>0.44</v>
      </c>
      <c r="R183" s="78">
        <v>0.31740000000000002</v>
      </c>
      <c r="S183" s="69">
        <v>2.5000000000000001E-2</v>
      </c>
      <c r="T183" s="69">
        <v>5.0000000000000001E-3</v>
      </c>
      <c r="U183" s="507">
        <v>0.95</v>
      </c>
      <c r="V183" s="76">
        <v>0</v>
      </c>
      <c r="W183" s="76">
        <v>0</v>
      </c>
      <c r="X183" s="76"/>
      <c r="Y183" s="519" t="s">
        <v>469</v>
      </c>
    </row>
    <row r="184" spans="1:25" x14ac:dyDescent="0.25">
      <c r="A184" s="75" t="str">
        <f t="shared" si="7"/>
        <v>Adquisicion PF No_Premier Normal Cofinavit Pago_Bajo_Puntual Si 5</v>
      </c>
      <c r="B184" s="75" t="str">
        <f t="shared" si="6"/>
        <v>Adquisicion PF No_Premier Normal Cofinavit Pago_Bajo_Puntual Si 5 0.103</v>
      </c>
      <c r="C184" s="75" t="s">
        <v>114</v>
      </c>
      <c r="D184" s="75" t="s">
        <v>132</v>
      </c>
      <c r="E184" s="75" t="s">
        <v>179</v>
      </c>
      <c r="F184" s="75" t="s">
        <v>180</v>
      </c>
      <c r="G184" s="75" t="s">
        <v>113</v>
      </c>
      <c r="H184" s="75"/>
      <c r="I184" s="75" t="s">
        <v>170</v>
      </c>
      <c r="J184" s="76">
        <v>5</v>
      </c>
      <c r="K184" s="519" t="s">
        <v>387</v>
      </c>
      <c r="L184" s="520">
        <v>20.72</v>
      </c>
      <c r="M184" s="520">
        <v>21.38</v>
      </c>
      <c r="N184" s="507">
        <v>0.10299999999999999</v>
      </c>
      <c r="O184" s="507">
        <v>0.1</v>
      </c>
      <c r="P184" s="507">
        <v>0.112</v>
      </c>
      <c r="Q184" s="78">
        <v>0.44</v>
      </c>
      <c r="R184" s="78">
        <v>0.31740000000000002</v>
      </c>
      <c r="S184" s="69">
        <v>2.5000000000000001E-2</v>
      </c>
      <c r="T184" s="69">
        <v>5.0000000000000001E-3</v>
      </c>
      <c r="U184" s="507">
        <v>0.95</v>
      </c>
      <c r="V184" s="76">
        <v>0</v>
      </c>
      <c r="W184" s="76">
        <v>0</v>
      </c>
      <c r="X184" s="76" t="s">
        <v>147</v>
      </c>
      <c r="Y184" s="519" t="s">
        <v>469</v>
      </c>
    </row>
    <row r="185" spans="1:25" x14ac:dyDescent="0.25">
      <c r="A185" s="75" t="str">
        <f t="shared" si="7"/>
        <v>Adquisicion PF No_Premier Normal Cofinavit Pago_Bajo_Puntual 5</v>
      </c>
      <c r="B185" s="75" t="str">
        <f t="shared" si="6"/>
        <v>Adquisicion PF No_Premier Normal Cofinavit Pago_Bajo_Puntual 5 0.106</v>
      </c>
      <c r="C185" s="75" t="s">
        <v>114</v>
      </c>
      <c r="D185" s="75" t="s">
        <v>132</v>
      </c>
      <c r="E185" s="75" t="s">
        <v>179</v>
      </c>
      <c r="F185" s="75" t="s">
        <v>180</v>
      </c>
      <c r="G185" s="75" t="s">
        <v>113</v>
      </c>
      <c r="H185" s="75"/>
      <c r="I185" s="75" t="s">
        <v>170</v>
      </c>
      <c r="J185" s="76">
        <v>5</v>
      </c>
      <c r="K185" s="519">
        <v>3</v>
      </c>
      <c r="L185" s="520">
        <v>20.86</v>
      </c>
      <c r="M185" s="520">
        <v>21.52</v>
      </c>
      <c r="N185" s="507">
        <v>0.106</v>
      </c>
      <c r="O185" s="507">
        <v>0.10299999999999999</v>
      </c>
      <c r="P185" s="507">
        <v>0.11799999999999999</v>
      </c>
      <c r="Q185" s="78">
        <v>0.44</v>
      </c>
      <c r="R185" s="78">
        <v>0.31740000000000002</v>
      </c>
      <c r="S185" s="69">
        <v>2.5000000000000001E-2</v>
      </c>
      <c r="T185" s="69">
        <v>5.0000000000000001E-3</v>
      </c>
      <c r="U185" s="507">
        <v>0.95</v>
      </c>
      <c r="V185" s="76">
        <v>0</v>
      </c>
      <c r="W185" s="76">
        <v>0</v>
      </c>
      <c r="X185" s="76"/>
      <c r="Y185" s="519" t="s">
        <v>469</v>
      </c>
    </row>
    <row r="186" spans="1:25" x14ac:dyDescent="0.25">
      <c r="A186" s="75" t="str">
        <f t="shared" si="7"/>
        <v>Adquisicion PF Premier Apoyo Infonavit Pago_Fijo_Puntual Si 25</v>
      </c>
      <c r="B186" s="75" t="str">
        <f t="shared" si="6"/>
        <v>Adquisicion PF Premier Apoyo Infonavit Pago_Fijo_Puntual Si 25 0.103</v>
      </c>
      <c r="C186" s="75" t="s">
        <v>114</v>
      </c>
      <c r="D186" s="75" t="s">
        <v>132</v>
      </c>
      <c r="E186" s="75" t="s">
        <v>143</v>
      </c>
      <c r="F186" s="75"/>
      <c r="G186" s="75" t="s">
        <v>112</v>
      </c>
      <c r="H186" s="75"/>
      <c r="I186" s="75" t="s">
        <v>171</v>
      </c>
      <c r="J186" s="76">
        <v>25</v>
      </c>
      <c r="K186" s="519" t="s">
        <v>387</v>
      </c>
      <c r="L186" s="520">
        <v>9.65</v>
      </c>
      <c r="M186" s="520">
        <v>10.31</v>
      </c>
      <c r="N186" s="507">
        <v>0.10299999999999999</v>
      </c>
      <c r="O186" s="507">
        <v>0.1</v>
      </c>
      <c r="P186" s="507">
        <v>0.112</v>
      </c>
      <c r="Q186" s="78">
        <v>0.44</v>
      </c>
      <c r="R186" s="78">
        <v>0.31740000000000002</v>
      </c>
      <c r="S186" s="69">
        <v>1.4999999999999999E-2</v>
      </c>
      <c r="T186" s="69">
        <v>5.0000000000000001E-3</v>
      </c>
      <c r="U186" s="507">
        <v>0.95</v>
      </c>
      <c r="V186" s="76">
        <v>0</v>
      </c>
      <c r="W186" s="76">
        <v>0</v>
      </c>
      <c r="X186" s="76" t="s">
        <v>147</v>
      </c>
      <c r="Y186" s="519" t="s">
        <v>469</v>
      </c>
    </row>
    <row r="187" spans="1:25" x14ac:dyDescent="0.25">
      <c r="A187" s="75" t="str">
        <f t="shared" si="7"/>
        <v>Adquisicion PF Premier Apoyo Infonavit Pago_Fijo_Puntual 25</v>
      </c>
      <c r="B187" s="75" t="str">
        <f t="shared" si="6"/>
        <v>Adquisicion PF Premier Apoyo Infonavit Pago_Fijo_Puntual 25 0.106</v>
      </c>
      <c r="C187" s="75" t="s">
        <v>114</v>
      </c>
      <c r="D187" s="75" t="s">
        <v>132</v>
      </c>
      <c r="E187" s="75" t="s">
        <v>143</v>
      </c>
      <c r="F187" s="75"/>
      <c r="G187" s="75" t="s">
        <v>112</v>
      </c>
      <c r="H187" s="75"/>
      <c r="I187" s="75" t="s">
        <v>171</v>
      </c>
      <c r="J187" s="76">
        <v>25</v>
      </c>
      <c r="K187" s="519">
        <v>3</v>
      </c>
      <c r="L187" s="520">
        <v>9.93</v>
      </c>
      <c r="M187" s="520">
        <v>10.59</v>
      </c>
      <c r="N187" s="507">
        <v>0.106</v>
      </c>
      <c r="O187" s="507">
        <v>0.10299999999999999</v>
      </c>
      <c r="P187" s="507">
        <v>0.11799999999999999</v>
      </c>
      <c r="Q187" s="78">
        <v>0.44</v>
      </c>
      <c r="R187" s="78">
        <v>0.31740000000000002</v>
      </c>
      <c r="S187" s="69">
        <v>1.4999999999999999E-2</v>
      </c>
      <c r="T187" s="69">
        <v>5.0000000000000001E-3</v>
      </c>
      <c r="U187" s="507">
        <v>0.95</v>
      </c>
      <c r="V187" s="76">
        <v>0</v>
      </c>
      <c r="W187" s="76">
        <v>0</v>
      </c>
      <c r="X187" s="76"/>
      <c r="Y187" s="519" t="s">
        <v>469</v>
      </c>
    </row>
    <row r="188" spans="1:25" x14ac:dyDescent="0.25">
      <c r="A188" s="75" t="str">
        <f t="shared" si="7"/>
        <v>Adquisicion PF Premier Apoyo Infonavit Pago_Fijo_Puntual Si 20</v>
      </c>
      <c r="B188" s="75" t="str">
        <f t="shared" si="6"/>
        <v>Adquisicion PF Premier Apoyo Infonavit Pago_Fijo_Puntual Si 20 0.103</v>
      </c>
      <c r="C188" s="75" t="s">
        <v>114</v>
      </c>
      <c r="D188" s="75" t="s">
        <v>132</v>
      </c>
      <c r="E188" s="75" t="s">
        <v>143</v>
      </c>
      <c r="F188" s="75"/>
      <c r="G188" s="75" t="s">
        <v>112</v>
      </c>
      <c r="H188" s="75"/>
      <c r="I188" s="75" t="s">
        <v>171</v>
      </c>
      <c r="J188" s="76">
        <v>20</v>
      </c>
      <c r="K188" s="519" t="s">
        <v>387</v>
      </c>
      <c r="L188" s="520">
        <v>10.16</v>
      </c>
      <c r="M188" s="520">
        <v>10.82</v>
      </c>
      <c r="N188" s="507">
        <v>0.10299999999999999</v>
      </c>
      <c r="O188" s="507">
        <v>0.1</v>
      </c>
      <c r="P188" s="507">
        <v>0.112</v>
      </c>
      <c r="Q188" s="78">
        <v>0.44</v>
      </c>
      <c r="R188" s="78">
        <v>0.31740000000000002</v>
      </c>
      <c r="S188" s="69">
        <v>1.4999999999999999E-2</v>
      </c>
      <c r="T188" s="69">
        <v>5.0000000000000001E-3</v>
      </c>
      <c r="U188" s="507">
        <v>0.95</v>
      </c>
      <c r="V188" s="76">
        <v>0</v>
      </c>
      <c r="W188" s="76">
        <v>0</v>
      </c>
      <c r="X188" s="76" t="s">
        <v>147</v>
      </c>
      <c r="Y188" s="519" t="s">
        <v>469</v>
      </c>
    </row>
    <row r="189" spans="1:25" x14ac:dyDescent="0.25">
      <c r="A189" s="75" t="str">
        <f t="shared" si="7"/>
        <v>Adquisicion PF Premier Apoyo Infonavit Pago_Fijo_Puntual 20</v>
      </c>
      <c r="B189" s="75" t="str">
        <f t="shared" si="6"/>
        <v>Adquisicion PF Premier Apoyo Infonavit Pago_Fijo_Puntual 20 0.106</v>
      </c>
      <c r="C189" s="75" t="s">
        <v>114</v>
      </c>
      <c r="D189" s="75" t="s">
        <v>132</v>
      </c>
      <c r="E189" s="75" t="s">
        <v>143</v>
      </c>
      <c r="F189" s="75"/>
      <c r="G189" s="75" t="s">
        <v>112</v>
      </c>
      <c r="H189" s="75"/>
      <c r="I189" s="75" t="s">
        <v>171</v>
      </c>
      <c r="J189" s="76">
        <v>20</v>
      </c>
      <c r="K189" s="519">
        <v>3</v>
      </c>
      <c r="L189" s="520">
        <v>10.41</v>
      </c>
      <c r="M189" s="520">
        <v>11.07</v>
      </c>
      <c r="N189" s="507">
        <v>0.106</v>
      </c>
      <c r="O189" s="507">
        <v>0.10299999999999999</v>
      </c>
      <c r="P189" s="507">
        <v>0.11799999999999999</v>
      </c>
      <c r="Q189" s="78">
        <v>0.44</v>
      </c>
      <c r="R189" s="78">
        <v>0.31740000000000002</v>
      </c>
      <c r="S189" s="69">
        <v>1.4999999999999999E-2</v>
      </c>
      <c r="T189" s="69">
        <v>5.0000000000000001E-3</v>
      </c>
      <c r="U189" s="507">
        <v>0.95</v>
      </c>
      <c r="V189" s="76">
        <v>0</v>
      </c>
      <c r="W189" s="76">
        <v>0</v>
      </c>
      <c r="X189" s="76"/>
      <c r="Y189" s="519" t="s">
        <v>469</v>
      </c>
    </row>
    <row r="190" spans="1:25" x14ac:dyDescent="0.25">
      <c r="A190" s="75" t="str">
        <f t="shared" si="7"/>
        <v>Adquisicion PF Premier Apoyo Infonavit Pago_Fijo_Puntual Si 15</v>
      </c>
      <c r="B190" s="75" t="str">
        <f t="shared" si="6"/>
        <v>Adquisicion PF Premier Apoyo Infonavit Pago_Fijo_Puntual Si 15 0.103</v>
      </c>
      <c r="C190" s="75" t="s">
        <v>114</v>
      </c>
      <c r="D190" s="75" t="s">
        <v>132</v>
      </c>
      <c r="E190" s="75" t="s">
        <v>143</v>
      </c>
      <c r="F190" s="75"/>
      <c r="G190" s="75" t="s">
        <v>112</v>
      </c>
      <c r="H190" s="75"/>
      <c r="I190" s="75" t="s">
        <v>171</v>
      </c>
      <c r="J190" s="76">
        <v>15</v>
      </c>
      <c r="K190" s="519" t="s">
        <v>387</v>
      </c>
      <c r="L190" s="520">
        <v>11.18</v>
      </c>
      <c r="M190" s="520">
        <v>11.84</v>
      </c>
      <c r="N190" s="507">
        <v>0.10299999999999999</v>
      </c>
      <c r="O190" s="507">
        <v>0.1</v>
      </c>
      <c r="P190" s="507">
        <v>0.112</v>
      </c>
      <c r="Q190" s="78">
        <v>0.44</v>
      </c>
      <c r="R190" s="78">
        <v>0.31740000000000002</v>
      </c>
      <c r="S190" s="69">
        <v>1.4999999999999999E-2</v>
      </c>
      <c r="T190" s="69">
        <v>5.0000000000000001E-3</v>
      </c>
      <c r="U190" s="507">
        <v>0.95</v>
      </c>
      <c r="V190" s="76">
        <v>0</v>
      </c>
      <c r="W190" s="76">
        <v>0</v>
      </c>
      <c r="X190" s="76" t="s">
        <v>147</v>
      </c>
      <c r="Y190" s="519" t="s">
        <v>469</v>
      </c>
    </row>
    <row r="191" spans="1:25" x14ac:dyDescent="0.25">
      <c r="A191" s="75" t="str">
        <f t="shared" si="7"/>
        <v>Adquisicion PF Premier Apoyo Infonavit Pago_Fijo_Puntual 15</v>
      </c>
      <c r="B191" s="75" t="str">
        <f t="shared" si="6"/>
        <v>Adquisicion PF Premier Apoyo Infonavit Pago_Fijo_Puntual 15 0.106</v>
      </c>
      <c r="C191" s="75" t="s">
        <v>114</v>
      </c>
      <c r="D191" s="75" t="s">
        <v>132</v>
      </c>
      <c r="E191" s="75" t="s">
        <v>143</v>
      </c>
      <c r="F191" s="75"/>
      <c r="G191" s="75" t="s">
        <v>112</v>
      </c>
      <c r="H191" s="75"/>
      <c r="I191" s="75" t="s">
        <v>171</v>
      </c>
      <c r="J191" s="76">
        <v>15</v>
      </c>
      <c r="K191" s="519">
        <v>3</v>
      </c>
      <c r="L191" s="520">
        <v>11.39</v>
      </c>
      <c r="M191" s="520">
        <v>12.05</v>
      </c>
      <c r="N191" s="507">
        <v>0.106</v>
      </c>
      <c r="O191" s="507">
        <v>0.10299999999999999</v>
      </c>
      <c r="P191" s="507">
        <v>0.11799999999999999</v>
      </c>
      <c r="Q191" s="78">
        <v>0.44</v>
      </c>
      <c r="R191" s="78">
        <v>0.31740000000000002</v>
      </c>
      <c r="S191" s="69">
        <v>1.4999999999999999E-2</v>
      </c>
      <c r="T191" s="69">
        <v>5.0000000000000001E-3</v>
      </c>
      <c r="U191" s="507">
        <v>0.95</v>
      </c>
      <c r="V191" s="76">
        <v>0</v>
      </c>
      <c r="W191" s="76">
        <v>0</v>
      </c>
      <c r="X191" s="76"/>
      <c r="Y191" s="519" t="s">
        <v>469</v>
      </c>
    </row>
    <row r="192" spans="1:25" x14ac:dyDescent="0.25">
      <c r="A192" s="75" t="str">
        <f t="shared" si="7"/>
        <v>Adquisicion PF Premier Apoyo Infonavit Pago_Fijo_Puntual Si 10</v>
      </c>
      <c r="B192" s="75" t="str">
        <f t="shared" si="6"/>
        <v>Adquisicion PF Premier Apoyo Infonavit Pago_Fijo_Puntual Si 10 0.103</v>
      </c>
      <c r="C192" s="75" t="s">
        <v>114</v>
      </c>
      <c r="D192" s="75" t="s">
        <v>132</v>
      </c>
      <c r="E192" s="75" t="s">
        <v>143</v>
      </c>
      <c r="F192" s="75"/>
      <c r="G192" s="75" t="s">
        <v>112</v>
      </c>
      <c r="H192" s="75"/>
      <c r="I192" s="75" t="s">
        <v>171</v>
      </c>
      <c r="J192" s="76">
        <v>10</v>
      </c>
      <c r="K192" s="519" t="s">
        <v>387</v>
      </c>
      <c r="L192" s="520">
        <v>13.54</v>
      </c>
      <c r="M192" s="520">
        <v>14.2</v>
      </c>
      <c r="N192" s="507">
        <v>0.10299999999999999</v>
      </c>
      <c r="O192" s="507">
        <v>0.1</v>
      </c>
      <c r="P192" s="507">
        <v>0.112</v>
      </c>
      <c r="Q192" s="78">
        <v>0.44</v>
      </c>
      <c r="R192" s="78">
        <v>0.31740000000000002</v>
      </c>
      <c r="S192" s="69">
        <v>1.4999999999999999E-2</v>
      </c>
      <c r="T192" s="69">
        <v>5.0000000000000001E-3</v>
      </c>
      <c r="U192" s="507">
        <v>0.95</v>
      </c>
      <c r="V192" s="76">
        <v>0</v>
      </c>
      <c r="W192" s="76">
        <v>0</v>
      </c>
      <c r="X192" s="76" t="s">
        <v>147</v>
      </c>
      <c r="Y192" s="519" t="s">
        <v>469</v>
      </c>
    </row>
    <row r="193" spans="1:25" x14ac:dyDescent="0.25">
      <c r="A193" s="75" t="str">
        <f t="shared" si="7"/>
        <v>Adquisicion PF Premier Apoyo Infonavit Pago_Fijo_Puntual 10</v>
      </c>
      <c r="B193" s="75" t="str">
        <f t="shared" si="6"/>
        <v>Adquisicion PF Premier Apoyo Infonavit Pago_Fijo_Puntual 10 0.106</v>
      </c>
      <c r="C193" s="75" t="s">
        <v>114</v>
      </c>
      <c r="D193" s="75" t="s">
        <v>132</v>
      </c>
      <c r="E193" s="75" t="s">
        <v>143</v>
      </c>
      <c r="F193" s="75"/>
      <c r="G193" s="75" t="s">
        <v>112</v>
      </c>
      <c r="H193" s="75"/>
      <c r="I193" s="75" t="s">
        <v>171</v>
      </c>
      <c r="J193" s="76">
        <v>10</v>
      </c>
      <c r="K193" s="519">
        <v>3</v>
      </c>
      <c r="L193" s="520">
        <v>13.71</v>
      </c>
      <c r="M193" s="520">
        <v>14.37</v>
      </c>
      <c r="N193" s="507">
        <v>0.106</v>
      </c>
      <c r="O193" s="507">
        <v>0.10299999999999999</v>
      </c>
      <c r="P193" s="507">
        <v>0.11799999999999999</v>
      </c>
      <c r="Q193" s="78">
        <v>0.44</v>
      </c>
      <c r="R193" s="78">
        <v>0.31740000000000002</v>
      </c>
      <c r="S193" s="69">
        <v>1.4999999999999999E-2</v>
      </c>
      <c r="T193" s="69">
        <v>5.0000000000000001E-3</v>
      </c>
      <c r="U193" s="507">
        <v>0.95</v>
      </c>
      <c r="V193" s="76">
        <v>0</v>
      </c>
      <c r="W193" s="76">
        <v>0</v>
      </c>
      <c r="X193" s="76"/>
      <c r="Y193" s="519" t="s">
        <v>469</v>
      </c>
    </row>
    <row r="194" spans="1:25" x14ac:dyDescent="0.25">
      <c r="A194" s="75" t="str">
        <f t="shared" si="7"/>
        <v>Adquisicion PF Premier Apoyo Infonavit Pago_Fijo_Puntual Si 5</v>
      </c>
      <c r="B194" s="75" t="str">
        <f t="shared" ref="B194:B257" si="8">CONCATENATE(A194," ",N194)</f>
        <v>Adquisicion PF Premier Apoyo Infonavit Pago_Fijo_Puntual Si 5 0.103</v>
      </c>
      <c r="C194" s="75" t="s">
        <v>114</v>
      </c>
      <c r="D194" s="75" t="s">
        <v>132</v>
      </c>
      <c r="E194" s="75" t="s">
        <v>143</v>
      </c>
      <c r="F194" s="75"/>
      <c r="G194" s="75" t="s">
        <v>112</v>
      </c>
      <c r="H194" s="75"/>
      <c r="I194" s="75" t="s">
        <v>171</v>
      </c>
      <c r="J194" s="76">
        <v>5</v>
      </c>
      <c r="K194" s="519" t="s">
        <v>387</v>
      </c>
      <c r="L194" s="520">
        <v>21.44</v>
      </c>
      <c r="M194" s="520">
        <v>22.1</v>
      </c>
      <c r="N194" s="507">
        <v>0.10299999999999999</v>
      </c>
      <c r="O194" s="507">
        <v>0.1</v>
      </c>
      <c r="P194" s="507">
        <v>0.112</v>
      </c>
      <c r="Q194" s="78">
        <v>0.44</v>
      </c>
      <c r="R194" s="78">
        <v>0.31740000000000002</v>
      </c>
      <c r="S194" s="69">
        <v>1.4999999999999999E-2</v>
      </c>
      <c r="T194" s="69">
        <v>5.0000000000000001E-3</v>
      </c>
      <c r="U194" s="507">
        <v>0.95</v>
      </c>
      <c r="V194" s="76">
        <v>0</v>
      </c>
      <c r="W194" s="76">
        <v>0</v>
      </c>
      <c r="X194" s="76" t="s">
        <v>147</v>
      </c>
      <c r="Y194" s="519" t="s">
        <v>469</v>
      </c>
    </row>
    <row r="195" spans="1:25" x14ac:dyDescent="0.25">
      <c r="A195" s="75" t="str">
        <f t="shared" ref="A195:A258" si="9">TRIM(CONCATENATE(C195," ",D195," ",E195," ",F195," ",G195," ",I195," ",X195," ",J195))</f>
        <v>Adquisicion PF Premier Apoyo Infonavit Pago_Fijo_Puntual 5</v>
      </c>
      <c r="B195" s="75" t="str">
        <f t="shared" si="8"/>
        <v>Adquisicion PF Premier Apoyo Infonavit Pago_Fijo_Puntual 5 0.106</v>
      </c>
      <c r="C195" s="75" t="s">
        <v>114</v>
      </c>
      <c r="D195" s="75" t="s">
        <v>132</v>
      </c>
      <c r="E195" s="75" t="s">
        <v>143</v>
      </c>
      <c r="F195" s="75"/>
      <c r="G195" s="75" t="s">
        <v>112</v>
      </c>
      <c r="H195" s="75"/>
      <c r="I195" s="75" t="s">
        <v>171</v>
      </c>
      <c r="J195" s="76">
        <v>5</v>
      </c>
      <c r="K195" s="519">
        <v>3</v>
      </c>
      <c r="L195" s="520">
        <v>21.59</v>
      </c>
      <c r="M195" s="520">
        <v>22.25</v>
      </c>
      <c r="N195" s="507">
        <v>0.106</v>
      </c>
      <c r="O195" s="507">
        <v>0.10299999999999999</v>
      </c>
      <c r="P195" s="507">
        <v>0.11799999999999999</v>
      </c>
      <c r="Q195" s="78">
        <v>0.44</v>
      </c>
      <c r="R195" s="78">
        <v>0.31740000000000002</v>
      </c>
      <c r="S195" s="69">
        <v>1.4999999999999999E-2</v>
      </c>
      <c r="T195" s="69">
        <v>5.0000000000000001E-3</v>
      </c>
      <c r="U195" s="507">
        <v>0.95</v>
      </c>
      <c r="V195" s="76">
        <v>0</v>
      </c>
      <c r="W195" s="76">
        <v>0</v>
      </c>
      <c r="X195" s="76"/>
      <c r="Y195" s="519" t="s">
        <v>469</v>
      </c>
    </row>
    <row r="196" spans="1:25" x14ac:dyDescent="0.25">
      <c r="A196" s="75" t="str">
        <f t="shared" si="9"/>
        <v>Adquisicion PF Premier Apoyo Infonavit Pago_Bajo_Puntual Si 25</v>
      </c>
      <c r="B196" s="75" t="str">
        <f t="shared" si="8"/>
        <v>Adquisicion PF Premier Apoyo Infonavit Pago_Bajo_Puntual Si 25 0.103</v>
      </c>
      <c r="C196" s="75" t="s">
        <v>114</v>
      </c>
      <c r="D196" s="75" t="s">
        <v>132</v>
      </c>
      <c r="E196" s="75" t="s">
        <v>143</v>
      </c>
      <c r="F196" s="75"/>
      <c r="G196" s="75" t="s">
        <v>112</v>
      </c>
      <c r="H196" s="75"/>
      <c r="I196" s="75" t="s">
        <v>170</v>
      </c>
      <c r="J196" s="523">
        <v>25</v>
      </c>
      <c r="K196" s="524" t="s">
        <v>387</v>
      </c>
      <c r="L196" s="525">
        <v>8.64</v>
      </c>
      <c r="M196" s="525">
        <v>9.3000000000000007</v>
      </c>
      <c r="N196" s="526">
        <v>0.10299999999999999</v>
      </c>
      <c r="O196" s="526">
        <v>0.1</v>
      </c>
      <c r="P196" s="526">
        <v>0.112</v>
      </c>
      <c r="Q196" s="78">
        <v>0.44</v>
      </c>
      <c r="R196" s="78">
        <v>0.31740000000000002</v>
      </c>
      <c r="S196" s="69">
        <v>1.4999999999999999E-2</v>
      </c>
      <c r="T196" s="69">
        <v>5.0000000000000001E-3</v>
      </c>
      <c r="U196" s="507">
        <v>0.95</v>
      </c>
      <c r="V196" s="76">
        <v>0</v>
      </c>
      <c r="W196" s="76">
        <v>0</v>
      </c>
      <c r="X196" s="76" t="s">
        <v>147</v>
      </c>
      <c r="Y196" s="519" t="s">
        <v>469</v>
      </c>
    </row>
    <row r="197" spans="1:25" x14ac:dyDescent="0.25">
      <c r="A197" s="75" t="str">
        <f t="shared" si="9"/>
        <v>Adquisicion PF Premier Apoyo Infonavit Pago_Bajo_Puntual 25</v>
      </c>
      <c r="B197" s="75" t="str">
        <f t="shared" si="8"/>
        <v>Adquisicion PF Premier Apoyo Infonavit Pago_Bajo_Puntual 25 0.106</v>
      </c>
      <c r="C197" s="75" t="s">
        <v>114</v>
      </c>
      <c r="D197" s="75" t="s">
        <v>132</v>
      </c>
      <c r="E197" s="75" t="s">
        <v>143</v>
      </c>
      <c r="F197" s="75"/>
      <c r="G197" s="75" t="s">
        <v>112</v>
      </c>
      <c r="H197" s="75"/>
      <c r="I197" s="75" t="s">
        <v>170</v>
      </c>
      <c r="J197" s="523">
        <v>25</v>
      </c>
      <c r="K197" s="524">
        <v>3</v>
      </c>
      <c r="L197" s="525">
        <v>8.89</v>
      </c>
      <c r="M197" s="525">
        <v>9.5500000000000007</v>
      </c>
      <c r="N197" s="526">
        <v>0.106</v>
      </c>
      <c r="O197" s="526">
        <v>0.10299999999999999</v>
      </c>
      <c r="P197" s="526">
        <v>0.11799999999999999</v>
      </c>
      <c r="Q197" s="78">
        <v>0.44</v>
      </c>
      <c r="R197" s="78">
        <v>0.31740000000000002</v>
      </c>
      <c r="S197" s="69">
        <v>1.4999999999999999E-2</v>
      </c>
      <c r="T197" s="69">
        <v>5.0000000000000001E-3</v>
      </c>
      <c r="U197" s="507">
        <v>0.95</v>
      </c>
      <c r="V197" s="76">
        <v>0</v>
      </c>
      <c r="W197" s="76">
        <v>0</v>
      </c>
      <c r="X197" s="76"/>
      <c r="Y197" s="519" t="s">
        <v>469</v>
      </c>
    </row>
    <row r="198" spans="1:25" x14ac:dyDescent="0.25">
      <c r="A198" s="75" t="str">
        <f t="shared" si="9"/>
        <v>Adquisicion PF Premier Apoyo Infonavit Pago_Bajo_Puntual Si 20</v>
      </c>
      <c r="B198" s="75" t="str">
        <f t="shared" si="8"/>
        <v>Adquisicion PF Premier Apoyo Infonavit Pago_Bajo_Puntual Si 20 0.103</v>
      </c>
      <c r="C198" s="75" t="s">
        <v>114</v>
      </c>
      <c r="D198" s="75" t="s">
        <v>132</v>
      </c>
      <c r="E198" s="75" t="s">
        <v>143</v>
      </c>
      <c r="F198" s="75"/>
      <c r="G198" s="75" t="s">
        <v>112</v>
      </c>
      <c r="H198" s="75"/>
      <c r="I198" s="75" t="s">
        <v>170</v>
      </c>
      <c r="J198" s="76">
        <v>20</v>
      </c>
      <c r="K198" s="519" t="s">
        <v>387</v>
      </c>
      <c r="L198" s="520">
        <v>9.02</v>
      </c>
      <c r="M198" s="520">
        <v>9.68</v>
      </c>
      <c r="N198" s="507">
        <v>0.10299999999999999</v>
      </c>
      <c r="O198" s="507">
        <v>0.1</v>
      </c>
      <c r="P198" s="507">
        <v>0.112</v>
      </c>
      <c r="Q198" s="78">
        <v>0.44</v>
      </c>
      <c r="R198" s="78">
        <v>0.31740000000000002</v>
      </c>
      <c r="S198" s="69">
        <v>1.4999999999999999E-2</v>
      </c>
      <c r="T198" s="69">
        <v>5.0000000000000001E-3</v>
      </c>
      <c r="U198" s="507">
        <v>0.95</v>
      </c>
      <c r="V198" s="76">
        <v>0</v>
      </c>
      <c r="W198" s="76">
        <v>0</v>
      </c>
      <c r="X198" s="76" t="s">
        <v>147</v>
      </c>
      <c r="Y198" s="519" t="s">
        <v>469</v>
      </c>
    </row>
    <row r="199" spans="1:25" x14ac:dyDescent="0.25">
      <c r="A199" s="75" t="str">
        <f t="shared" si="9"/>
        <v>Adquisicion PF Premier Apoyo Infonavit Pago_Bajo_Puntual 20</v>
      </c>
      <c r="B199" s="75" t="str">
        <f t="shared" si="8"/>
        <v>Adquisicion PF Premier Apoyo Infonavit Pago_Bajo_Puntual 20 0.106</v>
      </c>
      <c r="C199" s="75" t="s">
        <v>114</v>
      </c>
      <c r="D199" s="75" t="s">
        <v>132</v>
      </c>
      <c r="E199" s="75" t="s">
        <v>143</v>
      </c>
      <c r="F199" s="75"/>
      <c r="G199" s="75" t="s">
        <v>112</v>
      </c>
      <c r="H199" s="75"/>
      <c r="I199" s="75" t="s">
        <v>170</v>
      </c>
      <c r="J199" s="76">
        <v>20</v>
      </c>
      <c r="K199" s="519">
        <v>3</v>
      </c>
      <c r="L199" s="520">
        <v>9.26</v>
      </c>
      <c r="M199" s="520">
        <v>9.92</v>
      </c>
      <c r="N199" s="507">
        <v>0.106</v>
      </c>
      <c r="O199" s="507">
        <v>0.10299999999999999</v>
      </c>
      <c r="P199" s="507">
        <v>0.11799999999999999</v>
      </c>
      <c r="Q199" s="78">
        <v>0.44</v>
      </c>
      <c r="R199" s="78">
        <v>0.31740000000000002</v>
      </c>
      <c r="S199" s="69">
        <v>1.4999999999999999E-2</v>
      </c>
      <c r="T199" s="69">
        <v>5.0000000000000001E-3</v>
      </c>
      <c r="U199" s="507">
        <v>0.95</v>
      </c>
      <c r="V199" s="76">
        <v>0</v>
      </c>
      <c r="W199" s="76">
        <v>0</v>
      </c>
      <c r="X199" s="76"/>
      <c r="Y199" s="519" t="s">
        <v>469</v>
      </c>
    </row>
    <row r="200" spans="1:25" x14ac:dyDescent="0.25">
      <c r="A200" s="75" t="str">
        <f t="shared" si="9"/>
        <v>Adquisicion PF Premier Apoyo Infonavit Pago_Bajo_Puntual Si 15</v>
      </c>
      <c r="B200" s="75" t="str">
        <f t="shared" si="8"/>
        <v>Adquisicion PF Premier Apoyo Infonavit Pago_Bajo_Puntual Si 15 0.103</v>
      </c>
      <c r="C200" s="75" t="s">
        <v>114</v>
      </c>
      <c r="D200" s="75" t="s">
        <v>132</v>
      </c>
      <c r="E200" s="75" t="s">
        <v>143</v>
      </c>
      <c r="F200" s="75"/>
      <c r="G200" s="75" t="s">
        <v>112</v>
      </c>
      <c r="H200" s="75"/>
      <c r="I200" s="75" t="s">
        <v>170</v>
      </c>
      <c r="J200" s="76">
        <v>15</v>
      </c>
      <c r="K200" s="519" t="s">
        <v>387</v>
      </c>
      <c r="L200" s="520">
        <v>10.130000000000001</v>
      </c>
      <c r="M200" s="520">
        <v>10.79</v>
      </c>
      <c r="N200" s="507">
        <v>0.10299999999999999</v>
      </c>
      <c r="O200" s="507">
        <v>0.1</v>
      </c>
      <c r="P200" s="507">
        <v>0.112</v>
      </c>
      <c r="Q200" s="78">
        <v>0.44</v>
      </c>
      <c r="R200" s="78">
        <v>0.31740000000000002</v>
      </c>
      <c r="S200" s="69">
        <v>1.4999999999999999E-2</v>
      </c>
      <c r="T200" s="69">
        <v>5.0000000000000001E-3</v>
      </c>
      <c r="U200" s="507">
        <v>0.95</v>
      </c>
      <c r="V200" s="76">
        <v>0</v>
      </c>
      <c r="W200" s="76">
        <v>0</v>
      </c>
      <c r="X200" s="76" t="s">
        <v>147</v>
      </c>
      <c r="Y200" s="519" t="s">
        <v>469</v>
      </c>
    </row>
    <row r="201" spans="1:25" x14ac:dyDescent="0.25">
      <c r="A201" s="75" t="str">
        <f t="shared" si="9"/>
        <v>Adquisicion PF Premier Apoyo Infonavit Pago_Bajo_Puntual 15</v>
      </c>
      <c r="B201" s="75" t="str">
        <f t="shared" si="8"/>
        <v>Adquisicion PF Premier Apoyo Infonavit Pago_Bajo_Puntual 15 0.106</v>
      </c>
      <c r="C201" s="75" t="s">
        <v>114</v>
      </c>
      <c r="D201" s="75" t="s">
        <v>132</v>
      </c>
      <c r="E201" s="75" t="s">
        <v>143</v>
      </c>
      <c r="F201" s="75"/>
      <c r="G201" s="75" t="s">
        <v>112</v>
      </c>
      <c r="H201" s="75"/>
      <c r="I201" s="75" t="s">
        <v>170</v>
      </c>
      <c r="J201" s="76">
        <v>15</v>
      </c>
      <c r="K201" s="519">
        <v>3</v>
      </c>
      <c r="L201" s="520">
        <v>10.33</v>
      </c>
      <c r="M201" s="520">
        <v>10.99</v>
      </c>
      <c r="N201" s="507">
        <v>0.106</v>
      </c>
      <c r="O201" s="507">
        <v>0.10299999999999999</v>
      </c>
      <c r="P201" s="507">
        <v>0.11799999999999999</v>
      </c>
      <c r="Q201" s="78">
        <v>0.44</v>
      </c>
      <c r="R201" s="78">
        <v>0.31740000000000002</v>
      </c>
      <c r="S201" s="69">
        <v>1.4999999999999999E-2</v>
      </c>
      <c r="T201" s="69">
        <v>5.0000000000000001E-3</v>
      </c>
      <c r="U201" s="507">
        <v>0.95</v>
      </c>
      <c r="V201" s="76">
        <v>0</v>
      </c>
      <c r="W201" s="76">
        <v>0</v>
      </c>
      <c r="X201" s="76"/>
      <c r="Y201" s="519" t="s">
        <v>469</v>
      </c>
    </row>
    <row r="202" spans="1:25" x14ac:dyDescent="0.25">
      <c r="A202" s="75" t="str">
        <f t="shared" si="9"/>
        <v>Adquisicion PF Premier Apoyo Infonavit Pago_Bajo_Puntual Si 10</v>
      </c>
      <c r="B202" s="75" t="str">
        <f t="shared" si="8"/>
        <v>Adquisicion PF Premier Apoyo Infonavit Pago_Bajo_Puntual Si 10 0.103</v>
      </c>
      <c r="C202" s="75" t="s">
        <v>114</v>
      </c>
      <c r="D202" s="75" t="s">
        <v>132</v>
      </c>
      <c r="E202" s="75" t="s">
        <v>143</v>
      </c>
      <c r="F202" s="75"/>
      <c r="G202" s="75" t="s">
        <v>112</v>
      </c>
      <c r="H202" s="75"/>
      <c r="I202" s="75" t="s">
        <v>170</v>
      </c>
      <c r="J202" s="76">
        <v>10</v>
      </c>
      <c r="K202" s="519" t="s">
        <v>387</v>
      </c>
      <c r="L202" s="520">
        <v>12.62</v>
      </c>
      <c r="M202" s="520">
        <v>13.28</v>
      </c>
      <c r="N202" s="507">
        <v>0.10299999999999999</v>
      </c>
      <c r="O202" s="507">
        <v>0.1</v>
      </c>
      <c r="P202" s="507">
        <v>0.112</v>
      </c>
      <c r="Q202" s="78">
        <v>0.44</v>
      </c>
      <c r="R202" s="78">
        <v>0.31740000000000002</v>
      </c>
      <c r="S202" s="69">
        <v>1.4999999999999999E-2</v>
      </c>
      <c r="T202" s="69">
        <v>5.0000000000000001E-3</v>
      </c>
      <c r="U202" s="507">
        <v>0.95</v>
      </c>
      <c r="V202" s="76">
        <v>0</v>
      </c>
      <c r="W202" s="76">
        <v>0</v>
      </c>
      <c r="X202" s="76" t="s">
        <v>147</v>
      </c>
      <c r="Y202" s="519" t="s">
        <v>469</v>
      </c>
    </row>
    <row r="203" spans="1:25" x14ac:dyDescent="0.25">
      <c r="A203" s="75" t="str">
        <f t="shared" si="9"/>
        <v>Adquisicion PF Premier Apoyo Infonavit Pago_Bajo_Puntual 10</v>
      </c>
      <c r="B203" s="75" t="str">
        <f t="shared" si="8"/>
        <v>Adquisicion PF Premier Apoyo Infonavit Pago_Bajo_Puntual 10 0.106</v>
      </c>
      <c r="C203" s="75" t="s">
        <v>114</v>
      </c>
      <c r="D203" s="75" t="s">
        <v>132</v>
      </c>
      <c r="E203" s="75" t="s">
        <v>143</v>
      </c>
      <c r="F203" s="75"/>
      <c r="G203" s="75" t="s">
        <v>112</v>
      </c>
      <c r="H203" s="75"/>
      <c r="I203" s="75" t="s">
        <v>170</v>
      </c>
      <c r="J203" s="76">
        <v>10</v>
      </c>
      <c r="K203" s="519">
        <v>3</v>
      </c>
      <c r="L203" s="520">
        <v>12.79</v>
      </c>
      <c r="M203" s="520">
        <v>13.45</v>
      </c>
      <c r="N203" s="507">
        <v>0.106</v>
      </c>
      <c r="O203" s="507">
        <v>0.10299999999999999</v>
      </c>
      <c r="P203" s="507">
        <v>0.11799999999999999</v>
      </c>
      <c r="Q203" s="78">
        <v>0.44</v>
      </c>
      <c r="R203" s="78">
        <v>0.31740000000000002</v>
      </c>
      <c r="S203" s="69">
        <v>1.4999999999999999E-2</v>
      </c>
      <c r="T203" s="69">
        <v>5.0000000000000001E-3</v>
      </c>
      <c r="U203" s="507">
        <v>0.95</v>
      </c>
      <c r="V203" s="76">
        <v>0</v>
      </c>
      <c r="W203" s="76">
        <v>0</v>
      </c>
      <c r="X203" s="76"/>
      <c r="Y203" s="519" t="s">
        <v>469</v>
      </c>
    </row>
    <row r="204" spans="1:25" x14ac:dyDescent="0.25">
      <c r="A204" s="75" t="str">
        <f t="shared" si="9"/>
        <v>Adquisicion PF Premier Apoyo Infonavit Pago_Bajo_Puntual Si 5</v>
      </c>
      <c r="B204" s="75" t="str">
        <f t="shared" si="8"/>
        <v>Adquisicion PF Premier Apoyo Infonavit Pago_Bajo_Puntual Si 5 0.103</v>
      </c>
      <c r="C204" s="75" t="s">
        <v>114</v>
      </c>
      <c r="D204" s="75" t="s">
        <v>132</v>
      </c>
      <c r="E204" s="75" t="s">
        <v>143</v>
      </c>
      <c r="F204" s="75"/>
      <c r="G204" s="75" t="s">
        <v>112</v>
      </c>
      <c r="H204" s="75"/>
      <c r="I204" s="75" t="s">
        <v>170</v>
      </c>
      <c r="J204" s="76">
        <v>5</v>
      </c>
      <c r="K204" s="519" t="s">
        <v>387</v>
      </c>
      <c r="L204" s="520">
        <v>20.72</v>
      </c>
      <c r="M204" s="520">
        <v>21.38</v>
      </c>
      <c r="N204" s="507">
        <v>0.10299999999999999</v>
      </c>
      <c r="O204" s="507">
        <v>0.1</v>
      </c>
      <c r="P204" s="507">
        <v>0.112</v>
      </c>
      <c r="Q204" s="78">
        <v>0.44</v>
      </c>
      <c r="R204" s="78">
        <v>0.31740000000000002</v>
      </c>
      <c r="S204" s="69">
        <v>1.4999999999999999E-2</v>
      </c>
      <c r="T204" s="69">
        <v>5.0000000000000001E-3</v>
      </c>
      <c r="U204" s="507">
        <v>0.95</v>
      </c>
      <c r="V204" s="76">
        <v>0</v>
      </c>
      <c r="W204" s="76">
        <v>0</v>
      </c>
      <c r="X204" s="76" t="s">
        <v>147</v>
      </c>
      <c r="Y204" s="519" t="s">
        <v>469</v>
      </c>
    </row>
    <row r="205" spans="1:25" x14ac:dyDescent="0.25">
      <c r="A205" s="75" t="str">
        <f t="shared" si="9"/>
        <v>Adquisicion PF Premier Apoyo Infonavit Pago_Bajo_Puntual 5</v>
      </c>
      <c r="B205" s="75" t="str">
        <f t="shared" si="8"/>
        <v>Adquisicion PF Premier Apoyo Infonavit Pago_Bajo_Puntual 5 0.106</v>
      </c>
      <c r="C205" s="75" t="s">
        <v>114</v>
      </c>
      <c r="D205" s="75" t="s">
        <v>132</v>
      </c>
      <c r="E205" s="75" t="s">
        <v>143</v>
      </c>
      <c r="F205" s="75"/>
      <c r="G205" s="75" t="s">
        <v>112</v>
      </c>
      <c r="H205" s="75"/>
      <c r="I205" s="75" t="s">
        <v>170</v>
      </c>
      <c r="J205" s="76">
        <v>5</v>
      </c>
      <c r="K205" s="519">
        <v>3</v>
      </c>
      <c r="L205" s="520">
        <v>20.86</v>
      </c>
      <c r="M205" s="520">
        <v>21.52</v>
      </c>
      <c r="N205" s="507">
        <v>0.106</v>
      </c>
      <c r="O205" s="507">
        <v>0.10299999999999999</v>
      </c>
      <c r="P205" s="507">
        <v>0.11799999999999999</v>
      </c>
      <c r="Q205" s="78">
        <v>0.44</v>
      </c>
      <c r="R205" s="78">
        <v>0.31740000000000002</v>
      </c>
      <c r="S205" s="69">
        <v>1.4999999999999999E-2</v>
      </c>
      <c r="T205" s="69">
        <v>5.0000000000000001E-3</v>
      </c>
      <c r="U205" s="507">
        <v>0.95</v>
      </c>
      <c r="V205" s="76">
        <v>0</v>
      </c>
      <c r="W205" s="76">
        <v>0</v>
      </c>
      <c r="X205" s="76"/>
      <c r="Y205" s="519" t="s">
        <v>469</v>
      </c>
    </row>
    <row r="206" spans="1:25" x14ac:dyDescent="0.25">
      <c r="A206" s="75" t="str">
        <f t="shared" si="9"/>
        <v>Adquisicion PF Premier Cofinavit Pago_Fijo_Puntual Si 25</v>
      </c>
      <c r="B206" s="75" t="str">
        <f t="shared" si="8"/>
        <v>Adquisicion PF Premier Cofinavit Pago_Fijo_Puntual Si 25 0.103</v>
      </c>
      <c r="C206" s="75" t="s">
        <v>114</v>
      </c>
      <c r="D206" s="75" t="s">
        <v>132</v>
      </c>
      <c r="E206" s="75" t="s">
        <v>143</v>
      </c>
      <c r="F206" s="75"/>
      <c r="G206" s="75" t="s">
        <v>113</v>
      </c>
      <c r="H206" s="75"/>
      <c r="I206" s="75" t="s">
        <v>171</v>
      </c>
      <c r="J206" s="76">
        <v>25</v>
      </c>
      <c r="K206" s="519" t="s">
        <v>387</v>
      </c>
      <c r="L206" s="520">
        <v>9.65</v>
      </c>
      <c r="M206" s="520">
        <v>10.31</v>
      </c>
      <c r="N206" s="507">
        <v>0.10299999999999999</v>
      </c>
      <c r="O206" s="507">
        <v>0.1</v>
      </c>
      <c r="P206" s="507">
        <v>0.112</v>
      </c>
      <c r="Q206" s="78">
        <v>0.44</v>
      </c>
      <c r="R206" s="78">
        <v>0.31740000000000002</v>
      </c>
      <c r="S206" s="69">
        <v>1.4999999999999999E-2</v>
      </c>
      <c r="T206" s="69">
        <v>5.0000000000000001E-3</v>
      </c>
      <c r="U206" s="507">
        <v>0.95</v>
      </c>
      <c r="V206" s="76">
        <v>0</v>
      </c>
      <c r="W206" s="76">
        <v>0</v>
      </c>
      <c r="X206" s="76" t="s">
        <v>147</v>
      </c>
      <c r="Y206" s="519" t="s">
        <v>469</v>
      </c>
    </row>
    <row r="207" spans="1:25" x14ac:dyDescent="0.25">
      <c r="A207" s="75" t="str">
        <f t="shared" si="9"/>
        <v>Adquisicion PF Premier Cofinavit Pago_Fijo_Puntual 25</v>
      </c>
      <c r="B207" s="75" t="str">
        <f t="shared" si="8"/>
        <v>Adquisicion PF Premier Cofinavit Pago_Fijo_Puntual 25 0.106</v>
      </c>
      <c r="C207" s="75" t="s">
        <v>114</v>
      </c>
      <c r="D207" s="75" t="s">
        <v>132</v>
      </c>
      <c r="E207" s="75" t="s">
        <v>143</v>
      </c>
      <c r="F207" s="75"/>
      <c r="G207" s="75" t="s">
        <v>113</v>
      </c>
      <c r="H207" s="75"/>
      <c r="I207" s="75" t="s">
        <v>171</v>
      </c>
      <c r="J207" s="76">
        <v>25</v>
      </c>
      <c r="K207" s="519">
        <v>3</v>
      </c>
      <c r="L207" s="520">
        <v>9.93</v>
      </c>
      <c r="M207" s="520">
        <v>10.59</v>
      </c>
      <c r="N207" s="507">
        <v>0.106</v>
      </c>
      <c r="O207" s="507">
        <v>0.10299999999999999</v>
      </c>
      <c r="P207" s="507">
        <v>0.11799999999999999</v>
      </c>
      <c r="Q207" s="78">
        <v>0.44</v>
      </c>
      <c r="R207" s="78">
        <v>0.31740000000000002</v>
      </c>
      <c r="S207" s="69">
        <v>1.4999999999999999E-2</v>
      </c>
      <c r="T207" s="69">
        <v>5.0000000000000001E-3</v>
      </c>
      <c r="U207" s="507">
        <v>0.95</v>
      </c>
      <c r="V207" s="76">
        <v>0</v>
      </c>
      <c r="W207" s="76">
        <v>0</v>
      </c>
      <c r="X207" s="76"/>
      <c r="Y207" s="519" t="s">
        <v>469</v>
      </c>
    </row>
    <row r="208" spans="1:25" x14ac:dyDescent="0.25">
      <c r="A208" s="75" t="str">
        <f t="shared" si="9"/>
        <v>Adquisicion PF Premier Cofinavit Pago_Fijo_Puntual Si 20</v>
      </c>
      <c r="B208" s="75" t="str">
        <f t="shared" si="8"/>
        <v>Adquisicion PF Premier Cofinavit Pago_Fijo_Puntual Si 20 0.103</v>
      </c>
      <c r="C208" s="75" t="s">
        <v>114</v>
      </c>
      <c r="D208" s="75" t="s">
        <v>132</v>
      </c>
      <c r="E208" s="75" t="s">
        <v>143</v>
      </c>
      <c r="F208" s="75"/>
      <c r="G208" s="75" t="s">
        <v>113</v>
      </c>
      <c r="H208" s="75"/>
      <c r="I208" s="75" t="s">
        <v>171</v>
      </c>
      <c r="J208" s="76">
        <v>20</v>
      </c>
      <c r="K208" s="519" t="s">
        <v>387</v>
      </c>
      <c r="L208" s="520">
        <v>10.16</v>
      </c>
      <c r="M208" s="520">
        <v>10.82</v>
      </c>
      <c r="N208" s="507">
        <v>0.10299999999999999</v>
      </c>
      <c r="O208" s="507">
        <v>0.1</v>
      </c>
      <c r="P208" s="507">
        <v>0.112</v>
      </c>
      <c r="Q208" s="78">
        <v>0.44</v>
      </c>
      <c r="R208" s="78">
        <v>0.31740000000000002</v>
      </c>
      <c r="S208" s="69">
        <v>1.4999999999999999E-2</v>
      </c>
      <c r="T208" s="69">
        <v>5.0000000000000001E-3</v>
      </c>
      <c r="U208" s="507">
        <v>0.95</v>
      </c>
      <c r="V208" s="76">
        <v>0</v>
      </c>
      <c r="W208" s="76">
        <v>0</v>
      </c>
      <c r="X208" s="76" t="s">
        <v>147</v>
      </c>
      <c r="Y208" s="519" t="s">
        <v>469</v>
      </c>
    </row>
    <row r="209" spans="1:25" x14ac:dyDescent="0.25">
      <c r="A209" s="75" t="str">
        <f t="shared" si="9"/>
        <v>Adquisicion PF Premier Cofinavit Pago_Fijo_Puntual 20</v>
      </c>
      <c r="B209" s="75" t="str">
        <f t="shared" si="8"/>
        <v>Adquisicion PF Premier Cofinavit Pago_Fijo_Puntual 20 0.106</v>
      </c>
      <c r="C209" s="75" t="s">
        <v>114</v>
      </c>
      <c r="D209" s="75" t="s">
        <v>132</v>
      </c>
      <c r="E209" s="75" t="s">
        <v>143</v>
      </c>
      <c r="F209" s="75"/>
      <c r="G209" s="75" t="s">
        <v>113</v>
      </c>
      <c r="H209" s="75"/>
      <c r="I209" s="75" t="s">
        <v>171</v>
      </c>
      <c r="J209" s="76">
        <v>20</v>
      </c>
      <c r="K209" s="519">
        <v>3</v>
      </c>
      <c r="L209" s="520">
        <v>10.41</v>
      </c>
      <c r="M209" s="520">
        <v>11.07</v>
      </c>
      <c r="N209" s="507">
        <v>0.106</v>
      </c>
      <c r="O209" s="507">
        <v>0.10299999999999999</v>
      </c>
      <c r="P209" s="507">
        <v>0.11799999999999999</v>
      </c>
      <c r="Q209" s="78">
        <v>0.44</v>
      </c>
      <c r="R209" s="78">
        <v>0.31740000000000002</v>
      </c>
      <c r="S209" s="69">
        <v>1.4999999999999999E-2</v>
      </c>
      <c r="T209" s="69">
        <v>5.0000000000000001E-3</v>
      </c>
      <c r="U209" s="507">
        <v>0.95</v>
      </c>
      <c r="V209" s="76">
        <v>0</v>
      </c>
      <c r="W209" s="76">
        <v>0</v>
      </c>
      <c r="X209" s="76"/>
      <c r="Y209" s="519" t="s">
        <v>469</v>
      </c>
    </row>
    <row r="210" spans="1:25" x14ac:dyDescent="0.25">
      <c r="A210" s="75" t="str">
        <f t="shared" si="9"/>
        <v>Adquisicion PF Premier Cofinavit Pago_Fijo_Puntual Si 15</v>
      </c>
      <c r="B210" s="75" t="str">
        <f t="shared" si="8"/>
        <v>Adquisicion PF Premier Cofinavit Pago_Fijo_Puntual Si 15 0.103</v>
      </c>
      <c r="C210" s="75" t="s">
        <v>114</v>
      </c>
      <c r="D210" s="75" t="s">
        <v>132</v>
      </c>
      <c r="E210" s="75" t="s">
        <v>143</v>
      </c>
      <c r="F210" s="75"/>
      <c r="G210" s="75" t="s">
        <v>113</v>
      </c>
      <c r="H210" s="75"/>
      <c r="I210" s="75" t="s">
        <v>171</v>
      </c>
      <c r="J210" s="76">
        <v>15</v>
      </c>
      <c r="K210" s="519" t="s">
        <v>387</v>
      </c>
      <c r="L210" s="520">
        <v>11.18</v>
      </c>
      <c r="M210" s="520">
        <v>11.84</v>
      </c>
      <c r="N210" s="507">
        <v>0.10299999999999999</v>
      </c>
      <c r="O210" s="507">
        <v>0.1</v>
      </c>
      <c r="P210" s="507">
        <v>0.112</v>
      </c>
      <c r="Q210" s="78">
        <v>0.44</v>
      </c>
      <c r="R210" s="78">
        <v>0.31740000000000002</v>
      </c>
      <c r="S210" s="69">
        <v>1.4999999999999999E-2</v>
      </c>
      <c r="T210" s="69">
        <v>5.0000000000000001E-3</v>
      </c>
      <c r="U210" s="507">
        <v>0.95</v>
      </c>
      <c r="V210" s="76">
        <v>0</v>
      </c>
      <c r="W210" s="76">
        <v>0</v>
      </c>
      <c r="X210" s="76" t="s">
        <v>147</v>
      </c>
      <c r="Y210" s="519" t="s">
        <v>469</v>
      </c>
    </row>
    <row r="211" spans="1:25" x14ac:dyDescent="0.25">
      <c r="A211" s="75" t="str">
        <f t="shared" si="9"/>
        <v>Adquisicion PF Premier Cofinavit Pago_Fijo_Puntual 15</v>
      </c>
      <c r="B211" s="75" t="str">
        <f t="shared" si="8"/>
        <v>Adquisicion PF Premier Cofinavit Pago_Fijo_Puntual 15 0.106</v>
      </c>
      <c r="C211" s="75" t="s">
        <v>114</v>
      </c>
      <c r="D211" s="75" t="s">
        <v>132</v>
      </c>
      <c r="E211" s="75" t="s">
        <v>143</v>
      </c>
      <c r="F211" s="75"/>
      <c r="G211" s="75" t="s">
        <v>113</v>
      </c>
      <c r="H211" s="75"/>
      <c r="I211" s="75" t="s">
        <v>171</v>
      </c>
      <c r="J211" s="76">
        <v>15</v>
      </c>
      <c r="K211" s="519">
        <v>3</v>
      </c>
      <c r="L211" s="520">
        <v>11.39</v>
      </c>
      <c r="M211" s="520">
        <v>12.05</v>
      </c>
      <c r="N211" s="507">
        <v>0.106</v>
      </c>
      <c r="O211" s="507">
        <v>0.10299999999999999</v>
      </c>
      <c r="P211" s="507">
        <v>0.11799999999999999</v>
      </c>
      <c r="Q211" s="78">
        <v>0.44</v>
      </c>
      <c r="R211" s="78">
        <v>0.31740000000000002</v>
      </c>
      <c r="S211" s="69">
        <v>1.4999999999999999E-2</v>
      </c>
      <c r="T211" s="69">
        <v>5.0000000000000001E-3</v>
      </c>
      <c r="U211" s="507">
        <v>0.95</v>
      </c>
      <c r="V211" s="76">
        <v>0</v>
      </c>
      <c r="W211" s="76">
        <v>0</v>
      </c>
      <c r="X211" s="76"/>
      <c r="Y211" s="519" t="s">
        <v>469</v>
      </c>
    </row>
    <row r="212" spans="1:25" x14ac:dyDescent="0.25">
      <c r="A212" s="75" t="str">
        <f t="shared" si="9"/>
        <v>Adquisicion PF Premier Cofinavit Pago_Fijo_Puntual Si 10</v>
      </c>
      <c r="B212" s="75" t="str">
        <f t="shared" si="8"/>
        <v>Adquisicion PF Premier Cofinavit Pago_Fijo_Puntual Si 10 0.103</v>
      </c>
      <c r="C212" s="75" t="s">
        <v>114</v>
      </c>
      <c r="D212" s="75" t="s">
        <v>132</v>
      </c>
      <c r="E212" s="75" t="s">
        <v>143</v>
      </c>
      <c r="F212" s="75"/>
      <c r="G212" s="75" t="s">
        <v>113</v>
      </c>
      <c r="H212" s="75"/>
      <c r="I212" s="75" t="s">
        <v>171</v>
      </c>
      <c r="J212" s="76">
        <v>10</v>
      </c>
      <c r="K212" s="519" t="s">
        <v>387</v>
      </c>
      <c r="L212" s="520">
        <v>13.54</v>
      </c>
      <c r="M212" s="520">
        <v>14.2</v>
      </c>
      <c r="N212" s="507">
        <v>0.10299999999999999</v>
      </c>
      <c r="O212" s="507">
        <v>0.1</v>
      </c>
      <c r="P212" s="507">
        <v>0.112</v>
      </c>
      <c r="Q212" s="78">
        <v>0.44</v>
      </c>
      <c r="R212" s="78">
        <v>0.31740000000000002</v>
      </c>
      <c r="S212" s="69">
        <v>1.4999999999999999E-2</v>
      </c>
      <c r="T212" s="69">
        <v>5.0000000000000001E-3</v>
      </c>
      <c r="U212" s="507">
        <v>0.95</v>
      </c>
      <c r="V212" s="76">
        <v>0</v>
      </c>
      <c r="W212" s="76">
        <v>0</v>
      </c>
      <c r="X212" s="76" t="s">
        <v>147</v>
      </c>
      <c r="Y212" s="519" t="s">
        <v>469</v>
      </c>
    </row>
    <row r="213" spans="1:25" x14ac:dyDescent="0.25">
      <c r="A213" s="75" t="str">
        <f t="shared" si="9"/>
        <v>Adquisicion PF Premier Cofinavit Pago_Fijo_Puntual 10</v>
      </c>
      <c r="B213" s="75" t="str">
        <f t="shared" si="8"/>
        <v>Adquisicion PF Premier Cofinavit Pago_Fijo_Puntual 10 0.106</v>
      </c>
      <c r="C213" s="75" t="s">
        <v>114</v>
      </c>
      <c r="D213" s="75" t="s">
        <v>132</v>
      </c>
      <c r="E213" s="75" t="s">
        <v>143</v>
      </c>
      <c r="F213" s="75"/>
      <c r="G213" s="75" t="s">
        <v>113</v>
      </c>
      <c r="H213" s="75"/>
      <c r="I213" s="75" t="s">
        <v>171</v>
      </c>
      <c r="J213" s="76">
        <v>10</v>
      </c>
      <c r="K213" s="519">
        <v>3</v>
      </c>
      <c r="L213" s="520">
        <v>13.71</v>
      </c>
      <c r="M213" s="520">
        <v>14.37</v>
      </c>
      <c r="N213" s="507">
        <v>0.106</v>
      </c>
      <c r="O213" s="507">
        <v>0.10299999999999999</v>
      </c>
      <c r="P213" s="507">
        <v>0.11799999999999999</v>
      </c>
      <c r="Q213" s="78">
        <v>0.44</v>
      </c>
      <c r="R213" s="78">
        <v>0.31740000000000002</v>
      </c>
      <c r="S213" s="69">
        <v>1.4999999999999999E-2</v>
      </c>
      <c r="T213" s="69">
        <v>5.0000000000000001E-3</v>
      </c>
      <c r="U213" s="507">
        <v>0.95</v>
      </c>
      <c r="V213" s="76">
        <v>0</v>
      </c>
      <c r="W213" s="76">
        <v>0</v>
      </c>
      <c r="X213" s="76"/>
      <c r="Y213" s="519" t="s">
        <v>469</v>
      </c>
    </row>
    <row r="214" spans="1:25" x14ac:dyDescent="0.25">
      <c r="A214" s="75" t="str">
        <f t="shared" si="9"/>
        <v>Adquisicion PF Premier Cofinavit Pago_Fijo_Puntual Si 5</v>
      </c>
      <c r="B214" s="75" t="str">
        <f t="shared" si="8"/>
        <v>Adquisicion PF Premier Cofinavit Pago_Fijo_Puntual Si 5 0.103</v>
      </c>
      <c r="C214" s="75" t="s">
        <v>114</v>
      </c>
      <c r="D214" s="75" t="s">
        <v>132</v>
      </c>
      <c r="E214" s="75" t="s">
        <v>143</v>
      </c>
      <c r="F214" s="75"/>
      <c r="G214" s="75" t="s">
        <v>113</v>
      </c>
      <c r="H214" s="75"/>
      <c r="I214" s="75" t="s">
        <v>171</v>
      </c>
      <c r="J214" s="76">
        <v>5</v>
      </c>
      <c r="K214" s="519" t="s">
        <v>387</v>
      </c>
      <c r="L214" s="520">
        <v>21.44</v>
      </c>
      <c r="M214" s="520">
        <v>22.1</v>
      </c>
      <c r="N214" s="507">
        <v>0.10299999999999999</v>
      </c>
      <c r="O214" s="507">
        <v>0.1</v>
      </c>
      <c r="P214" s="507">
        <v>0.112</v>
      </c>
      <c r="Q214" s="78">
        <v>0.44</v>
      </c>
      <c r="R214" s="78">
        <v>0.31740000000000002</v>
      </c>
      <c r="S214" s="69">
        <v>1.4999999999999999E-2</v>
      </c>
      <c r="T214" s="69">
        <v>5.0000000000000001E-3</v>
      </c>
      <c r="U214" s="507">
        <v>0.95</v>
      </c>
      <c r="V214" s="76">
        <v>0</v>
      </c>
      <c r="W214" s="76">
        <v>0</v>
      </c>
      <c r="X214" s="76" t="s">
        <v>147</v>
      </c>
      <c r="Y214" s="519" t="s">
        <v>469</v>
      </c>
    </row>
    <row r="215" spans="1:25" x14ac:dyDescent="0.25">
      <c r="A215" s="75" t="str">
        <f t="shared" si="9"/>
        <v>Adquisicion PF Premier Cofinavit Pago_Fijo_Puntual 5</v>
      </c>
      <c r="B215" s="75" t="str">
        <f t="shared" si="8"/>
        <v>Adquisicion PF Premier Cofinavit Pago_Fijo_Puntual 5 0.106</v>
      </c>
      <c r="C215" s="75" t="s">
        <v>114</v>
      </c>
      <c r="D215" s="75" t="s">
        <v>132</v>
      </c>
      <c r="E215" s="75" t="s">
        <v>143</v>
      </c>
      <c r="F215" s="75"/>
      <c r="G215" s="75" t="s">
        <v>113</v>
      </c>
      <c r="H215" s="75"/>
      <c r="I215" s="75" t="s">
        <v>171</v>
      </c>
      <c r="J215" s="76">
        <v>5</v>
      </c>
      <c r="K215" s="519">
        <v>3</v>
      </c>
      <c r="L215" s="520">
        <v>21.59</v>
      </c>
      <c r="M215" s="520">
        <v>22.25</v>
      </c>
      <c r="N215" s="507">
        <v>0.106</v>
      </c>
      <c r="O215" s="507">
        <v>0.10299999999999999</v>
      </c>
      <c r="P215" s="507">
        <v>0.11799999999999999</v>
      </c>
      <c r="Q215" s="78">
        <v>0.44</v>
      </c>
      <c r="R215" s="78">
        <v>0.31740000000000002</v>
      </c>
      <c r="S215" s="69">
        <v>1.4999999999999999E-2</v>
      </c>
      <c r="T215" s="69">
        <v>5.0000000000000001E-3</v>
      </c>
      <c r="U215" s="507">
        <v>0.95</v>
      </c>
      <c r="V215" s="76">
        <v>0</v>
      </c>
      <c r="W215" s="76">
        <v>0</v>
      </c>
      <c r="X215" s="76"/>
      <c r="Y215" s="519" t="s">
        <v>469</v>
      </c>
    </row>
    <row r="216" spans="1:25" x14ac:dyDescent="0.25">
      <c r="A216" s="75" t="str">
        <f t="shared" si="9"/>
        <v>Adquisicion PF Premier Cofinavit Pago_Bajo_Puntual Si 25</v>
      </c>
      <c r="B216" s="75" t="str">
        <f t="shared" si="8"/>
        <v>Adquisicion PF Premier Cofinavit Pago_Bajo_Puntual Si 25 0.103</v>
      </c>
      <c r="C216" s="75" t="s">
        <v>114</v>
      </c>
      <c r="D216" s="75" t="s">
        <v>132</v>
      </c>
      <c r="E216" s="75" t="s">
        <v>143</v>
      </c>
      <c r="F216" s="75"/>
      <c r="G216" s="75" t="s">
        <v>113</v>
      </c>
      <c r="H216" s="75"/>
      <c r="I216" s="75" t="s">
        <v>170</v>
      </c>
      <c r="J216" s="523">
        <v>25</v>
      </c>
      <c r="K216" s="524" t="s">
        <v>387</v>
      </c>
      <c r="L216" s="525">
        <v>8.64</v>
      </c>
      <c r="M216" s="525">
        <v>9.3000000000000007</v>
      </c>
      <c r="N216" s="526">
        <v>0.10299999999999999</v>
      </c>
      <c r="O216" s="526">
        <v>0.1</v>
      </c>
      <c r="P216" s="526">
        <v>0.112</v>
      </c>
      <c r="Q216" s="78">
        <v>0.44</v>
      </c>
      <c r="R216" s="78">
        <v>0.31740000000000002</v>
      </c>
      <c r="S216" s="69">
        <v>1.4999999999999999E-2</v>
      </c>
      <c r="T216" s="69">
        <v>5.0000000000000001E-3</v>
      </c>
      <c r="U216" s="507">
        <v>0.95</v>
      </c>
      <c r="V216" s="76">
        <v>0</v>
      </c>
      <c r="W216" s="76">
        <v>0</v>
      </c>
      <c r="X216" s="76" t="s">
        <v>147</v>
      </c>
      <c r="Y216" s="519" t="s">
        <v>469</v>
      </c>
    </row>
    <row r="217" spans="1:25" x14ac:dyDescent="0.25">
      <c r="A217" s="75" t="str">
        <f t="shared" si="9"/>
        <v>Adquisicion PF Premier Cofinavit Pago_Bajo_Puntual 25</v>
      </c>
      <c r="B217" s="75" t="str">
        <f t="shared" si="8"/>
        <v>Adquisicion PF Premier Cofinavit Pago_Bajo_Puntual 25 0.106</v>
      </c>
      <c r="C217" s="75" t="s">
        <v>114</v>
      </c>
      <c r="D217" s="75" t="s">
        <v>132</v>
      </c>
      <c r="E217" s="75" t="s">
        <v>143</v>
      </c>
      <c r="F217" s="75"/>
      <c r="G217" s="75" t="s">
        <v>113</v>
      </c>
      <c r="H217" s="75"/>
      <c r="I217" s="75" t="s">
        <v>170</v>
      </c>
      <c r="J217" s="523">
        <v>25</v>
      </c>
      <c r="K217" s="524">
        <v>3</v>
      </c>
      <c r="L217" s="525">
        <v>8.89</v>
      </c>
      <c r="M217" s="525">
        <v>9.5500000000000007</v>
      </c>
      <c r="N217" s="526">
        <v>0.106</v>
      </c>
      <c r="O217" s="526">
        <v>0.10299999999999999</v>
      </c>
      <c r="P217" s="526">
        <v>0.11799999999999999</v>
      </c>
      <c r="Q217" s="78">
        <v>0.44</v>
      </c>
      <c r="R217" s="78">
        <v>0.31740000000000002</v>
      </c>
      <c r="S217" s="69">
        <v>1.4999999999999999E-2</v>
      </c>
      <c r="T217" s="69">
        <v>5.0000000000000001E-3</v>
      </c>
      <c r="U217" s="507">
        <v>0.95</v>
      </c>
      <c r="V217" s="76">
        <v>0</v>
      </c>
      <c r="W217" s="76">
        <v>0</v>
      </c>
      <c r="X217" s="76"/>
      <c r="Y217" s="519" t="s">
        <v>469</v>
      </c>
    </row>
    <row r="218" spans="1:25" x14ac:dyDescent="0.25">
      <c r="A218" s="75" t="str">
        <f t="shared" si="9"/>
        <v>Adquisicion PF Premier Cofinavit Pago_Bajo_Puntual Si 20</v>
      </c>
      <c r="B218" s="75" t="str">
        <f t="shared" si="8"/>
        <v>Adquisicion PF Premier Cofinavit Pago_Bajo_Puntual Si 20 0.103</v>
      </c>
      <c r="C218" s="75" t="s">
        <v>114</v>
      </c>
      <c r="D218" s="75" t="s">
        <v>132</v>
      </c>
      <c r="E218" s="75" t="s">
        <v>143</v>
      </c>
      <c r="F218" s="75"/>
      <c r="G218" s="75" t="s">
        <v>113</v>
      </c>
      <c r="H218" s="75"/>
      <c r="I218" s="75" t="s">
        <v>170</v>
      </c>
      <c r="J218" s="76">
        <v>20</v>
      </c>
      <c r="K218" s="519" t="s">
        <v>387</v>
      </c>
      <c r="L218" s="520">
        <v>9.02</v>
      </c>
      <c r="M218" s="520">
        <v>9.68</v>
      </c>
      <c r="N218" s="507">
        <v>0.10299999999999999</v>
      </c>
      <c r="O218" s="507">
        <v>0.1</v>
      </c>
      <c r="P218" s="507">
        <v>0.112</v>
      </c>
      <c r="Q218" s="78">
        <v>0.44</v>
      </c>
      <c r="R218" s="78">
        <v>0.31740000000000002</v>
      </c>
      <c r="S218" s="69">
        <v>1.4999999999999999E-2</v>
      </c>
      <c r="T218" s="69">
        <v>5.0000000000000001E-3</v>
      </c>
      <c r="U218" s="507">
        <v>0.95</v>
      </c>
      <c r="V218" s="76">
        <v>0</v>
      </c>
      <c r="W218" s="76">
        <v>0</v>
      </c>
      <c r="X218" s="76" t="s">
        <v>147</v>
      </c>
      <c r="Y218" s="519" t="s">
        <v>469</v>
      </c>
    </row>
    <row r="219" spans="1:25" x14ac:dyDescent="0.25">
      <c r="A219" s="75" t="str">
        <f t="shared" si="9"/>
        <v>Adquisicion PF Premier Cofinavit Pago_Bajo_Puntual 20</v>
      </c>
      <c r="B219" s="75" t="str">
        <f t="shared" si="8"/>
        <v>Adquisicion PF Premier Cofinavit Pago_Bajo_Puntual 20 0.106</v>
      </c>
      <c r="C219" s="75" t="s">
        <v>114</v>
      </c>
      <c r="D219" s="75" t="s">
        <v>132</v>
      </c>
      <c r="E219" s="75" t="s">
        <v>143</v>
      </c>
      <c r="F219" s="75"/>
      <c r="G219" s="75" t="s">
        <v>113</v>
      </c>
      <c r="H219" s="75"/>
      <c r="I219" s="75" t="s">
        <v>170</v>
      </c>
      <c r="J219" s="76">
        <v>20</v>
      </c>
      <c r="K219" s="519">
        <v>3</v>
      </c>
      <c r="L219" s="520">
        <v>9.26</v>
      </c>
      <c r="M219" s="520">
        <v>9.92</v>
      </c>
      <c r="N219" s="507">
        <v>0.106</v>
      </c>
      <c r="O219" s="507">
        <v>0.10299999999999999</v>
      </c>
      <c r="P219" s="507">
        <v>0.11799999999999999</v>
      </c>
      <c r="Q219" s="78">
        <v>0.44</v>
      </c>
      <c r="R219" s="78">
        <v>0.31740000000000002</v>
      </c>
      <c r="S219" s="69">
        <v>1.4999999999999999E-2</v>
      </c>
      <c r="T219" s="69">
        <v>5.0000000000000001E-3</v>
      </c>
      <c r="U219" s="507">
        <v>0.95</v>
      </c>
      <c r="V219" s="76">
        <v>0</v>
      </c>
      <c r="W219" s="76">
        <v>0</v>
      </c>
      <c r="X219" s="76"/>
      <c r="Y219" s="519" t="s">
        <v>469</v>
      </c>
    </row>
    <row r="220" spans="1:25" x14ac:dyDescent="0.25">
      <c r="A220" s="75" t="str">
        <f t="shared" si="9"/>
        <v>Adquisicion PF Premier Cofinavit Pago_Bajo_Puntual Si 15</v>
      </c>
      <c r="B220" s="75" t="str">
        <f t="shared" si="8"/>
        <v>Adquisicion PF Premier Cofinavit Pago_Bajo_Puntual Si 15 0.103</v>
      </c>
      <c r="C220" s="75" t="s">
        <v>114</v>
      </c>
      <c r="D220" s="75" t="s">
        <v>132</v>
      </c>
      <c r="E220" s="75" t="s">
        <v>143</v>
      </c>
      <c r="F220" s="75"/>
      <c r="G220" s="75" t="s">
        <v>113</v>
      </c>
      <c r="H220" s="75"/>
      <c r="I220" s="75" t="s">
        <v>170</v>
      </c>
      <c r="J220" s="76">
        <v>15</v>
      </c>
      <c r="K220" s="519" t="s">
        <v>387</v>
      </c>
      <c r="L220" s="520">
        <v>10.130000000000001</v>
      </c>
      <c r="M220" s="520">
        <v>10.79</v>
      </c>
      <c r="N220" s="507">
        <v>0.10299999999999999</v>
      </c>
      <c r="O220" s="507">
        <v>0.1</v>
      </c>
      <c r="P220" s="507">
        <v>0.112</v>
      </c>
      <c r="Q220" s="78">
        <v>0.44</v>
      </c>
      <c r="R220" s="78">
        <v>0.31740000000000002</v>
      </c>
      <c r="S220" s="69">
        <v>1.4999999999999999E-2</v>
      </c>
      <c r="T220" s="69">
        <v>5.0000000000000001E-3</v>
      </c>
      <c r="U220" s="507">
        <v>0.95</v>
      </c>
      <c r="V220" s="76">
        <v>0</v>
      </c>
      <c r="W220" s="76">
        <v>0</v>
      </c>
      <c r="X220" s="76" t="s">
        <v>147</v>
      </c>
      <c r="Y220" s="519" t="s">
        <v>469</v>
      </c>
    </row>
    <row r="221" spans="1:25" x14ac:dyDescent="0.25">
      <c r="A221" s="75" t="str">
        <f t="shared" si="9"/>
        <v>Adquisicion PF Premier Cofinavit Pago_Bajo_Puntual 15</v>
      </c>
      <c r="B221" s="75" t="str">
        <f t="shared" si="8"/>
        <v>Adquisicion PF Premier Cofinavit Pago_Bajo_Puntual 15 0.106</v>
      </c>
      <c r="C221" s="75" t="s">
        <v>114</v>
      </c>
      <c r="D221" s="75" t="s">
        <v>132</v>
      </c>
      <c r="E221" s="75" t="s">
        <v>143</v>
      </c>
      <c r="F221" s="75"/>
      <c r="G221" s="75" t="s">
        <v>113</v>
      </c>
      <c r="H221" s="75"/>
      <c r="I221" s="75" t="s">
        <v>170</v>
      </c>
      <c r="J221" s="76">
        <v>15</v>
      </c>
      <c r="K221" s="519">
        <v>3</v>
      </c>
      <c r="L221" s="520">
        <v>10.33</v>
      </c>
      <c r="M221" s="520">
        <v>10.99</v>
      </c>
      <c r="N221" s="507">
        <v>0.106</v>
      </c>
      <c r="O221" s="507">
        <v>0.10299999999999999</v>
      </c>
      <c r="P221" s="507">
        <v>0.11799999999999999</v>
      </c>
      <c r="Q221" s="78">
        <v>0.44</v>
      </c>
      <c r="R221" s="78">
        <v>0.31740000000000002</v>
      </c>
      <c r="S221" s="69">
        <v>1.4999999999999999E-2</v>
      </c>
      <c r="T221" s="69">
        <v>5.0000000000000001E-3</v>
      </c>
      <c r="U221" s="507">
        <v>0.95</v>
      </c>
      <c r="V221" s="76">
        <v>0</v>
      </c>
      <c r="W221" s="76">
        <v>0</v>
      </c>
      <c r="X221" s="76"/>
      <c r="Y221" s="519" t="s">
        <v>469</v>
      </c>
    </row>
    <row r="222" spans="1:25" x14ac:dyDescent="0.25">
      <c r="A222" s="75" t="str">
        <f t="shared" si="9"/>
        <v>Adquisicion PF Premier Cofinavit Pago_Bajo_Puntual Si 10</v>
      </c>
      <c r="B222" s="75" t="str">
        <f t="shared" si="8"/>
        <v>Adquisicion PF Premier Cofinavit Pago_Bajo_Puntual Si 10 0.103</v>
      </c>
      <c r="C222" s="75" t="s">
        <v>114</v>
      </c>
      <c r="D222" s="75" t="s">
        <v>132</v>
      </c>
      <c r="E222" s="75" t="s">
        <v>143</v>
      </c>
      <c r="F222" s="75"/>
      <c r="G222" s="75" t="s">
        <v>113</v>
      </c>
      <c r="H222" s="75"/>
      <c r="I222" s="75" t="s">
        <v>170</v>
      </c>
      <c r="J222" s="76">
        <v>10</v>
      </c>
      <c r="K222" s="519" t="s">
        <v>387</v>
      </c>
      <c r="L222" s="520">
        <v>12.62</v>
      </c>
      <c r="M222" s="520">
        <v>13.28</v>
      </c>
      <c r="N222" s="507">
        <v>0.10299999999999999</v>
      </c>
      <c r="O222" s="507">
        <v>0.1</v>
      </c>
      <c r="P222" s="507">
        <v>0.112</v>
      </c>
      <c r="Q222" s="78">
        <v>0.44</v>
      </c>
      <c r="R222" s="78">
        <v>0.31740000000000002</v>
      </c>
      <c r="S222" s="69">
        <v>1.4999999999999999E-2</v>
      </c>
      <c r="T222" s="69">
        <v>5.0000000000000001E-3</v>
      </c>
      <c r="U222" s="507">
        <v>0.95</v>
      </c>
      <c r="V222" s="76">
        <v>0</v>
      </c>
      <c r="W222" s="76">
        <v>0</v>
      </c>
      <c r="X222" s="76" t="s">
        <v>147</v>
      </c>
      <c r="Y222" s="519" t="s">
        <v>469</v>
      </c>
    </row>
    <row r="223" spans="1:25" x14ac:dyDescent="0.25">
      <c r="A223" s="75" t="str">
        <f t="shared" si="9"/>
        <v>Adquisicion PF Premier Cofinavit Pago_Bajo_Puntual 10</v>
      </c>
      <c r="B223" s="75" t="str">
        <f t="shared" si="8"/>
        <v>Adquisicion PF Premier Cofinavit Pago_Bajo_Puntual 10 0.106</v>
      </c>
      <c r="C223" s="75" t="s">
        <v>114</v>
      </c>
      <c r="D223" s="75" t="s">
        <v>132</v>
      </c>
      <c r="E223" s="75" t="s">
        <v>143</v>
      </c>
      <c r="F223" s="75"/>
      <c r="G223" s="75" t="s">
        <v>113</v>
      </c>
      <c r="H223" s="75"/>
      <c r="I223" s="75" t="s">
        <v>170</v>
      </c>
      <c r="J223" s="76">
        <v>10</v>
      </c>
      <c r="K223" s="519">
        <v>3</v>
      </c>
      <c r="L223" s="520">
        <v>12.79</v>
      </c>
      <c r="M223" s="520">
        <v>13.45</v>
      </c>
      <c r="N223" s="507">
        <v>0.106</v>
      </c>
      <c r="O223" s="507">
        <v>0.10299999999999999</v>
      </c>
      <c r="P223" s="507">
        <v>0.11799999999999999</v>
      </c>
      <c r="Q223" s="78">
        <v>0.44</v>
      </c>
      <c r="R223" s="78">
        <v>0.31740000000000002</v>
      </c>
      <c r="S223" s="69">
        <v>1.4999999999999999E-2</v>
      </c>
      <c r="T223" s="69">
        <v>5.0000000000000001E-3</v>
      </c>
      <c r="U223" s="507">
        <v>0.95</v>
      </c>
      <c r="V223" s="76">
        <v>0</v>
      </c>
      <c r="W223" s="76">
        <v>0</v>
      </c>
      <c r="X223" s="76"/>
      <c r="Y223" s="519" t="s">
        <v>469</v>
      </c>
    </row>
    <row r="224" spans="1:25" x14ac:dyDescent="0.25">
      <c r="A224" s="75" t="str">
        <f t="shared" si="9"/>
        <v>Adquisicion PF Premier Cofinavit Pago_Bajo_Puntual Si 5</v>
      </c>
      <c r="B224" s="75" t="str">
        <f t="shared" si="8"/>
        <v>Adquisicion PF Premier Cofinavit Pago_Bajo_Puntual Si 5 0.103</v>
      </c>
      <c r="C224" s="75" t="s">
        <v>114</v>
      </c>
      <c r="D224" s="75" t="s">
        <v>132</v>
      </c>
      <c r="E224" s="75" t="s">
        <v>143</v>
      </c>
      <c r="F224" s="75"/>
      <c r="G224" s="75" t="s">
        <v>113</v>
      </c>
      <c r="H224" s="75"/>
      <c r="I224" s="75" t="s">
        <v>170</v>
      </c>
      <c r="J224" s="76">
        <v>5</v>
      </c>
      <c r="K224" s="519" t="s">
        <v>387</v>
      </c>
      <c r="L224" s="520">
        <v>20.72</v>
      </c>
      <c r="M224" s="520">
        <v>21.38</v>
      </c>
      <c r="N224" s="507">
        <v>0.10299999999999999</v>
      </c>
      <c r="O224" s="507">
        <v>0.1</v>
      </c>
      <c r="P224" s="507">
        <v>0.112</v>
      </c>
      <c r="Q224" s="78">
        <v>0.44</v>
      </c>
      <c r="R224" s="78">
        <v>0.31740000000000002</v>
      </c>
      <c r="S224" s="69">
        <v>1.4999999999999999E-2</v>
      </c>
      <c r="T224" s="69">
        <v>5.0000000000000001E-3</v>
      </c>
      <c r="U224" s="507">
        <v>0.95</v>
      </c>
      <c r="V224" s="76">
        <v>0</v>
      </c>
      <c r="W224" s="76">
        <v>0</v>
      </c>
      <c r="X224" s="76" t="s">
        <v>147</v>
      </c>
      <c r="Y224" s="519" t="s">
        <v>469</v>
      </c>
    </row>
    <row r="225" spans="1:25" x14ac:dyDescent="0.25">
      <c r="A225" s="75" t="str">
        <f t="shared" si="9"/>
        <v>Adquisicion PF Premier Cofinavit Pago_Bajo_Puntual 5</v>
      </c>
      <c r="B225" s="75" t="str">
        <f t="shared" si="8"/>
        <v>Adquisicion PF Premier Cofinavit Pago_Bajo_Puntual 5 0.106</v>
      </c>
      <c r="C225" s="75" t="s">
        <v>114</v>
      </c>
      <c r="D225" s="75" t="s">
        <v>132</v>
      </c>
      <c r="E225" s="75" t="s">
        <v>143</v>
      </c>
      <c r="F225" s="75"/>
      <c r="G225" s="75" t="s">
        <v>113</v>
      </c>
      <c r="H225" s="75"/>
      <c r="I225" s="75" t="s">
        <v>170</v>
      </c>
      <c r="J225" s="76">
        <v>5</v>
      </c>
      <c r="K225" s="519">
        <v>3</v>
      </c>
      <c r="L225" s="520">
        <v>20.86</v>
      </c>
      <c r="M225" s="520">
        <v>21.52</v>
      </c>
      <c r="N225" s="507">
        <v>0.106</v>
      </c>
      <c r="O225" s="507">
        <v>0.10299999999999999</v>
      </c>
      <c r="P225" s="507">
        <v>0.11799999999999999</v>
      </c>
      <c r="Q225" s="78">
        <v>0.44</v>
      </c>
      <c r="R225" s="78">
        <v>0.31740000000000002</v>
      </c>
      <c r="S225" s="69">
        <v>1.4999999999999999E-2</v>
      </c>
      <c r="T225" s="69">
        <v>5.0000000000000001E-3</v>
      </c>
      <c r="U225" s="507">
        <v>0.95</v>
      </c>
      <c r="V225" s="76">
        <v>0</v>
      </c>
      <c r="W225" s="76">
        <v>0</v>
      </c>
      <c r="X225" s="76"/>
      <c r="Y225" s="519" t="s">
        <v>469</v>
      </c>
    </row>
    <row r="226" spans="1:25" x14ac:dyDescent="0.25">
      <c r="A226" s="75" t="str">
        <f t="shared" si="9"/>
        <v>Adquisicion PF No_Premier GSC Apoyo Infonavit Pago_Fijo_Puntual 20</v>
      </c>
      <c r="B226" s="75" t="str">
        <f t="shared" si="8"/>
        <v>Adquisicion PF No_Premier GSC Apoyo Infonavit Pago_Fijo_Puntual 20 0.0945</v>
      </c>
      <c r="C226" s="75" t="s">
        <v>114</v>
      </c>
      <c r="D226" s="75" t="s">
        <v>132</v>
      </c>
      <c r="E226" s="75" t="s">
        <v>179</v>
      </c>
      <c r="F226" s="75" t="s">
        <v>172</v>
      </c>
      <c r="G226" s="75" t="s">
        <v>112</v>
      </c>
      <c r="H226" s="75"/>
      <c r="I226" s="75" t="s">
        <v>171</v>
      </c>
      <c r="J226" s="76">
        <v>20</v>
      </c>
      <c r="K226" s="516" t="s">
        <v>385</v>
      </c>
      <c r="L226" s="517">
        <v>9.5299999999999994</v>
      </c>
      <c r="M226" s="517">
        <v>10.19</v>
      </c>
      <c r="N226" s="518">
        <v>9.4500000000000001E-2</v>
      </c>
      <c r="O226" s="518">
        <v>0.09</v>
      </c>
      <c r="P226" s="518">
        <v>0.10050000000000001</v>
      </c>
      <c r="Q226" s="78">
        <v>0.44</v>
      </c>
      <c r="R226" s="78">
        <v>0.31740000000000002</v>
      </c>
      <c r="S226" s="69">
        <v>0</v>
      </c>
      <c r="T226" s="69">
        <v>0</v>
      </c>
      <c r="U226" s="518">
        <v>0.7</v>
      </c>
      <c r="V226" s="76">
        <v>0</v>
      </c>
      <c r="W226" s="76">
        <v>0</v>
      </c>
      <c r="X226" s="76"/>
      <c r="Y226" s="516" t="s">
        <v>470</v>
      </c>
    </row>
    <row r="227" spans="1:25" x14ac:dyDescent="0.25">
      <c r="A227" s="75" t="str">
        <f t="shared" si="9"/>
        <v>Adquisicion PF No_Premier GSC Apoyo Infonavit Pago_Fijo_Puntual 20</v>
      </c>
      <c r="B227" s="75" t="str">
        <f t="shared" si="8"/>
        <v>Adquisicion PF No_Premier GSC Apoyo Infonavit Pago_Fijo_Puntual 20 0.101</v>
      </c>
      <c r="C227" s="75" t="s">
        <v>114</v>
      </c>
      <c r="D227" s="75" t="s">
        <v>132</v>
      </c>
      <c r="E227" s="75" t="s">
        <v>179</v>
      </c>
      <c r="F227" s="75" t="s">
        <v>172</v>
      </c>
      <c r="G227" s="75" t="s">
        <v>112</v>
      </c>
      <c r="H227" s="75"/>
      <c r="I227" s="75" t="s">
        <v>171</v>
      </c>
      <c r="J227" s="76">
        <v>20</v>
      </c>
      <c r="K227" s="516" t="s">
        <v>386</v>
      </c>
      <c r="L227" s="517">
        <v>10.02</v>
      </c>
      <c r="M227" s="517">
        <v>10.68</v>
      </c>
      <c r="N227" s="518">
        <v>0.10100000000000001</v>
      </c>
      <c r="O227" s="518">
        <v>9.8000000000000004E-2</v>
      </c>
      <c r="P227" s="518">
        <v>0.11</v>
      </c>
      <c r="Q227" s="78">
        <v>0.44</v>
      </c>
      <c r="R227" s="78">
        <v>0.31740000000000002</v>
      </c>
      <c r="S227" s="69">
        <v>0</v>
      </c>
      <c r="T227" s="69">
        <v>0</v>
      </c>
      <c r="U227" s="518">
        <v>0.7</v>
      </c>
      <c r="V227" s="76">
        <v>0</v>
      </c>
      <c r="W227" s="76">
        <v>0</v>
      </c>
      <c r="X227" s="76"/>
      <c r="Y227" s="516" t="s">
        <v>470</v>
      </c>
    </row>
    <row r="228" spans="1:25" x14ac:dyDescent="0.25">
      <c r="A228" s="75" t="str">
        <f t="shared" si="9"/>
        <v>Adquisicion PF No_Premier GSC Apoyo Infonavit Pago_Fijo_Puntual 15</v>
      </c>
      <c r="B228" s="75" t="str">
        <f t="shared" si="8"/>
        <v>Adquisicion PF No_Premier GSC Apoyo Infonavit Pago_Fijo_Puntual 15 0.0945</v>
      </c>
      <c r="C228" s="75" t="s">
        <v>114</v>
      </c>
      <c r="D228" s="75" t="s">
        <v>132</v>
      </c>
      <c r="E228" s="75" t="s">
        <v>179</v>
      </c>
      <c r="F228" s="75" t="s">
        <v>172</v>
      </c>
      <c r="G228" s="75" t="s">
        <v>112</v>
      </c>
      <c r="H228" s="75"/>
      <c r="I228" s="75" t="s">
        <v>171</v>
      </c>
      <c r="J228" s="76">
        <v>15</v>
      </c>
      <c r="K228" s="516" t="s">
        <v>385</v>
      </c>
      <c r="L228" s="517">
        <v>10.61</v>
      </c>
      <c r="M228" s="517">
        <v>11.27</v>
      </c>
      <c r="N228" s="518">
        <v>9.4500000000000001E-2</v>
      </c>
      <c r="O228" s="518">
        <v>0.09</v>
      </c>
      <c r="P228" s="518">
        <v>0.10050000000000001</v>
      </c>
      <c r="Q228" s="78">
        <v>0.44</v>
      </c>
      <c r="R228" s="78">
        <v>0.31740000000000002</v>
      </c>
      <c r="S228" s="69">
        <v>0</v>
      </c>
      <c r="T228" s="69">
        <v>0</v>
      </c>
      <c r="U228" s="518">
        <v>0.7</v>
      </c>
      <c r="V228" s="76">
        <v>0</v>
      </c>
      <c r="W228" s="76">
        <v>0</v>
      </c>
      <c r="X228" s="76"/>
      <c r="Y228" s="516" t="s">
        <v>470</v>
      </c>
    </row>
    <row r="229" spans="1:25" x14ac:dyDescent="0.25">
      <c r="A229" s="75" t="str">
        <f t="shared" si="9"/>
        <v>Adquisicion PF No_Premier GSC Apoyo Infonavit Pago_Fijo_Puntual 15</v>
      </c>
      <c r="B229" s="75" t="str">
        <f t="shared" si="8"/>
        <v>Adquisicion PF No_Premier GSC Apoyo Infonavit Pago_Fijo_Puntual 15 0.101</v>
      </c>
      <c r="C229" s="75" t="s">
        <v>114</v>
      </c>
      <c r="D229" s="75" t="s">
        <v>132</v>
      </c>
      <c r="E229" s="75" t="s">
        <v>179</v>
      </c>
      <c r="F229" s="75" t="s">
        <v>172</v>
      </c>
      <c r="G229" s="75" t="s">
        <v>112</v>
      </c>
      <c r="H229" s="75"/>
      <c r="I229" s="75" t="s">
        <v>171</v>
      </c>
      <c r="J229" s="76">
        <v>15</v>
      </c>
      <c r="K229" s="516" t="s">
        <v>386</v>
      </c>
      <c r="L229" s="517">
        <v>11.05</v>
      </c>
      <c r="M229" s="517">
        <v>11.71</v>
      </c>
      <c r="N229" s="518">
        <v>0.10100000000000001</v>
      </c>
      <c r="O229" s="518">
        <v>9.8000000000000004E-2</v>
      </c>
      <c r="P229" s="518">
        <v>0.11</v>
      </c>
      <c r="Q229" s="78">
        <v>0.44</v>
      </c>
      <c r="R229" s="78">
        <v>0.31740000000000002</v>
      </c>
      <c r="S229" s="69">
        <v>0</v>
      </c>
      <c r="T229" s="69">
        <v>0</v>
      </c>
      <c r="U229" s="518">
        <v>0.7</v>
      </c>
      <c r="V229" s="76">
        <v>0</v>
      </c>
      <c r="W229" s="76">
        <v>0</v>
      </c>
      <c r="X229" s="76"/>
      <c r="Y229" s="516" t="s">
        <v>470</v>
      </c>
    </row>
    <row r="230" spans="1:25" x14ac:dyDescent="0.25">
      <c r="A230" s="75" t="str">
        <f t="shared" si="9"/>
        <v>Adquisicion PF No_Premier GSC Apoyo Infonavit Pago_Fijo_Puntual 10</v>
      </c>
      <c r="B230" s="75" t="str">
        <f t="shared" si="8"/>
        <v>Adquisicion PF No_Premier GSC Apoyo Infonavit Pago_Fijo_Puntual 10 0.0945</v>
      </c>
      <c r="C230" s="75" t="s">
        <v>114</v>
      </c>
      <c r="D230" s="75" t="s">
        <v>132</v>
      </c>
      <c r="E230" s="75" t="s">
        <v>179</v>
      </c>
      <c r="F230" s="75" t="s">
        <v>172</v>
      </c>
      <c r="G230" s="75" t="s">
        <v>112</v>
      </c>
      <c r="H230" s="75"/>
      <c r="I230" s="75" t="s">
        <v>171</v>
      </c>
      <c r="J230" s="76">
        <v>10</v>
      </c>
      <c r="K230" s="516" t="s">
        <v>385</v>
      </c>
      <c r="L230" s="517">
        <v>13.05</v>
      </c>
      <c r="M230" s="517">
        <v>13.71</v>
      </c>
      <c r="N230" s="518">
        <v>9.4500000000000001E-2</v>
      </c>
      <c r="O230" s="518">
        <v>0.09</v>
      </c>
      <c r="P230" s="518">
        <v>0.10050000000000001</v>
      </c>
      <c r="Q230" s="78">
        <v>0.44</v>
      </c>
      <c r="R230" s="78">
        <v>0.31740000000000002</v>
      </c>
      <c r="S230" s="69">
        <v>0</v>
      </c>
      <c r="T230" s="69">
        <v>0</v>
      </c>
      <c r="U230" s="518">
        <v>0.7</v>
      </c>
      <c r="V230" s="76">
        <v>0</v>
      </c>
      <c r="W230" s="76">
        <v>0</v>
      </c>
      <c r="X230" s="76"/>
      <c r="Y230" s="516" t="s">
        <v>470</v>
      </c>
    </row>
    <row r="231" spans="1:25" x14ac:dyDescent="0.25">
      <c r="A231" s="75" t="str">
        <f t="shared" si="9"/>
        <v>Adquisicion PF No_Premier GSC Apoyo Infonavit Pago_Fijo_Puntual 10</v>
      </c>
      <c r="B231" s="75" t="str">
        <f t="shared" si="8"/>
        <v>Adquisicion PF No_Premier GSC Apoyo Infonavit Pago_Fijo_Puntual 10 0.101</v>
      </c>
      <c r="C231" s="75" t="s">
        <v>114</v>
      </c>
      <c r="D231" s="75" t="s">
        <v>132</v>
      </c>
      <c r="E231" s="75" t="s">
        <v>179</v>
      </c>
      <c r="F231" s="75" t="s">
        <v>172</v>
      </c>
      <c r="G231" s="75" t="s">
        <v>112</v>
      </c>
      <c r="H231" s="75"/>
      <c r="I231" s="75" t="s">
        <v>171</v>
      </c>
      <c r="J231" s="76">
        <v>10</v>
      </c>
      <c r="K231" s="516" t="s">
        <v>386</v>
      </c>
      <c r="L231" s="517">
        <v>13.42</v>
      </c>
      <c r="M231" s="517">
        <v>14.08</v>
      </c>
      <c r="N231" s="518">
        <v>0.10100000000000001</v>
      </c>
      <c r="O231" s="518">
        <v>9.8000000000000004E-2</v>
      </c>
      <c r="P231" s="518">
        <v>0.11</v>
      </c>
      <c r="Q231" s="78">
        <v>0.44</v>
      </c>
      <c r="R231" s="78">
        <v>0.31740000000000002</v>
      </c>
      <c r="S231" s="69">
        <v>0</v>
      </c>
      <c r="T231" s="69">
        <v>0</v>
      </c>
      <c r="U231" s="518">
        <v>0.7</v>
      </c>
      <c r="V231" s="76">
        <v>0</v>
      </c>
      <c r="W231" s="76">
        <v>0</v>
      </c>
      <c r="X231" s="76"/>
      <c r="Y231" s="516" t="s">
        <v>470</v>
      </c>
    </row>
    <row r="232" spans="1:25" x14ac:dyDescent="0.25">
      <c r="A232" s="75" t="str">
        <f t="shared" si="9"/>
        <v>Adquisicion PF No_Premier GSC Apoyo Infonavit Pago_Fijo_Puntual 5</v>
      </c>
      <c r="B232" s="75" t="str">
        <f t="shared" si="8"/>
        <v>Adquisicion PF No_Premier GSC Apoyo Infonavit Pago_Fijo_Puntual 5 0.0945</v>
      </c>
      <c r="C232" s="75" t="s">
        <v>114</v>
      </c>
      <c r="D232" s="75" t="s">
        <v>132</v>
      </c>
      <c r="E232" s="75" t="s">
        <v>179</v>
      </c>
      <c r="F232" s="75" t="s">
        <v>172</v>
      </c>
      <c r="G232" s="75" t="s">
        <v>112</v>
      </c>
      <c r="H232" s="75"/>
      <c r="I232" s="75" t="s">
        <v>171</v>
      </c>
      <c r="J232" s="76">
        <v>5</v>
      </c>
      <c r="K232" s="516" t="s">
        <v>385</v>
      </c>
      <c r="L232" s="517">
        <v>21.02</v>
      </c>
      <c r="M232" s="517">
        <v>21.68</v>
      </c>
      <c r="N232" s="518">
        <v>9.4500000000000001E-2</v>
      </c>
      <c r="O232" s="518">
        <v>0.09</v>
      </c>
      <c r="P232" s="518">
        <v>0.10050000000000001</v>
      </c>
      <c r="Q232" s="78">
        <v>0.44</v>
      </c>
      <c r="R232" s="78">
        <v>0.31740000000000002</v>
      </c>
      <c r="S232" s="69">
        <v>0</v>
      </c>
      <c r="T232" s="69">
        <v>0</v>
      </c>
      <c r="U232" s="518">
        <v>0.7</v>
      </c>
      <c r="V232" s="76">
        <v>0</v>
      </c>
      <c r="W232" s="76">
        <v>0</v>
      </c>
      <c r="X232" s="76"/>
      <c r="Y232" s="516" t="s">
        <v>470</v>
      </c>
    </row>
    <row r="233" spans="1:25" x14ac:dyDescent="0.25">
      <c r="A233" s="75" t="str">
        <f t="shared" si="9"/>
        <v>Adquisicion PF No_Premier GSC Apoyo Infonavit Pago_Fijo_Puntual 5</v>
      </c>
      <c r="B233" s="75" t="str">
        <f t="shared" si="8"/>
        <v>Adquisicion PF No_Premier GSC Apoyo Infonavit Pago_Fijo_Puntual 5 0.101</v>
      </c>
      <c r="C233" s="75" t="s">
        <v>114</v>
      </c>
      <c r="D233" s="75" t="s">
        <v>132</v>
      </c>
      <c r="E233" s="75" t="s">
        <v>179</v>
      </c>
      <c r="F233" s="75" t="s">
        <v>172</v>
      </c>
      <c r="G233" s="75" t="s">
        <v>112</v>
      </c>
      <c r="H233" s="75"/>
      <c r="I233" s="75" t="s">
        <v>171</v>
      </c>
      <c r="J233" s="76">
        <v>5</v>
      </c>
      <c r="K233" s="516" t="s">
        <v>386</v>
      </c>
      <c r="L233" s="517">
        <v>21.34</v>
      </c>
      <c r="M233" s="517">
        <v>22</v>
      </c>
      <c r="N233" s="518">
        <v>0.10100000000000001</v>
      </c>
      <c r="O233" s="518">
        <v>9.8000000000000004E-2</v>
      </c>
      <c r="P233" s="518">
        <v>0.11</v>
      </c>
      <c r="Q233" s="78">
        <v>0.44</v>
      </c>
      <c r="R233" s="78">
        <v>0.31740000000000002</v>
      </c>
      <c r="S233" s="69">
        <v>0</v>
      </c>
      <c r="T233" s="69">
        <v>0</v>
      </c>
      <c r="U233" s="518">
        <v>0.7</v>
      </c>
      <c r="V233" s="76">
        <v>0</v>
      </c>
      <c r="W233" s="76">
        <v>0</v>
      </c>
      <c r="X233" s="76"/>
      <c r="Y233" s="516" t="s">
        <v>470</v>
      </c>
    </row>
    <row r="234" spans="1:25" x14ac:dyDescent="0.25">
      <c r="A234" s="75" t="str">
        <f t="shared" si="9"/>
        <v>Adquisicion PF No_Premier GSC Cofinavit Pago_Fijo_Puntual 20</v>
      </c>
      <c r="B234" s="75" t="str">
        <f t="shared" si="8"/>
        <v>Adquisicion PF No_Premier GSC Cofinavit Pago_Fijo_Puntual 20 0.0945</v>
      </c>
      <c r="C234" s="75" t="s">
        <v>114</v>
      </c>
      <c r="D234" s="75" t="s">
        <v>132</v>
      </c>
      <c r="E234" s="75" t="s">
        <v>179</v>
      </c>
      <c r="F234" s="75" t="s">
        <v>172</v>
      </c>
      <c r="G234" s="75" t="s">
        <v>113</v>
      </c>
      <c r="H234" s="75"/>
      <c r="I234" s="75" t="s">
        <v>171</v>
      </c>
      <c r="J234" s="76">
        <v>20</v>
      </c>
      <c r="K234" s="516" t="s">
        <v>385</v>
      </c>
      <c r="L234" s="517">
        <v>9.5299999999999994</v>
      </c>
      <c r="M234" s="517">
        <v>10.19</v>
      </c>
      <c r="N234" s="518">
        <v>9.4500000000000001E-2</v>
      </c>
      <c r="O234" s="518">
        <v>0.09</v>
      </c>
      <c r="P234" s="518">
        <v>0.10050000000000001</v>
      </c>
      <c r="Q234" s="78">
        <v>0.44</v>
      </c>
      <c r="R234" s="78">
        <v>0.31740000000000002</v>
      </c>
      <c r="S234" s="69">
        <v>0</v>
      </c>
      <c r="T234" s="69">
        <v>0</v>
      </c>
      <c r="U234" s="518">
        <v>0.7</v>
      </c>
      <c r="V234" s="76">
        <v>0</v>
      </c>
      <c r="W234" s="76">
        <v>0</v>
      </c>
      <c r="X234" s="76"/>
      <c r="Y234" s="516" t="s">
        <v>470</v>
      </c>
    </row>
    <row r="235" spans="1:25" x14ac:dyDescent="0.25">
      <c r="A235" s="75" t="str">
        <f t="shared" si="9"/>
        <v>Adquisicion PF No_Premier GSC Cofinavit Pago_Fijo_Puntual 20</v>
      </c>
      <c r="B235" s="75" t="str">
        <f t="shared" si="8"/>
        <v>Adquisicion PF No_Premier GSC Cofinavit Pago_Fijo_Puntual 20 0.101</v>
      </c>
      <c r="C235" s="75" t="s">
        <v>114</v>
      </c>
      <c r="D235" s="75" t="s">
        <v>132</v>
      </c>
      <c r="E235" s="75" t="s">
        <v>179</v>
      </c>
      <c r="F235" s="75" t="s">
        <v>172</v>
      </c>
      <c r="G235" s="75" t="s">
        <v>113</v>
      </c>
      <c r="H235" s="75"/>
      <c r="I235" s="75" t="s">
        <v>171</v>
      </c>
      <c r="J235" s="76">
        <v>20</v>
      </c>
      <c r="K235" s="516" t="s">
        <v>386</v>
      </c>
      <c r="L235" s="517">
        <v>10.02</v>
      </c>
      <c r="M235" s="517">
        <v>10.68</v>
      </c>
      <c r="N235" s="518">
        <v>0.10100000000000001</v>
      </c>
      <c r="O235" s="518">
        <v>9.8000000000000004E-2</v>
      </c>
      <c r="P235" s="518">
        <v>0.11</v>
      </c>
      <c r="Q235" s="78">
        <v>0.44</v>
      </c>
      <c r="R235" s="78">
        <v>0.31740000000000002</v>
      </c>
      <c r="S235" s="69">
        <v>0</v>
      </c>
      <c r="T235" s="69">
        <v>0</v>
      </c>
      <c r="U235" s="518">
        <v>0.7</v>
      </c>
      <c r="V235" s="76">
        <v>0</v>
      </c>
      <c r="W235" s="76">
        <v>0</v>
      </c>
      <c r="X235" s="76"/>
      <c r="Y235" s="516" t="s">
        <v>470</v>
      </c>
    </row>
    <row r="236" spans="1:25" x14ac:dyDescent="0.25">
      <c r="A236" s="75" t="str">
        <f t="shared" si="9"/>
        <v>Adquisicion PF No_Premier GSC Cofinavit Pago_Fijo_Puntual 15</v>
      </c>
      <c r="B236" s="75" t="str">
        <f t="shared" si="8"/>
        <v>Adquisicion PF No_Premier GSC Cofinavit Pago_Fijo_Puntual 15 0.0945</v>
      </c>
      <c r="C236" s="75" t="s">
        <v>114</v>
      </c>
      <c r="D236" s="75" t="s">
        <v>132</v>
      </c>
      <c r="E236" s="75" t="s">
        <v>179</v>
      </c>
      <c r="F236" s="75" t="s">
        <v>172</v>
      </c>
      <c r="G236" s="75" t="s">
        <v>113</v>
      </c>
      <c r="H236" s="75"/>
      <c r="I236" s="75" t="s">
        <v>171</v>
      </c>
      <c r="J236" s="76">
        <v>15</v>
      </c>
      <c r="K236" s="516" t="s">
        <v>385</v>
      </c>
      <c r="L236" s="517">
        <v>10.61</v>
      </c>
      <c r="M236" s="517">
        <v>11.27</v>
      </c>
      <c r="N236" s="518">
        <v>9.4500000000000001E-2</v>
      </c>
      <c r="O236" s="518">
        <v>0.09</v>
      </c>
      <c r="P236" s="518">
        <v>0.10050000000000001</v>
      </c>
      <c r="Q236" s="78">
        <v>0.44</v>
      </c>
      <c r="R236" s="78">
        <v>0.31740000000000002</v>
      </c>
      <c r="S236" s="69">
        <v>0</v>
      </c>
      <c r="T236" s="69">
        <v>0</v>
      </c>
      <c r="U236" s="518">
        <v>0.7</v>
      </c>
      <c r="V236" s="76">
        <v>0</v>
      </c>
      <c r="W236" s="76">
        <v>0</v>
      </c>
      <c r="X236" s="76"/>
      <c r="Y236" s="516" t="s">
        <v>470</v>
      </c>
    </row>
    <row r="237" spans="1:25" x14ac:dyDescent="0.25">
      <c r="A237" s="75" t="str">
        <f t="shared" si="9"/>
        <v>Adquisicion PF No_Premier GSC Cofinavit Pago_Fijo_Puntual 15</v>
      </c>
      <c r="B237" s="75" t="str">
        <f t="shared" si="8"/>
        <v>Adquisicion PF No_Premier GSC Cofinavit Pago_Fijo_Puntual 15 0.101</v>
      </c>
      <c r="C237" s="75" t="s">
        <v>114</v>
      </c>
      <c r="D237" s="75" t="s">
        <v>132</v>
      </c>
      <c r="E237" s="75" t="s">
        <v>179</v>
      </c>
      <c r="F237" s="75" t="s">
        <v>172</v>
      </c>
      <c r="G237" s="75" t="s">
        <v>113</v>
      </c>
      <c r="H237" s="75"/>
      <c r="I237" s="75" t="s">
        <v>171</v>
      </c>
      <c r="J237" s="76">
        <v>15</v>
      </c>
      <c r="K237" s="516" t="s">
        <v>386</v>
      </c>
      <c r="L237" s="517">
        <v>11.05</v>
      </c>
      <c r="M237" s="517">
        <v>11.71</v>
      </c>
      <c r="N237" s="518">
        <v>0.10100000000000001</v>
      </c>
      <c r="O237" s="518">
        <v>9.8000000000000004E-2</v>
      </c>
      <c r="P237" s="518">
        <v>0.11</v>
      </c>
      <c r="Q237" s="78">
        <v>0.44</v>
      </c>
      <c r="R237" s="78">
        <v>0.31740000000000002</v>
      </c>
      <c r="S237" s="69">
        <v>0</v>
      </c>
      <c r="T237" s="69">
        <v>0</v>
      </c>
      <c r="U237" s="518">
        <v>0.7</v>
      </c>
      <c r="V237" s="76">
        <v>0</v>
      </c>
      <c r="W237" s="76">
        <v>0</v>
      </c>
      <c r="X237" s="76"/>
      <c r="Y237" s="516" t="s">
        <v>470</v>
      </c>
    </row>
    <row r="238" spans="1:25" x14ac:dyDescent="0.25">
      <c r="A238" s="75" t="str">
        <f t="shared" si="9"/>
        <v>Adquisicion PF No_Premier GSC Cofinavit Pago_Fijo_Puntual 10</v>
      </c>
      <c r="B238" s="75" t="str">
        <f t="shared" si="8"/>
        <v>Adquisicion PF No_Premier GSC Cofinavit Pago_Fijo_Puntual 10 0.0945</v>
      </c>
      <c r="C238" s="75" t="s">
        <v>114</v>
      </c>
      <c r="D238" s="75" t="s">
        <v>132</v>
      </c>
      <c r="E238" s="75" t="s">
        <v>179</v>
      </c>
      <c r="F238" s="75" t="s">
        <v>172</v>
      </c>
      <c r="G238" s="75" t="s">
        <v>113</v>
      </c>
      <c r="H238" s="75"/>
      <c r="I238" s="75" t="s">
        <v>171</v>
      </c>
      <c r="J238" s="76">
        <v>10</v>
      </c>
      <c r="K238" s="516" t="s">
        <v>385</v>
      </c>
      <c r="L238" s="517">
        <v>13.05</v>
      </c>
      <c r="M238" s="517">
        <v>13.71</v>
      </c>
      <c r="N238" s="518">
        <v>9.4500000000000001E-2</v>
      </c>
      <c r="O238" s="518">
        <v>0.09</v>
      </c>
      <c r="P238" s="518">
        <v>0.10050000000000001</v>
      </c>
      <c r="Q238" s="78">
        <v>0.44</v>
      </c>
      <c r="R238" s="78">
        <v>0.31740000000000002</v>
      </c>
      <c r="S238" s="69">
        <v>0</v>
      </c>
      <c r="T238" s="69">
        <v>0</v>
      </c>
      <c r="U238" s="518">
        <v>0.7</v>
      </c>
      <c r="V238" s="76">
        <v>0</v>
      </c>
      <c r="W238" s="76">
        <v>0</v>
      </c>
      <c r="X238" s="76"/>
      <c r="Y238" s="516" t="s">
        <v>470</v>
      </c>
    </row>
    <row r="239" spans="1:25" x14ac:dyDescent="0.25">
      <c r="A239" s="75" t="str">
        <f t="shared" si="9"/>
        <v>Adquisicion PF No_Premier GSC Cofinavit Pago_Fijo_Puntual 10</v>
      </c>
      <c r="B239" s="75" t="str">
        <f t="shared" si="8"/>
        <v>Adquisicion PF No_Premier GSC Cofinavit Pago_Fijo_Puntual 10 0.101</v>
      </c>
      <c r="C239" s="75" t="s">
        <v>114</v>
      </c>
      <c r="D239" s="75" t="s">
        <v>132</v>
      </c>
      <c r="E239" s="75" t="s">
        <v>179</v>
      </c>
      <c r="F239" s="75" t="s">
        <v>172</v>
      </c>
      <c r="G239" s="75" t="s">
        <v>113</v>
      </c>
      <c r="H239" s="75"/>
      <c r="I239" s="75" t="s">
        <v>171</v>
      </c>
      <c r="J239" s="76">
        <v>10</v>
      </c>
      <c r="K239" s="516" t="s">
        <v>386</v>
      </c>
      <c r="L239" s="517">
        <v>13.42</v>
      </c>
      <c r="M239" s="517">
        <v>14.08</v>
      </c>
      <c r="N239" s="518">
        <v>0.10100000000000001</v>
      </c>
      <c r="O239" s="518">
        <v>9.8000000000000004E-2</v>
      </c>
      <c r="P239" s="518">
        <v>0.11</v>
      </c>
      <c r="Q239" s="78">
        <v>0.44</v>
      </c>
      <c r="R239" s="78">
        <v>0.31740000000000002</v>
      </c>
      <c r="S239" s="69">
        <v>0</v>
      </c>
      <c r="T239" s="69">
        <v>0</v>
      </c>
      <c r="U239" s="518">
        <v>0.7</v>
      </c>
      <c r="V239" s="76">
        <v>0</v>
      </c>
      <c r="W239" s="76">
        <v>0</v>
      </c>
      <c r="X239" s="76"/>
      <c r="Y239" s="516" t="s">
        <v>470</v>
      </c>
    </row>
    <row r="240" spans="1:25" x14ac:dyDescent="0.25">
      <c r="A240" s="75" t="str">
        <f t="shared" si="9"/>
        <v>Adquisicion PF No_Premier GSC Cofinavit Pago_Fijo_Puntual 5</v>
      </c>
      <c r="B240" s="75" t="str">
        <f t="shared" si="8"/>
        <v>Adquisicion PF No_Premier GSC Cofinavit Pago_Fijo_Puntual 5 0.0945</v>
      </c>
      <c r="C240" s="75" t="s">
        <v>114</v>
      </c>
      <c r="D240" s="75" t="s">
        <v>132</v>
      </c>
      <c r="E240" s="75" t="s">
        <v>179</v>
      </c>
      <c r="F240" s="75" t="s">
        <v>172</v>
      </c>
      <c r="G240" s="75" t="s">
        <v>113</v>
      </c>
      <c r="H240" s="75"/>
      <c r="I240" s="75" t="s">
        <v>171</v>
      </c>
      <c r="J240" s="76">
        <v>5</v>
      </c>
      <c r="K240" s="516" t="s">
        <v>385</v>
      </c>
      <c r="L240" s="517">
        <v>21.02</v>
      </c>
      <c r="M240" s="517">
        <v>21.68</v>
      </c>
      <c r="N240" s="518">
        <v>9.4500000000000001E-2</v>
      </c>
      <c r="O240" s="518">
        <v>0.09</v>
      </c>
      <c r="P240" s="518">
        <v>0.10050000000000001</v>
      </c>
      <c r="Q240" s="78">
        <v>0.44</v>
      </c>
      <c r="R240" s="78">
        <v>0.31740000000000002</v>
      </c>
      <c r="S240" s="69">
        <v>0</v>
      </c>
      <c r="T240" s="69">
        <v>0</v>
      </c>
      <c r="U240" s="518">
        <v>0.7</v>
      </c>
      <c r="V240" s="76">
        <v>0</v>
      </c>
      <c r="W240" s="76">
        <v>0</v>
      </c>
      <c r="X240" s="76"/>
      <c r="Y240" s="516" t="s">
        <v>470</v>
      </c>
    </row>
    <row r="241" spans="1:25" x14ac:dyDescent="0.25">
      <c r="A241" s="75" t="str">
        <f t="shared" si="9"/>
        <v>Adquisicion PF No_Premier GSC Cofinavit Pago_Fijo_Puntual 5</v>
      </c>
      <c r="B241" s="75" t="str">
        <f t="shared" si="8"/>
        <v>Adquisicion PF No_Premier GSC Cofinavit Pago_Fijo_Puntual 5 0.101</v>
      </c>
      <c r="C241" s="75" t="s">
        <v>114</v>
      </c>
      <c r="D241" s="75" t="s">
        <v>132</v>
      </c>
      <c r="E241" s="75" t="s">
        <v>179</v>
      </c>
      <c r="F241" s="75" t="s">
        <v>172</v>
      </c>
      <c r="G241" s="75" t="s">
        <v>113</v>
      </c>
      <c r="H241" s="75"/>
      <c r="I241" s="75" t="s">
        <v>171</v>
      </c>
      <c r="J241" s="76">
        <v>5</v>
      </c>
      <c r="K241" s="516" t="s">
        <v>386</v>
      </c>
      <c r="L241" s="517">
        <v>21.34</v>
      </c>
      <c r="M241" s="517">
        <v>22</v>
      </c>
      <c r="N241" s="518">
        <v>0.10100000000000001</v>
      </c>
      <c r="O241" s="518">
        <v>9.8000000000000004E-2</v>
      </c>
      <c r="P241" s="518">
        <v>0.11</v>
      </c>
      <c r="Q241" s="78">
        <v>0.44</v>
      </c>
      <c r="R241" s="78">
        <v>0.31740000000000002</v>
      </c>
      <c r="S241" s="69">
        <v>0</v>
      </c>
      <c r="T241" s="69">
        <v>0</v>
      </c>
      <c r="U241" s="518">
        <v>0.7</v>
      </c>
      <c r="V241" s="76">
        <v>0</v>
      </c>
      <c r="W241" s="76">
        <v>0</v>
      </c>
      <c r="X241" s="76"/>
      <c r="Y241" s="516" t="s">
        <v>470</v>
      </c>
    </row>
    <row r="242" spans="1:25" x14ac:dyDescent="0.25">
      <c r="A242" s="75" t="str">
        <f t="shared" si="9"/>
        <v>Adquisicion PF No_Premier Nómina Apoyo Infonavit Pago_Fijo_Puntual 25</v>
      </c>
      <c r="B242" s="75" t="str">
        <f t="shared" si="8"/>
        <v>Adquisicion PF No_Premier Nómina Apoyo Infonavit Pago_Fijo_Puntual 25 0.0965</v>
      </c>
      <c r="C242" s="75" t="s">
        <v>114</v>
      </c>
      <c r="D242" s="75" t="s">
        <v>132</v>
      </c>
      <c r="E242" s="75" t="s">
        <v>179</v>
      </c>
      <c r="F242" s="75" t="s">
        <v>181</v>
      </c>
      <c r="G242" s="75" t="s">
        <v>112</v>
      </c>
      <c r="H242" s="75"/>
      <c r="I242" s="75" t="s">
        <v>171</v>
      </c>
      <c r="J242" s="76">
        <v>25</v>
      </c>
      <c r="K242" s="516" t="s">
        <v>385</v>
      </c>
      <c r="L242" s="517">
        <v>9.11</v>
      </c>
      <c r="M242" s="517">
        <v>9.77</v>
      </c>
      <c r="N242" s="518">
        <v>9.6500000000000002E-2</v>
      </c>
      <c r="O242" s="518">
        <v>9.1999999999999998E-2</v>
      </c>
      <c r="P242" s="518">
        <v>0.10249999999999999</v>
      </c>
      <c r="Q242" s="78">
        <v>0.44</v>
      </c>
      <c r="R242" s="78">
        <v>0.31740000000000002</v>
      </c>
      <c r="S242" s="69">
        <v>2.5000000000000001E-2</v>
      </c>
      <c r="T242" s="69">
        <v>5.0000000000000001E-3</v>
      </c>
      <c r="U242" s="518">
        <v>0.7</v>
      </c>
      <c r="V242" s="76">
        <v>0</v>
      </c>
      <c r="W242" s="76">
        <v>0</v>
      </c>
      <c r="X242" s="76"/>
      <c r="Y242" s="516" t="s">
        <v>470</v>
      </c>
    </row>
    <row r="243" spans="1:25" x14ac:dyDescent="0.25">
      <c r="A243" s="75" t="str">
        <f t="shared" si="9"/>
        <v>Adquisicion PF No_Premier Nómina Apoyo Infonavit Pago_Fijo_Puntual 25</v>
      </c>
      <c r="B243" s="75" t="str">
        <f t="shared" si="8"/>
        <v>Adquisicion PF No_Premier Nómina Apoyo Infonavit Pago_Fijo_Puntual 25 0.103</v>
      </c>
      <c r="C243" s="75" t="s">
        <v>114</v>
      </c>
      <c r="D243" s="75" t="s">
        <v>132</v>
      </c>
      <c r="E243" s="75" t="s">
        <v>179</v>
      </c>
      <c r="F243" s="75" t="s">
        <v>181</v>
      </c>
      <c r="G243" s="75" t="s">
        <v>112</v>
      </c>
      <c r="H243" s="75"/>
      <c r="I243" s="75" t="s">
        <v>171</v>
      </c>
      <c r="J243" s="76">
        <v>25</v>
      </c>
      <c r="K243" s="516" t="s">
        <v>386</v>
      </c>
      <c r="L243" s="517">
        <v>9.65</v>
      </c>
      <c r="M243" s="517">
        <v>10.31</v>
      </c>
      <c r="N243" s="518">
        <v>0.10299999999999999</v>
      </c>
      <c r="O243" s="518">
        <v>0.1</v>
      </c>
      <c r="P243" s="518">
        <v>0.112</v>
      </c>
      <c r="Q243" s="78">
        <v>0.44</v>
      </c>
      <c r="R243" s="78">
        <v>0.31740000000000002</v>
      </c>
      <c r="S243" s="69">
        <v>2.5000000000000001E-2</v>
      </c>
      <c r="T243" s="69">
        <v>5.0000000000000001E-3</v>
      </c>
      <c r="U243" s="518">
        <v>0.7</v>
      </c>
      <c r="V243" s="76">
        <v>0</v>
      </c>
      <c r="W243" s="76">
        <v>0</v>
      </c>
      <c r="X243" s="76"/>
      <c r="Y243" s="516" t="s">
        <v>470</v>
      </c>
    </row>
    <row r="244" spans="1:25" x14ac:dyDescent="0.25">
      <c r="A244" s="75" t="str">
        <f t="shared" si="9"/>
        <v>Adquisicion PF No_Premier Nómina Apoyo Infonavit Pago_Fijo_Puntual 20</v>
      </c>
      <c r="B244" s="75" t="str">
        <f t="shared" si="8"/>
        <v>Adquisicion PF No_Premier Nómina Apoyo Infonavit Pago_Fijo_Puntual 20 0.0965</v>
      </c>
      <c r="C244" s="75" t="s">
        <v>114</v>
      </c>
      <c r="D244" s="75" t="s">
        <v>132</v>
      </c>
      <c r="E244" s="75" t="s">
        <v>179</v>
      </c>
      <c r="F244" s="75" t="s">
        <v>181</v>
      </c>
      <c r="G244" s="75" t="s">
        <v>112</v>
      </c>
      <c r="H244" s="75"/>
      <c r="I244" s="75" t="s">
        <v>171</v>
      </c>
      <c r="J244" s="76">
        <v>20</v>
      </c>
      <c r="K244" s="516" t="s">
        <v>385</v>
      </c>
      <c r="L244" s="517">
        <v>9.66</v>
      </c>
      <c r="M244" s="517">
        <v>10.32</v>
      </c>
      <c r="N244" s="518">
        <v>9.6500000000000002E-2</v>
      </c>
      <c r="O244" s="518">
        <v>9.1999999999999998E-2</v>
      </c>
      <c r="P244" s="518">
        <v>0.10249999999999999</v>
      </c>
      <c r="Q244" s="78">
        <v>0.44</v>
      </c>
      <c r="R244" s="78">
        <v>0.31740000000000002</v>
      </c>
      <c r="S244" s="69">
        <v>2.5000000000000001E-2</v>
      </c>
      <c r="T244" s="69">
        <v>5.0000000000000001E-3</v>
      </c>
      <c r="U244" s="518">
        <v>0.7</v>
      </c>
      <c r="V244" s="76">
        <v>0</v>
      </c>
      <c r="W244" s="76">
        <v>0</v>
      </c>
      <c r="X244" s="76"/>
      <c r="Y244" s="516" t="s">
        <v>470</v>
      </c>
    </row>
    <row r="245" spans="1:25" x14ac:dyDescent="0.25">
      <c r="A245" s="75" t="str">
        <f t="shared" si="9"/>
        <v>Adquisicion PF No_Premier Nómina Apoyo Infonavit Pago_Fijo_Puntual 20</v>
      </c>
      <c r="B245" s="75" t="str">
        <f t="shared" si="8"/>
        <v>Adquisicion PF No_Premier Nómina Apoyo Infonavit Pago_Fijo_Puntual 20 0.103</v>
      </c>
      <c r="C245" s="75" t="s">
        <v>114</v>
      </c>
      <c r="D245" s="75" t="s">
        <v>132</v>
      </c>
      <c r="E245" s="75" t="s">
        <v>179</v>
      </c>
      <c r="F245" s="75" t="s">
        <v>181</v>
      </c>
      <c r="G245" s="75" t="s">
        <v>112</v>
      </c>
      <c r="H245" s="75"/>
      <c r="I245" s="75" t="s">
        <v>171</v>
      </c>
      <c r="J245" s="76">
        <v>20</v>
      </c>
      <c r="K245" s="516" t="s">
        <v>386</v>
      </c>
      <c r="L245" s="517">
        <v>10.16</v>
      </c>
      <c r="M245" s="517">
        <v>10.82</v>
      </c>
      <c r="N245" s="518">
        <v>0.10299999999999999</v>
      </c>
      <c r="O245" s="518">
        <v>0.1</v>
      </c>
      <c r="P245" s="518">
        <v>0.112</v>
      </c>
      <c r="Q245" s="78">
        <v>0.44</v>
      </c>
      <c r="R245" s="78">
        <v>0.31740000000000002</v>
      </c>
      <c r="S245" s="69">
        <v>2.5000000000000001E-2</v>
      </c>
      <c r="T245" s="69">
        <v>5.0000000000000001E-3</v>
      </c>
      <c r="U245" s="518">
        <v>0.7</v>
      </c>
      <c r="V245" s="76">
        <v>0</v>
      </c>
      <c r="W245" s="76">
        <v>0</v>
      </c>
      <c r="X245" s="76"/>
      <c r="Y245" s="516" t="s">
        <v>470</v>
      </c>
    </row>
    <row r="246" spans="1:25" x14ac:dyDescent="0.25">
      <c r="A246" s="75" t="str">
        <f t="shared" si="9"/>
        <v>Adquisicion PF No_Premier Nómina Apoyo Infonavit Pago_Fijo_Puntual 15</v>
      </c>
      <c r="B246" s="75" t="str">
        <f t="shared" si="8"/>
        <v>Adquisicion PF No_Premier Nómina Apoyo Infonavit Pago_Fijo_Puntual 15 0.0965</v>
      </c>
      <c r="C246" s="75" t="s">
        <v>114</v>
      </c>
      <c r="D246" s="75" t="s">
        <v>132</v>
      </c>
      <c r="E246" s="75" t="s">
        <v>179</v>
      </c>
      <c r="F246" s="75" t="s">
        <v>181</v>
      </c>
      <c r="G246" s="75" t="s">
        <v>112</v>
      </c>
      <c r="H246" s="75"/>
      <c r="I246" s="75" t="s">
        <v>171</v>
      </c>
      <c r="J246" s="76">
        <v>15</v>
      </c>
      <c r="K246" s="516" t="s">
        <v>385</v>
      </c>
      <c r="L246" s="517">
        <v>10.73</v>
      </c>
      <c r="M246" s="517">
        <v>11.39</v>
      </c>
      <c r="N246" s="518">
        <v>9.6500000000000002E-2</v>
      </c>
      <c r="O246" s="518">
        <v>9.1999999999999998E-2</v>
      </c>
      <c r="P246" s="518">
        <v>0.10249999999999999</v>
      </c>
      <c r="Q246" s="78">
        <v>0.44</v>
      </c>
      <c r="R246" s="78">
        <v>0.31740000000000002</v>
      </c>
      <c r="S246" s="69">
        <v>2.5000000000000001E-2</v>
      </c>
      <c r="T246" s="69">
        <v>5.0000000000000001E-3</v>
      </c>
      <c r="U246" s="518">
        <v>0.7</v>
      </c>
      <c r="V246" s="76">
        <v>0</v>
      </c>
      <c r="W246" s="76">
        <v>0</v>
      </c>
      <c r="X246" s="76"/>
      <c r="Y246" s="516" t="s">
        <v>470</v>
      </c>
    </row>
    <row r="247" spans="1:25" x14ac:dyDescent="0.25">
      <c r="A247" s="75" t="str">
        <f t="shared" si="9"/>
        <v>Adquisicion PF No_Premier Nómina Apoyo Infonavit Pago_Fijo_Puntual 15</v>
      </c>
      <c r="B247" s="75" t="str">
        <f t="shared" si="8"/>
        <v>Adquisicion PF No_Premier Nómina Apoyo Infonavit Pago_Fijo_Puntual 15 0.103</v>
      </c>
      <c r="C247" s="75" t="s">
        <v>114</v>
      </c>
      <c r="D247" s="75" t="s">
        <v>132</v>
      </c>
      <c r="E247" s="75" t="s">
        <v>179</v>
      </c>
      <c r="F247" s="75" t="s">
        <v>181</v>
      </c>
      <c r="G247" s="75" t="s">
        <v>112</v>
      </c>
      <c r="H247" s="75"/>
      <c r="I247" s="75" t="s">
        <v>171</v>
      </c>
      <c r="J247" s="76">
        <v>15</v>
      </c>
      <c r="K247" s="516" t="s">
        <v>386</v>
      </c>
      <c r="L247" s="517">
        <v>11.18</v>
      </c>
      <c r="M247" s="517">
        <v>11.84</v>
      </c>
      <c r="N247" s="518">
        <v>0.10299999999999999</v>
      </c>
      <c r="O247" s="518">
        <v>0.1</v>
      </c>
      <c r="P247" s="518">
        <v>0.112</v>
      </c>
      <c r="Q247" s="78">
        <v>0.44</v>
      </c>
      <c r="R247" s="78">
        <v>0.31740000000000002</v>
      </c>
      <c r="S247" s="69">
        <v>2.5000000000000001E-2</v>
      </c>
      <c r="T247" s="69">
        <v>5.0000000000000001E-3</v>
      </c>
      <c r="U247" s="518">
        <v>0.7</v>
      </c>
      <c r="V247" s="76">
        <v>0</v>
      </c>
      <c r="W247" s="76">
        <v>0</v>
      </c>
      <c r="X247" s="76"/>
      <c r="Y247" s="516" t="s">
        <v>470</v>
      </c>
    </row>
    <row r="248" spans="1:25" x14ac:dyDescent="0.25">
      <c r="A248" s="75" t="str">
        <f t="shared" si="9"/>
        <v>Adquisicion PF No_Premier Nómina Apoyo Infonavit Pago_Fijo_Puntual 10</v>
      </c>
      <c r="B248" s="75" t="str">
        <f t="shared" si="8"/>
        <v>Adquisicion PF No_Premier Nómina Apoyo Infonavit Pago_Fijo_Puntual 10 0.0965</v>
      </c>
      <c r="C248" s="75" t="s">
        <v>114</v>
      </c>
      <c r="D248" s="75" t="s">
        <v>132</v>
      </c>
      <c r="E248" s="75" t="s">
        <v>179</v>
      </c>
      <c r="F248" s="75" t="s">
        <v>181</v>
      </c>
      <c r="G248" s="75" t="s">
        <v>112</v>
      </c>
      <c r="H248" s="75"/>
      <c r="I248" s="75" t="s">
        <v>171</v>
      </c>
      <c r="J248" s="76">
        <v>10</v>
      </c>
      <c r="K248" s="516" t="s">
        <v>385</v>
      </c>
      <c r="L248" s="517">
        <v>13.16</v>
      </c>
      <c r="M248" s="517">
        <v>13.82</v>
      </c>
      <c r="N248" s="518">
        <v>9.6500000000000002E-2</v>
      </c>
      <c r="O248" s="518">
        <v>9.1999999999999998E-2</v>
      </c>
      <c r="P248" s="518">
        <v>0.10249999999999999</v>
      </c>
      <c r="Q248" s="78">
        <v>0.44</v>
      </c>
      <c r="R248" s="78">
        <v>0.31740000000000002</v>
      </c>
      <c r="S248" s="69">
        <v>2.5000000000000001E-2</v>
      </c>
      <c r="T248" s="69">
        <v>5.0000000000000001E-3</v>
      </c>
      <c r="U248" s="518">
        <v>0.7</v>
      </c>
      <c r="V248" s="76">
        <v>0</v>
      </c>
      <c r="W248" s="76">
        <v>0</v>
      </c>
      <c r="X248" s="76"/>
      <c r="Y248" s="516" t="s">
        <v>470</v>
      </c>
    </row>
    <row r="249" spans="1:25" x14ac:dyDescent="0.25">
      <c r="A249" s="75" t="str">
        <f t="shared" si="9"/>
        <v>Adquisicion PF No_Premier Nómina Apoyo Infonavit Pago_Fijo_Puntual 10</v>
      </c>
      <c r="B249" s="75" t="str">
        <f t="shared" si="8"/>
        <v>Adquisicion PF No_Premier Nómina Apoyo Infonavit Pago_Fijo_Puntual 10 0.103</v>
      </c>
      <c r="C249" s="75" t="s">
        <v>114</v>
      </c>
      <c r="D249" s="75" t="s">
        <v>132</v>
      </c>
      <c r="E249" s="75" t="s">
        <v>179</v>
      </c>
      <c r="F249" s="75" t="s">
        <v>181</v>
      </c>
      <c r="G249" s="75" t="s">
        <v>112</v>
      </c>
      <c r="H249" s="75"/>
      <c r="I249" s="75" t="s">
        <v>171</v>
      </c>
      <c r="J249" s="76">
        <v>10</v>
      </c>
      <c r="K249" s="516" t="s">
        <v>386</v>
      </c>
      <c r="L249" s="517">
        <v>13.54</v>
      </c>
      <c r="M249" s="517">
        <v>14.2</v>
      </c>
      <c r="N249" s="518">
        <v>0.10299999999999999</v>
      </c>
      <c r="O249" s="518">
        <v>0.1</v>
      </c>
      <c r="P249" s="518">
        <v>0.112</v>
      </c>
      <c r="Q249" s="78">
        <v>0.44</v>
      </c>
      <c r="R249" s="78">
        <v>0.31740000000000002</v>
      </c>
      <c r="S249" s="69">
        <v>2.5000000000000001E-2</v>
      </c>
      <c r="T249" s="69">
        <v>5.0000000000000001E-3</v>
      </c>
      <c r="U249" s="518">
        <v>0.7</v>
      </c>
      <c r="V249" s="76">
        <v>0</v>
      </c>
      <c r="W249" s="76">
        <v>0</v>
      </c>
      <c r="X249" s="76"/>
      <c r="Y249" s="516" t="s">
        <v>470</v>
      </c>
    </row>
    <row r="250" spans="1:25" x14ac:dyDescent="0.25">
      <c r="A250" s="75" t="str">
        <f t="shared" si="9"/>
        <v>Adquisicion PF No_Premier Nómina Apoyo Infonavit Pago_Fijo_Puntual 5</v>
      </c>
      <c r="B250" s="75" t="str">
        <f t="shared" si="8"/>
        <v>Adquisicion PF No_Premier Nómina Apoyo Infonavit Pago_Fijo_Puntual 5 0.0965</v>
      </c>
      <c r="C250" s="75" t="s">
        <v>114</v>
      </c>
      <c r="D250" s="75" t="s">
        <v>132</v>
      </c>
      <c r="E250" s="75" t="s">
        <v>179</v>
      </c>
      <c r="F250" s="75" t="s">
        <v>181</v>
      </c>
      <c r="G250" s="75" t="s">
        <v>112</v>
      </c>
      <c r="H250" s="75"/>
      <c r="I250" s="75" t="s">
        <v>171</v>
      </c>
      <c r="J250" s="76">
        <v>5</v>
      </c>
      <c r="K250" s="516" t="s">
        <v>385</v>
      </c>
      <c r="L250" s="517">
        <v>21.12</v>
      </c>
      <c r="M250" s="517">
        <v>21.78</v>
      </c>
      <c r="N250" s="518">
        <v>9.6500000000000002E-2</v>
      </c>
      <c r="O250" s="518">
        <v>9.1999999999999998E-2</v>
      </c>
      <c r="P250" s="518">
        <v>0.10249999999999999</v>
      </c>
      <c r="Q250" s="78">
        <v>0.44</v>
      </c>
      <c r="R250" s="78">
        <v>0.31740000000000002</v>
      </c>
      <c r="S250" s="69">
        <v>2.5000000000000001E-2</v>
      </c>
      <c r="T250" s="69">
        <v>5.0000000000000001E-3</v>
      </c>
      <c r="U250" s="518">
        <v>0.7</v>
      </c>
      <c r="V250" s="76">
        <v>0</v>
      </c>
      <c r="W250" s="76">
        <v>0</v>
      </c>
      <c r="X250" s="76"/>
      <c r="Y250" s="516" t="s">
        <v>470</v>
      </c>
    </row>
    <row r="251" spans="1:25" x14ac:dyDescent="0.25">
      <c r="A251" s="75" t="str">
        <f t="shared" si="9"/>
        <v>Adquisicion PF No_Premier Nómina Apoyo Infonavit Pago_Fijo_Puntual 5</v>
      </c>
      <c r="B251" s="75" t="str">
        <f t="shared" si="8"/>
        <v>Adquisicion PF No_Premier Nómina Apoyo Infonavit Pago_Fijo_Puntual 5 0.103</v>
      </c>
      <c r="C251" s="75" t="s">
        <v>114</v>
      </c>
      <c r="D251" s="75" t="s">
        <v>132</v>
      </c>
      <c r="E251" s="75" t="s">
        <v>179</v>
      </c>
      <c r="F251" s="75" t="s">
        <v>181</v>
      </c>
      <c r="G251" s="75" t="s">
        <v>112</v>
      </c>
      <c r="H251" s="75"/>
      <c r="I251" s="75" t="s">
        <v>171</v>
      </c>
      <c r="J251" s="76">
        <v>5</v>
      </c>
      <c r="K251" s="516" t="s">
        <v>386</v>
      </c>
      <c r="L251" s="517">
        <v>21.44</v>
      </c>
      <c r="M251" s="517">
        <v>22.1</v>
      </c>
      <c r="N251" s="518">
        <v>0.10299999999999999</v>
      </c>
      <c r="O251" s="518">
        <v>0.1</v>
      </c>
      <c r="P251" s="518">
        <v>0.112</v>
      </c>
      <c r="Q251" s="78">
        <v>0.44</v>
      </c>
      <c r="R251" s="78">
        <v>0.31740000000000002</v>
      </c>
      <c r="S251" s="69">
        <v>2.5000000000000001E-2</v>
      </c>
      <c r="T251" s="69">
        <v>5.0000000000000001E-3</v>
      </c>
      <c r="U251" s="518">
        <v>0.7</v>
      </c>
      <c r="V251" s="76">
        <v>0</v>
      </c>
      <c r="W251" s="76">
        <v>0</v>
      </c>
      <c r="X251" s="76"/>
      <c r="Y251" s="516" t="s">
        <v>470</v>
      </c>
    </row>
    <row r="252" spans="1:25" x14ac:dyDescent="0.25">
      <c r="A252" s="75" t="str">
        <f t="shared" si="9"/>
        <v>Adquisicion PF No_Premier Nómina Apoyo Infonavit Pago_Bajo_Puntual 25</v>
      </c>
      <c r="B252" s="75" t="str">
        <f t="shared" si="8"/>
        <v>Adquisicion PF No_Premier Nómina Apoyo Infonavit Pago_Bajo_Puntual 25 0.0965</v>
      </c>
      <c r="C252" s="75" t="s">
        <v>114</v>
      </c>
      <c r="D252" s="75" t="s">
        <v>132</v>
      </c>
      <c r="E252" s="75" t="s">
        <v>179</v>
      </c>
      <c r="F252" s="75" t="s">
        <v>181</v>
      </c>
      <c r="G252" s="75" t="s">
        <v>112</v>
      </c>
      <c r="H252" s="75"/>
      <c r="I252" s="75" t="s">
        <v>170</v>
      </c>
      <c r="J252" s="523">
        <v>25</v>
      </c>
      <c r="K252" s="516" t="s">
        <v>385</v>
      </c>
      <c r="L252" s="517">
        <v>8.1</v>
      </c>
      <c r="M252" s="517">
        <v>8.76</v>
      </c>
      <c r="N252" s="518">
        <v>9.6500000000000002E-2</v>
      </c>
      <c r="O252" s="518">
        <v>9.1999999999999998E-2</v>
      </c>
      <c r="P252" s="518">
        <v>0.10249999999999999</v>
      </c>
      <c r="Q252" s="78">
        <v>0.44</v>
      </c>
      <c r="R252" s="78">
        <v>0.31740000000000002</v>
      </c>
      <c r="S252" s="69">
        <v>2.5000000000000001E-2</v>
      </c>
      <c r="T252" s="69">
        <v>5.0000000000000001E-3</v>
      </c>
      <c r="U252" s="518">
        <v>0.7</v>
      </c>
      <c r="V252" s="76">
        <v>0</v>
      </c>
      <c r="W252" s="76">
        <v>0</v>
      </c>
      <c r="X252" s="76"/>
      <c r="Y252" s="516" t="s">
        <v>470</v>
      </c>
    </row>
    <row r="253" spans="1:25" x14ac:dyDescent="0.25">
      <c r="A253" s="75" t="str">
        <f t="shared" si="9"/>
        <v>Adquisicion PF No_Premier Nómina Apoyo Infonavit Pago_Bajo_Puntual 25</v>
      </c>
      <c r="B253" s="75" t="str">
        <f t="shared" si="8"/>
        <v>Adquisicion PF No_Premier Nómina Apoyo Infonavit Pago_Bajo_Puntual 25 0.103</v>
      </c>
      <c r="C253" s="75" t="s">
        <v>114</v>
      </c>
      <c r="D253" s="75" t="s">
        <v>132</v>
      </c>
      <c r="E253" s="75" t="s">
        <v>179</v>
      </c>
      <c r="F253" s="75" t="s">
        <v>181</v>
      </c>
      <c r="G253" s="75" t="s">
        <v>112</v>
      </c>
      <c r="H253" s="75"/>
      <c r="I253" s="75" t="s">
        <v>170</v>
      </c>
      <c r="J253" s="523">
        <v>25</v>
      </c>
      <c r="K253" s="516" t="s">
        <v>386</v>
      </c>
      <c r="L253" s="517">
        <v>8.64</v>
      </c>
      <c r="M253" s="517">
        <v>9.3000000000000007</v>
      </c>
      <c r="N253" s="518">
        <v>0.10299999999999999</v>
      </c>
      <c r="O253" s="518">
        <v>0.1</v>
      </c>
      <c r="P253" s="518">
        <v>0.112</v>
      </c>
      <c r="Q253" s="78">
        <v>0.44</v>
      </c>
      <c r="R253" s="78">
        <v>0.31740000000000002</v>
      </c>
      <c r="S253" s="69">
        <v>2.5000000000000001E-2</v>
      </c>
      <c r="T253" s="69">
        <v>5.0000000000000001E-3</v>
      </c>
      <c r="U253" s="518">
        <v>0.7</v>
      </c>
      <c r="V253" s="76">
        <v>0</v>
      </c>
      <c r="W253" s="76">
        <v>0</v>
      </c>
      <c r="X253" s="76"/>
      <c r="Y253" s="516" t="s">
        <v>470</v>
      </c>
    </row>
    <row r="254" spans="1:25" x14ac:dyDescent="0.25">
      <c r="A254" s="75" t="str">
        <f t="shared" si="9"/>
        <v>Adquisicion PF No_Premier Nómina Apoyo Infonavit Pago_Bajo_Puntual 20</v>
      </c>
      <c r="B254" s="75" t="str">
        <f t="shared" si="8"/>
        <v>Adquisicion PF No_Premier Nómina Apoyo Infonavit Pago_Bajo_Puntual 20 0.0965</v>
      </c>
      <c r="C254" s="75" t="s">
        <v>114</v>
      </c>
      <c r="D254" s="75" t="s">
        <v>132</v>
      </c>
      <c r="E254" s="75" t="s">
        <v>179</v>
      </c>
      <c r="F254" s="75" t="s">
        <v>181</v>
      </c>
      <c r="G254" s="75" t="s">
        <v>112</v>
      </c>
      <c r="H254" s="75"/>
      <c r="I254" s="75" t="s">
        <v>170</v>
      </c>
      <c r="J254" s="76">
        <v>20</v>
      </c>
      <c r="K254" s="516" t="s">
        <v>385</v>
      </c>
      <c r="L254" s="517">
        <v>8.52</v>
      </c>
      <c r="M254" s="517">
        <v>9.18</v>
      </c>
      <c r="N254" s="518">
        <v>9.6500000000000002E-2</v>
      </c>
      <c r="O254" s="518">
        <v>9.1999999999999998E-2</v>
      </c>
      <c r="P254" s="518">
        <v>0.10249999999999999</v>
      </c>
      <c r="Q254" s="78">
        <v>0.44</v>
      </c>
      <c r="R254" s="78">
        <v>0.31740000000000002</v>
      </c>
      <c r="S254" s="69">
        <v>2.5000000000000001E-2</v>
      </c>
      <c r="T254" s="69">
        <v>5.0000000000000001E-3</v>
      </c>
      <c r="U254" s="518">
        <v>0.7</v>
      </c>
      <c r="V254" s="76">
        <v>0</v>
      </c>
      <c r="W254" s="76">
        <v>0</v>
      </c>
      <c r="X254" s="76"/>
      <c r="Y254" s="516" t="s">
        <v>470</v>
      </c>
    </row>
    <row r="255" spans="1:25" x14ac:dyDescent="0.25">
      <c r="A255" s="75" t="str">
        <f t="shared" si="9"/>
        <v>Adquisicion PF No_Premier Nómina Apoyo Infonavit Pago_Bajo_Puntual 20</v>
      </c>
      <c r="B255" s="75" t="str">
        <f t="shared" si="8"/>
        <v>Adquisicion PF No_Premier Nómina Apoyo Infonavit Pago_Bajo_Puntual 20 0.103</v>
      </c>
      <c r="C255" s="75" t="s">
        <v>114</v>
      </c>
      <c r="D255" s="75" t="s">
        <v>132</v>
      </c>
      <c r="E255" s="75" t="s">
        <v>179</v>
      </c>
      <c r="F255" s="75" t="s">
        <v>181</v>
      </c>
      <c r="G255" s="75" t="s">
        <v>112</v>
      </c>
      <c r="H255" s="75"/>
      <c r="I255" s="75" t="s">
        <v>170</v>
      </c>
      <c r="J255" s="76">
        <v>20</v>
      </c>
      <c r="K255" s="516" t="s">
        <v>386</v>
      </c>
      <c r="L255" s="517">
        <v>9</v>
      </c>
      <c r="M255" s="517">
        <v>9.66</v>
      </c>
      <c r="N255" s="518">
        <v>0.10299999999999999</v>
      </c>
      <c r="O255" s="518">
        <v>0.1</v>
      </c>
      <c r="P255" s="518">
        <v>0.112</v>
      </c>
      <c r="Q255" s="78">
        <v>0.44</v>
      </c>
      <c r="R255" s="78">
        <v>0.31740000000000002</v>
      </c>
      <c r="S255" s="69">
        <v>2.5000000000000001E-2</v>
      </c>
      <c r="T255" s="69">
        <v>5.0000000000000001E-3</v>
      </c>
      <c r="U255" s="518">
        <v>0.7</v>
      </c>
      <c r="V255" s="76">
        <v>0</v>
      </c>
      <c r="W255" s="76">
        <v>0</v>
      </c>
      <c r="X255" s="76"/>
      <c r="Y255" s="516" t="s">
        <v>470</v>
      </c>
    </row>
    <row r="256" spans="1:25" x14ac:dyDescent="0.25">
      <c r="A256" s="75" t="str">
        <f t="shared" si="9"/>
        <v>Adquisicion PF No_Premier Nómina Apoyo Infonavit Pago_Bajo_Puntual 15</v>
      </c>
      <c r="B256" s="75" t="str">
        <f t="shared" si="8"/>
        <v>Adquisicion PF No_Premier Nómina Apoyo Infonavit Pago_Bajo_Puntual 15 0.0965</v>
      </c>
      <c r="C256" s="75" t="s">
        <v>114</v>
      </c>
      <c r="D256" s="75" t="s">
        <v>132</v>
      </c>
      <c r="E256" s="75" t="s">
        <v>179</v>
      </c>
      <c r="F256" s="75" t="s">
        <v>181</v>
      </c>
      <c r="G256" s="75" t="s">
        <v>112</v>
      </c>
      <c r="H256" s="75"/>
      <c r="I256" s="75" t="s">
        <v>170</v>
      </c>
      <c r="J256" s="76">
        <v>15</v>
      </c>
      <c r="K256" s="516" t="s">
        <v>385</v>
      </c>
      <c r="L256" s="517">
        <v>9.6999999999999993</v>
      </c>
      <c r="M256" s="517">
        <v>10.36</v>
      </c>
      <c r="N256" s="518">
        <v>9.6500000000000002E-2</v>
      </c>
      <c r="O256" s="518">
        <v>9.1999999999999998E-2</v>
      </c>
      <c r="P256" s="518">
        <v>0.10249999999999999</v>
      </c>
      <c r="Q256" s="78">
        <v>0.44</v>
      </c>
      <c r="R256" s="78">
        <v>0.31740000000000002</v>
      </c>
      <c r="S256" s="69">
        <v>2.5000000000000001E-2</v>
      </c>
      <c r="T256" s="69">
        <v>5.0000000000000001E-3</v>
      </c>
      <c r="U256" s="518">
        <v>0.7</v>
      </c>
      <c r="V256" s="76">
        <v>0</v>
      </c>
      <c r="W256" s="76">
        <v>0</v>
      </c>
      <c r="X256" s="76"/>
      <c r="Y256" s="516" t="s">
        <v>470</v>
      </c>
    </row>
    <row r="257" spans="1:25" x14ac:dyDescent="0.25">
      <c r="A257" s="75" t="str">
        <f t="shared" si="9"/>
        <v>Adquisicion PF No_Premier Nómina Apoyo Infonavit Pago_Bajo_Puntual 15</v>
      </c>
      <c r="B257" s="75" t="str">
        <f t="shared" si="8"/>
        <v>Adquisicion PF No_Premier Nómina Apoyo Infonavit Pago_Bajo_Puntual 15 0.103</v>
      </c>
      <c r="C257" s="75" t="s">
        <v>114</v>
      </c>
      <c r="D257" s="75" t="s">
        <v>132</v>
      </c>
      <c r="E257" s="75" t="s">
        <v>179</v>
      </c>
      <c r="F257" s="75" t="s">
        <v>181</v>
      </c>
      <c r="G257" s="75" t="s">
        <v>112</v>
      </c>
      <c r="H257" s="75"/>
      <c r="I257" s="75" t="s">
        <v>170</v>
      </c>
      <c r="J257" s="76">
        <v>15</v>
      </c>
      <c r="K257" s="516" t="s">
        <v>386</v>
      </c>
      <c r="L257" s="517">
        <v>10.119999999999999</v>
      </c>
      <c r="M257" s="517">
        <v>10.78</v>
      </c>
      <c r="N257" s="518">
        <v>0.10299999999999999</v>
      </c>
      <c r="O257" s="518">
        <v>0.1</v>
      </c>
      <c r="P257" s="518">
        <v>0.112</v>
      </c>
      <c r="Q257" s="78">
        <v>0.44</v>
      </c>
      <c r="R257" s="78">
        <v>0.31740000000000002</v>
      </c>
      <c r="S257" s="69">
        <v>2.5000000000000001E-2</v>
      </c>
      <c r="T257" s="69">
        <v>5.0000000000000001E-3</v>
      </c>
      <c r="U257" s="518">
        <v>0.7</v>
      </c>
      <c r="V257" s="76">
        <v>0</v>
      </c>
      <c r="W257" s="76">
        <v>0</v>
      </c>
      <c r="X257" s="76"/>
      <c r="Y257" s="516" t="s">
        <v>470</v>
      </c>
    </row>
    <row r="258" spans="1:25" x14ac:dyDescent="0.25">
      <c r="A258" s="75" t="str">
        <f t="shared" si="9"/>
        <v>Adquisicion PF No_Premier Nómina Apoyo Infonavit Pago_Bajo_Puntual 10</v>
      </c>
      <c r="B258" s="75" t="str">
        <f t="shared" ref="B258:B321" si="10">CONCATENATE(A258," ",N258)</f>
        <v>Adquisicion PF No_Premier Nómina Apoyo Infonavit Pago_Bajo_Puntual 10 0.0965</v>
      </c>
      <c r="C258" s="75" t="s">
        <v>114</v>
      </c>
      <c r="D258" s="75" t="s">
        <v>132</v>
      </c>
      <c r="E258" s="75" t="s">
        <v>179</v>
      </c>
      <c r="F258" s="75" t="s">
        <v>181</v>
      </c>
      <c r="G258" s="75" t="s">
        <v>112</v>
      </c>
      <c r="H258" s="75"/>
      <c r="I258" s="75" t="s">
        <v>170</v>
      </c>
      <c r="J258" s="76">
        <v>10</v>
      </c>
      <c r="K258" s="516" t="s">
        <v>385</v>
      </c>
      <c r="L258" s="517">
        <v>12.25</v>
      </c>
      <c r="M258" s="517">
        <v>12.91</v>
      </c>
      <c r="N258" s="518">
        <v>9.6500000000000002E-2</v>
      </c>
      <c r="O258" s="518">
        <v>9.1999999999999998E-2</v>
      </c>
      <c r="P258" s="518">
        <v>0.10249999999999999</v>
      </c>
      <c r="Q258" s="78">
        <v>0.44</v>
      </c>
      <c r="R258" s="78">
        <v>0.31740000000000002</v>
      </c>
      <c r="S258" s="69">
        <v>2.5000000000000001E-2</v>
      </c>
      <c r="T258" s="69">
        <v>5.0000000000000001E-3</v>
      </c>
      <c r="U258" s="518">
        <v>0.7</v>
      </c>
      <c r="V258" s="76">
        <v>0</v>
      </c>
      <c r="W258" s="76">
        <v>0</v>
      </c>
      <c r="X258" s="76"/>
      <c r="Y258" s="516" t="s">
        <v>470</v>
      </c>
    </row>
    <row r="259" spans="1:25" x14ac:dyDescent="0.25">
      <c r="A259" s="75" t="str">
        <f t="shared" ref="A259:A322" si="11">TRIM(CONCATENATE(C259," ",D259," ",E259," ",F259," ",G259," ",I259," ",X259," ",J259))</f>
        <v>Adquisicion PF No_Premier Nómina Apoyo Infonavit Pago_Bajo_Puntual 10</v>
      </c>
      <c r="B259" s="75" t="str">
        <f t="shared" si="10"/>
        <v>Adquisicion PF No_Premier Nómina Apoyo Infonavit Pago_Bajo_Puntual 10 0.103</v>
      </c>
      <c r="C259" s="75" t="s">
        <v>114</v>
      </c>
      <c r="D259" s="75" t="s">
        <v>132</v>
      </c>
      <c r="E259" s="75" t="s">
        <v>179</v>
      </c>
      <c r="F259" s="75" t="s">
        <v>181</v>
      </c>
      <c r="G259" s="75" t="s">
        <v>112</v>
      </c>
      <c r="H259" s="75"/>
      <c r="I259" s="75" t="s">
        <v>170</v>
      </c>
      <c r="J259" s="76">
        <v>10</v>
      </c>
      <c r="K259" s="516" t="s">
        <v>386</v>
      </c>
      <c r="L259" s="517">
        <v>12.62</v>
      </c>
      <c r="M259" s="517">
        <v>13.28</v>
      </c>
      <c r="N259" s="518">
        <v>0.10299999999999999</v>
      </c>
      <c r="O259" s="518">
        <v>0.1</v>
      </c>
      <c r="P259" s="518">
        <v>0.112</v>
      </c>
      <c r="Q259" s="78">
        <v>0.44</v>
      </c>
      <c r="R259" s="78">
        <v>0.31740000000000002</v>
      </c>
      <c r="S259" s="69">
        <v>2.5000000000000001E-2</v>
      </c>
      <c r="T259" s="69">
        <v>5.0000000000000001E-3</v>
      </c>
      <c r="U259" s="518">
        <v>0.7</v>
      </c>
      <c r="V259" s="76">
        <v>0</v>
      </c>
      <c r="W259" s="76">
        <v>0</v>
      </c>
      <c r="X259" s="76"/>
      <c r="Y259" s="516" t="s">
        <v>470</v>
      </c>
    </row>
    <row r="260" spans="1:25" x14ac:dyDescent="0.25">
      <c r="A260" s="75" t="str">
        <f t="shared" si="11"/>
        <v>Adquisicion PF No_Premier Nómina Apoyo Infonavit Pago_Bajo_Puntual 5</v>
      </c>
      <c r="B260" s="75" t="str">
        <f t="shared" si="10"/>
        <v>Adquisicion PF No_Premier Nómina Apoyo Infonavit Pago_Bajo_Puntual 5 0.0965</v>
      </c>
      <c r="C260" s="75" t="s">
        <v>114</v>
      </c>
      <c r="D260" s="75" t="s">
        <v>132</v>
      </c>
      <c r="E260" s="75" t="s">
        <v>179</v>
      </c>
      <c r="F260" s="75" t="s">
        <v>181</v>
      </c>
      <c r="G260" s="75" t="s">
        <v>112</v>
      </c>
      <c r="H260" s="75"/>
      <c r="I260" s="75" t="s">
        <v>170</v>
      </c>
      <c r="J260" s="76">
        <v>5</v>
      </c>
      <c r="K260" s="516" t="s">
        <v>385</v>
      </c>
      <c r="L260" s="517">
        <v>20.399999999999999</v>
      </c>
      <c r="M260" s="517">
        <v>21.06</v>
      </c>
      <c r="N260" s="518">
        <v>9.6500000000000002E-2</v>
      </c>
      <c r="O260" s="518">
        <v>9.1999999999999998E-2</v>
      </c>
      <c r="P260" s="518">
        <v>0.10249999999999999</v>
      </c>
      <c r="Q260" s="78">
        <v>0.44</v>
      </c>
      <c r="R260" s="78">
        <v>0.31740000000000002</v>
      </c>
      <c r="S260" s="69">
        <v>2.5000000000000001E-2</v>
      </c>
      <c r="T260" s="69">
        <v>5.0000000000000001E-3</v>
      </c>
      <c r="U260" s="518">
        <v>0.7</v>
      </c>
      <c r="V260" s="76">
        <v>0</v>
      </c>
      <c r="W260" s="76">
        <v>0</v>
      </c>
      <c r="X260" s="76"/>
      <c r="Y260" s="516" t="s">
        <v>470</v>
      </c>
    </row>
    <row r="261" spans="1:25" x14ac:dyDescent="0.25">
      <c r="A261" s="75" t="str">
        <f t="shared" si="11"/>
        <v>Adquisicion PF No_Premier Nómina Apoyo Infonavit Pago_Bajo_Puntual 5</v>
      </c>
      <c r="B261" s="75" t="str">
        <f t="shared" si="10"/>
        <v>Adquisicion PF No_Premier Nómina Apoyo Infonavit Pago_Bajo_Puntual 5 0.103</v>
      </c>
      <c r="C261" s="75" t="s">
        <v>114</v>
      </c>
      <c r="D261" s="75" t="s">
        <v>132</v>
      </c>
      <c r="E261" s="75" t="s">
        <v>179</v>
      </c>
      <c r="F261" s="75" t="s">
        <v>181</v>
      </c>
      <c r="G261" s="75" t="s">
        <v>112</v>
      </c>
      <c r="H261" s="75"/>
      <c r="I261" s="75" t="s">
        <v>170</v>
      </c>
      <c r="J261" s="76">
        <v>5</v>
      </c>
      <c r="K261" s="516" t="s">
        <v>386</v>
      </c>
      <c r="L261" s="517">
        <v>20.72</v>
      </c>
      <c r="M261" s="517">
        <v>21.38</v>
      </c>
      <c r="N261" s="518">
        <v>0.10299999999999999</v>
      </c>
      <c r="O261" s="518">
        <v>0.1</v>
      </c>
      <c r="P261" s="518">
        <v>0.112</v>
      </c>
      <c r="Q261" s="78">
        <v>0.44</v>
      </c>
      <c r="R261" s="78">
        <v>0.31740000000000002</v>
      </c>
      <c r="S261" s="69">
        <v>2.5000000000000001E-2</v>
      </c>
      <c r="T261" s="69">
        <v>5.0000000000000001E-3</v>
      </c>
      <c r="U261" s="518">
        <v>0.7</v>
      </c>
      <c r="V261" s="76">
        <v>0</v>
      </c>
      <c r="W261" s="76">
        <v>0</v>
      </c>
      <c r="X261" s="76"/>
      <c r="Y261" s="516" t="s">
        <v>470</v>
      </c>
    </row>
    <row r="262" spans="1:25" x14ac:dyDescent="0.25">
      <c r="A262" s="75" t="str">
        <f t="shared" si="11"/>
        <v>Adquisicion PF No_Premier Nómina Cofinavit Pago_Fijo_Puntual 25</v>
      </c>
      <c r="B262" s="75" t="str">
        <f t="shared" si="10"/>
        <v>Adquisicion PF No_Premier Nómina Cofinavit Pago_Fijo_Puntual 25 0.0965</v>
      </c>
      <c r="C262" s="75" t="s">
        <v>114</v>
      </c>
      <c r="D262" s="75" t="s">
        <v>132</v>
      </c>
      <c r="E262" s="75" t="s">
        <v>179</v>
      </c>
      <c r="F262" s="75" t="s">
        <v>181</v>
      </c>
      <c r="G262" s="75" t="s">
        <v>113</v>
      </c>
      <c r="H262" s="75"/>
      <c r="I262" s="75" t="s">
        <v>171</v>
      </c>
      <c r="J262" s="76">
        <v>25</v>
      </c>
      <c r="K262" s="516" t="s">
        <v>385</v>
      </c>
      <c r="L262" s="517">
        <v>9.11</v>
      </c>
      <c r="M262" s="517">
        <v>9.77</v>
      </c>
      <c r="N262" s="518">
        <v>9.6500000000000002E-2</v>
      </c>
      <c r="O262" s="518">
        <v>9.1999999999999998E-2</v>
      </c>
      <c r="P262" s="518">
        <v>0.10249999999999999</v>
      </c>
      <c r="Q262" s="78">
        <v>0.44</v>
      </c>
      <c r="R262" s="78">
        <v>0.31740000000000002</v>
      </c>
      <c r="S262" s="69">
        <v>2.5000000000000001E-2</v>
      </c>
      <c r="T262" s="69">
        <v>5.0000000000000001E-3</v>
      </c>
      <c r="U262" s="518">
        <v>0.7</v>
      </c>
      <c r="V262" s="76">
        <v>0</v>
      </c>
      <c r="W262" s="76">
        <v>0</v>
      </c>
      <c r="X262" s="76"/>
      <c r="Y262" s="516" t="s">
        <v>470</v>
      </c>
    </row>
    <row r="263" spans="1:25" x14ac:dyDescent="0.25">
      <c r="A263" s="75" t="str">
        <f t="shared" si="11"/>
        <v>Adquisicion PF No_Premier Nómina Cofinavit Pago_Fijo_Puntual 25</v>
      </c>
      <c r="B263" s="75" t="str">
        <f t="shared" si="10"/>
        <v>Adquisicion PF No_Premier Nómina Cofinavit Pago_Fijo_Puntual 25 0.103</v>
      </c>
      <c r="C263" s="75" t="s">
        <v>114</v>
      </c>
      <c r="D263" s="75" t="s">
        <v>132</v>
      </c>
      <c r="E263" s="75" t="s">
        <v>179</v>
      </c>
      <c r="F263" s="75" t="s">
        <v>181</v>
      </c>
      <c r="G263" s="75" t="s">
        <v>113</v>
      </c>
      <c r="H263" s="75"/>
      <c r="I263" s="75" t="s">
        <v>171</v>
      </c>
      <c r="J263" s="76">
        <v>25</v>
      </c>
      <c r="K263" s="516" t="s">
        <v>386</v>
      </c>
      <c r="L263" s="517">
        <v>9.65</v>
      </c>
      <c r="M263" s="517">
        <v>10.31</v>
      </c>
      <c r="N263" s="518">
        <v>0.10299999999999999</v>
      </c>
      <c r="O263" s="518">
        <v>0.1</v>
      </c>
      <c r="P263" s="518">
        <v>0.112</v>
      </c>
      <c r="Q263" s="78">
        <v>0.44</v>
      </c>
      <c r="R263" s="78">
        <v>0.31740000000000002</v>
      </c>
      <c r="S263" s="69">
        <v>2.5000000000000001E-2</v>
      </c>
      <c r="T263" s="69">
        <v>5.0000000000000001E-3</v>
      </c>
      <c r="U263" s="518">
        <v>0.7</v>
      </c>
      <c r="V263" s="76">
        <v>0</v>
      </c>
      <c r="W263" s="76">
        <v>0</v>
      </c>
      <c r="X263" s="76"/>
      <c r="Y263" s="516" t="s">
        <v>470</v>
      </c>
    </row>
    <row r="264" spans="1:25" x14ac:dyDescent="0.25">
      <c r="A264" s="75" t="str">
        <f t="shared" si="11"/>
        <v>Adquisicion PF No_Premier Nómina Cofinavit Pago_Fijo_Puntual 20</v>
      </c>
      <c r="B264" s="75" t="str">
        <f t="shared" si="10"/>
        <v>Adquisicion PF No_Premier Nómina Cofinavit Pago_Fijo_Puntual 20 0.0965</v>
      </c>
      <c r="C264" s="75" t="s">
        <v>114</v>
      </c>
      <c r="D264" s="75" t="s">
        <v>132</v>
      </c>
      <c r="E264" s="75" t="s">
        <v>179</v>
      </c>
      <c r="F264" s="75" t="s">
        <v>181</v>
      </c>
      <c r="G264" s="75" t="s">
        <v>113</v>
      </c>
      <c r="H264" s="75"/>
      <c r="I264" s="75" t="s">
        <v>171</v>
      </c>
      <c r="J264" s="76">
        <v>20</v>
      </c>
      <c r="K264" s="516" t="s">
        <v>385</v>
      </c>
      <c r="L264" s="517">
        <v>9.66</v>
      </c>
      <c r="M264" s="517">
        <v>10.32</v>
      </c>
      <c r="N264" s="518">
        <v>9.6500000000000002E-2</v>
      </c>
      <c r="O264" s="518">
        <v>9.1999999999999998E-2</v>
      </c>
      <c r="P264" s="518">
        <v>0.10249999999999999</v>
      </c>
      <c r="Q264" s="78">
        <v>0.44</v>
      </c>
      <c r="R264" s="78">
        <v>0.31740000000000002</v>
      </c>
      <c r="S264" s="69">
        <v>2.5000000000000001E-2</v>
      </c>
      <c r="T264" s="69">
        <v>5.0000000000000001E-3</v>
      </c>
      <c r="U264" s="518">
        <v>0.7</v>
      </c>
      <c r="V264" s="76">
        <v>0</v>
      </c>
      <c r="W264" s="76">
        <v>0</v>
      </c>
      <c r="X264" s="76"/>
      <c r="Y264" s="516" t="s">
        <v>470</v>
      </c>
    </row>
    <row r="265" spans="1:25" x14ac:dyDescent="0.25">
      <c r="A265" s="75" t="str">
        <f t="shared" si="11"/>
        <v>Adquisicion PF No_Premier Nómina Cofinavit Pago_Fijo_Puntual 20</v>
      </c>
      <c r="B265" s="75" t="str">
        <f t="shared" si="10"/>
        <v>Adquisicion PF No_Premier Nómina Cofinavit Pago_Fijo_Puntual 20 0.103</v>
      </c>
      <c r="C265" s="75" t="s">
        <v>114</v>
      </c>
      <c r="D265" s="75" t="s">
        <v>132</v>
      </c>
      <c r="E265" s="75" t="s">
        <v>179</v>
      </c>
      <c r="F265" s="75" t="s">
        <v>181</v>
      </c>
      <c r="G265" s="75" t="s">
        <v>113</v>
      </c>
      <c r="H265" s="75"/>
      <c r="I265" s="75" t="s">
        <v>171</v>
      </c>
      <c r="J265" s="76">
        <v>20</v>
      </c>
      <c r="K265" s="516" t="s">
        <v>386</v>
      </c>
      <c r="L265" s="517">
        <v>10.16</v>
      </c>
      <c r="M265" s="517">
        <v>10.82</v>
      </c>
      <c r="N265" s="518">
        <v>0.10299999999999999</v>
      </c>
      <c r="O265" s="518">
        <v>0.1</v>
      </c>
      <c r="P265" s="518">
        <v>0.112</v>
      </c>
      <c r="Q265" s="78">
        <v>0.44</v>
      </c>
      <c r="R265" s="78">
        <v>0.31740000000000002</v>
      </c>
      <c r="S265" s="69">
        <v>2.5000000000000001E-2</v>
      </c>
      <c r="T265" s="69">
        <v>5.0000000000000001E-3</v>
      </c>
      <c r="U265" s="518">
        <v>0.7</v>
      </c>
      <c r="V265" s="76">
        <v>0</v>
      </c>
      <c r="W265" s="76">
        <v>0</v>
      </c>
      <c r="X265" s="76"/>
      <c r="Y265" s="516" t="s">
        <v>470</v>
      </c>
    </row>
    <row r="266" spans="1:25" x14ac:dyDescent="0.25">
      <c r="A266" s="75" t="str">
        <f t="shared" si="11"/>
        <v>Adquisicion PF No_Premier Nómina Cofinavit Pago_Fijo_Puntual 15</v>
      </c>
      <c r="B266" s="75" t="str">
        <f t="shared" si="10"/>
        <v>Adquisicion PF No_Premier Nómina Cofinavit Pago_Fijo_Puntual 15 0.0965</v>
      </c>
      <c r="C266" s="75" t="s">
        <v>114</v>
      </c>
      <c r="D266" s="75" t="s">
        <v>132</v>
      </c>
      <c r="E266" s="75" t="s">
        <v>179</v>
      </c>
      <c r="F266" s="75" t="s">
        <v>181</v>
      </c>
      <c r="G266" s="75" t="s">
        <v>113</v>
      </c>
      <c r="H266" s="75"/>
      <c r="I266" s="75" t="s">
        <v>171</v>
      </c>
      <c r="J266" s="76">
        <v>15</v>
      </c>
      <c r="K266" s="516" t="s">
        <v>385</v>
      </c>
      <c r="L266" s="517">
        <v>10.73</v>
      </c>
      <c r="M266" s="517">
        <v>11.39</v>
      </c>
      <c r="N266" s="518">
        <v>9.6500000000000002E-2</v>
      </c>
      <c r="O266" s="518">
        <v>9.1999999999999998E-2</v>
      </c>
      <c r="P266" s="518">
        <v>0.10249999999999999</v>
      </c>
      <c r="Q266" s="78">
        <v>0.44</v>
      </c>
      <c r="R266" s="78">
        <v>0.31740000000000002</v>
      </c>
      <c r="S266" s="69">
        <v>2.5000000000000001E-2</v>
      </c>
      <c r="T266" s="69">
        <v>5.0000000000000001E-3</v>
      </c>
      <c r="U266" s="518">
        <v>0.7</v>
      </c>
      <c r="V266" s="76">
        <v>0</v>
      </c>
      <c r="W266" s="76">
        <v>0</v>
      </c>
      <c r="X266" s="76"/>
      <c r="Y266" s="516" t="s">
        <v>470</v>
      </c>
    </row>
    <row r="267" spans="1:25" x14ac:dyDescent="0.25">
      <c r="A267" s="75" t="str">
        <f t="shared" si="11"/>
        <v>Adquisicion PF No_Premier Nómina Cofinavit Pago_Fijo_Puntual 15</v>
      </c>
      <c r="B267" s="75" t="str">
        <f t="shared" si="10"/>
        <v>Adquisicion PF No_Premier Nómina Cofinavit Pago_Fijo_Puntual 15 0.103</v>
      </c>
      <c r="C267" s="75" t="s">
        <v>114</v>
      </c>
      <c r="D267" s="75" t="s">
        <v>132</v>
      </c>
      <c r="E267" s="75" t="s">
        <v>179</v>
      </c>
      <c r="F267" s="75" t="s">
        <v>181</v>
      </c>
      <c r="G267" s="75" t="s">
        <v>113</v>
      </c>
      <c r="H267" s="75"/>
      <c r="I267" s="75" t="s">
        <v>171</v>
      </c>
      <c r="J267" s="76">
        <v>15</v>
      </c>
      <c r="K267" s="516" t="s">
        <v>386</v>
      </c>
      <c r="L267" s="517">
        <v>11.18</v>
      </c>
      <c r="M267" s="517">
        <v>11.84</v>
      </c>
      <c r="N267" s="518">
        <v>0.10299999999999999</v>
      </c>
      <c r="O267" s="518">
        <v>0.1</v>
      </c>
      <c r="P267" s="518">
        <v>0.112</v>
      </c>
      <c r="Q267" s="78">
        <v>0.44</v>
      </c>
      <c r="R267" s="78">
        <v>0.31740000000000002</v>
      </c>
      <c r="S267" s="69">
        <v>2.5000000000000001E-2</v>
      </c>
      <c r="T267" s="69">
        <v>5.0000000000000001E-3</v>
      </c>
      <c r="U267" s="518">
        <v>0.7</v>
      </c>
      <c r="V267" s="76">
        <v>0</v>
      </c>
      <c r="W267" s="76">
        <v>0</v>
      </c>
      <c r="X267" s="76"/>
      <c r="Y267" s="516" t="s">
        <v>470</v>
      </c>
    </row>
    <row r="268" spans="1:25" x14ac:dyDescent="0.25">
      <c r="A268" s="75" t="str">
        <f t="shared" si="11"/>
        <v>Adquisicion PF No_Premier Nómina Cofinavit Pago_Fijo_Puntual 10</v>
      </c>
      <c r="B268" s="75" t="str">
        <f t="shared" si="10"/>
        <v>Adquisicion PF No_Premier Nómina Cofinavit Pago_Fijo_Puntual 10 0.0965</v>
      </c>
      <c r="C268" s="75" t="s">
        <v>114</v>
      </c>
      <c r="D268" s="75" t="s">
        <v>132</v>
      </c>
      <c r="E268" s="75" t="s">
        <v>179</v>
      </c>
      <c r="F268" s="75" t="s">
        <v>181</v>
      </c>
      <c r="G268" s="75" t="s">
        <v>113</v>
      </c>
      <c r="H268" s="75"/>
      <c r="I268" s="75" t="s">
        <v>171</v>
      </c>
      <c r="J268" s="76">
        <v>10</v>
      </c>
      <c r="K268" s="516" t="s">
        <v>385</v>
      </c>
      <c r="L268" s="517">
        <v>13.16</v>
      </c>
      <c r="M268" s="517">
        <v>13.82</v>
      </c>
      <c r="N268" s="518">
        <v>9.6500000000000002E-2</v>
      </c>
      <c r="O268" s="518">
        <v>9.1999999999999998E-2</v>
      </c>
      <c r="P268" s="518">
        <v>0.10249999999999999</v>
      </c>
      <c r="Q268" s="78">
        <v>0.44</v>
      </c>
      <c r="R268" s="78">
        <v>0.31740000000000002</v>
      </c>
      <c r="S268" s="69">
        <v>2.5000000000000001E-2</v>
      </c>
      <c r="T268" s="69">
        <v>5.0000000000000001E-3</v>
      </c>
      <c r="U268" s="518">
        <v>0.7</v>
      </c>
      <c r="V268" s="76">
        <v>0</v>
      </c>
      <c r="W268" s="76">
        <v>0</v>
      </c>
      <c r="X268" s="76"/>
      <c r="Y268" s="516" t="s">
        <v>470</v>
      </c>
    </row>
    <row r="269" spans="1:25" x14ac:dyDescent="0.25">
      <c r="A269" s="75" t="str">
        <f t="shared" si="11"/>
        <v>Adquisicion PF No_Premier Nómina Cofinavit Pago_Fijo_Puntual 10</v>
      </c>
      <c r="B269" s="75" t="str">
        <f t="shared" si="10"/>
        <v>Adquisicion PF No_Premier Nómina Cofinavit Pago_Fijo_Puntual 10 0.103</v>
      </c>
      <c r="C269" s="75" t="s">
        <v>114</v>
      </c>
      <c r="D269" s="75" t="s">
        <v>132</v>
      </c>
      <c r="E269" s="75" t="s">
        <v>179</v>
      </c>
      <c r="F269" s="75" t="s">
        <v>181</v>
      </c>
      <c r="G269" s="75" t="s">
        <v>113</v>
      </c>
      <c r="H269" s="75"/>
      <c r="I269" s="75" t="s">
        <v>171</v>
      </c>
      <c r="J269" s="76">
        <v>10</v>
      </c>
      <c r="K269" s="516" t="s">
        <v>386</v>
      </c>
      <c r="L269" s="517">
        <v>13.54</v>
      </c>
      <c r="M269" s="517">
        <v>14.2</v>
      </c>
      <c r="N269" s="518">
        <v>0.10299999999999999</v>
      </c>
      <c r="O269" s="518">
        <v>0.1</v>
      </c>
      <c r="P269" s="518">
        <v>0.112</v>
      </c>
      <c r="Q269" s="78">
        <v>0.44</v>
      </c>
      <c r="R269" s="78">
        <v>0.31740000000000002</v>
      </c>
      <c r="S269" s="69">
        <v>2.5000000000000001E-2</v>
      </c>
      <c r="T269" s="69">
        <v>5.0000000000000001E-3</v>
      </c>
      <c r="U269" s="518">
        <v>0.7</v>
      </c>
      <c r="V269" s="76">
        <v>0</v>
      </c>
      <c r="W269" s="76">
        <v>0</v>
      </c>
      <c r="X269" s="76"/>
      <c r="Y269" s="516" t="s">
        <v>470</v>
      </c>
    </row>
    <row r="270" spans="1:25" x14ac:dyDescent="0.25">
      <c r="A270" s="75" t="str">
        <f t="shared" si="11"/>
        <v>Adquisicion PF No_Premier Nómina Cofinavit Pago_Fijo_Puntual 5</v>
      </c>
      <c r="B270" s="75" t="str">
        <f t="shared" si="10"/>
        <v>Adquisicion PF No_Premier Nómina Cofinavit Pago_Fijo_Puntual 5 0.0965</v>
      </c>
      <c r="C270" s="75" t="s">
        <v>114</v>
      </c>
      <c r="D270" s="75" t="s">
        <v>132</v>
      </c>
      <c r="E270" s="75" t="s">
        <v>179</v>
      </c>
      <c r="F270" s="75" t="s">
        <v>181</v>
      </c>
      <c r="G270" s="75" t="s">
        <v>113</v>
      </c>
      <c r="H270" s="75"/>
      <c r="I270" s="75" t="s">
        <v>171</v>
      </c>
      <c r="J270" s="76">
        <v>5</v>
      </c>
      <c r="K270" s="516" t="s">
        <v>385</v>
      </c>
      <c r="L270" s="517">
        <v>21.12</v>
      </c>
      <c r="M270" s="517">
        <v>21.78</v>
      </c>
      <c r="N270" s="518">
        <v>9.6500000000000002E-2</v>
      </c>
      <c r="O270" s="518">
        <v>9.1999999999999998E-2</v>
      </c>
      <c r="P270" s="518">
        <v>0.10249999999999999</v>
      </c>
      <c r="Q270" s="78">
        <v>0.44</v>
      </c>
      <c r="R270" s="78">
        <v>0.31740000000000002</v>
      </c>
      <c r="S270" s="69">
        <v>2.5000000000000001E-2</v>
      </c>
      <c r="T270" s="69">
        <v>5.0000000000000001E-3</v>
      </c>
      <c r="U270" s="518">
        <v>0.7</v>
      </c>
      <c r="V270" s="76">
        <v>0</v>
      </c>
      <c r="W270" s="76">
        <v>0</v>
      </c>
      <c r="X270" s="76"/>
      <c r="Y270" s="516" t="s">
        <v>470</v>
      </c>
    </row>
    <row r="271" spans="1:25" x14ac:dyDescent="0.25">
      <c r="A271" s="75" t="str">
        <f t="shared" si="11"/>
        <v>Adquisicion PF No_Premier Nómina Cofinavit Pago_Fijo_Puntual 5</v>
      </c>
      <c r="B271" s="75" t="str">
        <f t="shared" si="10"/>
        <v>Adquisicion PF No_Premier Nómina Cofinavit Pago_Fijo_Puntual 5 0.103</v>
      </c>
      <c r="C271" s="75" t="s">
        <v>114</v>
      </c>
      <c r="D271" s="75" t="s">
        <v>132</v>
      </c>
      <c r="E271" s="75" t="s">
        <v>179</v>
      </c>
      <c r="F271" s="75" t="s">
        <v>181</v>
      </c>
      <c r="G271" s="75" t="s">
        <v>113</v>
      </c>
      <c r="H271" s="75"/>
      <c r="I271" s="75" t="s">
        <v>171</v>
      </c>
      <c r="J271" s="76">
        <v>5</v>
      </c>
      <c r="K271" s="516" t="s">
        <v>386</v>
      </c>
      <c r="L271" s="517">
        <v>21.44</v>
      </c>
      <c r="M271" s="517">
        <v>22.1</v>
      </c>
      <c r="N271" s="518">
        <v>0.10299999999999999</v>
      </c>
      <c r="O271" s="518">
        <v>0.1</v>
      </c>
      <c r="P271" s="518">
        <v>0.112</v>
      </c>
      <c r="Q271" s="78">
        <v>0.44</v>
      </c>
      <c r="R271" s="78">
        <v>0.31740000000000002</v>
      </c>
      <c r="S271" s="69">
        <v>2.5000000000000001E-2</v>
      </c>
      <c r="T271" s="69">
        <v>5.0000000000000001E-3</v>
      </c>
      <c r="U271" s="518">
        <v>0.7</v>
      </c>
      <c r="V271" s="76">
        <v>0</v>
      </c>
      <c r="W271" s="76">
        <v>0</v>
      </c>
      <c r="X271" s="76"/>
      <c r="Y271" s="516" t="s">
        <v>470</v>
      </c>
    </row>
    <row r="272" spans="1:25" x14ac:dyDescent="0.25">
      <c r="A272" s="75" t="str">
        <f t="shared" si="11"/>
        <v>Adquisicion PF No_Premier Nómina Cofinavit Pago_Bajo_Puntual 25</v>
      </c>
      <c r="B272" s="75" t="str">
        <f t="shared" si="10"/>
        <v>Adquisicion PF No_Premier Nómina Cofinavit Pago_Bajo_Puntual 25 0.0965</v>
      </c>
      <c r="C272" s="75" t="s">
        <v>114</v>
      </c>
      <c r="D272" s="75" t="s">
        <v>132</v>
      </c>
      <c r="E272" s="75" t="s">
        <v>179</v>
      </c>
      <c r="F272" s="75" t="s">
        <v>181</v>
      </c>
      <c r="G272" s="75" t="s">
        <v>113</v>
      </c>
      <c r="H272" s="75"/>
      <c r="I272" s="75" t="s">
        <v>170</v>
      </c>
      <c r="J272" s="523">
        <v>25</v>
      </c>
      <c r="K272" s="516" t="s">
        <v>385</v>
      </c>
      <c r="L272" s="517">
        <v>8.1</v>
      </c>
      <c r="M272" s="517">
        <v>8.76</v>
      </c>
      <c r="N272" s="518">
        <v>9.6500000000000002E-2</v>
      </c>
      <c r="O272" s="518">
        <v>9.1999999999999998E-2</v>
      </c>
      <c r="P272" s="518">
        <v>0.10249999999999999</v>
      </c>
      <c r="Q272" s="78">
        <v>0.44</v>
      </c>
      <c r="R272" s="78">
        <v>0.31740000000000002</v>
      </c>
      <c r="S272" s="69">
        <v>2.5000000000000001E-2</v>
      </c>
      <c r="T272" s="69">
        <v>5.0000000000000001E-3</v>
      </c>
      <c r="U272" s="518">
        <v>0.7</v>
      </c>
      <c r="V272" s="76">
        <v>0</v>
      </c>
      <c r="W272" s="76">
        <v>0</v>
      </c>
      <c r="X272" s="76"/>
      <c r="Y272" s="516" t="s">
        <v>470</v>
      </c>
    </row>
    <row r="273" spans="1:25" x14ac:dyDescent="0.25">
      <c r="A273" s="75" t="str">
        <f t="shared" si="11"/>
        <v>Adquisicion PF No_Premier Nómina Cofinavit Pago_Bajo_Puntual 25</v>
      </c>
      <c r="B273" s="75" t="str">
        <f t="shared" si="10"/>
        <v>Adquisicion PF No_Premier Nómina Cofinavit Pago_Bajo_Puntual 25 0.103</v>
      </c>
      <c r="C273" s="75" t="s">
        <v>114</v>
      </c>
      <c r="D273" s="75" t="s">
        <v>132</v>
      </c>
      <c r="E273" s="75" t="s">
        <v>179</v>
      </c>
      <c r="F273" s="75" t="s">
        <v>181</v>
      </c>
      <c r="G273" s="75" t="s">
        <v>113</v>
      </c>
      <c r="H273" s="75"/>
      <c r="I273" s="75" t="s">
        <v>170</v>
      </c>
      <c r="J273" s="523">
        <v>25</v>
      </c>
      <c r="K273" s="516" t="s">
        <v>386</v>
      </c>
      <c r="L273" s="517">
        <v>8.64</v>
      </c>
      <c r="M273" s="517">
        <v>9.3000000000000007</v>
      </c>
      <c r="N273" s="518">
        <v>0.10299999999999999</v>
      </c>
      <c r="O273" s="518">
        <v>0.1</v>
      </c>
      <c r="P273" s="518">
        <v>0.112</v>
      </c>
      <c r="Q273" s="78">
        <v>0.44</v>
      </c>
      <c r="R273" s="78">
        <v>0.31740000000000002</v>
      </c>
      <c r="S273" s="69">
        <v>2.5000000000000001E-2</v>
      </c>
      <c r="T273" s="69">
        <v>5.0000000000000001E-3</v>
      </c>
      <c r="U273" s="518">
        <v>0.7</v>
      </c>
      <c r="V273" s="76">
        <v>0</v>
      </c>
      <c r="W273" s="76">
        <v>0</v>
      </c>
      <c r="X273" s="76"/>
      <c r="Y273" s="516" t="s">
        <v>470</v>
      </c>
    </row>
    <row r="274" spans="1:25" x14ac:dyDescent="0.25">
      <c r="A274" s="75" t="str">
        <f t="shared" si="11"/>
        <v>Adquisicion PF No_Premier Nómina Cofinavit Pago_Bajo_Puntual 20</v>
      </c>
      <c r="B274" s="75" t="str">
        <f t="shared" si="10"/>
        <v>Adquisicion PF No_Premier Nómina Cofinavit Pago_Bajo_Puntual 20 0.0965</v>
      </c>
      <c r="C274" s="75" t="s">
        <v>114</v>
      </c>
      <c r="D274" s="75" t="s">
        <v>132</v>
      </c>
      <c r="E274" s="75" t="s">
        <v>179</v>
      </c>
      <c r="F274" s="75" t="s">
        <v>181</v>
      </c>
      <c r="G274" s="75" t="s">
        <v>113</v>
      </c>
      <c r="H274" s="75"/>
      <c r="I274" s="75" t="s">
        <v>170</v>
      </c>
      <c r="J274" s="76">
        <v>20</v>
      </c>
      <c r="K274" s="516" t="s">
        <v>385</v>
      </c>
      <c r="L274" s="517">
        <v>8.52</v>
      </c>
      <c r="M274" s="517">
        <v>9.18</v>
      </c>
      <c r="N274" s="518">
        <v>9.6500000000000002E-2</v>
      </c>
      <c r="O274" s="518">
        <v>9.1999999999999998E-2</v>
      </c>
      <c r="P274" s="518">
        <v>0.10249999999999999</v>
      </c>
      <c r="Q274" s="78">
        <v>0.44</v>
      </c>
      <c r="R274" s="78">
        <v>0.31740000000000002</v>
      </c>
      <c r="S274" s="69">
        <v>2.5000000000000001E-2</v>
      </c>
      <c r="T274" s="69">
        <v>5.0000000000000001E-3</v>
      </c>
      <c r="U274" s="518">
        <v>0.7</v>
      </c>
      <c r="V274" s="76">
        <v>0</v>
      </c>
      <c r="W274" s="76">
        <v>0</v>
      </c>
      <c r="X274" s="76"/>
      <c r="Y274" s="516" t="s">
        <v>470</v>
      </c>
    </row>
    <row r="275" spans="1:25" x14ac:dyDescent="0.25">
      <c r="A275" s="75" t="str">
        <f t="shared" si="11"/>
        <v>Adquisicion PF No_Premier Nómina Cofinavit Pago_Bajo_Puntual 20</v>
      </c>
      <c r="B275" s="75" t="str">
        <f t="shared" si="10"/>
        <v>Adquisicion PF No_Premier Nómina Cofinavit Pago_Bajo_Puntual 20 0.103</v>
      </c>
      <c r="C275" s="75" t="s">
        <v>114</v>
      </c>
      <c r="D275" s="75" t="s">
        <v>132</v>
      </c>
      <c r="E275" s="75" t="s">
        <v>179</v>
      </c>
      <c r="F275" s="75" t="s">
        <v>181</v>
      </c>
      <c r="G275" s="75" t="s">
        <v>113</v>
      </c>
      <c r="H275" s="75"/>
      <c r="I275" s="75" t="s">
        <v>170</v>
      </c>
      <c r="J275" s="76">
        <v>20</v>
      </c>
      <c r="K275" s="516" t="s">
        <v>386</v>
      </c>
      <c r="L275" s="517">
        <v>9</v>
      </c>
      <c r="M275" s="517">
        <v>9.66</v>
      </c>
      <c r="N275" s="518">
        <v>0.10299999999999999</v>
      </c>
      <c r="O275" s="518">
        <v>0.1</v>
      </c>
      <c r="P275" s="518">
        <v>0.112</v>
      </c>
      <c r="Q275" s="78">
        <v>0.44</v>
      </c>
      <c r="R275" s="78">
        <v>0.31740000000000002</v>
      </c>
      <c r="S275" s="69">
        <v>2.5000000000000001E-2</v>
      </c>
      <c r="T275" s="69">
        <v>5.0000000000000001E-3</v>
      </c>
      <c r="U275" s="518">
        <v>0.7</v>
      </c>
      <c r="V275" s="76">
        <v>0</v>
      </c>
      <c r="W275" s="76">
        <v>0</v>
      </c>
      <c r="X275" s="76"/>
      <c r="Y275" s="516" t="s">
        <v>470</v>
      </c>
    </row>
    <row r="276" spans="1:25" x14ac:dyDescent="0.25">
      <c r="A276" s="75" t="str">
        <f t="shared" si="11"/>
        <v>Adquisicion PF No_Premier Nómina Cofinavit Pago_Bajo_Puntual 15</v>
      </c>
      <c r="B276" s="75" t="str">
        <f t="shared" si="10"/>
        <v>Adquisicion PF No_Premier Nómina Cofinavit Pago_Bajo_Puntual 15 0.0965</v>
      </c>
      <c r="C276" s="75" t="s">
        <v>114</v>
      </c>
      <c r="D276" s="75" t="s">
        <v>132</v>
      </c>
      <c r="E276" s="75" t="s">
        <v>179</v>
      </c>
      <c r="F276" s="75" t="s">
        <v>181</v>
      </c>
      <c r="G276" s="75" t="s">
        <v>113</v>
      </c>
      <c r="H276" s="75"/>
      <c r="I276" s="75" t="s">
        <v>170</v>
      </c>
      <c r="J276" s="76">
        <v>15</v>
      </c>
      <c r="K276" s="516" t="s">
        <v>385</v>
      </c>
      <c r="L276" s="517">
        <v>9.6999999999999993</v>
      </c>
      <c r="M276" s="517">
        <v>10.36</v>
      </c>
      <c r="N276" s="518">
        <v>9.6500000000000002E-2</v>
      </c>
      <c r="O276" s="518">
        <v>9.1999999999999998E-2</v>
      </c>
      <c r="P276" s="518">
        <v>0.10249999999999999</v>
      </c>
      <c r="Q276" s="78">
        <v>0.44</v>
      </c>
      <c r="R276" s="78">
        <v>0.31740000000000002</v>
      </c>
      <c r="S276" s="69">
        <v>2.5000000000000001E-2</v>
      </c>
      <c r="T276" s="69">
        <v>5.0000000000000001E-3</v>
      </c>
      <c r="U276" s="518">
        <v>0.7</v>
      </c>
      <c r="V276" s="76">
        <v>0</v>
      </c>
      <c r="W276" s="76">
        <v>0</v>
      </c>
      <c r="X276" s="76"/>
      <c r="Y276" s="516" t="s">
        <v>470</v>
      </c>
    </row>
    <row r="277" spans="1:25" x14ac:dyDescent="0.25">
      <c r="A277" s="75" t="str">
        <f t="shared" si="11"/>
        <v>Adquisicion PF No_Premier Nómina Cofinavit Pago_Bajo_Puntual 15</v>
      </c>
      <c r="B277" s="75" t="str">
        <f t="shared" si="10"/>
        <v>Adquisicion PF No_Premier Nómina Cofinavit Pago_Bajo_Puntual 15 0.103</v>
      </c>
      <c r="C277" s="75" t="s">
        <v>114</v>
      </c>
      <c r="D277" s="75" t="s">
        <v>132</v>
      </c>
      <c r="E277" s="75" t="s">
        <v>179</v>
      </c>
      <c r="F277" s="75" t="s">
        <v>181</v>
      </c>
      <c r="G277" s="75" t="s">
        <v>113</v>
      </c>
      <c r="H277" s="75"/>
      <c r="I277" s="75" t="s">
        <v>170</v>
      </c>
      <c r="J277" s="76">
        <v>15</v>
      </c>
      <c r="K277" s="516" t="s">
        <v>386</v>
      </c>
      <c r="L277" s="517">
        <v>10.119999999999999</v>
      </c>
      <c r="M277" s="517">
        <v>10.78</v>
      </c>
      <c r="N277" s="518">
        <v>0.10299999999999999</v>
      </c>
      <c r="O277" s="518">
        <v>0.1</v>
      </c>
      <c r="P277" s="518">
        <v>0.112</v>
      </c>
      <c r="Q277" s="78">
        <v>0.44</v>
      </c>
      <c r="R277" s="78">
        <v>0.31740000000000002</v>
      </c>
      <c r="S277" s="69">
        <v>2.5000000000000001E-2</v>
      </c>
      <c r="T277" s="69">
        <v>5.0000000000000001E-3</v>
      </c>
      <c r="U277" s="518">
        <v>0.7</v>
      </c>
      <c r="V277" s="76">
        <v>0</v>
      </c>
      <c r="W277" s="76">
        <v>0</v>
      </c>
      <c r="X277" s="76"/>
      <c r="Y277" s="516" t="s">
        <v>470</v>
      </c>
    </row>
    <row r="278" spans="1:25" x14ac:dyDescent="0.25">
      <c r="A278" s="75" t="str">
        <f t="shared" si="11"/>
        <v>Adquisicion PF No_Premier Nómina Cofinavit Pago_Bajo_Puntual 10</v>
      </c>
      <c r="B278" s="75" t="str">
        <f t="shared" si="10"/>
        <v>Adquisicion PF No_Premier Nómina Cofinavit Pago_Bajo_Puntual 10 0.0965</v>
      </c>
      <c r="C278" s="75" t="s">
        <v>114</v>
      </c>
      <c r="D278" s="75" t="s">
        <v>132</v>
      </c>
      <c r="E278" s="75" t="s">
        <v>179</v>
      </c>
      <c r="F278" s="75" t="s">
        <v>181</v>
      </c>
      <c r="G278" s="75" t="s">
        <v>113</v>
      </c>
      <c r="H278" s="75"/>
      <c r="I278" s="75" t="s">
        <v>170</v>
      </c>
      <c r="J278" s="76">
        <v>10</v>
      </c>
      <c r="K278" s="516" t="s">
        <v>385</v>
      </c>
      <c r="L278" s="517">
        <v>12.25</v>
      </c>
      <c r="M278" s="517">
        <v>12.91</v>
      </c>
      <c r="N278" s="518">
        <v>9.6500000000000002E-2</v>
      </c>
      <c r="O278" s="518">
        <v>9.1999999999999998E-2</v>
      </c>
      <c r="P278" s="518">
        <v>0.10249999999999999</v>
      </c>
      <c r="Q278" s="78">
        <v>0.44</v>
      </c>
      <c r="R278" s="78">
        <v>0.31740000000000002</v>
      </c>
      <c r="S278" s="69">
        <v>2.5000000000000001E-2</v>
      </c>
      <c r="T278" s="69">
        <v>5.0000000000000001E-3</v>
      </c>
      <c r="U278" s="518">
        <v>0.7</v>
      </c>
      <c r="V278" s="76">
        <v>0</v>
      </c>
      <c r="W278" s="76">
        <v>0</v>
      </c>
      <c r="X278" s="76"/>
      <c r="Y278" s="516" t="s">
        <v>470</v>
      </c>
    </row>
    <row r="279" spans="1:25" x14ac:dyDescent="0.25">
      <c r="A279" s="75" t="str">
        <f t="shared" si="11"/>
        <v>Adquisicion PF No_Premier Nómina Cofinavit Pago_Bajo_Puntual 10</v>
      </c>
      <c r="B279" s="75" t="str">
        <f t="shared" si="10"/>
        <v>Adquisicion PF No_Premier Nómina Cofinavit Pago_Bajo_Puntual 10 0.103</v>
      </c>
      <c r="C279" s="75" t="s">
        <v>114</v>
      </c>
      <c r="D279" s="75" t="s">
        <v>132</v>
      </c>
      <c r="E279" s="75" t="s">
        <v>179</v>
      </c>
      <c r="F279" s="75" t="s">
        <v>181</v>
      </c>
      <c r="G279" s="75" t="s">
        <v>113</v>
      </c>
      <c r="H279" s="75"/>
      <c r="I279" s="75" t="s">
        <v>170</v>
      </c>
      <c r="J279" s="76">
        <v>10</v>
      </c>
      <c r="K279" s="516" t="s">
        <v>386</v>
      </c>
      <c r="L279" s="517">
        <v>12.62</v>
      </c>
      <c r="M279" s="517">
        <v>13.28</v>
      </c>
      <c r="N279" s="518">
        <v>0.10299999999999999</v>
      </c>
      <c r="O279" s="518">
        <v>0.1</v>
      </c>
      <c r="P279" s="518">
        <v>0.112</v>
      </c>
      <c r="Q279" s="78">
        <v>0.44</v>
      </c>
      <c r="R279" s="78">
        <v>0.31740000000000002</v>
      </c>
      <c r="S279" s="69">
        <v>2.5000000000000001E-2</v>
      </c>
      <c r="T279" s="69">
        <v>5.0000000000000001E-3</v>
      </c>
      <c r="U279" s="518">
        <v>0.7</v>
      </c>
      <c r="V279" s="76">
        <v>0</v>
      </c>
      <c r="W279" s="76">
        <v>0</v>
      </c>
      <c r="X279" s="76"/>
      <c r="Y279" s="516" t="s">
        <v>470</v>
      </c>
    </row>
    <row r="280" spans="1:25" x14ac:dyDescent="0.25">
      <c r="A280" s="75" t="str">
        <f t="shared" si="11"/>
        <v>Adquisicion PF No_Premier Nómina Cofinavit Pago_Bajo_Puntual 5</v>
      </c>
      <c r="B280" s="75" t="str">
        <f t="shared" si="10"/>
        <v>Adquisicion PF No_Premier Nómina Cofinavit Pago_Bajo_Puntual 5 0.0965</v>
      </c>
      <c r="C280" s="75" t="s">
        <v>114</v>
      </c>
      <c r="D280" s="75" t="s">
        <v>132</v>
      </c>
      <c r="E280" s="75" t="s">
        <v>179</v>
      </c>
      <c r="F280" s="75" t="s">
        <v>181</v>
      </c>
      <c r="G280" s="75" t="s">
        <v>113</v>
      </c>
      <c r="H280" s="75"/>
      <c r="I280" s="75" t="s">
        <v>170</v>
      </c>
      <c r="J280" s="76">
        <v>5</v>
      </c>
      <c r="K280" s="516" t="s">
        <v>385</v>
      </c>
      <c r="L280" s="517">
        <v>20.399999999999999</v>
      </c>
      <c r="M280" s="517">
        <v>21.06</v>
      </c>
      <c r="N280" s="518">
        <v>9.6500000000000002E-2</v>
      </c>
      <c r="O280" s="518">
        <v>9.1999999999999998E-2</v>
      </c>
      <c r="P280" s="518">
        <v>0.10249999999999999</v>
      </c>
      <c r="Q280" s="78">
        <v>0.44</v>
      </c>
      <c r="R280" s="78">
        <v>0.31740000000000002</v>
      </c>
      <c r="S280" s="69">
        <v>2.5000000000000001E-2</v>
      </c>
      <c r="T280" s="69">
        <v>5.0000000000000001E-3</v>
      </c>
      <c r="U280" s="518">
        <v>0.7</v>
      </c>
      <c r="V280" s="76">
        <v>0</v>
      </c>
      <c r="W280" s="76">
        <v>0</v>
      </c>
      <c r="X280" s="76"/>
      <c r="Y280" s="516" t="s">
        <v>470</v>
      </c>
    </row>
    <row r="281" spans="1:25" x14ac:dyDescent="0.25">
      <c r="A281" s="75" t="str">
        <f t="shared" si="11"/>
        <v>Adquisicion PF No_Premier Nómina Cofinavit Pago_Bajo_Puntual 5</v>
      </c>
      <c r="B281" s="75" t="str">
        <f t="shared" si="10"/>
        <v>Adquisicion PF No_Premier Nómina Cofinavit Pago_Bajo_Puntual 5 0.103</v>
      </c>
      <c r="C281" s="75" t="s">
        <v>114</v>
      </c>
      <c r="D281" s="75" t="s">
        <v>132</v>
      </c>
      <c r="E281" s="75" t="s">
        <v>179</v>
      </c>
      <c r="F281" s="75" t="s">
        <v>181</v>
      </c>
      <c r="G281" s="75" t="s">
        <v>113</v>
      </c>
      <c r="H281" s="75"/>
      <c r="I281" s="75" t="s">
        <v>170</v>
      </c>
      <c r="J281" s="76">
        <v>5</v>
      </c>
      <c r="K281" s="516" t="s">
        <v>386</v>
      </c>
      <c r="L281" s="517">
        <v>20.72</v>
      </c>
      <c r="M281" s="517">
        <v>21.38</v>
      </c>
      <c r="N281" s="518">
        <v>0.10299999999999999</v>
      </c>
      <c r="O281" s="518">
        <v>0.1</v>
      </c>
      <c r="P281" s="518">
        <v>0.112</v>
      </c>
      <c r="Q281" s="78">
        <v>0.44</v>
      </c>
      <c r="R281" s="78">
        <v>0.31740000000000002</v>
      </c>
      <c r="S281" s="69">
        <v>2.5000000000000001E-2</v>
      </c>
      <c r="T281" s="69">
        <v>5.0000000000000001E-3</v>
      </c>
      <c r="U281" s="518">
        <v>0.7</v>
      </c>
      <c r="V281" s="76">
        <v>0</v>
      </c>
      <c r="W281" s="76">
        <v>0</v>
      </c>
      <c r="X281" s="76"/>
      <c r="Y281" s="516" t="s">
        <v>470</v>
      </c>
    </row>
    <row r="282" spans="1:25" x14ac:dyDescent="0.25">
      <c r="A282" s="75" t="str">
        <f t="shared" si="11"/>
        <v>Adquisicion PF No_Premier Nómina Especial Apoyo Infonavit Pago_Fijo_Puntual 25</v>
      </c>
      <c r="B282" s="75" t="str">
        <f t="shared" si="10"/>
        <v>Adquisicion PF No_Premier Nómina Especial Apoyo Infonavit Pago_Fijo_Puntual 25 0.0945</v>
      </c>
      <c r="C282" s="75" t="s">
        <v>114</v>
      </c>
      <c r="D282" s="75" t="s">
        <v>132</v>
      </c>
      <c r="E282" s="75" t="s">
        <v>179</v>
      </c>
      <c r="F282" s="75" t="s">
        <v>182</v>
      </c>
      <c r="G282" s="75" t="s">
        <v>112</v>
      </c>
      <c r="H282" s="75"/>
      <c r="I282" s="75" t="s">
        <v>171</v>
      </c>
      <c r="J282" s="76">
        <v>25</v>
      </c>
      <c r="K282" s="516" t="s">
        <v>385</v>
      </c>
      <c r="L282" s="517">
        <v>8.9700000000000006</v>
      </c>
      <c r="M282" s="517">
        <v>9.6300000000000008</v>
      </c>
      <c r="N282" s="518">
        <v>9.4500000000000001E-2</v>
      </c>
      <c r="O282" s="518">
        <v>0.09</v>
      </c>
      <c r="P282" s="518">
        <v>0.10050000000000001</v>
      </c>
      <c r="Q282" s="78">
        <v>0.44</v>
      </c>
      <c r="R282" s="78">
        <v>0.31740000000000002</v>
      </c>
      <c r="S282" s="69">
        <v>2.5000000000000001E-2</v>
      </c>
      <c r="T282" s="69">
        <v>5.0000000000000001E-3</v>
      </c>
      <c r="U282" s="518">
        <v>0.7</v>
      </c>
      <c r="V282" s="76">
        <v>0</v>
      </c>
      <c r="W282" s="76">
        <v>0</v>
      </c>
      <c r="X282" s="76"/>
      <c r="Y282" s="516" t="s">
        <v>470</v>
      </c>
    </row>
    <row r="283" spans="1:25" x14ac:dyDescent="0.25">
      <c r="A283" s="75" t="str">
        <f t="shared" si="11"/>
        <v>Adquisicion PF No_Premier Nómina Especial Apoyo Infonavit Pago_Fijo_Puntual 25</v>
      </c>
      <c r="B283" s="75" t="str">
        <f t="shared" si="10"/>
        <v>Adquisicion PF No_Premier Nómina Especial Apoyo Infonavit Pago_Fijo_Puntual 25 0.101</v>
      </c>
      <c r="C283" s="75" t="s">
        <v>114</v>
      </c>
      <c r="D283" s="75" t="s">
        <v>132</v>
      </c>
      <c r="E283" s="75" t="s">
        <v>179</v>
      </c>
      <c r="F283" s="75" t="s">
        <v>182</v>
      </c>
      <c r="G283" s="75" t="s">
        <v>112</v>
      </c>
      <c r="H283" s="75"/>
      <c r="I283" s="75" t="s">
        <v>171</v>
      </c>
      <c r="J283" s="76">
        <v>25</v>
      </c>
      <c r="K283" s="516" t="s">
        <v>386</v>
      </c>
      <c r="L283" s="517">
        <v>9.51</v>
      </c>
      <c r="M283" s="517">
        <v>10.17</v>
      </c>
      <c r="N283" s="518">
        <v>0.10100000000000001</v>
      </c>
      <c r="O283" s="518">
        <v>9.8000000000000004E-2</v>
      </c>
      <c r="P283" s="518">
        <v>0.11</v>
      </c>
      <c r="Q283" s="78">
        <v>0.44</v>
      </c>
      <c r="R283" s="78">
        <v>0.31740000000000002</v>
      </c>
      <c r="S283" s="69">
        <v>2.5000000000000001E-2</v>
      </c>
      <c r="T283" s="69">
        <v>5.0000000000000001E-3</v>
      </c>
      <c r="U283" s="518">
        <v>0.7</v>
      </c>
      <c r="V283" s="76">
        <v>0</v>
      </c>
      <c r="W283" s="76">
        <v>0</v>
      </c>
      <c r="X283" s="76"/>
      <c r="Y283" s="516" t="s">
        <v>470</v>
      </c>
    </row>
    <row r="284" spans="1:25" x14ac:dyDescent="0.25">
      <c r="A284" s="75" t="str">
        <f t="shared" si="11"/>
        <v>Adquisicion PF No_Premier Nómina Especial Apoyo Infonavit Pago_Fijo_Puntual 20</v>
      </c>
      <c r="B284" s="75" t="str">
        <f t="shared" si="10"/>
        <v>Adquisicion PF No_Premier Nómina Especial Apoyo Infonavit Pago_Fijo_Puntual 20 0.0945</v>
      </c>
      <c r="C284" s="75" t="s">
        <v>114</v>
      </c>
      <c r="D284" s="75" t="s">
        <v>132</v>
      </c>
      <c r="E284" s="75" t="s">
        <v>179</v>
      </c>
      <c r="F284" s="75" t="s">
        <v>182</v>
      </c>
      <c r="G284" s="75" t="s">
        <v>112</v>
      </c>
      <c r="H284" s="75"/>
      <c r="I284" s="75" t="s">
        <v>171</v>
      </c>
      <c r="J284" s="76">
        <v>20</v>
      </c>
      <c r="K284" s="516" t="s">
        <v>385</v>
      </c>
      <c r="L284" s="517">
        <v>9.5299999999999994</v>
      </c>
      <c r="M284" s="517">
        <v>10.19</v>
      </c>
      <c r="N284" s="518">
        <v>9.4500000000000001E-2</v>
      </c>
      <c r="O284" s="518">
        <v>0.09</v>
      </c>
      <c r="P284" s="518">
        <v>0.10050000000000001</v>
      </c>
      <c r="Q284" s="78">
        <v>0.44</v>
      </c>
      <c r="R284" s="78">
        <v>0.31740000000000002</v>
      </c>
      <c r="S284" s="69">
        <v>2.5000000000000001E-2</v>
      </c>
      <c r="T284" s="69">
        <v>5.0000000000000001E-3</v>
      </c>
      <c r="U284" s="518">
        <v>0.7</v>
      </c>
      <c r="V284" s="76">
        <v>0</v>
      </c>
      <c r="W284" s="76">
        <v>0</v>
      </c>
      <c r="X284" s="76"/>
      <c r="Y284" s="516" t="s">
        <v>470</v>
      </c>
    </row>
    <row r="285" spans="1:25" x14ac:dyDescent="0.25">
      <c r="A285" s="75" t="str">
        <f t="shared" si="11"/>
        <v>Adquisicion PF No_Premier Nómina Especial Apoyo Infonavit Pago_Fijo_Puntual 20</v>
      </c>
      <c r="B285" s="75" t="str">
        <f t="shared" si="10"/>
        <v>Adquisicion PF No_Premier Nómina Especial Apoyo Infonavit Pago_Fijo_Puntual 20 0.101</v>
      </c>
      <c r="C285" s="75" t="s">
        <v>114</v>
      </c>
      <c r="D285" s="75" t="s">
        <v>132</v>
      </c>
      <c r="E285" s="75" t="s">
        <v>179</v>
      </c>
      <c r="F285" s="75" t="s">
        <v>182</v>
      </c>
      <c r="G285" s="75" t="s">
        <v>112</v>
      </c>
      <c r="H285" s="75"/>
      <c r="I285" s="75" t="s">
        <v>171</v>
      </c>
      <c r="J285" s="76">
        <v>20</v>
      </c>
      <c r="K285" s="516" t="s">
        <v>386</v>
      </c>
      <c r="L285" s="517">
        <v>10.02</v>
      </c>
      <c r="M285" s="517">
        <v>10.68</v>
      </c>
      <c r="N285" s="518">
        <v>0.10100000000000001</v>
      </c>
      <c r="O285" s="518">
        <v>9.8000000000000004E-2</v>
      </c>
      <c r="P285" s="518">
        <v>0.11</v>
      </c>
      <c r="Q285" s="78">
        <v>0.44</v>
      </c>
      <c r="R285" s="78">
        <v>0.31740000000000002</v>
      </c>
      <c r="S285" s="69">
        <v>2.5000000000000001E-2</v>
      </c>
      <c r="T285" s="69">
        <v>5.0000000000000001E-3</v>
      </c>
      <c r="U285" s="518">
        <v>0.7</v>
      </c>
      <c r="V285" s="76">
        <v>0</v>
      </c>
      <c r="W285" s="76">
        <v>0</v>
      </c>
      <c r="X285" s="76"/>
      <c r="Y285" s="516" t="s">
        <v>470</v>
      </c>
    </row>
    <row r="286" spans="1:25" x14ac:dyDescent="0.25">
      <c r="A286" s="75" t="str">
        <f t="shared" si="11"/>
        <v>Adquisicion PF No_Premier Nómina Especial Apoyo Infonavit Pago_Fijo_Puntual 15</v>
      </c>
      <c r="B286" s="75" t="str">
        <f t="shared" si="10"/>
        <v>Adquisicion PF No_Premier Nómina Especial Apoyo Infonavit Pago_Fijo_Puntual 15 0.0945</v>
      </c>
      <c r="C286" s="75" t="s">
        <v>114</v>
      </c>
      <c r="D286" s="75" t="s">
        <v>132</v>
      </c>
      <c r="E286" s="75" t="s">
        <v>179</v>
      </c>
      <c r="F286" s="75" t="s">
        <v>182</v>
      </c>
      <c r="G286" s="75" t="s">
        <v>112</v>
      </c>
      <c r="H286" s="75"/>
      <c r="I286" s="75" t="s">
        <v>171</v>
      </c>
      <c r="J286" s="76">
        <v>15</v>
      </c>
      <c r="K286" s="516" t="s">
        <v>385</v>
      </c>
      <c r="L286" s="517">
        <v>10.61</v>
      </c>
      <c r="M286" s="517">
        <v>11.27</v>
      </c>
      <c r="N286" s="518">
        <v>9.4500000000000001E-2</v>
      </c>
      <c r="O286" s="518">
        <v>0.09</v>
      </c>
      <c r="P286" s="518">
        <v>0.10050000000000001</v>
      </c>
      <c r="Q286" s="78">
        <v>0.44</v>
      </c>
      <c r="R286" s="78">
        <v>0.31740000000000002</v>
      </c>
      <c r="S286" s="69">
        <v>2.5000000000000001E-2</v>
      </c>
      <c r="T286" s="69">
        <v>5.0000000000000001E-3</v>
      </c>
      <c r="U286" s="518">
        <v>0.7</v>
      </c>
      <c r="V286" s="76">
        <v>0</v>
      </c>
      <c r="W286" s="76">
        <v>0</v>
      </c>
      <c r="X286" s="76"/>
      <c r="Y286" s="516" t="s">
        <v>470</v>
      </c>
    </row>
    <row r="287" spans="1:25" x14ac:dyDescent="0.25">
      <c r="A287" s="75" t="str">
        <f t="shared" si="11"/>
        <v>Adquisicion PF No_Premier Nómina Especial Apoyo Infonavit Pago_Fijo_Puntual 15</v>
      </c>
      <c r="B287" s="75" t="str">
        <f t="shared" si="10"/>
        <v>Adquisicion PF No_Premier Nómina Especial Apoyo Infonavit Pago_Fijo_Puntual 15 0.101</v>
      </c>
      <c r="C287" s="75" t="s">
        <v>114</v>
      </c>
      <c r="D287" s="75" t="s">
        <v>132</v>
      </c>
      <c r="E287" s="75" t="s">
        <v>179</v>
      </c>
      <c r="F287" s="75" t="s">
        <v>182</v>
      </c>
      <c r="G287" s="75" t="s">
        <v>112</v>
      </c>
      <c r="H287" s="75"/>
      <c r="I287" s="75" t="s">
        <v>171</v>
      </c>
      <c r="J287" s="76">
        <v>15</v>
      </c>
      <c r="K287" s="516" t="s">
        <v>386</v>
      </c>
      <c r="L287" s="517">
        <v>11.05</v>
      </c>
      <c r="M287" s="517">
        <v>11.71</v>
      </c>
      <c r="N287" s="518">
        <v>0.10100000000000001</v>
      </c>
      <c r="O287" s="518">
        <v>9.8000000000000004E-2</v>
      </c>
      <c r="P287" s="518">
        <v>0.11</v>
      </c>
      <c r="Q287" s="78">
        <v>0.44</v>
      </c>
      <c r="R287" s="78">
        <v>0.31740000000000002</v>
      </c>
      <c r="S287" s="69">
        <v>2.5000000000000001E-2</v>
      </c>
      <c r="T287" s="69">
        <v>5.0000000000000001E-3</v>
      </c>
      <c r="U287" s="518">
        <v>0.7</v>
      </c>
      <c r="V287" s="76">
        <v>0</v>
      </c>
      <c r="W287" s="76">
        <v>0</v>
      </c>
      <c r="X287" s="76"/>
      <c r="Y287" s="516" t="s">
        <v>470</v>
      </c>
    </row>
    <row r="288" spans="1:25" x14ac:dyDescent="0.25">
      <c r="A288" s="75" t="str">
        <f t="shared" si="11"/>
        <v>Adquisicion PF No_Premier Nómina Especial Apoyo Infonavit Pago_Fijo_Puntual 10</v>
      </c>
      <c r="B288" s="75" t="str">
        <f t="shared" si="10"/>
        <v>Adquisicion PF No_Premier Nómina Especial Apoyo Infonavit Pago_Fijo_Puntual 10 0.0945</v>
      </c>
      <c r="C288" s="75" t="s">
        <v>114</v>
      </c>
      <c r="D288" s="75" t="s">
        <v>132</v>
      </c>
      <c r="E288" s="75" t="s">
        <v>179</v>
      </c>
      <c r="F288" s="75" t="s">
        <v>182</v>
      </c>
      <c r="G288" s="75" t="s">
        <v>112</v>
      </c>
      <c r="H288" s="75"/>
      <c r="I288" s="75" t="s">
        <v>171</v>
      </c>
      <c r="J288" s="76">
        <v>10</v>
      </c>
      <c r="K288" s="516" t="s">
        <v>385</v>
      </c>
      <c r="L288" s="517">
        <v>13.05</v>
      </c>
      <c r="M288" s="517">
        <v>13.71</v>
      </c>
      <c r="N288" s="518">
        <v>9.4500000000000001E-2</v>
      </c>
      <c r="O288" s="518">
        <v>0.09</v>
      </c>
      <c r="P288" s="518">
        <v>0.10050000000000001</v>
      </c>
      <c r="Q288" s="78">
        <v>0.44</v>
      </c>
      <c r="R288" s="78">
        <v>0.31740000000000002</v>
      </c>
      <c r="S288" s="69">
        <v>2.5000000000000001E-2</v>
      </c>
      <c r="T288" s="69">
        <v>5.0000000000000001E-3</v>
      </c>
      <c r="U288" s="518">
        <v>0.7</v>
      </c>
      <c r="V288" s="76">
        <v>0</v>
      </c>
      <c r="W288" s="76">
        <v>0</v>
      </c>
      <c r="X288" s="76"/>
      <c r="Y288" s="516" t="s">
        <v>470</v>
      </c>
    </row>
    <row r="289" spans="1:25" x14ac:dyDescent="0.25">
      <c r="A289" s="75" t="str">
        <f t="shared" si="11"/>
        <v>Adquisicion PF No_Premier Nómina Especial Apoyo Infonavit Pago_Fijo_Puntual 10</v>
      </c>
      <c r="B289" s="75" t="str">
        <f t="shared" si="10"/>
        <v>Adquisicion PF No_Premier Nómina Especial Apoyo Infonavit Pago_Fijo_Puntual 10 0.101</v>
      </c>
      <c r="C289" s="75" t="s">
        <v>114</v>
      </c>
      <c r="D289" s="75" t="s">
        <v>132</v>
      </c>
      <c r="E289" s="75" t="s">
        <v>179</v>
      </c>
      <c r="F289" s="75" t="s">
        <v>182</v>
      </c>
      <c r="G289" s="75" t="s">
        <v>112</v>
      </c>
      <c r="H289" s="75"/>
      <c r="I289" s="75" t="s">
        <v>171</v>
      </c>
      <c r="J289" s="76">
        <v>10</v>
      </c>
      <c r="K289" s="516" t="s">
        <v>386</v>
      </c>
      <c r="L289" s="517">
        <v>13.42</v>
      </c>
      <c r="M289" s="517">
        <v>14.08</v>
      </c>
      <c r="N289" s="518">
        <v>0.10100000000000001</v>
      </c>
      <c r="O289" s="518">
        <v>9.8000000000000004E-2</v>
      </c>
      <c r="P289" s="518">
        <v>0.11</v>
      </c>
      <c r="Q289" s="78">
        <v>0.44</v>
      </c>
      <c r="R289" s="78">
        <v>0.31740000000000002</v>
      </c>
      <c r="S289" s="69">
        <v>2.5000000000000001E-2</v>
      </c>
      <c r="T289" s="69">
        <v>5.0000000000000001E-3</v>
      </c>
      <c r="U289" s="518">
        <v>0.7</v>
      </c>
      <c r="V289" s="76">
        <v>0</v>
      </c>
      <c r="W289" s="76">
        <v>0</v>
      </c>
      <c r="X289" s="76"/>
      <c r="Y289" s="516" t="s">
        <v>470</v>
      </c>
    </row>
    <row r="290" spans="1:25" x14ac:dyDescent="0.25">
      <c r="A290" s="75" t="str">
        <f t="shared" si="11"/>
        <v>Adquisicion PF No_Premier Nómina Especial Apoyo Infonavit Pago_Fijo_Puntual 5</v>
      </c>
      <c r="B290" s="75" t="str">
        <f t="shared" si="10"/>
        <v>Adquisicion PF No_Premier Nómina Especial Apoyo Infonavit Pago_Fijo_Puntual 5 0.0945</v>
      </c>
      <c r="C290" s="75" t="s">
        <v>114</v>
      </c>
      <c r="D290" s="75" t="s">
        <v>132</v>
      </c>
      <c r="E290" s="75" t="s">
        <v>179</v>
      </c>
      <c r="F290" s="75" t="s">
        <v>182</v>
      </c>
      <c r="G290" s="75" t="s">
        <v>112</v>
      </c>
      <c r="H290" s="75"/>
      <c r="I290" s="75" t="s">
        <v>171</v>
      </c>
      <c r="J290" s="76">
        <v>5</v>
      </c>
      <c r="K290" s="516" t="s">
        <v>385</v>
      </c>
      <c r="L290" s="517">
        <v>21.02</v>
      </c>
      <c r="M290" s="517">
        <v>21.68</v>
      </c>
      <c r="N290" s="518">
        <v>9.4500000000000001E-2</v>
      </c>
      <c r="O290" s="518">
        <v>0.09</v>
      </c>
      <c r="P290" s="518">
        <v>0.10050000000000001</v>
      </c>
      <c r="Q290" s="78">
        <v>0.44</v>
      </c>
      <c r="R290" s="78">
        <v>0.31740000000000002</v>
      </c>
      <c r="S290" s="69">
        <v>2.5000000000000001E-2</v>
      </c>
      <c r="T290" s="69">
        <v>5.0000000000000001E-3</v>
      </c>
      <c r="U290" s="518">
        <v>0.7</v>
      </c>
      <c r="V290" s="76">
        <v>0</v>
      </c>
      <c r="W290" s="76">
        <v>0</v>
      </c>
      <c r="X290" s="76"/>
      <c r="Y290" s="516" t="s">
        <v>470</v>
      </c>
    </row>
    <row r="291" spans="1:25" x14ac:dyDescent="0.25">
      <c r="A291" s="75" t="str">
        <f t="shared" si="11"/>
        <v>Adquisicion PF No_Premier Nómina Especial Apoyo Infonavit Pago_Fijo_Puntual 5</v>
      </c>
      <c r="B291" s="75" t="str">
        <f t="shared" si="10"/>
        <v>Adquisicion PF No_Premier Nómina Especial Apoyo Infonavit Pago_Fijo_Puntual 5 0.101</v>
      </c>
      <c r="C291" s="75" t="s">
        <v>114</v>
      </c>
      <c r="D291" s="75" t="s">
        <v>132</v>
      </c>
      <c r="E291" s="75" t="s">
        <v>179</v>
      </c>
      <c r="F291" s="75" t="s">
        <v>182</v>
      </c>
      <c r="G291" s="75" t="s">
        <v>112</v>
      </c>
      <c r="H291" s="75"/>
      <c r="I291" s="75" t="s">
        <v>171</v>
      </c>
      <c r="J291" s="76">
        <v>5</v>
      </c>
      <c r="K291" s="516" t="s">
        <v>386</v>
      </c>
      <c r="L291" s="517">
        <v>21.34</v>
      </c>
      <c r="M291" s="517">
        <v>22</v>
      </c>
      <c r="N291" s="518">
        <v>0.10100000000000001</v>
      </c>
      <c r="O291" s="518">
        <v>9.8000000000000004E-2</v>
      </c>
      <c r="P291" s="518">
        <v>0.11</v>
      </c>
      <c r="Q291" s="78">
        <v>0.44</v>
      </c>
      <c r="R291" s="78">
        <v>0.31740000000000002</v>
      </c>
      <c r="S291" s="69">
        <v>2.5000000000000001E-2</v>
      </c>
      <c r="T291" s="69">
        <v>5.0000000000000001E-3</v>
      </c>
      <c r="U291" s="518">
        <v>0.7</v>
      </c>
      <c r="V291" s="76">
        <v>0</v>
      </c>
      <c r="W291" s="76">
        <v>0</v>
      </c>
      <c r="X291" s="76"/>
      <c r="Y291" s="516" t="s">
        <v>470</v>
      </c>
    </row>
    <row r="292" spans="1:25" x14ac:dyDescent="0.25">
      <c r="A292" s="75" t="str">
        <f t="shared" si="11"/>
        <v>Adquisicion PF No_Premier Nómina Especial Apoyo Infonavit Pago_Bajo_Puntual 25</v>
      </c>
      <c r="B292" s="75" t="str">
        <f t="shared" si="10"/>
        <v>Adquisicion PF No_Premier Nómina Especial Apoyo Infonavit Pago_Bajo_Puntual 25 0.0945</v>
      </c>
      <c r="C292" s="75" t="s">
        <v>114</v>
      </c>
      <c r="D292" s="75" t="s">
        <v>132</v>
      </c>
      <c r="E292" s="75" t="s">
        <v>179</v>
      </c>
      <c r="F292" s="75" t="s">
        <v>182</v>
      </c>
      <c r="G292" s="75" t="s">
        <v>112</v>
      </c>
      <c r="H292" s="75"/>
      <c r="I292" s="75" t="s">
        <v>170</v>
      </c>
      <c r="J292" s="523">
        <v>25</v>
      </c>
      <c r="K292" s="516" t="s">
        <v>385</v>
      </c>
      <c r="L292" s="517">
        <v>7.93</v>
      </c>
      <c r="M292" s="517">
        <v>8.59</v>
      </c>
      <c r="N292" s="518">
        <v>9.4500000000000001E-2</v>
      </c>
      <c r="O292" s="518">
        <v>0.09</v>
      </c>
      <c r="P292" s="518">
        <v>0.10050000000000001</v>
      </c>
      <c r="Q292" s="78">
        <v>0.44</v>
      </c>
      <c r="R292" s="78">
        <v>0.31740000000000002</v>
      </c>
      <c r="S292" s="69">
        <v>2.5000000000000001E-2</v>
      </c>
      <c r="T292" s="69">
        <v>5.0000000000000001E-3</v>
      </c>
      <c r="U292" s="518">
        <v>0.7</v>
      </c>
      <c r="V292" s="76">
        <v>0</v>
      </c>
      <c r="W292" s="76">
        <v>0</v>
      </c>
      <c r="X292" s="76"/>
      <c r="Y292" s="516" t="s">
        <v>470</v>
      </c>
    </row>
    <row r="293" spans="1:25" x14ac:dyDescent="0.25">
      <c r="A293" s="75" t="str">
        <f t="shared" si="11"/>
        <v>Adquisicion PF No_Premier Nómina Especial Apoyo Infonavit Pago_Bajo_Puntual 25</v>
      </c>
      <c r="B293" s="75" t="str">
        <f t="shared" si="10"/>
        <v>Adquisicion PF No_Premier Nómina Especial Apoyo Infonavit Pago_Bajo_Puntual 25 0.101</v>
      </c>
      <c r="C293" s="75" t="s">
        <v>114</v>
      </c>
      <c r="D293" s="75" t="s">
        <v>132</v>
      </c>
      <c r="E293" s="75" t="s">
        <v>179</v>
      </c>
      <c r="F293" s="75" t="s">
        <v>182</v>
      </c>
      <c r="G293" s="75" t="s">
        <v>112</v>
      </c>
      <c r="H293" s="75"/>
      <c r="I293" s="75" t="s">
        <v>170</v>
      </c>
      <c r="J293" s="523">
        <v>25</v>
      </c>
      <c r="K293" s="516" t="s">
        <v>386</v>
      </c>
      <c r="L293" s="517">
        <v>8.4700000000000006</v>
      </c>
      <c r="M293" s="517">
        <v>9.1300000000000008</v>
      </c>
      <c r="N293" s="518">
        <v>0.10100000000000001</v>
      </c>
      <c r="O293" s="518">
        <v>9.8000000000000004E-2</v>
      </c>
      <c r="P293" s="518">
        <v>0.11</v>
      </c>
      <c r="Q293" s="78">
        <v>0.44</v>
      </c>
      <c r="R293" s="78">
        <v>0.31740000000000002</v>
      </c>
      <c r="S293" s="69">
        <v>2.5000000000000001E-2</v>
      </c>
      <c r="T293" s="69">
        <v>5.0000000000000001E-3</v>
      </c>
      <c r="U293" s="518">
        <v>0.7</v>
      </c>
      <c r="V293" s="76">
        <v>0</v>
      </c>
      <c r="W293" s="76">
        <v>0</v>
      </c>
      <c r="X293" s="76"/>
      <c r="Y293" s="516" t="s">
        <v>470</v>
      </c>
    </row>
    <row r="294" spans="1:25" x14ac:dyDescent="0.25">
      <c r="A294" s="75" t="str">
        <f t="shared" si="11"/>
        <v>Adquisicion PF No_Premier Nómina Especial Apoyo Infonavit Pago_Bajo_Puntual 20</v>
      </c>
      <c r="B294" s="75" t="str">
        <f t="shared" si="10"/>
        <v>Adquisicion PF No_Premier Nómina Especial Apoyo Infonavit Pago_Bajo_Puntual 20 0.0945</v>
      </c>
      <c r="C294" s="75" t="s">
        <v>114</v>
      </c>
      <c r="D294" s="75" t="s">
        <v>132</v>
      </c>
      <c r="E294" s="75" t="s">
        <v>179</v>
      </c>
      <c r="F294" s="75" t="s">
        <v>182</v>
      </c>
      <c r="G294" s="75" t="s">
        <v>112</v>
      </c>
      <c r="H294" s="75"/>
      <c r="I294" s="75" t="s">
        <v>170</v>
      </c>
      <c r="J294" s="76">
        <v>20</v>
      </c>
      <c r="K294" s="516" t="s">
        <v>385</v>
      </c>
      <c r="L294" s="517">
        <v>8.4</v>
      </c>
      <c r="M294" s="517">
        <v>9.06</v>
      </c>
      <c r="N294" s="518">
        <v>9.4500000000000001E-2</v>
      </c>
      <c r="O294" s="518">
        <v>0.09</v>
      </c>
      <c r="P294" s="518">
        <v>0.10050000000000001</v>
      </c>
      <c r="Q294" s="78">
        <v>0.44</v>
      </c>
      <c r="R294" s="78">
        <v>0.31740000000000002</v>
      </c>
      <c r="S294" s="69">
        <v>2.5000000000000001E-2</v>
      </c>
      <c r="T294" s="69">
        <v>5.0000000000000001E-3</v>
      </c>
      <c r="U294" s="518">
        <v>0.7</v>
      </c>
      <c r="V294" s="76">
        <v>0</v>
      </c>
      <c r="W294" s="76">
        <v>0</v>
      </c>
      <c r="X294" s="76"/>
      <c r="Y294" s="516" t="s">
        <v>470</v>
      </c>
    </row>
    <row r="295" spans="1:25" x14ac:dyDescent="0.25">
      <c r="A295" s="75" t="str">
        <f t="shared" si="11"/>
        <v>Adquisicion PF No_Premier Nómina Especial Apoyo Infonavit Pago_Bajo_Puntual 20</v>
      </c>
      <c r="B295" s="75" t="str">
        <f t="shared" si="10"/>
        <v>Adquisicion PF No_Premier Nómina Especial Apoyo Infonavit Pago_Bajo_Puntual 20 0.101</v>
      </c>
      <c r="C295" s="75" t="s">
        <v>114</v>
      </c>
      <c r="D295" s="75" t="s">
        <v>132</v>
      </c>
      <c r="E295" s="75" t="s">
        <v>179</v>
      </c>
      <c r="F295" s="75" t="s">
        <v>182</v>
      </c>
      <c r="G295" s="75" t="s">
        <v>112</v>
      </c>
      <c r="H295" s="75"/>
      <c r="I295" s="75" t="s">
        <v>170</v>
      </c>
      <c r="J295" s="76">
        <v>20</v>
      </c>
      <c r="K295" s="516" t="s">
        <v>386</v>
      </c>
      <c r="L295" s="517">
        <v>8.8800000000000008</v>
      </c>
      <c r="M295" s="517">
        <v>9.5399999999999991</v>
      </c>
      <c r="N295" s="518">
        <v>0.10100000000000001</v>
      </c>
      <c r="O295" s="518">
        <v>9.8000000000000004E-2</v>
      </c>
      <c r="P295" s="518">
        <v>0.11</v>
      </c>
      <c r="Q295" s="78">
        <v>0.44</v>
      </c>
      <c r="R295" s="78">
        <v>0.31740000000000002</v>
      </c>
      <c r="S295" s="69">
        <v>2.5000000000000001E-2</v>
      </c>
      <c r="T295" s="69">
        <v>5.0000000000000001E-3</v>
      </c>
      <c r="U295" s="518">
        <v>0.7</v>
      </c>
      <c r="V295" s="76">
        <v>0</v>
      </c>
      <c r="W295" s="76">
        <v>0</v>
      </c>
      <c r="X295" s="76"/>
      <c r="Y295" s="516" t="s">
        <v>470</v>
      </c>
    </row>
    <row r="296" spans="1:25" x14ac:dyDescent="0.25">
      <c r="A296" s="75" t="str">
        <f t="shared" si="11"/>
        <v>Adquisicion PF No_Premier Nómina Especial Apoyo Infonavit Pago_Bajo_Puntual 15</v>
      </c>
      <c r="B296" s="75" t="str">
        <f t="shared" si="10"/>
        <v>Adquisicion PF No_Premier Nómina Especial Apoyo Infonavit Pago_Bajo_Puntual 15 0.0945</v>
      </c>
      <c r="C296" s="75" t="s">
        <v>114</v>
      </c>
      <c r="D296" s="75" t="s">
        <v>132</v>
      </c>
      <c r="E296" s="75" t="s">
        <v>179</v>
      </c>
      <c r="F296" s="75" t="s">
        <v>182</v>
      </c>
      <c r="G296" s="75" t="s">
        <v>112</v>
      </c>
      <c r="H296" s="75"/>
      <c r="I296" s="75" t="s">
        <v>170</v>
      </c>
      <c r="J296" s="76">
        <v>15</v>
      </c>
      <c r="K296" s="516" t="s">
        <v>385</v>
      </c>
      <c r="L296" s="517">
        <v>9.59</v>
      </c>
      <c r="M296" s="517">
        <v>10.25</v>
      </c>
      <c r="N296" s="518">
        <v>9.4500000000000001E-2</v>
      </c>
      <c r="O296" s="518">
        <v>0.09</v>
      </c>
      <c r="P296" s="518">
        <v>0.10050000000000001</v>
      </c>
      <c r="Q296" s="78">
        <v>0.44</v>
      </c>
      <c r="R296" s="78">
        <v>0.31740000000000002</v>
      </c>
      <c r="S296" s="69">
        <v>2.5000000000000001E-2</v>
      </c>
      <c r="T296" s="69">
        <v>5.0000000000000001E-3</v>
      </c>
      <c r="U296" s="518">
        <v>0.7</v>
      </c>
      <c r="V296" s="76">
        <v>0</v>
      </c>
      <c r="W296" s="76">
        <v>0</v>
      </c>
      <c r="X296" s="76"/>
      <c r="Y296" s="516" t="s">
        <v>470</v>
      </c>
    </row>
    <row r="297" spans="1:25" x14ac:dyDescent="0.25">
      <c r="A297" s="75" t="str">
        <f t="shared" si="11"/>
        <v>Adquisicion PF No_Premier Nómina Especial Apoyo Infonavit Pago_Bajo_Puntual 15</v>
      </c>
      <c r="B297" s="75" t="str">
        <f t="shared" si="10"/>
        <v>Adquisicion PF No_Premier Nómina Especial Apoyo Infonavit Pago_Bajo_Puntual 15 0.101</v>
      </c>
      <c r="C297" s="75" t="s">
        <v>114</v>
      </c>
      <c r="D297" s="75" t="s">
        <v>132</v>
      </c>
      <c r="E297" s="75" t="s">
        <v>179</v>
      </c>
      <c r="F297" s="75" t="s">
        <v>182</v>
      </c>
      <c r="G297" s="75" t="s">
        <v>112</v>
      </c>
      <c r="H297" s="75"/>
      <c r="I297" s="75" t="s">
        <v>170</v>
      </c>
      <c r="J297" s="76">
        <v>15</v>
      </c>
      <c r="K297" s="516" t="s">
        <v>386</v>
      </c>
      <c r="L297" s="517">
        <v>10.01</v>
      </c>
      <c r="M297" s="517">
        <v>10.67</v>
      </c>
      <c r="N297" s="518">
        <v>0.10100000000000001</v>
      </c>
      <c r="O297" s="518">
        <v>9.8000000000000004E-2</v>
      </c>
      <c r="P297" s="518">
        <v>0.11</v>
      </c>
      <c r="Q297" s="78">
        <v>0.44</v>
      </c>
      <c r="R297" s="78">
        <v>0.31740000000000002</v>
      </c>
      <c r="S297" s="69">
        <v>2.5000000000000001E-2</v>
      </c>
      <c r="T297" s="69">
        <v>5.0000000000000001E-3</v>
      </c>
      <c r="U297" s="518">
        <v>0.7</v>
      </c>
      <c r="V297" s="76">
        <v>0</v>
      </c>
      <c r="W297" s="76">
        <v>0</v>
      </c>
      <c r="X297" s="76"/>
      <c r="Y297" s="516" t="s">
        <v>470</v>
      </c>
    </row>
    <row r="298" spans="1:25" x14ac:dyDescent="0.25">
      <c r="A298" s="75" t="str">
        <f t="shared" si="11"/>
        <v>Adquisicion PF No_Premier Nómina Especial Apoyo Infonavit Pago_Bajo_Puntual 10</v>
      </c>
      <c r="B298" s="75" t="str">
        <f t="shared" si="10"/>
        <v>Adquisicion PF No_Premier Nómina Especial Apoyo Infonavit Pago_Bajo_Puntual 10 0.0945</v>
      </c>
      <c r="C298" s="75" t="s">
        <v>114</v>
      </c>
      <c r="D298" s="75" t="s">
        <v>132</v>
      </c>
      <c r="E298" s="75" t="s">
        <v>179</v>
      </c>
      <c r="F298" s="75" t="s">
        <v>182</v>
      </c>
      <c r="G298" s="75" t="s">
        <v>112</v>
      </c>
      <c r="H298" s="75"/>
      <c r="I298" s="75" t="s">
        <v>170</v>
      </c>
      <c r="J298" s="76">
        <v>10</v>
      </c>
      <c r="K298" s="516" t="s">
        <v>385</v>
      </c>
      <c r="L298" s="517">
        <v>12.15</v>
      </c>
      <c r="M298" s="517">
        <v>12.81</v>
      </c>
      <c r="N298" s="518">
        <v>9.4500000000000001E-2</v>
      </c>
      <c r="O298" s="518">
        <v>0.09</v>
      </c>
      <c r="P298" s="518">
        <v>0.10050000000000001</v>
      </c>
      <c r="Q298" s="78">
        <v>0.44</v>
      </c>
      <c r="R298" s="78">
        <v>0.31740000000000002</v>
      </c>
      <c r="S298" s="69">
        <v>2.5000000000000001E-2</v>
      </c>
      <c r="T298" s="69">
        <v>5.0000000000000001E-3</v>
      </c>
      <c r="U298" s="518">
        <v>0.7</v>
      </c>
      <c r="V298" s="76">
        <v>0</v>
      </c>
      <c r="W298" s="76">
        <v>0</v>
      </c>
      <c r="X298" s="76"/>
      <c r="Y298" s="516" t="s">
        <v>470</v>
      </c>
    </row>
    <row r="299" spans="1:25" x14ac:dyDescent="0.25">
      <c r="A299" s="75" t="str">
        <f t="shared" si="11"/>
        <v>Adquisicion PF No_Premier Nómina Especial Apoyo Infonavit Pago_Bajo_Puntual 10</v>
      </c>
      <c r="B299" s="75" t="str">
        <f t="shared" si="10"/>
        <v>Adquisicion PF No_Premier Nómina Especial Apoyo Infonavit Pago_Bajo_Puntual 10 0.101</v>
      </c>
      <c r="C299" s="75" t="s">
        <v>114</v>
      </c>
      <c r="D299" s="75" t="s">
        <v>132</v>
      </c>
      <c r="E299" s="75" t="s">
        <v>179</v>
      </c>
      <c r="F299" s="75" t="s">
        <v>182</v>
      </c>
      <c r="G299" s="75" t="s">
        <v>112</v>
      </c>
      <c r="H299" s="75"/>
      <c r="I299" s="75" t="s">
        <v>170</v>
      </c>
      <c r="J299" s="76">
        <v>10</v>
      </c>
      <c r="K299" s="516" t="s">
        <v>386</v>
      </c>
      <c r="L299" s="517">
        <v>12.51</v>
      </c>
      <c r="M299" s="517">
        <v>13.17</v>
      </c>
      <c r="N299" s="518">
        <v>0.10100000000000001</v>
      </c>
      <c r="O299" s="518">
        <v>9.8000000000000004E-2</v>
      </c>
      <c r="P299" s="518">
        <v>0.11</v>
      </c>
      <c r="Q299" s="78">
        <v>0.44</v>
      </c>
      <c r="R299" s="78">
        <v>0.31740000000000002</v>
      </c>
      <c r="S299" s="69">
        <v>2.5000000000000001E-2</v>
      </c>
      <c r="T299" s="69">
        <v>5.0000000000000001E-3</v>
      </c>
      <c r="U299" s="518">
        <v>0.7</v>
      </c>
      <c r="V299" s="76">
        <v>0</v>
      </c>
      <c r="W299" s="76">
        <v>0</v>
      </c>
      <c r="X299" s="76"/>
      <c r="Y299" s="516" t="s">
        <v>470</v>
      </c>
    </row>
    <row r="300" spans="1:25" x14ac:dyDescent="0.25">
      <c r="A300" s="75" t="str">
        <f t="shared" si="11"/>
        <v>Adquisicion PF No_Premier Nómina Especial Apoyo Infonavit Pago_Bajo_Puntual 5</v>
      </c>
      <c r="B300" s="75" t="str">
        <f t="shared" si="10"/>
        <v>Adquisicion PF No_Premier Nómina Especial Apoyo Infonavit Pago_Bajo_Puntual 5 0.0945</v>
      </c>
      <c r="C300" s="75" t="s">
        <v>114</v>
      </c>
      <c r="D300" s="75" t="s">
        <v>132</v>
      </c>
      <c r="E300" s="75" t="s">
        <v>179</v>
      </c>
      <c r="F300" s="75" t="s">
        <v>182</v>
      </c>
      <c r="G300" s="75" t="s">
        <v>112</v>
      </c>
      <c r="H300" s="75"/>
      <c r="I300" s="75" t="s">
        <v>170</v>
      </c>
      <c r="J300" s="76">
        <v>5</v>
      </c>
      <c r="K300" s="516" t="s">
        <v>385</v>
      </c>
      <c r="L300" s="517">
        <v>20.309999999999999</v>
      </c>
      <c r="M300" s="517">
        <v>20.97</v>
      </c>
      <c r="N300" s="518">
        <v>9.4500000000000001E-2</v>
      </c>
      <c r="O300" s="518">
        <v>0.09</v>
      </c>
      <c r="P300" s="518">
        <v>0.10050000000000001</v>
      </c>
      <c r="Q300" s="78">
        <v>0.44</v>
      </c>
      <c r="R300" s="78">
        <v>0.31740000000000002</v>
      </c>
      <c r="S300" s="69">
        <v>2.5000000000000001E-2</v>
      </c>
      <c r="T300" s="69">
        <v>5.0000000000000001E-3</v>
      </c>
      <c r="U300" s="518">
        <v>0.7</v>
      </c>
      <c r="V300" s="76">
        <v>0</v>
      </c>
      <c r="W300" s="76">
        <v>0</v>
      </c>
      <c r="X300" s="76"/>
      <c r="Y300" s="516" t="s">
        <v>470</v>
      </c>
    </row>
    <row r="301" spans="1:25" x14ac:dyDescent="0.25">
      <c r="A301" s="75" t="str">
        <f t="shared" si="11"/>
        <v>Adquisicion PF No_Premier Nómina Especial Apoyo Infonavit Pago_Bajo_Puntual 5</v>
      </c>
      <c r="B301" s="75" t="str">
        <f t="shared" si="10"/>
        <v>Adquisicion PF No_Premier Nómina Especial Apoyo Infonavit Pago_Bajo_Puntual 5 0.101</v>
      </c>
      <c r="C301" s="75" t="s">
        <v>114</v>
      </c>
      <c r="D301" s="75" t="s">
        <v>132</v>
      </c>
      <c r="E301" s="75" t="s">
        <v>179</v>
      </c>
      <c r="F301" s="75" t="s">
        <v>182</v>
      </c>
      <c r="G301" s="75" t="s">
        <v>112</v>
      </c>
      <c r="H301" s="75"/>
      <c r="I301" s="75" t="s">
        <v>170</v>
      </c>
      <c r="J301" s="76">
        <v>5</v>
      </c>
      <c r="K301" s="516" t="s">
        <v>386</v>
      </c>
      <c r="L301" s="517">
        <v>20.62</v>
      </c>
      <c r="M301" s="517">
        <v>21.28</v>
      </c>
      <c r="N301" s="518">
        <v>0.10100000000000001</v>
      </c>
      <c r="O301" s="518">
        <v>9.8000000000000004E-2</v>
      </c>
      <c r="P301" s="518">
        <v>0.11</v>
      </c>
      <c r="Q301" s="78">
        <v>0.44</v>
      </c>
      <c r="R301" s="78">
        <v>0.31740000000000002</v>
      </c>
      <c r="S301" s="69">
        <v>2.5000000000000001E-2</v>
      </c>
      <c r="T301" s="69">
        <v>5.0000000000000001E-3</v>
      </c>
      <c r="U301" s="518">
        <v>0.7</v>
      </c>
      <c r="V301" s="76">
        <v>0</v>
      </c>
      <c r="W301" s="76">
        <v>0</v>
      </c>
      <c r="X301" s="76"/>
      <c r="Y301" s="516" t="s">
        <v>470</v>
      </c>
    </row>
    <row r="302" spans="1:25" x14ac:dyDescent="0.25">
      <c r="A302" s="75" t="str">
        <f t="shared" si="11"/>
        <v>Adquisicion PF No_Premier Nómina Especial Cofinavit Pago_Fijo_Puntual 25</v>
      </c>
      <c r="B302" s="75" t="str">
        <f t="shared" si="10"/>
        <v>Adquisicion PF No_Premier Nómina Especial Cofinavit Pago_Fijo_Puntual 25 0.0945</v>
      </c>
      <c r="C302" s="75" t="s">
        <v>114</v>
      </c>
      <c r="D302" s="75" t="s">
        <v>132</v>
      </c>
      <c r="E302" s="75" t="s">
        <v>179</v>
      </c>
      <c r="F302" s="75" t="s">
        <v>182</v>
      </c>
      <c r="G302" s="75" t="s">
        <v>113</v>
      </c>
      <c r="H302" s="75"/>
      <c r="I302" s="75" t="s">
        <v>171</v>
      </c>
      <c r="J302" s="76">
        <v>25</v>
      </c>
      <c r="K302" s="516" t="s">
        <v>385</v>
      </c>
      <c r="L302" s="517">
        <v>8.9700000000000006</v>
      </c>
      <c r="M302" s="517">
        <v>9.6300000000000008</v>
      </c>
      <c r="N302" s="518">
        <v>9.4500000000000001E-2</v>
      </c>
      <c r="O302" s="518">
        <v>0.09</v>
      </c>
      <c r="P302" s="518">
        <v>0.10050000000000001</v>
      </c>
      <c r="Q302" s="78">
        <v>0.44</v>
      </c>
      <c r="R302" s="78">
        <v>0.31740000000000002</v>
      </c>
      <c r="S302" s="69">
        <v>2.5000000000000001E-2</v>
      </c>
      <c r="T302" s="69">
        <v>5.0000000000000001E-3</v>
      </c>
      <c r="U302" s="518">
        <v>0.7</v>
      </c>
      <c r="V302" s="76">
        <v>0</v>
      </c>
      <c r="W302" s="76">
        <v>0</v>
      </c>
      <c r="X302" s="76"/>
      <c r="Y302" s="516" t="s">
        <v>470</v>
      </c>
    </row>
    <row r="303" spans="1:25" x14ac:dyDescent="0.25">
      <c r="A303" s="75" t="str">
        <f t="shared" si="11"/>
        <v>Adquisicion PF No_Premier Nómina Especial Cofinavit Pago_Fijo_Puntual 25</v>
      </c>
      <c r="B303" s="75" t="str">
        <f t="shared" si="10"/>
        <v>Adquisicion PF No_Premier Nómina Especial Cofinavit Pago_Fijo_Puntual 25 0.101</v>
      </c>
      <c r="C303" s="75" t="s">
        <v>114</v>
      </c>
      <c r="D303" s="75" t="s">
        <v>132</v>
      </c>
      <c r="E303" s="75" t="s">
        <v>179</v>
      </c>
      <c r="F303" s="75" t="s">
        <v>182</v>
      </c>
      <c r="G303" s="75" t="s">
        <v>113</v>
      </c>
      <c r="H303" s="75"/>
      <c r="I303" s="75" t="s">
        <v>171</v>
      </c>
      <c r="J303" s="76">
        <v>25</v>
      </c>
      <c r="K303" s="516" t="s">
        <v>386</v>
      </c>
      <c r="L303" s="517">
        <v>9.51</v>
      </c>
      <c r="M303" s="517">
        <v>10.17</v>
      </c>
      <c r="N303" s="518">
        <v>0.10100000000000001</v>
      </c>
      <c r="O303" s="518">
        <v>9.8000000000000004E-2</v>
      </c>
      <c r="P303" s="518">
        <v>0.11</v>
      </c>
      <c r="Q303" s="78">
        <v>0.44</v>
      </c>
      <c r="R303" s="78">
        <v>0.31740000000000002</v>
      </c>
      <c r="S303" s="69">
        <v>2.5000000000000001E-2</v>
      </c>
      <c r="T303" s="69">
        <v>5.0000000000000001E-3</v>
      </c>
      <c r="U303" s="518">
        <v>0.7</v>
      </c>
      <c r="V303" s="76">
        <v>0</v>
      </c>
      <c r="W303" s="76">
        <v>0</v>
      </c>
      <c r="X303" s="76"/>
      <c r="Y303" s="516" t="s">
        <v>470</v>
      </c>
    </row>
    <row r="304" spans="1:25" x14ac:dyDescent="0.25">
      <c r="A304" s="75" t="str">
        <f t="shared" si="11"/>
        <v>Adquisicion PF No_Premier Nómina Especial Cofinavit Pago_Fijo_Puntual 20</v>
      </c>
      <c r="B304" s="75" t="str">
        <f t="shared" si="10"/>
        <v>Adquisicion PF No_Premier Nómina Especial Cofinavit Pago_Fijo_Puntual 20 0.0945</v>
      </c>
      <c r="C304" s="75" t="s">
        <v>114</v>
      </c>
      <c r="D304" s="75" t="s">
        <v>132</v>
      </c>
      <c r="E304" s="75" t="s">
        <v>179</v>
      </c>
      <c r="F304" s="75" t="s">
        <v>182</v>
      </c>
      <c r="G304" s="75" t="s">
        <v>113</v>
      </c>
      <c r="H304" s="75"/>
      <c r="I304" s="75" t="s">
        <v>171</v>
      </c>
      <c r="J304" s="76">
        <v>20</v>
      </c>
      <c r="K304" s="516" t="s">
        <v>385</v>
      </c>
      <c r="L304" s="517">
        <v>9.5299999999999994</v>
      </c>
      <c r="M304" s="517">
        <v>10.19</v>
      </c>
      <c r="N304" s="518">
        <v>9.4500000000000001E-2</v>
      </c>
      <c r="O304" s="518">
        <v>0.09</v>
      </c>
      <c r="P304" s="518">
        <v>0.10050000000000001</v>
      </c>
      <c r="Q304" s="78">
        <v>0.44</v>
      </c>
      <c r="R304" s="78">
        <v>0.31740000000000002</v>
      </c>
      <c r="S304" s="69">
        <v>2.5000000000000001E-2</v>
      </c>
      <c r="T304" s="69">
        <v>5.0000000000000001E-3</v>
      </c>
      <c r="U304" s="518">
        <v>0.7</v>
      </c>
      <c r="V304" s="76">
        <v>0</v>
      </c>
      <c r="W304" s="76">
        <v>0</v>
      </c>
      <c r="X304" s="76"/>
      <c r="Y304" s="516" t="s">
        <v>470</v>
      </c>
    </row>
    <row r="305" spans="1:25" x14ac:dyDescent="0.25">
      <c r="A305" s="75" t="str">
        <f t="shared" si="11"/>
        <v>Adquisicion PF No_Premier Nómina Especial Cofinavit Pago_Fijo_Puntual 20</v>
      </c>
      <c r="B305" s="75" t="str">
        <f t="shared" si="10"/>
        <v>Adquisicion PF No_Premier Nómina Especial Cofinavit Pago_Fijo_Puntual 20 0.101</v>
      </c>
      <c r="C305" s="75" t="s">
        <v>114</v>
      </c>
      <c r="D305" s="75" t="s">
        <v>132</v>
      </c>
      <c r="E305" s="75" t="s">
        <v>179</v>
      </c>
      <c r="F305" s="75" t="s">
        <v>182</v>
      </c>
      <c r="G305" s="75" t="s">
        <v>113</v>
      </c>
      <c r="H305" s="75"/>
      <c r="I305" s="75" t="s">
        <v>171</v>
      </c>
      <c r="J305" s="76">
        <v>20</v>
      </c>
      <c r="K305" s="516" t="s">
        <v>386</v>
      </c>
      <c r="L305" s="517">
        <v>10.02</v>
      </c>
      <c r="M305" s="517">
        <v>10.68</v>
      </c>
      <c r="N305" s="518">
        <v>0.10100000000000001</v>
      </c>
      <c r="O305" s="518">
        <v>9.8000000000000004E-2</v>
      </c>
      <c r="P305" s="518">
        <v>0.11</v>
      </c>
      <c r="Q305" s="78">
        <v>0.44</v>
      </c>
      <c r="R305" s="78">
        <v>0.31740000000000002</v>
      </c>
      <c r="S305" s="69">
        <v>2.5000000000000001E-2</v>
      </c>
      <c r="T305" s="69">
        <v>5.0000000000000001E-3</v>
      </c>
      <c r="U305" s="518">
        <v>0.7</v>
      </c>
      <c r="V305" s="76">
        <v>0</v>
      </c>
      <c r="W305" s="76">
        <v>0</v>
      </c>
      <c r="X305" s="76"/>
      <c r="Y305" s="516" t="s">
        <v>470</v>
      </c>
    </row>
    <row r="306" spans="1:25" x14ac:dyDescent="0.25">
      <c r="A306" s="75" t="str">
        <f t="shared" si="11"/>
        <v>Adquisicion PF No_Premier Nómina Especial Cofinavit Pago_Fijo_Puntual 15</v>
      </c>
      <c r="B306" s="75" t="str">
        <f t="shared" si="10"/>
        <v>Adquisicion PF No_Premier Nómina Especial Cofinavit Pago_Fijo_Puntual 15 0.0945</v>
      </c>
      <c r="C306" s="75" t="s">
        <v>114</v>
      </c>
      <c r="D306" s="75" t="s">
        <v>132</v>
      </c>
      <c r="E306" s="75" t="s">
        <v>179</v>
      </c>
      <c r="F306" s="75" t="s">
        <v>182</v>
      </c>
      <c r="G306" s="75" t="s">
        <v>113</v>
      </c>
      <c r="H306" s="75"/>
      <c r="I306" s="75" t="s">
        <v>171</v>
      </c>
      <c r="J306" s="76">
        <v>15</v>
      </c>
      <c r="K306" s="516" t="s">
        <v>385</v>
      </c>
      <c r="L306" s="517">
        <v>10.61</v>
      </c>
      <c r="M306" s="517">
        <v>11.27</v>
      </c>
      <c r="N306" s="518">
        <v>9.4500000000000001E-2</v>
      </c>
      <c r="O306" s="518">
        <v>0.09</v>
      </c>
      <c r="P306" s="518">
        <v>0.10050000000000001</v>
      </c>
      <c r="Q306" s="78">
        <v>0.44</v>
      </c>
      <c r="R306" s="78">
        <v>0.31740000000000002</v>
      </c>
      <c r="S306" s="69">
        <v>2.5000000000000001E-2</v>
      </c>
      <c r="T306" s="69">
        <v>5.0000000000000001E-3</v>
      </c>
      <c r="U306" s="518">
        <v>0.7</v>
      </c>
      <c r="V306" s="76">
        <v>0</v>
      </c>
      <c r="W306" s="76">
        <v>0</v>
      </c>
      <c r="X306" s="76"/>
      <c r="Y306" s="516" t="s">
        <v>470</v>
      </c>
    </row>
    <row r="307" spans="1:25" x14ac:dyDescent="0.25">
      <c r="A307" s="75" t="str">
        <f t="shared" si="11"/>
        <v>Adquisicion PF No_Premier Nómina Especial Cofinavit Pago_Fijo_Puntual 15</v>
      </c>
      <c r="B307" s="75" t="str">
        <f t="shared" si="10"/>
        <v>Adquisicion PF No_Premier Nómina Especial Cofinavit Pago_Fijo_Puntual 15 0.101</v>
      </c>
      <c r="C307" s="75" t="s">
        <v>114</v>
      </c>
      <c r="D307" s="75" t="s">
        <v>132</v>
      </c>
      <c r="E307" s="75" t="s">
        <v>179</v>
      </c>
      <c r="F307" s="75" t="s">
        <v>182</v>
      </c>
      <c r="G307" s="75" t="s">
        <v>113</v>
      </c>
      <c r="H307" s="75"/>
      <c r="I307" s="75" t="s">
        <v>171</v>
      </c>
      <c r="J307" s="76">
        <v>15</v>
      </c>
      <c r="K307" s="516" t="s">
        <v>386</v>
      </c>
      <c r="L307" s="517">
        <v>11.05</v>
      </c>
      <c r="M307" s="517">
        <v>11.71</v>
      </c>
      <c r="N307" s="518">
        <v>0.10100000000000001</v>
      </c>
      <c r="O307" s="518">
        <v>9.8000000000000004E-2</v>
      </c>
      <c r="P307" s="518">
        <v>0.11</v>
      </c>
      <c r="Q307" s="78">
        <v>0.44</v>
      </c>
      <c r="R307" s="78">
        <v>0.31740000000000002</v>
      </c>
      <c r="S307" s="69">
        <v>2.5000000000000001E-2</v>
      </c>
      <c r="T307" s="69">
        <v>5.0000000000000001E-3</v>
      </c>
      <c r="U307" s="518">
        <v>0.7</v>
      </c>
      <c r="V307" s="76">
        <v>0</v>
      </c>
      <c r="W307" s="76">
        <v>0</v>
      </c>
      <c r="X307" s="76"/>
      <c r="Y307" s="516" t="s">
        <v>470</v>
      </c>
    </row>
    <row r="308" spans="1:25" x14ac:dyDescent="0.25">
      <c r="A308" s="75" t="str">
        <f t="shared" si="11"/>
        <v>Adquisicion PF No_Premier Nómina Especial Cofinavit Pago_Fijo_Puntual 10</v>
      </c>
      <c r="B308" s="75" t="str">
        <f t="shared" si="10"/>
        <v>Adquisicion PF No_Premier Nómina Especial Cofinavit Pago_Fijo_Puntual 10 0.0945</v>
      </c>
      <c r="C308" s="75" t="s">
        <v>114</v>
      </c>
      <c r="D308" s="75" t="s">
        <v>132</v>
      </c>
      <c r="E308" s="75" t="s">
        <v>179</v>
      </c>
      <c r="F308" s="75" t="s">
        <v>182</v>
      </c>
      <c r="G308" s="75" t="s">
        <v>113</v>
      </c>
      <c r="H308" s="75"/>
      <c r="I308" s="75" t="s">
        <v>171</v>
      </c>
      <c r="J308" s="76">
        <v>10</v>
      </c>
      <c r="K308" s="516" t="s">
        <v>385</v>
      </c>
      <c r="L308" s="517">
        <v>13.05</v>
      </c>
      <c r="M308" s="517">
        <v>13.71</v>
      </c>
      <c r="N308" s="518">
        <v>9.4500000000000001E-2</v>
      </c>
      <c r="O308" s="518">
        <v>0.09</v>
      </c>
      <c r="P308" s="518">
        <v>0.10050000000000001</v>
      </c>
      <c r="Q308" s="78">
        <v>0.44</v>
      </c>
      <c r="R308" s="78">
        <v>0.31740000000000002</v>
      </c>
      <c r="S308" s="69">
        <v>2.5000000000000001E-2</v>
      </c>
      <c r="T308" s="69">
        <v>5.0000000000000001E-3</v>
      </c>
      <c r="U308" s="518">
        <v>0.7</v>
      </c>
      <c r="V308" s="76">
        <v>0</v>
      </c>
      <c r="W308" s="76">
        <v>0</v>
      </c>
      <c r="X308" s="76"/>
      <c r="Y308" s="516" t="s">
        <v>470</v>
      </c>
    </row>
    <row r="309" spans="1:25" x14ac:dyDescent="0.25">
      <c r="A309" s="75" t="str">
        <f t="shared" si="11"/>
        <v>Adquisicion PF No_Premier Nómina Especial Cofinavit Pago_Fijo_Puntual 10</v>
      </c>
      <c r="B309" s="75" t="str">
        <f t="shared" si="10"/>
        <v>Adquisicion PF No_Premier Nómina Especial Cofinavit Pago_Fijo_Puntual 10 0.101</v>
      </c>
      <c r="C309" s="75" t="s">
        <v>114</v>
      </c>
      <c r="D309" s="75" t="s">
        <v>132</v>
      </c>
      <c r="E309" s="75" t="s">
        <v>179</v>
      </c>
      <c r="F309" s="75" t="s">
        <v>182</v>
      </c>
      <c r="G309" s="75" t="s">
        <v>113</v>
      </c>
      <c r="H309" s="75"/>
      <c r="I309" s="75" t="s">
        <v>171</v>
      </c>
      <c r="J309" s="76">
        <v>10</v>
      </c>
      <c r="K309" s="516" t="s">
        <v>386</v>
      </c>
      <c r="L309" s="517">
        <v>13.42</v>
      </c>
      <c r="M309" s="517">
        <v>14.08</v>
      </c>
      <c r="N309" s="518">
        <v>0.10100000000000001</v>
      </c>
      <c r="O309" s="518">
        <v>9.8000000000000004E-2</v>
      </c>
      <c r="P309" s="518">
        <v>0.11</v>
      </c>
      <c r="Q309" s="78">
        <v>0.44</v>
      </c>
      <c r="R309" s="78">
        <v>0.31740000000000002</v>
      </c>
      <c r="S309" s="69">
        <v>2.5000000000000001E-2</v>
      </c>
      <c r="T309" s="69">
        <v>5.0000000000000001E-3</v>
      </c>
      <c r="U309" s="518">
        <v>0.7</v>
      </c>
      <c r="V309" s="76">
        <v>0</v>
      </c>
      <c r="W309" s="76">
        <v>0</v>
      </c>
      <c r="X309" s="76"/>
      <c r="Y309" s="516" t="s">
        <v>470</v>
      </c>
    </row>
    <row r="310" spans="1:25" x14ac:dyDescent="0.25">
      <c r="A310" s="75" t="str">
        <f t="shared" si="11"/>
        <v>Adquisicion PF No_Premier Nómina Especial Cofinavit Pago_Fijo_Puntual 5</v>
      </c>
      <c r="B310" s="75" t="str">
        <f t="shared" si="10"/>
        <v>Adquisicion PF No_Premier Nómina Especial Cofinavit Pago_Fijo_Puntual 5 0.0945</v>
      </c>
      <c r="C310" s="75" t="s">
        <v>114</v>
      </c>
      <c r="D310" s="75" t="s">
        <v>132</v>
      </c>
      <c r="E310" s="75" t="s">
        <v>179</v>
      </c>
      <c r="F310" s="75" t="s">
        <v>182</v>
      </c>
      <c r="G310" s="75" t="s">
        <v>113</v>
      </c>
      <c r="H310" s="75"/>
      <c r="I310" s="75" t="s">
        <v>171</v>
      </c>
      <c r="J310" s="76">
        <v>5</v>
      </c>
      <c r="K310" s="516" t="s">
        <v>385</v>
      </c>
      <c r="L310" s="517">
        <v>21.02</v>
      </c>
      <c r="M310" s="517">
        <v>21.68</v>
      </c>
      <c r="N310" s="518">
        <v>9.4500000000000001E-2</v>
      </c>
      <c r="O310" s="518">
        <v>0.09</v>
      </c>
      <c r="P310" s="518">
        <v>0.10050000000000001</v>
      </c>
      <c r="Q310" s="78">
        <v>0.44</v>
      </c>
      <c r="R310" s="78">
        <v>0.31740000000000002</v>
      </c>
      <c r="S310" s="69">
        <v>2.5000000000000001E-2</v>
      </c>
      <c r="T310" s="69">
        <v>5.0000000000000001E-3</v>
      </c>
      <c r="U310" s="518">
        <v>0.7</v>
      </c>
      <c r="V310" s="76">
        <v>0</v>
      </c>
      <c r="W310" s="76">
        <v>0</v>
      </c>
      <c r="X310" s="76"/>
      <c r="Y310" s="516" t="s">
        <v>470</v>
      </c>
    </row>
    <row r="311" spans="1:25" x14ac:dyDescent="0.25">
      <c r="A311" s="75" t="str">
        <f t="shared" si="11"/>
        <v>Adquisicion PF No_Premier Nómina Especial Cofinavit Pago_Fijo_Puntual 5</v>
      </c>
      <c r="B311" s="75" t="str">
        <f t="shared" si="10"/>
        <v>Adquisicion PF No_Premier Nómina Especial Cofinavit Pago_Fijo_Puntual 5 0.101</v>
      </c>
      <c r="C311" s="75" t="s">
        <v>114</v>
      </c>
      <c r="D311" s="75" t="s">
        <v>132</v>
      </c>
      <c r="E311" s="75" t="s">
        <v>179</v>
      </c>
      <c r="F311" s="75" t="s">
        <v>182</v>
      </c>
      <c r="G311" s="75" t="s">
        <v>113</v>
      </c>
      <c r="H311" s="75"/>
      <c r="I311" s="75" t="s">
        <v>171</v>
      </c>
      <c r="J311" s="76">
        <v>5</v>
      </c>
      <c r="K311" s="516" t="s">
        <v>386</v>
      </c>
      <c r="L311" s="517">
        <v>21.34</v>
      </c>
      <c r="M311" s="517">
        <v>22</v>
      </c>
      <c r="N311" s="518">
        <v>0.10100000000000001</v>
      </c>
      <c r="O311" s="518">
        <v>9.8000000000000004E-2</v>
      </c>
      <c r="P311" s="518">
        <v>0.11</v>
      </c>
      <c r="Q311" s="78">
        <v>0.44</v>
      </c>
      <c r="R311" s="78">
        <v>0.31740000000000002</v>
      </c>
      <c r="S311" s="69">
        <v>2.5000000000000001E-2</v>
      </c>
      <c r="T311" s="69">
        <v>5.0000000000000001E-3</v>
      </c>
      <c r="U311" s="518">
        <v>0.7</v>
      </c>
      <c r="V311" s="76">
        <v>0</v>
      </c>
      <c r="W311" s="76">
        <v>0</v>
      </c>
      <c r="X311" s="76"/>
      <c r="Y311" s="516" t="s">
        <v>470</v>
      </c>
    </row>
    <row r="312" spans="1:25" x14ac:dyDescent="0.25">
      <c r="A312" s="75" t="str">
        <f t="shared" si="11"/>
        <v>Adquisicion PF No_Premier Nómina Especial Cofinavit Pago_Bajo_Puntual 25</v>
      </c>
      <c r="B312" s="75" t="str">
        <f t="shared" si="10"/>
        <v>Adquisicion PF No_Premier Nómina Especial Cofinavit Pago_Bajo_Puntual 25 0.0945</v>
      </c>
      <c r="C312" s="75" t="s">
        <v>114</v>
      </c>
      <c r="D312" s="75" t="s">
        <v>132</v>
      </c>
      <c r="E312" s="75" t="s">
        <v>179</v>
      </c>
      <c r="F312" s="75" t="s">
        <v>182</v>
      </c>
      <c r="G312" s="75" t="s">
        <v>113</v>
      </c>
      <c r="H312" s="75"/>
      <c r="I312" s="75" t="s">
        <v>170</v>
      </c>
      <c r="J312" s="523">
        <v>25</v>
      </c>
      <c r="K312" s="516" t="s">
        <v>385</v>
      </c>
      <c r="L312" s="517">
        <v>7.93</v>
      </c>
      <c r="M312" s="517">
        <v>8.59</v>
      </c>
      <c r="N312" s="518">
        <v>9.4500000000000001E-2</v>
      </c>
      <c r="O312" s="518">
        <v>0.09</v>
      </c>
      <c r="P312" s="518">
        <v>0.10050000000000001</v>
      </c>
      <c r="Q312" s="78">
        <v>0.44</v>
      </c>
      <c r="R312" s="78">
        <v>0.31740000000000002</v>
      </c>
      <c r="S312" s="69">
        <v>2.5000000000000001E-2</v>
      </c>
      <c r="T312" s="69">
        <v>5.0000000000000001E-3</v>
      </c>
      <c r="U312" s="518">
        <v>0.7</v>
      </c>
      <c r="V312" s="76">
        <v>0</v>
      </c>
      <c r="W312" s="76">
        <v>0</v>
      </c>
      <c r="X312" s="76"/>
      <c r="Y312" s="516" t="s">
        <v>470</v>
      </c>
    </row>
    <row r="313" spans="1:25" x14ac:dyDescent="0.25">
      <c r="A313" s="75" t="str">
        <f t="shared" si="11"/>
        <v>Adquisicion PF No_Premier Nómina Especial Cofinavit Pago_Bajo_Puntual 25</v>
      </c>
      <c r="B313" s="75" t="str">
        <f t="shared" si="10"/>
        <v>Adquisicion PF No_Premier Nómina Especial Cofinavit Pago_Bajo_Puntual 25 0.101</v>
      </c>
      <c r="C313" s="75" t="s">
        <v>114</v>
      </c>
      <c r="D313" s="75" t="s">
        <v>132</v>
      </c>
      <c r="E313" s="75" t="s">
        <v>179</v>
      </c>
      <c r="F313" s="75" t="s">
        <v>182</v>
      </c>
      <c r="G313" s="75" t="s">
        <v>113</v>
      </c>
      <c r="H313" s="75"/>
      <c r="I313" s="75" t="s">
        <v>170</v>
      </c>
      <c r="J313" s="523">
        <v>25</v>
      </c>
      <c r="K313" s="516" t="s">
        <v>386</v>
      </c>
      <c r="L313" s="517">
        <v>8.4700000000000006</v>
      </c>
      <c r="M313" s="517">
        <v>9.1300000000000008</v>
      </c>
      <c r="N313" s="518">
        <v>0.10100000000000001</v>
      </c>
      <c r="O313" s="518">
        <v>9.8000000000000004E-2</v>
      </c>
      <c r="P313" s="518">
        <v>0.11</v>
      </c>
      <c r="Q313" s="78">
        <v>0.44</v>
      </c>
      <c r="R313" s="78">
        <v>0.31740000000000002</v>
      </c>
      <c r="S313" s="69">
        <v>2.5000000000000001E-2</v>
      </c>
      <c r="T313" s="69">
        <v>5.0000000000000001E-3</v>
      </c>
      <c r="U313" s="518">
        <v>0.7</v>
      </c>
      <c r="V313" s="76">
        <v>0</v>
      </c>
      <c r="W313" s="76">
        <v>0</v>
      </c>
      <c r="X313" s="76"/>
      <c r="Y313" s="516" t="s">
        <v>470</v>
      </c>
    </row>
    <row r="314" spans="1:25" x14ac:dyDescent="0.25">
      <c r="A314" s="75" t="str">
        <f t="shared" si="11"/>
        <v>Adquisicion PF No_Premier Nómina Especial Cofinavit Pago_Bajo_Puntual 20</v>
      </c>
      <c r="B314" s="75" t="str">
        <f t="shared" si="10"/>
        <v>Adquisicion PF No_Premier Nómina Especial Cofinavit Pago_Bajo_Puntual 20 0.0945</v>
      </c>
      <c r="C314" s="75" t="s">
        <v>114</v>
      </c>
      <c r="D314" s="75" t="s">
        <v>132</v>
      </c>
      <c r="E314" s="75" t="s">
        <v>179</v>
      </c>
      <c r="F314" s="75" t="s">
        <v>182</v>
      </c>
      <c r="G314" s="75" t="s">
        <v>113</v>
      </c>
      <c r="H314" s="75"/>
      <c r="I314" s="75" t="s">
        <v>170</v>
      </c>
      <c r="J314" s="76">
        <v>20</v>
      </c>
      <c r="K314" s="516" t="s">
        <v>385</v>
      </c>
      <c r="L314" s="517">
        <v>8.4</v>
      </c>
      <c r="M314" s="517">
        <v>9.06</v>
      </c>
      <c r="N314" s="518">
        <v>9.4500000000000001E-2</v>
      </c>
      <c r="O314" s="518">
        <v>0.09</v>
      </c>
      <c r="P314" s="518">
        <v>0.10050000000000001</v>
      </c>
      <c r="Q314" s="78">
        <v>0.44</v>
      </c>
      <c r="R314" s="78">
        <v>0.31740000000000002</v>
      </c>
      <c r="S314" s="69">
        <v>2.5000000000000001E-2</v>
      </c>
      <c r="T314" s="69">
        <v>5.0000000000000001E-3</v>
      </c>
      <c r="U314" s="518">
        <v>0.7</v>
      </c>
      <c r="V314" s="76">
        <v>0</v>
      </c>
      <c r="W314" s="76">
        <v>0</v>
      </c>
      <c r="X314" s="76"/>
      <c r="Y314" s="516" t="s">
        <v>470</v>
      </c>
    </row>
    <row r="315" spans="1:25" x14ac:dyDescent="0.25">
      <c r="A315" s="75" t="str">
        <f t="shared" si="11"/>
        <v>Adquisicion PF No_Premier Nómina Especial Cofinavit Pago_Bajo_Puntual 20</v>
      </c>
      <c r="B315" s="75" t="str">
        <f t="shared" si="10"/>
        <v>Adquisicion PF No_Premier Nómina Especial Cofinavit Pago_Bajo_Puntual 20 0.101</v>
      </c>
      <c r="C315" s="75" t="s">
        <v>114</v>
      </c>
      <c r="D315" s="75" t="s">
        <v>132</v>
      </c>
      <c r="E315" s="75" t="s">
        <v>179</v>
      </c>
      <c r="F315" s="75" t="s">
        <v>182</v>
      </c>
      <c r="G315" s="75" t="s">
        <v>113</v>
      </c>
      <c r="H315" s="75"/>
      <c r="I315" s="75" t="s">
        <v>170</v>
      </c>
      <c r="J315" s="76">
        <v>20</v>
      </c>
      <c r="K315" s="516" t="s">
        <v>386</v>
      </c>
      <c r="L315" s="517">
        <v>8.8800000000000008</v>
      </c>
      <c r="M315" s="517">
        <v>9.5399999999999991</v>
      </c>
      <c r="N315" s="518">
        <v>0.10100000000000001</v>
      </c>
      <c r="O315" s="518">
        <v>9.8000000000000004E-2</v>
      </c>
      <c r="P315" s="518">
        <v>0.11</v>
      </c>
      <c r="Q315" s="78">
        <v>0.44</v>
      </c>
      <c r="R315" s="78">
        <v>0.31740000000000002</v>
      </c>
      <c r="S315" s="69">
        <v>2.5000000000000001E-2</v>
      </c>
      <c r="T315" s="69">
        <v>5.0000000000000001E-3</v>
      </c>
      <c r="U315" s="518">
        <v>0.7</v>
      </c>
      <c r="V315" s="76">
        <v>0</v>
      </c>
      <c r="W315" s="76">
        <v>0</v>
      </c>
      <c r="X315" s="76"/>
      <c r="Y315" s="516" t="s">
        <v>470</v>
      </c>
    </row>
    <row r="316" spans="1:25" x14ac:dyDescent="0.25">
      <c r="A316" s="75" t="str">
        <f t="shared" si="11"/>
        <v>Adquisicion PF No_Premier Nómina Especial Cofinavit Pago_Bajo_Puntual 15</v>
      </c>
      <c r="B316" s="75" t="str">
        <f t="shared" si="10"/>
        <v>Adquisicion PF No_Premier Nómina Especial Cofinavit Pago_Bajo_Puntual 15 0.0945</v>
      </c>
      <c r="C316" s="75" t="s">
        <v>114</v>
      </c>
      <c r="D316" s="75" t="s">
        <v>132</v>
      </c>
      <c r="E316" s="75" t="s">
        <v>179</v>
      </c>
      <c r="F316" s="75" t="s">
        <v>182</v>
      </c>
      <c r="G316" s="75" t="s">
        <v>113</v>
      </c>
      <c r="H316" s="75"/>
      <c r="I316" s="75" t="s">
        <v>170</v>
      </c>
      <c r="J316" s="76">
        <v>15</v>
      </c>
      <c r="K316" s="516" t="s">
        <v>385</v>
      </c>
      <c r="L316" s="517">
        <v>9.59</v>
      </c>
      <c r="M316" s="517">
        <v>10.25</v>
      </c>
      <c r="N316" s="518">
        <v>9.4500000000000001E-2</v>
      </c>
      <c r="O316" s="518">
        <v>0.09</v>
      </c>
      <c r="P316" s="518">
        <v>0.10050000000000001</v>
      </c>
      <c r="Q316" s="78">
        <v>0.44</v>
      </c>
      <c r="R316" s="78">
        <v>0.31740000000000002</v>
      </c>
      <c r="S316" s="69">
        <v>2.5000000000000001E-2</v>
      </c>
      <c r="T316" s="69">
        <v>5.0000000000000001E-3</v>
      </c>
      <c r="U316" s="518">
        <v>0.7</v>
      </c>
      <c r="V316" s="76">
        <v>0</v>
      </c>
      <c r="W316" s="76">
        <v>0</v>
      </c>
      <c r="X316" s="76"/>
      <c r="Y316" s="516" t="s">
        <v>470</v>
      </c>
    </row>
    <row r="317" spans="1:25" x14ac:dyDescent="0.25">
      <c r="A317" s="75" t="str">
        <f t="shared" si="11"/>
        <v>Adquisicion PF No_Premier Nómina Especial Cofinavit Pago_Bajo_Puntual 15</v>
      </c>
      <c r="B317" s="75" t="str">
        <f t="shared" si="10"/>
        <v>Adquisicion PF No_Premier Nómina Especial Cofinavit Pago_Bajo_Puntual 15 0.101</v>
      </c>
      <c r="C317" s="75" t="s">
        <v>114</v>
      </c>
      <c r="D317" s="75" t="s">
        <v>132</v>
      </c>
      <c r="E317" s="75" t="s">
        <v>179</v>
      </c>
      <c r="F317" s="75" t="s">
        <v>182</v>
      </c>
      <c r="G317" s="75" t="s">
        <v>113</v>
      </c>
      <c r="H317" s="75"/>
      <c r="I317" s="75" t="s">
        <v>170</v>
      </c>
      <c r="J317" s="76">
        <v>15</v>
      </c>
      <c r="K317" s="516" t="s">
        <v>386</v>
      </c>
      <c r="L317" s="517">
        <v>10.01</v>
      </c>
      <c r="M317" s="517">
        <v>10.67</v>
      </c>
      <c r="N317" s="518">
        <v>0.10100000000000001</v>
      </c>
      <c r="O317" s="518">
        <v>9.8000000000000004E-2</v>
      </c>
      <c r="P317" s="518">
        <v>0.11</v>
      </c>
      <c r="Q317" s="78">
        <v>0.44</v>
      </c>
      <c r="R317" s="78">
        <v>0.31740000000000002</v>
      </c>
      <c r="S317" s="69">
        <v>2.5000000000000001E-2</v>
      </c>
      <c r="T317" s="69">
        <v>5.0000000000000001E-3</v>
      </c>
      <c r="U317" s="518">
        <v>0.7</v>
      </c>
      <c r="V317" s="76">
        <v>0</v>
      </c>
      <c r="W317" s="76">
        <v>0</v>
      </c>
      <c r="X317" s="76"/>
      <c r="Y317" s="516" t="s">
        <v>470</v>
      </c>
    </row>
    <row r="318" spans="1:25" x14ac:dyDescent="0.25">
      <c r="A318" s="75" t="str">
        <f t="shared" si="11"/>
        <v>Adquisicion PF No_Premier Nómina Especial Cofinavit Pago_Bajo_Puntual 10</v>
      </c>
      <c r="B318" s="75" t="str">
        <f t="shared" si="10"/>
        <v>Adquisicion PF No_Premier Nómina Especial Cofinavit Pago_Bajo_Puntual 10 0.0945</v>
      </c>
      <c r="C318" s="75" t="s">
        <v>114</v>
      </c>
      <c r="D318" s="75" t="s">
        <v>132</v>
      </c>
      <c r="E318" s="75" t="s">
        <v>179</v>
      </c>
      <c r="F318" s="75" t="s">
        <v>182</v>
      </c>
      <c r="G318" s="75" t="s">
        <v>113</v>
      </c>
      <c r="H318" s="75"/>
      <c r="I318" s="75" t="s">
        <v>170</v>
      </c>
      <c r="J318" s="76">
        <v>10</v>
      </c>
      <c r="K318" s="516" t="s">
        <v>385</v>
      </c>
      <c r="L318" s="517">
        <v>12.15</v>
      </c>
      <c r="M318" s="517">
        <v>12.81</v>
      </c>
      <c r="N318" s="518">
        <v>9.4500000000000001E-2</v>
      </c>
      <c r="O318" s="518">
        <v>0.09</v>
      </c>
      <c r="P318" s="518">
        <v>0.10050000000000001</v>
      </c>
      <c r="Q318" s="78">
        <v>0.44</v>
      </c>
      <c r="R318" s="78">
        <v>0.31740000000000002</v>
      </c>
      <c r="S318" s="69">
        <v>2.5000000000000001E-2</v>
      </c>
      <c r="T318" s="69">
        <v>5.0000000000000001E-3</v>
      </c>
      <c r="U318" s="518">
        <v>0.7</v>
      </c>
      <c r="V318" s="76">
        <v>0</v>
      </c>
      <c r="W318" s="76">
        <v>0</v>
      </c>
      <c r="X318" s="76"/>
      <c r="Y318" s="516" t="s">
        <v>470</v>
      </c>
    </row>
    <row r="319" spans="1:25" x14ac:dyDescent="0.25">
      <c r="A319" s="75" t="str">
        <f t="shared" si="11"/>
        <v>Adquisicion PF No_Premier Nómina Especial Cofinavit Pago_Bajo_Puntual 10</v>
      </c>
      <c r="B319" s="75" t="str">
        <f t="shared" si="10"/>
        <v>Adquisicion PF No_Premier Nómina Especial Cofinavit Pago_Bajo_Puntual 10 0.101</v>
      </c>
      <c r="C319" s="75" t="s">
        <v>114</v>
      </c>
      <c r="D319" s="75" t="s">
        <v>132</v>
      </c>
      <c r="E319" s="75" t="s">
        <v>179</v>
      </c>
      <c r="F319" s="75" t="s">
        <v>182</v>
      </c>
      <c r="G319" s="75" t="s">
        <v>113</v>
      </c>
      <c r="H319" s="75"/>
      <c r="I319" s="75" t="s">
        <v>170</v>
      </c>
      <c r="J319" s="76">
        <v>10</v>
      </c>
      <c r="K319" s="516" t="s">
        <v>386</v>
      </c>
      <c r="L319" s="517">
        <v>12.51</v>
      </c>
      <c r="M319" s="517">
        <v>13.17</v>
      </c>
      <c r="N319" s="518">
        <v>0.10100000000000001</v>
      </c>
      <c r="O319" s="518">
        <v>9.8000000000000004E-2</v>
      </c>
      <c r="P319" s="518">
        <v>0.11</v>
      </c>
      <c r="Q319" s="78">
        <v>0.44</v>
      </c>
      <c r="R319" s="78">
        <v>0.31740000000000002</v>
      </c>
      <c r="S319" s="69">
        <v>2.5000000000000001E-2</v>
      </c>
      <c r="T319" s="69">
        <v>5.0000000000000001E-3</v>
      </c>
      <c r="U319" s="518">
        <v>0.7</v>
      </c>
      <c r="V319" s="76">
        <v>0</v>
      </c>
      <c r="W319" s="76">
        <v>0</v>
      </c>
      <c r="X319" s="76"/>
      <c r="Y319" s="516" t="s">
        <v>470</v>
      </c>
    </row>
    <row r="320" spans="1:25" x14ac:dyDescent="0.25">
      <c r="A320" s="75" t="str">
        <f t="shared" si="11"/>
        <v>Adquisicion PF No_Premier Nómina Especial Cofinavit Pago_Bajo_Puntual 5</v>
      </c>
      <c r="B320" s="75" t="str">
        <f t="shared" si="10"/>
        <v>Adquisicion PF No_Premier Nómina Especial Cofinavit Pago_Bajo_Puntual 5 0.0945</v>
      </c>
      <c r="C320" s="75" t="s">
        <v>114</v>
      </c>
      <c r="D320" s="75" t="s">
        <v>132</v>
      </c>
      <c r="E320" s="75" t="s">
        <v>179</v>
      </c>
      <c r="F320" s="75" t="s">
        <v>182</v>
      </c>
      <c r="G320" s="75" t="s">
        <v>113</v>
      </c>
      <c r="H320" s="75"/>
      <c r="I320" s="75" t="s">
        <v>170</v>
      </c>
      <c r="J320" s="76">
        <v>5</v>
      </c>
      <c r="K320" s="516" t="s">
        <v>385</v>
      </c>
      <c r="L320" s="517">
        <v>20.309999999999999</v>
      </c>
      <c r="M320" s="517">
        <v>20.97</v>
      </c>
      <c r="N320" s="518">
        <v>9.4500000000000001E-2</v>
      </c>
      <c r="O320" s="518">
        <v>0.09</v>
      </c>
      <c r="P320" s="518">
        <v>0.10050000000000001</v>
      </c>
      <c r="Q320" s="78">
        <v>0.44</v>
      </c>
      <c r="R320" s="78">
        <v>0.31740000000000002</v>
      </c>
      <c r="S320" s="69">
        <v>2.5000000000000001E-2</v>
      </c>
      <c r="T320" s="69">
        <v>5.0000000000000001E-3</v>
      </c>
      <c r="U320" s="518">
        <v>0.7</v>
      </c>
      <c r="V320" s="76">
        <v>0</v>
      </c>
      <c r="W320" s="76">
        <v>0</v>
      </c>
      <c r="X320" s="76"/>
      <c r="Y320" s="516" t="s">
        <v>470</v>
      </c>
    </row>
    <row r="321" spans="1:25" x14ac:dyDescent="0.25">
      <c r="A321" s="75" t="str">
        <f t="shared" si="11"/>
        <v>Adquisicion PF No_Premier Nómina Especial Cofinavit Pago_Bajo_Puntual 5</v>
      </c>
      <c r="B321" s="75" t="str">
        <f t="shared" si="10"/>
        <v>Adquisicion PF No_Premier Nómina Especial Cofinavit Pago_Bajo_Puntual 5 0.101</v>
      </c>
      <c r="C321" s="75" t="s">
        <v>114</v>
      </c>
      <c r="D321" s="75" t="s">
        <v>132</v>
      </c>
      <c r="E321" s="75" t="s">
        <v>179</v>
      </c>
      <c r="F321" s="75" t="s">
        <v>182</v>
      </c>
      <c r="G321" s="75" t="s">
        <v>113</v>
      </c>
      <c r="H321" s="75"/>
      <c r="I321" s="75" t="s">
        <v>170</v>
      </c>
      <c r="J321" s="76">
        <v>5</v>
      </c>
      <c r="K321" s="516" t="s">
        <v>386</v>
      </c>
      <c r="L321" s="517">
        <v>20.62</v>
      </c>
      <c r="M321" s="517">
        <v>21.28</v>
      </c>
      <c r="N321" s="518">
        <v>0.10100000000000001</v>
      </c>
      <c r="O321" s="518">
        <v>9.8000000000000004E-2</v>
      </c>
      <c r="P321" s="518">
        <v>0.11</v>
      </c>
      <c r="Q321" s="78">
        <v>0.44</v>
      </c>
      <c r="R321" s="78">
        <v>0.31740000000000002</v>
      </c>
      <c r="S321" s="69">
        <v>2.5000000000000001E-2</v>
      </c>
      <c r="T321" s="69">
        <v>5.0000000000000001E-3</v>
      </c>
      <c r="U321" s="518">
        <v>0.7</v>
      </c>
      <c r="V321" s="76">
        <v>0</v>
      </c>
      <c r="W321" s="76">
        <v>0</v>
      </c>
      <c r="X321" s="76"/>
      <c r="Y321" s="516" t="s">
        <v>470</v>
      </c>
    </row>
    <row r="322" spans="1:25" x14ac:dyDescent="0.25">
      <c r="A322" s="75" t="str">
        <f t="shared" si="11"/>
        <v>Adquisicion PF No_Premier Normal Mercado_Abierto Pago_Fijo_Puntual Si 20</v>
      </c>
      <c r="B322" s="75" t="str">
        <f t="shared" ref="B322:B385" si="12">CONCATENATE(A322," ",N322)</f>
        <v>Adquisicion PF No_Premier Normal Mercado_Abierto Pago_Fijo_Puntual Si 20 0.103</v>
      </c>
      <c r="C322" s="75" t="s">
        <v>114</v>
      </c>
      <c r="D322" s="75" t="s">
        <v>132</v>
      </c>
      <c r="E322" s="75" t="s">
        <v>179</v>
      </c>
      <c r="F322" s="75" t="s">
        <v>180</v>
      </c>
      <c r="G322" s="75" t="s">
        <v>396</v>
      </c>
      <c r="H322" s="75"/>
      <c r="I322" s="75" t="s">
        <v>171</v>
      </c>
      <c r="J322" s="76">
        <v>20</v>
      </c>
      <c r="K322" s="519" t="s">
        <v>387</v>
      </c>
      <c r="L322" s="520">
        <v>10.16</v>
      </c>
      <c r="M322" s="520">
        <v>11.11</v>
      </c>
      <c r="N322" s="507">
        <v>0.10299999999999999</v>
      </c>
      <c r="O322" s="507">
        <v>0.1</v>
      </c>
      <c r="P322" s="507">
        <v>0.112</v>
      </c>
      <c r="Q322" s="78">
        <v>0.44</v>
      </c>
      <c r="R322" s="78">
        <v>0.31740000000000002</v>
      </c>
      <c r="S322" s="69">
        <v>2.5000000000000001E-2</v>
      </c>
      <c r="T322" s="69">
        <v>0.01</v>
      </c>
      <c r="U322" s="69">
        <v>0.9</v>
      </c>
      <c r="V322" s="76">
        <v>0</v>
      </c>
      <c r="W322" s="76">
        <v>250.00000000000003</v>
      </c>
      <c r="X322" s="76" t="s">
        <v>147</v>
      </c>
      <c r="Y322" s="519" t="s">
        <v>469</v>
      </c>
    </row>
    <row r="323" spans="1:25" x14ac:dyDescent="0.25">
      <c r="A323" s="75" t="str">
        <f t="shared" ref="A323:A386" si="13">TRIM(CONCATENATE(C323," ",D323," ",E323," ",F323," ",G323," ",I323," ",X323," ",J323))</f>
        <v>Adquisicion PF No_Premier Normal Mercado_Abierto Pago_Fijo_Puntual 20</v>
      </c>
      <c r="B323" s="75" t="str">
        <f t="shared" si="12"/>
        <v>Adquisicion PF No_Premier Normal Mercado_Abierto Pago_Fijo_Puntual 20 0.106</v>
      </c>
      <c r="C323" s="75" t="s">
        <v>114</v>
      </c>
      <c r="D323" s="75" t="s">
        <v>132</v>
      </c>
      <c r="E323" s="75" t="s">
        <v>179</v>
      </c>
      <c r="F323" s="75" t="s">
        <v>180</v>
      </c>
      <c r="G323" s="75" t="s">
        <v>396</v>
      </c>
      <c r="H323" s="75"/>
      <c r="I323" s="75" t="s">
        <v>171</v>
      </c>
      <c r="J323" s="76">
        <v>20</v>
      </c>
      <c r="K323" s="519">
        <v>3</v>
      </c>
      <c r="L323" s="520">
        <v>10.41</v>
      </c>
      <c r="M323" s="520">
        <v>11.36</v>
      </c>
      <c r="N323" s="507">
        <v>0.106</v>
      </c>
      <c r="O323" s="507">
        <v>0.10299999999999999</v>
      </c>
      <c r="P323" s="507">
        <v>0.11799999999999999</v>
      </c>
      <c r="Q323" s="78">
        <v>0.44</v>
      </c>
      <c r="R323" s="78">
        <v>0.31740000000000002</v>
      </c>
      <c r="S323" s="69">
        <v>2.5000000000000001E-2</v>
      </c>
      <c r="T323" s="69">
        <v>0.01</v>
      </c>
      <c r="U323" s="507">
        <v>0.85</v>
      </c>
      <c r="V323" s="76">
        <v>0</v>
      </c>
      <c r="W323" s="76">
        <v>250.00000000000003</v>
      </c>
      <c r="X323" s="76"/>
      <c r="Y323" s="519" t="s">
        <v>469</v>
      </c>
    </row>
    <row r="324" spans="1:25" x14ac:dyDescent="0.25">
      <c r="A324" s="75" t="str">
        <f t="shared" si="13"/>
        <v>Adquisicion PF No_Premier Normal Mercado_Abierto Pago_Fijo_Puntual Si 15</v>
      </c>
      <c r="B324" s="75" t="str">
        <f t="shared" si="12"/>
        <v>Adquisicion PF No_Premier Normal Mercado_Abierto Pago_Fijo_Puntual Si 15 0.103</v>
      </c>
      <c r="C324" s="75" t="s">
        <v>114</v>
      </c>
      <c r="D324" s="75" t="s">
        <v>132</v>
      </c>
      <c r="E324" s="75" t="s">
        <v>179</v>
      </c>
      <c r="F324" s="75" t="s">
        <v>180</v>
      </c>
      <c r="G324" s="75" t="s">
        <v>396</v>
      </c>
      <c r="H324" s="75"/>
      <c r="I324" s="75" t="s">
        <v>171</v>
      </c>
      <c r="J324" s="76">
        <v>15</v>
      </c>
      <c r="K324" s="519" t="s">
        <v>387</v>
      </c>
      <c r="L324" s="520">
        <v>11.18</v>
      </c>
      <c r="M324" s="520">
        <v>12.13</v>
      </c>
      <c r="N324" s="507">
        <v>0.10299999999999999</v>
      </c>
      <c r="O324" s="507">
        <v>0.1</v>
      </c>
      <c r="P324" s="507">
        <v>0.112</v>
      </c>
      <c r="Q324" s="78">
        <v>0.44</v>
      </c>
      <c r="R324" s="78">
        <v>0.31740000000000002</v>
      </c>
      <c r="S324" s="69">
        <v>2.5000000000000001E-2</v>
      </c>
      <c r="T324" s="69">
        <v>0.01</v>
      </c>
      <c r="U324" s="507">
        <v>0.9</v>
      </c>
      <c r="V324" s="76">
        <v>0</v>
      </c>
      <c r="W324" s="76">
        <v>250.00000000000003</v>
      </c>
      <c r="X324" s="76" t="s">
        <v>147</v>
      </c>
      <c r="Y324" s="519" t="s">
        <v>469</v>
      </c>
    </row>
    <row r="325" spans="1:25" x14ac:dyDescent="0.25">
      <c r="A325" s="75" t="str">
        <f t="shared" si="13"/>
        <v>Adquisicion PF No_Premier Normal Mercado_Abierto Pago_Fijo_Puntual 15</v>
      </c>
      <c r="B325" s="75" t="str">
        <f t="shared" si="12"/>
        <v>Adquisicion PF No_Premier Normal Mercado_Abierto Pago_Fijo_Puntual 15 0.106</v>
      </c>
      <c r="C325" s="75" t="s">
        <v>114</v>
      </c>
      <c r="D325" s="75" t="s">
        <v>132</v>
      </c>
      <c r="E325" s="75" t="s">
        <v>179</v>
      </c>
      <c r="F325" s="75" t="s">
        <v>180</v>
      </c>
      <c r="G325" s="75" t="s">
        <v>396</v>
      </c>
      <c r="H325" s="75"/>
      <c r="I325" s="75" t="s">
        <v>171</v>
      </c>
      <c r="J325" s="76">
        <v>15</v>
      </c>
      <c r="K325" s="519">
        <v>3</v>
      </c>
      <c r="L325" s="520">
        <v>11.39</v>
      </c>
      <c r="M325" s="520">
        <v>12.34</v>
      </c>
      <c r="N325" s="507">
        <v>0.106</v>
      </c>
      <c r="O325" s="507">
        <v>0.10299999999999999</v>
      </c>
      <c r="P325" s="507">
        <v>0.11799999999999999</v>
      </c>
      <c r="Q325" s="78">
        <v>0.44</v>
      </c>
      <c r="R325" s="78">
        <v>0.31740000000000002</v>
      </c>
      <c r="S325" s="69">
        <v>2.5000000000000001E-2</v>
      </c>
      <c r="T325" s="69">
        <v>0.01</v>
      </c>
      <c r="U325" s="507">
        <v>0.85</v>
      </c>
      <c r="V325" s="76">
        <v>0</v>
      </c>
      <c r="W325" s="76">
        <v>250.00000000000003</v>
      </c>
      <c r="X325" s="76"/>
      <c r="Y325" s="519" t="s">
        <v>469</v>
      </c>
    </row>
    <row r="326" spans="1:25" x14ac:dyDescent="0.25">
      <c r="A326" s="75" t="str">
        <f t="shared" si="13"/>
        <v>Adquisicion PF No_Premier Normal Mercado_Abierto Pago_Fijo_Puntual Si 10</v>
      </c>
      <c r="B326" s="75" t="str">
        <f t="shared" si="12"/>
        <v>Adquisicion PF No_Premier Normal Mercado_Abierto Pago_Fijo_Puntual Si 10 0.103</v>
      </c>
      <c r="C326" s="75" t="s">
        <v>114</v>
      </c>
      <c r="D326" s="75" t="s">
        <v>132</v>
      </c>
      <c r="E326" s="75" t="s">
        <v>179</v>
      </c>
      <c r="F326" s="75" t="s">
        <v>180</v>
      </c>
      <c r="G326" s="75" t="s">
        <v>396</v>
      </c>
      <c r="H326" s="75"/>
      <c r="I326" s="75" t="s">
        <v>171</v>
      </c>
      <c r="J326" s="76">
        <v>10</v>
      </c>
      <c r="K326" s="519" t="s">
        <v>387</v>
      </c>
      <c r="L326" s="520">
        <v>13.54</v>
      </c>
      <c r="M326" s="520">
        <v>14.49</v>
      </c>
      <c r="N326" s="507">
        <v>0.10299999999999999</v>
      </c>
      <c r="O326" s="507">
        <v>0.1</v>
      </c>
      <c r="P326" s="507">
        <v>0.112</v>
      </c>
      <c r="Q326" s="78">
        <v>0.44</v>
      </c>
      <c r="R326" s="78">
        <v>0.31740000000000002</v>
      </c>
      <c r="S326" s="69">
        <v>2.5000000000000001E-2</v>
      </c>
      <c r="T326" s="69">
        <v>0.01</v>
      </c>
      <c r="U326" s="507">
        <v>0.9</v>
      </c>
      <c r="V326" s="76">
        <v>0</v>
      </c>
      <c r="W326" s="76">
        <v>250.00000000000003</v>
      </c>
      <c r="X326" s="76" t="s">
        <v>147</v>
      </c>
      <c r="Y326" s="519" t="s">
        <v>469</v>
      </c>
    </row>
    <row r="327" spans="1:25" x14ac:dyDescent="0.25">
      <c r="A327" s="75" t="str">
        <f t="shared" si="13"/>
        <v>Adquisicion PF No_Premier Normal Mercado_Abierto Pago_Fijo_Puntual 10</v>
      </c>
      <c r="B327" s="75" t="str">
        <f t="shared" si="12"/>
        <v>Adquisicion PF No_Premier Normal Mercado_Abierto Pago_Fijo_Puntual 10 0.106</v>
      </c>
      <c r="C327" s="75" t="s">
        <v>114</v>
      </c>
      <c r="D327" s="75" t="s">
        <v>132</v>
      </c>
      <c r="E327" s="75" t="s">
        <v>179</v>
      </c>
      <c r="F327" s="75" t="s">
        <v>180</v>
      </c>
      <c r="G327" s="75" t="s">
        <v>396</v>
      </c>
      <c r="H327" s="75"/>
      <c r="I327" s="75" t="s">
        <v>171</v>
      </c>
      <c r="J327" s="76">
        <v>10</v>
      </c>
      <c r="K327" s="519">
        <v>3</v>
      </c>
      <c r="L327" s="520">
        <v>13.71</v>
      </c>
      <c r="M327" s="520">
        <v>14.66</v>
      </c>
      <c r="N327" s="507">
        <v>0.106</v>
      </c>
      <c r="O327" s="507">
        <v>0.10299999999999999</v>
      </c>
      <c r="P327" s="507">
        <v>0.11799999999999999</v>
      </c>
      <c r="Q327" s="78">
        <v>0.44</v>
      </c>
      <c r="R327" s="78">
        <v>0.31740000000000002</v>
      </c>
      <c r="S327" s="69">
        <v>2.5000000000000001E-2</v>
      </c>
      <c r="T327" s="69">
        <v>0.01</v>
      </c>
      <c r="U327" s="507">
        <v>0.85</v>
      </c>
      <c r="V327" s="76">
        <v>0</v>
      </c>
      <c r="W327" s="76">
        <v>250.00000000000003</v>
      </c>
      <c r="X327" s="76"/>
      <c r="Y327" s="519" t="s">
        <v>469</v>
      </c>
    </row>
    <row r="328" spans="1:25" x14ac:dyDescent="0.25">
      <c r="A328" s="75" t="str">
        <f t="shared" si="13"/>
        <v>Adquisicion PF No_Premier Normal Mercado_Abierto Pago_Fijo_Puntual Si 5</v>
      </c>
      <c r="B328" s="75" t="str">
        <f t="shared" si="12"/>
        <v>Adquisicion PF No_Premier Normal Mercado_Abierto Pago_Fijo_Puntual Si 5 0.103</v>
      </c>
      <c r="C328" s="75" t="s">
        <v>114</v>
      </c>
      <c r="D328" s="75" t="s">
        <v>132</v>
      </c>
      <c r="E328" s="75" t="s">
        <v>179</v>
      </c>
      <c r="F328" s="75" t="s">
        <v>180</v>
      </c>
      <c r="G328" s="75" t="s">
        <v>396</v>
      </c>
      <c r="H328" s="75"/>
      <c r="I328" s="75" t="s">
        <v>171</v>
      </c>
      <c r="J328" s="76">
        <v>5</v>
      </c>
      <c r="K328" s="519" t="s">
        <v>387</v>
      </c>
      <c r="L328" s="520">
        <v>21.44</v>
      </c>
      <c r="M328" s="520">
        <v>22.39</v>
      </c>
      <c r="N328" s="507">
        <v>0.10299999999999999</v>
      </c>
      <c r="O328" s="507">
        <v>0.1</v>
      </c>
      <c r="P328" s="507">
        <v>0.112</v>
      </c>
      <c r="Q328" s="78">
        <v>0.44</v>
      </c>
      <c r="R328" s="78">
        <v>0.31740000000000002</v>
      </c>
      <c r="S328" s="69">
        <v>2.5000000000000001E-2</v>
      </c>
      <c r="T328" s="69">
        <v>0.01</v>
      </c>
      <c r="U328" s="507">
        <v>0.9</v>
      </c>
      <c r="V328" s="76">
        <v>0</v>
      </c>
      <c r="W328" s="76">
        <v>250.00000000000003</v>
      </c>
      <c r="X328" s="76" t="s">
        <v>147</v>
      </c>
      <c r="Y328" s="519" t="s">
        <v>469</v>
      </c>
    </row>
    <row r="329" spans="1:25" x14ac:dyDescent="0.25">
      <c r="A329" s="75" t="str">
        <f t="shared" si="13"/>
        <v>Adquisicion PF No_Premier Normal Mercado_Abierto Pago_Fijo_Puntual 5</v>
      </c>
      <c r="B329" s="75" t="str">
        <f t="shared" si="12"/>
        <v>Adquisicion PF No_Premier Normal Mercado_Abierto Pago_Fijo_Puntual 5 0.106</v>
      </c>
      <c r="C329" s="75" t="s">
        <v>114</v>
      </c>
      <c r="D329" s="75" t="s">
        <v>132</v>
      </c>
      <c r="E329" s="75" t="s">
        <v>179</v>
      </c>
      <c r="F329" s="75" t="s">
        <v>180</v>
      </c>
      <c r="G329" s="75" t="s">
        <v>396</v>
      </c>
      <c r="H329" s="75"/>
      <c r="I329" s="75" t="s">
        <v>171</v>
      </c>
      <c r="J329" s="76">
        <v>5</v>
      </c>
      <c r="K329" s="519">
        <v>3</v>
      </c>
      <c r="L329" s="520">
        <v>21.59</v>
      </c>
      <c r="M329" s="520">
        <v>22.54</v>
      </c>
      <c r="N329" s="507">
        <v>0.106</v>
      </c>
      <c r="O329" s="507">
        <v>0.10299999999999999</v>
      </c>
      <c r="P329" s="507">
        <v>0.11799999999999999</v>
      </c>
      <c r="Q329" s="78">
        <v>0.44</v>
      </c>
      <c r="R329" s="78">
        <v>0.31740000000000002</v>
      </c>
      <c r="S329" s="69">
        <v>2.5000000000000001E-2</v>
      </c>
      <c r="T329" s="69">
        <v>0.01</v>
      </c>
      <c r="U329" s="507">
        <v>0.85</v>
      </c>
      <c r="V329" s="76">
        <v>0</v>
      </c>
      <c r="W329" s="76">
        <v>250.00000000000003</v>
      </c>
      <c r="X329" s="76"/>
      <c r="Y329" s="519" t="s">
        <v>469</v>
      </c>
    </row>
    <row r="330" spans="1:25" x14ac:dyDescent="0.25">
      <c r="A330" s="75" t="str">
        <f t="shared" si="13"/>
        <v>Adquisicion PF No_Premier Normal Mercado_Abierto Pago_Bajo_Puntual Si 20</v>
      </c>
      <c r="B330" s="75" t="str">
        <f t="shared" si="12"/>
        <v>Adquisicion PF No_Premier Normal Mercado_Abierto Pago_Bajo_Puntual Si 20 0.103</v>
      </c>
      <c r="C330" s="75" t="s">
        <v>114</v>
      </c>
      <c r="D330" s="75" t="s">
        <v>132</v>
      </c>
      <c r="E330" s="75" t="s">
        <v>179</v>
      </c>
      <c r="F330" s="75" t="s">
        <v>180</v>
      </c>
      <c r="G330" s="75" t="s">
        <v>396</v>
      </c>
      <c r="H330" s="75"/>
      <c r="I330" s="75" t="s">
        <v>170</v>
      </c>
      <c r="J330" s="76">
        <v>20</v>
      </c>
      <c r="K330" s="519" t="s">
        <v>387</v>
      </c>
      <c r="L330" s="520">
        <v>9</v>
      </c>
      <c r="M330" s="520">
        <v>9.9499999999999993</v>
      </c>
      <c r="N330" s="507">
        <v>0.10299999999999999</v>
      </c>
      <c r="O330" s="507">
        <v>0.1</v>
      </c>
      <c r="P330" s="507">
        <v>0.112</v>
      </c>
      <c r="Q330" s="78">
        <v>0.44</v>
      </c>
      <c r="R330" s="78">
        <v>0.31740000000000002</v>
      </c>
      <c r="S330" s="69">
        <v>2.5000000000000001E-2</v>
      </c>
      <c r="T330" s="69">
        <v>0.01</v>
      </c>
      <c r="U330" s="507">
        <v>0.9</v>
      </c>
      <c r="V330" s="76">
        <v>0</v>
      </c>
      <c r="W330" s="76">
        <v>250.00000000000003</v>
      </c>
      <c r="X330" s="76" t="s">
        <v>147</v>
      </c>
      <c r="Y330" s="519" t="s">
        <v>469</v>
      </c>
    </row>
    <row r="331" spans="1:25" x14ac:dyDescent="0.25">
      <c r="A331" s="75" t="str">
        <f t="shared" si="13"/>
        <v>Adquisicion PF No_Premier Normal Mercado_Abierto Pago_Bajo_Puntual 20</v>
      </c>
      <c r="B331" s="75" t="str">
        <f t="shared" si="12"/>
        <v>Adquisicion PF No_Premier Normal Mercado_Abierto Pago_Bajo_Puntual 20 0.106</v>
      </c>
      <c r="C331" s="75" t="s">
        <v>114</v>
      </c>
      <c r="D331" s="75" t="s">
        <v>132</v>
      </c>
      <c r="E331" s="75" t="s">
        <v>179</v>
      </c>
      <c r="F331" s="75" t="s">
        <v>180</v>
      </c>
      <c r="G331" s="75" t="s">
        <v>396</v>
      </c>
      <c r="H331" s="75"/>
      <c r="I331" s="75" t="s">
        <v>170</v>
      </c>
      <c r="J331" s="76">
        <v>20</v>
      </c>
      <c r="K331" s="519">
        <v>3</v>
      </c>
      <c r="L331" s="520">
        <v>9.24</v>
      </c>
      <c r="M331" s="520">
        <v>10.19</v>
      </c>
      <c r="N331" s="507">
        <v>0.106</v>
      </c>
      <c r="O331" s="507">
        <v>0.10299999999999999</v>
      </c>
      <c r="P331" s="507">
        <v>0.11799999999999999</v>
      </c>
      <c r="Q331" s="78">
        <v>0.44</v>
      </c>
      <c r="R331" s="78">
        <v>0.31740000000000002</v>
      </c>
      <c r="S331" s="69">
        <v>2.5000000000000001E-2</v>
      </c>
      <c r="T331" s="69">
        <v>0.01</v>
      </c>
      <c r="U331" s="507">
        <v>0.85</v>
      </c>
      <c r="V331" s="76">
        <v>0</v>
      </c>
      <c r="W331" s="76">
        <v>250.00000000000003</v>
      </c>
      <c r="X331" s="76"/>
      <c r="Y331" s="519" t="s">
        <v>469</v>
      </c>
    </row>
    <row r="332" spans="1:25" x14ac:dyDescent="0.25">
      <c r="A332" s="75" t="str">
        <f t="shared" si="13"/>
        <v>Adquisicion PF No_Premier Normal Mercado_Abierto Pago_Bajo_Puntual Si 15</v>
      </c>
      <c r="B332" s="75" t="str">
        <f t="shared" si="12"/>
        <v>Adquisicion PF No_Premier Normal Mercado_Abierto Pago_Bajo_Puntual Si 15 0.103</v>
      </c>
      <c r="C332" s="75" t="s">
        <v>114</v>
      </c>
      <c r="D332" s="75" t="s">
        <v>132</v>
      </c>
      <c r="E332" s="75" t="s">
        <v>179</v>
      </c>
      <c r="F332" s="75" t="s">
        <v>180</v>
      </c>
      <c r="G332" s="75" t="s">
        <v>396</v>
      </c>
      <c r="H332" s="75"/>
      <c r="I332" s="75" t="s">
        <v>170</v>
      </c>
      <c r="J332" s="76">
        <v>15</v>
      </c>
      <c r="K332" s="519" t="s">
        <v>387</v>
      </c>
      <c r="L332" s="520">
        <v>10.119999999999999</v>
      </c>
      <c r="M332" s="520">
        <v>11.07</v>
      </c>
      <c r="N332" s="507">
        <v>0.10299999999999999</v>
      </c>
      <c r="O332" s="507">
        <v>0.1</v>
      </c>
      <c r="P332" s="507">
        <v>0.112</v>
      </c>
      <c r="Q332" s="78">
        <v>0.44</v>
      </c>
      <c r="R332" s="78">
        <v>0.31740000000000002</v>
      </c>
      <c r="S332" s="69">
        <v>2.5000000000000001E-2</v>
      </c>
      <c r="T332" s="69">
        <v>0.01</v>
      </c>
      <c r="U332" s="507">
        <v>0.9</v>
      </c>
      <c r="V332" s="76">
        <v>0</v>
      </c>
      <c r="W332" s="76">
        <v>250.00000000000003</v>
      </c>
      <c r="X332" s="76" t="s">
        <v>147</v>
      </c>
      <c r="Y332" s="519" t="s">
        <v>469</v>
      </c>
    </row>
    <row r="333" spans="1:25" x14ac:dyDescent="0.25">
      <c r="A333" s="75" t="str">
        <f t="shared" si="13"/>
        <v>Adquisicion PF No_Premier Normal Mercado_Abierto Pago_Bajo_Puntual 15</v>
      </c>
      <c r="B333" s="75" t="str">
        <f t="shared" si="12"/>
        <v>Adquisicion PF No_Premier Normal Mercado_Abierto Pago_Bajo_Puntual 15 0.106</v>
      </c>
      <c r="C333" s="75" t="s">
        <v>114</v>
      </c>
      <c r="D333" s="75" t="s">
        <v>132</v>
      </c>
      <c r="E333" s="75" t="s">
        <v>179</v>
      </c>
      <c r="F333" s="75" t="s">
        <v>180</v>
      </c>
      <c r="G333" s="75" t="s">
        <v>396</v>
      </c>
      <c r="H333" s="75"/>
      <c r="I333" s="75" t="s">
        <v>170</v>
      </c>
      <c r="J333" s="76">
        <v>15</v>
      </c>
      <c r="K333" s="519">
        <v>3</v>
      </c>
      <c r="L333" s="520">
        <v>10.33</v>
      </c>
      <c r="M333" s="520">
        <v>11.28</v>
      </c>
      <c r="N333" s="507">
        <v>0.106</v>
      </c>
      <c r="O333" s="507">
        <v>0.10299999999999999</v>
      </c>
      <c r="P333" s="507">
        <v>0.11799999999999999</v>
      </c>
      <c r="Q333" s="78">
        <v>0.44</v>
      </c>
      <c r="R333" s="78">
        <v>0.31740000000000002</v>
      </c>
      <c r="S333" s="69">
        <v>2.5000000000000001E-2</v>
      </c>
      <c r="T333" s="69">
        <v>0.01</v>
      </c>
      <c r="U333" s="507">
        <v>0.85</v>
      </c>
      <c r="V333" s="76">
        <v>0</v>
      </c>
      <c r="W333" s="76">
        <v>250.00000000000003</v>
      </c>
      <c r="X333" s="76"/>
      <c r="Y333" s="519" t="s">
        <v>469</v>
      </c>
    </row>
    <row r="334" spans="1:25" x14ac:dyDescent="0.25">
      <c r="A334" s="75" t="str">
        <f t="shared" si="13"/>
        <v>Adquisicion PF No_Premier Normal Mercado_Abierto Pago_Bajo_Puntual Si 10</v>
      </c>
      <c r="B334" s="75" t="str">
        <f t="shared" si="12"/>
        <v>Adquisicion PF No_Premier Normal Mercado_Abierto Pago_Bajo_Puntual Si 10 0.103</v>
      </c>
      <c r="C334" s="75" t="s">
        <v>114</v>
      </c>
      <c r="D334" s="75" t="s">
        <v>132</v>
      </c>
      <c r="E334" s="75" t="s">
        <v>179</v>
      </c>
      <c r="F334" s="75" t="s">
        <v>180</v>
      </c>
      <c r="G334" s="75" t="s">
        <v>396</v>
      </c>
      <c r="H334" s="75"/>
      <c r="I334" s="75" t="s">
        <v>170</v>
      </c>
      <c r="J334" s="76">
        <v>10</v>
      </c>
      <c r="K334" s="519" t="s">
        <v>387</v>
      </c>
      <c r="L334" s="520">
        <v>12.62</v>
      </c>
      <c r="M334" s="520">
        <v>13.57</v>
      </c>
      <c r="N334" s="507">
        <v>0.10299999999999999</v>
      </c>
      <c r="O334" s="507">
        <v>0.1</v>
      </c>
      <c r="P334" s="507">
        <v>0.112</v>
      </c>
      <c r="Q334" s="78">
        <v>0.44</v>
      </c>
      <c r="R334" s="78">
        <v>0.31740000000000002</v>
      </c>
      <c r="S334" s="69">
        <v>2.5000000000000001E-2</v>
      </c>
      <c r="T334" s="69">
        <v>0.01</v>
      </c>
      <c r="U334" s="507">
        <v>0.9</v>
      </c>
      <c r="V334" s="76">
        <v>0</v>
      </c>
      <c r="W334" s="76">
        <v>250.00000000000003</v>
      </c>
      <c r="X334" s="76" t="s">
        <v>147</v>
      </c>
      <c r="Y334" s="519" t="s">
        <v>469</v>
      </c>
    </row>
    <row r="335" spans="1:25" x14ac:dyDescent="0.25">
      <c r="A335" s="75" t="str">
        <f t="shared" si="13"/>
        <v>Adquisicion PF No_Premier Normal Mercado_Abierto Pago_Bajo_Puntual 10</v>
      </c>
      <c r="B335" s="75" t="str">
        <f t="shared" si="12"/>
        <v>Adquisicion PF No_Premier Normal Mercado_Abierto Pago_Bajo_Puntual 10 0.106</v>
      </c>
      <c r="C335" s="75" t="s">
        <v>114</v>
      </c>
      <c r="D335" s="75" t="s">
        <v>132</v>
      </c>
      <c r="E335" s="75" t="s">
        <v>179</v>
      </c>
      <c r="F335" s="75" t="s">
        <v>180</v>
      </c>
      <c r="G335" s="75" t="s">
        <v>396</v>
      </c>
      <c r="H335" s="75"/>
      <c r="I335" s="75" t="s">
        <v>170</v>
      </c>
      <c r="J335" s="76">
        <v>10</v>
      </c>
      <c r="K335" s="519">
        <v>3</v>
      </c>
      <c r="L335" s="520">
        <v>12.78</v>
      </c>
      <c r="M335" s="520">
        <v>13.73</v>
      </c>
      <c r="N335" s="507">
        <v>0.106</v>
      </c>
      <c r="O335" s="507">
        <v>0.10299999999999999</v>
      </c>
      <c r="P335" s="507">
        <v>0.11799999999999999</v>
      </c>
      <c r="Q335" s="78">
        <v>0.44</v>
      </c>
      <c r="R335" s="78">
        <v>0.31740000000000002</v>
      </c>
      <c r="S335" s="69">
        <v>2.5000000000000001E-2</v>
      </c>
      <c r="T335" s="69">
        <v>0.01</v>
      </c>
      <c r="U335" s="507">
        <v>0.85</v>
      </c>
      <c r="V335" s="76">
        <v>0</v>
      </c>
      <c r="W335" s="76">
        <v>250.00000000000003</v>
      </c>
      <c r="X335" s="76"/>
      <c r="Y335" s="519" t="s">
        <v>469</v>
      </c>
    </row>
    <row r="336" spans="1:25" x14ac:dyDescent="0.25">
      <c r="A336" s="75" t="str">
        <f t="shared" si="13"/>
        <v>Adquisicion PF No_Premier Normal Mercado_Abierto Pago_Bajo_Puntual Si 5</v>
      </c>
      <c r="B336" s="75" t="str">
        <f t="shared" si="12"/>
        <v>Adquisicion PF No_Premier Normal Mercado_Abierto Pago_Bajo_Puntual Si 5 0.103</v>
      </c>
      <c r="C336" s="75" t="s">
        <v>114</v>
      </c>
      <c r="D336" s="75" t="s">
        <v>132</v>
      </c>
      <c r="E336" s="75" t="s">
        <v>179</v>
      </c>
      <c r="F336" s="75" t="s">
        <v>180</v>
      </c>
      <c r="G336" s="75" t="s">
        <v>396</v>
      </c>
      <c r="H336" s="75"/>
      <c r="I336" s="75" t="s">
        <v>170</v>
      </c>
      <c r="J336" s="76">
        <v>5</v>
      </c>
      <c r="K336" s="519" t="s">
        <v>387</v>
      </c>
      <c r="L336" s="520">
        <v>20.72</v>
      </c>
      <c r="M336" s="520">
        <v>21.67</v>
      </c>
      <c r="N336" s="507">
        <v>0.10299999999999999</v>
      </c>
      <c r="O336" s="507">
        <v>0.1</v>
      </c>
      <c r="P336" s="507">
        <v>0.112</v>
      </c>
      <c r="Q336" s="78">
        <v>0.44</v>
      </c>
      <c r="R336" s="78">
        <v>0.31740000000000002</v>
      </c>
      <c r="S336" s="69">
        <v>2.5000000000000001E-2</v>
      </c>
      <c r="T336" s="69">
        <v>0.01</v>
      </c>
      <c r="U336" s="507">
        <v>0.9</v>
      </c>
      <c r="V336" s="76">
        <v>0</v>
      </c>
      <c r="W336" s="76">
        <v>250.00000000000003</v>
      </c>
      <c r="X336" s="76" t="s">
        <v>147</v>
      </c>
      <c r="Y336" s="519" t="s">
        <v>469</v>
      </c>
    </row>
    <row r="337" spans="1:25" x14ac:dyDescent="0.25">
      <c r="A337" s="75" t="str">
        <f t="shared" si="13"/>
        <v>Adquisicion PF No_Premier Normal Mercado_Abierto Pago_Bajo_Puntual 5</v>
      </c>
      <c r="B337" s="75" t="str">
        <f t="shared" si="12"/>
        <v>Adquisicion PF No_Premier Normal Mercado_Abierto Pago_Bajo_Puntual 5 0.106</v>
      </c>
      <c r="C337" s="75" t="s">
        <v>114</v>
      </c>
      <c r="D337" s="75" t="s">
        <v>132</v>
      </c>
      <c r="E337" s="75" t="s">
        <v>179</v>
      </c>
      <c r="F337" s="75" t="s">
        <v>180</v>
      </c>
      <c r="G337" s="75" t="s">
        <v>396</v>
      </c>
      <c r="H337" s="75"/>
      <c r="I337" s="75" t="s">
        <v>170</v>
      </c>
      <c r="J337" s="76">
        <v>5</v>
      </c>
      <c r="K337" s="519">
        <v>3</v>
      </c>
      <c r="L337" s="520">
        <v>20.86</v>
      </c>
      <c r="M337" s="520">
        <v>21.81</v>
      </c>
      <c r="N337" s="507">
        <v>0.106</v>
      </c>
      <c r="O337" s="507">
        <v>0.10299999999999999</v>
      </c>
      <c r="P337" s="507">
        <v>0.11799999999999999</v>
      </c>
      <c r="Q337" s="78">
        <v>0.44</v>
      </c>
      <c r="R337" s="78">
        <v>0.31740000000000002</v>
      </c>
      <c r="S337" s="69">
        <v>2.5000000000000001E-2</v>
      </c>
      <c r="T337" s="69">
        <v>0.01</v>
      </c>
      <c r="U337" s="507">
        <v>0.85</v>
      </c>
      <c r="V337" s="76">
        <v>0</v>
      </c>
      <c r="W337" s="76">
        <v>250.00000000000003</v>
      </c>
      <c r="X337" s="76"/>
      <c r="Y337" s="519" t="s">
        <v>469</v>
      </c>
    </row>
    <row r="338" spans="1:25" x14ac:dyDescent="0.25">
      <c r="A338" s="75" t="str">
        <f t="shared" si="13"/>
        <v>Adquisicion PF No_Premier Poder Judicial Mercado_Abierto Pago_Fijo_Puntual Si 20</v>
      </c>
      <c r="B338" s="75" t="str">
        <f t="shared" si="12"/>
        <v>Adquisicion PF No_Premier Poder Judicial Mercado_Abierto Pago_Fijo_Puntual Si 20 0.103</v>
      </c>
      <c r="C338" s="75" t="s">
        <v>114</v>
      </c>
      <c r="D338" s="75" t="s">
        <v>132</v>
      </c>
      <c r="E338" s="75" t="s">
        <v>179</v>
      </c>
      <c r="F338" s="75" t="s">
        <v>176</v>
      </c>
      <c r="G338" s="75" t="s">
        <v>396</v>
      </c>
      <c r="H338" s="75"/>
      <c r="I338" s="75" t="s">
        <v>171</v>
      </c>
      <c r="J338" s="76">
        <v>20</v>
      </c>
      <c r="K338" s="519" t="s">
        <v>387</v>
      </c>
      <c r="L338" s="520">
        <v>10.16</v>
      </c>
      <c r="M338" s="520">
        <v>10.82</v>
      </c>
      <c r="N338" s="507">
        <v>0.10299999999999999</v>
      </c>
      <c r="O338" s="507">
        <v>0.1</v>
      </c>
      <c r="P338" s="507">
        <v>0.112</v>
      </c>
      <c r="Q338" s="78">
        <v>0.44</v>
      </c>
      <c r="R338" s="78">
        <v>0.31740000000000002</v>
      </c>
      <c r="S338" s="69">
        <v>2.5000000000000001E-2</v>
      </c>
      <c r="T338" s="69">
        <v>5.0000000000000001E-3</v>
      </c>
      <c r="U338" s="507">
        <v>0.9</v>
      </c>
      <c r="V338" s="76">
        <v>0</v>
      </c>
      <c r="W338" s="76">
        <v>0</v>
      </c>
      <c r="X338" s="76" t="s">
        <v>147</v>
      </c>
      <c r="Y338" s="519" t="s">
        <v>469</v>
      </c>
    </row>
    <row r="339" spans="1:25" x14ac:dyDescent="0.25">
      <c r="A339" s="75" t="str">
        <f t="shared" si="13"/>
        <v>Adquisicion PF No_Premier Poder Judicial Mercado_Abierto Pago_Fijo_Puntual 20</v>
      </c>
      <c r="B339" s="75" t="str">
        <f t="shared" si="12"/>
        <v>Adquisicion PF No_Premier Poder Judicial Mercado_Abierto Pago_Fijo_Puntual 20 0.106</v>
      </c>
      <c r="C339" s="75" t="s">
        <v>114</v>
      </c>
      <c r="D339" s="75" t="s">
        <v>132</v>
      </c>
      <c r="E339" s="75" t="s">
        <v>179</v>
      </c>
      <c r="F339" s="75" t="s">
        <v>176</v>
      </c>
      <c r="G339" s="75" t="s">
        <v>396</v>
      </c>
      <c r="H339" s="75"/>
      <c r="I339" s="75" t="s">
        <v>171</v>
      </c>
      <c r="J339" s="76">
        <v>20</v>
      </c>
      <c r="K339" s="519">
        <v>3</v>
      </c>
      <c r="L339" s="520">
        <v>10.41</v>
      </c>
      <c r="M339" s="520">
        <v>11.07</v>
      </c>
      <c r="N339" s="507">
        <v>0.106</v>
      </c>
      <c r="O339" s="507">
        <v>0.10299999999999999</v>
      </c>
      <c r="P339" s="507">
        <v>0.11799999999999999</v>
      </c>
      <c r="Q339" s="78">
        <v>0.44</v>
      </c>
      <c r="R339" s="78">
        <v>0.31740000000000002</v>
      </c>
      <c r="S339" s="69">
        <v>2.5000000000000001E-2</v>
      </c>
      <c r="T339" s="69">
        <v>5.0000000000000001E-3</v>
      </c>
      <c r="U339" s="507">
        <v>0.85</v>
      </c>
      <c r="V339" s="76">
        <v>0</v>
      </c>
      <c r="W339" s="76">
        <v>0</v>
      </c>
      <c r="X339" s="76"/>
      <c r="Y339" s="519" t="s">
        <v>469</v>
      </c>
    </row>
    <row r="340" spans="1:25" x14ac:dyDescent="0.25">
      <c r="A340" s="75" t="str">
        <f t="shared" si="13"/>
        <v>Adquisicion PF No_Premier Poder Judicial Mercado_Abierto Pago_Fijo_Puntual Si 15</v>
      </c>
      <c r="B340" s="75" t="str">
        <f t="shared" si="12"/>
        <v>Adquisicion PF No_Premier Poder Judicial Mercado_Abierto Pago_Fijo_Puntual Si 15 0.103</v>
      </c>
      <c r="C340" s="75" t="s">
        <v>114</v>
      </c>
      <c r="D340" s="75" t="s">
        <v>132</v>
      </c>
      <c r="E340" s="75" t="s">
        <v>179</v>
      </c>
      <c r="F340" s="75" t="s">
        <v>176</v>
      </c>
      <c r="G340" s="75" t="s">
        <v>396</v>
      </c>
      <c r="H340" s="75"/>
      <c r="I340" s="75" t="s">
        <v>171</v>
      </c>
      <c r="J340" s="76">
        <v>15</v>
      </c>
      <c r="K340" s="519" t="s">
        <v>387</v>
      </c>
      <c r="L340" s="520">
        <v>11.18</v>
      </c>
      <c r="M340" s="520">
        <v>11.84</v>
      </c>
      <c r="N340" s="507">
        <v>0.10299999999999999</v>
      </c>
      <c r="O340" s="507">
        <v>0.1</v>
      </c>
      <c r="P340" s="507">
        <v>0.112</v>
      </c>
      <c r="Q340" s="78">
        <v>0.44</v>
      </c>
      <c r="R340" s="78">
        <v>0.31740000000000002</v>
      </c>
      <c r="S340" s="69">
        <v>2.5000000000000001E-2</v>
      </c>
      <c r="T340" s="69">
        <v>5.0000000000000001E-3</v>
      </c>
      <c r="U340" s="507">
        <v>0.9</v>
      </c>
      <c r="V340" s="76">
        <v>0</v>
      </c>
      <c r="W340" s="76">
        <v>0</v>
      </c>
      <c r="X340" s="76" t="s">
        <v>147</v>
      </c>
      <c r="Y340" s="519" t="s">
        <v>469</v>
      </c>
    </row>
    <row r="341" spans="1:25" x14ac:dyDescent="0.25">
      <c r="A341" s="75" t="str">
        <f t="shared" si="13"/>
        <v>Adquisicion PF No_Premier Poder Judicial Mercado_Abierto Pago_Fijo_Puntual 15</v>
      </c>
      <c r="B341" s="75" t="str">
        <f t="shared" si="12"/>
        <v>Adquisicion PF No_Premier Poder Judicial Mercado_Abierto Pago_Fijo_Puntual 15 0.106</v>
      </c>
      <c r="C341" s="75" t="s">
        <v>114</v>
      </c>
      <c r="D341" s="75" t="s">
        <v>132</v>
      </c>
      <c r="E341" s="75" t="s">
        <v>179</v>
      </c>
      <c r="F341" s="75" t="s">
        <v>176</v>
      </c>
      <c r="G341" s="75" t="s">
        <v>396</v>
      </c>
      <c r="H341" s="75"/>
      <c r="I341" s="75" t="s">
        <v>171</v>
      </c>
      <c r="J341" s="76">
        <v>15</v>
      </c>
      <c r="K341" s="519">
        <v>3</v>
      </c>
      <c r="L341" s="520">
        <v>11.39</v>
      </c>
      <c r="M341" s="520">
        <v>12.05</v>
      </c>
      <c r="N341" s="507">
        <v>0.106</v>
      </c>
      <c r="O341" s="507">
        <v>0.10299999999999999</v>
      </c>
      <c r="P341" s="507">
        <v>0.11799999999999999</v>
      </c>
      <c r="Q341" s="78">
        <v>0.44</v>
      </c>
      <c r="R341" s="78">
        <v>0.31740000000000002</v>
      </c>
      <c r="S341" s="69">
        <v>2.5000000000000001E-2</v>
      </c>
      <c r="T341" s="69">
        <v>5.0000000000000001E-3</v>
      </c>
      <c r="U341" s="507">
        <v>0.85</v>
      </c>
      <c r="V341" s="76">
        <v>0</v>
      </c>
      <c r="W341" s="76">
        <v>0</v>
      </c>
      <c r="X341" s="76"/>
      <c r="Y341" s="519" t="s">
        <v>469</v>
      </c>
    </row>
    <row r="342" spans="1:25" x14ac:dyDescent="0.25">
      <c r="A342" s="75" t="str">
        <f t="shared" si="13"/>
        <v>Adquisicion PF No_Premier Poder Judicial Mercado_Abierto Pago_Fijo_Puntual Si 10</v>
      </c>
      <c r="B342" s="75" t="str">
        <f t="shared" si="12"/>
        <v>Adquisicion PF No_Premier Poder Judicial Mercado_Abierto Pago_Fijo_Puntual Si 10 0.103</v>
      </c>
      <c r="C342" s="75" t="s">
        <v>114</v>
      </c>
      <c r="D342" s="75" t="s">
        <v>132</v>
      </c>
      <c r="E342" s="75" t="s">
        <v>179</v>
      </c>
      <c r="F342" s="75" t="s">
        <v>176</v>
      </c>
      <c r="G342" s="75" t="s">
        <v>396</v>
      </c>
      <c r="H342" s="75"/>
      <c r="I342" s="75" t="s">
        <v>171</v>
      </c>
      <c r="J342" s="76">
        <v>10</v>
      </c>
      <c r="K342" s="519" t="s">
        <v>387</v>
      </c>
      <c r="L342" s="520">
        <v>13.54</v>
      </c>
      <c r="M342" s="520">
        <v>14.2</v>
      </c>
      <c r="N342" s="507">
        <v>0.10299999999999999</v>
      </c>
      <c r="O342" s="507">
        <v>0.1</v>
      </c>
      <c r="P342" s="507">
        <v>0.112</v>
      </c>
      <c r="Q342" s="78">
        <v>0.44</v>
      </c>
      <c r="R342" s="78">
        <v>0.31740000000000002</v>
      </c>
      <c r="S342" s="69">
        <v>2.5000000000000001E-2</v>
      </c>
      <c r="T342" s="69">
        <v>5.0000000000000001E-3</v>
      </c>
      <c r="U342" s="507">
        <v>0.9</v>
      </c>
      <c r="V342" s="76">
        <v>0</v>
      </c>
      <c r="W342" s="76">
        <v>0</v>
      </c>
      <c r="X342" s="76" t="s">
        <v>147</v>
      </c>
      <c r="Y342" s="519" t="s">
        <v>469</v>
      </c>
    </row>
    <row r="343" spans="1:25" x14ac:dyDescent="0.25">
      <c r="A343" s="75" t="str">
        <f t="shared" si="13"/>
        <v>Adquisicion PF No_Premier Poder Judicial Mercado_Abierto Pago_Fijo_Puntual 10</v>
      </c>
      <c r="B343" s="75" t="str">
        <f t="shared" si="12"/>
        <v>Adquisicion PF No_Premier Poder Judicial Mercado_Abierto Pago_Fijo_Puntual 10 0.106</v>
      </c>
      <c r="C343" s="75" t="s">
        <v>114</v>
      </c>
      <c r="D343" s="75" t="s">
        <v>132</v>
      </c>
      <c r="E343" s="75" t="s">
        <v>179</v>
      </c>
      <c r="F343" s="75" t="s">
        <v>176</v>
      </c>
      <c r="G343" s="75" t="s">
        <v>396</v>
      </c>
      <c r="H343" s="75"/>
      <c r="I343" s="75" t="s">
        <v>171</v>
      </c>
      <c r="J343" s="76">
        <v>10</v>
      </c>
      <c r="K343" s="519">
        <v>3</v>
      </c>
      <c r="L343" s="520">
        <v>13.71</v>
      </c>
      <c r="M343" s="520">
        <v>14.37</v>
      </c>
      <c r="N343" s="507">
        <v>0.106</v>
      </c>
      <c r="O343" s="507">
        <v>0.10299999999999999</v>
      </c>
      <c r="P343" s="507">
        <v>0.11799999999999999</v>
      </c>
      <c r="Q343" s="78">
        <v>0.44</v>
      </c>
      <c r="R343" s="78">
        <v>0.31740000000000002</v>
      </c>
      <c r="S343" s="69">
        <v>2.5000000000000001E-2</v>
      </c>
      <c r="T343" s="69">
        <v>5.0000000000000001E-3</v>
      </c>
      <c r="U343" s="507">
        <v>0.85</v>
      </c>
      <c r="V343" s="76">
        <v>0</v>
      </c>
      <c r="W343" s="76">
        <v>0</v>
      </c>
      <c r="X343" s="76"/>
      <c r="Y343" s="519" t="s">
        <v>469</v>
      </c>
    </row>
    <row r="344" spans="1:25" x14ac:dyDescent="0.25">
      <c r="A344" s="75" t="str">
        <f t="shared" si="13"/>
        <v>Adquisicion PF No_Premier Poder Judicial Mercado_Abierto Pago_Fijo_Puntual Si 5</v>
      </c>
      <c r="B344" s="75" t="str">
        <f t="shared" si="12"/>
        <v>Adquisicion PF No_Premier Poder Judicial Mercado_Abierto Pago_Fijo_Puntual Si 5 0.103</v>
      </c>
      <c r="C344" s="75" t="s">
        <v>114</v>
      </c>
      <c r="D344" s="75" t="s">
        <v>132</v>
      </c>
      <c r="E344" s="75" t="s">
        <v>179</v>
      </c>
      <c r="F344" s="75" t="s">
        <v>176</v>
      </c>
      <c r="G344" s="75" t="s">
        <v>396</v>
      </c>
      <c r="H344" s="75"/>
      <c r="I344" s="75" t="s">
        <v>171</v>
      </c>
      <c r="J344" s="76">
        <v>5</v>
      </c>
      <c r="K344" s="519" t="s">
        <v>387</v>
      </c>
      <c r="L344" s="520">
        <v>21.44</v>
      </c>
      <c r="M344" s="520">
        <v>22.1</v>
      </c>
      <c r="N344" s="507">
        <v>0.10299999999999999</v>
      </c>
      <c r="O344" s="507">
        <v>0.1</v>
      </c>
      <c r="P344" s="507">
        <v>0.112</v>
      </c>
      <c r="Q344" s="78">
        <v>0.44</v>
      </c>
      <c r="R344" s="78">
        <v>0.31740000000000002</v>
      </c>
      <c r="S344" s="69">
        <v>2.5000000000000001E-2</v>
      </c>
      <c r="T344" s="69">
        <v>5.0000000000000001E-3</v>
      </c>
      <c r="U344" s="507">
        <v>0.9</v>
      </c>
      <c r="V344" s="76">
        <v>0</v>
      </c>
      <c r="W344" s="76">
        <v>0</v>
      </c>
      <c r="X344" s="76" t="s">
        <v>147</v>
      </c>
      <c r="Y344" s="519" t="s">
        <v>469</v>
      </c>
    </row>
    <row r="345" spans="1:25" x14ac:dyDescent="0.25">
      <c r="A345" s="75" t="str">
        <f t="shared" si="13"/>
        <v>Adquisicion PF No_Premier Poder Judicial Mercado_Abierto Pago_Fijo_Puntual 5</v>
      </c>
      <c r="B345" s="75" t="str">
        <f t="shared" si="12"/>
        <v>Adquisicion PF No_Premier Poder Judicial Mercado_Abierto Pago_Fijo_Puntual 5 0.106</v>
      </c>
      <c r="C345" s="75" t="s">
        <v>114</v>
      </c>
      <c r="D345" s="75" t="s">
        <v>132</v>
      </c>
      <c r="E345" s="75" t="s">
        <v>179</v>
      </c>
      <c r="F345" s="75" t="s">
        <v>176</v>
      </c>
      <c r="G345" s="75" t="s">
        <v>396</v>
      </c>
      <c r="H345" s="75"/>
      <c r="I345" s="75" t="s">
        <v>171</v>
      </c>
      <c r="J345" s="76">
        <v>5</v>
      </c>
      <c r="K345" s="519">
        <v>3</v>
      </c>
      <c r="L345" s="520">
        <v>21.59</v>
      </c>
      <c r="M345" s="520">
        <v>22.25</v>
      </c>
      <c r="N345" s="507">
        <v>0.106</v>
      </c>
      <c r="O345" s="507">
        <v>0.10299999999999999</v>
      </c>
      <c r="P345" s="507">
        <v>0.11799999999999999</v>
      </c>
      <c r="Q345" s="78">
        <v>0.44</v>
      </c>
      <c r="R345" s="78">
        <v>0.31740000000000002</v>
      </c>
      <c r="S345" s="69">
        <v>2.5000000000000001E-2</v>
      </c>
      <c r="T345" s="69">
        <v>5.0000000000000001E-3</v>
      </c>
      <c r="U345" s="507">
        <v>0.85</v>
      </c>
      <c r="V345" s="76">
        <v>0</v>
      </c>
      <c r="W345" s="76">
        <v>0</v>
      </c>
      <c r="X345" s="76"/>
      <c r="Y345" s="519" t="s">
        <v>469</v>
      </c>
    </row>
    <row r="346" spans="1:25" x14ac:dyDescent="0.25">
      <c r="A346" s="75" t="str">
        <f t="shared" si="13"/>
        <v>Adquisicion PF No_Premier Poder Judicial Mercado_Abierto Pago_Bajo_Puntual Si 20</v>
      </c>
      <c r="B346" s="75" t="str">
        <f t="shared" si="12"/>
        <v>Adquisicion PF No_Premier Poder Judicial Mercado_Abierto Pago_Bajo_Puntual Si 20 0.103</v>
      </c>
      <c r="C346" s="75" t="s">
        <v>114</v>
      </c>
      <c r="D346" s="75" t="s">
        <v>132</v>
      </c>
      <c r="E346" s="75" t="s">
        <v>179</v>
      </c>
      <c r="F346" s="75" t="s">
        <v>176</v>
      </c>
      <c r="G346" s="75" t="s">
        <v>396</v>
      </c>
      <c r="H346" s="75"/>
      <c r="I346" s="75" t="s">
        <v>170</v>
      </c>
      <c r="J346" s="76">
        <v>20</v>
      </c>
      <c r="K346" s="519" t="s">
        <v>387</v>
      </c>
      <c r="L346" s="520">
        <v>9</v>
      </c>
      <c r="M346" s="520">
        <v>9.66</v>
      </c>
      <c r="N346" s="507">
        <v>0.10299999999999999</v>
      </c>
      <c r="O346" s="507">
        <v>0.1</v>
      </c>
      <c r="P346" s="507">
        <v>0.112</v>
      </c>
      <c r="Q346" s="78">
        <v>0.44</v>
      </c>
      <c r="R346" s="78">
        <v>0.31740000000000002</v>
      </c>
      <c r="S346" s="69">
        <v>2.5000000000000001E-2</v>
      </c>
      <c r="T346" s="69">
        <v>5.0000000000000001E-3</v>
      </c>
      <c r="U346" s="507">
        <v>0.9</v>
      </c>
      <c r="V346" s="76">
        <v>0</v>
      </c>
      <c r="W346" s="76">
        <v>0</v>
      </c>
      <c r="X346" s="76" t="s">
        <v>147</v>
      </c>
      <c r="Y346" s="519" t="s">
        <v>469</v>
      </c>
    </row>
    <row r="347" spans="1:25" x14ac:dyDescent="0.25">
      <c r="A347" s="75" t="str">
        <f t="shared" si="13"/>
        <v>Adquisicion PF No_Premier Poder Judicial Mercado_Abierto Pago_Bajo_Puntual 20</v>
      </c>
      <c r="B347" s="75" t="str">
        <f t="shared" si="12"/>
        <v>Adquisicion PF No_Premier Poder Judicial Mercado_Abierto Pago_Bajo_Puntual 20 0.106</v>
      </c>
      <c r="C347" s="75" t="s">
        <v>114</v>
      </c>
      <c r="D347" s="75" t="s">
        <v>132</v>
      </c>
      <c r="E347" s="75" t="s">
        <v>179</v>
      </c>
      <c r="F347" s="75" t="s">
        <v>176</v>
      </c>
      <c r="G347" s="75" t="s">
        <v>396</v>
      </c>
      <c r="H347" s="75"/>
      <c r="I347" s="75" t="s">
        <v>170</v>
      </c>
      <c r="J347" s="76">
        <v>20</v>
      </c>
      <c r="K347" s="519">
        <v>3</v>
      </c>
      <c r="L347" s="520">
        <v>9.24</v>
      </c>
      <c r="M347" s="520">
        <v>9.9</v>
      </c>
      <c r="N347" s="507">
        <v>0.106</v>
      </c>
      <c r="O347" s="507">
        <v>0.10299999999999999</v>
      </c>
      <c r="P347" s="507">
        <v>0.11799999999999999</v>
      </c>
      <c r="Q347" s="78">
        <v>0.44</v>
      </c>
      <c r="R347" s="78">
        <v>0.31740000000000002</v>
      </c>
      <c r="S347" s="69">
        <v>2.5000000000000001E-2</v>
      </c>
      <c r="T347" s="69">
        <v>5.0000000000000001E-3</v>
      </c>
      <c r="U347" s="507">
        <v>0.85</v>
      </c>
      <c r="V347" s="76">
        <v>0</v>
      </c>
      <c r="W347" s="76">
        <v>0</v>
      </c>
      <c r="X347" s="76"/>
      <c r="Y347" s="519" t="s">
        <v>469</v>
      </c>
    </row>
    <row r="348" spans="1:25" x14ac:dyDescent="0.25">
      <c r="A348" s="75" t="str">
        <f t="shared" si="13"/>
        <v>Adquisicion PF No_Premier Poder Judicial Mercado_Abierto Pago_Bajo_Puntual Si 15</v>
      </c>
      <c r="B348" s="75" t="str">
        <f t="shared" si="12"/>
        <v>Adquisicion PF No_Premier Poder Judicial Mercado_Abierto Pago_Bajo_Puntual Si 15 0.103</v>
      </c>
      <c r="C348" s="75" t="s">
        <v>114</v>
      </c>
      <c r="D348" s="75" t="s">
        <v>132</v>
      </c>
      <c r="E348" s="75" t="s">
        <v>179</v>
      </c>
      <c r="F348" s="75" t="s">
        <v>176</v>
      </c>
      <c r="G348" s="75" t="s">
        <v>396</v>
      </c>
      <c r="H348" s="75"/>
      <c r="I348" s="75" t="s">
        <v>170</v>
      </c>
      <c r="J348" s="76">
        <v>15</v>
      </c>
      <c r="K348" s="519" t="s">
        <v>387</v>
      </c>
      <c r="L348" s="520">
        <v>10.119999999999999</v>
      </c>
      <c r="M348" s="520">
        <v>10.78</v>
      </c>
      <c r="N348" s="507">
        <v>0.10299999999999999</v>
      </c>
      <c r="O348" s="507">
        <v>0.1</v>
      </c>
      <c r="P348" s="507">
        <v>0.112</v>
      </c>
      <c r="Q348" s="78">
        <v>0.44</v>
      </c>
      <c r="R348" s="78">
        <v>0.31740000000000002</v>
      </c>
      <c r="S348" s="69">
        <v>2.5000000000000001E-2</v>
      </c>
      <c r="T348" s="69">
        <v>5.0000000000000001E-3</v>
      </c>
      <c r="U348" s="507">
        <v>0.9</v>
      </c>
      <c r="V348" s="76">
        <v>0</v>
      </c>
      <c r="W348" s="76">
        <v>0</v>
      </c>
      <c r="X348" s="76" t="s">
        <v>147</v>
      </c>
      <c r="Y348" s="519" t="s">
        <v>469</v>
      </c>
    </row>
    <row r="349" spans="1:25" x14ac:dyDescent="0.25">
      <c r="A349" s="75" t="str">
        <f t="shared" si="13"/>
        <v>Adquisicion PF No_Premier Poder Judicial Mercado_Abierto Pago_Bajo_Puntual 15</v>
      </c>
      <c r="B349" s="75" t="str">
        <f t="shared" si="12"/>
        <v>Adquisicion PF No_Premier Poder Judicial Mercado_Abierto Pago_Bajo_Puntual 15 0.106</v>
      </c>
      <c r="C349" s="75" t="s">
        <v>114</v>
      </c>
      <c r="D349" s="75" t="s">
        <v>132</v>
      </c>
      <c r="E349" s="75" t="s">
        <v>179</v>
      </c>
      <c r="F349" s="75" t="s">
        <v>176</v>
      </c>
      <c r="G349" s="75" t="s">
        <v>396</v>
      </c>
      <c r="H349" s="75"/>
      <c r="I349" s="75" t="s">
        <v>170</v>
      </c>
      <c r="J349" s="76">
        <v>15</v>
      </c>
      <c r="K349" s="519">
        <v>3</v>
      </c>
      <c r="L349" s="520">
        <v>10.33</v>
      </c>
      <c r="M349" s="520">
        <v>10.99</v>
      </c>
      <c r="N349" s="507">
        <v>0.106</v>
      </c>
      <c r="O349" s="507">
        <v>0.10299999999999999</v>
      </c>
      <c r="P349" s="507">
        <v>0.11799999999999999</v>
      </c>
      <c r="Q349" s="78">
        <v>0.44</v>
      </c>
      <c r="R349" s="78">
        <v>0.31740000000000002</v>
      </c>
      <c r="S349" s="69">
        <v>2.5000000000000001E-2</v>
      </c>
      <c r="T349" s="69">
        <v>5.0000000000000001E-3</v>
      </c>
      <c r="U349" s="507">
        <v>0.85</v>
      </c>
      <c r="V349" s="76">
        <v>0</v>
      </c>
      <c r="W349" s="76">
        <v>0</v>
      </c>
      <c r="X349" s="76"/>
      <c r="Y349" s="519" t="s">
        <v>469</v>
      </c>
    </row>
    <row r="350" spans="1:25" x14ac:dyDescent="0.25">
      <c r="A350" s="75" t="str">
        <f t="shared" si="13"/>
        <v>Adquisicion PF No_Premier Poder Judicial Mercado_Abierto Pago_Bajo_Puntual Si 10</v>
      </c>
      <c r="B350" s="75" t="str">
        <f t="shared" si="12"/>
        <v>Adquisicion PF No_Premier Poder Judicial Mercado_Abierto Pago_Bajo_Puntual Si 10 0.103</v>
      </c>
      <c r="C350" s="75" t="s">
        <v>114</v>
      </c>
      <c r="D350" s="75" t="s">
        <v>132</v>
      </c>
      <c r="E350" s="75" t="s">
        <v>179</v>
      </c>
      <c r="F350" s="75" t="s">
        <v>176</v>
      </c>
      <c r="G350" s="75" t="s">
        <v>396</v>
      </c>
      <c r="H350" s="75"/>
      <c r="I350" s="75" t="s">
        <v>170</v>
      </c>
      <c r="J350" s="76">
        <v>10</v>
      </c>
      <c r="K350" s="519" t="s">
        <v>387</v>
      </c>
      <c r="L350" s="520">
        <v>12.62</v>
      </c>
      <c r="M350" s="520">
        <v>13.28</v>
      </c>
      <c r="N350" s="507">
        <v>0.10299999999999999</v>
      </c>
      <c r="O350" s="507">
        <v>0.1</v>
      </c>
      <c r="P350" s="507">
        <v>0.112</v>
      </c>
      <c r="Q350" s="78">
        <v>0.44</v>
      </c>
      <c r="R350" s="78">
        <v>0.31740000000000002</v>
      </c>
      <c r="S350" s="69">
        <v>2.5000000000000001E-2</v>
      </c>
      <c r="T350" s="69">
        <v>5.0000000000000001E-3</v>
      </c>
      <c r="U350" s="507">
        <v>0.9</v>
      </c>
      <c r="V350" s="76">
        <v>0</v>
      </c>
      <c r="W350" s="76">
        <v>0</v>
      </c>
      <c r="X350" s="76" t="s">
        <v>147</v>
      </c>
      <c r="Y350" s="519" t="s">
        <v>469</v>
      </c>
    </row>
    <row r="351" spans="1:25" x14ac:dyDescent="0.25">
      <c r="A351" s="75" t="str">
        <f t="shared" si="13"/>
        <v>Adquisicion PF No_Premier Poder Judicial Mercado_Abierto Pago_Bajo_Puntual 10</v>
      </c>
      <c r="B351" s="75" t="str">
        <f t="shared" si="12"/>
        <v>Adquisicion PF No_Premier Poder Judicial Mercado_Abierto Pago_Bajo_Puntual 10 0.106</v>
      </c>
      <c r="C351" s="75" t="s">
        <v>114</v>
      </c>
      <c r="D351" s="75" t="s">
        <v>132</v>
      </c>
      <c r="E351" s="75" t="s">
        <v>179</v>
      </c>
      <c r="F351" s="75" t="s">
        <v>176</v>
      </c>
      <c r="G351" s="75" t="s">
        <v>396</v>
      </c>
      <c r="H351" s="75"/>
      <c r="I351" s="75" t="s">
        <v>170</v>
      </c>
      <c r="J351" s="76">
        <v>10</v>
      </c>
      <c r="K351" s="519">
        <v>3</v>
      </c>
      <c r="L351" s="520">
        <v>12.78</v>
      </c>
      <c r="M351" s="520">
        <v>13.44</v>
      </c>
      <c r="N351" s="507">
        <v>0.106</v>
      </c>
      <c r="O351" s="507">
        <v>0.10299999999999999</v>
      </c>
      <c r="P351" s="507">
        <v>0.11799999999999999</v>
      </c>
      <c r="Q351" s="78">
        <v>0.44</v>
      </c>
      <c r="R351" s="78">
        <v>0.31740000000000002</v>
      </c>
      <c r="S351" s="69">
        <v>2.5000000000000001E-2</v>
      </c>
      <c r="T351" s="69">
        <v>5.0000000000000001E-3</v>
      </c>
      <c r="U351" s="507">
        <v>0.85</v>
      </c>
      <c r="V351" s="76">
        <v>0</v>
      </c>
      <c r="W351" s="76">
        <v>0</v>
      </c>
      <c r="X351" s="76"/>
      <c r="Y351" s="519" t="s">
        <v>469</v>
      </c>
    </row>
    <row r="352" spans="1:25" x14ac:dyDescent="0.25">
      <c r="A352" s="75" t="str">
        <f t="shared" si="13"/>
        <v>Adquisicion PF No_Premier Poder Judicial Mercado_Abierto Pago_Bajo_Puntual Si 5</v>
      </c>
      <c r="B352" s="75" t="str">
        <f t="shared" si="12"/>
        <v>Adquisicion PF No_Premier Poder Judicial Mercado_Abierto Pago_Bajo_Puntual Si 5 0.103</v>
      </c>
      <c r="C352" s="75" t="s">
        <v>114</v>
      </c>
      <c r="D352" s="75" t="s">
        <v>132</v>
      </c>
      <c r="E352" s="75" t="s">
        <v>179</v>
      </c>
      <c r="F352" s="75" t="s">
        <v>176</v>
      </c>
      <c r="G352" s="75" t="s">
        <v>396</v>
      </c>
      <c r="H352" s="75"/>
      <c r="I352" s="75" t="s">
        <v>170</v>
      </c>
      <c r="J352" s="76">
        <v>5</v>
      </c>
      <c r="K352" s="519" t="s">
        <v>387</v>
      </c>
      <c r="L352" s="520">
        <v>20.72</v>
      </c>
      <c r="M352" s="520">
        <v>21.38</v>
      </c>
      <c r="N352" s="507">
        <v>0.10299999999999999</v>
      </c>
      <c r="O352" s="507">
        <v>0.1</v>
      </c>
      <c r="P352" s="507">
        <v>0.112</v>
      </c>
      <c r="Q352" s="78">
        <v>0.44</v>
      </c>
      <c r="R352" s="78">
        <v>0.31740000000000002</v>
      </c>
      <c r="S352" s="69">
        <v>2.5000000000000001E-2</v>
      </c>
      <c r="T352" s="69">
        <v>5.0000000000000001E-3</v>
      </c>
      <c r="U352" s="507">
        <v>0.9</v>
      </c>
      <c r="V352" s="76">
        <v>0</v>
      </c>
      <c r="W352" s="76">
        <v>0</v>
      </c>
      <c r="X352" s="76" t="s">
        <v>147</v>
      </c>
      <c r="Y352" s="519" t="s">
        <v>469</v>
      </c>
    </row>
    <row r="353" spans="1:25" x14ac:dyDescent="0.25">
      <c r="A353" s="75" t="str">
        <f t="shared" si="13"/>
        <v>Adquisicion PF No_Premier Poder Judicial Mercado_Abierto Pago_Bajo_Puntual 5</v>
      </c>
      <c r="B353" s="75" t="str">
        <f t="shared" si="12"/>
        <v>Adquisicion PF No_Premier Poder Judicial Mercado_Abierto Pago_Bajo_Puntual 5 0.106</v>
      </c>
      <c r="C353" s="75" t="s">
        <v>114</v>
      </c>
      <c r="D353" s="75" t="s">
        <v>132</v>
      </c>
      <c r="E353" s="75" t="s">
        <v>179</v>
      </c>
      <c r="F353" s="75" t="s">
        <v>176</v>
      </c>
      <c r="G353" s="75" t="s">
        <v>396</v>
      </c>
      <c r="H353" s="75"/>
      <c r="I353" s="75" t="s">
        <v>170</v>
      </c>
      <c r="J353" s="76">
        <v>5</v>
      </c>
      <c r="K353" s="519">
        <v>3</v>
      </c>
      <c r="L353" s="520">
        <v>20.86</v>
      </c>
      <c r="M353" s="520">
        <v>21.52</v>
      </c>
      <c r="N353" s="507">
        <v>0.106</v>
      </c>
      <c r="O353" s="507">
        <v>0.10299999999999999</v>
      </c>
      <c r="P353" s="507">
        <v>0.11799999999999999</v>
      </c>
      <c r="Q353" s="78">
        <v>0.44</v>
      </c>
      <c r="R353" s="78">
        <v>0.31740000000000002</v>
      </c>
      <c r="S353" s="69">
        <v>2.5000000000000001E-2</v>
      </c>
      <c r="T353" s="69">
        <v>5.0000000000000001E-3</v>
      </c>
      <c r="U353" s="507">
        <v>0.85</v>
      </c>
      <c r="V353" s="76">
        <v>0</v>
      </c>
      <c r="W353" s="76">
        <v>0</v>
      </c>
      <c r="X353" s="76"/>
      <c r="Y353" s="519" t="s">
        <v>469</v>
      </c>
    </row>
    <row r="354" spans="1:25" x14ac:dyDescent="0.25">
      <c r="A354" s="75" t="str">
        <f t="shared" si="13"/>
        <v>Adquisicion PF No_Premier Poder Judicial Mercado_Abierto Pago_Fijo_Puntual 20</v>
      </c>
      <c r="B354" s="75" t="str">
        <f t="shared" si="12"/>
        <v>Adquisicion PF No_Premier Poder Judicial Mercado_Abierto Pago_Fijo_Puntual 20 0.0965</v>
      </c>
      <c r="C354" s="75" t="s">
        <v>114</v>
      </c>
      <c r="D354" s="75" t="s">
        <v>132</v>
      </c>
      <c r="E354" s="75" t="s">
        <v>179</v>
      </c>
      <c r="F354" s="75" t="s">
        <v>176</v>
      </c>
      <c r="G354" s="75" t="s">
        <v>396</v>
      </c>
      <c r="H354" s="75"/>
      <c r="I354" s="75" t="s">
        <v>171</v>
      </c>
      <c r="J354" s="76">
        <v>20</v>
      </c>
      <c r="K354" s="516" t="s">
        <v>385</v>
      </c>
      <c r="L354" s="517">
        <v>9.66</v>
      </c>
      <c r="M354" s="517">
        <v>10.32</v>
      </c>
      <c r="N354" s="518">
        <v>9.6500000000000002E-2</v>
      </c>
      <c r="O354" s="518">
        <v>9.1999999999999998E-2</v>
      </c>
      <c r="P354" s="518">
        <v>0.10249999999999999</v>
      </c>
      <c r="Q354" s="78">
        <v>0.44</v>
      </c>
      <c r="R354" s="78">
        <v>0.31740000000000002</v>
      </c>
      <c r="S354" s="69">
        <v>2.5000000000000001E-2</v>
      </c>
      <c r="T354" s="69">
        <v>5.0000000000000001E-3</v>
      </c>
      <c r="U354" s="518">
        <v>0.7</v>
      </c>
      <c r="V354" s="76">
        <v>0</v>
      </c>
      <c r="W354" s="76">
        <v>0</v>
      </c>
      <c r="X354" s="76"/>
      <c r="Y354" s="516" t="s">
        <v>470</v>
      </c>
    </row>
    <row r="355" spans="1:25" x14ac:dyDescent="0.25">
      <c r="A355" s="75" t="str">
        <f t="shared" si="13"/>
        <v>Adquisicion PF No_Premier Poder Judicial Mercado_Abierto Pago_Fijo_Puntual 20</v>
      </c>
      <c r="B355" s="75" t="str">
        <f t="shared" si="12"/>
        <v>Adquisicion PF No_Premier Poder Judicial Mercado_Abierto Pago_Fijo_Puntual 20 0.103</v>
      </c>
      <c r="C355" s="75" t="s">
        <v>114</v>
      </c>
      <c r="D355" s="75" t="s">
        <v>132</v>
      </c>
      <c r="E355" s="75" t="s">
        <v>179</v>
      </c>
      <c r="F355" s="75" t="s">
        <v>176</v>
      </c>
      <c r="G355" s="75" t="s">
        <v>396</v>
      </c>
      <c r="H355" s="75"/>
      <c r="I355" s="75" t="s">
        <v>171</v>
      </c>
      <c r="J355" s="76">
        <v>20</v>
      </c>
      <c r="K355" s="516" t="s">
        <v>386</v>
      </c>
      <c r="L355" s="517">
        <v>10.16</v>
      </c>
      <c r="M355" s="517">
        <v>10.82</v>
      </c>
      <c r="N355" s="518">
        <v>0.10299999999999999</v>
      </c>
      <c r="O355" s="518">
        <v>0.1</v>
      </c>
      <c r="P355" s="518">
        <v>0.112</v>
      </c>
      <c r="Q355" s="78">
        <v>0.44</v>
      </c>
      <c r="R355" s="78">
        <v>0.31740000000000002</v>
      </c>
      <c r="S355" s="69">
        <v>2.5000000000000001E-2</v>
      </c>
      <c r="T355" s="69">
        <v>5.0000000000000001E-3</v>
      </c>
      <c r="U355" s="518">
        <v>0.7</v>
      </c>
      <c r="V355" s="76">
        <v>0</v>
      </c>
      <c r="W355" s="76">
        <v>0</v>
      </c>
      <c r="X355" s="76"/>
      <c r="Y355" s="516" t="s">
        <v>470</v>
      </c>
    </row>
    <row r="356" spans="1:25" x14ac:dyDescent="0.25">
      <c r="A356" s="75" t="str">
        <f t="shared" si="13"/>
        <v>Adquisicion PF No_Premier Poder Judicial Mercado_Abierto Pago_Fijo_Puntual 15</v>
      </c>
      <c r="B356" s="75" t="str">
        <f t="shared" si="12"/>
        <v>Adquisicion PF No_Premier Poder Judicial Mercado_Abierto Pago_Fijo_Puntual 15 0.0965</v>
      </c>
      <c r="C356" s="75" t="s">
        <v>114</v>
      </c>
      <c r="D356" s="75" t="s">
        <v>132</v>
      </c>
      <c r="E356" s="75" t="s">
        <v>179</v>
      </c>
      <c r="F356" s="75" t="s">
        <v>176</v>
      </c>
      <c r="G356" s="75" t="s">
        <v>396</v>
      </c>
      <c r="H356" s="75"/>
      <c r="I356" s="75" t="s">
        <v>171</v>
      </c>
      <c r="J356" s="76">
        <v>15</v>
      </c>
      <c r="K356" s="516" t="s">
        <v>385</v>
      </c>
      <c r="L356" s="517">
        <v>10.73</v>
      </c>
      <c r="M356" s="517">
        <v>11.39</v>
      </c>
      <c r="N356" s="518">
        <v>9.6500000000000002E-2</v>
      </c>
      <c r="O356" s="518">
        <v>9.1999999999999998E-2</v>
      </c>
      <c r="P356" s="518">
        <v>0.10249999999999999</v>
      </c>
      <c r="Q356" s="78">
        <v>0.44</v>
      </c>
      <c r="R356" s="78">
        <v>0.31740000000000002</v>
      </c>
      <c r="S356" s="69">
        <v>2.5000000000000001E-2</v>
      </c>
      <c r="T356" s="69">
        <v>5.0000000000000001E-3</v>
      </c>
      <c r="U356" s="518">
        <v>0.7</v>
      </c>
      <c r="V356" s="76">
        <v>0</v>
      </c>
      <c r="W356" s="76">
        <v>0</v>
      </c>
      <c r="X356" s="76"/>
      <c r="Y356" s="516" t="s">
        <v>470</v>
      </c>
    </row>
    <row r="357" spans="1:25" x14ac:dyDescent="0.25">
      <c r="A357" s="75" t="str">
        <f t="shared" si="13"/>
        <v>Adquisicion PF No_Premier Poder Judicial Mercado_Abierto Pago_Fijo_Puntual 15</v>
      </c>
      <c r="B357" s="75" t="str">
        <f t="shared" si="12"/>
        <v>Adquisicion PF No_Premier Poder Judicial Mercado_Abierto Pago_Fijo_Puntual 15 0.103</v>
      </c>
      <c r="C357" s="75" t="s">
        <v>114</v>
      </c>
      <c r="D357" s="75" t="s">
        <v>132</v>
      </c>
      <c r="E357" s="75" t="s">
        <v>179</v>
      </c>
      <c r="F357" s="75" t="s">
        <v>176</v>
      </c>
      <c r="G357" s="75" t="s">
        <v>396</v>
      </c>
      <c r="H357" s="75"/>
      <c r="I357" s="75" t="s">
        <v>171</v>
      </c>
      <c r="J357" s="76">
        <v>15</v>
      </c>
      <c r="K357" s="516" t="s">
        <v>386</v>
      </c>
      <c r="L357" s="517">
        <v>11.18</v>
      </c>
      <c r="M357" s="517">
        <v>11.84</v>
      </c>
      <c r="N357" s="518">
        <v>0.10299999999999999</v>
      </c>
      <c r="O357" s="518">
        <v>0.1</v>
      </c>
      <c r="P357" s="518">
        <v>0.112</v>
      </c>
      <c r="Q357" s="78">
        <v>0.44</v>
      </c>
      <c r="R357" s="78">
        <v>0.31740000000000002</v>
      </c>
      <c r="S357" s="69">
        <v>2.5000000000000001E-2</v>
      </c>
      <c r="T357" s="69">
        <v>5.0000000000000001E-3</v>
      </c>
      <c r="U357" s="518">
        <v>0.7</v>
      </c>
      <c r="V357" s="76">
        <v>0</v>
      </c>
      <c r="W357" s="76">
        <v>0</v>
      </c>
      <c r="X357" s="76"/>
      <c r="Y357" s="516" t="s">
        <v>470</v>
      </c>
    </row>
    <row r="358" spans="1:25" x14ac:dyDescent="0.25">
      <c r="A358" s="75" t="str">
        <f t="shared" si="13"/>
        <v>Adquisicion PF No_Premier Poder Judicial Mercado_Abierto Pago_Fijo_Puntual 10</v>
      </c>
      <c r="B358" s="75" t="str">
        <f t="shared" si="12"/>
        <v>Adquisicion PF No_Premier Poder Judicial Mercado_Abierto Pago_Fijo_Puntual 10 0.0965</v>
      </c>
      <c r="C358" s="75" t="s">
        <v>114</v>
      </c>
      <c r="D358" s="75" t="s">
        <v>132</v>
      </c>
      <c r="E358" s="75" t="s">
        <v>179</v>
      </c>
      <c r="F358" s="75" t="s">
        <v>176</v>
      </c>
      <c r="G358" s="75" t="s">
        <v>396</v>
      </c>
      <c r="H358" s="75"/>
      <c r="I358" s="75" t="s">
        <v>171</v>
      </c>
      <c r="J358" s="76">
        <v>10</v>
      </c>
      <c r="K358" s="516" t="s">
        <v>385</v>
      </c>
      <c r="L358" s="517">
        <v>13.16</v>
      </c>
      <c r="M358" s="517">
        <v>13.82</v>
      </c>
      <c r="N358" s="518">
        <v>9.6500000000000002E-2</v>
      </c>
      <c r="O358" s="518">
        <v>9.1999999999999998E-2</v>
      </c>
      <c r="P358" s="518">
        <v>0.10249999999999999</v>
      </c>
      <c r="Q358" s="78">
        <v>0.44</v>
      </c>
      <c r="R358" s="78">
        <v>0.31740000000000002</v>
      </c>
      <c r="S358" s="69">
        <v>2.5000000000000001E-2</v>
      </c>
      <c r="T358" s="69">
        <v>5.0000000000000001E-3</v>
      </c>
      <c r="U358" s="518">
        <v>0.7</v>
      </c>
      <c r="V358" s="76">
        <v>0</v>
      </c>
      <c r="W358" s="76">
        <v>0</v>
      </c>
      <c r="X358" s="76"/>
      <c r="Y358" s="516" t="s">
        <v>470</v>
      </c>
    </row>
    <row r="359" spans="1:25" x14ac:dyDescent="0.25">
      <c r="A359" s="75" t="str">
        <f t="shared" si="13"/>
        <v>Adquisicion PF No_Premier Poder Judicial Mercado_Abierto Pago_Fijo_Puntual 10</v>
      </c>
      <c r="B359" s="75" t="str">
        <f t="shared" si="12"/>
        <v>Adquisicion PF No_Premier Poder Judicial Mercado_Abierto Pago_Fijo_Puntual 10 0.103</v>
      </c>
      <c r="C359" s="75" t="s">
        <v>114</v>
      </c>
      <c r="D359" s="75" t="s">
        <v>132</v>
      </c>
      <c r="E359" s="75" t="s">
        <v>179</v>
      </c>
      <c r="F359" s="75" t="s">
        <v>176</v>
      </c>
      <c r="G359" s="75" t="s">
        <v>396</v>
      </c>
      <c r="H359" s="75"/>
      <c r="I359" s="75" t="s">
        <v>171</v>
      </c>
      <c r="J359" s="76">
        <v>10</v>
      </c>
      <c r="K359" s="516" t="s">
        <v>386</v>
      </c>
      <c r="L359" s="517">
        <v>13.54</v>
      </c>
      <c r="M359" s="517">
        <v>14.2</v>
      </c>
      <c r="N359" s="518">
        <v>0.10299999999999999</v>
      </c>
      <c r="O359" s="518">
        <v>0.1</v>
      </c>
      <c r="P359" s="518">
        <v>0.112</v>
      </c>
      <c r="Q359" s="78">
        <v>0.44</v>
      </c>
      <c r="R359" s="78">
        <v>0.31740000000000002</v>
      </c>
      <c r="S359" s="69">
        <v>2.5000000000000001E-2</v>
      </c>
      <c r="T359" s="69">
        <v>5.0000000000000001E-3</v>
      </c>
      <c r="U359" s="518">
        <v>0.7</v>
      </c>
      <c r="V359" s="76">
        <v>0</v>
      </c>
      <c r="W359" s="76">
        <v>0</v>
      </c>
      <c r="X359" s="76"/>
      <c r="Y359" s="516" t="s">
        <v>470</v>
      </c>
    </row>
    <row r="360" spans="1:25" x14ac:dyDescent="0.25">
      <c r="A360" s="75" t="str">
        <f t="shared" si="13"/>
        <v>Adquisicion PF No_Premier Poder Judicial Mercado_Abierto Pago_Fijo_Puntual 5</v>
      </c>
      <c r="B360" s="75" t="str">
        <f t="shared" si="12"/>
        <v>Adquisicion PF No_Premier Poder Judicial Mercado_Abierto Pago_Fijo_Puntual 5 0.0965</v>
      </c>
      <c r="C360" s="75" t="s">
        <v>114</v>
      </c>
      <c r="D360" s="75" t="s">
        <v>132</v>
      </c>
      <c r="E360" s="75" t="s">
        <v>179</v>
      </c>
      <c r="F360" s="75" t="s">
        <v>176</v>
      </c>
      <c r="G360" s="75" t="s">
        <v>396</v>
      </c>
      <c r="H360" s="75"/>
      <c r="I360" s="75" t="s">
        <v>171</v>
      </c>
      <c r="J360" s="76">
        <v>5</v>
      </c>
      <c r="K360" s="516" t="s">
        <v>385</v>
      </c>
      <c r="L360" s="517">
        <v>21.12</v>
      </c>
      <c r="M360" s="517">
        <v>21.78</v>
      </c>
      <c r="N360" s="518">
        <v>9.6500000000000002E-2</v>
      </c>
      <c r="O360" s="518">
        <v>9.1999999999999998E-2</v>
      </c>
      <c r="P360" s="518">
        <v>0.10249999999999999</v>
      </c>
      <c r="Q360" s="78">
        <v>0.44</v>
      </c>
      <c r="R360" s="78">
        <v>0.31740000000000002</v>
      </c>
      <c r="S360" s="69">
        <v>2.5000000000000001E-2</v>
      </c>
      <c r="T360" s="69">
        <v>5.0000000000000001E-3</v>
      </c>
      <c r="U360" s="518">
        <v>0.7</v>
      </c>
      <c r="V360" s="76">
        <v>0</v>
      </c>
      <c r="W360" s="76">
        <v>0</v>
      </c>
      <c r="X360" s="76"/>
      <c r="Y360" s="516" t="s">
        <v>470</v>
      </c>
    </row>
    <row r="361" spans="1:25" x14ac:dyDescent="0.25">
      <c r="A361" s="75" t="str">
        <f t="shared" si="13"/>
        <v>Adquisicion PF No_Premier Poder Judicial Mercado_Abierto Pago_Fijo_Puntual 5</v>
      </c>
      <c r="B361" s="75" t="str">
        <f t="shared" si="12"/>
        <v>Adquisicion PF No_Premier Poder Judicial Mercado_Abierto Pago_Fijo_Puntual 5 0.103</v>
      </c>
      <c r="C361" s="75" t="s">
        <v>114</v>
      </c>
      <c r="D361" s="75" t="s">
        <v>132</v>
      </c>
      <c r="E361" s="75" t="s">
        <v>179</v>
      </c>
      <c r="F361" s="75" t="s">
        <v>176</v>
      </c>
      <c r="G361" s="75" t="s">
        <v>396</v>
      </c>
      <c r="H361" s="75"/>
      <c r="I361" s="75" t="s">
        <v>171</v>
      </c>
      <c r="J361" s="76">
        <v>5</v>
      </c>
      <c r="K361" s="516" t="s">
        <v>386</v>
      </c>
      <c r="L361" s="517">
        <v>21.44</v>
      </c>
      <c r="M361" s="517">
        <v>22.1</v>
      </c>
      <c r="N361" s="518">
        <v>0.10299999999999999</v>
      </c>
      <c r="O361" s="518">
        <v>0.1</v>
      </c>
      <c r="P361" s="518">
        <v>0.112</v>
      </c>
      <c r="Q361" s="78">
        <v>0.44</v>
      </c>
      <c r="R361" s="78">
        <v>0.31740000000000002</v>
      </c>
      <c r="S361" s="69">
        <v>2.5000000000000001E-2</v>
      </c>
      <c r="T361" s="69">
        <v>5.0000000000000001E-3</v>
      </c>
      <c r="U361" s="518">
        <v>0.7</v>
      </c>
      <c r="V361" s="76">
        <v>0</v>
      </c>
      <c r="W361" s="76">
        <v>0</v>
      </c>
      <c r="X361" s="76"/>
      <c r="Y361" s="516" t="s">
        <v>470</v>
      </c>
    </row>
    <row r="362" spans="1:25" x14ac:dyDescent="0.25">
      <c r="A362" s="75" t="str">
        <f t="shared" si="13"/>
        <v>Adquisicion PF No_Premier Poder Judicial Mercado_Abierto Pago_Bajo_Puntual 20</v>
      </c>
      <c r="B362" s="75" t="str">
        <f t="shared" si="12"/>
        <v>Adquisicion PF No_Premier Poder Judicial Mercado_Abierto Pago_Bajo_Puntual 20 0.0965</v>
      </c>
      <c r="C362" s="75" t="s">
        <v>114</v>
      </c>
      <c r="D362" s="75" t="s">
        <v>132</v>
      </c>
      <c r="E362" s="75" t="s">
        <v>179</v>
      </c>
      <c r="F362" s="75" t="s">
        <v>176</v>
      </c>
      <c r="G362" s="75" t="s">
        <v>396</v>
      </c>
      <c r="H362" s="75"/>
      <c r="I362" s="75" t="s">
        <v>170</v>
      </c>
      <c r="J362" s="76">
        <v>20</v>
      </c>
      <c r="K362" s="516" t="s">
        <v>385</v>
      </c>
      <c r="L362" s="517">
        <v>8.52</v>
      </c>
      <c r="M362" s="517">
        <v>9.18</v>
      </c>
      <c r="N362" s="518">
        <v>9.6500000000000002E-2</v>
      </c>
      <c r="O362" s="518">
        <v>9.1999999999999998E-2</v>
      </c>
      <c r="P362" s="518">
        <v>0.10249999999999999</v>
      </c>
      <c r="Q362" s="78">
        <v>0.44</v>
      </c>
      <c r="R362" s="78">
        <v>0.31740000000000002</v>
      </c>
      <c r="S362" s="69">
        <v>2.5000000000000001E-2</v>
      </c>
      <c r="T362" s="69">
        <v>5.0000000000000001E-3</v>
      </c>
      <c r="U362" s="518">
        <v>0.7</v>
      </c>
      <c r="V362" s="76">
        <v>0</v>
      </c>
      <c r="W362" s="76">
        <v>0</v>
      </c>
      <c r="X362" s="76"/>
      <c r="Y362" s="516" t="s">
        <v>470</v>
      </c>
    </row>
    <row r="363" spans="1:25" x14ac:dyDescent="0.25">
      <c r="A363" s="75" t="str">
        <f t="shared" si="13"/>
        <v>Adquisicion PF No_Premier Poder Judicial Mercado_Abierto Pago_Bajo_Puntual 20</v>
      </c>
      <c r="B363" s="75" t="str">
        <f t="shared" si="12"/>
        <v>Adquisicion PF No_Premier Poder Judicial Mercado_Abierto Pago_Bajo_Puntual 20 0.103</v>
      </c>
      <c r="C363" s="75" t="s">
        <v>114</v>
      </c>
      <c r="D363" s="75" t="s">
        <v>132</v>
      </c>
      <c r="E363" s="75" t="s">
        <v>179</v>
      </c>
      <c r="F363" s="75" t="s">
        <v>176</v>
      </c>
      <c r="G363" s="75" t="s">
        <v>396</v>
      </c>
      <c r="H363" s="75"/>
      <c r="I363" s="75" t="s">
        <v>170</v>
      </c>
      <c r="J363" s="76">
        <v>20</v>
      </c>
      <c r="K363" s="516" t="s">
        <v>386</v>
      </c>
      <c r="L363" s="517">
        <v>9</v>
      </c>
      <c r="M363" s="517">
        <v>9.66</v>
      </c>
      <c r="N363" s="518">
        <v>0.10299999999999999</v>
      </c>
      <c r="O363" s="518">
        <v>0.1</v>
      </c>
      <c r="P363" s="518">
        <v>0.112</v>
      </c>
      <c r="Q363" s="78">
        <v>0.44</v>
      </c>
      <c r="R363" s="78">
        <v>0.31740000000000002</v>
      </c>
      <c r="S363" s="69">
        <v>2.5000000000000001E-2</v>
      </c>
      <c r="T363" s="69">
        <v>5.0000000000000001E-3</v>
      </c>
      <c r="U363" s="518">
        <v>0.7</v>
      </c>
      <c r="V363" s="76">
        <v>0</v>
      </c>
      <c r="W363" s="76">
        <v>0</v>
      </c>
      <c r="X363" s="76"/>
      <c r="Y363" s="516" t="s">
        <v>470</v>
      </c>
    </row>
    <row r="364" spans="1:25" x14ac:dyDescent="0.25">
      <c r="A364" s="75" t="str">
        <f t="shared" si="13"/>
        <v>Adquisicion PF No_Premier Poder Judicial Mercado_Abierto Pago_Bajo_Puntual 15</v>
      </c>
      <c r="B364" s="75" t="str">
        <f t="shared" si="12"/>
        <v>Adquisicion PF No_Premier Poder Judicial Mercado_Abierto Pago_Bajo_Puntual 15 0.0965</v>
      </c>
      <c r="C364" s="75" t="s">
        <v>114</v>
      </c>
      <c r="D364" s="75" t="s">
        <v>132</v>
      </c>
      <c r="E364" s="75" t="s">
        <v>179</v>
      </c>
      <c r="F364" s="75" t="s">
        <v>176</v>
      </c>
      <c r="G364" s="75" t="s">
        <v>396</v>
      </c>
      <c r="H364" s="75"/>
      <c r="I364" s="75" t="s">
        <v>170</v>
      </c>
      <c r="J364" s="76">
        <v>15</v>
      </c>
      <c r="K364" s="516" t="s">
        <v>385</v>
      </c>
      <c r="L364" s="517">
        <v>9.6999999999999993</v>
      </c>
      <c r="M364" s="517">
        <v>10.36</v>
      </c>
      <c r="N364" s="518">
        <v>9.6500000000000002E-2</v>
      </c>
      <c r="O364" s="518">
        <v>9.1999999999999998E-2</v>
      </c>
      <c r="P364" s="518">
        <v>0.10249999999999999</v>
      </c>
      <c r="Q364" s="78">
        <v>0.44</v>
      </c>
      <c r="R364" s="78">
        <v>0.31740000000000002</v>
      </c>
      <c r="S364" s="69">
        <v>2.5000000000000001E-2</v>
      </c>
      <c r="T364" s="69">
        <v>5.0000000000000001E-3</v>
      </c>
      <c r="U364" s="518">
        <v>0.7</v>
      </c>
      <c r="V364" s="76">
        <v>0</v>
      </c>
      <c r="W364" s="76">
        <v>0</v>
      </c>
      <c r="X364" s="76"/>
      <c r="Y364" s="516" t="s">
        <v>470</v>
      </c>
    </row>
    <row r="365" spans="1:25" x14ac:dyDescent="0.25">
      <c r="A365" s="75" t="str">
        <f t="shared" si="13"/>
        <v>Adquisicion PF No_Premier Poder Judicial Mercado_Abierto Pago_Bajo_Puntual 15</v>
      </c>
      <c r="B365" s="75" t="str">
        <f t="shared" si="12"/>
        <v>Adquisicion PF No_Premier Poder Judicial Mercado_Abierto Pago_Bajo_Puntual 15 0.103</v>
      </c>
      <c r="C365" s="75" t="s">
        <v>114</v>
      </c>
      <c r="D365" s="75" t="s">
        <v>132</v>
      </c>
      <c r="E365" s="75" t="s">
        <v>179</v>
      </c>
      <c r="F365" s="75" t="s">
        <v>176</v>
      </c>
      <c r="G365" s="75" t="s">
        <v>396</v>
      </c>
      <c r="H365" s="75"/>
      <c r="I365" s="75" t="s">
        <v>170</v>
      </c>
      <c r="J365" s="76">
        <v>15</v>
      </c>
      <c r="K365" s="516" t="s">
        <v>386</v>
      </c>
      <c r="L365" s="517">
        <v>10.119999999999999</v>
      </c>
      <c r="M365" s="517">
        <v>10.78</v>
      </c>
      <c r="N365" s="518">
        <v>0.10299999999999999</v>
      </c>
      <c r="O365" s="518">
        <v>0.1</v>
      </c>
      <c r="P365" s="518">
        <v>0.112</v>
      </c>
      <c r="Q365" s="78">
        <v>0.44</v>
      </c>
      <c r="R365" s="78">
        <v>0.31740000000000002</v>
      </c>
      <c r="S365" s="69">
        <v>2.5000000000000001E-2</v>
      </c>
      <c r="T365" s="69">
        <v>5.0000000000000001E-3</v>
      </c>
      <c r="U365" s="518">
        <v>0.7</v>
      </c>
      <c r="V365" s="76">
        <v>0</v>
      </c>
      <c r="W365" s="76">
        <v>0</v>
      </c>
      <c r="X365" s="76"/>
      <c r="Y365" s="516" t="s">
        <v>470</v>
      </c>
    </row>
    <row r="366" spans="1:25" x14ac:dyDescent="0.25">
      <c r="A366" s="75" t="str">
        <f t="shared" si="13"/>
        <v>Adquisicion PF No_Premier Poder Judicial Mercado_Abierto Pago_Bajo_Puntual 10</v>
      </c>
      <c r="B366" s="75" t="str">
        <f t="shared" si="12"/>
        <v>Adquisicion PF No_Premier Poder Judicial Mercado_Abierto Pago_Bajo_Puntual 10 0.0965</v>
      </c>
      <c r="C366" s="75" t="s">
        <v>114</v>
      </c>
      <c r="D366" s="75" t="s">
        <v>132</v>
      </c>
      <c r="E366" s="75" t="s">
        <v>179</v>
      </c>
      <c r="F366" s="75" t="s">
        <v>176</v>
      </c>
      <c r="G366" s="75" t="s">
        <v>396</v>
      </c>
      <c r="H366" s="75"/>
      <c r="I366" s="75" t="s">
        <v>170</v>
      </c>
      <c r="J366" s="76">
        <v>10</v>
      </c>
      <c r="K366" s="516" t="s">
        <v>385</v>
      </c>
      <c r="L366" s="517">
        <v>12.25</v>
      </c>
      <c r="M366" s="517">
        <v>12.91</v>
      </c>
      <c r="N366" s="518">
        <v>9.6500000000000002E-2</v>
      </c>
      <c r="O366" s="518">
        <v>9.1999999999999998E-2</v>
      </c>
      <c r="P366" s="518">
        <v>0.10249999999999999</v>
      </c>
      <c r="Q366" s="78">
        <v>0.44</v>
      </c>
      <c r="R366" s="78">
        <v>0.31740000000000002</v>
      </c>
      <c r="S366" s="69">
        <v>2.5000000000000001E-2</v>
      </c>
      <c r="T366" s="69">
        <v>5.0000000000000001E-3</v>
      </c>
      <c r="U366" s="518">
        <v>0.7</v>
      </c>
      <c r="V366" s="76">
        <v>0</v>
      </c>
      <c r="W366" s="76">
        <v>0</v>
      </c>
      <c r="X366" s="76"/>
      <c r="Y366" s="516" t="s">
        <v>470</v>
      </c>
    </row>
    <row r="367" spans="1:25" x14ac:dyDescent="0.25">
      <c r="A367" s="75" t="str">
        <f t="shared" si="13"/>
        <v>Adquisicion PF No_Premier Poder Judicial Mercado_Abierto Pago_Bajo_Puntual 10</v>
      </c>
      <c r="B367" s="75" t="str">
        <f t="shared" si="12"/>
        <v>Adquisicion PF No_Premier Poder Judicial Mercado_Abierto Pago_Bajo_Puntual 10 0.103</v>
      </c>
      <c r="C367" s="75" t="s">
        <v>114</v>
      </c>
      <c r="D367" s="75" t="s">
        <v>132</v>
      </c>
      <c r="E367" s="75" t="s">
        <v>179</v>
      </c>
      <c r="F367" s="75" t="s">
        <v>176</v>
      </c>
      <c r="G367" s="75" t="s">
        <v>396</v>
      </c>
      <c r="H367" s="75"/>
      <c r="I367" s="75" t="s">
        <v>170</v>
      </c>
      <c r="J367" s="76">
        <v>10</v>
      </c>
      <c r="K367" s="516" t="s">
        <v>386</v>
      </c>
      <c r="L367" s="517">
        <v>12.62</v>
      </c>
      <c r="M367" s="517">
        <v>13.28</v>
      </c>
      <c r="N367" s="518">
        <v>0.10299999999999999</v>
      </c>
      <c r="O367" s="518">
        <v>0.1</v>
      </c>
      <c r="P367" s="518">
        <v>0.112</v>
      </c>
      <c r="Q367" s="78">
        <v>0.44</v>
      </c>
      <c r="R367" s="78">
        <v>0.31740000000000002</v>
      </c>
      <c r="S367" s="69">
        <v>2.5000000000000001E-2</v>
      </c>
      <c r="T367" s="69">
        <v>5.0000000000000001E-3</v>
      </c>
      <c r="U367" s="518">
        <v>0.7</v>
      </c>
      <c r="V367" s="76">
        <v>0</v>
      </c>
      <c r="W367" s="76">
        <v>0</v>
      </c>
      <c r="X367" s="76"/>
      <c r="Y367" s="516" t="s">
        <v>470</v>
      </c>
    </row>
    <row r="368" spans="1:25" x14ac:dyDescent="0.25">
      <c r="A368" s="75" t="str">
        <f t="shared" si="13"/>
        <v>Adquisicion PF No_Premier Poder Judicial Mercado_Abierto Pago_Bajo_Puntual 5</v>
      </c>
      <c r="B368" s="75" t="str">
        <f t="shared" si="12"/>
        <v>Adquisicion PF No_Premier Poder Judicial Mercado_Abierto Pago_Bajo_Puntual 5 0.0965</v>
      </c>
      <c r="C368" s="75" t="s">
        <v>114</v>
      </c>
      <c r="D368" s="75" t="s">
        <v>132</v>
      </c>
      <c r="E368" s="75" t="s">
        <v>179</v>
      </c>
      <c r="F368" s="75" t="s">
        <v>176</v>
      </c>
      <c r="G368" s="75" t="s">
        <v>396</v>
      </c>
      <c r="H368" s="75"/>
      <c r="I368" s="75" t="s">
        <v>170</v>
      </c>
      <c r="J368" s="76">
        <v>5</v>
      </c>
      <c r="K368" s="516" t="s">
        <v>385</v>
      </c>
      <c r="L368" s="517">
        <v>20.399999999999999</v>
      </c>
      <c r="M368" s="517">
        <v>21.06</v>
      </c>
      <c r="N368" s="518">
        <v>9.6500000000000002E-2</v>
      </c>
      <c r="O368" s="518">
        <v>9.1999999999999998E-2</v>
      </c>
      <c r="P368" s="518">
        <v>0.10249999999999999</v>
      </c>
      <c r="Q368" s="78">
        <v>0.44</v>
      </c>
      <c r="R368" s="78">
        <v>0.31740000000000002</v>
      </c>
      <c r="S368" s="69">
        <v>2.5000000000000001E-2</v>
      </c>
      <c r="T368" s="69">
        <v>5.0000000000000001E-3</v>
      </c>
      <c r="U368" s="518">
        <v>0.7</v>
      </c>
      <c r="V368" s="76">
        <v>0</v>
      </c>
      <c r="W368" s="76">
        <v>0</v>
      </c>
      <c r="X368" s="76"/>
      <c r="Y368" s="516" t="s">
        <v>470</v>
      </c>
    </row>
    <row r="369" spans="1:25" x14ac:dyDescent="0.25">
      <c r="A369" s="75" t="str">
        <f t="shared" si="13"/>
        <v>Adquisicion PF No_Premier Poder Judicial Mercado_Abierto Pago_Bajo_Puntual 5</v>
      </c>
      <c r="B369" s="75" t="str">
        <f t="shared" si="12"/>
        <v>Adquisicion PF No_Premier Poder Judicial Mercado_Abierto Pago_Bajo_Puntual 5 0.103</v>
      </c>
      <c r="C369" s="75" t="s">
        <v>114</v>
      </c>
      <c r="D369" s="75" t="s">
        <v>132</v>
      </c>
      <c r="E369" s="75" t="s">
        <v>179</v>
      </c>
      <c r="F369" s="75" t="s">
        <v>176</v>
      </c>
      <c r="G369" s="75" t="s">
        <v>396</v>
      </c>
      <c r="H369" s="75"/>
      <c r="I369" s="75" t="s">
        <v>170</v>
      </c>
      <c r="J369" s="76">
        <v>5</v>
      </c>
      <c r="K369" s="516" t="s">
        <v>386</v>
      </c>
      <c r="L369" s="517">
        <v>20.72</v>
      </c>
      <c r="M369" s="517">
        <v>21.38</v>
      </c>
      <c r="N369" s="518">
        <v>0.10299999999999999</v>
      </c>
      <c r="O369" s="518">
        <v>0.1</v>
      </c>
      <c r="P369" s="518">
        <v>0.112</v>
      </c>
      <c r="Q369" s="78">
        <v>0.44</v>
      </c>
      <c r="R369" s="78">
        <v>0.31740000000000002</v>
      </c>
      <c r="S369" s="69">
        <v>2.5000000000000001E-2</v>
      </c>
      <c r="T369" s="69">
        <v>5.0000000000000001E-3</v>
      </c>
      <c r="U369" s="518">
        <v>0.7</v>
      </c>
      <c r="V369" s="76">
        <v>0</v>
      </c>
      <c r="W369" s="76">
        <v>0</v>
      </c>
      <c r="X369" s="76"/>
      <c r="Y369" s="516" t="s">
        <v>470</v>
      </c>
    </row>
    <row r="370" spans="1:25" x14ac:dyDescent="0.25">
      <c r="A370" s="75" t="str">
        <f t="shared" si="13"/>
        <v>Adquisicion PF No_Premier Normal Apoyo Infonavit Pago_Fijo_Puntual 25</v>
      </c>
      <c r="B370" s="75" t="str">
        <f t="shared" si="12"/>
        <v>Adquisicion PF No_Premier Normal Apoyo Infonavit Pago_Fijo_Puntual 25 0.0965</v>
      </c>
      <c r="C370" s="75" t="s">
        <v>114</v>
      </c>
      <c r="D370" s="75" t="s">
        <v>132</v>
      </c>
      <c r="E370" s="75" t="s">
        <v>179</v>
      </c>
      <c r="F370" s="75" t="s">
        <v>180</v>
      </c>
      <c r="G370" s="75" t="s">
        <v>112</v>
      </c>
      <c r="H370" s="75"/>
      <c r="I370" s="75" t="s">
        <v>171</v>
      </c>
      <c r="J370" s="76">
        <v>25</v>
      </c>
      <c r="K370" s="516" t="s">
        <v>385</v>
      </c>
      <c r="L370" s="517">
        <v>9.11</v>
      </c>
      <c r="M370" s="517">
        <v>9.77</v>
      </c>
      <c r="N370" s="518">
        <v>9.6500000000000002E-2</v>
      </c>
      <c r="O370" s="518">
        <v>9.1999999999999998E-2</v>
      </c>
      <c r="P370" s="518">
        <v>0.10249999999999999</v>
      </c>
      <c r="Q370" s="78">
        <v>0.44</v>
      </c>
      <c r="R370" s="78">
        <v>0.31740000000000002</v>
      </c>
      <c r="S370" s="69">
        <v>2.5000000000000001E-2</v>
      </c>
      <c r="T370" s="69">
        <v>5.0000000000000001E-3</v>
      </c>
      <c r="U370" s="518">
        <v>0.7</v>
      </c>
      <c r="V370" s="76">
        <v>0</v>
      </c>
      <c r="W370" s="76">
        <v>0</v>
      </c>
      <c r="X370" s="76"/>
      <c r="Y370" s="516" t="s">
        <v>470</v>
      </c>
    </row>
    <row r="371" spans="1:25" x14ac:dyDescent="0.25">
      <c r="A371" s="75" t="str">
        <f t="shared" si="13"/>
        <v>Adquisicion PF No_Premier Normal Apoyo Infonavit Pago_Fijo_Puntual 25</v>
      </c>
      <c r="B371" s="75" t="str">
        <f t="shared" si="12"/>
        <v>Adquisicion PF No_Premier Normal Apoyo Infonavit Pago_Fijo_Puntual 25 0.103</v>
      </c>
      <c r="C371" s="75" t="s">
        <v>114</v>
      </c>
      <c r="D371" s="75" t="s">
        <v>132</v>
      </c>
      <c r="E371" s="75" t="s">
        <v>179</v>
      </c>
      <c r="F371" s="75" t="s">
        <v>180</v>
      </c>
      <c r="G371" s="75" t="s">
        <v>112</v>
      </c>
      <c r="H371" s="75"/>
      <c r="I371" s="75" t="s">
        <v>171</v>
      </c>
      <c r="J371" s="76">
        <v>25</v>
      </c>
      <c r="K371" s="516" t="s">
        <v>386</v>
      </c>
      <c r="L371" s="517">
        <v>9.65</v>
      </c>
      <c r="M371" s="517">
        <v>10.31</v>
      </c>
      <c r="N371" s="518">
        <v>0.10299999999999999</v>
      </c>
      <c r="O371" s="518">
        <v>0.1</v>
      </c>
      <c r="P371" s="518">
        <v>0.112</v>
      </c>
      <c r="Q371" s="78">
        <v>0.44</v>
      </c>
      <c r="R371" s="78">
        <v>0.31740000000000002</v>
      </c>
      <c r="S371" s="69">
        <v>2.5000000000000001E-2</v>
      </c>
      <c r="T371" s="69">
        <v>5.0000000000000001E-3</v>
      </c>
      <c r="U371" s="518">
        <v>0.7</v>
      </c>
      <c r="V371" s="76">
        <v>0</v>
      </c>
      <c r="W371" s="76">
        <v>0</v>
      </c>
      <c r="X371" s="76"/>
      <c r="Y371" s="516" t="s">
        <v>470</v>
      </c>
    </row>
    <row r="372" spans="1:25" x14ac:dyDescent="0.25">
      <c r="A372" s="75" t="str">
        <f t="shared" si="13"/>
        <v>Adquisicion PF No_Premier Normal Apoyo Infonavit Pago_Fijo_Puntual 20</v>
      </c>
      <c r="B372" s="75" t="str">
        <f t="shared" si="12"/>
        <v>Adquisicion PF No_Premier Normal Apoyo Infonavit Pago_Fijo_Puntual 20 0.0965</v>
      </c>
      <c r="C372" s="75" t="s">
        <v>114</v>
      </c>
      <c r="D372" s="75" t="s">
        <v>132</v>
      </c>
      <c r="E372" s="75" t="s">
        <v>179</v>
      </c>
      <c r="F372" s="75" t="s">
        <v>180</v>
      </c>
      <c r="G372" s="75" t="s">
        <v>112</v>
      </c>
      <c r="H372" s="75"/>
      <c r="I372" s="75" t="s">
        <v>171</v>
      </c>
      <c r="J372" s="76">
        <v>20</v>
      </c>
      <c r="K372" s="516" t="s">
        <v>385</v>
      </c>
      <c r="L372" s="517">
        <v>9.66</v>
      </c>
      <c r="M372" s="517">
        <v>10.32</v>
      </c>
      <c r="N372" s="518">
        <v>9.6500000000000002E-2</v>
      </c>
      <c r="O372" s="518">
        <v>9.1999999999999998E-2</v>
      </c>
      <c r="P372" s="518">
        <v>0.10249999999999999</v>
      </c>
      <c r="Q372" s="78">
        <v>0.44</v>
      </c>
      <c r="R372" s="78">
        <v>0.31740000000000002</v>
      </c>
      <c r="S372" s="69">
        <v>2.5000000000000001E-2</v>
      </c>
      <c r="T372" s="69">
        <v>5.0000000000000001E-3</v>
      </c>
      <c r="U372" s="518">
        <v>0.7</v>
      </c>
      <c r="V372" s="76">
        <v>0</v>
      </c>
      <c r="W372" s="76">
        <v>0</v>
      </c>
      <c r="X372" s="76"/>
      <c r="Y372" s="516" t="s">
        <v>470</v>
      </c>
    </row>
    <row r="373" spans="1:25" x14ac:dyDescent="0.25">
      <c r="A373" s="75" t="str">
        <f t="shared" si="13"/>
        <v>Adquisicion PF No_Premier Normal Apoyo Infonavit Pago_Fijo_Puntual 20</v>
      </c>
      <c r="B373" s="75" t="str">
        <f t="shared" si="12"/>
        <v>Adquisicion PF No_Premier Normal Apoyo Infonavit Pago_Fijo_Puntual 20 0.103</v>
      </c>
      <c r="C373" s="75" t="s">
        <v>114</v>
      </c>
      <c r="D373" s="75" t="s">
        <v>132</v>
      </c>
      <c r="E373" s="75" t="s">
        <v>179</v>
      </c>
      <c r="F373" s="75" t="s">
        <v>180</v>
      </c>
      <c r="G373" s="75" t="s">
        <v>112</v>
      </c>
      <c r="H373" s="75"/>
      <c r="I373" s="75" t="s">
        <v>171</v>
      </c>
      <c r="J373" s="76">
        <v>20</v>
      </c>
      <c r="K373" s="516" t="s">
        <v>386</v>
      </c>
      <c r="L373" s="517">
        <v>10.16</v>
      </c>
      <c r="M373" s="517">
        <v>10.82</v>
      </c>
      <c r="N373" s="518">
        <v>0.10299999999999999</v>
      </c>
      <c r="O373" s="518">
        <v>0.1</v>
      </c>
      <c r="P373" s="518">
        <v>0.112</v>
      </c>
      <c r="Q373" s="78">
        <v>0.44</v>
      </c>
      <c r="R373" s="78">
        <v>0.31740000000000002</v>
      </c>
      <c r="S373" s="69">
        <v>2.5000000000000001E-2</v>
      </c>
      <c r="T373" s="69">
        <v>5.0000000000000001E-3</v>
      </c>
      <c r="U373" s="518">
        <v>0.7</v>
      </c>
      <c r="V373" s="76">
        <v>0</v>
      </c>
      <c r="W373" s="76">
        <v>0</v>
      </c>
      <c r="X373" s="76"/>
      <c r="Y373" s="516" t="s">
        <v>470</v>
      </c>
    </row>
    <row r="374" spans="1:25" x14ac:dyDescent="0.25">
      <c r="A374" s="75" t="str">
        <f t="shared" si="13"/>
        <v>Adquisicion PF No_Premier Normal Apoyo Infonavit Pago_Fijo_Puntual 15</v>
      </c>
      <c r="B374" s="75" t="str">
        <f t="shared" si="12"/>
        <v>Adquisicion PF No_Premier Normal Apoyo Infonavit Pago_Fijo_Puntual 15 0.0965</v>
      </c>
      <c r="C374" s="75" t="s">
        <v>114</v>
      </c>
      <c r="D374" s="75" t="s">
        <v>132</v>
      </c>
      <c r="E374" s="75" t="s">
        <v>179</v>
      </c>
      <c r="F374" s="75" t="s">
        <v>180</v>
      </c>
      <c r="G374" s="75" t="s">
        <v>112</v>
      </c>
      <c r="H374" s="75"/>
      <c r="I374" s="75" t="s">
        <v>171</v>
      </c>
      <c r="J374" s="76">
        <v>15</v>
      </c>
      <c r="K374" s="516" t="s">
        <v>385</v>
      </c>
      <c r="L374" s="517">
        <v>10.73</v>
      </c>
      <c r="M374" s="517">
        <v>11.39</v>
      </c>
      <c r="N374" s="518">
        <v>9.6500000000000002E-2</v>
      </c>
      <c r="O374" s="518">
        <v>9.1999999999999998E-2</v>
      </c>
      <c r="P374" s="518">
        <v>0.10249999999999999</v>
      </c>
      <c r="Q374" s="78">
        <v>0.44</v>
      </c>
      <c r="R374" s="78">
        <v>0.31740000000000002</v>
      </c>
      <c r="S374" s="69">
        <v>2.5000000000000001E-2</v>
      </c>
      <c r="T374" s="69">
        <v>5.0000000000000001E-3</v>
      </c>
      <c r="U374" s="518">
        <v>0.7</v>
      </c>
      <c r="V374" s="76">
        <v>0</v>
      </c>
      <c r="W374" s="76">
        <v>0</v>
      </c>
      <c r="X374" s="76"/>
      <c r="Y374" s="516" t="s">
        <v>470</v>
      </c>
    </row>
    <row r="375" spans="1:25" x14ac:dyDescent="0.25">
      <c r="A375" s="75" t="str">
        <f t="shared" si="13"/>
        <v>Adquisicion PF No_Premier Normal Apoyo Infonavit Pago_Fijo_Puntual 15</v>
      </c>
      <c r="B375" s="75" t="str">
        <f t="shared" si="12"/>
        <v>Adquisicion PF No_Premier Normal Apoyo Infonavit Pago_Fijo_Puntual 15 0.103</v>
      </c>
      <c r="C375" s="75" t="s">
        <v>114</v>
      </c>
      <c r="D375" s="75" t="s">
        <v>132</v>
      </c>
      <c r="E375" s="75" t="s">
        <v>179</v>
      </c>
      <c r="F375" s="75" t="s">
        <v>180</v>
      </c>
      <c r="G375" s="75" t="s">
        <v>112</v>
      </c>
      <c r="H375" s="75"/>
      <c r="I375" s="75" t="s">
        <v>171</v>
      </c>
      <c r="J375" s="76">
        <v>15</v>
      </c>
      <c r="K375" s="516" t="s">
        <v>386</v>
      </c>
      <c r="L375" s="517">
        <v>11.18</v>
      </c>
      <c r="M375" s="517">
        <v>11.84</v>
      </c>
      <c r="N375" s="518">
        <v>0.10299999999999999</v>
      </c>
      <c r="O375" s="518">
        <v>0.1</v>
      </c>
      <c r="P375" s="518">
        <v>0.112</v>
      </c>
      <c r="Q375" s="78">
        <v>0.44</v>
      </c>
      <c r="R375" s="78">
        <v>0.31740000000000002</v>
      </c>
      <c r="S375" s="69">
        <v>2.5000000000000001E-2</v>
      </c>
      <c r="T375" s="69">
        <v>5.0000000000000001E-3</v>
      </c>
      <c r="U375" s="518">
        <v>0.7</v>
      </c>
      <c r="V375" s="76">
        <v>0</v>
      </c>
      <c r="W375" s="76">
        <v>0</v>
      </c>
      <c r="X375" s="76"/>
      <c r="Y375" s="516" t="s">
        <v>470</v>
      </c>
    </row>
    <row r="376" spans="1:25" x14ac:dyDescent="0.25">
      <c r="A376" s="75" t="str">
        <f t="shared" si="13"/>
        <v>Adquisicion PF No_Premier Normal Apoyo Infonavit Pago_Fijo_Puntual 10</v>
      </c>
      <c r="B376" s="75" t="str">
        <f t="shared" si="12"/>
        <v>Adquisicion PF No_Premier Normal Apoyo Infonavit Pago_Fijo_Puntual 10 0.0965</v>
      </c>
      <c r="C376" s="75" t="s">
        <v>114</v>
      </c>
      <c r="D376" s="75" t="s">
        <v>132</v>
      </c>
      <c r="E376" s="75" t="s">
        <v>179</v>
      </c>
      <c r="F376" s="75" t="s">
        <v>180</v>
      </c>
      <c r="G376" s="75" t="s">
        <v>112</v>
      </c>
      <c r="H376" s="75"/>
      <c r="I376" s="75" t="s">
        <v>171</v>
      </c>
      <c r="J376" s="76">
        <v>10</v>
      </c>
      <c r="K376" s="516" t="s">
        <v>385</v>
      </c>
      <c r="L376" s="517">
        <v>13.16</v>
      </c>
      <c r="M376" s="517">
        <v>13.82</v>
      </c>
      <c r="N376" s="518">
        <v>9.6500000000000002E-2</v>
      </c>
      <c r="O376" s="518">
        <v>9.1999999999999998E-2</v>
      </c>
      <c r="P376" s="518">
        <v>0.10249999999999999</v>
      </c>
      <c r="Q376" s="78">
        <v>0.44</v>
      </c>
      <c r="R376" s="78">
        <v>0.31740000000000002</v>
      </c>
      <c r="S376" s="69">
        <v>2.5000000000000001E-2</v>
      </c>
      <c r="T376" s="69">
        <v>5.0000000000000001E-3</v>
      </c>
      <c r="U376" s="518">
        <v>0.7</v>
      </c>
      <c r="V376" s="76">
        <v>0</v>
      </c>
      <c r="W376" s="76">
        <v>0</v>
      </c>
      <c r="X376" s="76"/>
      <c r="Y376" s="516" t="s">
        <v>470</v>
      </c>
    </row>
    <row r="377" spans="1:25" x14ac:dyDescent="0.25">
      <c r="A377" s="75" t="str">
        <f t="shared" si="13"/>
        <v>Adquisicion PF No_Premier Normal Apoyo Infonavit Pago_Fijo_Puntual 10</v>
      </c>
      <c r="B377" s="75" t="str">
        <f t="shared" si="12"/>
        <v>Adquisicion PF No_Premier Normal Apoyo Infonavit Pago_Fijo_Puntual 10 0.103</v>
      </c>
      <c r="C377" s="75" t="s">
        <v>114</v>
      </c>
      <c r="D377" s="75" t="s">
        <v>132</v>
      </c>
      <c r="E377" s="75" t="s">
        <v>179</v>
      </c>
      <c r="F377" s="75" t="s">
        <v>180</v>
      </c>
      <c r="G377" s="75" t="s">
        <v>112</v>
      </c>
      <c r="H377" s="75"/>
      <c r="I377" s="75" t="s">
        <v>171</v>
      </c>
      <c r="J377" s="76">
        <v>10</v>
      </c>
      <c r="K377" s="516" t="s">
        <v>386</v>
      </c>
      <c r="L377" s="517">
        <v>13.54</v>
      </c>
      <c r="M377" s="517">
        <v>14.2</v>
      </c>
      <c r="N377" s="518">
        <v>0.10299999999999999</v>
      </c>
      <c r="O377" s="518">
        <v>0.1</v>
      </c>
      <c r="P377" s="518">
        <v>0.112</v>
      </c>
      <c r="Q377" s="78">
        <v>0.44</v>
      </c>
      <c r="R377" s="78">
        <v>0.31740000000000002</v>
      </c>
      <c r="S377" s="69">
        <v>2.5000000000000001E-2</v>
      </c>
      <c r="T377" s="69">
        <v>5.0000000000000001E-3</v>
      </c>
      <c r="U377" s="518">
        <v>0.7</v>
      </c>
      <c r="V377" s="76">
        <v>0</v>
      </c>
      <c r="W377" s="76">
        <v>0</v>
      </c>
      <c r="X377" s="76"/>
      <c r="Y377" s="516" t="s">
        <v>470</v>
      </c>
    </row>
    <row r="378" spans="1:25" x14ac:dyDescent="0.25">
      <c r="A378" s="75" t="str">
        <f t="shared" si="13"/>
        <v>Adquisicion PF No_Premier Normal Apoyo Infonavit Pago_Fijo_Puntual 5</v>
      </c>
      <c r="B378" s="75" t="str">
        <f t="shared" si="12"/>
        <v>Adquisicion PF No_Premier Normal Apoyo Infonavit Pago_Fijo_Puntual 5 0.0965</v>
      </c>
      <c r="C378" s="75" t="s">
        <v>114</v>
      </c>
      <c r="D378" s="75" t="s">
        <v>132</v>
      </c>
      <c r="E378" s="75" t="s">
        <v>179</v>
      </c>
      <c r="F378" s="75" t="s">
        <v>180</v>
      </c>
      <c r="G378" s="75" t="s">
        <v>112</v>
      </c>
      <c r="H378" s="75"/>
      <c r="I378" s="75" t="s">
        <v>171</v>
      </c>
      <c r="J378" s="76">
        <v>5</v>
      </c>
      <c r="K378" s="516" t="s">
        <v>385</v>
      </c>
      <c r="L378" s="517">
        <v>21.12</v>
      </c>
      <c r="M378" s="517">
        <v>21.78</v>
      </c>
      <c r="N378" s="518">
        <v>9.6500000000000002E-2</v>
      </c>
      <c r="O378" s="518">
        <v>9.1999999999999998E-2</v>
      </c>
      <c r="P378" s="518">
        <v>0.10249999999999999</v>
      </c>
      <c r="Q378" s="78">
        <v>0.44</v>
      </c>
      <c r="R378" s="78">
        <v>0.31740000000000002</v>
      </c>
      <c r="S378" s="69">
        <v>2.5000000000000001E-2</v>
      </c>
      <c r="T378" s="69">
        <v>5.0000000000000001E-3</v>
      </c>
      <c r="U378" s="518">
        <v>0.7</v>
      </c>
      <c r="V378" s="76">
        <v>0</v>
      </c>
      <c r="W378" s="76">
        <v>0</v>
      </c>
      <c r="X378" s="76"/>
      <c r="Y378" s="516" t="s">
        <v>470</v>
      </c>
    </row>
    <row r="379" spans="1:25" x14ac:dyDescent="0.25">
      <c r="A379" s="75" t="str">
        <f t="shared" si="13"/>
        <v>Adquisicion PF No_Premier Normal Apoyo Infonavit Pago_Fijo_Puntual 5</v>
      </c>
      <c r="B379" s="75" t="str">
        <f t="shared" si="12"/>
        <v>Adquisicion PF No_Premier Normal Apoyo Infonavit Pago_Fijo_Puntual 5 0.103</v>
      </c>
      <c r="C379" s="75" t="s">
        <v>114</v>
      </c>
      <c r="D379" s="75" t="s">
        <v>132</v>
      </c>
      <c r="E379" s="75" t="s">
        <v>179</v>
      </c>
      <c r="F379" s="75" t="s">
        <v>180</v>
      </c>
      <c r="G379" s="75" t="s">
        <v>112</v>
      </c>
      <c r="H379" s="75"/>
      <c r="I379" s="75" t="s">
        <v>171</v>
      </c>
      <c r="J379" s="76">
        <v>5</v>
      </c>
      <c r="K379" s="516" t="s">
        <v>386</v>
      </c>
      <c r="L379" s="517">
        <v>21.44</v>
      </c>
      <c r="M379" s="517">
        <v>22.1</v>
      </c>
      <c r="N379" s="518">
        <v>0.10299999999999999</v>
      </c>
      <c r="O379" s="518">
        <v>0.1</v>
      </c>
      <c r="P379" s="518">
        <v>0.112</v>
      </c>
      <c r="Q379" s="78">
        <v>0.44</v>
      </c>
      <c r="R379" s="78">
        <v>0.31740000000000002</v>
      </c>
      <c r="S379" s="69">
        <v>2.5000000000000001E-2</v>
      </c>
      <c r="T379" s="69">
        <v>5.0000000000000001E-3</v>
      </c>
      <c r="U379" s="518">
        <v>0.7</v>
      </c>
      <c r="V379" s="76">
        <v>0</v>
      </c>
      <c r="W379" s="76">
        <v>0</v>
      </c>
      <c r="X379" s="76"/>
      <c r="Y379" s="516" t="s">
        <v>470</v>
      </c>
    </row>
    <row r="380" spans="1:25" x14ac:dyDescent="0.25">
      <c r="A380" s="75" t="str">
        <f t="shared" si="13"/>
        <v>Adquisicion PF No_Premier Normal Apoyo Infonavit Pago_Bajo_Puntual 25</v>
      </c>
      <c r="B380" s="75" t="str">
        <f t="shared" si="12"/>
        <v>Adquisicion PF No_Premier Normal Apoyo Infonavit Pago_Bajo_Puntual 25 0.0965</v>
      </c>
      <c r="C380" s="75" t="s">
        <v>114</v>
      </c>
      <c r="D380" s="75" t="s">
        <v>132</v>
      </c>
      <c r="E380" s="75" t="s">
        <v>179</v>
      </c>
      <c r="F380" s="75" t="s">
        <v>180</v>
      </c>
      <c r="G380" s="75" t="s">
        <v>112</v>
      </c>
      <c r="H380" s="75"/>
      <c r="I380" s="75" t="s">
        <v>170</v>
      </c>
      <c r="J380" s="523">
        <v>25</v>
      </c>
      <c r="K380" s="516" t="s">
        <v>385</v>
      </c>
      <c r="L380" s="517">
        <v>8.1</v>
      </c>
      <c r="M380" s="517">
        <v>8.76</v>
      </c>
      <c r="N380" s="518">
        <v>9.6500000000000002E-2</v>
      </c>
      <c r="O380" s="518">
        <v>9.1999999999999998E-2</v>
      </c>
      <c r="P380" s="518">
        <v>0.10249999999999999</v>
      </c>
      <c r="Q380" s="78">
        <v>0.44</v>
      </c>
      <c r="R380" s="78">
        <v>0.31740000000000002</v>
      </c>
      <c r="S380" s="69">
        <v>2.5000000000000001E-2</v>
      </c>
      <c r="T380" s="69">
        <v>5.0000000000000001E-3</v>
      </c>
      <c r="U380" s="518">
        <v>0.7</v>
      </c>
      <c r="V380" s="76">
        <v>0</v>
      </c>
      <c r="W380" s="76">
        <v>0</v>
      </c>
      <c r="X380" s="76"/>
      <c r="Y380" s="516" t="s">
        <v>470</v>
      </c>
    </row>
    <row r="381" spans="1:25" x14ac:dyDescent="0.25">
      <c r="A381" s="75" t="str">
        <f t="shared" si="13"/>
        <v>Adquisicion PF No_Premier Normal Apoyo Infonavit Pago_Bajo_Puntual 25</v>
      </c>
      <c r="B381" s="75" t="str">
        <f t="shared" si="12"/>
        <v>Adquisicion PF No_Premier Normal Apoyo Infonavit Pago_Bajo_Puntual 25 0.103</v>
      </c>
      <c r="C381" s="75" t="s">
        <v>114</v>
      </c>
      <c r="D381" s="75" t="s">
        <v>132</v>
      </c>
      <c r="E381" s="75" t="s">
        <v>179</v>
      </c>
      <c r="F381" s="75" t="s">
        <v>180</v>
      </c>
      <c r="G381" s="75" t="s">
        <v>112</v>
      </c>
      <c r="H381" s="75"/>
      <c r="I381" s="75" t="s">
        <v>170</v>
      </c>
      <c r="J381" s="523">
        <v>25</v>
      </c>
      <c r="K381" s="516" t="s">
        <v>386</v>
      </c>
      <c r="L381" s="517">
        <v>8.64</v>
      </c>
      <c r="M381" s="517">
        <v>9.3000000000000007</v>
      </c>
      <c r="N381" s="518">
        <v>0.10299999999999999</v>
      </c>
      <c r="O381" s="518">
        <v>0.1</v>
      </c>
      <c r="P381" s="518">
        <v>0.112</v>
      </c>
      <c r="Q381" s="78">
        <v>0.44</v>
      </c>
      <c r="R381" s="78">
        <v>0.31740000000000002</v>
      </c>
      <c r="S381" s="69">
        <v>2.5000000000000001E-2</v>
      </c>
      <c r="T381" s="69">
        <v>5.0000000000000001E-3</v>
      </c>
      <c r="U381" s="518">
        <v>0.7</v>
      </c>
      <c r="V381" s="76">
        <v>0</v>
      </c>
      <c r="W381" s="76">
        <v>0</v>
      </c>
      <c r="X381" s="76"/>
      <c r="Y381" s="516" t="s">
        <v>470</v>
      </c>
    </row>
    <row r="382" spans="1:25" x14ac:dyDescent="0.25">
      <c r="A382" s="75" t="str">
        <f t="shared" si="13"/>
        <v>Adquisicion PF No_Premier Normal Apoyo Infonavit Pago_Bajo_Puntual 20</v>
      </c>
      <c r="B382" s="75" t="str">
        <f t="shared" si="12"/>
        <v>Adquisicion PF No_Premier Normal Apoyo Infonavit Pago_Bajo_Puntual 20 0.0965</v>
      </c>
      <c r="C382" s="75" t="s">
        <v>114</v>
      </c>
      <c r="D382" s="75" t="s">
        <v>132</v>
      </c>
      <c r="E382" s="75" t="s">
        <v>179</v>
      </c>
      <c r="F382" s="75" t="s">
        <v>180</v>
      </c>
      <c r="G382" s="75" t="s">
        <v>112</v>
      </c>
      <c r="H382" s="75"/>
      <c r="I382" s="75" t="s">
        <v>170</v>
      </c>
      <c r="J382" s="76">
        <v>20</v>
      </c>
      <c r="K382" s="516" t="s">
        <v>385</v>
      </c>
      <c r="L382" s="517">
        <v>8.52</v>
      </c>
      <c r="M382" s="517">
        <v>9.18</v>
      </c>
      <c r="N382" s="518">
        <v>9.6500000000000002E-2</v>
      </c>
      <c r="O382" s="518">
        <v>9.1999999999999998E-2</v>
      </c>
      <c r="P382" s="518">
        <v>0.10249999999999999</v>
      </c>
      <c r="Q382" s="78">
        <v>0.44</v>
      </c>
      <c r="R382" s="78">
        <v>0.31740000000000002</v>
      </c>
      <c r="S382" s="69">
        <v>2.5000000000000001E-2</v>
      </c>
      <c r="T382" s="69">
        <v>5.0000000000000001E-3</v>
      </c>
      <c r="U382" s="518">
        <v>0.7</v>
      </c>
      <c r="V382" s="76">
        <v>0</v>
      </c>
      <c r="W382" s="76">
        <v>0</v>
      </c>
      <c r="X382" s="76"/>
      <c r="Y382" s="516" t="s">
        <v>470</v>
      </c>
    </row>
    <row r="383" spans="1:25" x14ac:dyDescent="0.25">
      <c r="A383" s="75" t="str">
        <f t="shared" si="13"/>
        <v>Adquisicion PF No_Premier Normal Apoyo Infonavit Pago_Bajo_Puntual 20</v>
      </c>
      <c r="B383" s="75" t="str">
        <f t="shared" si="12"/>
        <v>Adquisicion PF No_Premier Normal Apoyo Infonavit Pago_Bajo_Puntual 20 0.103</v>
      </c>
      <c r="C383" s="75" t="s">
        <v>114</v>
      </c>
      <c r="D383" s="75" t="s">
        <v>132</v>
      </c>
      <c r="E383" s="75" t="s">
        <v>179</v>
      </c>
      <c r="F383" s="75" t="s">
        <v>180</v>
      </c>
      <c r="G383" s="75" t="s">
        <v>112</v>
      </c>
      <c r="H383" s="75"/>
      <c r="I383" s="75" t="s">
        <v>170</v>
      </c>
      <c r="J383" s="76">
        <v>20</v>
      </c>
      <c r="K383" s="516" t="s">
        <v>386</v>
      </c>
      <c r="L383" s="517">
        <v>9</v>
      </c>
      <c r="M383" s="517">
        <v>9.66</v>
      </c>
      <c r="N383" s="518">
        <v>0.10299999999999999</v>
      </c>
      <c r="O383" s="518">
        <v>0.1</v>
      </c>
      <c r="P383" s="518">
        <v>0.112</v>
      </c>
      <c r="Q383" s="78">
        <v>0.44</v>
      </c>
      <c r="R383" s="78">
        <v>0.31740000000000002</v>
      </c>
      <c r="S383" s="69">
        <v>2.5000000000000001E-2</v>
      </c>
      <c r="T383" s="69">
        <v>5.0000000000000001E-3</v>
      </c>
      <c r="U383" s="518">
        <v>0.7</v>
      </c>
      <c r="V383" s="76">
        <v>0</v>
      </c>
      <c r="W383" s="76">
        <v>0</v>
      </c>
      <c r="X383" s="76"/>
      <c r="Y383" s="516" t="s">
        <v>470</v>
      </c>
    </row>
    <row r="384" spans="1:25" x14ac:dyDescent="0.25">
      <c r="A384" s="75" t="str">
        <f t="shared" si="13"/>
        <v>Adquisicion PF No_Premier Normal Apoyo Infonavit Pago_Bajo_Puntual 15</v>
      </c>
      <c r="B384" s="75" t="str">
        <f t="shared" si="12"/>
        <v>Adquisicion PF No_Premier Normal Apoyo Infonavit Pago_Bajo_Puntual 15 0.0965</v>
      </c>
      <c r="C384" s="75" t="s">
        <v>114</v>
      </c>
      <c r="D384" s="75" t="s">
        <v>132</v>
      </c>
      <c r="E384" s="75" t="s">
        <v>179</v>
      </c>
      <c r="F384" s="75" t="s">
        <v>180</v>
      </c>
      <c r="G384" s="75" t="s">
        <v>112</v>
      </c>
      <c r="H384" s="75"/>
      <c r="I384" s="75" t="s">
        <v>170</v>
      </c>
      <c r="J384" s="76">
        <v>15</v>
      </c>
      <c r="K384" s="516" t="s">
        <v>385</v>
      </c>
      <c r="L384" s="517">
        <v>9.6999999999999993</v>
      </c>
      <c r="M384" s="517">
        <v>10.36</v>
      </c>
      <c r="N384" s="518">
        <v>9.6500000000000002E-2</v>
      </c>
      <c r="O384" s="518">
        <v>9.1999999999999998E-2</v>
      </c>
      <c r="P384" s="518">
        <v>0.10249999999999999</v>
      </c>
      <c r="Q384" s="78">
        <v>0.44</v>
      </c>
      <c r="R384" s="78">
        <v>0.31740000000000002</v>
      </c>
      <c r="S384" s="69">
        <v>2.5000000000000001E-2</v>
      </c>
      <c r="T384" s="69">
        <v>5.0000000000000001E-3</v>
      </c>
      <c r="U384" s="518">
        <v>0.7</v>
      </c>
      <c r="V384" s="76">
        <v>0</v>
      </c>
      <c r="W384" s="76">
        <v>0</v>
      </c>
      <c r="X384" s="76"/>
      <c r="Y384" s="516" t="s">
        <v>470</v>
      </c>
    </row>
    <row r="385" spans="1:25" x14ac:dyDescent="0.25">
      <c r="A385" s="75" t="str">
        <f t="shared" si="13"/>
        <v>Adquisicion PF No_Premier Normal Apoyo Infonavit Pago_Bajo_Puntual 15</v>
      </c>
      <c r="B385" s="75" t="str">
        <f t="shared" si="12"/>
        <v>Adquisicion PF No_Premier Normal Apoyo Infonavit Pago_Bajo_Puntual 15 0.103</v>
      </c>
      <c r="C385" s="75" t="s">
        <v>114</v>
      </c>
      <c r="D385" s="75" t="s">
        <v>132</v>
      </c>
      <c r="E385" s="75" t="s">
        <v>179</v>
      </c>
      <c r="F385" s="75" t="s">
        <v>180</v>
      </c>
      <c r="G385" s="75" t="s">
        <v>112</v>
      </c>
      <c r="H385" s="75"/>
      <c r="I385" s="75" t="s">
        <v>170</v>
      </c>
      <c r="J385" s="76">
        <v>15</v>
      </c>
      <c r="K385" s="516" t="s">
        <v>386</v>
      </c>
      <c r="L385" s="517">
        <v>10.119999999999999</v>
      </c>
      <c r="M385" s="517">
        <v>10.78</v>
      </c>
      <c r="N385" s="518">
        <v>0.10299999999999999</v>
      </c>
      <c r="O385" s="518">
        <v>0.1</v>
      </c>
      <c r="P385" s="518">
        <v>0.112</v>
      </c>
      <c r="Q385" s="78">
        <v>0.44</v>
      </c>
      <c r="R385" s="78">
        <v>0.31740000000000002</v>
      </c>
      <c r="S385" s="69">
        <v>2.5000000000000001E-2</v>
      </c>
      <c r="T385" s="69">
        <v>5.0000000000000001E-3</v>
      </c>
      <c r="U385" s="518">
        <v>0.7</v>
      </c>
      <c r="V385" s="76">
        <v>0</v>
      </c>
      <c r="W385" s="76">
        <v>0</v>
      </c>
      <c r="X385" s="76"/>
      <c r="Y385" s="516" t="s">
        <v>470</v>
      </c>
    </row>
    <row r="386" spans="1:25" x14ac:dyDescent="0.25">
      <c r="A386" s="75" t="str">
        <f t="shared" si="13"/>
        <v>Adquisicion PF No_Premier Normal Apoyo Infonavit Pago_Bajo_Puntual 10</v>
      </c>
      <c r="B386" s="75" t="str">
        <f t="shared" ref="B386:B449" si="14">CONCATENATE(A386," ",N386)</f>
        <v>Adquisicion PF No_Premier Normal Apoyo Infonavit Pago_Bajo_Puntual 10 0.0965</v>
      </c>
      <c r="C386" s="75" t="s">
        <v>114</v>
      </c>
      <c r="D386" s="75" t="s">
        <v>132</v>
      </c>
      <c r="E386" s="75" t="s">
        <v>179</v>
      </c>
      <c r="F386" s="75" t="s">
        <v>180</v>
      </c>
      <c r="G386" s="75" t="s">
        <v>112</v>
      </c>
      <c r="H386" s="75"/>
      <c r="I386" s="75" t="s">
        <v>170</v>
      </c>
      <c r="J386" s="76">
        <v>10</v>
      </c>
      <c r="K386" s="516" t="s">
        <v>385</v>
      </c>
      <c r="L386" s="517">
        <v>12.25</v>
      </c>
      <c r="M386" s="517">
        <v>12.91</v>
      </c>
      <c r="N386" s="518">
        <v>9.6500000000000002E-2</v>
      </c>
      <c r="O386" s="518">
        <v>9.1999999999999998E-2</v>
      </c>
      <c r="P386" s="518">
        <v>0.10249999999999999</v>
      </c>
      <c r="Q386" s="78">
        <v>0.44</v>
      </c>
      <c r="R386" s="78">
        <v>0.31740000000000002</v>
      </c>
      <c r="S386" s="69">
        <v>2.5000000000000001E-2</v>
      </c>
      <c r="T386" s="69">
        <v>5.0000000000000001E-3</v>
      </c>
      <c r="U386" s="518">
        <v>0.7</v>
      </c>
      <c r="V386" s="76">
        <v>0</v>
      </c>
      <c r="W386" s="76">
        <v>0</v>
      </c>
      <c r="X386" s="76"/>
      <c r="Y386" s="516" t="s">
        <v>470</v>
      </c>
    </row>
    <row r="387" spans="1:25" x14ac:dyDescent="0.25">
      <c r="A387" s="75" t="str">
        <f t="shared" ref="A387:A450" si="15">TRIM(CONCATENATE(C387," ",D387," ",E387," ",F387," ",G387," ",I387," ",X387," ",J387))</f>
        <v>Adquisicion PF No_Premier Normal Apoyo Infonavit Pago_Bajo_Puntual 10</v>
      </c>
      <c r="B387" s="75" t="str">
        <f t="shared" si="14"/>
        <v>Adquisicion PF No_Premier Normal Apoyo Infonavit Pago_Bajo_Puntual 10 0.103</v>
      </c>
      <c r="C387" s="75" t="s">
        <v>114</v>
      </c>
      <c r="D387" s="75" t="s">
        <v>132</v>
      </c>
      <c r="E387" s="75" t="s">
        <v>179</v>
      </c>
      <c r="F387" s="75" t="s">
        <v>180</v>
      </c>
      <c r="G387" s="75" t="s">
        <v>112</v>
      </c>
      <c r="H387" s="75"/>
      <c r="I387" s="75" t="s">
        <v>170</v>
      </c>
      <c r="J387" s="76">
        <v>10</v>
      </c>
      <c r="K387" s="516" t="s">
        <v>386</v>
      </c>
      <c r="L387" s="517">
        <v>12.62</v>
      </c>
      <c r="M387" s="517">
        <v>13.28</v>
      </c>
      <c r="N387" s="518">
        <v>0.10299999999999999</v>
      </c>
      <c r="O387" s="518">
        <v>0.1</v>
      </c>
      <c r="P387" s="518">
        <v>0.112</v>
      </c>
      <c r="Q387" s="78">
        <v>0.44</v>
      </c>
      <c r="R387" s="78">
        <v>0.31740000000000002</v>
      </c>
      <c r="S387" s="69">
        <v>2.5000000000000001E-2</v>
      </c>
      <c r="T387" s="69">
        <v>5.0000000000000001E-3</v>
      </c>
      <c r="U387" s="518">
        <v>0.7</v>
      </c>
      <c r="V387" s="76">
        <v>0</v>
      </c>
      <c r="W387" s="76">
        <v>0</v>
      </c>
      <c r="X387" s="76"/>
      <c r="Y387" s="516" t="s">
        <v>470</v>
      </c>
    </row>
    <row r="388" spans="1:25" x14ac:dyDescent="0.25">
      <c r="A388" s="75" t="str">
        <f t="shared" si="15"/>
        <v>Adquisicion PF No_Premier Normal Apoyo Infonavit Pago_Bajo_Puntual 5</v>
      </c>
      <c r="B388" s="75" t="str">
        <f t="shared" si="14"/>
        <v>Adquisicion PF No_Premier Normal Apoyo Infonavit Pago_Bajo_Puntual 5 0.0965</v>
      </c>
      <c r="C388" s="75" t="s">
        <v>114</v>
      </c>
      <c r="D388" s="75" t="s">
        <v>132</v>
      </c>
      <c r="E388" s="75" t="s">
        <v>179</v>
      </c>
      <c r="F388" s="75" t="s">
        <v>180</v>
      </c>
      <c r="G388" s="75" t="s">
        <v>112</v>
      </c>
      <c r="H388" s="75"/>
      <c r="I388" s="75" t="s">
        <v>170</v>
      </c>
      <c r="J388" s="76">
        <v>5</v>
      </c>
      <c r="K388" s="516" t="s">
        <v>385</v>
      </c>
      <c r="L388" s="517">
        <v>20.399999999999999</v>
      </c>
      <c r="M388" s="517">
        <v>21.06</v>
      </c>
      <c r="N388" s="518">
        <v>9.6500000000000002E-2</v>
      </c>
      <c r="O388" s="518">
        <v>9.1999999999999998E-2</v>
      </c>
      <c r="P388" s="518">
        <v>0.10249999999999999</v>
      </c>
      <c r="Q388" s="78">
        <v>0.44</v>
      </c>
      <c r="R388" s="78">
        <v>0.31740000000000002</v>
      </c>
      <c r="S388" s="69">
        <v>2.5000000000000001E-2</v>
      </c>
      <c r="T388" s="69">
        <v>5.0000000000000001E-3</v>
      </c>
      <c r="U388" s="518">
        <v>0.7</v>
      </c>
      <c r="V388" s="76">
        <v>0</v>
      </c>
      <c r="W388" s="76">
        <v>0</v>
      </c>
      <c r="X388" s="76"/>
      <c r="Y388" s="516" t="s">
        <v>470</v>
      </c>
    </row>
    <row r="389" spans="1:25" x14ac:dyDescent="0.25">
      <c r="A389" s="75" t="str">
        <f t="shared" si="15"/>
        <v>Adquisicion PF No_Premier Normal Apoyo Infonavit Pago_Bajo_Puntual 5</v>
      </c>
      <c r="B389" s="75" t="str">
        <f t="shared" si="14"/>
        <v>Adquisicion PF No_Premier Normal Apoyo Infonavit Pago_Bajo_Puntual 5 0.103</v>
      </c>
      <c r="C389" s="75" t="s">
        <v>114</v>
      </c>
      <c r="D389" s="75" t="s">
        <v>132</v>
      </c>
      <c r="E389" s="75" t="s">
        <v>179</v>
      </c>
      <c r="F389" s="75" t="s">
        <v>180</v>
      </c>
      <c r="G389" s="75" t="s">
        <v>112</v>
      </c>
      <c r="H389" s="75"/>
      <c r="I389" s="75" t="s">
        <v>170</v>
      </c>
      <c r="J389" s="76">
        <v>5</v>
      </c>
      <c r="K389" s="516" t="s">
        <v>386</v>
      </c>
      <c r="L389" s="517">
        <v>20.72</v>
      </c>
      <c r="M389" s="517">
        <v>21.38</v>
      </c>
      <c r="N389" s="518">
        <v>0.10299999999999999</v>
      </c>
      <c r="O389" s="518">
        <v>0.1</v>
      </c>
      <c r="P389" s="518">
        <v>0.112</v>
      </c>
      <c r="Q389" s="78">
        <v>0.44</v>
      </c>
      <c r="R389" s="78">
        <v>0.31740000000000002</v>
      </c>
      <c r="S389" s="69">
        <v>2.5000000000000001E-2</v>
      </c>
      <c r="T389" s="69">
        <v>5.0000000000000001E-3</v>
      </c>
      <c r="U389" s="518">
        <v>0.7</v>
      </c>
      <c r="V389" s="76">
        <v>0</v>
      </c>
      <c r="W389" s="76">
        <v>0</v>
      </c>
      <c r="X389" s="76"/>
      <c r="Y389" s="516" t="s">
        <v>470</v>
      </c>
    </row>
    <row r="390" spans="1:25" x14ac:dyDescent="0.25">
      <c r="A390" s="75" t="str">
        <f t="shared" si="15"/>
        <v>Adquisicion PF No_Premier Normal Cofinavit Pago_Fijo_Puntual 25</v>
      </c>
      <c r="B390" s="75" t="str">
        <f t="shared" si="14"/>
        <v>Adquisicion PF No_Premier Normal Cofinavit Pago_Fijo_Puntual 25 0.0965</v>
      </c>
      <c r="C390" s="75" t="s">
        <v>114</v>
      </c>
      <c r="D390" s="75" t="s">
        <v>132</v>
      </c>
      <c r="E390" s="75" t="s">
        <v>179</v>
      </c>
      <c r="F390" s="75" t="s">
        <v>180</v>
      </c>
      <c r="G390" s="75" t="s">
        <v>113</v>
      </c>
      <c r="H390" s="75"/>
      <c r="I390" s="75" t="s">
        <v>171</v>
      </c>
      <c r="J390" s="76">
        <v>25</v>
      </c>
      <c r="K390" s="516" t="s">
        <v>385</v>
      </c>
      <c r="L390" s="517">
        <v>9.11</v>
      </c>
      <c r="M390" s="517">
        <v>9.77</v>
      </c>
      <c r="N390" s="518">
        <v>9.6500000000000002E-2</v>
      </c>
      <c r="O390" s="518">
        <v>9.1999999999999998E-2</v>
      </c>
      <c r="P390" s="518">
        <v>0.10249999999999999</v>
      </c>
      <c r="Q390" s="78">
        <v>0.44</v>
      </c>
      <c r="R390" s="78">
        <v>0.31740000000000002</v>
      </c>
      <c r="S390" s="69">
        <v>2.5000000000000001E-2</v>
      </c>
      <c r="T390" s="69">
        <v>5.0000000000000001E-3</v>
      </c>
      <c r="U390" s="518">
        <v>0.7</v>
      </c>
      <c r="V390" s="76">
        <v>0</v>
      </c>
      <c r="W390" s="76">
        <v>0</v>
      </c>
      <c r="X390" s="76"/>
      <c r="Y390" s="516" t="s">
        <v>470</v>
      </c>
    </row>
    <row r="391" spans="1:25" x14ac:dyDescent="0.25">
      <c r="A391" s="75" t="str">
        <f t="shared" si="15"/>
        <v>Adquisicion PF No_Premier Normal Cofinavit Pago_Fijo_Puntual 25</v>
      </c>
      <c r="B391" s="75" t="str">
        <f t="shared" si="14"/>
        <v>Adquisicion PF No_Premier Normal Cofinavit Pago_Fijo_Puntual 25 0.103</v>
      </c>
      <c r="C391" s="75" t="s">
        <v>114</v>
      </c>
      <c r="D391" s="75" t="s">
        <v>132</v>
      </c>
      <c r="E391" s="75" t="s">
        <v>179</v>
      </c>
      <c r="F391" s="75" t="s">
        <v>180</v>
      </c>
      <c r="G391" s="75" t="s">
        <v>113</v>
      </c>
      <c r="H391" s="75"/>
      <c r="I391" s="75" t="s">
        <v>171</v>
      </c>
      <c r="J391" s="76">
        <v>25</v>
      </c>
      <c r="K391" s="516" t="s">
        <v>386</v>
      </c>
      <c r="L391" s="517">
        <v>9.65</v>
      </c>
      <c r="M391" s="517">
        <v>10.31</v>
      </c>
      <c r="N391" s="518">
        <v>0.10299999999999999</v>
      </c>
      <c r="O391" s="518">
        <v>0.1</v>
      </c>
      <c r="P391" s="518">
        <v>0.112</v>
      </c>
      <c r="Q391" s="78">
        <v>0.44</v>
      </c>
      <c r="R391" s="78">
        <v>0.31740000000000002</v>
      </c>
      <c r="S391" s="69">
        <v>2.5000000000000001E-2</v>
      </c>
      <c r="T391" s="69">
        <v>5.0000000000000001E-3</v>
      </c>
      <c r="U391" s="518">
        <v>0.7</v>
      </c>
      <c r="V391" s="76">
        <v>0</v>
      </c>
      <c r="W391" s="76">
        <v>0</v>
      </c>
      <c r="X391" s="76"/>
      <c r="Y391" s="516" t="s">
        <v>470</v>
      </c>
    </row>
    <row r="392" spans="1:25" x14ac:dyDescent="0.25">
      <c r="A392" s="75" t="str">
        <f t="shared" si="15"/>
        <v>Adquisicion PF No_Premier Normal Cofinavit Pago_Fijo_Puntual 20</v>
      </c>
      <c r="B392" s="75" t="str">
        <f t="shared" si="14"/>
        <v>Adquisicion PF No_Premier Normal Cofinavit Pago_Fijo_Puntual 20 0.0965</v>
      </c>
      <c r="C392" s="75" t="s">
        <v>114</v>
      </c>
      <c r="D392" s="75" t="s">
        <v>132</v>
      </c>
      <c r="E392" s="75" t="s">
        <v>179</v>
      </c>
      <c r="F392" s="75" t="s">
        <v>180</v>
      </c>
      <c r="G392" s="75" t="s">
        <v>113</v>
      </c>
      <c r="H392" s="75"/>
      <c r="I392" s="75" t="s">
        <v>171</v>
      </c>
      <c r="J392" s="76">
        <v>20</v>
      </c>
      <c r="K392" s="516" t="s">
        <v>385</v>
      </c>
      <c r="L392" s="517">
        <v>9.66</v>
      </c>
      <c r="M392" s="517">
        <v>10.32</v>
      </c>
      <c r="N392" s="518">
        <v>9.6500000000000002E-2</v>
      </c>
      <c r="O392" s="518">
        <v>9.1999999999999998E-2</v>
      </c>
      <c r="P392" s="518">
        <v>0.10249999999999999</v>
      </c>
      <c r="Q392" s="78">
        <v>0.44</v>
      </c>
      <c r="R392" s="78">
        <v>0.31740000000000002</v>
      </c>
      <c r="S392" s="69">
        <v>2.5000000000000001E-2</v>
      </c>
      <c r="T392" s="69">
        <v>5.0000000000000001E-3</v>
      </c>
      <c r="U392" s="518">
        <v>0.7</v>
      </c>
      <c r="V392" s="76">
        <v>0</v>
      </c>
      <c r="W392" s="76">
        <v>0</v>
      </c>
      <c r="X392" s="76"/>
      <c r="Y392" s="516" t="s">
        <v>470</v>
      </c>
    </row>
    <row r="393" spans="1:25" x14ac:dyDescent="0.25">
      <c r="A393" s="75" t="str">
        <f t="shared" si="15"/>
        <v>Adquisicion PF No_Premier Normal Cofinavit Pago_Fijo_Puntual 20</v>
      </c>
      <c r="B393" s="75" t="str">
        <f t="shared" si="14"/>
        <v>Adquisicion PF No_Premier Normal Cofinavit Pago_Fijo_Puntual 20 0.103</v>
      </c>
      <c r="C393" s="75" t="s">
        <v>114</v>
      </c>
      <c r="D393" s="75" t="s">
        <v>132</v>
      </c>
      <c r="E393" s="75" t="s">
        <v>179</v>
      </c>
      <c r="F393" s="75" t="s">
        <v>180</v>
      </c>
      <c r="G393" s="75" t="s">
        <v>113</v>
      </c>
      <c r="H393" s="75"/>
      <c r="I393" s="75" t="s">
        <v>171</v>
      </c>
      <c r="J393" s="76">
        <v>20</v>
      </c>
      <c r="K393" s="516" t="s">
        <v>386</v>
      </c>
      <c r="L393" s="517">
        <v>10.16</v>
      </c>
      <c r="M393" s="517">
        <v>10.82</v>
      </c>
      <c r="N393" s="518">
        <v>0.10299999999999999</v>
      </c>
      <c r="O393" s="518">
        <v>0.1</v>
      </c>
      <c r="P393" s="518">
        <v>0.112</v>
      </c>
      <c r="Q393" s="78">
        <v>0.44</v>
      </c>
      <c r="R393" s="78">
        <v>0.31740000000000002</v>
      </c>
      <c r="S393" s="69">
        <v>2.5000000000000001E-2</v>
      </c>
      <c r="T393" s="69">
        <v>5.0000000000000001E-3</v>
      </c>
      <c r="U393" s="518">
        <v>0.7</v>
      </c>
      <c r="V393" s="76">
        <v>0</v>
      </c>
      <c r="W393" s="76">
        <v>0</v>
      </c>
      <c r="X393" s="76"/>
      <c r="Y393" s="516" t="s">
        <v>470</v>
      </c>
    </row>
    <row r="394" spans="1:25" x14ac:dyDescent="0.25">
      <c r="A394" s="75" t="str">
        <f t="shared" si="15"/>
        <v>Adquisicion PF No_Premier Normal Cofinavit Pago_Fijo_Puntual 15</v>
      </c>
      <c r="B394" s="75" t="str">
        <f t="shared" si="14"/>
        <v>Adquisicion PF No_Premier Normal Cofinavit Pago_Fijo_Puntual 15 0.0965</v>
      </c>
      <c r="C394" s="75" t="s">
        <v>114</v>
      </c>
      <c r="D394" s="75" t="s">
        <v>132</v>
      </c>
      <c r="E394" s="75" t="s">
        <v>179</v>
      </c>
      <c r="F394" s="75" t="s">
        <v>180</v>
      </c>
      <c r="G394" s="75" t="s">
        <v>113</v>
      </c>
      <c r="H394" s="75"/>
      <c r="I394" s="75" t="s">
        <v>171</v>
      </c>
      <c r="J394" s="76">
        <v>15</v>
      </c>
      <c r="K394" s="516" t="s">
        <v>385</v>
      </c>
      <c r="L394" s="517">
        <v>10.73</v>
      </c>
      <c r="M394" s="517">
        <v>11.39</v>
      </c>
      <c r="N394" s="518">
        <v>9.6500000000000002E-2</v>
      </c>
      <c r="O394" s="518">
        <v>9.1999999999999998E-2</v>
      </c>
      <c r="P394" s="518">
        <v>0.10249999999999999</v>
      </c>
      <c r="Q394" s="78">
        <v>0.44</v>
      </c>
      <c r="R394" s="78">
        <v>0.31740000000000002</v>
      </c>
      <c r="S394" s="69">
        <v>2.5000000000000001E-2</v>
      </c>
      <c r="T394" s="69">
        <v>5.0000000000000001E-3</v>
      </c>
      <c r="U394" s="518">
        <v>0.7</v>
      </c>
      <c r="V394" s="76">
        <v>0</v>
      </c>
      <c r="W394" s="76">
        <v>0</v>
      </c>
      <c r="X394" s="76"/>
      <c r="Y394" s="516" t="s">
        <v>470</v>
      </c>
    </row>
    <row r="395" spans="1:25" x14ac:dyDescent="0.25">
      <c r="A395" s="75" t="str">
        <f t="shared" si="15"/>
        <v>Adquisicion PF No_Premier Normal Cofinavit Pago_Fijo_Puntual 15</v>
      </c>
      <c r="B395" s="75" t="str">
        <f t="shared" si="14"/>
        <v>Adquisicion PF No_Premier Normal Cofinavit Pago_Fijo_Puntual 15 0.103</v>
      </c>
      <c r="C395" s="75" t="s">
        <v>114</v>
      </c>
      <c r="D395" s="75" t="s">
        <v>132</v>
      </c>
      <c r="E395" s="75" t="s">
        <v>179</v>
      </c>
      <c r="F395" s="75" t="s">
        <v>180</v>
      </c>
      <c r="G395" s="75" t="s">
        <v>113</v>
      </c>
      <c r="H395" s="75"/>
      <c r="I395" s="75" t="s">
        <v>171</v>
      </c>
      <c r="J395" s="76">
        <v>15</v>
      </c>
      <c r="K395" s="516" t="s">
        <v>386</v>
      </c>
      <c r="L395" s="517">
        <v>11.18</v>
      </c>
      <c r="M395" s="517">
        <v>11.84</v>
      </c>
      <c r="N395" s="518">
        <v>0.10299999999999999</v>
      </c>
      <c r="O395" s="518">
        <v>0.1</v>
      </c>
      <c r="P395" s="518">
        <v>0.112</v>
      </c>
      <c r="Q395" s="78">
        <v>0.44</v>
      </c>
      <c r="R395" s="78">
        <v>0.31740000000000002</v>
      </c>
      <c r="S395" s="69">
        <v>2.5000000000000001E-2</v>
      </c>
      <c r="T395" s="69">
        <v>5.0000000000000001E-3</v>
      </c>
      <c r="U395" s="518">
        <v>0.7</v>
      </c>
      <c r="V395" s="76">
        <v>0</v>
      </c>
      <c r="W395" s="76">
        <v>0</v>
      </c>
      <c r="X395" s="76"/>
      <c r="Y395" s="516" t="s">
        <v>470</v>
      </c>
    </row>
    <row r="396" spans="1:25" x14ac:dyDescent="0.25">
      <c r="A396" s="75" t="str">
        <f t="shared" si="15"/>
        <v>Adquisicion PF No_Premier Normal Cofinavit Pago_Fijo_Puntual 10</v>
      </c>
      <c r="B396" s="75" t="str">
        <f t="shared" si="14"/>
        <v>Adquisicion PF No_Premier Normal Cofinavit Pago_Fijo_Puntual 10 0.0965</v>
      </c>
      <c r="C396" s="75" t="s">
        <v>114</v>
      </c>
      <c r="D396" s="75" t="s">
        <v>132</v>
      </c>
      <c r="E396" s="75" t="s">
        <v>179</v>
      </c>
      <c r="F396" s="75" t="s">
        <v>180</v>
      </c>
      <c r="G396" s="75" t="s">
        <v>113</v>
      </c>
      <c r="H396" s="75"/>
      <c r="I396" s="75" t="s">
        <v>171</v>
      </c>
      <c r="J396" s="76">
        <v>10</v>
      </c>
      <c r="K396" s="516" t="s">
        <v>385</v>
      </c>
      <c r="L396" s="517">
        <v>13.16</v>
      </c>
      <c r="M396" s="517">
        <v>13.82</v>
      </c>
      <c r="N396" s="518">
        <v>9.6500000000000002E-2</v>
      </c>
      <c r="O396" s="518">
        <v>9.1999999999999998E-2</v>
      </c>
      <c r="P396" s="518">
        <v>0.10249999999999999</v>
      </c>
      <c r="Q396" s="78">
        <v>0.44</v>
      </c>
      <c r="R396" s="78">
        <v>0.31740000000000002</v>
      </c>
      <c r="S396" s="69">
        <v>2.5000000000000001E-2</v>
      </c>
      <c r="T396" s="69">
        <v>5.0000000000000001E-3</v>
      </c>
      <c r="U396" s="518">
        <v>0.7</v>
      </c>
      <c r="V396" s="76">
        <v>0</v>
      </c>
      <c r="W396" s="76">
        <v>0</v>
      </c>
      <c r="X396" s="76"/>
      <c r="Y396" s="516" t="s">
        <v>470</v>
      </c>
    </row>
    <row r="397" spans="1:25" x14ac:dyDescent="0.25">
      <c r="A397" s="75" t="str">
        <f t="shared" si="15"/>
        <v>Adquisicion PF No_Premier Normal Cofinavit Pago_Fijo_Puntual 10</v>
      </c>
      <c r="B397" s="75" t="str">
        <f t="shared" si="14"/>
        <v>Adquisicion PF No_Premier Normal Cofinavit Pago_Fijo_Puntual 10 0.103</v>
      </c>
      <c r="C397" s="75" t="s">
        <v>114</v>
      </c>
      <c r="D397" s="75" t="s">
        <v>132</v>
      </c>
      <c r="E397" s="75" t="s">
        <v>179</v>
      </c>
      <c r="F397" s="75" t="s">
        <v>180</v>
      </c>
      <c r="G397" s="75" t="s">
        <v>113</v>
      </c>
      <c r="H397" s="75"/>
      <c r="I397" s="75" t="s">
        <v>171</v>
      </c>
      <c r="J397" s="76">
        <v>10</v>
      </c>
      <c r="K397" s="516" t="s">
        <v>386</v>
      </c>
      <c r="L397" s="517">
        <v>13.54</v>
      </c>
      <c r="M397" s="517">
        <v>14.2</v>
      </c>
      <c r="N397" s="518">
        <v>0.10299999999999999</v>
      </c>
      <c r="O397" s="518">
        <v>0.1</v>
      </c>
      <c r="P397" s="518">
        <v>0.112</v>
      </c>
      <c r="Q397" s="78">
        <v>0.44</v>
      </c>
      <c r="R397" s="78">
        <v>0.31740000000000002</v>
      </c>
      <c r="S397" s="69">
        <v>2.5000000000000001E-2</v>
      </c>
      <c r="T397" s="69">
        <v>5.0000000000000001E-3</v>
      </c>
      <c r="U397" s="518">
        <v>0.7</v>
      </c>
      <c r="V397" s="76">
        <v>0</v>
      </c>
      <c r="W397" s="76">
        <v>0</v>
      </c>
      <c r="X397" s="76"/>
      <c r="Y397" s="516" t="s">
        <v>470</v>
      </c>
    </row>
    <row r="398" spans="1:25" x14ac:dyDescent="0.25">
      <c r="A398" s="75" t="str">
        <f t="shared" si="15"/>
        <v>Adquisicion PF No_Premier Normal Cofinavit Pago_Fijo_Puntual 5</v>
      </c>
      <c r="B398" s="75" t="str">
        <f t="shared" si="14"/>
        <v>Adquisicion PF No_Premier Normal Cofinavit Pago_Fijo_Puntual 5 0.0965</v>
      </c>
      <c r="C398" s="75" t="s">
        <v>114</v>
      </c>
      <c r="D398" s="75" t="s">
        <v>132</v>
      </c>
      <c r="E398" s="75" t="s">
        <v>179</v>
      </c>
      <c r="F398" s="75" t="s">
        <v>180</v>
      </c>
      <c r="G398" s="75" t="s">
        <v>113</v>
      </c>
      <c r="H398" s="75"/>
      <c r="I398" s="75" t="s">
        <v>171</v>
      </c>
      <c r="J398" s="76">
        <v>5</v>
      </c>
      <c r="K398" s="516" t="s">
        <v>385</v>
      </c>
      <c r="L398" s="517">
        <v>21.12</v>
      </c>
      <c r="M398" s="517">
        <v>21.78</v>
      </c>
      <c r="N398" s="518">
        <v>9.6500000000000002E-2</v>
      </c>
      <c r="O398" s="518">
        <v>9.1999999999999998E-2</v>
      </c>
      <c r="P398" s="518">
        <v>0.10249999999999999</v>
      </c>
      <c r="Q398" s="78">
        <v>0.44</v>
      </c>
      <c r="R398" s="78">
        <v>0.31740000000000002</v>
      </c>
      <c r="S398" s="69">
        <v>2.5000000000000001E-2</v>
      </c>
      <c r="T398" s="69">
        <v>5.0000000000000001E-3</v>
      </c>
      <c r="U398" s="518">
        <v>0.7</v>
      </c>
      <c r="V398" s="76">
        <v>0</v>
      </c>
      <c r="W398" s="76">
        <v>0</v>
      </c>
      <c r="X398" s="76"/>
      <c r="Y398" s="516" t="s">
        <v>470</v>
      </c>
    </row>
    <row r="399" spans="1:25" x14ac:dyDescent="0.25">
      <c r="A399" s="75" t="str">
        <f t="shared" si="15"/>
        <v>Adquisicion PF No_Premier Normal Cofinavit Pago_Fijo_Puntual 5</v>
      </c>
      <c r="B399" s="75" t="str">
        <f t="shared" si="14"/>
        <v>Adquisicion PF No_Premier Normal Cofinavit Pago_Fijo_Puntual 5 0.103</v>
      </c>
      <c r="C399" s="75" t="s">
        <v>114</v>
      </c>
      <c r="D399" s="75" t="s">
        <v>132</v>
      </c>
      <c r="E399" s="75" t="s">
        <v>179</v>
      </c>
      <c r="F399" s="75" t="s">
        <v>180</v>
      </c>
      <c r="G399" s="75" t="s">
        <v>113</v>
      </c>
      <c r="H399" s="75"/>
      <c r="I399" s="75" t="s">
        <v>171</v>
      </c>
      <c r="J399" s="76">
        <v>5</v>
      </c>
      <c r="K399" s="516" t="s">
        <v>386</v>
      </c>
      <c r="L399" s="517">
        <v>21.44</v>
      </c>
      <c r="M399" s="517">
        <v>22.1</v>
      </c>
      <c r="N399" s="518">
        <v>0.10299999999999999</v>
      </c>
      <c r="O399" s="518">
        <v>0.1</v>
      </c>
      <c r="P399" s="518">
        <v>0.112</v>
      </c>
      <c r="Q399" s="78">
        <v>0.44</v>
      </c>
      <c r="R399" s="78">
        <v>0.31740000000000002</v>
      </c>
      <c r="S399" s="69">
        <v>2.5000000000000001E-2</v>
      </c>
      <c r="T399" s="69">
        <v>5.0000000000000001E-3</v>
      </c>
      <c r="U399" s="518">
        <v>0.7</v>
      </c>
      <c r="V399" s="76">
        <v>0</v>
      </c>
      <c r="W399" s="76">
        <v>0</v>
      </c>
      <c r="X399" s="76"/>
      <c r="Y399" s="516" t="s">
        <v>470</v>
      </c>
    </row>
    <row r="400" spans="1:25" x14ac:dyDescent="0.25">
      <c r="A400" s="75" t="str">
        <f t="shared" si="15"/>
        <v>Adquisicion PF No_Premier Normal Cofinavit Pago_Bajo_Puntual 25</v>
      </c>
      <c r="B400" s="75" t="str">
        <f t="shared" si="14"/>
        <v>Adquisicion PF No_Premier Normal Cofinavit Pago_Bajo_Puntual 25 0.0965</v>
      </c>
      <c r="C400" s="75" t="s">
        <v>114</v>
      </c>
      <c r="D400" s="75" t="s">
        <v>132</v>
      </c>
      <c r="E400" s="75" t="s">
        <v>179</v>
      </c>
      <c r="F400" s="75" t="s">
        <v>180</v>
      </c>
      <c r="G400" s="75" t="s">
        <v>113</v>
      </c>
      <c r="H400" s="75"/>
      <c r="I400" s="75" t="s">
        <v>170</v>
      </c>
      <c r="J400" s="523">
        <v>25</v>
      </c>
      <c r="K400" s="516" t="s">
        <v>385</v>
      </c>
      <c r="L400" s="517">
        <v>8.1</v>
      </c>
      <c r="M400" s="517">
        <v>8.76</v>
      </c>
      <c r="N400" s="518">
        <v>9.6500000000000002E-2</v>
      </c>
      <c r="O400" s="518">
        <v>9.1999999999999998E-2</v>
      </c>
      <c r="P400" s="518">
        <v>0.10249999999999999</v>
      </c>
      <c r="Q400" s="78">
        <v>0.44</v>
      </c>
      <c r="R400" s="78">
        <v>0.31740000000000002</v>
      </c>
      <c r="S400" s="69">
        <v>2.5000000000000001E-2</v>
      </c>
      <c r="T400" s="69">
        <v>5.0000000000000001E-3</v>
      </c>
      <c r="U400" s="518">
        <v>0.7</v>
      </c>
      <c r="V400" s="76">
        <v>0</v>
      </c>
      <c r="W400" s="76">
        <v>0</v>
      </c>
      <c r="X400" s="76"/>
      <c r="Y400" s="516" t="s">
        <v>470</v>
      </c>
    </row>
    <row r="401" spans="1:25" x14ac:dyDescent="0.25">
      <c r="A401" s="75" t="str">
        <f t="shared" si="15"/>
        <v>Adquisicion PF No_Premier Normal Cofinavit Pago_Bajo_Puntual 25</v>
      </c>
      <c r="B401" s="75" t="str">
        <f t="shared" si="14"/>
        <v>Adquisicion PF No_Premier Normal Cofinavit Pago_Bajo_Puntual 25 0.103</v>
      </c>
      <c r="C401" s="75" t="s">
        <v>114</v>
      </c>
      <c r="D401" s="75" t="s">
        <v>132</v>
      </c>
      <c r="E401" s="75" t="s">
        <v>179</v>
      </c>
      <c r="F401" s="75" t="s">
        <v>180</v>
      </c>
      <c r="G401" s="75" t="s">
        <v>113</v>
      </c>
      <c r="H401" s="75"/>
      <c r="I401" s="75" t="s">
        <v>170</v>
      </c>
      <c r="J401" s="523">
        <v>25</v>
      </c>
      <c r="K401" s="516" t="s">
        <v>386</v>
      </c>
      <c r="L401" s="517">
        <v>8.64</v>
      </c>
      <c r="M401" s="517">
        <v>9.3000000000000007</v>
      </c>
      <c r="N401" s="518">
        <v>0.10299999999999999</v>
      </c>
      <c r="O401" s="518">
        <v>0.1</v>
      </c>
      <c r="P401" s="518">
        <v>0.112</v>
      </c>
      <c r="Q401" s="78">
        <v>0.44</v>
      </c>
      <c r="R401" s="78">
        <v>0.31740000000000002</v>
      </c>
      <c r="S401" s="69">
        <v>2.5000000000000001E-2</v>
      </c>
      <c r="T401" s="69">
        <v>5.0000000000000001E-3</v>
      </c>
      <c r="U401" s="518">
        <v>0.7</v>
      </c>
      <c r="V401" s="76">
        <v>0</v>
      </c>
      <c r="W401" s="76">
        <v>0</v>
      </c>
      <c r="X401" s="76"/>
      <c r="Y401" s="516" t="s">
        <v>470</v>
      </c>
    </row>
    <row r="402" spans="1:25" x14ac:dyDescent="0.25">
      <c r="A402" s="75" t="str">
        <f t="shared" si="15"/>
        <v>Adquisicion PF No_Premier Normal Cofinavit Pago_Bajo_Puntual 20</v>
      </c>
      <c r="B402" s="75" t="str">
        <f t="shared" si="14"/>
        <v>Adquisicion PF No_Premier Normal Cofinavit Pago_Bajo_Puntual 20 0.0965</v>
      </c>
      <c r="C402" s="75" t="s">
        <v>114</v>
      </c>
      <c r="D402" s="75" t="s">
        <v>132</v>
      </c>
      <c r="E402" s="75" t="s">
        <v>179</v>
      </c>
      <c r="F402" s="75" t="s">
        <v>180</v>
      </c>
      <c r="G402" s="75" t="s">
        <v>113</v>
      </c>
      <c r="H402" s="75"/>
      <c r="I402" s="75" t="s">
        <v>170</v>
      </c>
      <c r="J402" s="76">
        <v>20</v>
      </c>
      <c r="K402" s="516" t="s">
        <v>385</v>
      </c>
      <c r="L402" s="517">
        <v>8.52</v>
      </c>
      <c r="M402" s="517">
        <v>9.18</v>
      </c>
      <c r="N402" s="518">
        <v>9.6500000000000002E-2</v>
      </c>
      <c r="O402" s="518">
        <v>9.1999999999999998E-2</v>
      </c>
      <c r="P402" s="518">
        <v>0.10249999999999999</v>
      </c>
      <c r="Q402" s="78">
        <v>0.44</v>
      </c>
      <c r="R402" s="78">
        <v>0.31740000000000002</v>
      </c>
      <c r="S402" s="69">
        <v>2.5000000000000001E-2</v>
      </c>
      <c r="T402" s="69">
        <v>5.0000000000000001E-3</v>
      </c>
      <c r="U402" s="518">
        <v>0.7</v>
      </c>
      <c r="V402" s="76">
        <v>0</v>
      </c>
      <c r="W402" s="76">
        <v>0</v>
      </c>
      <c r="X402" s="76"/>
      <c r="Y402" s="516" t="s">
        <v>470</v>
      </c>
    </row>
    <row r="403" spans="1:25" x14ac:dyDescent="0.25">
      <c r="A403" s="75" t="str">
        <f t="shared" si="15"/>
        <v>Adquisicion PF No_Premier Normal Cofinavit Pago_Bajo_Puntual 20</v>
      </c>
      <c r="B403" s="75" t="str">
        <f t="shared" si="14"/>
        <v>Adquisicion PF No_Premier Normal Cofinavit Pago_Bajo_Puntual 20 0.103</v>
      </c>
      <c r="C403" s="75" t="s">
        <v>114</v>
      </c>
      <c r="D403" s="75" t="s">
        <v>132</v>
      </c>
      <c r="E403" s="75" t="s">
        <v>179</v>
      </c>
      <c r="F403" s="75" t="s">
        <v>180</v>
      </c>
      <c r="G403" s="75" t="s">
        <v>113</v>
      </c>
      <c r="H403" s="75"/>
      <c r="I403" s="75" t="s">
        <v>170</v>
      </c>
      <c r="J403" s="76">
        <v>20</v>
      </c>
      <c r="K403" s="516" t="s">
        <v>386</v>
      </c>
      <c r="L403" s="517">
        <v>9</v>
      </c>
      <c r="M403" s="517">
        <v>9.66</v>
      </c>
      <c r="N403" s="518">
        <v>0.10299999999999999</v>
      </c>
      <c r="O403" s="518">
        <v>0.1</v>
      </c>
      <c r="P403" s="518">
        <v>0.112</v>
      </c>
      <c r="Q403" s="78">
        <v>0.44</v>
      </c>
      <c r="R403" s="78">
        <v>0.31740000000000002</v>
      </c>
      <c r="S403" s="69">
        <v>2.5000000000000001E-2</v>
      </c>
      <c r="T403" s="69">
        <v>5.0000000000000001E-3</v>
      </c>
      <c r="U403" s="518">
        <v>0.7</v>
      </c>
      <c r="V403" s="76">
        <v>0</v>
      </c>
      <c r="W403" s="76">
        <v>0</v>
      </c>
      <c r="X403" s="76"/>
      <c r="Y403" s="516" t="s">
        <v>470</v>
      </c>
    </row>
    <row r="404" spans="1:25" x14ac:dyDescent="0.25">
      <c r="A404" s="75" t="str">
        <f t="shared" si="15"/>
        <v>Adquisicion PF No_Premier Normal Cofinavit Pago_Bajo_Puntual 15</v>
      </c>
      <c r="B404" s="75" t="str">
        <f t="shared" si="14"/>
        <v>Adquisicion PF No_Premier Normal Cofinavit Pago_Bajo_Puntual 15 0.0965</v>
      </c>
      <c r="C404" s="75" t="s">
        <v>114</v>
      </c>
      <c r="D404" s="75" t="s">
        <v>132</v>
      </c>
      <c r="E404" s="75" t="s">
        <v>179</v>
      </c>
      <c r="F404" s="75" t="s">
        <v>180</v>
      </c>
      <c r="G404" s="75" t="s">
        <v>113</v>
      </c>
      <c r="H404" s="75"/>
      <c r="I404" s="75" t="s">
        <v>170</v>
      </c>
      <c r="J404" s="76">
        <v>15</v>
      </c>
      <c r="K404" s="516" t="s">
        <v>385</v>
      </c>
      <c r="L404" s="517">
        <v>9.6999999999999993</v>
      </c>
      <c r="M404" s="517">
        <v>10.36</v>
      </c>
      <c r="N404" s="518">
        <v>9.6500000000000002E-2</v>
      </c>
      <c r="O404" s="518">
        <v>9.1999999999999998E-2</v>
      </c>
      <c r="P404" s="518">
        <v>0.10249999999999999</v>
      </c>
      <c r="Q404" s="78">
        <v>0.44</v>
      </c>
      <c r="R404" s="78">
        <v>0.31740000000000002</v>
      </c>
      <c r="S404" s="69">
        <v>2.5000000000000001E-2</v>
      </c>
      <c r="T404" s="69">
        <v>5.0000000000000001E-3</v>
      </c>
      <c r="U404" s="518">
        <v>0.7</v>
      </c>
      <c r="V404" s="76">
        <v>0</v>
      </c>
      <c r="W404" s="76">
        <v>0</v>
      </c>
      <c r="X404" s="76"/>
      <c r="Y404" s="516" t="s">
        <v>470</v>
      </c>
    </row>
    <row r="405" spans="1:25" x14ac:dyDescent="0.25">
      <c r="A405" s="75" t="str">
        <f t="shared" si="15"/>
        <v>Adquisicion PF No_Premier Normal Cofinavit Pago_Bajo_Puntual 15</v>
      </c>
      <c r="B405" s="75" t="str">
        <f t="shared" si="14"/>
        <v>Adquisicion PF No_Premier Normal Cofinavit Pago_Bajo_Puntual 15 0.103</v>
      </c>
      <c r="C405" s="75" t="s">
        <v>114</v>
      </c>
      <c r="D405" s="75" t="s">
        <v>132</v>
      </c>
      <c r="E405" s="75" t="s">
        <v>179</v>
      </c>
      <c r="F405" s="75" t="s">
        <v>180</v>
      </c>
      <c r="G405" s="75" t="s">
        <v>113</v>
      </c>
      <c r="H405" s="75"/>
      <c r="I405" s="75" t="s">
        <v>170</v>
      </c>
      <c r="J405" s="76">
        <v>15</v>
      </c>
      <c r="K405" s="516" t="s">
        <v>386</v>
      </c>
      <c r="L405" s="517">
        <v>10.119999999999999</v>
      </c>
      <c r="M405" s="517">
        <v>10.78</v>
      </c>
      <c r="N405" s="518">
        <v>0.10299999999999999</v>
      </c>
      <c r="O405" s="518">
        <v>0.1</v>
      </c>
      <c r="P405" s="518">
        <v>0.112</v>
      </c>
      <c r="Q405" s="78">
        <v>0.44</v>
      </c>
      <c r="R405" s="78">
        <v>0.31740000000000002</v>
      </c>
      <c r="S405" s="69">
        <v>2.5000000000000001E-2</v>
      </c>
      <c r="T405" s="69">
        <v>5.0000000000000001E-3</v>
      </c>
      <c r="U405" s="518">
        <v>0.7</v>
      </c>
      <c r="V405" s="76">
        <v>0</v>
      </c>
      <c r="W405" s="76">
        <v>0</v>
      </c>
      <c r="X405" s="76"/>
      <c r="Y405" s="516" t="s">
        <v>470</v>
      </c>
    </row>
    <row r="406" spans="1:25" x14ac:dyDescent="0.25">
      <c r="A406" s="75" t="str">
        <f t="shared" si="15"/>
        <v>Adquisicion PF No_Premier Normal Cofinavit Pago_Bajo_Puntual 10</v>
      </c>
      <c r="B406" s="75" t="str">
        <f t="shared" si="14"/>
        <v>Adquisicion PF No_Premier Normal Cofinavit Pago_Bajo_Puntual 10 0.0965</v>
      </c>
      <c r="C406" s="75" t="s">
        <v>114</v>
      </c>
      <c r="D406" s="75" t="s">
        <v>132</v>
      </c>
      <c r="E406" s="75" t="s">
        <v>179</v>
      </c>
      <c r="F406" s="75" t="s">
        <v>180</v>
      </c>
      <c r="G406" s="75" t="s">
        <v>113</v>
      </c>
      <c r="H406" s="75"/>
      <c r="I406" s="75" t="s">
        <v>170</v>
      </c>
      <c r="J406" s="76">
        <v>10</v>
      </c>
      <c r="K406" s="516" t="s">
        <v>385</v>
      </c>
      <c r="L406" s="517">
        <v>12.25</v>
      </c>
      <c r="M406" s="517">
        <v>12.91</v>
      </c>
      <c r="N406" s="518">
        <v>9.6500000000000002E-2</v>
      </c>
      <c r="O406" s="518">
        <v>9.1999999999999998E-2</v>
      </c>
      <c r="P406" s="518">
        <v>0.10249999999999999</v>
      </c>
      <c r="Q406" s="78">
        <v>0.44</v>
      </c>
      <c r="R406" s="78">
        <v>0.31740000000000002</v>
      </c>
      <c r="S406" s="69">
        <v>2.5000000000000001E-2</v>
      </c>
      <c r="T406" s="69">
        <v>5.0000000000000001E-3</v>
      </c>
      <c r="U406" s="518">
        <v>0.7</v>
      </c>
      <c r="V406" s="76">
        <v>0</v>
      </c>
      <c r="W406" s="76">
        <v>0</v>
      </c>
      <c r="X406" s="76"/>
      <c r="Y406" s="516" t="s">
        <v>470</v>
      </c>
    </row>
    <row r="407" spans="1:25" x14ac:dyDescent="0.25">
      <c r="A407" s="75" t="str">
        <f t="shared" si="15"/>
        <v>Adquisicion PF No_Premier Normal Cofinavit Pago_Bajo_Puntual 10</v>
      </c>
      <c r="B407" s="75" t="str">
        <f t="shared" si="14"/>
        <v>Adquisicion PF No_Premier Normal Cofinavit Pago_Bajo_Puntual 10 0.103</v>
      </c>
      <c r="C407" s="75" t="s">
        <v>114</v>
      </c>
      <c r="D407" s="75" t="s">
        <v>132</v>
      </c>
      <c r="E407" s="75" t="s">
        <v>179</v>
      </c>
      <c r="F407" s="75" t="s">
        <v>180</v>
      </c>
      <c r="G407" s="75" t="s">
        <v>113</v>
      </c>
      <c r="H407" s="75"/>
      <c r="I407" s="75" t="s">
        <v>170</v>
      </c>
      <c r="J407" s="76">
        <v>10</v>
      </c>
      <c r="K407" s="516" t="s">
        <v>386</v>
      </c>
      <c r="L407" s="517">
        <v>12.62</v>
      </c>
      <c r="M407" s="517">
        <v>13.28</v>
      </c>
      <c r="N407" s="518">
        <v>0.10299999999999999</v>
      </c>
      <c r="O407" s="518">
        <v>0.1</v>
      </c>
      <c r="P407" s="518">
        <v>0.112</v>
      </c>
      <c r="Q407" s="78">
        <v>0.44</v>
      </c>
      <c r="R407" s="78">
        <v>0.31740000000000002</v>
      </c>
      <c r="S407" s="69">
        <v>2.5000000000000001E-2</v>
      </c>
      <c r="T407" s="69">
        <v>5.0000000000000001E-3</v>
      </c>
      <c r="U407" s="518">
        <v>0.7</v>
      </c>
      <c r="V407" s="76">
        <v>0</v>
      </c>
      <c r="W407" s="76">
        <v>0</v>
      </c>
      <c r="X407" s="76"/>
      <c r="Y407" s="516" t="s">
        <v>470</v>
      </c>
    </row>
    <row r="408" spans="1:25" x14ac:dyDescent="0.25">
      <c r="A408" s="75" t="str">
        <f t="shared" si="15"/>
        <v>Adquisicion PF No_Premier Normal Cofinavit Pago_Bajo_Puntual 5</v>
      </c>
      <c r="B408" s="75" t="str">
        <f t="shared" si="14"/>
        <v>Adquisicion PF No_Premier Normal Cofinavit Pago_Bajo_Puntual 5 0.0965</v>
      </c>
      <c r="C408" s="75" t="s">
        <v>114</v>
      </c>
      <c r="D408" s="75" t="s">
        <v>132</v>
      </c>
      <c r="E408" s="75" t="s">
        <v>179</v>
      </c>
      <c r="F408" s="75" t="s">
        <v>180</v>
      </c>
      <c r="G408" s="75" t="s">
        <v>113</v>
      </c>
      <c r="H408" s="75"/>
      <c r="I408" s="75" t="s">
        <v>170</v>
      </c>
      <c r="J408" s="76">
        <v>5</v>
      </c>
      <c r="K408" s="516" t="s">
        <v>385</v>
      </c>
      <c r="L408" s="517">
        <v>20.399999999999999</v>
      </c>
      <c r="M408" s="517">
        <v>21.06</v>
      </c>
      <c r="N408" s="518">
        <v>9.6500000000000002E-2</v>
      </c>
      <c r="O408" s="518">
        <v>9.1999999999999998E-2</v>
      </c>
      <c r="P408" s="518">
        <v>0.10249999999999999</v>
      </c>
      <c r="Q408" s="78">
        <v>0.44</v>
      </c>
      <c r="R408" s="78">
        <v>0.31740000000000002</v>
      </c>
      <c r="S408" s="69">
        <v>2.5000000000000001E-2</v>
      </c>
      <c r="T408" s="69">
        <v>5.0000000000000001E-3</v>
      </c>
      <c r="U408" s="518">
        <v>0.7</v>
      </c>
      <c r="V408" s="76">
        <v>0</v>
      </c>
      <c r="W408" s="76">
        <v>0</v>
      </c>
      <c r="X408" s="76"/>
      <c r="Y408" s="516" t="s">
        <v>470</v>
      </c>
    </row>
    <row r="409" spans="1:25" x14ac:dyDescent="0.25">
      <c r="A409" s="75" t="str">
        <f t="shared" si="15"/>
        <v>Adquisicion PF No_Premier Normal Cofinavit Pago_Bajo_Puntual 5</v>
      </c>
      <c r="B409" s="75" t="str">
        <f t="shared" si="14"/>
        <v>Adquisicion PF No_Premier Normal Cofinavit Pago_Bajo_Puntual 5 0.103</v>
      </c>
      <c r="C409" s="75" t="s">
        <v>114</v>
      </c>
      <c r="D409" s="75" t="s">
        <v>132</v>
      </c>
      <c r="E409" s="75" t="s">
        <v>179</v>
      </c>
      <c r="F409" s="75" t="s">
        <v>180</v>
      </c>
      <c r="G409" s="75" t="s">
        <v>113</v>
      </c>
      <c r="H409" s="75"/>
      <c r="I409" s="75" t="s">
        <v>170</v>
      </c>
      <c r="J409" s="76">
        <v>5</v>
      </c>
      <c r="K409" s="516" t="s">
        <v>386</v>
      </c>
      <c r="L409" s="517">
        <v>20.72</v>
      </c>
      <c r="M409" s="517">
        <v>21.38</v>
      </c>
      <c r="N409" s="518">
        <v>0.10299999999999999</v>
      </c>
      <c r="O409" s="518">
        <v>0.1</v>
      </c>
      <c r="P409" s="518">
        <v>0.112</v>
      </c>
      <c r="Q409" s="78">
        <v>0.44</v>
      </c>
      <c r="R409" s="78">
        <v>0.31740000000000002</v>
      </c>
      <c r="S409" s="69">
        <v>2.5000000000000001E-2</v>
      </c>
      <c r="T409" s="69">
        <v>5.0000000000000001E-3</v>
      </c>
      <c r="U409" s="518">
        <v>0.7</v>
      </c>
      <c r="V409" s="76">
        <v>0</v>
      </c>
      <c r="W409" s="76">
        <v>0</v>
      </c>
      <c r="X409" s="76"/>
      <c r="Y409" s="516" t="s">
        <v>470</v>
      </c>
    </row>
    <row r="410" spans="1:25" x14ac:dyDescent="0.25">
      <c r="A410" s="75" t="str">
        <f t="shared" si="15"/>
        <v>Adquisicion PF Premier Apoyo Infonavit Pago_Fijo_Puntual 25</v>
      </c>
      <c r="B410" s="75" t="str">
        <f t="shared" si="14"/>
        <v>Adquisicion PF Premier Apoyo Infonavit Pago_Fijo_Puntual 25 0.0965</v>
      </c>
      <c r="C410" s="75" t="s">
        <v>114</v>
      </c>
      <c r="D410" s="75" t="s">
        <v>132</v>
      </c>
      <c r="E410" s="75" t="s">
        <v>143</v>
      </c>
      <c r="F410" s="75"/>
      <c r="G410" s="75" t="s">
        <v>112</v>
      </c>
      <c r="H410" s="75"/>
      <c r="I410" s="75" t="s">
        <v>171</v>
      </c>
      <c r="J410" s="76">
        <v>25</v>
      </c>
      <c r="K410" s="516" t="s">
        <v>385</v>
      </c>
      <c r="L410" s="517">
        <v>9.11</v>
      </c>
      <c r="M410" s="517">
        <v>9.77</v>
      </c>
      <c r="N410" s="518">
        <v>9.6500000000000002E-2</v>
      </c>
      <c r="O410" s="518">
        <v>9.1999999999999998E-2</v>
      </c>
      <c r="P410" s="518">
        <v>0.10249999999999999</v>
      </c>
      <c r="Q410" s="78">
        <v>0.44</v>
      </c>
      <c r="R410" s="78">
        <v>0.31740000000000002</v>
      </c>
      <c r="S410" s="69">
        <v>1.4999999999999999E-2</v>
      </c>
      <c r="T410" s="69">
        <v>5.0000000000000001E-3</v>
      </c>
      <c r="U410" s="518">
        <v>0.7</v>
      </c>
      <c r="V410" s="76">
        <v>0</v>
      </c>
      <c r="W410" s="76">
        <v>0</v>
      </c>
      <c r="X410" s="76"/>
      <c r="Y410" s="516" t="s">
        <v>470</v>
      </c>
    </row>
    <row r="411" spans="1:25" x14ac:dyDescent="0.25">
      <c r="A411" s="75" t="str">
        <f t="shared" si="15"/>
        <v>Adquisicion PF Premier Apoyo Infonavit Pago_Fijo_Puntual 25</v>
      </c>
      <c r="B411" s="75" t="str">
        <f t="shared" si="14"/>
        <v>Adquisicion PF Premier Apoyo Infonavit Pago_Fijo_Puntual 25 0.103</v>
      </c>
      <c r="C411" s="75" t="s">
        <v>114</v>
      </c>
      <c r="D411" s="75" t="s">
        <v>132</v>
      </c>
      <c r="E411" s="75" t="s">
        <v>143</v>
      </c>
      <c r="F411" s="75"/>
      <c r="G411" s="75" t="s">
        <v>112</v>
      </c>
      <c r="H411" s="75"/>
      <c r="I411" s="75" t="s">
        <v>171</v>
      </c>
      <c r="J411" s="76">
        <v>25</v>
      </c>
      <c r="K411" s="516" t="s">
        <v>386</v>
      </c>
      <c r="L411" s="517">
        <v>9.65</v>
      </c>
      <c r="M411" s="517">
        <v>10.31</v>
      </c>
      <c r="N411" s="518">
        <v>0.10299999999999999</v>
      </c>
      <c r="O411" s="518">
        <v>0.1</v>
      </c>
      <c r="P411" s="518">
        <v>0.112</v>
      </c>
      <c r="Q411" s="78">
        <v>0.44</v>
      </c>
      <c r="R411" s="78">
        <v>0.31740000000000002</v>
      </c>
      <c r="S411" s="69">
        <v>1.4999999999999999E-2</v>
      </c>
      <c r="T411" s="69">
        <v>5.0000000000000001E-3</v>
      </c>
      <c r="U411" s="518">
        <v>0.7</v>
      </c>
      <c r="V411" s="76">
        <v>0</v>
      </c>
      <c r="W411" s="76">
        <v>0</v>
      </c>
      <c r="X411" s="76"/>
      <c r="Y411" s="516" t="s">
        <v>470</v>
      </c>
    </row>
    <row r="412" spans="1:25" x14ac:dyDescent="0.25">
      <c r="A412" s="75" t="str">
        <f t="shared" si="15"/>
        <v>Adquisicion PF Premier Apoyo Infonavit Pago_Fijo_Puntual 20</v>
      </c>
      <c r="B412" s="75" t="str">
        <f t="shared" si="14"/>
        <v>Adquisicion PF Premier Apoyo Infonavit Pago_Fijo_Puntual 20 0.0965</v>
      </c>
      <c r="C412" s="75" t="s">
        <v>114</v>
      </c>
      <c r="D412" s="75" t="s">
        <v>132</v>
      </c>
      <c r="E412" s="75" t="s">
        <v>143</v>
      </c>
      <c r="F412" s="75"/>
      <c r="G412" s="75" t="s">
        <v>112</v>
      </c>
      <c r="H412" s="75"/>
      <c r="I412" s="75" t="s">
        <v>171</v>
      </c>
      <c r="J412" s="76">
        <v>20</v>
      </c>
      <c r="K412" s="516" t="s">
        <v>385</v>
      </c>
      <c r="L412" s="517">
        <v>9.66</v>
      </c>
      <c r="M412" s="517">
        <v>10.32</v>
      </c>
      <c r="N412" s="518">
        <v>9.6500000000000002E-2</v>
      </c>
      <c r="O412" s="518">
        <v>9.1999999999999998E-2</v>
      </c>
      <c r="P412" s="518">
        <v>0.10249999999999999</v>
      </c>
      <c r="Q412" s="78">
        <v>0.44</v>
      </c>
      <c r="R412" s="78">
        <v>0.31740000000000002</v>
      </c>
      <c r="S412" s="69">
        <v>1.4999999999999999E-2</v>
      </c>
      <c r="T412" s="69">
        <v>5.0000000000000001E-3</v>
      </c>
      <c r="U412" s="518">
        <v>0.7</v>
      </c>
      <c r="V412" s="76">
        <v>0</v>
      </c>
      <c r="W412" s="76">
        <v>0</v>
      </c>
      <c r="X412" s="76"/>
      <c r="Y412" s="516" t="s">
        <v>470</v>
      </c>
    </row>
    <row r="413" spans="1:25" x14ac:dyDescent="0.25">
      <c r="A413" s="75" t="str">
        <f t="shared" si="15"/>
        <v>Adquisicion PF Premier Apoyo Infonavit Pago_Fijo_Puntual 20</v>
      </c>
      <c r="B413" s="75" t="str">
        <f t="shared" si="14"/>
        <v>Adquisicion PF Premier Apoyo Infonavit Pago_Fijo_Puntual 20 0.103</v>
      </c>
      <c r="C413" s="75" t="s">
        <v>114</v>
      </c>
      <c r="D413" s="75" t="s">
        <v>132</v>
      </c>
      <c r="E413" s="75" t="s">
        <v>143</v>
      </c>
      <c r="F413" s="75"/>
      <c r="G413" s="75" t="s">
        <v>112</v>
      </c>
      <c r="H413" s="75"/>
      <c r="I413" s="75" t="s">
        <v>171</v>
      </c>
      <c r="J413" s="76">
        <v>20</v>
      </c>
      <c r="K413" s="516" t="s">
        <v>386</v>
      </c>
      <c r="L413" s="517">
        <v>10.16</v>
      </c>
      <c r="M413" s="517">
        <v>10.82</v>
      </c>
      <c r="N413" s="518">
        <v>0.10299999999999999</v>
      </c>
      <c r="O413" s="518">
        <v>0.1</v>
      </c>
      <c r="P413" s="518">
        <v>0.112</v>
      </c>
      <c r="Q413" s="78">
        <v>0.44</v>
      </c>
      <c r="R413" s="78">
        <v>0.31740000000000002</v>
      </c>
      <c r="S413" s="69">
        <v>1.4999999999999999E-2</v>
      </c>
      <c r="T413" s="69">
        <v>5.0000000000000001E-3</v>
      </c>
      <c r="U413" s="518">
        <v>0.7</v>
      </c>
      <c r="V413" s="76">
        <v>0</v>
      </c>
      <c r="W413" s="76">
        <v>0</v>
      </c>
      <c r="X413" s="76"/>
      <c r="Y413" s="516" t="s">
        <v>470</v>
      </c>
    </row>
    <row r="414" spans="1:25" x14ac:dyDescent="0.25">
      <c r="A414" s="75" t="str">
        <f t="shared" si="15"/>
        <v>Adquisicion PF Premier Apoyo Infonavit Pago_Fijo_Puntual 15</v>
      </c>
      <c r="B414" s="75" t="str">
        <f t="shared" si="14"/>
        <v>Adquisicion PF Premier Apoyo Infonavit Pago_Fijo_Puntual 15 0.0965</v>
      </c>
      <c r="C414" s="75" t="s">
        <v>114</v>
      </c>
      <c r="D414" s="75" t="s">
        <v>132</v>
      </c>
      <c r="E414" s="75" t="s">
        <v>143</v>
      </c>
      <c r="F414" s="75"/>
      <c r="G414" s="75" t="s">
        <v>112</v>
      </c>
      <c r="H414" s="75"/>
      <c r="I414" s="75" t="s">
        <v>171</v>
      </c>
      <c r="J414" s="76">
        <v>15</v>
      </c>
      <c r="K414" s="516" t="s">
        <v>385</v>
      </c>
      <c r="L414" s="517">
        <v>10.73</v>
      </c>
      <c r="M414" s="517">
        <v>11.39</v>
      </c>
      <c r="N414" s="518">
        <v>9.6500000000000002E-2</v>
      </c>
      <c r="O414" s="518">
        <v>9.1999999999999998E-2</v>
      </c>
      <c r="P414" s="518">
        <v>0.10249999999999999</v>
      </c>
      <c r="Q414" s="78">
        <v>0.44</v>
      </c>
      <c r="R414" s="78">
        <v>0.31740000000000002</v>
      </c>
      <c r="S414" s="69">
        <v>1.4999999999999999E-2</v>
      </c>
      <c r="T414" s="69">
        <v>5.0000000000000001E-3</v>
      </c>
      <c r="U414" s="518">
        <v>0.7</v>
      </c>
      <c r="V414" s="76">
        <v>0</v>
      </c>
      <c r="W414" s="76">
        <v>0</v>
      </c>
      <c r="X414" s="76"/>
      <c r="Y414" s="516" t="s">
        <v>470</v>
      </c>
    </row>
    <row r="415" spans="1:25" x14ac:dyDescent="0.25">
      <c r="A415" s="75" t="str">
        <f t="shared" si="15"/>
        <v>Adquisicion PF Premier Apoyo Infonavit Pago_Fijo_Puntual 15</v>
      </c>
      <c r="B415" s="75" t="str">
        <f t="shared" si="14"/>
        <v>Adquisicion PF Premier Apoyo Infonavit Pago_Fijo_Puntual 15 0.103</v>
      </c>
      <c r="C415" s="75" t="s">
        <v>114</v>
      </c>
      <c r="D415" s="75" t="s">
        <v>132</v>
      </c>
      <c r="E415" s="75" t="s">
        <v>143</v>
      </c>
      <c r="F415" s="75"/>
      <c r="G415" s="75" t="s">
        <v>112</v>
      </c>
      <c r="H415" s="75"/>
      <c r="I415" s="75" t="s">
        <v>171</v>
      </c>
      <c r="J415" s="76">
        <v>15</v>
      </c>
      <c r="K415" s="516" t="s">
        <v>386</v>
      </c>
      <c r="L415" s="517">
        <v>11.18</v>
      </c>
      <c r="M415" s="517">
        <v>11.84</v>
      </c>
      <c r="N415" s="518">
        <v>0.10299999999999999</v>
      </c>
      <c r="O415" s="518">
        <v>0.1</v>
      </c>
      <c r="P415" s="518">
        <v>0.112</v>
      </c>
      <c r="Q415" s="78">
        <v>0.44</v>
      </c>
      <c r="R415" s="78">
        <v>0.31740000000000002</v>
      </c>
      <c r="S415" s="69">
        <v>1.4999999999999999E-2</v>
      </c>
      <c r="T415" s="69">
        <v>5.0000000000000001E-3</v>
      </c>
      <c r="U415" s="518">
        <v>0.7</v>
      </c>
      <c r="V415" s="76">
        <v>0</v>
      </c>
      <c r="W415" s="76">
        <v>0</v>
      </c>
      <c r="X415" s="76"/>
      <c r="Y415" s="516" t="s">
        <v>470</v>
      </c>
    </row>
    <row r="416" spans="1:25" x14ac:dyDescent="0.25">
      <c r="A416" s="75" t="str">
        <f t="shared" si="15"/>
        <v>Adquisicion PF Premier Apoyo Infonavit Pago_Fijo_Puntual 10</v>
      </c>
      <c r="B416" s="75" t="str">
        <f t="shared" si="14"/>
        <v>Adquisicion PF Premier Apoyo Infonavit Pago_Fijo_Puntual 10 0.0965</v>
      </c>
      <c r="C416" s="75" t="s">
        <v>114</v>
      </c>
      <c r="D416" s="75" t="s">
        <v>132</v>
      </c>
      <c r="E416" s="75" t="s">
        <v>143</v>
      </c>
      <c r="F416" s="75"/>
      <c r="G416" s="75" t="s">
        <v>112</v>
      </c>
      <c r="H416" s="75"/>
      <c r="I416" s="75" t="s">
        <v>171</v>
      </c>
      <c r="J416" s="76">
        <v>10</v>
      </c>
      <c r="K416" s="516" t="s">
        <v>385</v>
      </c>
      <c r="L416" s="517">
        <v>13.16</v>
      </c>
      <c r="M416" s="517">
        <v>13.82</v>
      </c>
      <c r="N416" s="518">
        <v>9.6500000000000002E-2</v>
      </c>
      <c r="O416" s="518">
        <v>9.1999999999999998E-2</v>
      </c>
      <c r="P416" s="518">
        <v>0.10249999999999999</v>
      </c>
      <c r="Q416" s="78">
        <v>0.44</v>
      </c>
      <c r="R416" s="78">
        <v>0.31740000000000002</v>
      </c>
      <c r="S416" s="69">
        <v>1.4999999999999999E-2</v>
      </c>
      <c r="T416" s="69">
        <v>5.0000000000000001E-3</v>
      </c>
      <c r="U416" s="518">
        <v>0.7</v>
      </c>
      <c r="V416" s="76">
        <v>0</v>
      </c>
      <c r="W416" s="76">
        <v>0</v>
      </c>
      <c r="X416" s="76"/>
      <c r="Y416" s="516" t="s">
        <v>470</v>
      </c>
    </row>
    <row r="417" spans="1:25" x14ac:dyDescent="0.25">
      <c r="A417" s="75" t="str">
        <f t="shared" si="15"/>
        <v>Adquisicion PF Premier Apoyo Infonavit Pago_Fijo_Puntual 10</v>
      </c>
      <c r="B417" s="75" t="str">
        <f t="shared" si="14"/>
        <v>Adquisicion PF Premier Apoyo Infonavit Pago_Fijo_Puntual 10 0.103</v>
      </c>
      <c r="C417" s="75" t="s">
        <v>114</v>
      </c>
      <c r="D417" s="75" t="s">
        <v>132</v>
      </c>
      <c r="E417" s="75" t="s">
        <v>143</v>
      </c>
      <c r="F417" s="75"/>
      <c r="G417" s="75" t="s">
        <v>112</v>
      </c>
      <c r="H417" s="75"/>
      <c r="I417" s="75" t="s">
        <v>171</v>
      </c>
      <c r="J417" s="76">
        <v>10</v>
      </c>
      <c r="K417" s="516" t="s">
        <v>386</v>
      </c>
      <c r="L417" s="517">
        <v>13.54</v>
      </c>
      <c r="M417" s="517">
        <v>14.2</v>
      </c>
      <c r="N417" s="518">
        <v>0.10299999999999999</v>
      </c>
      <c r="O417" s="518">
        <v>0.1</v>
      </c>
      <c r="P417" s="518">
        <v>0.112</v>
      </c>
      <c r="Q417" s="78">
        <v>0.44</v>
      </c>
      <c r="R417" s="78">
        <v>0.31740000000000002</v>
      </c>
      <c r="S417" s="69">
        <v>1.4999999999999999E-2</v>
      </c>
      <c r="T417" s="69">
        <v>5.0000000000000001E-3</v>
      </c>
      <c r="U417" s="518">
        <v>0.7</v>
      </c>
      <c r="V417" s="76">
        <v>0</v>
      </c>
      <c r="W417" s="76">
        <v>0</v>
      </c>
      <c r="X417" s="76"/>
      <c r="Y417" s="516" t="s">
        <v>470</v>
      </c>
    </row>
    <row r="418" spans="1:25" x14ac:dyDescent="0.25">
      <c r="A418" s="75" t="str">
        <f t="shared" si="15"/>
        <v>Adquisicion PF Premier Apoyo Infonavit Pago_Fijo_Puntual 5</v>
      </c>
      <c r="B418" s="75" t="str">
        <f t="shared" si="14"/>
        <v>Adquisicion PF Premier Apoyo Infonavit Pago_Fijo_Puntual 5 0.0965</v>
      </c>
      <c r="C418" s="75" t="s">
        <v>114</v>
      </c>
      <c r="D418" s="75" t="s">
        <v>132</v>
      </c>
      <c r="E418" s="75" t="s">
        <v>143</v>
      </c>
      <c r="F418" s="75"/>
      <c r="G418" s="75" t="s">
        <v>112</v>
      </c>
      <c r="H418" s="75"/>
      <c r="I418" s="75" t="s">
        <v>171</v>
      </c>
      <c r="J418" s="76">
        <v>5</v>
      </c>
      <c r="K418" s="516" t="s">
        <v>385</v>
      </c>
      <c r="L418" s="517">
        <v>21.12</v>
      </c>
      <c r="M418" s="517">
        <v>21.78</v>
      </c>
      <c r="N418" s="518">
        <v>9.6500000000000002E-2</v>
      </c>
      <c r="O418" s="518">
        <v>9.1999999999999998E-2</v>
      </c>
      <c r="P418" s="518">
        <v>0.10249999999999999</v>
      </c>
      <c r="Q418" s="78">
        <v>0.44</v>
      </c>
      <c r="R418" s="78">
        <v>0.31740000000000002</v>
      </c>
      <c r="S418" s="69">
        <v>1.4999999999999999E-2</v>
      </c>
      <c r="T418" s="69">
        <v>5.0000000000000001E-3</v>
      </c>
      <c r="U418" s="518">
        <v>0.7</v>
      </c>
      <c r="V418" s="76">
        <v>0</v>
      </c>
      <c r="W418" s="76">
        <v>0</v>
      </c>
      <c r="X418" s="76"/>
      <c r="Y418" s="516" t="s">
        <v>470</v>
      </c>
    </row>
    <row r="419" spans="1:25" x14ac:dyDescent="0.25">
      <c r="A419" s="75" t="str">
        <f t="shared" si="15"/>
        <v>Adquisicion PF Premier Apoyo Infonavit Pago_Fijo_Puntual 5</v>
      </c>
      <c r="B419" s="75" t="str">
        <f t="shared" si="14"/>
        <v>Adquisicion PF Premier Apoyo Infonavit Pago_Fijo_Puntual 5 0.103</v>
      </c>
      <c r="C419" s="75" t="s">
        <v>114</v>
      </c>
      <c r="D419" s="75" t="s">
        <v>132</v>
      </c>
      <c r="E419" s="75" t="s">
        <v>143</v>
      </c>
      <c r="F419" s="75"/>
      <c r="G419" s="75" t="s">
        <v>112</v>
      </c>
      <c r="H419" s="75"/>
      <c r="I419" s="75" t="s">
        <v>171</v>
      </c>
      <c r="J419" s="76">
        <v>5</v>
      </c>
      <c r="K419" s="516" t="s">
        <v>386</v>
      </c>
      <c r="L419" s="517">
        <v>21.44</v>
      </c>
      <c r="M419" s="517">
        <v>22.1</v>
      </c>
      <c r="N419" s="518">
        <v>0.10299999999999999</v>
      </c>
      <c r="O419" s="518">
        <v>0.1</v>
      </c>
      <c r="P419" s="518">
        <v>0.112</v>
      </c>
      <c r="Q419" s="78">
        <v>0.44</v>
      </c>
      <c r="R419" s="78">
        <v>0.31740000000000002</v>
      </c>
      <c r="S419" s="69">
        <v>1.4999999999999999E-2</v>
      </c>
      <c r="T419" s="69">
        <v>5.0000000000000001E-3</v>
      </c>
      <c r="U419" s="518">
        <v>0.7</v>
      </c>
      <c r="V419" s="76">
        <v>0</v>
      </c>
      <c r="W419" s="76">
        <v>0</v>
      </c>
      <c r="X419" s="76"/>
      <c r="Y419" s="516" t="s">
        <v>470</v>
      </c>
    </row>
    <row r="420" spans="1:25" x14ac:dyDescent="0.25">
      <c r="A420" s="75" t="str">
        <f t="shared" si="15"/>
        <v>Adquisicion PF Premier Apoyo Infonavit Pago_Bajo_Puntual 25</v>
      </c>
      <c r="B420" s="75" t="str">
        <f t="shared" si="14"/>
        <v>Adquisicion PF Premier Apoyo Infonavit Pago_Bajo_Puntual 25 0.0965</v>
      </c>
      <c r="C420" s="75" t="s">
        <v>114</v>
      </c>
      <c r="D420" s="75" t="s">
        <v>132</v>
      </c>
      <c r="E420" s="75" t="s">
        <v>143</v>
      </c>
      <c r="F420" s="75"/>
      <c r="G420" s="75" t="s">
        <v>112</v>
      </c>
      <c r="H420" s="75"/>
      <c r="I420" s="75" t="s">
        <v>170</v>
      </c>
      <c r="J420" s="523">
        <v>25</v>
      </c>
      <c r="K420" s="516" t="s">
        <v>385</v>
      </c>
      <c r="L420" s="517">
        <v>8.1</v>
      </c>
      <c r="M420" s="517">
        <v>8.76</v>
      </c>
      <c r="N420" s="518">
        <v>9.6500000000000002E-2</v>
      </c>
      <c r="O420" s="518">
        <v>9.1999999999999998E-2</v>
      </c>
      <c r="P420" s="518">
        <v>0.10249999999999999</v>
      </c>
      <c r="Q420" s="78">
        <v>0.44</v>
      </c>
      <c r="R420" s="78">
        <v>0.31740000000000002</v>
      </c>
      <c r="S420" s="69">
        <v>1.4999999999999999E-2</v>
      </c>
      <c r="T420" s="69">
        <v>5.0000000000000001E-3</v>
      </c>
      <c r="U420" s="518">
        <v>0.7</v>
      </c>
      <c r="V420" s="76">
        <v>0</v>
      </c>
      <c r="W420" s="76">
        <v>0</v>
      </c>
      <c r="X420" s="76"/>
      <c r="Y420" s="516" t="s">
        <v>470</v>
      </c>
    </row>
    <row r="421" spans="1:25" x14ac:dyDescent="0.25">
      <c r="A421" s="75" t="str">
        <f t="shared" si="15"/>
        <v>Adquisicion PF Premier Apoyo Infonavit Pago_Bajo_Puntual 25</v>
      </c>
      <c r="B421" s="75" t="str">
        <f t="shared" si="14"/>
        <v>Adquisicion PF Premier Apoyo Infonavit Pago_Bajo_Puntual 25 0.103</v>
      </c>
      <c r="C421" s="75" t="s">
        <v>114</v>
      </c>
      <c r="D421" s="75" t="s">
        <v>132</v>
      </c>
      <c r="E421" s="75" t="s">
        <v>143</v>
      </c>
      <c r="F421" s="75"/>
      <c r="G421" s="75" t="s">
        <v>112</v>
      </c>
      <c r="H421" s="75"/>
      <c r="I421" s="75" t="s">
        <v>170</v>
      </c>
      <c r="J421" s="523">
        <v>25</v>
      </c>
      <c r="K421" s="516" t="s">
        <v>386</v>
      </c>
      <c r="L421" s="517">
        <v>8.64</v>
      </c>
      <c r="M421" s="517">
        <v>9.3000000000000007</v>
      </c>
      <c r="N421" s="518">
        <v>0.10299999999999999</v>
      </c>
      <c r="O421" s="518">
        <v>0.1</v>
      </c>
      <c r="P421" s="518">
        <v>0.112</v>
      </c>
      <c r="Q421" s="78">
        <v>0.44</v>
      </c>
      <c r="R421" s="78">
        <v>0.31740000000000002</v>
      </c>
      <c r="S421" s="69">
        <v>1.4999999999999999E-2</v>
      </c>
      <c r="T421" s="69">
        <v>5.0000000000000001E-3</v>
      </c>
      <c r="U421" s="518">
        <v>0.7</v>
      </c>
      <c r="V421" s="76">
        <v>0</v>
      </c>
      <c r="W421" s="76">
        <v>0</v>
      </c>
      <c r="X421" s="76"/>
      <c r="Y421" s="516" t="s">
        <v>470</v>
      </c>
    </row>
    <row r="422" spans="1:25" x14ac:dyDescent="0.25">
      <c r="A422" s="75" t="str">
        <f t="shared" si="15"/>
        <v>Adquisicion PF Premier Apoyo Infonavit Pago_Bajo_Puntual 20</v>
      </c>
      <c r="B422" s="75" t="str">
        <f t="shared" si="14"/>
        <v>Adquisicion PF Premier Apoyo Infonavit Pago_Bajo_Puntual 20 0.0965</v>
      </c>
      <c r="C422" s="75" t="s">
        <v>114</v>
      </c>
      <c r="D422" s="75" t="s">
        <v>132</v>
      </c>
      <c r="E422" s="75" t="s">
        <v>143</v>
      </c>
      <c r="F422" s="75"/>
      <c r="G422" s="75" t="s">
        <v>112</v>
      </c>
      <c r="H422" s="75"/>
      <c r="I422" s="75" t="s">
        <v>170</v>
      </c>
      <c r="J422" s="76">
        <v>20</v>
      </c>
      <c r="K422" s="516" t="s">
        <v>385</v>
      </c>
      <c r="L422" s="517">
        <v>8.5399999999999991</v>
      </c>
      <c r="M422" s="517">
        <v>9.1999999999999993</v>
      </c>
      <c r="N422" s="518">
        <v>9.6500000000000002E-2</v>
      </c>
      <c r="O422" s="518">
        <v>9.1999999999999998E-2</v>
      </c>
      <c r="P422" s="518">
        <v>0.10249999999999999</v>
      </c>
      <c r="Q422" s="78">
        <v>0.44</v>
      </c>
      <c r="R422" s="78">
        <v>0.31740000000000002</v>
      </c>
      <c r="S422" s="69">
        <v>1.4999999999999999E-2</v>
      </c>
      <c r="T422" s="69">
        <v>5.0000000000000001E-3</v>
      </c>
      <c r="U422" s="518">
        <v>0.7</v>
      </c>
      <c r="V422" s="76">
        <v>0</v>
      </c>
      <c r="W422" s="76">
        <v>0</v>
      </c>
      <c r="X422" s="76"/>
      <c r="Y422" s="516" t="s">
        <v>470</v>
      </c>
    </row>
    <row r="423" spans="1:25" x14ac:dyDescent="0.25">
      <c r="A423" s="75" t="str">
        <f t="shared" si="15"/>
        <v>Adquisicion PF Premier Apoyo Infonavit Pago_Bajo_Puntual 20</v>
      </c>
      <c r="B423" s="75" t="str">
        <f t="shared" si="14"/>
        <v>Adquisicion PF Premier Apoyo Infonavit Pago_Bajo_Puntual 20 0.103</v>
      </c>
      <c r="C423" s="75" t="s">
        <v>114</v>
      </c>
      <c r="D423" s="75" t="s">
        <v>132</v>
      </c>
      <c r="E423" s="75" t="s">
        <v>143</v>
      </c>
      <c r="F423" s="75"/>
      <c r="G423" s="75" t="s">
        <v>112</v>
      </c>
      <c r="H423" s="75"/>
      <c r="I423" s="75" t="s">
        <v>170</v>
      </c>
      <c r="J423" s="76">
        <v>20</v>
      </c>
      <c r="K423" s="516" t="s">
        <v>386</v>
      </c>
      <c r="L423" s="517">
        <v>9.02</v>
      </c>
      <c r="M423" s="517">
        <v>9.68</v>
      </c>
      <c r="N423" s="518">
        <v>0.10299999999999999</v>
      </c>
      <c r="O423" s="518">
        <v>0.1</v>
      </c>
      <c r="P423" s="518">
        <v>0.112</v>
      </c>
      <c r="Q423" s="78">
        <v>0.44</v>
      </c>
      <c r="R423" s="78">
        <v>0.31740000000000002</v>
      </c>
      <c r="S423" s="69">
        <v>1.4999999999999999E-2</v>
      </c>
      <c r="T423" s="69">
        <v>5.0000000000000001E-3</v>
      </c>
      <c r="U423" s="518">
        <v>0.7</v>
      </c>
      <c r="V423" s="76">
        <v>0</v>
      </c>
      <c r="W423" s="76">
        <v>0</v>
      </c>
      <c r="X423" s="76"/>
      <c r="Y423" s="516" t="s">
        <v>470</v>
      </c>
    </row>
    <row r="424" spans="1:25" x14ac:dyDescent="0.25">
      <c r="A424" s="75" t="str">
        <f t="shared" si="15"/>
        <v>Adquisicion PF Premier Apoyo Infonavit Pago_Bajo_Puntual 15</v>
      </c>
      <c r="B424" s="75" t="str">
        <f t="shared" si="14"/>
        <v>Adquisicion PF Premier Apoyo Infonavit Pago_Bajo_Puntual 15 0.0965</v>
      </c>
      <c r="C424" s="75" t="s">
        <v>114</v>
      </c>
      <c r="D424" s="75" t="s">
        <v>132</v>
      </c>
      <c r="E424" s="75" t="s">
        <v>143</v>
      </c>
      <c r="F424" s="75"/>
      <c r="G424" s="75" t="s">
        <v>112</v>
      </c>
      <c r="H424" s="75"/>
      <c r="I424" s="75" t="s">
        <v>170</v>
      </c>
      <c r="J424" s="76">
        <v>15</v>
      </c>
      <c r="K424" s="516" t="s">
        <v>385</v>
      </c>
      <c r="L424" s="517">
        <v>9.6999999999999993</v>
      </c>
      <c r="M424" s="517">
        <v>10.36</v>
      </c>
      <c r="N424" s="518">
        <v>9.6500000000000002E-2</v>
      </c>
      <c r="O424" s="518">
        <v>9.1999999999999998E-2</v>
      </c>
      <c r="P424" s="518">
        <v>0.10249999999999999</v>
      </c>
      <c r="Q424" s="78">
        <v>0.44</v>
      </c>
      <c r="R424" s="78">
        <v>0.31740000000000002</v>
      </c>
      <c r="S424" s="69">
        <v>1.4999999999999999E-2</v>
      </c>
      <c r="T424" s="69">
        <v>5.0000000000000001E-3</v>
      </c>
      <c r="U424" s="518">
        <v>0.7</v>
      </c>
      <c r="V424" s="76">
        <v>0</v>
      </c>
      <c r="W424" s="76">
        <v>0</v>
      </c>
      <c r="X424" s="76"/>
      <c r="Y424" s="516" t="s">
        <v>470</v>
      </c>
    </row>
    <row r="425" spans="1:25" x14ac:dyDescent="0.25">
      <c r="A425" s="75" t="str">
        <f t="shared" si="15"/>
        <v>Adquisicion PF Premier Apoyo Infonavit Pago_Bajo_Puntual 15</v>
      </c>
      <c r="B425" s="75" t="str">
        <f t="shared" si="14"/>
        <v>Adquisicion PF Premier Apoyo Infonavit Pago_Bajo_Puntual 15 0.103</v>
      </c>
      <c r="C425" s="75" t="s">
        <v>114</v>
      </c>
      <c r="D425" s="75" t="s">
        <v>132</v>
      </c>
      <c r="E425" s="75" t="s">
        <v>143</v>
      </c>
      <c r="F425" s="75"/>
      <c r="G425" s="75" t="s">
        <v>112</v>
      </c>
      <c r="H425" s="75"/>
      <c r="I425" s="75" t="s">
        <v>170</v>
      </c>
      <c r="J425" s="76">
        <v>15</v>
      </c>
      <c r="K425" s="516" t="s">
        <v>386</v>
      </c>
      <c r="L425" s="517">
        <v>10.130000000000001</v>
      </c>
      <c r="M425" s="517">
        <v>10.79</v>
      </c>
      <c r="N425" s="518">
        <v>0.10299999999999999</v>
      </c>
      <c r="O425" s="518">
        <v>0.1</v>
      </c>
      <c r="P425" s="518">
        <v>0.112</v>
      </c>
      <c r="Q425" s="78">
        <v>0.44</v>
      </c>
      <c r="R425" s="78">
        <v>0.31740000000000002</v>
      </c>
      <c r="S425" s="69">
        <v>1.4999999999999999E-2</v>
      </c>
      <c r="T425" s="69">
        <v>5.0000000000000001E-3</v>
      </c>
      <c r="U425" s="518">
        <v>0.7</v>
      </c>
      <c r="V425" s="76">
        <v>0</v>
      </c>
      <c r="W425" s="76">
        <v>0</v>
      </c>
      <c r="X425" s="76"/>
      <c r="Y425" s="516" t="s">
        <v>470</v>
      </c>
    </row>
    <row r="426" spans="1:25" x14ac:dyDescent="0.25">
      <c r="A426" s="75" t="str">
        <f t="shared" si="15"/>
        <v>Adquisicion PF Premier Apoyo Infonavit Pago_Bajo_Puntual 10</v>
      </c>
      <c r="B426" s="75" t="str">
        <f t="shared" si="14"/>
        <v>Adquisicion PF Premier Apoyo Infonavit Pago_Bajo_Puntual 10 0.0965</v>
      </c>
      <c r="C426" s="75" t="s">
        <v>114</v>
      </c>
      <c r="D426" s="75" t="s">
        <v>132</v>
      </c>
      <c r="E426" s="75" t="s">
        <v>143</v>
      </c>
      <c r="F426" s="75"/>
      <c r="G426" s="75" t="s">
        <v>112</v>
      </c>
      <c r="H426" s="75"/>
      <c r="I426" s="75" t="s">
        <v>170</v>
      </c>
      <c r="J426" s="76">
        <v>10</v>
      </c>
      <c r="K426" s="516" t="s">
        <v>385</v>
      </c>
      <c r="L426" s="517">
        <v>12.26</v>
      </c>
      <c r="M426" s="517">
        <v>12.92</v>
      </c>
      <c r="N426" s="518">
        <v>9.6500000000000002E-2</v>
      </c>
      <c r="O426" s="518">
        <v>9.1999999999999998E-2</v>
      </c>
      <c r="P426" s="518">
        <v>0.10249999999999999</v>
      </c>
      <c r="Q426" s="78">
        <v>0.44</v>
      </c>
      <c r="R426" s="78">
        <v>0.31740000000000002</v>
      </c>
      <c r="S426" s="69">
        <v>1.4999999999999999E-2</v>
      </c>
      <c r="T426" s="69">
        <v>5.0000000000000001E-3</v>
      </c>
      <c r="U426" s="518">
        <v>0.7</v>
      </c>
      <c r="V426" s="76">
        <v>0</v>
      </c>
      <c r="W426" s="76">
        <v>0</v>
      </c>
      <c r="X426" s="76"/>
      <c r="Y426" s="516" t="s">
        <v>470</v>
      </c>
    </row>
    <row r="427" spans="1:25" x14ac:dyDescent="0.25">
      <c r="A427" s="75" t="str">
        <f t="shared" si="15"/>
        <v>Adquisicion PF Premier Apoyo Infonavit Pago_Bajo_Puntual 10</v>
      </c>
      <c r="B427" s="75" t="str">
        <f t="shared" si="14"/>
        <v>Adquisicion PF Premier Apoyo Infonavit Pago_Bajo_Puntual 10 0.103</v>
      </c>
      <c r="C427" s="75" t="s">
        <v>114</v>
      </c>
      <c r="D427" s="75" t="s">
        <v>132</v>
      </c>
      <c r="E427" s="75" t="s">
        <v>143</v>
      </c>
      <c r="F427" s="75"/>
      <c r="G427" s="75" t="s">
        <v>112</v>
      </c>
      <c r="H427" s="75"/>
      <c r="I427" s="75" t="s">
        <v>170</v>
      </c>
      <c r="J427" s="76">
        <v>10</v>
      </c>
      <c r="K427" s="516" t="s">
        <v>386</v>
      </c>
      <c r="L427" s="517">
        <v>12.62</v>
      </c>
      <c r="M427" s="517">
        <v>13.28</v>
      </c>
      <c r="N427" s="518">
        <v>0.10299999999999999</v>
      </c>
      <c r="O427" s="518">
        <v>0.1</v>
      </c>
      <c r="P427" s="518">
        <v>0.112</v>
      </c>
      <c r="Q427" s="78">
        <v>0.44</v>
      </c>
      <c r="R427" s="78">
        <v>0.31740000000000002</v>
      </c>
      <c r="S427" s="69">
        <v>1.4999999999999999E-2</v>
      </c>
      <c r="T427" s="69">
        <v>5.0000000000000001E-3</v>
      </c>
      <c r="U427" s="518">
        <v>0.7</v>
      </c>
      <c r="V427" s="76">
        <v>0</v>
      </c>
      <c r="W427" s="76">
        <v>0</v>
      </c>
      <c r="X427" s="76"/>
      <c r="Y427" s="516" t="s">
        <v>470</v>
      </c>
    </row>
    <row r="428" spans="1:25" x14ac:dyDescent="0.25">
      <c r="A428" s="75" t="str">
        <f t="shared" si="15"/>
        <v>Adquisicion PF Premier Apoyo Infonavit Pago_Bajo_Puntual 5</v>
      </c>
      <c r="B428" s="75" t="str">
        <f t="shared" si="14"/>
        <v>Adquisicion PF Premier Apoyo Infonavit Pago_Bajo_Puntual 5 0.0965</v>
      </c>
      <c r="C428" s="75" t="s">
        <v>114</v>
      </c>
      <c r="D428" s="75" t="s">
        <v>132</v>
      </c>
      <c r="E428" s="75" t="s">
        <v>143</v>
      </c>
      <c r="F428" s="75"/>
      <c r="G428" s="75" t="s">
        <v>112</v>
      </c>
      <c r="H428" s="75"/>
      <c r="I428" s="75" t="s">
        <v>170</v>
      </c>
      <c r="J428" s="76">
        <v>5</v>
      </c>
      <c r="K428" s="516" t="s">
        <v>385</v>
      </c>
      <c r="L428" s="517">
        <v>20.399999999999999</v>
      </c>
      <c r="M428" s="517">
        <v>21.06</v>
      </c>
      <c r="N428" s="518">
        <v>9.6500000000000002E-2</v>
      </c>
      <c r="O428" s="518">
        <v>9.1999999999999998E-2</v>
      </c>
      <c r="P428" s="518">
        <v>0.10249999999999999</v>
      </c>
      <c r="Q428" s="78">
        <v>0.44</v>
      </c>
      <c r="R428" s="78">
        <v>0.31740000000000002</v>
      </c>
      <c r="S428" s="69">
        <v>1.4999999999999999E-2</v>
      </c>
      <c r="T428" s="69">
        <v>5.0000000000000001E-3</v>
      </c>
      <c r="U428" s="518">
        <v>0.7</v>
      </c>
      <c r="V428" s="76">
        <v>0</v>
      </c>
      <c r="W428" s="76">
        <v>0</v>
      </c>
      <c r="X428" s="76"/>
      <c r="Y428" s="516" t="s">
        <v>470</v>
      </c>
    </row>
    <row r="429" spans="1:25" x14ac:dyDescent="0.25">
      <c r="A429" s="75" t="str">
        <f t="shared" si="15"/>
        <v>Adquisicion PF Premier Apoyo Infonavit Pago_Bajo_Puntual 5</v>
      </c>
      <c r="B429" s="75" t="str">
        <f t="shared" si="14"/>
        <v>Adquisicion PF Premier Apoyo Infonavit Pago_Bajo_Puntual 5 0.103</v>
      </c>
      <c r="C429" s="75" t="s">
        <v>114</v>
      </c>
      <c r="D429" s="75" t="s">
        <v>132</v>
      </c>
      <c r="E429" s="75" t="s">
        <v>143</v>
      </c>
      <c r="F429" s="75"/>
      <c r="G429" s="75" t="s">
        <v>112</v>
      </c>
      <c r="H429" s="75"/>
      <c r="I429" s="75" t="s">
        <v>170</v>
      </c>
      <c r="J429" s="76">
        <v>5</v>
      </c>
      <c r="K429" s="516" t="s">
        <v>386</v>
      </c>
      <c r="L429" s="517">
        <v>20.72</v>
      </c>
      <c r="M429" s="517">
        <v>21.38</v>
      </c>
      <c r="N429" s="518">
        <v>0.10299999999999999</v>
      </c>
      <c r="O429" s="518">
        <v>0.1</v>
      </c>
      <c r="P429" s="518">
        <v>0.112</v>
      </c>
      <c r="Q429" s="78">
        <v>0.44</v>
      </c>
      <c r="R429" s="78">
        <v>0.31740000000000002</v>
      </c>
      <c r="S429" s="69">
        <v>1.4999999999999999E-2</v>
      </c>
      <c r="T429" s="69">
        <v>5.0000000000000001E-3</v>
      </c>
      <c r="U429" s="518">
        <v>0.7</v>
      </c>
      <c r="V429" s="76">
        <v>0</v>
      </c>
      <c r="W429" s="76">
        <v>0</v>
      </c>
      <c r="X429" s="76"/>
      <c r="Y429" s="516" t="s">
        <v>470</v>
      </c>
    </row>
    <row r="430" spans="1:25" x14ac:dyDescent="0.25">
      <c r="A430" s="75" t="str">
        <f t="shared" si="15"/>
        <v>Adquisicion PF Premier Cofinavit Pago_Fijo_Puntual 25</v>
      </c>
      <c r="B430" s="75" t="str">
        <f t="shared" si="14"/>
        <v>Adquisicion PF Premier Cofinavit Pago_Fijo_Puntual 25 0.0965</v>
      </c>
      <c r="C430" s="75" t="s">
        <v>114</v>
      </c>
      <c r="D430" s="75" t="s">
        <v>132</v>
      </c>
      <c r="E430" s="75" t="s">
        <v>143</v>
      </c>
      <c r="F430" s="75"/>
      <c r="G430" s="75" t="s">
        <v>113</v>
      </c>
      <c r="H430" s="75"/>
      <c r="I430" s="75" t="s">
        <v>171</v>
      </c>
      <c r="J430" s="76">
        <v>25</v>
      </c>
      <c r="K430" s="516" t="s">
        <v>385</v>
      </c>
      <c r="L430" s="517">
        <v>9.11</v>
      </c>
      <c r="M430" s="517">
        <v>9.77</v>
      </c>
      <c r="N430" s="518">
        <v>9.6500000000000002E-2</v>
      </c>
      <c r="O430" s="518">
        <v>9.1999999999999998E-2</v>
      </c>
      <c r="P430" s="518">
        <v>0.10249999999999999</v>
      </c>
      <c r="Q430" s="78">
        <v>0.44</v>
      </c>
      <c r="R430" s="78">
        <v>0.31740000000000002</v>
      </c>
      <c r="S430" s="69">
        <v>1.4999999999999999E-2</v>
      </c>
      <c r="T430" s="69">
        <v>5.0000000000000001E-3</v>
      </c>
      <c r="U430" s="518">
        <v>0.7</v>
      </c>
      <c r="V430" s="76">
        <v>0</v>
      </c>
      <c r="W430" s="76">
        <v>0</v>
      </c>
      <c r="X430" s="76"/>
      <c r="Y430" s="516" t="s">
        <v>470</v>
      </c>
    </row>
    <row r="431" spans="1:25" x14ac:dyDescent="0.25">
      <c r="A431" s="75" t="str">
        <f t="shared" si="15"/>
        <v>Adquisicion PF Premier Cofinavit Pago_Fijo_Puntual 25</v>
      </c>
      <c r="B431" s="75" t="str">
        <f t="shared" si="14"/>
        <v>Adquisicion PF Premier Cofinavit Pago_Fijo_Puntual 25 0.103</v>
      </c>
      <c r="C431" s="75" t="s">
        <v>114</v>
      </c>
      <c r="D431" s="75" t="s">
        <v>132</v>
      </c>
      <c r="E431" s="75" t="s">
        <v>143</v>
      </c>
      <c r="F431" s="75"/>
      <c r="G431" s="75" t="s">
        <v>113</v>
      </c>
      <c r="H431" s="75"/>
      <c r="I431" s="75" t="s">
        <v>171</v>
      </c>
      <c r="J431" s="76">
        <v>25</v>
      </c>
      <c r="K431" s="516" t="s">
        <v>386</v>
      </c>
      <c r="L431" s="517">
        <v>9.65</v>
      </c>
      <c r="M431" s="517">
        <v>10.31</v>
      </c>
      <c r="N431" s="518">
        <v>0.10299999999999999</v>
      </c>
      <c r="O431" s="518">
        <v>0.1</v>
      </c>
      <c r="P431" s="518">
        <v>0.112</v>
      </c>
      <c r="Q431" s="78">
        <v>0.44</v>
      </c>
      <c r="R431" s="78">
        <v>0.31740000000000002</v>
      </c>
      <c r="S431" s="69">
        <v>1.4999999999999999E-2</v>
      </c>
      <c r="T431" s="69">
        <v>5.0000000000000001E-3</v>
      </c>
      <c r="U431" s="518">
        <v>0.7</v>
      </c>
      <c r="V431" s="76">
        <v>0</v>
      </c>
      <c r="W431" s="76">
        <v>0</v>
      </c>
      <c r="X431" s="76"/>
      <c r="Y431" s="516" t="s">
        <v>470</v>
      </c>
    </row>
    <row r="432" spans="1:25" x14ac:dyDescent="0.25">
      <c r="A432" s="75" t="str">
        <f t="shared" si="15"/>
        <v>Adquisicion PF Premier Cofinavit Pago_Fijo_Puntual 20</v>
      </c>
      <c r="B432" s="75" t="str">
        <f t="shared" si="14"/>
        <v>Adquisicion PF Premier Cofinavit Pago_Fijo_Puntual 20 0.0965</v>
      </c>
      <c r="C432" s="75" t="s">
        <v>114</v>
      </c>
      <c r="D432" s="75" t="s">
        <v>132</v>
      </c>
      <c r="E432" s="75" t="s">
        <v>143</v>
      </c>
      <c r="F432" s="75"/>
      <c r="G432" s="75" t="s">
        <v>113</v>
      </c>
      <c r="H432" s="75"/>
      <c r="I432" s="75" t="s">
        <v>171</v>
      </c>
      <c r="J432" s="76">
        <v>20</v>
      </c>
      <c r="K432" s="516" t="s">
        <v>385</v>
      </c>
      <c r="L432" s="517">
        <v>9.66</v>
      </c>
      <c r="M432" s="517">
        <v>10.32</v>
      </c>
      <c r="N432" s="518">
        <v>9.6500000000000002E-2</v>
      </c>
      <c r="O432" s="518">
        <v>9.1999999999999998E-2</v>
      </c>
      <c r="P432" s="518">
        <v>0.10249999999999999</v>
      </c>
      <c r="Q432" s="78">
        <v>0.44</v>
      </c>
      <c r="R432" s="78">
        <v>0.31740000000000002</v>
      </c>
      <c r="S432" s="69">
        <v>1.4999999999999999E-2</v>
      </c>
      <c r="T432" s="69">
        <v>5.0000000000000001E-3</v>
      </c>
      <c r="U432" s="518">
        <v>0.7</v>
      </c>
      <c r="V432" s="76">
        <v>0</v>
      </c>
      <c r="W432" s="76">
        <v>0</v>
      </c>
      <c r="X432" s="76"/>
      <c r="Y432" s="516" t="s">
        <v>470</v>
      </c>
    </row>
    <row r="433" spans="1:25" x14ac:dyDescent="0.25">
      <c r="A433" s="75" t="str">
        <f t="shared" si="15"/>
        <v>Adquisicion PF Premier Cofinavit Pago_Fijo_Puntual 20</v>
      </c>
      <c r="B433" s="75" t="str">
        <f t="shared" si="14"/>
        <v>Adquisicion PF Premier Cofinavit Pago_Fijo_Puntual 20 0.103</v>
      </c>
      <c r="C433" s="75" t="s">
        <v>114</v>
      </c>
      <c r="D433" s="75" t="s">
        <v>132</v>
      </c>
      <c r="E433" s="75" t="s">
        <v>143</v>
      </c>
      <c r="F433" s="75"/>
      <c r="G433" s="75" t="s">
        <v>113</v>
      </c>
      <c r="H433" s="75"/>
      <c r="I433" s="75" t="s">
        <v>171</v>
      </c>
      <c r="J433" s="76">
        <v>20</v>
      </c>
      <c r="K433" s="516" t="s">
        <v>386</v>
      </c>
      <c r="L433" s="517">
        <v>10.16</v>
      </c>
      <c r="M433" s="517">
        <v>10.82</v>
      </c>
      <c r="N433" s="518">
        <v>0.10299999999999999</v>
      </c>
      <c r="O433" s="518">
        <v>0.1</v>
      </c>
      <c r="P433" s="518">
        <v>0.112</v>
      </c>
      <c r="Q433" s="78">
        <v>0.44</v>
      </c>
      <c r="R433" s="78">
        <v>0.31740000000000002</v>
      </c>
      <c r="S433" s="69">
        <v>1.4999999999999999E-2</v>
      </c>
      <c r="T433" s="69">
        <v>5.0000000000000001E-3</v>
      </c>
      <c r="U433" s="518">
        <v>0.7</v>
      </c>
      <c r="V433" s="76">
        <v>0</v>
      </c>
      <c r="W433" s="76">
        <v>0</v>
      </c>
      <c r="X433" s="76"/>
      <c r="Y433" s="516" t="s">
        <v>470</v>
      </c>
    </row>
    <row r="434" spans="1:25" x14ac:dyDescent="0.25">
      <c r="A434" s="75" t="str">
        <f t="shared" si="15"/>
        <v>Adquisicion PF Premier Cofinavit Pago_Fijo_Puntual 15</v>
      </c>
      <c r="B434" s="75" t="str">
        <f t="shared" si="14"/>
        <v>Adquisicion PF Premier Cofinavit Pago_Fijo_Puntual 15 0.0965</v>
      </c>
      <c r="C434" s="75" t="s">
        <v>114</v>
      </c>
      <c r="D434" s="75" t="s">
        <v>132</v>
      </c>
      <c r="E434" s="75" t="s">
        <v>143</v>
      </c>
      <c r="F434" s="75"/>
      <c r="G434" s="75" t="s">
        <v>113</v>
      </c>
      <c r="H434" s="75"/>
      <c r="I434" s="75" t="s">
        <v>171</v>
      </c>
      <c r="J434" s="76">
        <v>15</v>
      </c>
      <c r="K434" s="516" t="s">
        <v>385</v>
      </c>
      <c r="L434" s="517">
        <v>10.73</v>
      </c>
      <c r="M434" s="517">
        <v>11.39</v>
      </c>
      <c r="N434" s="518">
        <v>9.6500000000000002E-2</v>
      </c>
      <c r="O434" s="518">
        <v>9.1999999999999998E-2</v>
      </c>
      <c r="P434" s="518">
        <v>0.10249999999999999</v>
      </c>
      <c r="Q434" s="78">
        <v>0.44</v>
      </c>
      <c r="R434" s="78">
        <v>0.31740000000000002</v>
      </c>
      <c r="S434" s="69">
        <v>1.4999999999999999E-2</v>
      </c>
      <c r="T434" s="69">
        <v>5.0000000000000001E-3</v>
      </c>
      <c r="U434" s="518">
        <v>0.7</v>
      </c>
      <c r="V434" s="76">
        <v>0</v>
      </c>
      <c r="W434" s="76">
        <v>0</v>
      </c>
      <c r="X434" s="76"/>
      <c r="Y434" s="516" t="s">
        <v>470</v>
      </c>
    </row>
    <row r="435" spans="1:25" x14ac:dyDescent="0.25">
      <c r="A435" s="75" t="str">
        <f t="shared" si="15"/>
        <v>Adquisicion PF Premier Cofinavit Pago_Fijo_Puntual 15</v>
      </c>
      <c r="B435" s="75" t="str">
        <f t="shared" si="14"/>
        <v>Adquisicion PF Premier Cofinavit Pago_Fijo_Puntual 15 0.103</v>
      </c>
      <c r="C435" s="75" t="s">
        <v>114</v>
      </c>
      <c r="D435" s="75" t="s">
        <v>132</v>
      </c>
      <c r="E435" s="75" t="s">
        <v>143</v>
      </c>
      <c r="F435" s="75"/>
      <c r="G435" s="75" t="s">
        <v>113</v>
      </c>
      <c r="H435" s="75"/>
      <c r="I435" s="75" t="s">
        <v>171</v>
      </c>
      <c r="J435" s="76">
        <v>15</v>
      </c>
      <c r="K435" s="516" t="s">
        <v>386</v>
      </c>
      <c r="L435" s="517">
        <v>11.18</v>
      </c>
      <c r="M435" s="517">
        <v>11.84</v>
      </c>
      <c r="N435" s="518">
        <v>0.10299999999999999</v>
      </c>
      <c r="O435" s="518">
        <v>0.1</v>
      </c>
      <c r="P435" s="518">
        <v>0.112</v>
      </c>
      <c r="Q435" s="78">
        <v>0.44</v>
      </c>
      <c r="R435" s="78">
        <v>0.31740000000000002</v>
      </c>
      <c r="S435" s="69">
        <v>1.4999999999999999E-2</v>
      </c>
      <c r="T435" s="69">
        <v>5.0000000000000001E-3</v>
      </c>
      <c r="U435" s="518">
        <v>0.7</v>
      </c>
      <c r="V435" s="76">
        <v>0</v>
      </c>
      <c r="W435" s="76">
        <v>0</v>
      </c>
      <c r="X435" s="76"/>
      <c r="Y435" s="516" t="s">
        <v>470</v>
      </c>
    </row>
    <row r="436" spans="1:25" x14ac:dyDescent="0.25">
      <c r="A436" s="75" t="str">
        <f t="shared" si="15"/>
        <v>Adquisicion PF Premier Cofinavit Pago_Fijo_Puntual 10</v>
      </c>
      <c r="B436" s="75" t="str">
        <f t="shared" si="14"/>
        <v>Adquisicion PF Premier Cofinavit Pago_Fijo_Puntual 10 0.0965</v>
      </c>
      <c r="C436" s="75" t="s">
        <v>114</v>
      </c>
      <c r="D436" s="75" t="s">
        <v>132</v>
      </c>
      <c r="E436" s="75" t="s">
        <v>143</v>
      </c>
      <c r="F436" s="75"/>
      <c r="G436" s="75" t="s">
        <v>113</v>
      </c>
      <c r="H436" s="75"/>
      <c r="I436" s="75" t="s">
        <v>171</v>
      </c>
      <c r="J436" s="76">
        <v>10</v>
      </c>
      <c r="K436" s="516" t="s">
        <v>385</v>
      </c>
      <c r="L436" s="517">
        <v>13.16</v>
      </c>
      <c r="M436" s="517">
        <v>13.82</v>
      </c>
      <c r="N436" s="518">
        <v>9.6500000000000002E-2</v>
      </c>
      <c r="O436" s="518">
        <v>9.1999999999999998E-2</v>
      </c>
      <c r="P436" s="518">
        <v>0.10249999999999999</v>
      </c>
      <c r="Q436" s="78">
        <v>0.44</v>
      </c>
      <c r="R436" s="78">
        <v>0.31740000000000002</v>
      </c>
      <c r="S436" s="69">
        <v>1.4999999999999999E-2</v>
      </c>
      <c r="T436" s="69">
        <v>5.0000000000000001E-3</v>
      </c>
      <c r="U436" s="518">
        <v>0.7</v>
      </c>
      <c r="V436" s="76">
        <v>0</v>
      </c>
      <c r="W436" s="76">
        <v>0</v>
      </c>
      <c r="X436" s="76"/>
      <c r="Y436" s="516" t="s">
        <v>470</v>
      </c>
    </row>
    <row r="437" spans="1:25" x14ac:dyDescent="0.25">
      <c r="A437" s="75" t="str">
        <f t="shared" si="15"/>
        <v>Adquisicion PF Premier Cofinavit Pago_Fijo_Puntual 10</v>
      </c>
      <c r="B437" s="75" t="str">
        <f t="shared" si="14"/>
        <v>Adquisicion PF Premier Cofinavit Pago_Fijo_Puntual 10 0.103</v>
      </c>
      <c r="C437" s="75" t="s">
        <v>114</v>
      </c>
      <c r="D437" s="75" t="s">
        <v>132</v>
      </c>
      <c r="E437" s="75" t="s">
        <v>143</v>
      </c>
      <c r="F437" s="75"/>
      <c r="G437" s="75" t="s">
        <v>113</v>
      </c>
      <c r="H437" s="75"/>
      <c r="I437" s="75" t="s">
        <v>171</v>
      </c>
      <c r="J437" s="76">
        <v>10</v>
      </c>
      <c r="K437" s="516" t="s">
        <v>386</v>
      </c>
      <c r="L437" s="517">
        <v>13.54</v>
      </c>
      <c r="M437" s="517">
        <v>14.2</v>
      </c>
      <c r="N437" s="518">
        <v>0.10299999999999999</v>
      </c>
      <c r="O437" s="518">
        <v>0.1</v>
      </c>
      <c r="P437" s="518">
        <v>0.112</v>
      </c>
      <c r="Q437" s="78">
        <v>0.44</v>
      </c>
      <c r="R437" s="78">
        <v>0.31740000000000002</v>
      </c>
      <c r="S437" s="69">
        <v>1.4999999999999999E-2</v>
      </c>
      <c r="T437" s="69">
        <v>5.0000000000000001E-3</v>
      </c>
      <c r="U437" s="518">
        <v>0.7</v>
      </c>
      <c r="V437" s="76">
        <v>0</v>
      </c>
      <c r="W437" s="76">
        <v>0</v>
      </c>
      <c r="X437" s="76"/>
      <c r="Y437" s="516" t="s">
        <v>470</v>
      </c>
    </row>
    <row r="438" spans="1:25" x14ac:dyDescent="0.25">
      <c r="A438" s="75" t="str">
        <f t="shared" si="15"/>
        <v>Adquisicion PF Premier Cofinavit Pago_Fijo_Puntual 5</v>
      </c>
      <c r="B438" s="75" t="str">
        <f t="shared" si="14"/>
        <v>Adquisicion PF Premier Cofinavit Pago_Fijo_Puntual 5 0.0965</v>
      </c>
      <c r="C438" s="75" t="s">
        <v>114</v>
      </c>
      <c r="D438" s="75" t="s">
        <v>132</v>
      </c>
      <c r="E438" s="75" t="s">
        <v>143</v>
      </c>
      <c r="F438" s="75"/>
      <c r="G438" s="75" t="s">
        <v>113</v>
      </c>
      <c r="H438" s="75"/>
      <c r="I438" s="75" t="s">
        <v>171</v>
      </c>
      <c r="J438" s="76">
        <v>5</v>
      </c>
      <c r="K438" s="516" t="s">
        <v>385</v>
      </c>
      <c r="L438" s="517">
        <v>21.12</v>
      </c>
      <c r="M438" s="517">
        <v>21.78</v>
      </c>
      <c r="N438" s="518">
        <v>9.6500000000000002E-2</v>
      </c>
      <c r="O438" s="518">
        <v>9.1999999999999998E-2</v>
      </c>
      <c r="P438" s="518">
        <v>0.10249999999999999</v>
      </c>
      <c r="Q438" s="78">
        <v>0.44</v>
      </c>
      <c r="R438" s="78">
        <v>0.31740000000000002</v>
      </c>
      <c r="S438" s="69">
        <v>1.4999999999999999E-2</v>
      </c>
      <c r="T438" s="69">
        <v>5.0000000000000001E-3</v>
      </c>
      <c r="U438" s="518">
        <v>0.7</v>
      </c>
      <c r="V438" s="76">
        <v>0</v>
      </c>
      <c r="W438" s="76">
        <v>0</v>
      </c>
      <c r="X438" s="76"/>
      <c r="Y438" s="516" t="s">
        <v>470</v>
      </c>
    </row>
    <row r="439" spans="1:25" x14ac:dyDescent="0.25">
      <c r="A439" s="75" t="str">
        <f t="shared" si="15"/>
        <v>Adquisicion PF Premier Cofinavit Pago_Fijo_Puntual 5</v>
      </c>
      <c r="B439" s="75" t="str">
        <f t="shared" si="14"/>
        <v>Adquisicion PF Premier Cofinavit Pago_Fijo_Puntual 5 0.103</v>
      </c>
      <c r="C439" s="75" t="s">
        <v>114</v>
      </c>
      <c r="D439" s="75" t="s">
        <v>132</v>
      </c>
      <c r="E439" s="75" t="s">
        <v>143</v>
      </c>
      <c r="F439" s="75"/>
      <c r="G439" s="75" t="s">
        <v>113</v>
      </c>
      <c r="H439" s="75"/>
      <c r="I439" s="75" t="s">
        <v>171</v>
      </c>
      <c r="J439" s="76">
        <v>5</v>
      </c>
      <c r="K439" s="516" t="s">
        <v>386</v>
      </c>
      <c r="L439" s="517">
        <v>21.44</v>
      </c>
      <c r="M439" s="517">
        <v>22.1</v>
      </c>
      <c r="N439" s="518">
        <v>0.10299999999999999</v>
      </c>
      <c r="O439" s="518">
        <v>0.1</v>
      </c>
      <c r="P439" s="518">
        <v>0.112</v>
      </c>
      <c r="Q439" s="78">
        <v>0.44</v>
      </c>
      <c r="R439" s="78">
        <v>0.31740000000000002</v>
      </c>
      <c r="S439" s="69">
        <v>1.4999999999999999E-2</v>
      </c>
      <c r="T439" s="69">
        <v>5.0000000000000001E-3</v>
      </c>
      <c r="U439" s="518">
        <v>0.7</v>
      </c>
      <c r="V439" s="76">
        <v>0</v>
      </c>
      <c r="W439" s="76">
        <v>0</v>
      </c>
      <c r="X439" s="76"/>
      <c r="Y439" s="516" t="s">
        <v>470</v>
      </c>
    </row>
    <row r="440" spans="1:25" x14ac:dyDescent="0.25">
      <c r="A440" s="75" t="str">
        <f t="shared" si="15"/>
        <v>Adquisicion PF Premier Cofinavit Pago_Bajo_Puntual 25</v>
      </c>
      <c r="B440" s="75" t="str">
        <f t="shared" si="14"/>
        <v>Adquisicion PF Premier Cofinavit Pago_Bajo_Puntual 25 0.0965</v>
      </c>
      <c r="C440" s="75" t="s">
        <v>114</v>
      </c>
      <c r="D440" s="75" t="s">
        <v>132</v>
      </c>
      <c r="E440" s="75" t="s">
        <v>143</v>
      </c>
      <c r="F440" s="75"/>
      <c r="G440" s="75" t="s">
        <v>113</v>
      </c>
      <c r="H440" s="75"/>
      <c r="I440" s="75" t="s">
        <v>170</v>
      </c>
      <c r="J440" s="523">
        <v>25</v>
      </c>
      <c r="K440" s="516" t="s">
        <v>385</v>
      </c>
      <c r="L440" s="517">
        <v>8.1</v>
      </c>
      <c r="M440" s="517">
        <v>8.76</v>
      </c>
      <c r="N440" s="518">
        <v>9.6500000000000002E-2</v>
      </c>
      <c r="O440" s="518">
        <v>9.1999999999999998E-2</v>
      </c>
      <c r="P440" s="518">
        <v>0.10249999999999999</v>
      </c>
      <c r="Q440" s="78">
        <v>0.44</v>
      </c>
      <c r="R440" s="78">
        <v>0.31740000000000002</v>
      </c>
      <c r="S440" s="69">
        <v>1.4999999999999999E-2</v>
      </c>
      <c r="T440" s="69">
        <v>5.0000000000000001E-3</v>
      </c>
      <c r="U440" s="518">
        <v>0.7</v>
      </c>
      <c r="V440" s="76">
        <v>0</v>
      </c>
      <c r="W440" s="76">
        <v>0</v>
      </c>
      <c r="X440" s="76"/>
      <c r="Y440" s="516" t="s">
        <v>470</v>
      </c>
    </row>
    <row r="441" spans="1:25" x14ac:dyDescent="0.25">
      <c r="A441" s="75" t="str">
        <f t="shared" si="15"/>
        <v>Adquisicion PF Premier Cofinavit Pago_Bajo_Puntual 25</v>
      </c>
      <c r="B441" s="75" t="str">
        <f t="shared" si="14"/>
        <v>Adquisicion PF Premier Cofinavit Pago_Bajo_Puntual 25 0.103</v>
      </c>
      <c r="C441" s="75" t="s">
        <v>114</v>
      </c>
      <c r="D441" s="75" t="s">
        <v>132</v>
      </c>
      <c r="E441" s="75" t="s">
        <v>143</v>
      </c>
      <c r="F441" s="75"/>
      <c r="G441" s="75" t="s">
        <v>113</v>
      </c>
      <c r="H441" s="75"/>
      <c r="I441" s="75" t="s">
        <v>170</v>
      </c>
      <c r="J441" s="523">
        <v>25</v>
      </c>
      <c r="K441" s="516" t="s">
        <v>386</v>
      </c>
      <c r="L441" s="517">
        <v>8.64</v>
      </c>
      <c r="M441" s="517">
        <v>9.3000000000000007</v>
      </c>
      <c r="N441" s="518">
        <v>0.10299999999999999</v>
      </c>
      <c r="O441" s="518">
        <v>0.1</v>
      </c>
      <c r="P441" s="518">
        <v>0.112</v>
      </c>
      <c r="Q441" s="78">
        <v>0.44</v>
      </c>
      <c r="R441" s="78">
        <v>0.31740000000000002</v>
      </c>
      <c r="S441" s="69">
        <v>1.4999999999999999E-2</v>
      </c>
      <c r="T441" s="69">
        <v>5.0000000000000001E-3</v>
      </c>
      <c r="U441" s="518">
        <v>0.7</v>
      </c>
      <c r="V441" s="76">
        <v>0</v>
      </c>
      <c r="W441" s="76">
        <v>0</v>
      </c>
      <c r="X441" s="76"/>
      <c r="Y441" s="516" t="s">
        <v>470</v>
      </c>
    </row>
    <row r="442" spans="1:25" x14ac:dyDescent="0.25">
      <c r="A442" s="75" t="str">
        <f t="shared" si="15"/>
        <v>Adquisicion PF Premier Cofinavit Pago_Bajo_Puntual 20</v>
      </c>
      <c r="B442" s="75" t="str">
        <f t="shared" si="14"/>
        <v>Adquisicion PF Premier Cofinavit Pago_Bajo_Puntual 20 0.0965</v>
      </c>
      <c r="C442" s="75" t="s">
        <v>114</v>
      </c>
      <c r="D442" s="75" t="s">
        <v>132</v>
      </c>
      <c r="E442" s="75" t="s">
        <v>143</v>
      </c>
      <c r="F442" s="75"/>
      <c r="G442" s="75" t="s">
        <v>113</v>
      </c>
      <c r="H442" s="75"/>
      <c r="I442" s="75" t="s">
        <v>170</v>
      </c>
      <c r="J442" s="76">
        <v>20</v>
      </c>
      <c r="K442" s="516" t="s">
        <v>385</v>
      </c>
      <c r="L442" s="517">
        <v>8.5399999999999991</v>
      </c>
      <c r="M442" s="517">
        <v>9.1999999999999993</v>
      </c>
      <c r="N442" s="518">
        <v>9.6500000000000002E-2</v>
      </c>
      <c r="O442" s="518">
        <v>9.1999999999999998E-2</v>
      </c>
      <c r="P442" s="518">
        <v>0.10249999999999999</v>
      </c>
      <c r="Q442" s="78">
        <v>0.44</v>
      </c>
      <c r="R442" s="78">
        <v>0.31740000000000002</v>
      </c>
      <c r="S442" s="69">
        <v>1.4999999999999999E-2</v>
      </c>
      <c r="T442" s="69">
        <v>5.0000000000000001E-3</v>
      </c>
      <c r="U442" s="518">
        <v>0.7</v>
      </c>
      <c r="V442" s="76">
        <v>0</v>
      </c>
      <c r="W442" s="76">
        <v>0</v>
      </c>
      <c r="X442" s="76"/>
      <c r="Y442" s="516" t="s">
        <v>470</v>
      </c>
    </row>
    <row r="443" spans="1:25" x14ac:dyDescent="0.25">
      <c r="A443" s="75" t="str">
        <f t="shared" si="15"/>
        <v>Adquisicion PF Premier Cofinavit Pago_Bajo_Puntual 20</v>
      </c>
      <c r="B443" s="75" t="str">
        <f t="shared" si="14"/>
        <v>Adquisicion PF Premier Cofinavit Pago_Bajo_Puntual 20 0.103</v>
      </c>
      <c r="C443" s="75" t="s">
        <v>114</v>
      </c>
      <c r="D443" s="75" t="s">
        <v>132</v>
      </c>
      <c r="E443" s="75" t="s">
        <v>143</v>
      </c>
      <c r="F443" s="75"/>
      <c r="G443" s="75" t="s">
        <v>113</v>
      </c>
      <c r="H443" s="75"/>
      <c r="I443" s="75" t="s">
        <v>170</v>
      </c>
      <c r="J443" s="76">
        <v>20</v>
      </c>
      <c r="K443" s="516" t="s">
        <v>386</v>
      </c>
      <c r="L443" s="517">
        <v>9.02</v>
      </c>
      <c r="M443" s="517">
        <v>9.68</v>
      </c>
      <c r="N443" s="518">
        <v>0.10299999999999999</v>
      </c>
      <c r="O443" s="518">
        <v>0.1</v>
      </c>
      <c r="P443" s="518">
        <v>0.112</v>
      </c>
      <c r="Q443" s="78">
        <v>0.44</v>
      </c>
      <c r="R443" s="78">
        <v>0.31740000000000002</v>
      </c>
      <c r="S443" s="69">
        <v>1.4999999999999999E-2</v>
      </c>
      <c r="T443" s="69">
        <v>5.0000000000000001E-3</v>
      </c>
      <c r="U443" s="518">
        <v>0.7</v>
      </c>
      <c r="V443" s="76">
        <v>0</v>
      </c>
      <c r="W443" s="76">
        <v>0</v>
      </c>
      <c r="X443" s="76"/>
      <c r="Y443" s="516" t="s">
        <v>470</v>
      </c>
    </row>
    <row r="444" spans="1:25" x14ac:dyDescent="0.25">
      <c r="A444" s="75" t="str">
        <f t="shared" si="15"/>
        <v>Adquisicion PF Premier Cofinavit Pago_Bajo_Puntual 15</v>
      </c>
      <c r="B444" s="75" t="str">
        <f t="shared" si="14"/>
        <v>Adquisicion PF Premier Cofinavit Pago_Bajo_Puntual 15 0.0965</v>
      </c>
      <c r="C444" s="75" t="s">
        <v>114</v>
      </c>
      <c r="D444" s="75" t="s">
        <v>132</v>
      </c>
      <c r="E444" s="75" t="s">
        <v>143</v>
      </c>
      <c r="F444" s="75"/>
      <c r="G444" s="75" t="s">
        <v>113</v>
      </c>
      <c r="H444" s="75"/>
      <c r="I444" s="75" t="s">
        <v>170</v>
      </c>
      <c r="J444" s="76">
        <v>15</v>
      </c>
      <c r="K444" s="516" t="s">
        <v>385</v>
      </c>
      <c r="L444" s="517">
        <v>9.6999999999999993</v>
      </c>
      <c r="M444" s="517">
        <v>10.36</v>
      </c>
      <c r="N444" s="518">
        <v>9.6500000000000002E-2</v>
      </c>
      <c r="O444" s="518">
        <v>9.1999999999999998E-2</v>
      </c>
      <c r="P444" s="518">
        <v>0.10249999999999999</v>
      </c>
      <c r="Q444" s="78">
        <v>0.44</v>
      </c>
      <c r="R444" s="78">
        <v>0.31740000000000002</v>
      </c>
      <c r="S444" s="69">
        <v>1.4999999999999999E-2</v>
      </c>
      <c r="T444" s="69">
        <v>5.0000000000000001E-3</v>
      </c>
      <c r="U444" s="518">
        <v>0.7</v>
      </c>
      <c r="V444" s="76">
        <v>0</v>
      </c>
      <c r="W444" s="76">
        <v>0</v>
      </c>
      <c r="X444" s="76"/>
      <c r="Y444" s="516" t="s">
        <v>470</v>
      </c>
    </row>
    <row r="445" spans="1:25" x14ac:dyDescent="0.25">
      <c r="A445" s="75" t="str">
        <f t="shared" si="15"/>
        <v>Adquisicion PF Premier Cofinavit Pago_Bajo_Puntual 15</v>
      </c>
      <c r="B445" s="75" t="str">
        <f t="shared" si="14"/>
        <v>Adquisicion PF Premier Cofinavit Pago_Bajo_Puntual 15 0.103</v>
      </c>
      <c r="C445" s="75" t="s">
        <v>114</v>
      </c>
      <c r="D445" s="75" t="s">
        <v>132</v>
      </c>
      <c r="E445" s="75" t="s">
        <v>143</v>
      </c>
      <c r="F445" s="75"/>
      <c r="G445" s="75" t="s">
        <v>113</v>
      </c>
      <c r="H445" s="75"/>
      <c r="I445" s="75" t="s">
        <v>170</v>
      </c>
      <c r="J445" s="76">
        <v>15</v>
      </c>
      <c r="K445" s="516" t="s">
        <v>386</v>
      </c>
      <c r="L445" s="517">
        <v>10.130000000000001</v>
      </c>
      <c r="M445" s="517">
        <v>10.79</v>
      </c>
      <c r="N445" s="518">
        <v>0.10299999999999999</v>
      </c>
      <c r="O445" s="518">
        <v>0.1</v>
      </c>
      <c r="P445" s="518">
        <v>0.112</v>
      </c>
      <c r="Q445" s="78">
        <v>0.44</v>
      </c>
      <c r="R445" s="78">
        <v>0.31740000000000002</v>
      </c>
      <c r="S445" s="69">
        <v>1.4999999999999999E-2</v>
      </c>
      <c r="T445" s="69">
        <v>5.0000000000000001E-3</v>
      </c>
      <c r="U445" s="518">
        <v>0.7</v>
      </c>
      <c r="V445" s="76">
        <v>0</v>
      </c>
      <c r="W445" s="76">
        <v>0</v>
      </c>
      <c r="X445" s="76"/>
      <c r="Y445" s="516" t="s">
        <v>470</v>
      </c>
    </row>
    <row r="446" spans="1:25" x14ac:dyDescent="0.25">
      <c r="A446" s="75" t="str">
        <f t="shared" si="15"/>
        <v>Adquisicion PF Premier Cofinavit Pago_Bajo_Puntual 10</v>
      </c>
      <c r="B446" s="75" t="str">
        <f t="shared" si="14"/>
        <v>Adquisicion PF Premier Cofinavit Pago_Bajo_Puntual 10 0.0965</v>
      </c>
      <c r="C446" s="75" t="s">
        <v>114</v>
      </c>
      <c r="D446" s="75" t="s">
        <v>132</v>
      </c>
      <c r="E446" s="75" t="s">
        <v>143</v>
      </c>
      <c r="F446" s="75"/>
      <c r="G446" s="75" t="s">
        <v>113</v>
      </c>
      <c r="H446" s="75"/>
      <c r="I446" s="75" t="s">
        <v>170</v>
      </c>
      <c r="J446" s="76">
        <v>10</v>
      </c>
      <c r="K446" s="516" t="s">
        <v>385</v>
      </c>
      <c r="L446" s="517">
        <v>12.26</v>
      </c>
      <c r="M446" s="517">
        <v>12.92</v>
      </c>
      <c r="N446" s="518">
        <v>9.6500000000000002E-2</v>
      </c>
      <c r="O446" s="518">
        <v>9.1999999999999998E-2</v>
      </c>
      <c r="P446" s="518">
        <v>0.10249999999999999</v>
      </c>
      <c r="Q446" s="78">
        <v>0.44</v>
      </c>
      <c r="R446" s="78">
        <v>0.31740000000000002</v>
      </c>
      <c r="S446" s="69">
        <v>1.4999999999999999E-2</v>
      </c>
      <c r="T446" s="69">
        <v>5.0000000000000001E-3</v>
      </c>
      <c r="U446" s="518">
        <v>0.7</v>
      </c>
      <c r="V446" s="76">
        <v>0</v>
      </c>
      <c r="W446" s="76">
        <v>0</v>
      </c>
      <c r="X446" s="76"/>
      <c r="Y446" s="516" t="s">
        <v>470</v>
      </c>
    </row>
    <row r="447" spans="1:25" x14ac:dyDescent="0.25">
      <c r="A447" s="75" t="str">
        <f t="shared" si="15"/>
        <v>Adquisicion PF Premier Cofinavit Pago_Bajo_Puntual 10</v>
      </c>
      <c r="B447" s="75" t="str">
        <f t="shared" si="14"/>
        <v>Adquisicion PF Premier Cofinavit Pago_Bajo_Puntual 10 0.103</v>
      </c>
      <c r="C447" s="75" t="s">
        <v>114</v>
      </c>
      <c r="D447" s="75" t="s">
        <v>132</v>
      </c>
      <c r="E447" s="75" t="s">
        <v>143</v>
      </c>
      <c r="F447" s="75"/>
      <c r="G447" s="75" t="s">
        <v>113</v>
      </c>
      <c r="H447" s="75"/>
      <c r="I447" s="75" t="s">
        <v>170</v>
      </c>
      <c r="J447" s="76">
        <v>10</v>
      </c>
      <c r="K447" s="516" t="s">
        <v>386</v>
      </c>
      <c r="L447" s="517">
        <v>12.62</v>
      </c>
      <c r="M447" s="517">
        <v>13.28</v>
      </c>
      <c r="N447" s="518">
        <v>0.10299999999999999</v>
      </c>
      <c r="O447" s="518">
        <v>0.1</v>
      </c>
      <c r="P447" s="518">
        <v>0.112</v>
      </c>
      <c r="Q447" s="78">
        <v>0.44</v>
      </c>
      <c r="R447" s="78">
        <v>0.31740000000000002</v>
      </c>
      <c r="S447" s="69">
        <v>1.4999999999999999E-2</v>
      </c>
      <c r="T447" s="69">
        <v>5.0000000000000001E-3</v>
      </c>
      <c r="U447" s="518">
        <v>0.7</v>
      </c>
      <c r="V447" s="76">
        <v>0</v>
      </c>
      <c r="W447" s="76">
        <v>0</v>
      </c>
      <c r="X447" s="76"/>
      <c r="Y447" s="516" t="s">
        <v>470</v>
      </c>
    </row>
    <row r="448" spans="1:25" x14ac:dyDescent="0.25">
      <c r="A448" s="75" t="str">
        <f t="shared" si="15"/>
        <v>Adquisicion PF Premier Cofinavit Pago_Bajo_Puntual 5</v>
      </c>
      <c r="B448" s="75" t="str">
        <f t="shared" si="14"/>
        <v>Adquisicion PF Premier Cofinavit Pago_Bajo_Puntual 5 0.0965</v>
      </c>
      <c r="C448" s="75" t="s">
        <v>114</v>
      </c>
      <c r="D448" s="75" t="s">
        <v>132</v>
      </c>
      <c r="E448" s="75" t="s">
        <v>143</v>
      </c>
      <c r="F448" s="75"/>
      <c r="G448" s="75" t="s">
        <v>113</v>
      </c>
      <c r="H448" s="75"/>
      <c r="I448" s="75" t="s">
        <v>170</v>
      </c>
      <c r="J448" s="76">
        <v>5</v>
      </c>
      <c r="K448" s="516" t="s">
        <v>385</v>
      </c>
      <c r="L448" s="517">
        <v>20.399999999999999</v>
      </c>
      <c r="M448" s="517">
        <v>21.06</v>
      </c>
      <c r="N448" s="518">
        <v>9.6500000000000002E-2</v>
      </c>
      <c r="O448" s="518">
        <v>9.1999999999999998E-2</v>
      </c>
      <c r="P448" s="518">
        <v>0.10249999999999999</v>
      </c>
      <c r="Q448" s="78">
        <v>0.44</v>
      </c>
      <c r="R448" s="78">
        <v>0.31740000000000002</v>
      </c>
      <c r="S448" s="69">
        <v>1.4999999999999999E-2</v>
      </c>
      <c r="T448" s="69">
        <v>5.0000000000000001E-3</v>
      </c>
      <c r="U448" s="518">
        <v>0.7</v>
      </c>
      <c r="V448" s="76">
        <v>0</v>
      </c>
      <c r="W448" s="76">
        <v>0</v>
      </c>
      <c r="X448" s="76"/>
      <c r="Y448" s="516" t="s">
        <v>470</v>
      </c>
    </row>
    <row r="449" spans="1:25" x14ac:dyDescent="0.25">
      <c r="A449" s="75" t="str">
        <f t="shared" si="15"/>
        <v>Adquisicion PF Premier Cofinavit Pago_Bajo_Puntual 5</v>
      </c>
      <c r="B449" s="75" t="str">
        <f t="shared" si="14"/>
        <v>Adquisicion PF Premier Cofinavit Pago_Bajo_Puntual 5 0.103</v>
      </c>
      <c r="C449" s="75" t="s">
        <v>114</v>
      </c>
      <c r="D449" s="75" t="s">
        <v>132</v>
      </c>
      <c r="E449" s="75" t="s">
        <v>143</v>
      </c>
      <c r="F449" s="75"/>
      <c r="G449" s="75" t="s">
        <v>113</v>
      </c>
      <c r="H449" s="75"/>
      <c r="I449" s="75" t="s">
        <v>170</v>
      </c>
      <c r="J449" s="76">
        <v>5</v>
      </c>
      <c r="K449" s="516" t="s">
        <v>386</v>
      </c>
      <c r="L449" s="517">
        <v>20.72</v>
      </c>
      <c r="M449" s="517">
        <v>21.38</v>
      </c>
      <c r="N449" s="518">
        <v>0.10299999999999999</v>
      </c>
      <c r="O449" s="518">
        <v>0.1</v>
      </c>
      <c r="P449" s="518">
        <v>0.112</v>
      </c>
      <c r="Q449" s="78">
        <v>0.44</v>
      </c>
      <c r="R449" s="78">
        <v>0.31740000000000002</v>
      </c>
      <c r="S449" s="69">
        <v>1.4999999999999999E-2</v>
      </c>
      <c r="T449" s="69">
        <v>5.0000000000000001E-3</v>
      </c>
      <c r="U449" s="518">
        <v>0.7</v>
      </c>
      <c r="V449" s="76">
        <v>0</v>
      </c>
      <c r="W449" s="76">
        <v>0</v>
      </c>
      <c r="X449" s="76"/>
      <c r="Y449" s="516" t="s">
        <v>470</v>
      </c>
    </row>
    <row r="450" spans="1:25" x14ac:dyDescent="0.25">
      <c r="A450" s="75" t="str">
        <f t="shared" si="15"/>
        <v>Adquisicion PF Premier Mercado_Abierto Pago_Fijo_Puntual Si 25</v>
      </c>
      <c r="B450" s="75" t="str">
        <f t="shared" ref="B450:B491" si="16">CONCATENATE(A450," ",N450)</f>
        <v>Adquisicion PF Premier Mercado_Abierto Pago_Fijo_Puntual Si 25 0.103</v>
      </c>
      <c r="C450" s="75" t="s">
        <v>114</v>
      </c>
      <c r="D450" s="75" t="s">
        <v>132</v>
      </c>
      <c r="E450" s="75" t="s">
        <v>143</v>
      </c>
      <c r="F450" s="75"/>
      <c r="G450" s="75" t="s">
        <v>396</v>
      </c>
      <c r="H450" s="75"/>
      <c r="I450" s="75" t="s">
        <v>171</v>
      </c>
      <c r="J450" s="76">
        <v>25</v>
      </c>
      <c r="K450" s="519" t="s">
        <v>387</v>
      </c>
      <c r="L450" s="520">
        <v>9.65</v>
      </c>
      <c r="M450" s="520">
        <v>10.31</v>
      </c>
      <c r="N450" s="507">
        <v>0.10299999999999999</v>
      </c>
      <c r="O450" s="507">
        <v>0.1</v>
      </c>
      <c r="P450" s="507">
        <v>0.112</v>
      </c>
      <c r="Q450" s="78">
        <v>0.44</v>
      </c>
      <c r="R450" s="78">
        <v>0.31740000000000002</v>
      </c>
      <c r="S450" s="69">
        <v>2.5000000000000001E-2</v>
      </c>
      <c r="T450" s="69">
        <v>0.01</v>
      </c>
      <c r="U450" s="507">
        <v>0.9</v>
      </c>
      <c r="V450" s="76">
        <v>0</v>
      </c>
      <c r="W450" s="76">
        <v>0</v>
      </c>
      <c r="X450" s="76" t="s">
        <v>147</v>
      </c>
      <c r="Y450" s="519" t="s">
        <v>469</v>
      </c>
    </row>
    <row r="451" spans="1:25" x14ac:dyDescent="0.25">
      <c r="A451" s="75" t="str">
        <f t="shared" ref="A451:A492" si="17">TRIM(CONCATENATE(C451," ",D451," ",E451," ",F451," ",G451," ",I451," ",X451," ",J451))</f>
        <v>Adquisicion PF Premier Mercado_Abierto Pago_Fijo_Puntual 25</v>
      </c>
      <c r="B451" s="75" t="str">
        <f t="shared" si="16"/>
        <v>Adquisicion PF Premier Mercado_Abierto Pago_Fijo_Puntual 25 0.106</v>
      </c>
      <c r="C451" s="75" t="s">
        <v>114</v>
      </c>
      <c r="D451" s="75" t="s">
        <v>132</v>
      </c>
      <c r="E451" s="75" t="s">
        <v>143</v>
      </c>
      <c r="F451" s="75"/>
      <c r="G451" s="75" t="s">
        <v>396</v>
      </c>
      <c r="H451" s="75"/>
      <c r="I451" s="75" t="s">
        <v>171</v>
      </c>
      <c r="J451" s="76">
        <v>25</v>
      </c>
      <c r="K451" s="519">
        <v>3</v>
      </c>
      <c r="L451" s="520">
        <v>9.93</v>
      </c>
      <c r="M451" s="520">
        <v>10.59</v>
      </c>
      <c r="N451" s="507">
        <v>0.106</v>
      </c>
      <c r="O451" s="507">
        <v>0.10299999999999999</v>
      </c>
      <c r="P451" s="507">
        <v>0.11799999999999999</v>
      </c>
      <c r="Q451" s="78">
        <v>0.44</v>
      </c>
      <c r="R451" s="78">
        <v>0.31740000000000002</v>
      </c>
      <c r="S451" s="69">
        <v>2.5000000000000001E-2</v>
      </c>
      <c r="T451" s="69">
        <v>0.01</v>
      </c>
      <c r="U451" s="507">
        <v>0.85</v>
      </c>
      <c r="V451" s="76">
        <v>0</v>
      </c>
      <c r="W451" s="76">
        <v>0</v>
      </c>
      <c r="X451" s="76"/>
      <c r="Y451" s="519" t="s">
        <v>469</v>
      </c>
    </row>
    <row r="452" spans="1:25" x14ac:dyDescent="0.25">
      <c r="A452" s="75" t="str">
        <f t="shared" si="17"/>
        <v>Adquisicion PF Premier Mercado_Abierto Pago_Fijo_Puntual Si 20</v>
      </c>
      <c r="B452" s="75" t="str">
        <f t="shared" si="16"/>
        <v>Adquisicion PF Premier Mercado_Abierto Pago_Fijo_Puntual Si 20 0.103</v>
      </c>
      <c r="C452" s="75" t="s">
        <v>114</v>
      </c>
      <c r="D452" s="75" t="s">
        <v>132</v>
      </c>
      <c r="E452" s="75" t="s">
        <v>143</v>
      </c>
      <c r="F452" s="75"/>
      <c r="G452" s="75" t="s">
        <v>396</v>
      </c>
      <c r="H452" s="75"/>
      <c r="I452" s="75" t="s">
        <v>171</v>
      </c>
      <c r="J452" s="76">
        <v>20</v>
      </c>
      <c r="K452" s="519" t="s">
        <v>387</v>
      </c>
      <c r="L452" s="520">
        <v>10.16</v>
      </c>
      <c r="M452" s="520">
        <v>10.82</v>
      </c>
      <c r="N452" s="507">
        <v>0.10299999999999999</v>
      </c>
      <c r="O452" s="507">
        <v>0.1</v>
      </c>
      <c r="P452" s="507">
        <v>0.112</v>
      </c>
      <c r="Q452" s="78">
        <v>0.44</v>
      </c>
      <c r="R452" s="78">
        <v>0.31740000000000002</v>
      </c>
      <c r="S452" s="69">
        <v>2.5000000000000001E-2</v>
      </c>
      <c r="T452" s="69">
        <v>0.01</v>
      </c>
      <c r="U452" s="507">
        <v>0.9</v>
      </c>
      <c r="V452" s="76">
        <v>0</v>
      </c>
      <c r="W452" s="76">
        <v>0</v>
      </c>
      <c r="X452" s="76" t="s">
        <v>147</v>
      </c>
      <c r="Y452" s="519" t="s">
        <v>469</v>
      </c>
    </row>
    <row r="453" spans="1:25" x14ac:dyDescent="0.25">
      <c r="A453" s="75" t="str">
        <f t="shared" si="17"/>
        <v>Adquisicion PF Premier Mercado_Abierto Pago_Fijo_Puntual 20</v>
      </c>
      <c r="B453" s="75" t="str">
        <f t="shared" si="16"/>
        <v>Adquisicion PF Premier Mercado_Abierto Pago_Fijo_Puntual 20 0.106</v>
      </c>
      <c r="C453" s="75" t="s">
        <v>114</v>
      </c>
      <c r="D453" s="75" t="s">
        <v>132</v>
      </c>
      <c r="E453" s="75" t="s">
        <v>143</v>
      </c>
      <c r="F453" s="75"/>
      <c r="G453" s="75" t="s">
        <v>396</v>
      </c>
      <c r="H453" s="75"/>
      <c r="I453" s="75" t="s">
        <v>171</v>
      </c>
      <c r="J453" s="76">
        <v>20</v>
      </c>
      <c r="K453" s="519">
        <v>3</v>
      </c>
      <c r="L453" s="520">
        <v>10.41</v>
      </c>
      <c r="M453" s="520">
        <v>11.07</v>
      </c>
      <c r="N453" s="507">
        <v>0.106</v>
      </c>
      <c r="O453" s="507">
        <v>0.10299999999999999</v>
      </c>
      <c r="P453" s="507">
        <v>0.11799999999999999</v>
      </c>
      <c r="Q453" s="78">
        <v>0.44</v>
      </c>
      <c r="R453" s="78">
        <v>0.31740000000000002</v>
      </c>
      <c r="S453" s="69">
        <v>2.5000000000000001E-2</v>
      </c>
      <c r="T453" s="69">
        <v>0.01</v>
      </c>
      <c r="U453" s="507">
        <v>0.85</v>
      </c>
      <c r="V453" s="76">
        <v>0</v>
      </c>
      <c r="W453" s="76">
        <v>0</v>
      </c>
      <c r="X453" s="76"/>
      <c r="Y453" s="519" t="s">
        <v>469</v>
      </c>
    </row>
    <row r="454" spans="1:25" x14ac:dyDescent="0.25">
      <c r="A454" s="75" t="str">
        <f t="shared" si="17"/>
        <v>Adquisicion PF Premier Mercado_Abierto Pago_Fijo_Puntual Si 15</v>
      </c>
      <c r="B454" s="75" t="str">
        <f t="shared" si="16"/>
        <v>Adquisicion PF Premier Mercado_Abierto Pago_Fijo_Puntual Si 15 0.103</v>
      </c>
      <c r="C454" s="75" t="s">
        <v>114</v>
      </c>
      <c r="D454" s="75" t="s">
        <v>132</v>
      </c>
      <c r="E454" s="75" t="s">
        <v>143</v>
      </c>
      <c r="F454" s="75"/>
      <c r="G454" s="75" t="s">
        <v>396</v>
      </c>
      <c r="H454" s="75"/>
      <c r="I454" s="75" t="s">
        <v>171</v>
      </c>
      <c r="J454" s="76">
        <v>15</v>
      </c>
      <c r="K454" s="519" t="s">
        <v>387</v>
      </c>
      <c r="L454" s="520">
        <v>11.18</v>
      </c>
      <c r="M454" s="520">
        <v>11.84</v>
      </c>
      <c r="N454" s="507">
        <v>0.10299999999999999</v>
      </c>
      <c r="O454" s="507">
        <v>0.1</v>
      </c>
      <c r="P454" s="507">
        <v>0.112</v>
      </c>
      <c r="Q454" s="78">
        <v>0.44</v>
      </c>
      <c r="R454" s="78">
        <v>0.31740000000000002</v>
      </c>
      <c r="S454" s="69">
        <v>2.5000000000000001E-2</v>
      </c>
      <c r="T454" s="69">
        <v>0.01</v>
      </c>
      <c r="U454" s="507">
        <v>0.9</v>
      </c>
      <c r="V454" s="76">
        <v>0</v>
      </c>
      <c r="W454" s="76">
        <v>0</v>
      </c>
      <c r="X454" s="76" t="s">
        <v>147</v>
      </c>
      <c r="Y454" s="519" t="s">
        <v>469</v>
      </c>
    </row>
    <row r="455" spans="1:25" x14ac:dyDescent="0.25">
      <c r="A455" s="75" t="str">
        <f t="shared" si="17"/>
        <v>Adquisicion PF Premier Mercado_Abierto Pago_Fijo_Puntual 15</v>
      </c>
      <c r="B455" s="75" t="str">
        <f t="shared" si="16"/>
        <v>Adquisicion PF Premier Mercado_Abierto Pago_Fijo_Puntual 15 0.106</v>
      </c>
      <c r="C455" s="75" t="s">
        <v>114</v>
      </c>
      <c r="D455" s="75" t="s">
        <v>132</v>
      </c>
      <c r="E455" s="75" t="s">
        <v>143</v>
      </c>
      <c r="F455" s="75"/>
      <c r="G455" s="75" t="s">
        <v>396</v>
      </c>
      <c r="H455" s="75"/>
      <c r="I455" s="75" t="s">
        <v>171</v>
      </c>
      <c r="J455" s="76">
        <v>15</v>
      </c>
      <c r="K455" s="519">
        <v>3</v>
      </c>
      <c r="L455" s="520">
        <v>11.39</v>
      </c>
      <c r="M455" s="520">
        <v>12.05</v>
      </c>
      <c r="N455" s="507">
        <v>0.106</v>
      </c>
      <c r="O455" s="507">
        <v>0.10299999999999999</v>
      </c>
      <c r="P455" s="507">
        <v>0.11799999999999999</v>
      </c>
      <c r="Q455" s="78">
        <v>0.44</v>
      </c>
      <c r="R455" s="78">
        <v>0.31740000000000002</v>
      </c>
      <c r="S455" s="69">
        <v>2.5000000000000001E-2</v>
      </c>
      <c r="T455" s="69">
        <v>0.01</v>
      </c>
      <c r="U455" s="507">
        <v>0.85</v>
      </c>
      <c r="V455" s="76">
        <v>0</v>
      </c>
      <c r="W455" s="76">
        <v>0</v>
      </c>
      <c r="X455" s="76"/>
      <c r="Y455" s="519" t="s">
        <v>469</v>
      </c>
    </row>
    <row r="456" spans="1:25" x14ac:dyDescent="0.25">
      <c r="A456" s="75" t="str">
        <f t="shared" si="17"/>
        <v>Adquisicion PF Premier Mercado_Abierto Pago_Fijo_Puntual Si 10</v>
      </c>
      <c r="B456" s="75" t="str">
        <f t="shared" si="16"/>
        <v>Adquisicion PF Premier Mercado_Abierto Pago_Fijo_Puntual Si 10 0.103</v>
      </c>
      <c r="C456" s="75" t="s">
        <v>114</v>
      </c>
      <c r="D456" s="75" t="s">
        <v>132</v>
      </c>
      <c r="E456" s="75" t="s">
        <v>143</v>
      </c>
      <c r="F456" s="75"/>
      <c r="G456" s="75" t="s">
        <v>396</v>
      </c>
      <c r="H456" s="75"/>
      <c r="I456" s="75" t="s">
        <v>171</v>
      </c>
      <c r="J456" s="76">
        <v>10</v>
      </c>
      <c r="K456" s="519" t="s">
        <v>387</v>
      </c>
      <c r="L456" s="520">
        <v>13.54</v>
      </c>
      <c r="M456" s="520">
        <v>14.2</v>
      </c>
      <c r="N456" s="507">
        <v>0.10299999999999999</v>
      </c>
      <c r="O456" s="507">
        <v>0.1</v>
      </c>
      <c r="P456" s="507">
        <v>0.112</v>
      </c>
      <c r="Q456" s="78">
        <v>0.44</v>
      </c>
      <c r="R456" s="78">
        <v>0.31740000000000002</v>
      </c>
      <c r="S456" s="69">
        <v>2.5000000000000001E-2</v>
      </c>
      <c r="T456" s="69">
        <v>0.01</v>
      </c>
      <c r="U456" s="507">
        <v>0.9</v>
      </c>
      <c r="V456" s="76">
        <v>0</v>
      </c>
      <c r="W456" s="76">
        <v>0</v>
      </c>
      <c r="X456" s="76" t="s">
        <v>147</v>
      </c>
      <c r="Y456" s="519" t="s">
        <v>469</v>
      </c>
    </row>
    <row r="457" spans="1:25" x14ac:dyDescent="0.25">
      <c r="A457" s="75" t="str">
        <f t="shared" si="17"/>
        <v>Adquisicion PF Premier Mercado_Abierto Pago_Fijo_Puntual 10</v>
      </c>
      <c r="B457" s="75" t="str">
        <f t="shared" si="16"/>
        <v>Adquisicion PF Premier Mercado_Abierto Pago_Fijo_Puntual 10 0.106</v>
      </c>
      <c r="C457" s="75" t="s">
        <v>114</v>
      </c>
      <c r="D457" s="75" t="s">
        <v>132</v>
      </c>
      <c r="E457" s="75" t="s">
        <v>143</v>
      </c>
      <c r="F457" s="75"/>
      <c r="G457" s="75" t="s">
        <v>396</v>
      </c>
      <c r="H457" s="75"/>
      <c r="I457" s="75" t="s">
        <v>171</v>
      </c>
      <c r="J457" s="76">
        <v>10</v>
      </c>
      <c r="K457" s="519">
        <v>3</v>
      </c>
      <c r="L457" s="520">
        <v>13.71</v>
      </c>
      <c r="M457" s="520">
        <v>14.37</v>
      </c>
      <c r="N457" s="507">
        <v>0.106</v>
      </c>
      <c r="O457" s="507">
        <v>0.10299999999999999</v>
      </c>
      <c r="P457" s="507">
        <v>0.11799999999999999</v>
      </c>
      <c r="Q457" s="78">
        <v>0.44</v>
      </c>
      <c r="R457" s="78">
        <v>0.31740000000000002</v>
      </c>
      <c r="S457" s="69">
        <v>2.5000000000000001E-2</v>
      </c>
      <c r="T457" s="69">
        <v>0.01</v>
      </c>
      <c r="U457" s="507">
        <v>0.85</v>
      </c>
      <c r="V457" s="76">
        <v>0</v>
      </c>
      <c r="W457" s="76">
        <v>0</v>
      </c>
      <c r="X457" s="76"/>
      <c r="Y457" s="519" t="s">
        <v>469</v>
      </c>
    </row>
    <row r="458" spans="1:25" x14ac:dyDescent="0.25">
      <c r="A458" s="75" t="str">
        <f t="shared" si="17"/>
        <v>Adquisicion PF Premier Mercado_Abierto Pago_Fijo_Puntual Si 5</v>
      </c>
      <c r="B458" s="75" t="str">
        <f t="shared" si="16"/>
        <v>Adquisicion PF Premier Mercado_Abierto Pago_Fijo_Puntual Si 5 0.103</v>
      </c>
      <c r="C458" s="75" t="s">
        <v>114</v>
      </c>
      <c r="D458" s="75" t="s">
        <v>132</v>
      </c>
      <c r="E458" s="75" t="s">
        <v>143</v>
      </c>
      <c r="F458" s="75"/>
      <c r="G458" s="75" t="s">
        <v>396</v>
      </c>
      <c r="H458" s="75"/>
      <c r="I458" s="75" t="s">
        <v>171</v>
      </c>
      <c r="J458" s="76">
        <v>5</v>
      </c>
      <c r="K458" s="519" t="s">
        <v>387</v>
      </c>
      <c r="L458" s="520">
        <v>21.44</v>
      </c>
      <c r="M458" s="520">
        <v>22.1</v>
      </c>
      <c r="N458" s="507">
        <v>0.10299999999999999</v>
      </c>
      <c r="O458" s="507">
        <v>0.1</v>
      </c>
      <c r="P458" s="507">
        <v>0.112</v>
      </c>
      <c r="Q458" s="78">
        <v>0.44</v>
      </c>
      <c r="R458" s="78">
        <v>0.31740000000000002</v>
      </c>
      <c r="S458" s="69">
        <v>2.5000000000000001E-2</v>
      </c>
      <c r="T458" s="69">
        <v>0.01</v>
      </c>
      <c r="U458" s="507">
        <v>0.9</v>
      </c>
      <c r="V458" s="76">
        <v>0</v>
      </c>
      <c r="W458" s="76">
        <v>0</v>
      </c>
      <c r="X458" s="76" t="s">
        <v>147</v>
      </c>
      <c r="Y458" s="519" t="s">
        <v>469</v>
      </c>
    </row>
    <row r="459" spans="1:25" x14ac:dyDescent="0.25">
      <c r="A459" s="75" t="str">
        <f t="shared" si="17"/>
        <v>Adquisicion PF Premier Mercado_Abierto Pago_Fijo_Puntual 5</v>
      </c>
      <c r="B459" s="75" t="str">
        <f t="shared" si="16"/>
        <v>Adquisicion PF Premier Mercado_Abierto Pago_Fijo_Puntual 5 0.106</v>
      </c>
      <c r="C459" s="75" t="s">
        <v>114</v>
      </c>
      <c r="D459" s="75" t="s">
        <v>132</v>
      </c>
      <c r="E459" s="75" t="s">
        <v>143</v>
      </c>
      <c r="F459" s="75"/>
      <c r="G459" s="75" t="s">
        <v>396</v>
      </c>
      <c r="H459" s="75"/>
      <c r="I459" s="75" t="s">
        <v>171</v>
      </c>
      <c r="J459" s="76">
        <v>5</v>
      </c>
      <c r="K459" s="519">
        <v>3</v>
      </c>
      <c r="L459" s="520">
        <v>21.59</v>
      </c>
      <c r="M459" s="520">
        <v>22.25</v>
      </c>
      <c r="N459" s="507">
        <v>0.106</v>
      </c>
      <c r="O459" s="507">
        <v>0.10299999999999999</v>
      </c>
      <c r="P459" s="507">
        <v>0.11799999999999999</v>
      </c>
      <c r="Q459" s="78">
        <v>0.44</v>
      </c>
      <c r="R459" s="78">
        <v>0.31740000000000002</v>
      </c>
      <c r="S459" s="69">
        <v>2.5000000000000001E-2</v>
      </c>
      <c r="T459" s="69">
        <v>0.01</v>
      </c>
      <c r="U459" s="507">
        <v>0.85</v>
      </c>
      <c r="V459" s="76">
        <v>0</v>
      </c>
      <c r="W459" s="76">
        <v>0</v>
      </c>
      <c r="X459" s="76"/>
      <c r="Y459" s="519" t="s">
        <v>469</v>
      </c>
    </row>
    <row r="460" spans="1:25" x14ac:dyDescent="0.25">
      <c r="A460" s="75" t="str">
        <f t="shared" si="17"/>
        <v>Adquisicion PF Premier Mercado_Abierto Pago_Bajo_Puntual Si 25</v>
      </c>
      <c r="B460" s="75" t="str">
        <f t="shared" si="16"/>
        <v>Adquisicion PF Premier Mercado_Abierto Pago_Bajo_Puntual Si 25 0.103</v>
      </c>
      <c r="C460" s="75" t="s">
        <v>114</v>
      </c>
      <c r="D460" s="75" t="s">
        <v>132</v>
      </c>
      <c r="E460" s="75" t="s">
        <v>143</v>
      </c>
      <c r="F460" s="75"/>
      <c r="G460" s="75" t="s">
        <v>396</v>
      </c>
      <c r="H460" s="75"/>
      <c r="I460" s="75" t="s">
        <v>170</v>
      </c>
      <c r="J460" s="523">
        <v>25</v>
      </c>
      <c r="K460" s="519" t="s">
        <v>387</v>
      </c>
      <c r="L460" s="525">
        <v>8.64</v>
      </c>
      <c r="M460" s="525">
        <v>9.3000000000000007</v>
      </c>
      <c r="N460" s="507">
        <v>0.10299999999999999</v>
      </c>
      <c r="O460" s="507">
        <v>0.1</v>
      </c>
      <c r="P460" s="507">
        <v>0.112</v>
      </c>
      <c r="Q460" s="78">
        <v>0.44</v>
      </c>
      <c r="R460" s="78">
        <v>0.31740000000000002</v>
      </c>
      <c r="S460" s="69">
        <v>2.5000000000000001E-2</v>
      </c>
      <c r="T460" s="69">
        <v>0.01</v>
      </c>
      <c r="U460" s="507">
        <v>0.9</v>
      </c>
      <c r="V460" s="76">
        <v>0</v>
      </c>
      <c r="W460" s="76">
        <v>0</v>
      </c>
      <c r="X460" s="76" t="s">
        <v>147</v>
      </c>
      <c r="Y460" s="519" t="s">
        <v>469</v>
      </c>
    </row>
    <row r="461" spans="1:25" x14ac:dyDescent="0.25">
      <c r="A461" s="75" t="str">
        <f t="shared" si="17"/>
        <v>Adquisicion PF Premier Mercado_Abierto Pago_Bajo_Puntual 25</v>
      </c>
      <c r="B461" s="75" t="str">
        <f t="shared" si="16"/>
        <v>Adquisicion PF Premier Mercado_Abierto Pago_Bajo_Puntual 25 0.106</v>
      </c>
      <c r="C461" s="75" t="s">
        <v>114</v>
      </c>
      <c r="D461" s="75" t="s">
        <v>132</v>
      </c>
      <c r="E461" s="75" t="s">
        <v>143</v>
      </c>
      <c r="F461" s="75"/>
      <c r="G461" s="75" t="s">
        <v>396</v>
      </c>
      <c r="H461" s="75"/>
      <c r="I461" s="75" t="s">
        <v>170</v>
      </c>
      <c r="J461" s="523">
        <v>25</v>
      </c>
      <c r="K461" s="519">
        <v>3</v>
      </c>
      <c r="L461" s="520">
        <v>8.89</v>
      </c>
      <c r="M461" s="520">
        <v>9.5500000000000007</v>
      </c>
      <c r="N461" s="507">
        <v>0.106</v>
      </c>
      <c r="O461" s="507">
        <v>0.10299999999999999</v>
      </c>
      <c r="P461" s="507">
        <v>0.11799999999999999</v>
      </c>
      <c r="Q461" s="78">
        <v>0.44</v>
      </c>
      <c r="R461" s="78">
        <v>0.31740000000000002</v>
      </c>
      <c r="S461" s="69">
        <v>2.5000000000000001E-2</v>
      </c>
      <c r="T461" s="69">
        <v>0.01</v>
      </c>
      <c r="U461" s="507">
        <v>0.85</v>
      </c>
      <c r="V461" s="76">
        <v>0</v>
      </c>
      <c r="W461" s="76">
        <v>0</v>
      </c>
      <c r="X461" s="76"/>
      <c r="Y461" s="519" t="s">
        <v>469</v>
      </c>
    </row>
    <row r="462" spans="1:25" x14ac:dyDescent="0.25">
      <c r="A462" s="75" t="str">
        <f t="shared" si="17"/>
        <v>Adquisicion PF Premier Mercado_Abierto Pago_Bajo_Puntual Si 20</v>
      </c>
      <c r="B462" s="75" t="str">
        <f t="shared" si="16"/>
        <v>Adquisicion PF Premier Mercado_Abierto Pago_Bajo_Puntual Si 20 0.103</v>
      </c>
      <c r="C462" s="75" t="s">
        <v>114</v>
      </c>
      <c r="D462" s="75" t="s">
        <v>132</v>
      </c>
      <c r="E462" s="75" t="s">
        <v>143</v>
      </c>
      <c r="F462" s="75"/>
      <c r="G462" s="75" t="s">
        <v>396</v>
      </c>
      <c r="H462" s="75"/>
      <c r="I462" s="75" t="s">
        <v>170</v>
      </c>
      <c r="J462" s="76">
        <v>20</v>
      </c>
      <c r="K462" s="519" t="s">
        <v>387</v>
      </c>
      <c r="L462" s="520">
        <v>9</v>
      </c>
      <c r="M462" s="520">
        <v>9.66</v>
      </c>
      <c r="N462" s="507">
        <v>0.10299999999999999</v>
      </c>
      <c r="O462" s="507">
        <v>0.1</v>
      </c>
      <c r="P462" s="507">
        <v>0.112</v>
      </c>
      <c r="Q462" s="78">
        <v>0.44</v>
      </c>
      <c r="R462" s="78">
        <v>0.31740000000000002</v>
      </c>
      <c r="S462" s="69">
        <v>2.5000000000000001E-2</v>
      </c>
      <c r="T462" s="69">
        <v>0.01</v>
      </c>
      <c r="U462" s="507">
        <v>0.9</v>
      </c>
      <c r="V462" s="76">
        <v>0</v>
      </c>
      <c r="W462" s="76">
        <v>0</v>
      </c>
      <c r="X462" s="76" t="s">
        <v>147</v>
      </c>
      <c r="Y462" s="519" t="s">
        <v>469</v>
      </c>
    </row>
    <row r="463" spans="1:25" x14ac:dyDescent="0.25">
      <c r="A463" s="75" t="str">
        <f t="shared" si="17"/>
        <v>Adquisicion PF Premier Mercado_Abierto Pago_Bajo_Puntual 20</v>
      </c>
      <c r="B463" s="75" t="str">
        <f t="shared" si="16"/>
        <v>Adquisicion PF Premier Mercado_Abierto Pago_Bajo_Puntual 20 0.106</v>
      </c>
      <c r="C463" s="75" t="s">
        <v>114</v>
      </c>
      <c r="D463" s="75" t="s">
        <v>132</v>
      </c>
      <c r="E463" s="75" t="s">
        <v>143</v>
      </c>
      <c r="F463" s="75"/>
      <c r="G463" s="75" t="s">
        <v>396</v>
      </c>
      <c r="H463" s="75"/>
      <c r="I463" s="75" t="s">
        <v>170</v>
      </c>
      <c r="J463" s="76">
        <v>20</v>
      </c>
      <c r="K463" s="519">
        <v>3</v>
      </c>
      <c r="L463" s="520">
        <v>9.24</v>
      </c>
      <c r="M463" s="520">
        <v>9.9</v>
      </c>
      <c r="N463" s="507">
        <v>0.106</v>
      </c>
      <c r="O463" s="507">
        <v>0.10299999999999999</v>
      </c>
      <c r="P463" s="507">
        <v>0.11799999999999999</v>
      </c>
      <c r="Q463" s="78">
        <v>0.44</v>
      </c>
      <c r="R463" s="78">
        <v>0.31740000000000002</v>
      </c>
      <c r="S463" s="69">
        <v>2.5000000000000001E-2</v>
      </c>
      <c r="T463" s="69">
        <v>0.01</v>
      </c>
      <c r="U463" s="507">
        <v>0.85</v>
      </c>
      <c r="V463" s="76">
        <v>0</v>
      </c>
      <c r="W463" s="76">
        <v>0</v>
      </c>
      <c r="X463" s="76"/>
      <c r="Y463" s="519" t="s">
        <v>469</v>
      </c>
    </row>
    <row r="464" spans="1:25" x14ac:dyDescent="0.25">
      <c r="A464" s="75" t="str">
        <f t="shared" si="17"/>
        <v>Adquisicion PF Premier Mercado_Abierto Pago_Bajo_Puntual Si 15</v>
      </c>
      <c r="B464" s="75" t="str">
        <f t="shared" si="16"/>
        <v>Adquisicion PF Premier Mercado_Abierto Pago_Bajo_Puntual Si 15 0.103</v>
      </c>
      <c r="C464" s="75" t="s">
        <v>114</v>
      </c>
      <c r="D464" s="75" t="s">
        <v>132</v>
      </c>
      <c r="E464" s="75" t="s">
        <v>143</v>
      </c>
      <c r="F464" s="75"/>
      <c r="G464" s="75" t="s">
        <v>396</v>
      </c>
      <c r="H464" s="75"/>
      <c r="I464" s="75" t="s">
        <v>170</v>
      </c>
      <c r="J464" s="76">
        <v>15</v>
      </c>
      <c r="K464" s="519" t="s">
        <v>387</v>
      </c>
      <c r="L464" s="520">
        <v>10.119999999999999</v>
      </c>
      <c r="M464" s="520">
        <v>10.78</v>
      </c>
      <c r="N464" s="507">
        <v>0.10299999999999999</v>
      </c>
      <c r="O464" s="507">
        <v>0.1</v>
      </c>
      <c r="P464" s="507">
        <v>0.112</v>
      </c>
      <c r="Q464" s="78">
        <v>0.44</v>
      </c>
      <c r="R464" s="78">
        <v>0.31740000000000002</v>
      </c>
      <c r="S464" s="69">
        <v>2.5000000000000001E-2</v>
      </c>
      <c r="T464" s="69">
        <v>0.01</v>
      </c>
      <c r="U464" s="507">
        <v>0.9</v>
      </c>
      <c r="V464" s="76">
        <v>0</v>
      </c>
      <c r="W464" s="76">
        <v>0</v>
      </c>
      <c r="X464" s="76" t="s">
        <v>147</v>
      </c>
      <c r="Y464" s="519" t="s">
        <v>469</v>
      </c>
    </row>
    <row r="465" spans="1:25" x14ac:dyDescent="0.25">
      <c r="A465" s="75" t="str">
        <f t="shared" si="17"/>
        <v>Adquisicion PF Premier Mercado_Abierto Pago_Bajo_Puntual 15</v>
      </c>
      <c r="B465" s="75" t="str">
        <f t="shared" si="16"/>
        <v>Adquisicion PF Premier Mercado_Abierto Pago_Bajo_Puntual 15 0.106</v>
      </c>
      <c r="C465" s="75" t="s">
        <v>114</v>
      </c>
      <c r="D465" s="75" t="s">
        <v>132</v>
      </c>
      <c r="E465" s="75" t="s">
        <v>143</v>
      </c>
      <c r="F465" s="75"/>
      <c r="G465" s="75" t="s">
        <v>396</v>
      </c>
      <c r="H465" s="75"/>
      <c r="I465" s="75" t="s">
        <v>170</v>
      </c>
      <c r="J465" s="76">
        <v>15</v>
      </c>
      <c r="K465" s="519">
        <v>3</v>
      </c>
      <c r="L465" s="520">
        <v>10.33</v>
      </c>
      <c r="M465" s="520">
        <v>10.99</v>
      </c>
      <c r="N465" s="507">
        <v>0.106</v>
      </c>
      <c r="O465" s="507">
        <v>0.10299999999999999</v>
      </c>
      <c r="P465" s="507">
        <v>0.11799999999999999</v>
      </c>
      <c r="Q465" s="78">
        <v>0.44</v>
      </c>
      <c r="R465" s="78">
        <v>0.31740000000000002</v>
      </c>
      <c r="S465" s="69">
        <v>2.5000000000000001E-2</v>
      </c>
      <c r="T465" s="69">
        <v>0.01</v>
      </c>
      <c r="U465" s="507">
        <v>0.85</v>
      </c>
      <c r="V465" s="76">
        <v>0</v>
      </c>
      <c r="W465" s="76">
        <v>0</v>
      </c>
      <c r="X465" s="76"/>
      <c r="Y465" s="519" t="s">
        <v>469</v>
      </c>
    </row>
    <row r="466" spans="1:25" x14ac:dyDescent="0.25">
      <c r="A466" s="75" t="str">
        <f t="shared" si="17"/>
        <v>Adquisicion PF Premier Mercado_Abierto Pago_Bajo_Puntual Si 10</v>
      </c>
      <c r="B466" s="75" t="str">
        <f t="shared" si="16"/>
        <v>Adquisicion PF Premier Mercado_Abierto Pago_Bajo_Puntual Si 10 0.103</v>
      </c>
      <c r="C466" s="75" t="s">
        <v>114</v>
      </c>
      <c r="D466" s="75" t="s">
        <v>132</v>
      </c>
      <c r="E466" s="75" t="s">
        <v>143</v>
      </c>
      <c r="F466" s="75"/>
      <c r="G466" s="75" t="s">
        <v>396</v>
      </c>
      <c r="H466" s="75"/>
      <c r="I466" s="75" t="s">
        <v>170</v>
      </c>
      <c r="J466" s="76">
        <v>10</v>
      </c>
      <c r="K466" s="519" t="s">
        <v>387</v>
      </c>
      <c r="L466" s="520">
        <v>12.62</v>
      </c>
      <c r="M466" s="520">
        <v>13.28</v>
      </c>
      <c r="N466" s="507">
        <v>0.10299999999999999</v>
      </c>
      <c r="O466" s="507">
        <v>0.1</v>
      </c>
      <c r="P466" s="507">
        <v>0.112</v>
      </c>
      <c r="Q466" s="78">
        <v>0.44</v>
      </c>
      <c r="R466" s="78">
        <v>0.31740000000000002</v>
      </c>
      <c r="S466" s="69">
        <v>2.5000000000000001E-2</v>
      </c>
      <c r="T466" s="69">
        <v>0.01</v>
      </c>
      <c r="U466" s="507">
        <v>0.9</v>
      </c>
      <c r="V466" s="76">
        <v>0</v>
      </c>
      <c r="W466" s="76">
        <v>0</v>
      </c>
      <c r="X466" s="76" t="s">
        <v>147</v>
      </c>
      <c r="Y466" s="519" t="s">
        <v>469</v>
      </c>
    </row>
    <row r="467" spans="1:25" x14ac:dyDescent="0.25">
      <c r="A467" s="75" t="str">
        <f t="shared" si="17"/>
        <v>Adquisicion PF Premier Mercado_Abierto Pago_Bajo_Puntual 10</v>
      </c>
      <c r="B467" s="75" t="str">
        <f t="shared" si="16"/>
        <v>Adquisicion PF Premier Mercado_Abierto Pago_Bajo_Puntual 10 0.106</v>
      </c>
      <c r="C467" s="75" t="s">
        <v>114</v>
      </c>
      <c r="D467" s="75" t="s">
        <v>132</v>
      </c>
      <c r="E467" s="75" t="s">
        <v>143</v>
      </c>
      <c r="F467" s="75"/>
      <c r="G467" s="75" t="s">
        <v>396</v>
      </c>
      <c r="H467" s="75"/>
      <c r="I467" s="75" t="s">
        <v>170</v>
      </c>
      <c r="J467" s="76">
        <v>10</v>
      </c>
      <c r="K467" s="519">
        <v>3</v>
      </c>
      <c r="L467" s="520">
        <v>12.78</v>
      </c>
      <c r="M467" s="520">
        <v>13.44</v>
      </c>
      <c r="N467" s="507">
        <v>0.106</v>
      </c>
      <c r="O467" s="507">
        <v>0.10299999999999999</v>
      </c>
      <c r="P467" s="507">
        <v>0.11799999999999999</v>
      </c>
      <c r="Q467" s="78">
        <v>0.44</v>
      </c>
      <c r="R467" s="78">
        <v>0.31740000000000002</v>
      </c>
      <c r="S467" s="69">
        <v>2.5000000000000001E-2</v>
      </c>
      <c r="T467" s="69">
        <v>0.01</v>
      </c>
      <c r="U467" s="507">
        <v>0.85</v>
      </c>
      <c r="V467" s="76">
        <v>0</v>
      </c>
      <c r="W467" s="76">
        <v>0</v>
      </c>
      <c r="X467" s="76"/>
      <c r="Y467" s="519" t="s">
        <v>469</v>
      </c>
    </row>
    <row r="468" spans="1:25" x14ac:dyDescent="0.25">
      <c r="A468" s="75" t="str">
        <f t="shared" si="17"/>
        <v>Adquisicion PF Premier Mercado_Abierto Pago_Bajo_Puntual Si 5</v>
      </c>
      <c r="B468" s="75" t="str">
        <f t="shared" si="16"/>
        <v>Adquisicion PF Premier Mercado_Abierto Pago_Bajo_Puntual Si 5 0.103</v>
      </c>
      <c r="C468" s="75" t="s">
        <v>114</v>
      </c>
      <c r="D468" s="75" t="s">
        <v>132</v>
      </c>
      <c r="E468" s="75" t="s">
        <v>143</v>
      </c>
      <c r="F468" s="75"/>
      <c r="G468" s="75" t="s">
        <v>396</v>
      </c>
      <c r="H468" s="75"/>
      <c r="I468" s="75" t="s">
        <v>170</v>
      </c>
      <c r="J468" s="76">
        <v>5</v>
      </c>
      <c r="K468" s="519" t="s">
        <v>387</v>
      </c>
      <c r="L468" s="520">
        <v>20.72</v>
      </c>
      <c r="M468" s="520">
        <v>21.38</v>
      </c>
      <c r="N468" s="507">
        <v>0.10299999999999999</v>
      </c>
      <c r="O468" s="507">
        <v>0.1</v>
      </c>
      <c r="P468" s="507">
        <v>0.112</v>
      </c>
      <c r="Q468" s="78">
        <v>0.44</v>
      </c>
      <c r="R468" s="78">
        <v>0.31740000000000002</v>
      </c>
      <c r="S468" s="69">
        <v>2.5000000000000001E-2</v>
      </c>
      <c r="T468" s="69">
        <v>0.01</v>
      </c>
      <c r="U468" s="507">
        <v>0.9</v>
      </c>
      <c r="V468" s="76">
        <v>0</v>
      </c>
      <c r="W468" s="76">
        <v>0</v>
      </c>
      <c r="X468" s="76" t="s">
        <v>147</v>
      </c>
      <c r="Y468" s="519" t="s">
        <v>469</v>
      </c>
    </row>
    <row r="469" spans="1:25" x14ac:dyDescent="0.25">
      <c r="A469" s="75" t="str">
        <f t="shared" si="17"/>
        <v>Adquisicion PF Premier Mercado_Abierto Pago_Bajo_Puntual 5</v>
      </c>
      <c r="B469" s="75" t="str">
        <f t="shared" si="16"/>
        <v>Adquisicion PF Premier Mercado_Abierto Pago_Bajo_Puntual 5 0.106</v>
      </c>
      <c r="C469" s="75" t="s">
        <v>114</v>
      </c>
      <c r="D469" s="75" t="s">
        <v>132</v>
      </c>
      <c r="E469" s="75" t="s">
        <v>143</v>
      </c>
      <c r="F469" s="75"/>
      <c r="G469" s="75" t="s">
        <v>396</v>
      </c>
      <c r="H469" s="75"/>
      <c r="I469" s="75" t="s">
        <v>170</v>
      </c>
      <c r="J469" s="76">
        <v>5</v>
      </c>
      <c r="K469" s="519">
        <v>3</v>
      </c>
      <c r="L469" s="520">
        <v>20.86</v>
      </c>
      <c r="M469" s="520">
        <v>21.52</v>
      </c>
      <c r="N469" s="507">
        <v>0.106</v>
      </c>
      <c r="O469" s="507">
        <v>0.10299999999999999</v>
      </c>
      <c r="P469" s="507">
        <v>0.11799999999999999</v>
      </c>
      <c r="Q469" s="78">
        <v>0.44</v>
      </c>
      <c r="R469" s="78">
        <v>0.31740000000000002</v>
      </c>
      <c r="S469" s="69">
        <v>2.5000000000000001E-2</v>
      </c>
      <c r="T469" s="69">
        <v>0.01</v>
      </c>
      <c r="U469" s="507">
        <v>0.85</v>
      </c>
      <c r="V469" s="76">
        <v>0</v>
      </c>
      <c r="W469" s="76">
        <v>0</v>
      </c>
      <c r="X469" s="76"/>
      <c r="Y469" s="519" t="s">
        <v>469</v>
      </c>
    </row>
    <row r="470" spans="1:25" x14ac:dyDescent="0.25">
      <c r="A470" s="75" t="str">
        <f t="shared" si="17"/>
        <v>Adquisicion PFAE No_Premier Normal Mercado_Abierto Pago_Fijo_Puntual Si 20</v>
      </c>
      <c r="B470" s="75" t="str">
        <f t="shared" si="16"/>
        <v>Adquisicion PFAE No_Premier Normal Mercado_Abierto Pago_Fijo_Puntual Si 20 0.103</v>
      </c>
      <c r="C470" s="75" t="s">
        <v>114</v>
      </c>
      <c r="D470" s="75" t="s">
        <v>168</v>
      </c>
      <c r="E470" s="75" t="s">
        <v>179</v>
      </c>
      <c r="F470" s="75" t="s">
        <v>180</v>
      </c>
      <c r="G470" s="75" t="s">
        <v>396</v>
      </c>
      <c r="H470" s="75"/>
      <c r="I470" s="75" t="s">
        <v>171</v>
      </c>
      <c r="J470" s="76">
        <v>20</v>
      </c>
      <c r="K470" s="519" t="s">
        <v>387</v>
      </c>
      <c r="L470" s="520">
        <v>10.16</v>
      </c>
      <c r="M470" s="520">
        <v>11.11</v>
      </c>
      <c r="N470" s="507">
        <v>0.10299999999999999</v>
      </c>
      <c r="O470" s="507">
        <v>0.1</v>
      </c>
      <c r="P470" s="507">
        <v>0.112</v>
      </c>
      <c r="Q470" s="78">
        <v>0.44</v>
      </c>
      <c r="R470" s="78">
        <v>0.31740000000000002</v>
      </c>
      <c r="S470" s="69">
        <v>2.5000000000000001E-2</v>
      </c>
      <c r="T470" s="69">
        <v>0.01</v>
      </c>
      <c r="U470" s="507">
        <v>0.85</v>
      </c>
      <c r="V470" s="76">
        <v>0</v>
      </c>
      <c r="W470" s="76">
        <v>250.00000000000003</v>
      </c>
      <c r="X470" s="76" t="s">
        <v>147</v>
      </c>
      <c r="Y470" s="519" t="s">
        <v>469</v>
      </c>
    </row>
    <row r="471" spans="1:25" x14ac:dyDescent="0.25">
      <c r="A471" s="75" t="str">
        <f t="shared" si="17"/>
        <v>Adquisicion PFAE No_Premier Normal Mercado_Abierto Pago_Fijo_Puntual Si 15</v>
      </c>
      <c r="B471" s="75" t="str">
        <f t="shared" si="16"/>
        <v>Adquisicion PFAE No_Premier Normal Mercado_Abierto Pago_Fijo_Puntual Si 15 0.103</v>
      </c>
      <c r="C471" s="75" t="s">
        <v>114</v>
      </c>
      <c r="D471" s="75" t="s">
        <v>168</v>
      </c>
      <c r="E471" s="75" t="s">
        <v>179</v>
      </c>
      <c r="F471" s="75" t="s">
        <v>180</v>
      </c>
      <c r="G471" s="75" t="s">
        <v>396</v>
      </c>
      <c r="H471" s="75"/>
      <c r="I471" s="75" t="s">
        <v>171</v>
      </c>
      <c r="J471" s="76">
        <v>15</v>
      </c>
      <c r="K471" s="519" t="s">
        <v>387</v>
      </c>
      <c r="L471" s="520">
        <v>11.18</v>
      </c>
      <c r="M471" s="520">
        <v>12.13</v>
      </c>
      <c r="N471" s="507">
        <v>0.10299999999999999</v>
      </c>
      <c r="O471" s="507">
        <v>0.1</v>
      </c>
      <c r="P471" s="507">
        <v>0.112</v>
      </c>
      <c r="Q471" s="78">
        <v>0.44</v>
      </c>
      <c r="R471" s="78">
        <v>0.31740000000000002</v>
      </c>
      <c r="S471" s="69">
        <v>2.5000000000000001E-2</v>
      </c>
      <c r="T471" s="69">
        <v>0.01</v>
      </c>
      <c r="U471" s="507">
        <v>0.85</v>
      </c>
      <c r="V471" s="76">
        <v>0</v>
      </c>
      <c r="W471" s="76">
        <v>250.00000000000003</v>
      </c>
      <c r="X471" s="76" t="s">
        <v>147</v>
      </c>
      <c r="Y471" s="519" t="s">
        <v>469</v>
      </c>
    </row>
    <row r="472" spans="1:25" x14ac:dyDescent="0.25">
      <c r="A472" s="75" t="str">
        <f t="shared" si="17"/>
        <v>Adquisicion PFAE No_Premier Normal Mercado_Abierto Pago_Fijo_Puntual Si 10</v>
      </c>
      <c r="B472" s="75" t="str">
        <f t="shared" si="16"/>
        <v>Adquisicion PFAE No_Premier Normal Mercado_Abierto Pago_Fijo_Puntual Si 10 0.103</v>
      </c>
      <c r="C472" s="75" t="s">
        <v>114</v>
      </c>
      <c r="D472" s="75" t="s">
        <v>168</v>
      </c>
      <c r="E472" s="75" t="s">
        <v>179</v>
      </c>
      <c r="F472" s="75" t="s">
        <v>180</v>
      </c>
      <c r="G472" s="75" t="s">
        <v>396</v>
      </c>
      <c r="H472" s="75"/>
      <c r="I472" s="75" t="s">
        <v>171</v>
      </c>
      <c r="J472" s="76">
        <v>10</v>
      </c>
      <c r="K472" s="519" t="s">
        <v>387</v>
      </c>
      <c r="L472" s="520">
        <v>13.54</v>
      </c>
      <c r="M472" s="520">
        <v>14.49</v>
      </c>
      <c r="N472" s="507">
        <v>0.10299999999999999</v>
      </c>
      <c r="O472" s="507">
        <v>0.1</v>
      </c>
      <c r="P472" s="507">
        <v>0.112</v>
      </c>
      <c r="Q472" s="78">
        <v>0.44</v>
      </c>
      <c r="R472" s="78">
        <v>0.31740000000000002</v>
      </c>
      <c r="S472" s="69">
        <v>2.5000000000000001E-2</v>
      </c>
      <c r="T472" s="69">
        <v>0.01</v>
      </c>
      <c r="U472" s="507">
        <v>0.85</v>
      </c>
      <c r="V472" s="76">
        <v>0</v>
      </c>
      <c r="W472" s="76">
        <v>250.00000000000003</v>
      </c>
      <c r="X472" s="76" t="s">
        <v>147</v>
      </c>
      <c r="Y472" s="519" t="s">
        <v>469</v>
      </c>
    </row>
    <row r="473" spans="1:25" x14ac:dyDescent="0.25">
      <c r="A473" s="75" t="str">
        <f t="shared" si="17"/>
        <v>Adquisicion PFAE No_Premier Normal Mercado_Abierto Pago_Fijo_Puntual Si 5</v>
      </c>
      <c r="B473" s="75" t="str">
        <f t="shared" si="16"/>
        <v>Adquisicion PFAE No_Premier Normal Mercado_Abierto Pago_Fijo_Puntual Si 5 0.103</v>
      </c>
      <c r="C473" s="75" t="s">
        <v>114</v>
      </c>
      <c r="D473" s="75" t="s">
        <v>168</v>
      </c>
      <c r="E473" s="75" t="s">
        <v>179</v>
      </c>
      <c r="F473" s="75" t="s">
        <v>180</v>
      </c>
      <c r="G473" s="75" t="s">
        <v>396</v>
      </c>
      <c r="H473" s="75"/>
      <c r="I473" s="75" t="s">
        <v>171</v>
      </c>
      <c r="J473" s="76">
        <v>5</v>
      </c>
      <c r="K473" s="519" t="s">
        <v>387</v>
      </c>
      <c r="L473" s="520">
        <v>21.44</v>
      </c>
      <c r="M473" s="520">
        <v>22.39</v>
      </c>
      <c r="N473" s="507">
        <v>0.10299999999999999</v>
      </c>
      <c r="O473" s="507">
        <v>0.1</v>
      </c>
      <c r="P473" s="507">
        <v>0.112</v>
      </c>
      <c r="Q473" s="78">
        <v>0.44</v>
      </c>
      <c r="R473" s="78">
        <v>0.31740000000000002</v>
      </c>
      <c r="S473" s="69">
        <v>2.5000000000000001E-2</v>
      </c>
      <c r="T473" s="69">
        <v>0.01</v>
      </c>
      <c r="U473" s="507">
        <v>0.85</v>
      </c>
      <c r="V473" s="76">
        <v>0</v>
      </c>
      <c r="W473" s="76">
        <v>250.00000000000003</v>
      </c>
      <c r="X473" s="76" t="s">
        <v>147</v>
      </c>
      <c r="Y473" s="519" t="s">
        <v>469</v>
      </c>
    </row>
    <row r="474" spans="1:25" x14ac:dyDescent="0.25">
      <c r="A474" s="75" t="str">
        <f t="shared" si="17"/>
        <v>Adquisicion PFAE No_Premier Normal Mercado_Abierto Pago_Bajo_Puntual Si 20</v>
      </c>
      <c r="B474" s="75" t="str">
        <f t="shared" si="16"/>
        <v>Adquisicion PFAE No_Premier Normal Mercado_Abierto Pago_Bajo_Puntual Si 20 0.103</v>
      </c>
      <c r="C474" s="75" t="s">
        <v>114</v>
      </c>
      <c r="D474" s="75" t="s">
        <v>168</v>
      </c>
      <c r="E474" s="75" t="s">
        <v>179</v>
      </c>
      <c r="F474" s="75" t="s">
        <v>180</v>
      </c>
      <c r="G474" s="75" t="s">
        <v>396</v>
      </c>
      <c r="H474" s="75"/>
      <c r="I474" s="75" t="s">
        <v>170</v>
      </c>
      <c r="J474" s="76">
        <v>20</v>
      </c>
      <c r="K474" s="519" t="s">
        <v>387</v>
      </c>
      <c r="L474" s="520">
        <v>9</v>
      </c>
      <c r="M474" s="520">
        <v>9.9499999999999993</v>
      </c>
      <c r="N474" s="507">
        <v>0.10299999999999999</v>
      </c>
      <c r="O474" s="507">
        <v>0.1</v>
      </c>
      <c r="P474" s="507">
        <v>0.112</v>
      </c>
      <c r="Q474" s="78">
        <v>0.44</v>
      </c>
      <c r="R474" s="78">
        <v>0.31740000000000002</v>
      </c>
      <c r="S474" s="69">
        <v>2.5000000000000001E-2</v>
      </c>
      <c r="T474" s="69">
        <v>0.01</v>
      </c>
      <c r="U474" s="507">
        <v>0.85</v>
      </c>
      <c r="V474" s="76">
        <v>0</v>
      </c>
      <c r="W474" s="76">
        <v>250.00000000000003</v>
      </c>
      <c r="X474" s="76" t="s">
        <v>147</v>
      </c>
      <c r="Y474" s="519" t="s">
        <v>469</v>
      </c>
    </row>
    <row r="475" spans="1:25" x14ac:dyDescent="0.25">
      <c r="A475" s="75" t="str">
        <f t="shared" si="17"/>
        <v>Adquisicion PFAE No_Premier Normal Mercado_Abierto Pago_Bajo_Puntual Si 15</v>
      </c>
      <c r="B475" s="75" t="str">
        <f t="shared" si="16"/>
        <v>Adquisicion PFAE No_Premier Normal Mercado_Abierto Pago_Bajo_Puntual Si 15 0.103</v>
      </c>
      <c r="C475" s="75" t="s">
        <v>114</v>
      </c>
      <c r="D475" s="75" t="s">
        <v>168</v>
      </c>
      <c r="E475" s="75" t="s">
        <v>179</v>
      </c>
      <c r="F475" s="75" t="s">
        <v>180</v>
      </c>
      <c r="G475" s="75" t="s">
        <v>396</v>
      </c>
      <c r="H475" s="75"/>
      <c r="I475" s="75" t="s">
        <v>170</v>
      </c>
      <c r="J475" s="76">
        <v>15</v>
      </c>
      <c r="K475" s="519" t="s">
        <v>387</v>
      </c>
      <c r="L475" s="520">
        <v>10.119999999999999</v>
      </c>
      <c r="M475" s="520">
        <v>11.07</v>
      </c>
      <c r="N475" s="507">
        <v>0.10299999999999999</v>
      </c>
      <c r="O475" s="507">
        <v>0.1</v>
      </c>
      <c r="P475" s="507">
        <v>0.112</v>
      </c>
      <c r="Q475" s="78">
        <v>0.44</v>
      </c>
      <c r="R475" s="78">
        <v>0.31740000000000002</v>
      </c>
      <c r="S475" s="69">
        <v>2.5000000000000001E-2</v>
      </c>
      <c r="T475" s="69">
        <v>0.01</v>
      </c>
      <c r="U475" s="507">
        <v>0.85</v>
      </c>
      <c r="V475" s="76">
        <v>0</v>
      </c>
      <c r="W475" s="76">
        <v>250.00000000000003</v>
      </c>
      <c r="X475" s="76" t="s">
        <v>147</v>
      </c>
      <c r="Y475" s="519" t="s">
        <v>469</v>
      </c>
    </row>
    <row r="476" spans="1:25" x14ac:dyDescent="0.25">
      <c r="A476" s="75" t="str">
        <f t="shared" si="17"/>
        <v>Adquisicion PFAE No_Premier Normal Mercado_Abierto Pago_Bajo_Puntual Si 10</v>
      </c>
      <c r="B476" s="75" t="str">
        <f t="shared" si="16"/>
        <v>Adquisicion PFAE No_Premier Normal Mercado_Abierto Pago_Bajo_Puntual Si 10 0.103</v>
      </c>
      <c r="C476" s="75" t="s">
        <v>114</v>
      </c>
      <c r="D476" s="75" t="s">
        <v>168</v>
      </c>
      <c r="E476" s="75" t="s">
        <v>179</v>
      </c>
      <c r="F476" s="75" t="s">
        <v>180</v>
      </c>
      <c r="G476" s="75" t="s">
        <v>396</v>
      </c>
      <c r="H476" s="75"/>
      <c r="I476" s="75" t="s">
        <v>170</v>
      </c>
      <c r="J476" s="76">
        <v>10</v>
      </c>
      <c r="K476" s="519" t="s">
        <v>387</v>
      </c>
      <c r="L476" s="520">
        <v>12.62</v>
      </c>
      <c r="M476" s="520">
        <v>13.57</v>
      </c>
      <c r="N476" s="507">
        <v>0.10299999999999999</v>
      </c>
      <c r="O476" s="507">
        <v>0.1</v>
      </c>
      <c r="P476" s="507">
        <v>0.112</v>
      </c>
      <c r="Q476" s="78">
        <v>0.44</v>
      </c>
      <c r="R476" s="78">
        <v>0.31740000000000002</v>
      </c>
      <c r="S476" s="69">
        <v>2.5000000000000001E-2</v>
      </c>
      <c r="T476" s="69">
        <v>0.01</v>
      </c>
      <c r="U476" s="507">
        <v>0.85</v>
      </c>
      <c r="V476" s="76">
        <v>0</v>
      </c>
      <c r="W476" s="76">
        <v>250.00000000000003</v>
      </c>
      <c r="X476" s="76" t="s">
        <v>147</v>
      </c>
      <c r="Y476" s="519" t="s">
        <v>469</v>
      </c>
    </row>
    <row r="477" spans="1:25" x14ac:dyDescent="0.25">
      <c r="A477" s="75" t="str">
        <f t="shared" si="17"/>
        <v>Adquisicion PFAE No_Premier Normal Mercado_Abierto Pago_Bajo_Puntual Si 5</v>
      </c>
      <c r="B477" s="75" t="str">
        <f t="shared" si="16"/>
        <v>Adquisicion PFAE No_Premier Normal Mercado_Abierto Pago_Bajo_Puntual Si 5 0.103</v>
      </c>
      <c r="C477" s="75" t="s">
        <v>114</v>
      </c>
      <c r="D477" s="75" t="s">
        <v>168</v>
      </c>
      <c r="E477" s="75" t="s">
        <v>179</v>
      </c>
      <c r="F477" s="75" t="s">
        <v>180</v>
      </c>
      <c r="G477" s="75" t="s">
        <v>396</v>
      </c>
      <c r="H477" s="75"/>
      <c r="I477" s="75" t="s">
        <v>170</v>
      </c>
      <c r="J477" s="76">
        <v>5</v>
      </c>
      <c r="K477" s="519" t="s">
        <v>387</v>
      </c>
      <c r="L477" s="520">
        <v>20.72</v>
      </c>
      <c r="M477" s="520">
        <v>21.67</v>
      </c>
      <c r="N477" s="507">
        <v>0.10299999999999999</v>
      </c>
      <c r="O477" s="507">
        <v>0.1</v>
      </c>
      <c r="P477" s="507">
        <v>0.112</v>
      </c>
      <c r="Q477" s="78">
        <v>0.44</v>
      </c>
      <c r="R477" s="78">
        <v>0.31740000000000002</v>
      </c>
      <c r="S477" s="69">
        <v>2.5000000000000001E-2</v>
      </c>
      <c r="T477" s="69">
        <v>0.01</v>
      </c>
      <c r="U477" s="507">
        <v>0.85</v>
      </c>
      <c r="V477" s="76">
        <v>0</v>
      </c>
      <c r="W477" s="76">
        <v>250.00000000000003</v>
      </c>
      <c r="X477" s="76" t="s">
        <v>147</v>
      </c>
      <c r="Y477" s="519" t="s">
        <v>469</v>
      </c>
    </row>
    <row r="478" spans="1:25" x14ac:dyDescent="0.25">
      <c r="A478" s="75" t="str">
        <f t="shared" si="17"/>
        <v>Adquisicion PFAE Premier Mercado_Abierto Pago_Fijo_Puntual Si 25</v>
      </c>
      <c r="B478" s="75" t="str">
        <f t="shared" si="16"/>
        <v>Adquisicion PFAE Premier Mercado_Abierto Pago_Fijo_Puntual Si 25 0.103</v>
      </c>
      <c r="C478" s="75" t="s">
        <v>114</v>
      </c>
      <c r="D478" s="75" t="s">
        <v>168</v>
      </c>
      <c r="E478" s="75" t="s">
        <v>143</v>
      </c>
      <c r="F478" s="75"/>
      <c r="G478" s="75" t="s">
        <v>396</v>
      </c>
      <c r="H478" s="75"/>
      <c r="I478" s="75" t="s">
        <v>171</v>
      </c>
      <c r="J478" s="76">
        <v>25</v>
      </c>
      <c r="K478" s="519" t="s">
        <v>387</v>
      </c>
      <c r="L478" s="520">
        <v>9.65</v>
      </c>
      <c r="M478" s="520">
        <v>10.31</v>
      </c>
      <c r="N478" s="507">
        <v>0.10299999999999999</v>
      </c>
      <c r="O478" s="507">
        <v>0.1</v>
      </c>
      <c r="P478" s="507">
        <v>0.112</v>
      </c>
      <c r="Q478" s="78">
        <v>0.44</v>
      </c>
      <c r="R478" s="78">
        <v>0.31740000000000002</v>
      </c>
      <c r="S478" s="69">
        <v>2.5000000000000001E-2</v>
      </c>
      <c r="T478" s="69">
        <v>0.01</v>
      </c>
      <c r="U478" s="507">
        <v>0.85</v>
      </c>
      <c r="V478" s="76">
        <v>0</v>
      </c>
      <c r="W478" s="76">
        <v>0</v>
      </c>
      <c r="X478" s="76" t="s">
        <v>147</v>
      </c>
      <c r="Y478" s="519" t="s">
        <v>469</v>
      </c>
    </row>
    <row r="479" spans="1:25" x14ac:dyDescent="0.25">
      <c r="A479" s="75" t="str">
        <f t="shared" si="17"/>
        <v>Adquisicion PFAE Premier Mercado_Abierto Pago_Fijo_Puntual Si 20</v>
      </c>
      <c r="B479" s="75" t="str">
        <f t="shared" si="16"/>
        <v>Adquisicion PFAE Premier Mercado_Abierto Pago_Fijo_Puntual Si 20 0.103</v>
      </c>
      <c r="C479" s="75" t="s">
        <v>114</v>
      </c>
      <c r="D479" s="75" t="s">
        <v>168</v>
      </c>
      <c r="E479" s="75" t="s">
        <v>143</v>
      </c>
      <c r="F479" s="75"/>
      <c r="G479" s="75" t="s">
        <v>396</v>
      </c>
      <c r="H479" s="75"/>
      <c r="I479" s="75" t="s">
        <v>171</v>
      </c>
      <c r="J479" s="76">
        <v>20</v>
      </c>
      <c r="K479" s="519" t="s">
        <v>387</v>
      </c>
      <c r="L479" s="520">
        <v>10.16</v>
      </c>
      <c r="M479" s="520">
        <v>10.82</v>
      </c>
      <c r="N479" s="507">
        <v>0.10299999999999999</v>
      </c>
      <c r="O479" s="507">
        <v>0.1</v>
      </c>
      <c r="P479" s="507">
        <v>0.112</v>
      </c>
      <c r="Q479" s="78">
        <v>0.44</v>
      </c>
      <c r="R479" s="78">
        <v>0.31740000000000002</v>
      </c>
      <c r="S479" s="69">
        <v>2.5000000000000001E-2</v>
      </c>
      <c r="T479" s="69">
        <v>0.01</v>
      </c>
      <c r="U479" s="507">
        <v>0.85</v>
      </c>
      <c r="V479" s="76">
        <v>0</v>
      </c>
      <c r="W479" s="76">
        <v>0</v>
      </c>
      <c r="X479" s="76" t="s">
        <v>147</v>
      </c>
      <c r="Y479" s="519" t="s">
        <v>469</v>
      </c>
    </row>
    <row r="480" spans="1:25" x14ac:dyDescent="0.25">
      <c r="A480" s="75" t="str">
        <f t="shared" si="17"/>
        <v>Adquisicion PFAE Premier Mercado_Abierto Pago_Fijo_Puntual Si 15</v>
      </c>
      <c r="B480" s="75" t="str">
        <f t="shared" si="16"/>
        <v>Adquisicion PFAE Premier Mercado_Abierto Pago_Fijo_Puntual Si 15 0.103</v>
      </c>
      <c r="C480" s="75" t="s">
        <v>114</v>
      </c>
      <c r="D480" s="75" t="s">
        <v>168</v>
      </c>
      <c r="E480" s="75" t="s">
        <v>143</v>
      </c>
      <c r="F480" s="75"/>
      <c r="G480" s="75" t="s">
        <v>396</v>
      </c>
      <c r="H480" s="75"/>
      <c r="I480" s="75" t="s">
        <v>171</v>
      </c>
      <c r="J480" s="76">
        <v>15</v>
      </c>
      <c r="K480" s="519" t="s">
        <v>387</v>
      </c>
      <c r="L480" s="520">
        <v>11.18</v>
      </c>
      <c r="M480" s="520">
        <v>11.84</v>
      </c>
      <c r="N480" s="507">
        <v>0.10299999999999999</v>
      </c>
      <c r="O480" s="507">
        <v>0.1</v>
      </c>
      <c r="P480" s="507">
        <v>0.112</v>
      </c>
      <c r="Q480" s="78">
        <v>0.44</v>
      </c>
      <c r="R480" s="78">
        <v>0.31740000000000002</v>
      </c>
      <c r="S480" s="69">
        <v>2.5000000000000001E-2</v>
      </c>
      <c r="T480" s="69">
        <v>0.01</v>
      </c>
      <c r="U480" s="507">
        <v>0.85</v>
      </c>
      <c r="V480" s="76">
        <v>0</v>
      </c>
      <c r="W480" s="76">
        <v>0</v>
      </c>
      <c r="X480" s="76" t="s">
        <v>147</v>
      </c>
      <c r="Y480" s="519" t="s">
        <v>469</v>
      </c>
    </row>
    <row r="481" spans="1:25" x14ac:dyDescent="0.25">
      <c r="A481" s="75" t="str">
        <f t="shared" si="17"/>
        <v>Adquisicion PFAE Premier Mercado_Abierto Pago_Fijo_Puntual Si 10</v>
      </c>
      <c r="B481" s="75" t="str">
        <f t="shared" si="16"/>
        <v>Adquisicion PFAE Premier Mercado_Abierto Pago_Fijo_Puntual Si 10 0.103</v>
      </c>
      <c r="C481" s="75" t="s">
        <v>114</v>
      </c>
      <c r="D481" s="75" t="s">
        <v>168</v>
      </c>
      <c r="E481" s="75" t="s">
        <v>143</v>
      </c>
      <c r="F481" s="75"/>
      <c r="G481" s="75" t="s">
        <v>396</v>
      </c>
      <c r="H481" s="75"/>
      <c r="I481" s="75" t="s">
        <v>171</v>
      </c>
      <c r="J481" s="76">
        <v>10</v>
      </c>
      <c r="K481" s="519" t="s">
        <v>387</v>
      </c>
      <c r="L481" s="520">
        <v>13.54</v>
      </c>
      <c r="M481" s="520">
        <v>14.2</v>
      </c>
      <c r="N481" s="507">
        <v>0.10299999999999999</v>
      </c>
      <c r="O481" s="507">
        <v>0.1</v>
      </c>
      <c r="P481" s="507">
        <v>0.112</v>
      </c>
      <c r="Q481" s="78">
        <v>0.44</v>
      </c>
      <c r="R481" s="78">
        <v>0.31740000000000002</v>
      </c>
      <c r="S481" s="69">
        <v>2.5000000000000001E-2</v>
      </c>
      <c r="T481" s="69">
        <v>0.01</v>
      </c>
      <c r="U481" s="507">
        <v>0.85</v>
      </c>
      <c r="V481" s="76">
        <v>0</v>
      </c>
      <c r="W481" s="76">
        <v>0</v>
      </c>
      <c r="X481" s="76" t="s">
        <v>147</v>
      </c>
      <c r="Y481" s="519" t="s">
        <v>469</v>
      </c>
    </row>
    <row r="482" spans="1:25" x14ac:dyDescent="0.25">
      <c r="A482" s="75" t="str">
        <f t="shared" si="17"/>
        <v>Adquisicion PFAE Premier Mercado_Abierto Pago_Fijo_Puntual Si 5</v>
      </c>
      <c r="B482" s="75" t="str">
        <f t="shared" si="16"/>
        <v>Adquisicion PFAE Premier Mercado_Abierto Pago_Fijo_Puntual Si 5 0.103</v>
      </c>
      <c r="C482" s="75" t="s">
        <v>114</v>
      </c>
      <c r="D482" s="75" t="s">
        <v>168</v>
      </c>
      <c r="E482" s="75" t="s">
        <v>143</v>
      </c>
      <c r="F482" s="75"/>
      <c r="G482" s="75" t="s">
        <v>396</v>
      </c>
      <c r="H482" s="75"/>
      <c r="I482" s="75" t="s">
        <v>171</v>
      </c>
      <c r="J482" s="76">
        <v>5</v>
      </c>
      <c r="K482" s="519" t="s">
        <v>387</v>
      </c>
      <c r="L482" s="520">
        <v>21.44</v>
      </c>
      <c r="M482" s="520">
        <v>22.1</v>
      </c>
      <c r="N482" s="507">
        <v>0.10299999999999999</v>
      </c>
      <c r="O482" s="507">
        <v>0.1</v>
      </c>
      <c r="P482" s="507">
        <v>0.112</v>
      </c>
      <c r="Q482" s="78">
        <v>0.44</v>
      </c>
      <c r="R482" s="78">
        <v>0.31740000000000002</v>
      </c>
      <c r="S482" s="69">
        <v>2.5000000000000001E-2</v>
      </c>
      <c r="T482" s="69">
        <v>0.01</v>
      </c>
      <c r="U482" s="507">
        <v>0.85</v>
      </c>
      <c r="V482" s="76">
        <v>0</v>
      </c>
      <c r="W482" s="76">
        <v>0</v>
      </c>
      <c r="X482" s="76" t="s">
        <v>147</v>
      </c>
      <c r="Y482" s="519" t="s">
        <v>469</v>
      </c>
    </row>
    <row r="483" spans="1:25" x14ac:dyDescent="0.25">
      <c r="A483" s="75" t="str">
        <f t="shared" si="17"/>
        <v>Adquisicion PFAE Premier Mercado_Abierto Pago_Bajo_Puntual Si 25</v>
      </c>
      <c r="B483" s="75" t="str">
        <f t="shared" si="16"/>
        <v>Adquisicion PFAE Premier Mercado_Abierto Pago_Bajo_Puntual Si 25 0.103</v>
      </c>
      <c r="C483" s="75" t="s">
        <v>114</v>
      </c>
      <c r="D483" s="75" t="s">
        <v>168</v>
      </c>
      <c r="E483" s="75" t="s">
        <v>143</v>
      </c>
      <c r="F483" s="75"/>
      <c r="G483" s="75" t="s">
        <v>396</v>
      </c>
      <c r="H483" s="75"/>
      <c r="I483" s="75" t="s">
        <v>170</v>
      </c>
      <c r="J483" s="523">
        <v>25</v>
      </c>
      <c r="K483" s="519" t="s">
        <v>387</v>
      </c>
      <c r="L483" s="525">
        <v>8.64</v>
      </c>
      <c r="M483" s="525">
        <v>9.3000000000000007</v>
      </c>
      <c r="N483" s="507">
        <v>0.10299999999999999</v>
      </c>
      <c r="O483" s="507">
        <v>0.1</v>
      </c>
      <c r="P483" s="507">
        <v>0.112</v>
      </c>
      <c r="Q483" s="78">
        <v>0.44</v>
      </c>
      <c r="R483" s="78">
        <v>0.31740000000000002</v>
      </c>
      <c r="S483" s="69">
        <v>2.5000000000000001E-2</v>
      </c>
      <c r="T483" s="69">
        <v>0.01</v>
      </c>
      <c r="U483" s="507">
        <v>0.85</v>
      </c>
      <c r="V483" s="76">
        <v>0</v>
      </c>
      <c r="W483" s="76">
        <v>0</v>
      </c>
      <c r="X483" s="76" t="s">
        <v>147</v>
      </c>
      <c r="Y483" s="519" t="s">
        <v>469</v>
      </c>
    </row>
    <row r="484" spans="1:25" x14ac:dyDescent="0.25">
      <c r="A484" s="75" t="str">
        <f t="shared" si="17"/>
        <v>Adquisicion PFAE Premier Mercado_Abierto Pago_Bajo_Puntual Si 20</v>
      </c>
      <c r="B484" s="75" t="str">
        <f t="shared" si="16"/>
        <v>Adquisicion PFAE Premier Mercado_Abierto Pago_Bajo_Puntual Si 20 0.103</v>
      </c>
      <c r="C484" s="75" t="s">
        <v>114</v>
      </c>
      <c r="D484" s="75" t="s">
        <v>168</v>
      </c>
      <c r="E484" s="75" t="s">
        <v>143</v>
      </c>
      <c r="F484" s="75"/>
      <c r="G484" s="75" t="s">
        <v>396</v>
      </c>
      <c r="H484" s="75"/>
      <c r="I484" s="75" t="s">
        <v>170</v>
      </c>
      <c r="J484" s="76">
        <v>20</v>
      </c>
      <c r="K484" s="519" t="s">
        <v>387</v>
      </c>
      <c r="L484" s="520">
        <v>9</v>
      </c>
      <c r="M484" s="520">
        <v>9.66</v>
      </c>
      <c r="N484" s="507">
        <v>0.10299999999999999</v>
      </c>
      <c r="O484" s="507">
        <v>0.1</v>
      </c>
      <c r="P484" s="507">
        <v>0.112</v>
      </c>
      <c r="Q484" s="78">
        <v>0.44</v>
      </c>
      <c r="R484" s="78">
        <v>0.31740000000000002</v>
      </c>
      <c r="S484" s="69">
        <v>2.5000000000000001E-2</v>
      </c>
      <c r="T484" s="69">
        <v>0.01</v>
      </c>
      <c r="U484" s="507">
        <v>0.85</v>
      </c>
      <c r="V484" s="76">
        <v>0</v>
      </c>
      <c r="W484" s="76">
        <v>0</v>
      </c>
      <c r="X484" s="76" t="s">
        <v>147</v>
      </c>
      <c r="Y484" s="519" t="s">
        <v>469</v>
      </c>
    </row>
    <row r="485" spans="1:25" x14ac:dyDescent="0.25">
      <c r="A485" s="75" t="str">
        <f t="shared" si="17"/>
        <v>Adquisicion PFAE Premier Mercado_Abierto Pago_Bajo_Puntual Si 15</v>
      </c>
      <c r="B485" s="75" t="str">
        <f t="shared" si="16"/>
        <v>Adquisicion PFAE Premier Mercado_Abierto Pago_Bajo_Puntual Si 15 0.103</v>
      </c>
      <c r="C485" s="75" t="s">
        <v>114</v>
      </c>
      <c r="D485" s="75" t="s">
        <v>168</v>
      </c>
      <c r="E485" s="75" t="s">
        <v>143</v>
      </c>
      <c r="F485" s="75"/>
      <c r="G485" s="75" t="s">
        <v>396</v>
      </c>
      <c r="H485" s="75"/>
      <c r="I485" s="75" t="s">
        <v>170</v>
      </c>
      <c r="J485" s="76">
        <v>15</v>
      </c>
      <c r="K485" s="519" t="s">
        <v>387</v>
      </c>
      <c r="L485" s="520">
        <v>10.119999999999999</v>
      </c>
      <c r="M485" s="520">
        <v>10.78</v>
      </c>
      <c r="N485" s="507">
        <v>0.10299999999999999</v>
      </c>
      <c r="O485" s="507">
        <v>0.1</v>
      </c>
      <c r="P485" s="507">
        <v>0.112</v>
      </c>
      <c r="Q485" s="78">
        <v>0.44</v>
      </c>
      <c r="R485" s="78">
        <v>0.31740000000000002</v>
      </c>
      <c r="S485" s="69">
        <v>2.5000000000000001E-2</v>
      </c>
      <c r="T485" s="69">
        <v>0.01</v>
      </c>
      <c r="U485" s="507">
        <v>0.85</v>
      </c>
      <c r="V485" s="76">
        <v>0</v>
      </c>
      <c r="W485" s="76">
        <v>0</v>
      </c>
      <c r="X485" s="76" t="s">
        <v>147</v>
      </c>
      <c r="Y485" s="519" t="s">
        <v>469</v>
      </c>
    </row>
    <row r="486" spans="1:25" x14ac:dyDescent="0.25">
      <c r="A486" s="75" t="str">
        <f t="shared" si="17"/>
        <v>Adquisicion PFAE Premier Mercado_Abierto Pago_Bajo_Puntual Si 10</v>
      </c>
      <c r="B486" s="75" t="str">
        <f t="shared" si="16"/>
        <v>Adquisicion PFAE Premier Mercado_Abierto Pago_Bajo_Puntual Si 10 0.103</v>
      </c>
      <c r="C486" s="75" t="s">
        <v>114</v>
      </c>
      <c r="D486" s="75" t="s">
        <v>168</v>
      </c>
      <c r="E486" s="75" t="s">
        <v>143</v>
      </c>
      <c r="F486" s="75"/>
      <c r="G486" s="75" t="s">
        <v>396</v>
      </c>
      <c r="H486" s="75"/>
      <c r="I486" s="75" t="s">
        <v>170</v>
      </c>
      <c r="J486" s="76">
        <v>10</v>
      </c>
      <c r="K486" s="519" t="s">
        <v>387</v>
      </c>
      <c r="L486" s="520">
        <v>12.62</v>
      </c>
      <c r="M486" s="520">
        <v>13.28</v>
      </c>
      <c r="N486" s="507">
        <v>0.10299999999999999</v>
      </c>
      <c r="O486" s="507">
        <v>0.1</v>
      </c>
      <c r="P486" s="507">
        <v>0.112</v>
      </c>
      <c r="Q486" s="78">
        <v>0.44</v>
      </c>
      <c r="R486" s="78">
        <v>0.31740000000000002</v>
      </c>
      <c r="S486" s="69">
        <v>2.5000000000000001E-2</v>
      </c>
      <c r="T486" s="69">
        <v>0.01</v>
      </c>
      <c r="U486" s="507">
        <v>0.85</v>
      </c>
      <c r="V486" s="76">
        <v>0</v>
      </c>
      <c r="W486" s="76">
        <v>0</v>
      </c>
      <c r="X486" s="76" t="s">
        <v>147</v>
      </c>
      <c r="Y486" s="519" t="s">
        <v>469</v>
      </c>
    </row>
    <row r="487" spans="1:25" x14ac:dyDescent="0.25">
      <c r="A487" s="75" t="str">
        <f t="shared" si="17"/>
        <v>Adquisicion PFAE Premier Mercado_Abierto Pago_Bajo_Puntual Si 5</v>
      </c>
      <c r="B487" s="75" t="str">
        <f t="shared" si="16"/>
        <v>Adquisicion PFAE Premier Mercado_Abierto Pago_Bajo_Puntual Si 5 0.103</v>
      </c>
      <c r="C487" s="75" t="s">
        <v>114</v>
      </c>
      <c r="D487" s="75" t="s">
        <v>168</v>
      </c>
      <c r="E487" s="75" t="s">
        <v>143</v>
      </c>
      <c r="F487" s="75"/>
      <c r="G487" s="75" t="s">
        <v>396</v>
      </c>
      <c r="H487" s="75"/>
      <c r="I487" s="75" t="s">
        <v>170</v>
      </c>
      <c r="J487" s="76">
        <v>5</v>
      </c>
      <c r="K487" s="519" t="s">
        <v>387</v>
      </c>
      <c r="L487" s="520">
        <v>20.72</v>
      </c>
      <c r="M487" s="520">
        <v>21.38</v>
      </c>
      <c r="N487" s="507">
        <v>0.10299999999999999</v>
      </c>
      <c r="O487" s="507">
        <v>0.1</v>
      </c>
      <c r="P487" s="507">
        <v>0.112</v>
      </c>
      <c r="Q487" s="78">
        <v>0.44</v>
      </c>
      <c r="R487" s="78">
        <v>0.31740000000000002</v>
      </c>
      <c r="S487" s="69">
        <v>2.5000000000000001E-2</v>
      </c>
      <c r="T487" s="69">
        <v>0.01</v>
      </c>
      <c r="U487" s="507">
        <v>0.85</v>
      </c>
      <c r="V487" s="76">
        <v>0</v>
      </c>
      <c r="W487" s="76">
        <v>0</v>
      </c>
      <c r="X487" s="76" t="s">
        <v>147</v>
      </c>
      <c r="Y487" s="519" t="s">
        <v>469</v>
      </c>
    </row>
    <row r="488" spans="1:25" x14ac:dyDescent="0.25">
      <c r="A488" s="75" t="str">
        <f t="shared" si="17"/>
        <v>Adquisicion PROF No_Premier Normal Mercado_Abierto Pago_Fijo_Puntual Si 20</v>
      </c>
      <c r="B488" s="75" t="str">
        <f t="shared" si="16"/>
        <v>Adquisicion PROF No_Premier Normal Mercado_Abierto Pago_Fijo_Puntual Si 20 0.103</v>
      </c>
      <c r="C488" s="75" t="s">
        <v>114</v>
      </c>
      <c r="D488" s="75" t="s">
        <v>169</v>
      </c>
      <c r="E488" s="75" t="s">
        <v>179</v>
      </c>
      <c r="F488" s="75" t="s">
        <v>180</v>
      </c>
      <c r="G488" s="75" t="s">
        <v>396</v>
      </c>
      <c r="H488" s="75"/>
      <c r="I488" s="75" t="s">
        <v>171</v>
      </c>
      <c r="J488" s="76">
        <v>20</v>
      </c>
      <c r="K488" s="519" t="s">
        <v>387</v>
      </c>
      <c r="L488" s="520">
        <v>10.16</v>
      </c>
      <c r="M488" s="520">
        <v>11.11</v>
      </c>
      <c r="N488" s="507">
        <v>0.10299999999999999</v>
      </c>
      <c r="O488" s="507">
        <v>0.1</v>
      </c>
      <c r="P488" s="507">
        <v>0.112</v>
      </c>
      <c r="Q488" s="78">
        <v>0.44</v>
      </c>
      <c r="R488" s="78">
        <v>0.31740000000000002</v>
      </c>
      <c r="S488" s="69">
        <v>2.5000000000000001E-2</v>
      </c>
      <c r="T488" s="69">
        <v>0.01</v>
      </c>
      <c r="U488" s="507">
        <v>0.85</v>
      </c>
      <c r="V488" s="76">
        <v>0</v>
      </c>
      <c r="W488" s="76">
        <v>250.00000000000003</v>
      </c>
      <c r="X488" s="76" t="s">
        <v>147</v>
      </c>
      <c r="Y488" s="519" t="s">
        <v>469</v>
      </c>
    </row>
    <row r="489" spans="1:25" x14ac:dyDescent="0.25">
      <c r="A489" s="75" t="str">
        <f t="shared" si="17"/>
        <v>Adquisicion PROF No_Premier Normal Mercado_Abierto Pago_Fijo_Puntual Si 15</v>
      </c>
      <c r="B489" s="75" t="str">
        <f t="shared" si="16"/>
        <v>Adquisicion PROF No_Premier Normal Mercado_Abierto Pago_Fijo_Puntual Si 15 0.103</v>
      </c>
      <c r="C489" s="75" t="s">
        <v>114</v>
      </c>
      <c r="D489" s="75" t="s">
        <v>169</v>
      </c>
      <c r="E489" s="75" t="s">
        <v>179</v>
      </c>
      <c r="F489" s="75" t="s">
        <v>180</v>
      </c>
      <c r="G489" s="75" t="s">
        <v>396</v>
      </c>
      <c r="H489" s="75"/>
      <c r="I489" s="75" t="s">
        <v>171</v>
      </c>
      <c r="J489" s="76">
        <v>15</v>
      </c>
      <c r="K489" s="519" t="s">
        <v>387</v>
      </c>
      <c r="L489" s="520">
        <v>11.18</v>
      </c>
      <c r="M489" s="520">
        <v>12.13</v>
      </c>
      <c r="N489" s="507">
        <v>0.10299999999999999</v>
      </c>
      <c r="O489" s="507">
        <v>0.1</v>
      </c>
      <c r="P489" s="507">
        <v>0.112</v>
      </c>
      <c r="Q489" s="78">
        <v>0.44</v>
      </c>
      <c r="R489" s="78">
        <v>0.31740000000000002</v>
      </c>
      <c r="S489" s="69">
        <v>2.5000000000000001E-2</v>
      </c>
      <c r="T489" s="69">
        <v>0.01</v>
      </c>
      <c r="U489" s="507">
        <v>0.85</v>
      </c>
      <c r="V489" s="76">
        <v>0</v>
      </c>
      <c r="W489" s="76">
        <v>250.00000000000003</v>
      </c>
      <c r="X489" s="76" t="s">
        <v>147</v>
      </c>
      <c r="Y489" s="519" t="s">
        <v>469</v>
      </c>
    </row>
    <row r="490" spans="1:25" x14ac:dyDescent="0.25">
      <c r="A490" s="75" t="str">
        <f t="shared" si="17"/>
        <v>Adquisicion PROF No_Premier Normal Mercado_Abierto Pago_Fijo_Puntual Si 10</v>
      </c>
      <c r="B490" s="75" t="str">
        <f t="shared" si="16"/>
        <v>Adquisicion PROF No_Premier Normal Mercado_Abierto Pago_Fijo_Puntual Si 10 0.103</v>
      </c>
      <c r="C490" s="75" t="s">
        <v>114</v>
      </c>
      <c r="D490" s="75" t="s">
        <v>169</v>
      </c>
      <c r="E490" s="75" t="s">
        <v>179</v>
      </c>
      <c r="F490" s="75" t="s">
        <v>180</v>
      </c>
      <c r="G490" s="75" t="s">
        <v>396</v>
      </c>
      <c r="H490" s="75"/>
      <c r="I490" s="75" t="s">
        <v>171</v>
      </c>
      <c r="J490" s="76">
        <v>10</v>
      </c>
      <c r="K490" s="519" t="s">
        <v>387</v>
      </c>
      <c r="L490" s="520">
        <v>13.54</v>
      </c>
      <c r="M490" s="520">
        <v>14.49</v>
      </c>
      <c r="N490" s="507">
        <v>0.10299999999999999</v>
      </c>
      <c r="O490" s="507">
        <v>0.1</v>
      </c>
      <c r="P490" s="507">
        <v>0.112</v>
      </c>
      <c r="Q490" s="78">
        <v>0.44</v>
      </c>
      <c r="R490" s="78">
        <v>0.31740000000000002</v>
      </c>
      <c r="S490" s="69">
        <v>2.5000000000000001E-2</v>
      </c>
      <c r="T490" s="69">
        <v>0.01</v>
      </c>
      <c r="U490" s="507">
        <v>0.85</v>
      </c>
      <c r="V490" s="76">
        <v>0</v>
      </c>
      <c r="W490" s="76">
        <v>250.00000000000003</v>
      </c>
      <c r="X490" s="76" t="s">
        <v>147</v>
      </c>
      <c r="Y490" s="519" t="s">
        <v>469</v>
      </c>
    </row>
    <row r="491" spans="1:25" x14ac:dyDescent="0.25">
      <c r="A491" s="75" t="str">
        <f t="shared" si="17"/>
        <v>Adquisicion PROF No_Premier Normal Mercado_Abierto Pago_Fijo_Puntual Si 5</v>
      </c>
      <c r="B491" s="75" t="str">
        <f t="shared" si="16"/>
        <v>Adquisicion PROF No_Premier Normal Mercado_Abierto Pago_Fijo_Puntual Si 5 0.103</v>
      </c>
      <c r="C491" s="75" t="s">
        <v>114</v>
      </c>
      <c r="D491" s="75" t="s">
        <v>169</v>
      </c>
      <c r="E491" s="75" t="s">
        <v>179</v>
      </c>
      <c r="F491" s="75" t="s">
        <v>180</v>
      </c>
      <c r="G491" s="75" t="s">
        <v>396</v>
      </c>
      <c r="H491" s="75"/>
      <c r="I491" s="75" t="s">
        <v>171</v>
      </c>
      <c r="J491" s="76">
        <v>5</v>
      </c>
      <c r="K491" s="519" t="s">
        <v>387</v>
      </c>
      <c r="L491" s="520">
        <v>21.44</v>
      </c>
      <c r="M491" s="520">
        <v>22.39</v>
      </c>
      <c r="N491" s="507">
        <v>0.10299999999999999</v>
      </c>
      <c r="O491" s="507">
        <v>0.1</v>
      </c>
      <c r="P491" s="507">
        <v>0.112</v>
      </c>
      <c r="Q491" s="78">
        <v>0.44</v>
      </c>
      <c r="R491" s="78">
        <v>0.31740000000000002</v>
      </c>
      <c r="S491" s="69">
        <v>2.5000000000000001E-2</v>
      </c>
      <c r="T491" s="69">
        <v>0.01</v>
      </c>
      <c r="U491" s="507">
        <v>0.85</v>
      </c>
      <c r="V491" s="76">
        <v>0</v>
      </c>
      <c r="W491" s="76">
        <v>250.00000000000003</v>
      </c>
      <c r="X491" s="76" t="s">
        <v>147</v>
      </c>
      <c r="Y491" s="519" t="s">
        <v>469</v>
      </c>
    </row>
    <row r="492" spans="1:25" x14ac:dyDescent="0.25">
      <c r="A492" s="75" t="str">
        <f t="shared" si="17"/>
        <v>Adquisicion PROF No_Premier Normal Mercado_Abierto Pago_Bajo_Puntual Si 20</v>
      </c>
      <c r="B492" s="75" t="str">
        <f t="shared" ref="B492:B539" si="18">CONCATENATE(A492," ",N492)</f>
        <v>Adquisicion PROF No_Premier Normal Mercado_Abierto Pago_Bajo_Puntual Si 20 0.103</v>
      </c>
      <c r="C492" s="75" t="s">
        <v>114</v>
      </c>
      <c r="D492" s="75" t="s">
        <v>169</v>
      </c>
      <c r="E492" s="75" t="s">
        <v>179</v>
      </c>
      <c r="F492" s="75" t="s">
        <v>180</v>
      </c>
      <c r="G492" s="75" t="s">
        <v>396</v>
      </c>
      <c r="H492" s="75"/>
      <c r="I492" s="75" t="s">
        <v>170</v>
      </c>
      <c r="J492" s="76">
        <v>20</v>
      </c>
      <c r="K492" s="519" t="s">
        <v>387</v>
      </c>
      <c r="L492" s="520">
        <v>9</v>
      </c>
      <c r="M492" s="520">
        <v>9.9499999999999993</v>
      </c>
      <c r="N492" s="507">
        <v>0.10299999999999999</v>
      </c>
      <c r="O492" s="507">
        <v>0.1</v>
      </c>
      <c r="P492" s="507">
        <v>0.112</v>
      </c>
      <c r="Q492" s="78">
        <v>0.44</v>
      </c>
      <c r="R492" s="78">
        <v>0.31740000000000002</v>
      </c>
      <c r="S492" s="69">
        <v>2.5000000000000001E-2</v>
      </c>
      <c r="T492" s="69">
        <v>0.01</v>
      </c>
      <c r="U492" s="507">
        <v>0.85</v>
      </c>
      <c r="V492" s="76">
        <v>0</v>
      </c>
      <c r="W492" s="76">
        <v>250.00000000000003</v>
      </c>
      <c r="X492" s="76" t="s">
        <v>147</v>
      </c>
      <c r="Y492" s="519" t="s">
        <v>469</v>
      </c>
    </row>
    <row r="493" spans="1:25" x14ac:dyDescent="0.25">
      <c r="A493" s="75" t="str">
        <f t="shared" ref="A493:A540" si="19">TRIM(CONCATENATE(C493," ",D493," ",E493," ",F493," ",G493," ",I493," ",X493," ",J493))</f>
        <v>Adquisicion PROF No_Premier Normal Mercado_Abierto Pago_Bajo_Puntual Si 15</v>
      </c>
      <c r="B493" s="75" t="str">
        <f t="shared" si="18"/>
        <v>Adquisicion PROF No_Premier Normal Mercado_Abierto Pago_Bajo_Puntual Si 15 0.103</v>
      </c>
      <c r="C493" s="75" t="s">
        <v>114</v>
      </c>
      <c r="D493" s="75" t="s">
        <v>169</v>
      </c>
      <c r="E493" s="75" t="s">
        <v>179</v>
      </c>
      <c r="F493" s="75" t="s">
        <v>180</v>
      </c>
      <c r="G493" s="75" t="s">
        <v>396</v>
      </c>
      <c r="H493" s="75"/>
      <c r="I493" s="75" t="s">
        <v>170</v>
      </c>
      <c r="J493" s="76">
        <v>15</v>
      </c>
      <c r="K493" s="519" t="s">
        <v>387</v>
      </c>
      <c r="L493" s="520">
        <v>10.119999999999999</v>
      </c>
      <c r="M493" s="520">
        <v>11.07</v>
      </c>
      <c r="N493" s="507">
        <v>0.10299999999999999</v>
      </c>
      <c r="O493" s="507">
        <v>0.1</v>
      </c>
      <c r="P493" s="507">
        <v>0.112</v>
      </c>
      <c r="Q493" s="78">
        <v>0.44</v>
      </c>
      <c r="R493" s="78">
        <v>0.31740000000000002</v>
      </c>
      <c r="S493" s="69">
        <v>2.5000000000000001E-2</v>
      </c>
      <c r="T493" s="69">
        <v>0.01</v>
      </c>
      <c r="U493" s="507">
        <v>0.85</v>
      </c>
      <c r="V493" s="76">
        <v>0</v>
      </c>
      <c r="W493" s="76">
        <v>250.00000000000003</v>
      </c>
      <c r="X493" s="76" t="s">
        <v>147</v>
      </c>
      <c r="Y493" s="519" t="s">
        <v>469</v>
      </c>
    </row>
    <row r="494" spans="1:25" x14ac:dyDescent="0.25">
      <c r="A494" s="75" t="str">
        <f t="shared" si="19"/>
        <v>Adquisicion PROF No_Premier Normal Mercado_Abierto Pago_Bajo_Puntual Si 10</v>
      </c>
      <c r="B494" s="75" t="str">
        <f t="shared" si="18"/>
        <v>Adquisicion PROF No_Premier Normal Mercado_Abierto Pago_Bajo_Puntual Si 10 0.103</v>
      </c>
      <c r="C494" s="75" t="s">
        <v>114</v>
      </c>
      <c r="D494" s="75" t="s">
        <v>169</v>
      </c>
      <c r="E494" s="75" t="s">
        <v>179</v>
      </c>
      <c r="F494" s="75" t="s">
        <v>180</v>
      </c>
      <c r="G494" s="75" t="s">
        <v>396</v>
      </c>
      <c r="H494" s="75"/>
      <c r="I494" s="75" t="s">
        <v>170</v>
      </c>
      <c r="J494" s="76">
        <v>10</v>
      </c>
      <c r="K494" s="519" t="s">
        <v>387</v>
      </c>
      <c r="L494" s="520">
        <v>12.62</v>
      </c>
      <c r="M494" s="520">
        <v>13.57</v>
      </c>
      <c r="N494" s="507">
        <v>0.10299999999999999</v>
      </c>
      <c r="O494" s="507">
        <v>0.1</v>
      </c>
      <c r="P494" s="507">
        <v>0.112</v>
      </c>
      <c r="Q494" s="78">
        <v>0.44</v>
      </c>
      <c r="R494" s="78">
        <v>0.31740000000000002</v>
      </c>
      <c r="S494" s="69">
        <v>2.5000000000000001E-2</v>
      </c>
      <c r="T494" s="69">
        <v>0.01</v>
      </c>
      <c r="U494" s="507">
        <v>0.85</v>
      </c>
      <c r="V494" s="76">
        <v>0</v>
      </c>
      <c r="W494" s="76">
        <v>250.00000000000003</v>
      </c>
      <c r="X494" s="76" t="s">
        <v>147</v>
      </c>
      <c r="Y494" s="519" t="s">
        <v>469</v>
      </c>
    </row>
    <row r="495" spans="1:25" x14ac:dyDescent="0.25">
      <c r="A495" s="75" t="str">
        <f t="shared" si="19"/>
        <v>Adquisicion PROF No_Premier Normal Mercado_Abierto Pago_Bajo_Puntual Si 5</v>
      </c>
      <c r="B495" s="75" t="str">
        <f t="shared" si="18"/>
        <v>Adquisicion PROF No_Premier Normal Mercado_Abierto Pago_Bajo_Puntual Si 5 0.103</v>
      </c>
      <c r="C495" s="75" t="s">
        <v>114</v>
      </c>
      <c r="D495" s="75" t="s">
        <v>169</v>
      </c>
      <c r="E495" s="75" t="s">
        <v>179</v>
      </c>
      <c r="F495" s="75" t="s">
        <v>180</v>
      </c>
      <c r="G495" s="75" t="s">
        <v>396</v>
      </c>
      <c r="H495" s="75"/>
      <c r="I495" s="75" t="s">
        <v>170</v>
      </c>
      <c r="J495" s="76">
        <v>5</v>
      </c>
      <c r="K495" s="519" t="s">
        <v>387</v>
      </c>
      <c r="L495" s="520">
        <v>20.72</v>
      </c>
      <c r="M495" s="520">
        <v>21.67</v>
      </c>
      <c r="N495" s="507">
        <v>0.10299999999999999</v>
      </c>
      <c r="O495" s="507">
        <v>0.1</v>
      </c>
      <c r="P495" s="507">
        <v>0.112</v>
      </c>
      <c r="Q495" s="78">
        <v>0.44</v>
      </c>
      <c r="R495" s="78">
        <v>0.31740000000000002</v>
      </c>
      <c r="S495" s="69">
        <v>2.5000000000000001E-2</v>
      </c>
      <c r="T495" s="69">
        <v>0.01</v>
      </c>
      <c r="U495" s="507">
        <v>0.85</v>
      </c>
      <c r="V495" s="76">
        <v>0</v>
      </c>
      <c r="W495" s="76">
        <v>250.00000000000003</v>
      </c>
      <c r="X495" s="76" t="s">
        <v>147</v>
      </c>
      <c r="Y495" s="519" t="s">
        <v>469</v>
      </c>
    </row>
    <row r="496" spans="1:25" x14ac:dyDescent="0.25">
      <c r="A496" s="75" t="str">
        <f t="shared" si="19"/>
        <v>Adquisicion PROF Premier Mercado_Abierto Pago_Fijo_Puntual Si 25</v>
      </c>
      <c r="B496" s="75" t="str">
        <f t="shared" si="18"/>
        <v>Adquisicion PROF Premier Mercado_Abierto Pago_Fijo_Puntual Si 25 0.103</v>
      </c>
      <c r="C496" s="75" t="s">
        <v>114</v>
      </c>
      <c r="D496" s="75" t="s">
        <v>169</v>
      </c>
      <c r="E496" s="75" t="s">
        <v>143</v>
      </c>
      <c r="F496" s="75"/>
      <c r="G496" s="75" t="s">
        <v>396</v>
      </c>
      <c r="H496" s="75"/>
      <c r="I496" s="75" t="s">
        <v>171</v>
      </c>
      <c r="J496" s="76">
        <v>25</v>
      </c>
      <c r="K496" s="519" t="s">
        <v>387</v>
      </c>
      <c r="L496" s="520">
        <v>9.65</v>
      </c>
      <c r="M496" s="520">
        <v>10.31</v>
      </c>
      <c r="N496" s="507">
        <v>0.10299999999999999</v>
      </c>
      <c r="O496" s="507">
        <v>0.1</v>
      </c>
      <c r="P496" s="507">
        <v>0.112</v>
      </c>
      <c r="Q496" s="78">
        <v>0.44</v>
      </c>
      <c r="R496" s="78">
        <v>0.31740000000000002</v>
      </c>
      <c r="S496" s="69">
        <v>2.5000000000000001E-2</v>
      </c>
      <c r="T496" s="69">
        <v>0.01</v>
      </c>
      <c r="U496" s="507">
        <v>0.85</v>
      </c>
      <c r="V496" s="76">
        <v>0</v>
      </c>
      <c r="W496" s="76">
        <v>0</v>
      </c>
      <c r="X496" s="76" t="s">
        <v>147</v>
      </c>
      <c r="Y496" s="519" t="s">
        <v>469</v>
      </c>
    </row>
    <row r="497" spans="1:25" x14ac:dyDescent="0.25">
      <c r="A497" s="75" t="str">
        <f t="shared" si="19"/>
        <v>Adquisicion PROF Premier Mercado_Abierto Pago_Fijo_Puntual Si 20</v>
      </c>
      <c r="B497" s="75" t="str">
        <f t="shared" si="18"/>
        <v>Adquisicion PROF Premier Mercado_Abierto Pago_Fijo_Puntual Si 20 0.103</v>
      </c>
      <c r="C497" s="75" t="s">
        <v>114</v>
      </c>
      <c r="D497" s="75" t="s">
        <v>169</v>
      </c>
      <c r="E497" s="75" t="s">
        <v>143</v>
      </c>
      <c r="F497" s="75"/>
      <c r="G497" s="75" t="s">
        <v>396</v>
      </c>
      <c r="H497" s="75"/>
      <c r="I497" s="75" t="s">
        <v>171</v>
      </c>
      <c r="J497" s="76">
        <v>20</v>
      </c>
      <c r="K497" s="519" t="s">
        <v>387</v>
      </c>
      <c r="L497" s="520">
        <v>10.16</v>
      </c>
      <c r="M497" s="520">
        <v>10.82</v>
      </c>
      <c r="N497" s="507">
        <v>0.10299999999999999</v>
      </c>
      <c r="O497" s="507">
        <v>0.1</v>
      </c>
      <c r="P497" s="507">
        <v>0.112</v>
      </c>
      <c r="Q497" s="78">
        <v>0.44</v>
      </c>
      <c r="R497" s="78">
        <v>0.31740000000000002</v>
      </c>
      <c r="S497" s="69">
        <v>2.5000000000000001E-2</v>
      </c>
      <c r="T497" s="69">
        <v>0.01</v>
      </c>
      <c r="U497" s="507">
        <v>0.85</v>
      </c>
      <c r="V497" s="76">
        <v>0</v>
      </c>
      <c r="W497" s="76">
        <v>0</v>
      </c>
      <c r="X497" s="76" t="s">
        <v>147</v>
      </c>
      <c r="Y497" s="519" t="s">
        <v>469</v>
      </c>
    </row>
    <row r="498" spans="1:25" x14ac:dyDescent="0.25">
      <c r="A498" s="75" t="str">
        <f t="shared" si="19"/>
        <v>Adquisicion PROF Premier Mercado_Abierto Pago_Fijo_Puntual Si 15</v>
      </c>
      <c r="B498" s="75" t="str">
        <f t="shared" si="18"/>
        <v>Adquisicion PROF Premier Mercado_Abierto Pago_Fijo_Puntual Si 15 0.103</v>
      </c>
      <c r="C498" s="75" t="s">
        <v>114</v>
      </c>
      <c r="D498" s="75" t="s">
        <v>169</v>
      </c>
      <c r="E498" s="75" t="s">
        <v>143</v>
      </c>
      <c r="F498" s="75"/>
      <c r="G498" s="75" t="s">
        <v>396</v>
      </c>
      <c r="H498" s="75"/>
      <c r="I498" s="75" t="s">
        <v>171</v>
      </c>
      <c r="J498" s="76">
        <v>15</v>
      </c>
      <c r="K498" s="519" t="s">
        <v>387</v>
      </c>
      <c r="L498" s="520">
        <v>11.18</v>
      </c>
      <c r="M498" s="520">
        <v>11.84</v>
      </c>
      <c r="N498" s="507">
        <v>0.10299999999999999</v>
      </c>
      <c r="O498" s="507">
        <v>0.1</v>
      </c>
      <c r="P498" s="507">
        <v>0.112</v>
      </c>
      <c r="Q498" s="78">
        <v>0.44</v>
      </c>
      <c r="R498" s="78">
        <v>0.31740000000000002</v>
      </c>
      <c r="S498" s="69">
        <v>2.5000000000000001E-2</v>
      </c>
      <c r="T498" s="69">
        <v>0.01</v>
      </c>
      <c r="U498" s="507">
        <v>0.85</v>
      </c>
      <c r="V498" s="76">
        <v>0</v>
      </c>
      <c r="W498" s="76">
        <v>0</v>
      </c>
      <c r="X498" s="76" t="s">
        <v>147</v>
      </c>
      <c r="Y498" s="519" t="s">
        <v>469</v>
      </c>
    </row>
    <row r="499" spans="1:25" x14ac:dyDescent="0.25">
      <c r="A499" s="75" t="str">
        <f t="shared" si="19"/>
        <v>Adquisicion PROF Premier Mercado_Abierto Pago_Fijo_Puntual Si 10</v>
      </c>
      <c r="B499" s="75" t="str">
        <f t="shared" si="18"/>
        <v>Adquisicion PROF Premier Mercado_Abierto Pago_Fijo_Puntual Si 10 0.103</v>
      </c>
      <c r="C499" s="75" t="s">
        <v>114</v>
      </c>
      <c r="D499" s="75" t="s">
        <v>169</v>
      </c>
      <c r="E499" s="75" t="s">
        <v>143</v>
      </c>
      <c r="F499" s="75"/>
      <c r="G499" s="75" t="s">
        <v>396</v>
      </c>
      <c r="H499" s="75"/>
      <c r="I499" s="75" t="s">
        <v>171</v>
      </c>
      <c r="J499" s="76">
        <v>10</v>
      </c>
      <c r="K499" s="519" t="s">
        <v>387</v>
      </c>
      <c r="L499" s="520">
        <v>13.54</v>
      </c>
      <c r="M499" s="520">
        <v>14.2</v>
      </c>
      <c r="N499" s="507">
        <v>0.10299999999999999</v>
      </c>
      <c r="O499" s="507">
        <v>0.1</v>
      </c>
      <c r="P499" s="507">
        <v>0.112</v>
      </c>
      <c r="Q499" s="78">
        <v>0.44</v>
      </c>
      <c r="R499" s="78">
        <v>0.31740000000000002</v>
      </c>
      <c r="S499" s="69">
        <v>2.5000000000000001E-2</v>
      </c>
      <c r="T499" s="69">
        <v>0.01</v>
      </c>
      <c r="U499" s="507">
        <v>0.85</v>
      </c>
      <c r="V499" s="76">
        <v>0</v>
      </c>
      <c r="W499" s="76">
        <v>0</v>
      </c>
      <c r="X499" s="76" t="s">
        <v>147</v>
      </c>
      <c r="Y499" s="519" t="s">
        <v>469</v>
      </c>
    </row>
    <row r="500" spans="1:25" x14ac:dyDescent="0.25">
      <c r="A500" s="75" t="str">
        <f t="shared" si="19"/>
        <v>Adquisicion PROF Premier Mercado_Abierto Pago_Fijo_Puntual Si 5</v>
      </c>
      <c r="B500" s="75" t="str">
        <f t="shared" si="18"/>
        <v>Adquisicion PROF Premier Mercado_Abierto Pago_Fijo_Puntual Si 5 0.103</v>
      </c>
      <c r="C500" s="75" t="s">
        <v>114</v>
      </c>
      <c r="D500" s="75" t="s">
        <v>169</v>
      </c>
      <c r="E500" s="75" t="s">
        <v>143</v>
      </c>
      <c r="F500" s="75"/>
      <c r="G500" s="75" t="s">
        <v>396</v>
      </c>
      <c r="H500" s="75"/>
      <c r="I500" s="75" t="s">
        <v>171</v>
      </c>
      <c r="J500" s="76">
        <v>5</v>
      </c>
      <c r="K500" s="519" t="s">
        <v>387</v>
      </c>
      <c r="L500" s="520">
        <v>21.44</v>
      </c>
      <c r="M500" s="520">
        <v>22.1</v>
      </c>
      <c r="N500" s="507">
        <v>0.10299999999999999</v>
      </c>
      <c r="O500" s="507">
        <v>0.1</v>
      </c>
      <c r="P500" s="507">
        <v>0.112</v>
      </c>
      <c r="Q500" s="78">
        <v>0.44</v>
      </c>
      <c r="R500" s="78">
        <v>0.31740000000000002</v>
      </c>
      <c r="S500" s="69">
        <v>2.5000000000000001E-2</v>
      </c>
      <c r="T500" s="69">
        <v>0.01</v>
      </c>
      <c r="U500" s="507">
        <v>0.85</v>
      </c>
      <c r="V500" s="76">
        <v>0</v>
      </c>
      <c r="W500" s="76">
        <v>0</v>
      </c>
      <c r="X500" s="76" t="s">
        <v>147</v>
      </c>
      <c r="Y500" s="519" t="s">
        <v>469</v>
      </c>
    </row>
    <row r="501" spans="1:25" x14ac:dyDescent="0.25">
      <c r="A501" s="75" t="str">
        <f t="shared" si="19"/>
        <v>Adquisicion PROF Premier Mercado_Abierto Pago_Bajo_Puntual Si 25</v>
      </c>
      <c r="B501" s="75" t="str">
        <f t="shared" si="18"/>
        <v>Adquisicion PROF Premier Mercado_Abierto Pago_Bajo_Puntual Si 25 0.103</v>
      </c>
      <c r="C501" s="75" t="s">
        <v>114</v>
      </c>
      <c r="D501" s="75" t="s">
        <v>169</v>
      </c>
      <c r="E501" s="75" t="s">
        <v>143</v>
      </c>
      <c r="F501" s="75"/>
      <c r="G501" s="75" t="s">
        <v>396</v>
      </c>
      <c r="H501" s="75"/>
      <c r="I501" s="75" t="s">
        <v>170</v>
      </c>
      <c r="J501" s="523">
        <v>25</v>
      </c>
      <c r="K501" s="519" t="s">
        <v>387</v>
      </c>
      <c r="L501" s="525">
        <v>8.64</v>
      </c>
      <c r="M501" s="525">
        <v>9.3000000000000007</v>
      </c>
      <c r="N501" s="507">
        <v>0.10299999999999999</v>
      </c>
      <c r="O501" s="507">
        <v>0.1</v>
      </c>
      <c r="P501" s="507">
        <v>0.112</v>
      </c>
      <c r="Q501" s="78">
        <v>0.44</v>
      </c>
      <c r="R501" s="78">
        <v>0.31740000000000002</v>
      </c>
      <c r="S501" s="69">
        <v>2.5000000000000001E-2</v>
      </c>
      <c r="T501" s="69">
        <v>0.01</v>
      </c>
      <c r="U501" s="507">
        <v>0.85</v>
      </c>
      <c r="V501" s="76">
        <v>0</v>
      </c>
      <c r="W501" s="76">
        <v>0</v>
      </c>
      <c r="X501" s="76" t="s">
        <v>147</v>
      </c>
      <c r="Y501" s="519" t="s">
        <v>469</v>
      </c>
    </row>
    <row r="502" spans="1:25" x14ac:dyDescent="0.25">
      <c r="A502" s="75" t="str">
        <f t="shared" si="19"/>
        <v>Adquisicion PROF Premier Mercado_Abierto Pago_Bajo_Puntual Si 20</v>
      </c>
      <c r="B502" s="75" t="str">
        <f t="shared" si="18"/>
        <v>Adquisicion PROF Premier Mercado_Abierto Pago_Bajo_Puntual Si 20 0.103</v>
      </c>
      <c r="C502" s="75" t="s">
        <v>114</v>
      </c>
      <c r="D502" s="75" t="s">
        <v>169</v>
      </c>
      <c r="E502" s="75" t="s">
        <v>143</v>
      </c>
      <c r="F502" s="75"/>
      <c r="G502" s="75" t="s">
        <v>396</v>
      </c>
      <c r="H502" s="75"/>
      <c r="I502" s="75" t="s">
        <v>170</v>
      </c>
      <c r="J502" s="76">
        <v>20</v>
      </c>
      <c r="K502" s="519" t="s">
        <v>387</v>
      </c>
      <c r="L502" s="520">
        <v>9</v>
      </c>
      <c r="M502" s="520">
        <v>9.66</v>
      </c>
      <c r="N502" s="507">
        <v>0.10299999999999999</v>
      </c>
      <c r="O502" s="507">
        <v>0.1</v>
      </c>
      <c r="P502" s="507">
        <v>0.112</v>
      </c>
      <c r="Q502" s="78">
        <v>0.44</v>
      </c>
      <c r="R502" s="78">
        <v>0.31740000000000002</v>
      </c>
      <c r="S502" s="69">
        <v>2.5000000000000001E-2</v>
      </c>
      <c r="T502" s="69">
        <v>0.01</v>
      </c>
      <c r="U502" s="507">
        <v>0.85</v>
      </c>
      <c r="V502" s="76">
        <v>0</v>
      </c>
      <c r="W502" s="76">
        <v>0</v>
      </c>
      <c r="X502" s="76" t="s">
        <v>147</v>
      </c>
      <c r="Y502" s="519" t="s">
        <v>469</v>
      </c>
    </row>
    <row r="503" spans="1:25" x14ac:dyDescent="0.25">
      <c r="A503" s="75" t="str">
        <f t="shared" si="19"/>
        <v>Adquisicion PROF Premier Mercado_Abierto Pago_Bajo_Puntual Si 15</v>
      </c>
      <c r="B503" s="75" t="str">
        <f t="shared" si="18"/>
        <v>Adquisicion PROF Premier Mercado_Abierto Pago_Bajo_Puntual Si 15 0.103</v>
      </c>
      <c r="C503" s="75" t="s">
        <v>114</v>
      </c>
      <c r="D503" s="75" t="s">
        <v>169</v>
      </c>
      <c r="E503" s="75" t="s">
        <v>143</v>
      </c>
      <c r="F503" s="75"/>
      <c r="G503" s="75" t="s">
        <v>396</v>
      </c>
      <c r="H503" s="75"/>
      <c r="I503" s="75" t="s">
        <v>170</v>
      </c>
      <c r="J503" s="76">
        <v>15</v>
      </c>
      <c r="K503" s="519" t="s">
        <v>387</v>
      </c>
      <c r="L503" s="520">
        <v>10.119999999999999</v>
      </c>
      <c r="M503" s="520">
        <v>10.78</v>
      </c>
      <c r="N503" s="507">
        <v>0.10299999999999999</v>
      </c>
      <c r="O503" s="507">
        <v>0.1</v>
      </c>
      <c r="P503" s="507">
        <v>0.112</v>
      </c>
      <c r="Q503" s="78">
        <v>0.44</v>
      </c>
      <c r="R503" s="78">
        <v>0.31740000000000002</v>
      </c>
      <c r="S503" s="69">
        <v>2.5000000000000001E-2</v>
      </c>
      <c r="T503" s="69">
        <v>0.01</v>
      </c>
      <c r="U503" s="507">
        <v>0.85</v>
      </c>
      <c r="V503" s="76">
        <v>0</v>
      </c>
      <c r="W503" s="76">
        <v>0</v>
      </c>
      <c r="X503" s="76" t="s">
        <v>147</v>
      </c>
      <c r="Y503" s="519" t="s">
        <v>469</v>
      </c>
    </row>
    <row r="504" spans="1:25" x14ac:dyDescent="0.25">
      <c r="A504" s="75" t="str">
        <f t="shared" si="19"/>
        <v>Adquisicion PROF Premier Mercado_Abierto Pago_Bajo_Puntual Si 10</v>
      </c>
      <c r="B504" s="75" t="str">
        <f t="shared" si="18"/>
        <v>Adquisicion PROF Premier Mercado_Abierto Pago_Bajo_Puntual Si 10 0.103</v>
      </c>
      <c r="C504" s="75" t="s">
        <v>114</v>
      </c>
      <c r="D504" s="75" t="s">
        <v>169</v>
      </c>
      <c r="E504" s="75" t="s">
        <v>143</v>
      </c>
      <c r="F504" s="75"/>
      <c r="G504" s="75" t="s">
        <v>396</v>
      </c>
      <c r="H504" s="75"/>
      <c r="I504" s="75" t="s">
        <v>170</v>
      </c>
      <c r="J504" s="76">
        <v>10</v>
      </c>
      <c r="K504" s="519" t="s">
        <v>387</v>
      </c>
      <c r="L504" s="520">
        <v>12.62</v>
      </c>
      <c r="M504" s="520">
        <v>13.28</v>
      </c>
      <c r="N504" s="507">
        <v>0.10299999999999999</v>
      </c>
      <c r="O504" s="507">
        <v>0.1</v>
      </c>
      <c r="P504" s="507">
        <v>0.112</v>
      </c>
      <c r="Q504" s="78">
        <v>0.44</v>
      </c>
      <c r="R504" s="78">
        <v>0.31740000000000002</v>
      </c>
      <c r="S504" s="69">
        <v>2.5000000000000001E-2</v>
      </c>
      <c r="T504" s="69">
        <v>0.01</v>
      </c>
      <c r="U504" s="507">
        <v>0.85</v>
      </c>
      <c r="V504" s="76">
        <v>0</v>
      </c>
      <c r="W504" s="76">
        <v>0</v>
      </c>
      <c r="X504" s="76" t="s">
        <v>147</v>
      </c>
      <c r="Y504" s="519" t="s">
        <v>469</v>
      </c>
    </row>
    <row r="505" spans="1:25" x14ac:dyDescent="0.25">
      <c r="A505" s="75" t="str">
        <f t="shared" si="19"/>
        <v>Adquisicion PROF Premier Mercado_Abierto Pago_Bajo_Puntual Si 5</v>
      </c>
      <c r="B505" s="75" t="str">
        <f t="shared" si="18"/>
        <v>Adquisicion PROF Premier Mercado_Abierto Pago_Bajo_Puntual Si 5 0.103</v>
      </c>
      <c r="C505" s="75" t="s">
        <v>114</v>
      </c>
      <c r="D505" s="75" t="s">
        <v>169</v>
      </c>
      <c r="E505" s="75" t="s">
        <v>143</v>
      </c>
      <c r="F505" s="75"/>
      <c r="G505" s="75" t="s">
        <v>396</v>
      </c>
      <c r="H505" s="75"/>
      <c r="I505" s="75" t="s">
        <v>170</v>
      </c>
      <c r="J505" s="76">
        <v>5</v>
      </c>
      <c r="K505" s="519" t="s">
        <v>387</v>
      </c>
      <c r="L505" s="520">
        <v>20.72</v>
      </c>
      <c r="M505" s="520">
        <v>21.38</v>
      </c>
      <c r="N505" s="507">
        <v>0.10299999999999999</v>
      </c>
      <c r="O505" s="507">
        <v>0.1</v>
      </c>
      <c r="P505" s="507">
        <v>0.112</v>
      </c>
      <c r="Q505" s="78">
        <v>0.44</v>
      </c>
      <c r="R505" s="78">
        <v>0.31740000000000002</v>
      </c>
      <c r="S505" s="69">
        <v>2.5000000000000001E-2</v>
      </c>
      <c r="T505" s="69">
        <v>0.01</v>
      </c>
      <c r="U505" s="507">
        <v>0.85</v>
      </c>
      <c r="V505" s="76">
        <v>0</v>
      </c>
      <c r="W505" s="76">
        <v>0</v>
      </c>
      <c r="X505" s="76" t="s">
        <v>147</v>
      </c>
      <c r="Y505" s="519" t="s">
        <v>469</v>
      </c>
    </row>
    <row r="506" spans="1:25" x14ac:dyDescent="0.25">
      <c r="A506" s="75" t="str">
        <f t="shared" si="19"/>
        <v>Construcción PF No_Premier Pago_Fijo_Puntual Si 20</v>
      </c>
      <c r="B506" s="75" t="str">
        <f t="shared" si="18"/>
        <v>Construcción PF No_Premier Pago_Fijo_Puntual Si 20 0.103</v>
      </c>
      <c r="C506" s="75" t="s">
        <v>150</v>
      </c>
      <c r="D506" s="75" t="s">
        <v>132</v>
      </c>
      <c r="E506" s="75" t="s">
        <v>179</v>
      </c>
      <c r="F506" s="75"/>
      <c r="G506" s="75"/>
      <c r="H506" s="75"/>
      <c r="I506" s="75" t="s">
        <v>171</v>
      </c>
      <c r="J506" s="76">
        <v>20</v>
      </c>
      <c r="K506" s="519" t="s">
        <v>387</v>
      </c>
      <c r="L506" s="520">
        <v>10.16</v>
      </c>
      <c r="M506" s="520">
        <v>10.82</v>
      </c>
      <c r="N506" s="507">
        <v>0.10299999999999999</v>
      </c>
      <c r="O506" s="507">
        <v>0.1</v>
      </c>
      <c r="P506" s="507">
        <v>0.112</v>
      </c>
      <c r="Q506" s="78">
        <v>0.44</v>
      </c>
      <c r="R506" s="78">
        <v>0.31740000000000002</v>
      </c>
      <c r="S506" s="69">
        <v>0</v>
      </c>
      <c r="T506" s="69">
        <v>0</v>
      </c>
      <c r="U506" s="507">
        <v>0.75</v>
      </c>
      <c r="V506" s="76">
        <v>0</v>
      </c>
      <c r="W506" s="76">
        <v>0</v>
      </c>
      <c r="X506" s="76" t="s">
        <v>147</v>
      </c>
      <c r="Y506" s="519" t="s">
        <v>469</v>
      </c>
    </row>
    <row r="507" spans="1:25" x14ac:dyDescent="0.25">
      <c r="A507" s="75" t="str">
        <f t="shared" si="19"/>
        <v>Construcción PF No_Premier Pago_Fijo_Puntual 20</v>
      </c>
      <c r="B507" s="75" t="str">
        <f t="shared" si="18"/>
        <v>Construcción PF No_Premier Pago_Fijo_Puntual 20 0.106</v>
      </c>
      <c r="C507" s="75" t="s">
        <v>150</v>
      </c>
      <c r="D507" s="75" t="s">
        <v>132</v>
      </c>
      <c r="E507" s="75" t="s">
        <v>179</v>
      </c>
      <c r="F507" s="75"/>
      <c r="G507" s="75"/>
      <c r="H507" s="75"/>
      <c r="I507" s="75" t="s">
        <v>171</v>
      </c>
      <c r="J507" s="76">
        <v>20</v>
      </c>
      <c r="K507" s="519">
        <v>3</v>
      </c>
      <c r="L507" s="520">
        <v>10.41</v>
      </c>
      <c r="M507" s="520">
        <v>11.07</v>
      </c>
      <c r="N507" s="507">
        <v>0.106</v>
      </c>
      <c r="O507" s="507">
        <v>0.10299999999999999</v>
      </c>
      <c r="P507" s="507">
        <v>0.11799999999999999</v>
      </c>
      <c r="Q507" s="78">
        <v>0.44</v>
      </c>
      <c r="R507" s="78">
        <v>0.31740000000000002</v>
      </c>
      <c r="S507" s="69">
        <v>0</v>
      </c>
      <c r="T507" s="69">
        <v>0</v>
      </c>
      <c r="U507" s="507">
        <v>0.75</v>
      </c>
      <c r="V507" s="76">
        <v>0</v>
      </c>
      <c r="W507" s="76">
        <v>0</v>
      </c>
      <c r="X507" s="76"/>
      <c r="Y507" s="519" t="s">
        <v>469</v>
      </c>
    </row>
    <row r="508" spans="1:25" x14ac:dyDescent="0.25">
      <c r="A508" s="75" t="str">
        <f t="shared" si="19"/>
        <v>Construcción PF No_Premier Pago_Fijo_Puntual Si 15</v>
      </c>
      <c r="B508" s="75" t="str">
        <f t="shared" si="18"/>
        <v>Construcción PF No_Premier Pago_Fijo_Puntual Si 15 0.103</v>
      </c>
      <c r="C508" s="75" t="s">
        <v>150</v>
      </c>
      <c r="D508" s="75" t="s">
        <v>132</v>
      </c>
      <c r="E508" s="75" t="s">
        <v>179</v>
      </c>
      <c r="F508" s="75"/>
      <c r="G508" s="75"/>
      <c r="H508" s="75"/>
      <c r="I508" s="75" t="s">
        <v>171</v>
      </c>
      <c r="J508" s="76">
        <v>15</v>
      </c>
      <c r="K508" s="519" t="s">
        <v>387</v>
      </c>
      <c r="L508" s="520">
        <v>11.18</v>
      </c>
      <c r="M508" s="520">
        <v>11.84</v>
      </c>
      <c r="N508" s="507">
        <v>0.10299999999999999</v>
      </c>
      <c r="O508" s="507">
        <v>0.1</v>
      </c>
      <c r="P508" s="507">
        <v>0.112</v>
      </c>
      <c r="Q508" s="78">
        <v>0.44</v>
      </c>
      <c r="R508" s="78">
        <v>0.31740000000000002</v>
      </c>
      <c r="S508" s="69">
        <v>0</v>
      </c>
      <c r="T508" s="69">
        <v>0</v>
      </c>
      <c r="U508" s="507">
        <v>0.75</v>
      </c>
      <c r="V508" s="76">
        <v>0</v>
      </c>
      <c r="W508" s="76">
        <v>0</v>
      </c>
      <c r="X508" s="76" t="s">
        <v>147</v>
      </c>
      <c r="Y508" s="519" t="s">
        <v>469</v>
      </c>
    </row>
    <row r="509" spans="1:25" x14ac:dyDescent="0.25">
      <c r="A509" s="75" t="str">
        <f t="shared" si="19"/>
        <v>Construcción PF No_Premier Pago_Fijo_Puntual 15</v>
      </c>
      <c r="B509" s="75" t="str">
        <f t="shared" si="18"/>
        <v>Construcción PF No_Premier Pago_Fijo_Puntual 15 0.106</v>
      </c>
      <c r="C509" s="75" t="s">
        <v>150</v>
      </c>
      <c r="D509" s="75" t="s">
        <v>132</v>
      </c>
      <c r="E509" s="75" t="s">
        <v>179</v>
      </c>
      <c r="F509" s="75"/>
      <c r="G509" s="75"/>
      <c r="H509" s="75"/>
      <c r="I509" s="75" t="s">
        <v>171</v>
      </c>
      <c r="J509" s="76">
        <v>15</v>
      </c>
      <c r="K509" s="519">
        <v>3</v>
      </c>
      <c r="L509" s="520">
        <v>11.39</v>
      </c>
      <c r="M509" s="520">
        <v>12.05</v>
      </c>
      <c r="N509" s="507">
        <v>0.106</v>
      </c>
      <c r="O509" s="507">
        <v>0.10299999999999999</v>
      </c>
      <c r="P509" s="507">
        <v>0.11799999999999999</v>
      </c>
      <c r="Q509" s="78">
        <v>0.44</v>
      </c>
      <c r="R509" s="78">
        <v>0.31740000000000002</v>
      </c>
      <c r="S509" s="69">
        <v>0</v>
      </c>
      <c r="T509" s="69">
        <v>0</v>
      </c>
      <c r="U509" s="507">
        <v>0.75</v>
      </c>
      <c r="V509" s="76">
        <v>0</v>
      </c>
      <c r="W509" s="76">
        <v>0</v>
      </c>
      <c r="X509" s="76"/>
      <c r="Y509" s="519" t="s">
        <v>469</v>
      </c>
    </row>
    <row r="510" spans="1:25" x14ac:dyDescent="0.25">
      <c r="A510" s="75" t="str">
        <f t="shared" si="19"/>
        <v>Construcción PF No_Premier Pago_Fijo_Puntual Si 10</v>
      </c>
      <c r="B510" s="75" t="str">
        <f t="shared" si="18"/>
        <v>Construcción PF No_Premier Pago_Fijo_Puntual Si 10 0.103</v>
      </c>
      <c r="C510" s="75" t="s">
        <v>150</v>
      </c>
      <c r="D510" s="75" t="s">
        <v>132</v>
      </c>
      <c r="E510" s="75" t="s">
        <v>179</v>
      </c>
      <c r="F510" s="75"/>
      <c r="G510" s="75"/>
      <c r="H510" s="75"/>
      <c r="I510" s="75" t="s">
        <v>171</v>
      </c>
      <c r="J510" s="76">
        <v>10</v>
      </c>
      <c r="K510" s="519" t="s">
        <v>387</v>
      </c>
      <c r="L510" s="520">
        <v>13.54</v>
      </c>
      <c r="M510" s="520">
        <v>14.2</v>
      </c>
      <c r="N510" s="507">
        <v>0.10299999999999999</v>
      </c>
      <c r="O510" s="507">
        <v>0.1</v>
      </c>
      <c r="P510" s="507">
        <v>0.112</v>
      </c>
      <c r="Q510" s="78">
        <v>0.44</v>
      </c>
      <c r="R510" s="78">
        <v>0.31740000000000002</v>
      </c>
      <c r="S510" s="69">
        <v>0</v>
      </c>
      <c r="T510" s="69">
        <v>0</v>
      </c>
      <c r="U510" s="507">
        <v>0.75</v>
      </c>
      <c r="V510" s="76">
        <v>0</v>
      </c>
      <c r="W510" s="76">
        <v>0</v>
      </c>
      <c r="X510" s="76" t="s">
        <v>147</v>
      </c>
      <c r="Y510" s="519" t="s">
        <v>469</v>
      </c>
    </row>
    <row r="511" spans="1:25" x14ac:dyDescent="0.25">
      <c r="A511" s="75" t="str">
        <f t="shared" si="19"/>
        <v>Construcción PF No_Premier Pago_Fijo_Puntual 10</v>
      </c>
      <c r="B511" s="75" t="str">
        <f t="shared" si="18"/>
        <v>Construcción PF No_Premier Pago_Fijo_Puntual 10 0.106</v>
      </c>
      <c r="C511" s="75" t="s">
        <v>150</v>
      </c>
      <c r="D511" s="75" t="s">
        <v>132</v>
      </c>
      <c r="E511" s="75" t="s">
        <v>179</v>
      </c>
      <c r="F511" s="75"/>
      <c r="G511" s="75"/>
      <c r="H511" s="75"/>
      <c r="I511" s="75" t="s">
        <v>171</v>
      </c>
      <c r="J511" s="76">
        <v>10</v>
      </c>
      <c r="K511" s="519">
        <v>3</v>
      </c>
      <c r="L511" s="520">
        <v>13.71</v>
      </c>
      <c r="M511" s="520">
        <v>14.37</v>
      </c>
      <c r="N511" s="507">
        <v>0.106</v>
      </c>
      <c r="O511" s="507">
        <v>0.10299999999999999</v>
      </c>
      <c r="P511" s="507">
        <v>0.11799999999999999</v>
      </c>
      <c r="Q511" s="78">
        <v>0.44</v>
      </c>
      <c r="R511" s="78">
        <v>0.31740000000000002</v>
      </c>
      <c r="S511" s="69">
        <v>0</v>
      </c>
      <c r="T511" s="69">
        <v>0</v>
      </c>
      <c r="U511" s="507">
        <v>0.75</v>
      </c>
      <c r="V511" s="76">
        <v>0</v>
      </c>
      <c r="W511" s="76">
        <v>0</v>
      </c>
      <c r="X511" s="76"/>
      <c r="Y511" s="519" t="s">
        <v>469</v>
      </c>
    </row>
    <row r="512" spans="1:25" x14ac:dyDescent="0.25">
      <c r="A512" s="75" t="str">
        <f t="shared" si="19"/>
        <v>Construcción PF No_Premier Pago_Fijo_Puntual Si 5</v>
      </c>
      <c r="B512" s="75" t="str">
        <f t="shared" si="18"/>
        <v>Construcción PF No_Premier Pago_Fijo_Puntual Si 5 0.103</v>
      </c>
      <c r="C512" s="75" t="s">
        <v>150</v>
      </c>
      <c r="D512" s="75" t="s">
        <v>132</v>
      </c>
      <c r="E512" s="75" t="s">
        <v>179</v>
      </c>
      <c r="F512" s="75"/>
      <c r="G512" s="75"/>
      <c r="H512" s="75"/>
      <c r="I512" s="75" t="s">
        <v>171</v>
      </c>
      <c r="J512" s="76">
        <v>5</v>
      </c>
      <c r="K512" s="519" t="s">
        <v>387</v>
      </c>
      <c r="L512" s="520">
        <v>21.44</v>
      </c>
      <c r="M512" s="520">
        <v>22.1</v>
      </c>
      <c r="N512" s="507">
        <v>0.10299999999999999</v>
      </c>
      <c r="O512" s="507">
        <v>0.1</v>
      </c>
      <c r="P512" s="507">
        <v>0.112</v>
      </c>
      <c r="Q512" s="78">
        <v>0.44</v>
      </c>
      <c r="R512" s="78">
        <v>0.31740000000000002</v>
      </c>
      <c r="S512" s="69">
        <v>0</v>
      </c>
      <c r="T512" s="69">
        <v>0</v>
      </c>
      <c r="U512" s="507">
        <v>0.75</v>
      </c>
      <c r="V512" s="76">
        <v>0</v>
      </c>
      <c r="W512" s="76">
        <v>0</v>
      </c>
      <c r="X512" s="76" t="s">
        <v>147</v>
      </c>
      <c r="Y512" s="519" t="s">
        <v>469</v>
      </c>
    </row>
    <row r="513" spans="1:25" x14ac:dyDescent="0.25">
      <c r="A513" s="75" t="str">
        <f t="shared" si="19"/>
        <v>Construcción PF No_Premier Pago_Fijo_Puntual 5</v>
      </c>
      <c r="B513" s="75" t="str">
        <f t="shared" si="18"/>
        <v>Construcción PF No_Premier Pago_Fijo_Puntual 5 0.106</v>
      </c>
      <c r="C513" s="75" t="s">
        <v>150</v>
      </c>
      <c r="D513" s="75" t="s">
        <v>132</v>
      </c>
      <c r="E513" s="75" t="s">
        <v>179</v>
      </c>
      <c r="F513" s="75"/>
      <c r="G513" s="75"/>
      <c r="H513" s="75"/>
      <c r="I513" s="75" t="s">
        <v>171</v>
      </c>
      <c r="J513" s="76">
        <v>5</v>
      </c>
      <c r="K513" s="519">
        <v>3</v>
      </c>
      <c r="L513" s="520">
        <v>21.59</v>
      </c>
      <c r="M513" s="520">
        <v>22.25</v>
      </c>
      <c r="N513" s="507">
        <v>0.106</v>
      </c>
      <c r="O513" s="507">
        <v>0.10299999999999999</v>
      </c>
      <c r="P513" s="507">
        <v>0.11799999999999999</v>
      </c>
      <c r="Q513" s="78">
        <v>0.44</v>
      </c>
      <c r="R513" s="78">
        <v>0.31740000000000002</v>
      </c>
      <c r="S513" s="69">
        <v>0</v>
      </c>
      <c r="T513" s="69">
        <v>0</v>
      </c>
      <c r="U513" s="507">
        <v>0.75</v>
      </c>
      <c r="V513" s="76">
        <v>0</v>
      </c>
      <c r="W513" s="76">
        <v>0</v>
      </c>
      <c r="X513" s="76"/>
      <c r="Y513" s="519" t="s">
        <v>469</v>
      </c>
    </row>
    <row r="514" spans="1:25" x14ac:dyDescent="0.25">
      <c r="A514" s="75" t="str">
        <f t="shared" si="19"/>
        <v>Construcción PF No_Premier Pago_Fijo_Puntual 20</v>
      </c>
      <c r="B514" s="75" t="str">
        <f t="shared" si="18"/>
        <v>Construcción PF No_Premier Pago_Fijo_Puntual 20 0.0965</v>
      </c>
      <c r="C514" s="75" t="s">
        <v>150</v>
      </c>
      <c r="D514" s="75" t="s">
        <v>132</v>
      </c>
      <c r="E514" s="75" t="s">
        <v>179</v>
      </c>
      <c r="F514" s="75"/>
      <c r="G514" s="75"/>
      <c r="H514" s="75"/>
      <c r="I514" s="75" t="s">
        <v>171</v>
      </c>
      <c r="J514" s="76">
        <v>20</v>
      </c>
      <c r="K514" s="516" t="s">
        <v>385</v>
      </c>
      <c r="L514" s="517">
        <v>9.66</v>
      </c>
      <c r="M514" s="517">
        <v>10.32</v>
      </c>
      <c r="N514" s="518">
        <v>9.6500000000000002E-2</v>
      </c>
      <c r="O514" s="518">
        <v>9.1999999999999998E-2</v>
      </c>
      <c r="P514" s="518">
        <v>0.10249999999999999</v>
      </c>
      <c r="Q514" s="78">
        <v>0.44</v>
      </c>
      <c r="R514" s="78">
        <v>0.31740000000000002</v>
      </c>
      <c r="S514" s="69">
        <v>0</v>
      </c>
      <c r="T514" s="69">
        <v>0</v>
      </c>
      <c r="U514" s="518">
        <v>0.7</v>
      </c>
      <c r="V514" s="76">
        <v>0</v>
      </c>
      <c r="W514" s="76">
        <v>0</v>
      </c>
      <c r="X514" s="76"/>
      <c r="Y514" s="516" t="s">
        <v>470</v>
      </c>
    </row>
    <row r="515" spans="1:25" x14ac:dyDescent="0.25">
      <c r="A515" s="75" t="str">
        <f t="shared" si="19"/>
        <v>Construcción PF No_Premier Pago_Fijo_Puntual 20</v>
      </c>
      <c r="B515" s="75" t="str">
        <f t="shared" si="18"/>
        <v>Construcción PF No_Premier Pago_Fijo_Puntual 20 0.103</v>
      </c>
      <c r="C515" s="75" t="s">
        <v>150</v>
      </c>
      <c r="D515" s="75" t="s">
        <v>132</v>
      </c>
      <c r="E515" s="75" t="s">
        <v>179</v>
      </c>
      <c r="F515" s="75"/>
      <c r="G515" s="75"/>
      <c r="H515" s="75"/>
      <c r="I515" s="75" t="s">
        <v>171</v>
      </c>
      <c r="J515" s="76">
        <v>20</v>
      </c>
      <c r="K515" s="516" t="s">
        <v>386</v>
      </c>
      <c r="L515" s="517">
        <v>10.16</v>
      </c>
      <c r="M515" s="517">
        <v>10.82</v>
      </c>
      <c r="N515" s="518">
        <v>0.10299999999999999</v>
      </c>
      <c r="O515" s="518">
        <v>0.1</v>
      </c>
      <c r="P515" s="518">
        <v>0.112</v>
      </c>
      <c r="Q515" s="78">
        <v>0.44</v>
      </c>
      <c r="R515" s="78">
        <v>0.31740000000000002</v>
      </c>
      <c r="S515" s="69">
        <v>0</v>
      </c>
      <c r="T515" s="69">
        <v>0</v>
      </c>
      <c r="U515" s="518">
        <v>0.7</v>
      </c>
      <c r="V515" s="76">
        <v>0</v>
      </c>
      <c r="W515" s="76">
        <v>0</v>
      </c>
      <c r="X515" s="76"/>
      <c r="Y515" s="516" t="s">
        <v>470</v>
      </c>
    </row>
    <row r="516" spans="1:25" x14ac:dyDescent="0.25">
      <c r="A516" s="75" t="str">
        <f t="shared" si="19"/>
        <v>Construcción PF No_Premier Pago_Fijo_Puntual 15</v>
      </c>
      <c r="B516" s="75" t="str">
        <f t="shared" si="18"/>
        <v>Construcción PF No_Premier Pago_Fijo_Puntual 15 0.0965</v>
      </c>
      <c r="C516" s="75" t="s">
        <v>150</v>
      </c>
      <c r="D516" s="75" t="s">
        <v>132</v>
      </c>
      <c r="E516" s="75" t="s">
        <v>179</v>
      </c>
      <c r="F516" s="75"/>
      <c r="G516" s="75"/>
      <c r="H516" s="75"/>
      <c r="I516" s="75" t="s">
        <v>171</v>
      </c>
      <c r="J516" s="76">
        <v>15</v>
      </c>
      <c r="K516" s="516" t="s">
        <v>385</v>
      </c>
      <c r="L516" s="517">
        <v>10.73</v>
      </c>
      <c r="M516" s="517">
        <v>11.39</v>
      </c>
      <c r="N516" s="518">
        <v>9.6500000000000002E-2</v>
      </c>
      <c r="O516" s="518">
        <v>9.1999999999999998E-2</v>
      </c>
      <c r="P516" s="518">
        <v>0.10249999999999999</v>
      </c>
      <c r="Q516" s="78">
        <v>0.44</v>
      </c>
      <c r="R516" s="78">
        <v>0.31740000000000002</v>
      </c>
      <c r="S516" s="69">
        <v>0</v>
      </c>
      <c r="T516" s="69">
        <v>0</v>
      </c>
      <c r="U516" s="518">
        <v>0.7</v>
      </c>
      <c r="V516" s="76">
        <v>0</v>
      </c>
      <c r="W516" s="76">
        <v>0</v>
      </c>
      <c r="X516" s="76"/>
      <c r="Y516" s="516" t="s">
        <v>470</v>
      </c>
    </row>
    <row r="517" spans="1:25" x14ac:dyDescent="0.25">
      <c r="A517" s="75" t="str">
        <f t="shared" si="19"/>
        <v>Construcción PF No_Premier Pago_Fijo_Puntual 15</v>
      </c>
      <c r="B517" s="75" t="str">
        <f t="shared" si="18"/>
        <v>Construcción PF No_Premier Pago_Fijo_Puntual 15 0.103</v>
      </c>
      <c r="C517" s="75" t="s">
        <v>150</v>
      </c>
      <c r="D517" s="75" t="s">
        <v>132</v>
      </c>
      <c r="E517" s="75" t="s">
        <v>179</v>
      </c>
      <c r="F517" s="75"/>
      <c r="G517" s="75"/>
      <c r="H517" s="75"/>
      <c r="I517" s="75" t="s">
        <v>171</v>
      </c>
      <c r="J517" s="76">
        <v>15</v>
      </c>
      <c r="K517" s="516" t="s">
        <v>386</v>
      </c>
      <c r="L517" s="517">
        <v>11.18</v>
      </c>
      <c r="M517" s="517">
        <v>11.84</v>
      </c>
      <c r="N517" s="518">
        <v>0.10299999999999999</v>
      </c>
      <c r="O517" s="518">
        <v>0.1</v>
      </c>
      <c r="P517" s="518">
        <v>0.112</v>
      </c>
      <c r="Q517" s="78">
        <v>0.44</v>
      </c>
      <c r="R517" s="78">
        <v>0.31740000000000002</v>
      </c>
      <c r="S517" s="69">
        <v>0</v>
      </c>
      <c r="T517" s="69">
        <v>0</v>
      </c>
      <c r="U517" s="518">
        <v>0.7</v>
      </c>
      <c r="V517" s="76">
        <v>0</v>
      </c>
      <c r="W517" s="76">
        <v>0</v>
      </c>
      <c r="X517" s="76"/>
      <c r="Y517" s="516" t="s">
        <v>470</v>
      </c>
    </row>
    <row r="518" spans="1:25" x14ac:dyDescent="0.25">
      <c r="A518" s="75" t="str">
        <f t="shared" si="19"/>
        <v>Construcción PF No_Premier Pago_Fijo_Puntual 10</v>
      </c>
      <c r="B518" s="75" t="str">
        <f t="shared" si="18"/>
        <v>Construcción PF No_Premier Pago_Fijo_Puntual 10 0.0965</v>
      </c>
      <c r="C518" s="75" t="s">
        <v>150</v>
      </c>
      <c r="D518" s="75" t="s">
        <v>132</v>
      </c>
      <c r="E518" s="75" t="s">
        <v>179</v>
      </c>
      <c r="F518" s="75"/>
      <c r="G518" s="75"/>
      <c r="H518" s="75"/>
      <c r="I518" s="75" t="s">
        <v>171</v>
      </c>
      <c r="J518" s="76">
        <v>10</v>
      </c>
      <c r="K518" s="516" t="s">
        <v>385</v>
      </c>
      <c r="L518" s="517">
        <v>13.54</v>
      </c>
      <c r="M518" s="517">
        <v>14.2</v>
      </c>
      <c r="N518" s="518">
        <v>9.6500000000000002E-2</v>
      </c>
      <c r="O518" s="518">
        <v>9.1999999999999998E-2</v>
      </c>
      <c r="P518" s="518">
        <v>0.10249999999999999</v>
      </c>
      <c r="Q518" s="78">
        <v>0.44</v>
      </c>
      <c r="R518" s="78">
        <v>0.31740000000000002</v>
      </c>
      <c r="S518" s="69">
        <v>0</v>
      </c>
      <c r="T518" s="69">
        <v>0</v>
      </c>
      <c r="U518" s="518">
        <v>0.7</v>
      </c>
      <c r="V518" s="76">
        <v>0</v>
      </c>
      <c r="W518" s="76">
        <v>0</v>
      </c>
      <c r="X518" s="76"/>
      <c r="Y518" s="516" t="s">
        <v>470</v>
      </c>
    </row>
    <row r="519" spans="1:25" x14ac:dyDescent="0.25">
      <c r="A519" s="75" t="str">
        <f t="shared" si="19"/>
        <v>Construcción PF No_Premier Pago_Fijo_Puntual 10</v>
      </c>
      <c r="B519" s="75" t="str">
        <f t="shared" si="18"/>
        <v>Construcción PF No_Premier Pago_Fijo_Puntual 10 0.103</v>
      </c>
      <c r="C519" s="75" t="s">
        <v>150</v>
      </c>
      <c r="D519" s="75" t="s">
        <v>132</v>
      </c>
      <c r="E519" s="75" t="s">
        <v>179</v>
      </c>
      <c r="F519" s="75"/>
      <c r="G519" s="75"/>
      <c r="H519" s="75"/>
      <c r="I519" s="75" t="s">
        <v>171</v>
      </c>
      <c r="J519" s="76">
        <v>10</v>
      </c>
      <c r="K519" s="516" t="s">
        <v>386</v>
      </c>
      <c r="L519" s="517">
        <v>13.54</v>
      </c>
      <c r="M519" s="517">
        <v>14.2</v>
      </c>
      <c r="N519" s="518">
        <v>0.10299999999999999</v>
      </c>
      <c r="O519" s="518">
        <v>0.1</v>
      </c>
      <c r="P519" s="518">
        <v>0.112</v>
      </c>
      <c r="Q519" s="78">
        <v>0.44</v>
      </c>
      <c r="R519" s="78">
        <v>0.31740000000000002</v>
      </c>
      <c r="S519" s="69">
        <v>0</v>
      </c>
      <c r="T519" s="69">
        <v>0</v>
      </c>
      <c r="U519" s="518">
        <v>0.7</v>
      </c>
      <c r="V519" s="76">
        <v>0</v>
      </c>
      <c r="W519" s="76">
        <v>0</v>
      </c>
      <c r="X519" s="76"/>
      <c r="Y519" s="516" t="s">
        <v>470</v>
      </c>
    </row>
    <row r="520" spans="1:25" x14ac:dyDescent="0.25">
      <c r="A520" s="75" t="str">
        <f t="shared" si="19"/>
        <v>Construcción PF No_Premier Pago_Fijo_Puntual 5</v>
      </c>
      <c r="B520" s="75" t="str">
        <f t="shared" si="18"/>
        <v>Construcción PF No_Premier Pago_Fijo_Puntual 5 0.0965</v>
      </c>
      <c r="C520" s="75" t="s">
        <v>150</v>
      </c>
      <c r="D520" s="75" t="s">
        <v>132</v>
      </c>
      <c r="E520" s="75" t="s">
        <v>179</v>
      </c>
      <c r="F520" s="75"/>
      <c r="G520" s="75"/>
      <c r="H520" s="75"/>
      <c r="I520" s="75" t="s">
        <v>171</v>
      </c>
      <c r="J520" s="76">
        <v>5</v>
      </c>
      <c r="K520" s="516" t="s">
        <v>385</v>
      </c>
      <c r="L520" s="517">
        <v>21.12</v>
      </c>
      <c r="M520" s="517">
        <v>21.78</v>
      </c>
      <c r="N520" s="518">
        <v>9.6500000000000002E-2</v>
      </c>
      <c r="O520" s="518">
        <v>9.1999999999999998E-2</v>
      </c>
      <c r="P520" s="518">
        <v>0.10249999999999999</v>
      </c>
      <c r="Q520" s="78">
        <v>0.44</v>
      </c>
      <c r="R520" s="78">
        <v>0.31740000000000002</v>
      </c>
      <c r="S520" s="69">
        <v>0</v>
      </c>
      <c r="T520" s="69">
        <v>0</v>
      </c>
      <c r="U520" s="518">
        <v>0.7</v>
      </c>
      <c r="V520" s="76">
        <v>0</v>
      </c>
      <c r="W520" s="76">
        <v>0</v>
      </c>
      <c r="X520" s="76"/>
      <c r="Y520" s="516" t="s">
        <v>470</v>
      </c>
    </row>
    <row r="521" spans="1:25" x14ac:dyDescent="0.25">
      <c r="A521" s="75" t="str">
        <f t="shared" si="19"/>
        <v>Construcción PF No_Premier Pago_Fijo_Puntual 5</v>
      </c>
      <c r="B521" s="75" t="str">
        <f t="shared" si="18"/>
        <v>Construcción PF No_Premier Pago_Fijo_Puntual 5 0.103</v>
      </c>
      <c r="C521" s="75" t="s">
        <v>150</v>
      </c>
      <c r="D521" s="75" t="s">
        <v>132</v>
      </c>
      <c r="E521" s="75" t="s">
        <v>179</v>
      </c>
      <c r="F521" s="75"/>
      <c r="G521" s="75"/>
      <c r="H521" s="75"/>
      <c r="I521" s="75" t="s">
        <v>171</v>
      </c>
      <c r="J521" s="76">
        <v>5</v>
      </c>
      <c r="K521" s="516" t="s">
        <v>386</v>
      </c>
      <c r="L521" s="517">
        <v>21.44</v>
      </c>
      <c r="M521" s="517">
        <v>22.1</v>
      </c>
      <c r="N521" s="518">
        <v>0.10299999999999999</v>
      </c>
      <c r="O521" s="518">
        <v>0.1</v>
      </c>
      <c r="P521" s="518">
        <v>0.112</v>
      </c>
      <c r="Q521" s="78">
        <v>0.44</v>
      </c>
      <c r="R521" s="78">
        <v>0.31740000000000002</v>
      </c>
      <c r="S521" s="69">
        <v>0</v>
      </c>
      <c r="T521" s="69">
        <v>0</v>
      </c>
      <c r="U521" s="518">
        <v>0.7</v>
      </c>
      <c r="V521" s="76">
        <v>0</v>
      </c>
      <c r="W521" s="76">
        <v>0</v>
      </c>
      <c r="X521" s="76"/>
      <c r="Y521" s="516" t="s">
        <v>470</v>
      </c>
    </row>
    <row r="522" spans="1:25" x14ac:dyDescent="0.25">
      <c r="A522" s="75" t="str">
        <f t="shared" si="19"/>
        <v>Construcción PF Premier Pago_Fijo_Puntual Si 20</v>
      </c>
      <c r="B522" s="75" t="str">
        <f t="shared" si="18"/>
        <v>Construcción PF Premier Pago_Fijo_Puntual Si 20 0.103</v>
      </c>
      <c r="C522" s="75" t="s">
        <v>150</v>
      </c>
      <c r="D522" s="75" t="s">
        <v>132</v>
      </c>
      <c r="E522" s="75" t="s">
        <v>143</v>
      </c>
      <c r="F522" s="75"/>
      <c r="G522" s="75"/>
      <c r="H522" s="75"/>
      <c r="I522" s="75" t="s">
        <v>171</v>
      </c>
      <c r="J522" s="76">
        <v>20</v>
      </c>
      <c r="K522" s="519" t="s">
        <v>387</v>
      </c>
      <c r="L522" s="520">
        <v>10.16</v>
      </c>
      <c r="M522" s="520">
        <v>10.82</v>
      </c>
      <c r="N522" s="507">
        <v>0.10299999999999999</v>
      </c>
      <c r="O522" s="507">
        <v>0.1</v>
      </c>
      <c r="P522" s="507">
        <v>0.112</v>
      </c>
      <c r="Q522" s="78">
        <v>0.44</v>
      </c>
      <c r="R522" s="78">
        <v>0.31740000000000002</v>
      </c>
      <c r="S522" s="69">
        <v>0</v>
      </c>
      <c r="T522" s="69">
        <v>0</v>
      </c>
      <c r="U522" s="507">
        <v>0.75</v>
      </c>
      <c r="V522" s="76">
        <v>0</v>
      </c>
      <c r="W522" s="76">
        <v>0</v>
      </c>
      <c r="X522" s="76" t="s">
        <v>147</v>
      </c>
      <c r="Y522" s="519" t="s">
        <v>469</v>
      </c>
    </row>
    <row r="523" spans="1:25" x14ac:dyDescent="0.25">
      <c r="A523" s="75" t="str">
        <f t="shared" si="19"/>
        <v>Construcción PF Premier Pago_Fijo_Puntual 20</v>
      </c>
      <c r="B523" s="75" t="str">
        <f t="shared" si="18"/>
        <v>Construcción PF Premier Pago_Fijo_Puntual 20 0.106</v>
      </c>
      <c r="C523" s="75" t="s">
        <v>150</v>
      </c>
      <c r="D523" s="75" t="s">
        <v>132</v>
      </c>
      <c r="E523" s="75" t="s">
        <v>143</v>
      </c>
      <c r="F523" s="75"/>
      <c r="G523" s="75"/>
      <c r="H523" s="75"/>
      <c r="I523" s="75" t="s">
        <v>171</v>
      </c>
      <c r="J523" s="76">
        <v>20</v>
      </c>
      <c r="K523" s="519">
        <v>3</v>
      </c>
      <c r="L523" s="520">
        <v>10.41</v>
      </c>
      <c r="M523" s="520">
        <v>11.07</v>
      </c>
      <c r="N523" s="507">
        <v>0.106</v>
      </c>
      <c r="O523" s="507">
        <v>0.10299999999999999</v>
      </c>
      <c r="P523" s="507">
        <v>0.11799999999999999</v>
      </c>
      <c r="Q523" s="78">
        <v>0.44</v>
      </c>
      <c r="R523" s="78">
        <v>0.31740000000000002</v>
      </c>
      <c r="S523" s="69">
        <v>0</v>
      </c>
      <c r="T523" s="69">
        <v>0</v>
      </c>
      <c r="U523" s="507">
        <v>0.75</v>
      </c>
      <c r="V523" s="76">
        <v>0</v>
      </c>
      <c r="W523" s="76">
        <v>0</v>
      </c>
      <c r="X523" s="76"/>
      <c r="Y523" s="519" t="s">
        <v>469</v>
      </c>
    </row>
    <row r="524" spans="1:25" x14ac:dyDescent="0.25">
      <c r="A524" s="75" t="str">
        <f t="shared" si="19"/>
        <v>Construcción PF Premier Pago_Fijo_Puntual Si 15</v>
      </c>
      <c r="B524" s="75" t="str">
        <f t="shared" si="18"/>
        <v>Construcción PF Premier Pago_Fijo_Puntual Si 15 0.103</v>
      </c>
      <c r="C524" s="75" t="s">
        <v>150</v>
      </c>
      <c r="D524" s="75" t="s">
        <v>132</v>
      </c>
      <c r="E524" s="75" t="s">
        <v>143</v>
      </c>
      <c r="F524" s="75"/>
      <c r="G524" s="75"/>
      <c r="H524" s="75"/>
      <c r="I524" s="75" t="s">
        <v>171</v>
      </c>
      <c r="J524" s="76">
        <v>15</v>
      </c>
      <c r="K524" s="519" t="s">
        <v>387</v>
      </c>
      <c r="L524" s="520">
        <v>11.18</v>
      </c>
      <c r="M524" s="520">
        <v>11.84</v>
      </c>
      <c r="N524" s="507">
        <v>0.10299999999999999</v>
      </c>
      <c r="O524" s="507">
        <v>0.1</v>
      </c>
      <c r="P524" s="507">
        <v>0.112</v>
      </c>
      <c r="Q524" s="78">
        <v>0.44</v>
      </c>
      <c r="R524" s="78">
        <v>0.31740000000000002</v>
      </c>
      <c r="S524" s="69">
        <v>0</v>
      </c>
      <c r="T524" s="69">
        <v>0</v>
      </c>
      <c r="U524" s="507">
        <v>0.75</v>
      </c>
      <c r="V524" s="76">
        <v>0</v>
      </c>
      <c r="W524" s="76">
        <v>0</v>
      </c>
      <c r="X524" s="76" t="s">
        <v>147</v>
      </c>
      <c r="Y524" s="519" t="s">
        <v>469</v>
      </c>
    </row>
    <row r="525" spans="1:25" x14ac:dyDescent="0.25">
      <c r="A525" s="75" t="str">
        <f t="shared" si="19"/>
        <v>Construcción PF Premier Pago_Fijo_Puntual 15</v>
      </c>
      <c r="B525" s="75" t="str">
        <f t="shared" si="18"/>
        <v>Construcción PF Premier Pago_Fijo_Puntual 15 0.106</v>
      </c>
      <c r="C525" s="75" t="s">
        <v>150</v>
      </c>
      <c r="D525" s="75" t="s">
        <v>132</v>
      </c>
      <c r="E525" s="75" t="s">
        <v>143</v>
      </c>
      <c r="F525" s="75"/>
      <c r="G525" s="75"/>
      <c r="H525" s="75"/>
      <c r="I525" s="75" t="s">
        <v>171</v>
      </c>
      <c r="J525" s="76">
        <v>15</v>
      </c>
      <c r="K525" s="519">
        <v>3</v>
      </c>
      <c r="L525" s="520">
        <v>11.39</v>
      </c>
      <c r="M525" s="520">
        <v>12.05</v>
      </c>
      <c r="N525" s="507">
        <v>0.106</v>
      </c>
      <c r="O525" s="507">
        <v>0.10299999999999999</v>
      </c>
      <c r="P525" s="507">
        <v>0.11799999999999999</v>
      </c>
      <c r="Q525" s="78">
        <v>0.44</v>
      </c>
      <c r="R525" s="78">
        <v>0.31740000000000002</v>
      </c>
      <c r="S525" s="69">
        <v>0</v>
      </c>
      <c r="T525" s="69">
        <v>0</v>
      </c>
      <c r="U525" s="507">
        <v>0.75</v>
      </c>
      <c r="V525" s="76">
        <v>0</v>
      </c>
      <c r="W525" s="76">
        <v>0</v>
      </c>
      <c r="X525" s="76"/>
      <c r="Y525" s="519" t="s">
        <v>469</v>
      </c>
    </row>
    <row r="526" spans="1:25" x14ac:dyDescent="0.25">
      <c r="A526" s="75" t="str">
        <f t="shared" si="19"/>
        <v>Construcción PF Premier Pago_Fijo_Puntual Si 10</v>
      </c>
      <c r="B526" s="75" t="str">
        <f t="shared" si="18"/>
        <v>Construcción PF Premier Pago_Fijo_Puntual Si 10 0.103</v>
      </c>
      <c r="C526" s="75" t="s">
        <v>150</v>
      </c>
      <c r="D526" s="75" t="s">
        <v>132</v>
      </c>
      <c r="E526" s="75" t="s">
        <v>143</v>
      </c>
      <c r="F526" s="75"/>
      <c r="G526" s="75"/>
      <c r="H526" s="75"/>
      <c r="I526" s="75" t="s">
        <v>171</v>
      </c>
      <c r="J526" s="76">
        <v>10</v>
      </c>
      <c r="K526" s="519" t="s">
        <v>387</v>
      </c>
      <c r="L526" s="520">
        <v>13.54</v>
      </c>
      <c r="M526" s="520">
        <v>14.2</v>
      </c>
      <c r="N526" s="507">
        <v>0.10299999999999999</v>
      </c>
      <c r="O526" s="507">
        <v>0.1</v>
      </c>
      <c r="P526" s="507">
        <v>0.112</v>
      </c>
      <c r="Q526" s="78">
        <v>0.44</v>
      </c>
      <c r="R526" s="78">
        <v>0.31740000000000002</v>
      </c>
      <c r="S526" s="69">
        <v>0</v>
      </c>
      <c r="T526" s="69">
        <v>0</v>
      </c>
      <c r="U526" s="507">
        <v>0.75</v>
      </c>
      <c r="V526" s="76">
        <v>0</v>
      </c>
      <c r="W526" s="76">
        <v>0</v>
      </c>
      <c r="X526" s="76" t="s">
        <v>147</v>
      </c>
      <c r="Y526" s="519" t="s">
        <v>469</v>
      </c>
    </row>
    <row r="527" spans="1:25" x14ac:dyDescent="0.25">
      <c r="A527" s="75" t="str">
        <f t="shared" si="19"/>
        <v>Construcción PF Premier Pago_Fijo_Puntual 10</v>
      </c>
      <c r="B527" s="75" t="str">
        <f t="shared" si="18"/>
        <v>Construcción PF Premier Pago_Fijo_Puntual 10 0.106</v>
      </c>
      <c r="C527" s="75" t="s">
        <v>150</v>
      </c>
      <c r="D527" s="75" t="s">
        <v>132</v>
      </c>
      <c r="E527" s="75" t="s">
        <v>143</v>
      </c>
      <c r="F527" s="75"/>
      <c r="G527" s="75"/>
      <c r="H527" s="75"/>
      <c r="I527" s="75" t="s">
        <v>171</v>
      </c>
      <c r="J527" s="76">
        <v>10</v>
      </c>
      <c r="K527" s="519">
        <v>3</v>
      </c>
      <c r="L527" s="520">
        <v>13.71</v>
      </c>
      <c r="M527" s="520">
        <v>14.37</v>
      </c>
      <c r="N527" s="507">
        <v>0.106</v>
      </c>
      <c r="O527" s="507">
        <v>0.10299999999999999</v>
      </c>
      <c r="P527" s="507">
        <v>0.11799999999999999</v>
      </c>
      <c r="Q527" s="78">
        <v>0.44</v>
      </c>
      <c r="R527" s="78">
        <v>0.31740000000000002</v>
      </c>
      <c r="S527" s="69">
        <v>0</v>
      </c>
      <c r="T527" s="69">
        <v>0</v>
      </c>
      <c r="U527" s="507">
        <v>0.75</v>
      </c>
      <c r="V527" s="76">
        <v>0</v>
      </c>
      <c r="W527" s="76">
        <v>0</v>
      </c>
      <c r="X527" s="76"/>
      <c r="Y527" s="519" t="s">
        <v>469</v>
      </c>
    </row>
    <row r="528" spans="1:25" x14ac:dyDescent="0.25">
      <c r="A528" s="75" t="str">
        <f t="shared" si="19"/>
        <v>Construcción PF Premier Pago_Fijo_Puntual Si 5</v>
      </c>
      <c r="B528" s="75" t="str">
        <f t="shared" si="18"/>
        <v>Construcción PF Premier Pago_Fijo_Puntual Si 5 0.103</v>
      </c>
      <c r="C528" s="75" t="s">
        <v>150</v>
      </c>
      <c r="D528" s="75" t="s">
        <v>132</v>
      </c>
      <c r="E528" s="75" t="s">
        <v>143</v>
      </c>
      <c r="F528" s="75"/>
      <c r="G528" s="75"/>
      <c r="H528" s="75"/>
      <c r="I528" s="75" t="s">
        <v>171</v>
      </c>
      <c r="J528" s="76">
        <v>5</v>
      </c>
      <c r="K528" s="519" t="s">
        <v>387</v>
      </c>
      <c r="L528" s="520">
        <v>21.44</v>
      </c>
      <c r="M528" s="520">
        <v>22.1</v>
      </c>
      <c r="N528" s="507">
        <v>0.10299999999999999</v>
      </c>
      <c r="O528" s="507">
        <v>0.1</v>
      </c>
      <c r="P528" s="507">
        <v>0.112</v>
      </c>
      <c r="Q528" s="78">
        <v>0.44</v>
      </c>
      <c r="R528" s="78">
        <v>0.31740000000000002</v>
      </c>
      <c r="S528" s="69">
        <v>0</v>
      </c>
      <c r="T528" s="69">
        <v>0</v>
      </c>
      <c r="U528" s="507">
        <v>0.75</v>
      </c>
      <c r="V528" s="76">
        <v>0</v>
      </c>
      <c r="W528" s="76">
        <v>0</v>
      </c>
      <c r="X528" s="76" t="s">
        <v>147</v>
      </c>
      <c r="Y528" s="519" t="s">
        <v>469</v>
      </c>
    </row>
    <row r="529" spans="1:25" x14ac:dyDescent="0.25">
      <c r="A529" s="75" t="str">
        <f t="shared" si="19"/>
        <v>Construcción PF Premier Pago_Fijo_Puntual 5</v>
      </c>
      <c r="B529" s="75" t="str">
        <f t="shared" si="18"/>
        <v>Construcción PF Premier Pago_Fijo_Puntual 5 0.106</v>
      </c>
      <c r="C529" s="75" t="s">
        <v>150</v>
      </c>
      <c r="D529" s="75" t="s">
        <v>132</v>
      </c>
      <c r="E529" s="75" t="s">
        <v>143</v>
      </c>
      <c r="F529" s="75"/>
      <c r="G529" s="75"/>
      <c r="H529" s="75"/>
      <c r="I529" s="75" t="s">
        <v>171</v>
      </c>
      <c r="J529" s="76">
        <v>5</v>
      </c>
      <c r="K529" s="519">
        <v>3</v>
      </c>
      <c r="L529" s="520">
        <v>21.59</v>
      </c>
      <c r="M529" s="520">
        <v>22.25</v>
      </c>
      <c r="N529" s="507">
        <v>0.106</v>
      </c>
      <c r="O529" s="507">
        <v>0.10299999999999999</v>
      </c>
      <c r="P529" s="507">
        <v>0.11799999999999999</v>
      </c>
      <c r="Q529" s="78">
        <v>0.44</v>
      </c>
      <c r="R529" s="78">
        <v>0.31740000000000002</v>
      </c>
      <c r="S529" s="69">
        <v>0</v>
      </c>
      <c r="T529" s="69">
        <v>0</v>
      </c>
      <c r="U529" s="507">
        <v>0.75</v>
      </c>
      <c r="V529" s="76">
        <v>0</v>
      </c>
      <c r="W529" s="76">
        <v>0</v>
      </c>
      <c r="X529" s="76"/>
      <c r="Y529" s="519" t="s">
        <v>469</v>
      </c>
    </row>
    <row r="530" spans="1:25" x14ac:dyDescent="0.25">
      <c r="A530" s="75" t="str">
        <f t="shared" si="19"/>
        <v>Construcción PF Premier Pago_Fijo_Puntual 20</v>
      </c>
      <c r="B530" s="75" t="str">
        <f t="shared" si="18"/>
        <v>Construcción PF Premier Pago_Fijo_Puntual 20 0.0965</v>
      </c>
      <c r="C530" s="75" t="s">
        <v>150</v>
      </c>
      <c r="D530" s="75" t="s">
        <v>132</v>
      </c>
      <c r="E530" s="75" t="s">
        <v>143</v>
      </c>
      <c r="F530" s="75"/>
      <c r="G530" s="75"/>
      <c r="H530" s="75"/>
      <c r="I530" s="75" t="s">
        <v>171</v>
      </c>
      <c r="J530" s="76">
        <v>20</v>
      </c>
      <c r="K530" s="516" t="s">
        <v>385</v>
      </c>
      <c r="L530" s="517">
        <v>9.66</v>
      </c>
      <c r="M530" s="517">
        <v>10.32</v>
      </c>
      <c r="N530" s="518">
        <v>9.6500000000000002E-2</v>
      </c>
      <c r="O530" s="518">
        <v>9.1999999999999998E-2</v>
      </c>
      <c r="P530" s="518">
        <v>0.10249999999999999</v>
      </c>
      <c r="Q530" s="78">
        <v>0.44</v>
      </c>
      <c r="R530" s="78">
        <v>0.31740000000000002</v>
      </c>
      <c r="S530" s="69">
        <v>0</v>
      </c>
      <c r="T530" s="69">
        <v>0</v>
      </c>
      <c r="U530" s="518">
        <v>0.7</v>
      </c>
      <c r="V530" s="76">
        <v>0</v>
      </c>
      <c r="W530" s="76">
        <v>0</v>
      </c>
      <c r="X530" s="76"/>
      <c r="Y530" s="516" t="s">
        <v>470</v>
      </c>
    </row>
    <row r="531" spans="1:25" x14ac:dyDescent="0.25">
      <c r="A531" s="75" t="str">
        <f t="shared" si="19"/>
        <v>Construcción PF Premier Pago_Fijo_Puntual 20</v>
      </c>
      <c r="B531" s="75" t="str">
        <f t="shared" si="18"/>
        <v>Construcción PF Premier Pago_Fijo_Puntual 20 0.103</v>
      </c>
      <c r="C531" s="75" t="s">
        <v>150</v>
      </c>
      <c r="D531" s="75" t="s">
        <v>132</v>
      </c>
      <c r="E531" s="75" t="s">
        <v>143</v>
      </c>
      <c r="F531" s="75"/>
      <c r="G531" s="75"/>
      <c r="H531" s="75"/>
      <c r="I531" s="75" t="s">
        <v>171</v>
      </c>
      <c r="J531" s="76">
        <v>20</v>
      </c>
      <c r="K531" s="516" t="s">
        <v>386</v>
      </c>
      <c r="L531" s="517">
        <v>10.16</v>
      </c>
      <c r="M531" s="517">
        <v>10.82</v>
      </c>
      <c r="N531" s="518">
        <v>0.10299999999999999</v>
      </c>
      <c r="O531" s="518">
        <v>0.1</v>
      </c>
      <c r="P531" s="518">
        <v>0.112</v>
      </c>
      <c r="Q531" s="78">
        <v>0.44</v>
      </c>
      <c r="R531" s="78">
        <v>0.31740000000000002</v>
      </c>
      <c r="S531" s="69">
        <v>0</v>
      </c>
      <c r="T531" s="69">
        <v>0</v>
      </c>
      <c r="U531" s="518">
        <v>0.7</v>
      </c>
      <c r="V531" s="76">
        <v>0</v>
      </c>
      <c r="W531" s="76">
        <v>0</v>
      </c>
      <c r="X531" s="76"/>
      <c r="Y531" s="516" t="s">
        <v>470</v>
      </c>
    </row>
    <row r="532" spans="1:25" x14ac:dyDescent="0.25">
      <c r="A532" s="75" t="str">
        <f t="shared" si="19"/>
        <v>Construcción PF Premier Pago_Fijo_Puntual 15</v>
      </c>
      <c r="B532" s="75" t="str">
        <f t="shared" si="18"/>
        <v>Construcción PF Premier Pago_Fijo_Puntual 15 0.0965</v>
      </c>
      <c r="C532" s="75" t="s">
        <v>150</v>
      </c>
      <c r="D532" s="75" t="s">
        <v>132</v>
      </c>
      <c r="E532" s="75" t="s">
        <v>143</v>
      </c>
      <c r="F532" s="75"/>
      <c r="G532" s="75"/>
      <c r="H532" s="75"/>
      <c r="I532" s="75" t="s">
        <v>171</v>
      </c>
      <c r="J532" s="76">
        <v>15</v>
      </c>
      <c r="K532" s="516" t="s">
        <v>385</v>
      </c>
      <c r="L532" s="517">
        <v>10.73</v>
      </c>
      <c r="M532" s="517">
        <v>11.39</v>
      </c>
      <c r="N532" s="518">
        <v>9.6500000000000002E-2</v>
      </c>
      <c r="O532" s="518">
        <v>9.1999999999999998E-2</v>
      </c>
      <c r="P532" s="518">
        <v>0.10249999999999999</v>
      </c>
      <c r="Q532" s="78">
        <v>0.44</v>
      </c>
      <c r="R532" s="78">
        <v>0.31740000000000002</v>
      </c>
      <c r="S532" s="69">
        <v>0</v>
      </c>
      <c r="T532" s="69">
        <v>0</v>
      </c>
      <c r="U532" s="518">
        <v>0.7</v>
      </c>
      <c r="V532" s="76">
        <v>0</v>
      </c>
      <c r="W532" s="76">
        <v>0</v>
      </c>
      <c r="X532" s="76"/>
      <c r="Y532" s="516" t="s">
        <v>470</v>
      </c>
    </row>
    <row r="533" spans="1:25" x14ac:dyDescent="0.25">
      <c r="A533" s="75" t="str">
        <f t="shared" si="19"/>
        <v>Construcción PF Premier Pago_Fijo_Puntual 15</v>
      </c>
      <c r="B533" s="75" t="str">
        <f t="shared" si="18"/>
        <v>Construcción PF Premier Pago_Fijo_Puntual 15 0.103</v>
      </c>
      <c r="C533" s="75" t="s">
        <v>150</v>
      </c>
      <c r="D533" s="75" t="s">
        <v>132</v>
      </c>
      <c r="E533" s="75" t="s">
        <v>143</v>
      </c>
      <c r="F533" s="75"/>
      <c r="G533" s="75"/>
      <c r="H533" s="75"/>
      <c r="I533" s="75" t="s">
        <v>171</v>
      </c>
      <c r="J533" s="76">
        <v>15</v>
      </c>
      <c r="K533" s="516" t="s">
        <v>386</v>
      </c>
      <c r="L533" s="517">
        <v>11.18</v>
      </c>
      <c r="M533" s="517">
        <v>11.84</v>
      </c>
      <c r="N533" s="518">
        <v>0.10299999999999999</v>
      </c>
      <c r="O533" s="518">
        <v>0.1</v>
      </c>
      <c r="P533" s="518">
        <v>0.112</v>
      </c>
      <c r="Q533" s="78">
        <v>0.44</v>
      </c>
      <c r="R533" s="78">
        <v>0.31740000000000002</v>
      </c>
      <c r="S533" s="69">
        <v>0</v>
      </c>
      <c r="T533" s="69">
        <v>0</v>
      </c>
      <c r="U533" s="518">
        <v>0.7</v>
      </c>
      <c r="V533" s="76">
        <v>0</v>
      </c>
      <c r="W533" s="76">
        <v>0</v>
      </c>
      <c r="X533" s="76"/>
      <c r="Y533" s="516" t="s">
        <v>470</v>
      </c>
    </row>
    <row r="534" spans="1:25" x14ac:dyDescent="0.25">
      <c r="A534" s="75" t="str">
        <f t="shared" si="19"/>
        <v>Construcción PF Premier Pago_Fijo_Puntual 10</v>
      </c>
      <c r="B534" s="75" t="str">
        <f t="shared" si="18"/>
        <v>Construcción PF Premier Pago_Fijo_Puntual 10 0.0965</v>
      </c>
      <c r="C534" s="75" t="s">
        <v>150</v>
      </c>
      <c r="D534" s="75" t="s">
        <v>132</v>
      </c>
      <c r="E534" s="75" t="s">
        <v>143</v>
      </c>
      <c r="F534" s="75"/>
      <c r="G534" s="75"/>
      <c r="H534" s="75"/>
      <c r="I534" s="75" t="s">
        <v>171</v>
      </c>
      <c r="J534" s="76">
        <v>10</v>
      </c>
      <c r="K534" s="516" t="s">
        <v>385</v>
      </c>
      <c r="L534" s="517">
        <v>13.54</v>
      </c>
      <c r="M534" s="517">
        <v>14.2</v>
      </c>
      <c r="N534" s="518">
        <v>9.6500000000000002E-2</v>
      </c>
      <c r="O534" s="518">
        <v>9.1999999999999998E-2</v>
      </c>
      <c r="P534" s="518">
        <v>0.10249999999999999</v>
      </c>
      <c r="Q534" s="78">
        <v>0.44</v>
      </c>
      <c r="R534" s="78">
        <v>0.31740000000000002</v>
      </c>
      <c r="S534" s="69">
        <v>0</v>
      </c>
      <c r="T534" s="69">
        <v>0</v>
      </c>
      <c r="U534" s="518">
        <v>0.7</v>
      </c>
      <c r="V534" s="76">
        <v>0</v>
      </c>
      <c r="W534" s="76">
        <v>0</v>
      </c>
      <c r="X534" s="76"/>
      <c r="Y534" s="516" t="s">
        <v>470</v>
      </c>
    </row>
    <row r="535" spans="1:25" x14ac:dyDescent="0.25">
      <c r="A535" s="75" t="str">
        <f t="shared" si="19"/>
        <v>Construcción PF Premier Pago_Fijo_Puntual 10</v>
      </c>
      <c r="B535" s="75" t="str">
        <f t="shared" si="18"/>
        <v>Construcción PF Premier Pago_Fijo_Puntual 10 0.103</v>
      </c>
      <c r="C535" s="75" t="s">
        <v>150</v>
      </c>
      <c r="D535" s="75" t="s">
        <v>132</v>
      </c>
      <c r="E535" s="75" t="s">
        <v>143</v>
      </c>
      <c r="F535" s="75"/>
      <c r="G535" s="75"/>
      <c r="H535" s="75"/>
      <c r="I535" s="75" t="s">
        <v>171</v>
      </c>
      <c r="J535" s="76">
        <v>10</v>
      </c>
      <c r="K535" s="516" t="s">
        <v>386</v>
      </c>
      <c r="L535" s="517">
        <v>13.54</v>
      </c>
      <c r="M535" s="517">
        <v>14.2</v>
      </c>
      <c r="N535" s="518">
        <v>0.10299999999999999</v>
      </c>
      <c r="O535" s="518">
        <v>0.1</v>
      </c>
      <c r="P535" s="518">
        <v>0.112</v>
      </c>
      <c r="Q535" s="78">
        <v>0.44</v>
      </c>
      <c r="R535" s="78">
        <v>0.31740000000000002</v>
      </c>
      <c r="S535" s="69">
        <v>0</v>
      </c>
      <c r="T535" s="69">
        <v>0</v>
      </c>
      <c r="U535" s="518">
        <v>0.7</v>
      </c>
      <c r="V535" s="76">
        <v>0</v>
      </c>
      <c r="W535" s="76">
        <v>0</v>
      </c>
      <c r="X535" s="76"/>
      <c r="Y535" s="516" t="s">
        <v>470</v>
      </c>
    </row>
    <row r="536" spans="1:25" x14ac:dyDescent="0.25">
      <c r="A536" s="75" t="str">
        <f t="shared" si="19"/>
        <v>Construcción PF Premier Pago_Fijo_Puntual 5</v>
      </c>
      <c r="B536" s="75" t="str">
        <f t="shared" si="18"/>
        <v>Construcción PF Premier Pago_Fijo_Puntual 5 0.0965</v>
      </c>
      <c r="C536" s="75" t="s">
        <v>150</v>
      </c>
      <c r="D536" s="75" t="s">
        <v>132</v>
      </c>
      <c r="E536" s="75" t="s">
        <v>143</v>
      </c>
      <c r="F536" s="75"/>
      <c r="G536" s="75"/>
      <c r="H536" s="75"/>
      <c r="I536" s="75" t="s">
        <v>171</v>
      </c>
      <c r="J536" s="76">
        <v>5</v>
      </c>
      <c r="K536" s="516" t="s">
        <v>385</v>
      </c>
      <c r="L536" s="517">
        <v>21.12</v>
      </c>
      <c r="M536" s="517">
        <v>21.78</v>
      </c>
      <c r="N536" s="518">
        <v>9.6500000000000002E-2</v>
      </c>
      <c r="O536" s="518">
        <v>9.1999999999999998E-2</v>
      </c>
      <c r="P536" s="518">
        <v>0.10249999999999999</v>
      </c>
      <c r="Q536" s="78">
        <v>0.44</v>
      </c>
      <c r="R536" s="78">
        <v>0.31740000000000002</v>
      </c>
      <c r="S536" s="69">
        <v>0</v>
      </c>
      <c r="T536" s="69">
        <v>0</v>
      </c>
      <c r="U536" s="518">
        <v>0.7</v>
      </c>
      <c r="V536" s="76">
        <v>0</v>
      </c>
      <c r="W536" s="76">
        <v>0</v>
      </c>
      <c r="X536" s="76"/>
      <c r="Y536" s="516" t="s">
        <v>470</v>
      </c>
    </row>
    <row r="537" spans="1:25" x14ac:dyDescent="0.25">
      <c r="A537" s="75" t="str">
        <f t="shared" si="19"/>
        <v>Construcción PF Premier Pago_Fijo_Puntual 5</v>
      </c>
      <c r="B537" s="75" t="str">
        <f t="shared" si="18"/>
        <v>Construcción PF Premier Pago_Fijo_Puntual 5 0.103</v>
      </c>
      <c r="C537" s="75" t="s">
        <v>150</v>
      </c>
      <c r="D537" s="75" t="s">
        <v>132</v>
      </c>
      <c r="E537" s="75" t="s">
        <v>143</v>
      </c>
      <c r="F537" s="75"/>
      <c r="G537" s="75"/>
      <c r="H537" s="75"/>
      <c r="I537" s="75" t="s">
        <v>171</v>
      </c>
      <c r="J537" s="76">
        <v>5</v>
      </c>
      <c r="K537" s="516" t="s">
        <v>386</v>
      </c>
      <c r="L537" s="517">
        <v>21.44</v>
      </c>
      <c r="M537" s="517">
        <v>22.1</v>
      </c>
      <c r="N537" s="518">
        <v>0.10299999999999999</v>
      </c>
      <c r="O537" s="518">
        <v>0.1</v>
      </c>
      <c r="P537" s="518">
        <v>0.112</v>
      </c>
      <c r="Q537" s="78">
        <v>0.44</v>
      </c>
      <c r="R537" s="78">
        <v>0.31740000000000002</v>
      </c>
      <c r="S537" s="69">
        <v>0</v>
      </c>
      <c r="T537" s="69">
        <v>0</v>
      </c>
      <c r="U537" s="518">
        <v>0.7</v>
      </c>
      <c r="V537" s="76">
        <v>0</v>
      </c>
      <c r="W537" s="76">
        <v>0</v>
      </c>
      <c r="X537" s="76"/>
      <c r="Y537" s="516" t="s">
        <v>470</v>
      </c>
    </row>
    <row r="538" spans="1:25" x14ac:dyDescent="0.25">
      <c r="A538" s="75" t="str">
        <f t="shared" si="19"/>
        <v>Construcción PFAE No_Premier Pago_Fijo_Puntual Si 20</v>
      </c>
      <c r="B538" s="75" t="str">
        <f t="shared" si="18"/>
        <v>Construcción PFAE No_Premier Pago_Fijo_Puntual Si 20 0.103</v>
      </c>
      <c r="C538" s="75" t="s">
        <v>150</v>
      </c>
      <c r="D538" s="75" t="s">
        <v>168</v>
      </c>
      <c r="E538" s="75" t="s">
        <v>179</v>
      </c>
      <c r="F538" s="75"/>
      <c r="G538" s="75"/>
      <c r="H538" s="75"/>
      <c r="I538" s="75" t="s">
        <v>171</v>
      </c>
      <c r="J538" s="76">
        <v>20</v>
      </c>
      <c r="K538" s="519" t="s">
        <v>387</v>
      </c>
      <c r="L538" s="520">
        <v>10.16</v>
      </c>
      <c r="M538" s="520">
        <v>10.82</v>
      </c>
      <c r="N538" s="507">
        <v>0.10299999999999999</v>
      </c>
      <c r="O538" s="507">
        <v>0.1</v>
      </c>
      <c r="P538" s="507">
        <v>0.112</v>
      </c>
      <c r="Q538" s="78">
        <v>0.44</v>
      </c>
      <c r="R538" s="78">
        <v>0.31740000000000002</v>
      </c>
      <c r="S538" s="69">
        <v>0</v>
      </c>
      <c r="T538" s="69">
        <v>0</v>
      </c>
      <c r="U538" s="507">
        <v>0.75</v>
      </c>
      <c r="V538" s="76">
        <v>0</v>
      </c>
      <c r="W538" s="76">
        <v>0</v>
      </c>
      <c r="X538" s="76" t="s">
        <v>147</v>
      </c>
      <c r="Y538" s="519" t="s">
        <v>469</v>
      </c>
    </row>
    <row r="539" spans="1:25" x14ac:dyDescent="0.25">
      <c r="A539" s="75" t="str">
        <f t="shared" si="19"/>
        <v>Construcción PFAE No_Premier Pago_Fijo_Puntual Si 15</v>
      </c>
      <c r="B539" s="75" t="str">
        <f t="shared" si="18"/>
        <v>Construcción PFAE No_Premier Pago_Fijo_Puntual Si 15 0.103</v>
      </c>
      <c r="C539" s="75" t="s">
        <v>150</v>
      </c>
      <c r="D539" s="75" t="s">
        <v>168</v>
      </c>
      <c r="E539" s="75" t="s">
        <v>179</v>
      </c>
      <c r="F539" s="75"/>
      <c r="G539" s="75"/>
      <c r="H539" s="75"/>
      <c r="I539" s="75" t="s">
        <v>171</v>
      </c>
      <c r="J539" s="76">
        <v>15</v>
      </c>
      <c r="K539" s="519" t="s">
        <v>387</v>
      </c>
      <c r="L539" s="520">
        <v>11.18</v>
      </c>
      <c r="M539" s="520">
        <v>11.84</v>
      </c>
      <c r="N539" s="507">
        <v>0.10299999999999999</v>
      </c>
      <c r="O539" s="507">
        <v>0.1</v>
      </c>
      <c r="P539" s="507">
        <v>0.112</v>
      </c>
      <c r="Q539" s="78">
        <v>0.44</v>
      </c>
      <c r="R539" s="78">
        <v>0.31740000000000002</v>
      </c>
      <c r="S539" s="69">
        <v>0</v>
      </c>
      <c r="T539" s="69">
        <v>0</v>
      </c>
      <c r="U539" s="507">
        <v>0.75</v>
      </c>
      <c r="V539" s="76">
        <v>0</v>
      </c>
      <c r="W539" s="76">
        <v>0</v>
      </c>
      <c r="X539" s="76" t="s">
        <v>147</v>
      </c>
      <c r="Y539" s="519" t="s">
        <v>469</v>
      </c>
    </row>
    <row r="540" spans="1:25" x14ac:dyDescent="0.25">
      <c r="A540" s="75" t="str">
        <f t="shared" si="19"/>
        <v>Construcción PFAE No_Premier Pago_Fijo_Puntual Si 10</v>
      </c>
      <c r="B540" s="75" t="str">
        <f t="shared" ref="B540:B589" si="20">CONCATENATE(A540," ",N540)</f>
        <v>Construcción PFAE No_Premier Pago_Fijo_Puntual Si 10 0.103</v>
      </c>
      <c r="C540" s="75" t="s">
        <v>150</v>
      </c>
      <c r="D540" s="75" t="s">
        <v>168</v>
      </c>
      <c r="E540" s="75" t="s">
        <v>179</v>
      </c>
      <c r="F540" s="75"/>
      <c r="G540" s="75"/>
      <c r="H540" s="75"/>
      <c r="I540" s="75" t="s">
        <v>171</v>
      </c>
      <c r="J540" s="76">
        <v>10</v>
      </c>
      <c r="K540" s="519" t="s">
        <v>387</v>
      </c>
      <c r="L540" s="520">
        <v>13.54</v>
      </c>
      <c r="M540" s="520">
        <v>14.2</v>
      </c>
      <c r="N540" s="507">
        <v>0.10299999999999999</v>
      </c>
      <c r="O540" s="507">
        <v>0.1</v>
      </c>
      <c r="P540" s="507">
        <v>0.112</v>
      </c>
      <c r="Q540" s="78">
        <v>0.44</v>
      </c>
      <c r="R540" s="78">
        <v>0.31740000000000002</v>
      </c>
      <c r="S540" s="69">
        <v>0</v>
      </c>
      <c r="T540" s="69">
        <v>0</v>
      </c>
      <c r="U540" s="507">
        <v>0.75</v>
      </c>
      <c r="V540" s="76">
        <v>0</v>
      </c>
      <c r="W540" s="76">
        <v>0</v>
      </c>
      <c r="X540" s="76" t="s">
        <v>147</v>
      </c>
      <c r="Y540" s="519" t="s">
        <v>469</v>
      </c>
    </row>
    <row r="541" spans="1:25" x14ac:dyDescent="0.25">
      <c r="A541" s="75" t="str">
        <f t="shared" ref="A541:A590" si="21">TRIM(CONCATENATE(C541," ",D541," ",E541," ",F541," ",G541," ",I541," ",X541," ",J541))</f>
        <v>Construcción PFAE No_Premier Pago_Fijo_Puntual Si 5</v>
      </c>
      <c r="B541" s="75" t="str">
        <f t="shared" si="20"/>
        <v>Construcción PFAE No_Premier Pago_Fijo_Puntual Si 5 0.103</v>
      </c>
      <c r="C541" s="75" t="s">
        <v>150</v>
      </c>
      <c r="D541" s="75" t="s">
        <v>168</v>
      </c>
      <c r="E541" s="75" t="s">
        <v>179</v>
      </c>
      <c r="F541" s="75"/>
      <c r="G541" s="75"/>
      <c r="H541" s="75"/>
      <c r="I541" s="75" t="s">
        <v>171</v>
      </c>
      <c r="J541" s="76">
        <v>5</v>
      </c>
      <c r="K541" s="519" t="s">
        <v>387</v>
      </c>
      <c r="L541" s="520">
        <v>21.44</v>
      </c>
      <c r="M541" s="520">
        <v>22.1</v>
      </c>
      <c r="N541" s="507">
        <v>0.10299999999999999</v>
      </c>
      <c r="O541" s="507">
        <v>0.1</v>
      </c>
      <c r="P541" s="507">
        <v>0.112</v>
      </c>
      <c r="Q541" s="78">
        <v>0.44</v>
      </c>
      <c r="R541" s="78">
        <v>0.31740000000000002</v>
      </c>
      <c r="S541" s="69">
        <v>0</v>
      </c>
      <c r="T541" s="69">
        <v>0</v>
      </c>
      <c r="U541" s="507">
        <v>0.75</v>
      </c>
      <c r="V541" s="76">
        <v>0</v>
      </c>
      <c r="W541" s="76">
        <v>0</v>
      </c>
      <c r="X541" s="76" t="s">
        <v>147</v>
      </c>
      <c r="Y541" s="519" t="s">
        <v>469</v>
      </c>
    </row>
    <row r="542" spans="1:25" x14ac:dyDescent="0.25">
      <c r="A542" s="75" t="str">
        <f t="shared" si="21"/>
        <v>Construcción PFAE No_Premier Pago_Fijo_Puntual 20</v>
      </c>
      <c r="B542" s="75" t="str">
        <f t="shared" si="20"/>
        <v>Construcción PFAE No_Premier Pago_Fijo_Puntual 20 0.0965</v>
      </c>
      <c r="C542" s="75" t="s">
        <v>150</v>
      </c>
      <c r="D542" s="75" t="s">
        <v>168</v>
      </c>
      <c r="E542" s="75" t="s">
        <v>179</v>
      </c>
      <c r="F542" s="75"/>
      <c r="G542" s="75"/>
      <c r="H542" s="75"/>
      <c r="I542" s="75" t="s">
        <v>171</v>
      </c>
      <c r="J542" s="76">
        <v>20</v>
      </c>
      <c r="K542" s="516" t="s">
        <v>385</v>
      </c>
      <c r="L542" s="517">
        <v>9.66</v>
      </c>
      <c r="M542" s="517">
        <v>10.32</v>
      </c>
      <c r="N542" s="518">
        <v>9.6500000000000002E-2</v>
      </c>
      <c r="O542" s="518">
        <v>9.1999999999999998E-2</v>
      </c>
      <c r="P542" s="518">
        <v>0.10249999999999999</v>
      </c>
      <c r="Q542" s="78">
        <v>0.44</v>
      </c>
      <c r="R542" s="78">
        <v>0.31740000000000002</v>
      </c>
      <c r="S542" s="69">
        <v>0</v>
      </c>
      <c r="T542" s="69">
        <v>0</v>
      </c>
      <c r="U542" s="518">
        <v>0.7</v>
      </c>
      <c r="V542" s="76">
        <v>0</v>
      </c>
      <c r="W542" s="76">
        <v>0</v>
      </c>
      <c r="X542" s="76"/>
      <c r="Y542" s="516" t="s">
        <v>470</v>
      </c>
    </row>
    <row r="543" spans="1:25" x14ac:dyDescent="0.25">
      <c r="A543" s="75" t="str">
        <f t="shared" si="21"/>
        <v>Construcción PFAE No_Premier Pago_Fijo_Puntual 20</v>
      </c>
      <c r="B543" s="75" t="str">
        <f t="shared" si="20"/>
        <v>Construcción PFAE No_Premier Pago_Fijo_Puntual 20 0.103</v>
      </c>
      <c r="C543" s="75" t="s">
        <v>150</v>
      </c>
      <c r="D543" s="75" t="s">
        <v>168</v>
      </c>
      <c r="E543" s="75" t="s">
        <v>179</v>
      </c>
      <c r="F543" s="75"/>
      <c r="G543" s="75"/>
      <c r="H543" s="75"/>
      <c r="I543" s="75" t="s">
        <v>171</v>
      </c>
      <c r="J543" s="76">
        <v>20</v>
      </c>
      <c r="K543" s="516" t="s">
        <v>386</v>
      </c>
      <c r="L543" s="517">
        <v>10.16</v>
      </c>
      <c r="M543" s="517">
        <v>10.82</v>
      </c>
      <c r="N543" s="518">
        <v>0.10299999999999999</v>
      </c>
      <c r="O543" s="518">
        <v>0.1</v>
      </c>
      <c r="P543" s="518">
        <v>0.112</v>
      </c>
      <c r="Q543" s="78">
        <v>0.44</v>
      </c>
      <c r="R543" s="78">
        <v>0.31740000000000002</v>
      </c>
      <c r="S543" s="69">
        <v>0</v>
      </c>
      <c r="T543" s="69">
        <v>0</v>
      </c>
      <c r="U543" s="518">
        <v>0.7</v>
      </c>
      <c r="V543" s="76">
        <v>0</v>
      </c>
      <c r="W543" s="76">
        <v>0</v>
      </c>
      <c r="X543" s="76"/>
      <c r="Y543" s="516" t="s">
        <v>470</v>
      </c>
    </row>
    <row r="544" spans="1:25" x14ac:dyDescent="0.25">
      <c r="A544" s="75" t="str">
        <f t="shared" si="21"/>
        <v>Construcción PFAE No_Premier Pago_Fijo_Puntual 15</v>
      </c>
      <c r="B544" s="75" t="str">
        <f t="shared" si="20"/>
        <v>Construcción PFAE No_Premier Pago_Fijo_Puntual 15 0.0965</v>
      </c>
      <c r="C544" s="75" t="s">
        <v>150</v>
      </c>
      <c r="D544" s="75" t="s">
        <v>168</v>
      </c>
      <c r="E544" s="75" t="s">
        <v>179</v>
      </c>
      <c r="F544" s="75"/>
      <c r="G544" s="75"/>
      <c r="H544" s="75"/>
      <c r="I544" s="75" t="s">
        <v>171</v>
      </c>
      <c r="J544" s="76">
        <v>15</v>
      </c>
      <c r="K544" s="516" t="s">
        <v>385</v>
      </c>
      <c r="L544" s="517">
        <v>10.73</v>
      </c>
      <c r="M544" s="517">
        <v>11.39</v>
      </c>
      <c r="N544" s="518">
        <v>9.6500000000000002E-2</v>
      </c>
      <c r="O544" s="518">
        <v>9.1999999999999998E-2</v>
      </c>
      <c r="P544" s="518">
        <v>0.10249999999999999</v>
      </c>
      <c r="Q544" s="78">
        <v>0.44</v>
      </c>
      <c r="R544" s="78">
        <v>0.31740000000000002</v>
      </c>
      <c r="S544" s="69">
        <v>0</v>
      </c>
      <c r="T544" s="69">
        <v>0</v>
      </c>
      <c r="U544" s="518">
        <v>0.7</v>
      </c>
      <c r="V544" s="76">
        <v>0</v>
      </c>
      <c r="W544" s="76">
        <v>0</v>
      </c>
      <c r="X544" s="76"/>
      <c r="Y544" s="516" t="s">
        <v>470</v>
      </c>
    </row>
    <row r="545" spans="1:25" x14ac:dyDescent="0.25">
      <c r="A545" s="75" t="str">
        <f t="shared" si="21"/>
        <v>Construcción PFAE No_Premier Pago_Fijo_Puntual 15</v>
      </c>
      <c r="B545" s="75" t="str">
        <f t="shared" si="20"/>
        <v>Construcción PFAE No_Premier Pago_Fijo_Puntual 15 0.103</v>
      </c>
      <c r="C545" s="75" t="s">
        <v>150</v>
      </c>
      <c r="D545" s="75" t="s">
        <v>168</v>
      </c>
      <c r="E545" s="75" t="s">
        <v>179</v>
      </c>
      <c r="F545" s="75"/>
      <c r="G545" s="75"/>
      <c r="H545" s="75"/>
      <c r="I545" s="75" t="s">
        <v>171</v>
      </c>
      <c r="J545" s="76">
        <v>15</v>
      </c>
      <c r="K545" s="516" t="s">
        <v>386</v>
      </c>
      <c r="L545" s="517">
        <v>11.18</v>
      </c>
      <c r="M545" s="517">
        <v>11.84</v>
      </c>
      <c r="N545" s="518">
        <v>0.10299999999999999</v>
      </c>
      <c r="O545" s="518">
        <v>0.1</v>
      </c>
      <c r="P545" s="518">
        <v>0.112</v>
      </c>
      <c r="Q545" s="78">
        <v>0.44</v>
      </c>
      <c r="R545" s="78">
        <v>0.31740000000000002</v>
      </c>
      <c r="S545" s="69">
        <v>0</v>
      </c>
      <c r="T545" s="69">
        <v>0</v>
      </c>
      <c r="U545" s="518">
        <v>0.7</v>
      </c>
      <c r="V545" s="76">
        <v>0</v>
      </c>
      <c r="W545" s="76">
        <v>0</v>
      </c>
      <c r="X545" s="76"/>
      <c r="Y545" s="516" t="s">
        <v>470</v>
      </c>
    </row>
    <row r="546" spans="1:25" x14ac:dyDescent="0.25">
      <c r="A546" s="75" t="str">
        <f t="shared" si="21"/>
        <v>Construcción PFAE No_Premier Pago_Fijo_Puntual 10</v>
      </c>
      <c r="B546" s="75" t="str">
        <f t="shared" si="20"/>
        <v>Construcción PFAE No_Premier Pago_Fijo_Puntual 10 0.0965</v>
      </c>
      <c r="C546" s="75" t="s">
        <v>150</v>
      </c>
      <c r="D546" s="75" t="s">
        <v>168</v>
      </c>
      <c r="E546" s="75" t="s">
        <v>179</v>
      </c>
      <c r="F546" s="75"/>
      <c r="G546" s="75"/>
      <c r="H546" s="75"/>
      <c r="I546" s="75" t="s">
        <v>171</v>
      </c>
      <c r="J546" s="76">
        <v>10</v>
      </c>
      <c r="K546" s="516" t="s">
        <v>385</v>
      </c>
      <c r="L546" s="517">
        <v>13.54</v>
      </c>
      <c r="M546" s="517">
        <v>14.2</v>
      </c>
      <c r="N546" s="518">
        <v>9.6500000000000002E-2</v>
      </c>
      <c r="O546" s="518">
        <v>9.1999999999999998E-2</v>
      </c>
      <c r="P546" s="518">
        <v>0.10249999999999999</v>
      </c>
      <c r="Q546" s="78">
        <v>0.44</v>
      </c>
      <c r="R546" s="78">
        <v>0.31740000000000002</v>
      </c>
      <c r="S546" s="69">
        <v>0</v>
      </c>
      <c r="T546" s="69">
        <v>0</v>
      </c>
      <c r="U546" s="518">
        <v>0.7</v>
      </c>
      <c r="V546" s="76">
        <v>0</v>
      </c>
      <c r="W546" s="76">
        <v>0</v>
      </c>
      <c r="X546" s="76"/>
      <c r="Y546" s="516" t="s">
        <v>470</v>
      </c>
    </row>
    <row r="547" spans="1:25" x14ac:dyDescent="0.25">
      <c r="A547" s="75" t="str">
        <f t="shared" si="21"/>
        <v>Construcción PFAE No_Premier Pago_Fijo_Puntual 10</v>
      </c>
      <c r="B547" s="75" t="str">
        <f t="shared" si="20"/>
        <v>Construcción PFAE No_Premier Pago_Fijo_Puntual 10 0.103</v>
      </c>
      <c r="C547" s="75" t="s">
        <v>150</v>
      </c>
      <c r="D547" s="75" t="s">
        <v>168</v>
      </c>
      <c r="E547" s="75" t="s">
        <v>179</v>
      </c>
      <c r="F547" s="75"/>
      <c r="G547" s="75"/>
      <c r="H547" s="75"/>
      <c r="I547" s="75" t="s">
        <v>171</v>
      </c>
      <c r="J547" s="76">
        <v>10</v>
      </c>
      <c r="K547" s="516" t="s">
        <v>386</v>
      </c>
      <c r="L547" s="517">
        <v>13.54</v>
      </c>
      <c r="M547" s="517">
        <v>14.2</v>
      </c>
      <c r="N547" s="518">
        <v>0.10299999999999999</v>
      </c>
      <c r="O547" s="518">
        <v>0.1</v>
      </c>
      <c r="P547" s="518">
        <v>0.112</v>
      </c>
      <c r="Q547" s="78">
        <v>0.44</v>
      </c>
      <c r="R547" s="78">
        <v>0.31740000000000002</v>
      </c>
      <c r="S547" s="69">
        <v>0</v>
      </c>
      <c r="T547" s="69">
        <v>0</v>
      </c>
      <c r="U547" s="518">
        <v>0.7</v>
      </c>
      <c r="V547" s="76">
        <v>0</v>
      </c>
      <c r="W547" s="76">
        <v>0</v>
      </c>
      <c r="X547" s="76"/>
      <c r="Y547" s="516" t="s">
        <v>470</v>
      </c>
    </row>
    <row r="548" spans="1:25" x14ac:dyDescent="0.25">
      <c r="A548" s="75" t="str">
        <f t="shared" si="21"/>
        <v>Construcción PFAE No_Premier Pago_Fijo_Puntual 5</v>
      </c>
      <c r="B548" s="75" t="str">
        <f t="shared" si="20"/>
        <v>Construcción PFAE No_Premier Pago_Fijo_Puntual 5 0.0965</v>
      </c>
      <c r="C548" s="75" t="s">
        <v>150</v>
      </c>
      <c r="D548" s="75" t="s">
        <v>168</v>
      </c>
      <c r="E548" s="75" t="s">
        <v>179</v>
      </c>
      <c r="F548" s="75"/>
      <c r="G548" s="75"/>
      <c r="H548" s="75"/>
      <c r="I548" s="75" t="s">
        <v>171</v>
      </c>
      <c r="J548" s="76">
        <v>5</v>
      </c>
      <c r="K548" s="516" t="s">
        <v>385</v>
      </c>
      <c r="L548" s="517">
        <v>21.12</v>
      </c>
      <c r="M548" s="517">
        <v>21.78</v>
      </c>
      <c r="N548" s="518">
        <v>9.6500000000000002E-2</v>
      </c>
      <c r="O548" s="518">
        <v>9.1999999999999998E-2</v>
      </c>
      <c r="P548" s="518">
        <v>0.10249999999999999</v>
      </c>
      <c r="Q548" s="78">
        <v>0.44</v>
      </c>
      <c r="R548" s="78">
        <v>0.31740000000000002</v>
      </c>
      <c r="S548" s="69">
        <v>0</v>
      </c>
      <c r="T548" s="69">
        <v>0</v>
      </c>
      <c r="U548" s="518">
        <v>0.7</v>
      </c>
      <c r="V548" s="76">
        <v>0</v>
      </c>
      <c r="W548" s="76">
        <v>0</v>
      </c>
      <c r="X548" s="76"/>
      <c r="Y548" s="516" t="s">
        <v>470</v>
      </c>
    </row>
    <row r="549" spans="1:25" x14ac:dyDescent="0.25">
      <c r="A549" s="75" t="str">
        <f t="shared" si="21"/>
        <v>Construcción PFAE No_Premier Pago_Fijo_Puntual 5</v>
      </c>
      <c r="B549" s="75" t="str">
        <f t="shared" si="20"/>
        <v>Construcción PFAE No_Premier Pago_Fijo_Puntual 5 0.103</v>
      </c>
      <c r="C549" s="75" t="s">
        <v>150</v>
      </c>
      <c r="D549" s="75" t="s">
        <v>168</v>
      </c>
      <c r="E549" s="75" t="s">
        <v>179</v>
      </c>
      <c r="F549" s="75"/>
      <c r="G549" s="75"/>
      <c r="H549" s="75"/>
      <c r="I549" s="75" t="s">
        <v>171</v>
      </c>
      <c r="J549" s="76">
        <v>5</v>
      </c>
      <c r="K549" s="516" t="s">
        <v>386</v>
      </c>
      <c r="L549" s="517">
        <v>21.44</v>
      </c>
      <c r="M549" s="517">
        <v>22.1</v>
      </c>
      <c r="N549" s="518">
        <v>0.10299999999999999</v>
      </c>
      <c r="O549" s="518">
        <v>0.1</v>
      </c>
      <c r="P549" s="518">
        <v>0.112</v>
      </c>
      <c r="Q549" s="78">
        <v>0.44</v>
      </c>
      <c r="R549" s="78">
        <v>0.31740000000000002</v>
      </c>
      <c r="S549" s="69">
        <v>0</v>
      </c>
      <c r="T549" s="69">
        <v>0</v>
      </c>
      <c r="U549" s="518">
        <v>0.7</v>
      </c>
      <c r="V549" s="76">
        <v>0</v>
      </c>
      <c r="W549" s="76">
        <v>0</v>
      </c>
      <c r="X549" s="76"/>
      <c r="Y549" s="516" t="s">
        <v>470</v>
      </c>
    </row>
    <row r="550" spans="1:25" x14ac:dyDescent="0.25">
      <c r="A550" s="75" t="str">
        <f t="shared" si="21"/>
        <v>Construcción PFAE Premier Pago_Fijo_Puntual Si 20</v>
      </c>
      <c r="B550" s="75" t="str">
        <f t="shared" si="20"/>
        <v>Construcción PFAE Premier Pago_Fijo_Puntual Si 20 0.103</v>
      </c>
      <c r="C550" s="75" t="s">
        <v>150</v>
      </c>
      <c r="D550" s="75" t="s">
        <v>168</v>
      </c>
      <c r="E550" s="75" t="s">
        <v>143</v>
      </c>
      <c r="F550" s="75"/>
      <c r="G550" s="75"/>
      <c r="H550" s="75"/>
      <c r="I550" s="75" t="s">
        <v>171</v>
      </c>
      <c r="J550" s="76">
        <v>20</v>
      </c>
      <c r="K550" s="519" t="s">
        <v>387</v>
      </c>
      <c r="L550" s="520">
        <v>10.16</v>
      </c>
      <c r="M550" s="520">
        <v>10.82</v>
      </c>
      <c r="N550" s="507">
        <v>0.10299999999999999</v>
      </c>
      <c r="O550" s="507">
        <v>0.1</v>
      </c>
      <c r="P550" s="507">
        <v>0.112</v>
      </c>
      <c r="Q550" s="78">
        <v>0.44</v>
      </c>
      <c r="R550" s="78">
        <v>0.31740000000000002</v>
      </c>
      <c r="S550" s="69">
        <v>0</v>
      </c>
      <c r="T550" s="69">
        <v>0</v>
      </c>
      <c r="U550" s="507">
        <v>0.75</v>
      </c>
      <c r="V550" s="76">
        <v>0</v>
      </c>
      <c r="W550" s="76">
        <v>0</v>
      </c>
      <c r="X550" s="76" t="s">
        <v>147</v>
      </c>
      <c r="Y550" s="519" t="s">
        <v>469</v>
      </c>
    </row>
    <row r="551" spans="1:25" x14ac:dyDescent="0.25">
      <c r="A551" s="75" t="str">
        <f t="shared" si="21"/>
        <v>Construcción PFAE Premier Pago_Fijo_Puntual Si 15</v>
      </c>
      <c r="B551" s="75" t="str">
        <f t="shared" si="20"/>
        <v>Construcción PFAE Premier Pago_Fijo_Puntual Si 15 0.103</v>
      </c>
      <c r="C551" s="75" t="s">
        <v>150</v>
      </c>
      <c r="D551" s="75" t="s">
        <v>168</v>
      </c>
      <c r="E551" s="75" t="s">
        <v>143</v>
      </c>
      <c r="F551" s="75"/>
      <c r="G551" s="75"/>
      <c r="H551" s="75"/>
      <c r="I551" s="75" t="s">
        <v>171</v>
      </c>
      <c r="J551" s="76">
        <v>15</v>
      </c>
      <c r="K551" s="519" t="s">
        <v>387</v>
      </c>
      <c r="L551" s="520">
        <v>11.18</v>
      </c>
      <c r="M551" s="520">
        <v>11.84</v>
      </c>
      <c r="N551" s="507">
        <v>0.10299999999999999</v>
      </c>
      <c r="O551" s="507">
        <v>0.1</v>
      </c>
      <c r="P551" s="507">
        <v>0.112</v>
      </c>
      <c r="Q551" s="78">
        <v>0.44</v>
      </c>
      <c r="R551" s="78">
        <v>0.31740000000000002</v>
      </c>
      <c r="S551" s="69">
        <v>0</v>
      </c>
      <c r="T551" s="69">
        <v>0</v>
      </c>
      <c r="U551" s="507">
        <v>0.75</v>
      </c>
      <c r="V551" s="76">
        <v>0</v>
      </c>
      <c r="W551" s="76">
        <v>0</v>
      </c>
      <c r="X551" s="76" t="s">
        <v>147</v>
      </c>
      <c r="Y551" s="519" t="s">
        <v>469</v>
      </c>
    </row>
    <row r="552" spans="1:25" x14ac:dyDescent="0.25">
      <c r="A552" s="75" t="str">
        <f t="shared" si="21"/>
        <v>Construcción PFAE Premier Pago_Fijo_Puntual Si 10</v>
      </c>
      <c r="B552" s="75" t="str">
        <f t="shared" si="20"/>
        <v>Construcción PFAE Premier Pago_Fijo_Puntual Si 10 0.103</v>
      </c>
      <c r="C552" s="75" t="s">
        <v>150</v>
      </c>
      <c r="D552" s="75" t="s">
        <v>168</v>
      </c>
      <c r="E552" s="75" t="s">
        <v>143</v>
      </c>
      <c r="F552" s="75"/>
      <c r="G552" s="75"/>
      <c r="H552" s="75"/>
      <c r="I552" s="75" t="s">
        <v>171</v>
      </c>
      <c r="J552" s="76">
        <v>10</v>
      </c>
      <c r="K552" s="519" t="s">
        <v>387</v>
      </c>
      <c r="L552" s="520">
        <v>13.54</v>
      </c>
      <c r="M552" s="520">
        <v>14.2</v>
      </c>
      <c r="N552" s="507">
        <v>0.10299999999999999</v>
      </c>
      <c r="O552" s="507">
        <v>0.1</v>
      </c>
      <c r="P552" s="507">
        <v>0.112</v>
      </c>
      <c r="Q552" s="78">
        <v>0.44</v>
      </c>
      <c r="R552" s="78">
        <v>0.31740000000000002</v>
      </c>
      <c r="S552" s="69">
        <v>0</v>
      </c>
      <c r="T552" s="69">
        <v>0</v>
      </c>
      <c r="U552" s="507">
        <v>0.75</v>
      </c>
      <c r="V552" s="76">
        <v>0</v>
      </c>
      <c r="W552" s="76">
        <v>0</v>
      </c>
      <c r="X552" s="76" t="s">
        <v>147</v>
      </c>
      <c r="Y552" s="519" t="s">
        <v>469</v>
      </c>
    </row>
    <row r="553" spans="1:25" x14ac:dyDescent="0.25">
      <c r="A553" s="75" t="str">
        <f t="shared" si="21"/>
        <v>Construcción PFAE Premier Pago_Fijo_Puntual Si 5</v>
      </c>
      <c r="B553" s="75" t="str">
        <f t="shared" si="20"/>
        <v>Construcción PFAE Premier Pago_Fijo_Puntual Si 5 0.103</v>
      </c>
      <c r="C553" s="75" t="s">
        <v>150</v>
      </c>
      <c r="D553" s="75" t="s">
        <v>168</v>
      </c>
      <c r="E553" s="75" t="s">
        <v>143</v>
      </c>
      <c r="F553" s="75"/>
      <c r="G553" s="75"/>
      <c r="H553" s="75"/>
      <c r="I553" s="75" t="s">
        <v>171</v>
      </c>
      <c r="J553" s="76">
        <v>5</v>
      </c>
      <c r="K553" s="519" t="s">
        <v>387</v>
      </c>
      <c r="L553" s="520">
        <v>21.44</v>
      </c>
      <c r="M553" s="520">
        <v>22.1</v>
      </c>
      <c r="N553" s="507">
        <v>0.10299999999999999</v>
      </c>
      <c r="O553" s="507">
        <v>0.1</v>
      </c>
      <c r="P553" s="507">
        <v>0.112</v>
      </c>
      <c r="Q553" s="78">
        <v>0.44</v>
      </c>
      <c r="R553" s="78">
        <v>0.31740000000000002</v>
      </c>
      <c r="S553" s="69">
        <v>0</v>
      </c>
      <c r="T553" s="69">
        <v>0</v>
      </c>
      <c r="U553" s="507">
        <v>0.75</v>
      </c>
      <c r="V553" s="76">
        <v>0</v>
      </c>
      <c r="W553" s="76">
        <v>0</v>
      </c>
      <c r="X553" s="76" t="s">
        <v>147</v>
      </c>
      <c r="Y553" s="519" t="s">
        <v>469</v>
      </c>
    </row>
    <row r="554" spans="1:25" x14ac:dyDescent="0.25">
      <c r="A554" s="75" t="str">
        <f t="shared" si="21"/>
        <v>Construcción PFAE Premier Pago_Fijo_Puntual 20</v>
      </c>
      <c r="B554" s="75" t="str">
        <f t="shared" si="20"/>
        <v>Construcción PFAE Premier Pago_Fijo_Puntual 20 0.0965</v>
      </c>
      <c r="C554" s="75" t="s">
        <v>150</v>
      </c>
      <c r="D554" s="75" t="s">
        <v>168</v>
      </c>
      <c r="E554" s="75" t="s">
        <v>143</v>
      </c>
      <c r="F554" s="75"/>
      <c r="G554" s="75"/>
      <c r="H554" s="75"/>
      <c r="I554" s="75" t="s">
        <v>171</v>
      </c>
      <c r="J554" s="76">
        <v>20</v>
      </c>
      <c r="K554" s="516" t="s">
        <v>385</v>
      </c>
      <c r="L554" s="517">
        <v>9.66</v>
      </c>
      <c r="M554" s="517">
        <v>10.32</v>
      </c>
      <c r="N554" s="518">
        <v>9.6500000000000002E-2</v>
      </c>
      <c r="O554" s="518">
        <v>9.1999999999999998E-2</v>
      </c>
      <c r="P554" s="518">
        <v>0.10249999999999999</v>
      </c>
      <c r="Q554" s="78">
        <v>0.44</v>
      </c>
      <c r="R554" s="78">
        <v>0.31740000000000002</v>
      </c>
      <c r="S554" s="69">
        <v>0</v>
      </c>
      <c r="T554" s="69">
        <v>0</v>
      </c>
      <c r="U554" s="518">
        <v>0.7</v>
      </c>
      <c r="V554" s="76">
        <v>0</v>
      </c>
      <c r="W554" s="76">
        <v>0</v>
      </c>
      <c r="X554" s="76"/>
      <c r="Y554" s="516" t="s">
        <v>470</v>
      </c>
    </row>
    <row r="555" spans="1:25" x14ac:dyDescent="0.25">
      <c r="A555" s="75" t="str">
        <f t="shared" si="21"/>
        <v>Construcción PFAE Premier Pago_Fijo_Puntual 20</v>
      </c>
      <c r="B555" s="75" t="str">
        <f t="shared" si="20"/>
        <v>Construcción PFAE Premier Pago_Fijo_Puntual 20 0.103</v>
      </c>
      <c r="C555" s="75" t="s">
        <v>150</v>
      </c>
      <c r="D555" s="75" t="s">
        <v>168</v>
      </c>
      <c r="E555" s="75" t="s">
        <v>143</v>
      </c>
      <c r="F555" s="75"/>
      <c r="G555" s="75"/>
      <c r="H555" s="75"/>
      <c r="I555" s="75" t="s">
        <v>171</v>
      </c>
      <c r="J555" s="76">
        <v>20</v>
      </c>
      <c r="K555" s="516" t="s">
        <v>386</v>
      </c>
      <c r="L555" s="517">
        <v>10.16</v>
      </c>
      <c r="M555" s="517">
        <v>10.82</v>
      </c>
      <c r="N555" s="518">
        <v>0.10299999999999999</v>
      </c>
      <c r="O555" s="518">
        <v>0.1</v>
      </c>
      <c r="P555" s="518">
        <v>0.112</v>
      </c>
      <c r="Q555" s="78">
        <v>0.44</v>
      </c>
      <c r="R555" s="78">
        <v>0.31740000000000002</v>
      </c>
      <c r="S555" s="69">
        <v>0</v>
      </c>
      <c r="T555" s="69">
        <v>0</v>
      </c>
      <c r="U555" s="518">
        <v>0.7</v>
      </c>
      <c r="V555" s="76">
        <v>0</v>
      </c>
      <c r="W555" s="76">
        <v>0</v>
      </c>
      <c r="X555" s="76"/>
      <c r="Y555" s="516" t="s">
        <v>470</v>
      </c>
    </row>
    <row r="556" spans="1:25" x14ac:dyDescent="0.25">
      <c r="A556" s="75" t="str">
        <f t="shared" si="21"/>
        <v>Construcción PFAE Premier Pago_Fijo_Puntual 15</v>
      </c>
      <c r="B556" s="75" t="str">
        <f t="shared" si="20"/>
        <v>Construcción PFAE Premier Pago_Fijo_Puntual 15 0.0965</v>
      </c>
      <c r="C556" s="75" t="s">
        <v>150</v>
      </c>
      <c r="D556" s="75" t="s">
        <v>168</v>
      </c>
      <c r="E556" s="75" t="s">
        <v>143</v>
      </c>
      <c r="F556" s="75"/>
      <c r="G556" s="75"/>
      <c r="H556" s="75"/>
      <c r="I556" s="75" t="s">
        <v>171</v>
      </c>
      <c r="J556" s="76">
        <v>15</v>
      </c>
      <c r="K556" s="516" t="s">
        <v>385</v>
      </c>
      <c r="L556" s="517">
        <v>10.73</v>
      </c>
      <c r="M556" s="517">
        <v>11.39</v>
      </c>
      <c r="N556" s="518">
        <v>9.6500000000000002E-2</v>
      </c>
      <c r="O556" s="518">
        <v>9.1999999999999998E-2</v>
      </c>
      <c r="P556" s="518">
        <v>0.10249999999999999</v>
      </c>
      <c r="Q556" s="78">
        <v>0.44</v>
      </c>
      <c r="R556" s="78">
        <v>0.31740000000000002</v>
      </c>
      <c r="S556" s="69">
        <v>0</v>
      </c>
      <c r="T556" s="69">
        <v>0</v>
      </c>
      <c r="U556" s="518">
        <v>0.7</v>
      </c>
      <c r="V556" s="76">
        <v>0</v>
      </c>
      <c r="W556" s="76">
        <v>0</v>
      </c>
      <c r="X556" s="76"/>
      <c r="Y556" s="516" t="s">
        <v>470</v>
      </c>
    </row>
    <row r="557" spans="1:25" x14ac:dyDescent="0.25">
      <c r="A557" s="75" t="str">
        <f t="shared" si="21"/>
        <v>Construcción PFAE Premier Pago_Fijo_Puntual 15</v>
      </c>
      <c r="B557" s="75" t="str">
        <f t="shared" si="20"/>
        <v>Construcción PFAE Premier Pago_Fijo_Puntual 15 0.103</v>
      </c>
      <c r="C557" s="75" t="s">
        <v>150</v>
      </c>
      <c r="D557" s="75" t="s">
        <v>168</v>
      </c>
      <c r="E557" s="75" t="s">
        <v>143</v>
      </c>
      <c r="F557" s="75"/>
      <c r="G557" s="75"/>
      <c r="H557" s="75"/>
      <c r="I557" s="75" t="s">
        <v>171</v>
      </c>
      <c r="J557" s="76">
        <v>15</v>
      </c>
      <c r="K557" s="516" t="s">
        <v>386</v>
      </c>
      <c r="L557" s="517">
        <v>11.18</v>
      </c>
      <c r="M557" s="517">
        <v>11.84</v>
      </c>
      <c r="N557" s="518">
        <v>0.10299999999999999</v>
      </c>
      <c r="O557" s="518">
        <v>0.1</v>
      </c>
      <c r="P557" s="518">
        <v>0.112</v>
      </c>
      <c r="Q557" s="78">
        <v>0.44</v>
      </c>
      <c r="R557" s="78">
        <v>0.31740000000000002</v>
      </c>
      <c r="S557" s="69">
        <v>0</v>
      </c>
      <c r="T557" s="69">
        <v>0</v>
      </c>
      <c r="U557" s="518">
        <v>0.7</v>
      </c>
      <c r="V557" s="76">
        <v>0</v>
      </c>
      <c r="W557" s="76">
        <v>0</v>
      </c>
      <c r="X557" s="76"/>
      <c r="Y557" s="516" t="s">
        <v>470</v>
      </c>
    </row>
    <row r="558" spans="1:25" x14ac:dyDescent="0.25">
      <c r="A558" s="75" t="str">
        <f t="shared" si="21"/>
        <v>Construcción PFAE Premier Pago_Fijo_Puntual 10</v>
      </c>
      <c r="B558" s="75" t="str">
        <f t="shared" si="20"/>
        <v>Construcción PFAE Premier Pago_Fijo_Puntual 10 0.0965</v>
      </c>
      <c r="C558" s="75" t="s">
        <v>150</v>
      </c>
      <c r="D558" s="75" t="s">
        <v>168</v>
      </c>
      <c r="E558" s="75" t="s">
        <v>143</v>
      </c>
      <c r="F558" s="75"/>
      <c r="G558" s="75"/>
      <c r="H558" s="75"/>
      <c r="I558" s="75" t="s">
        <v>171</v>
      </c>
      <c r="J558" s="76">
        <v>10</v>
      </c>
      <c r="K558" s="516" t="s">
        <v>385</v>
      </c>
      <c r="L558" s="517">
        <v>13.54</v>
      </c>
      <c r="M558" s="517">
        <v>14.2</v>
      </c>
      <c r="N558" s="518">
        <v>9.6500000000000002E-2</v>
      </c>
      <c r="O558" s="518">
        <v>9.1999999999999998E-2</v>
      </c>
      <c r="P558" s="518">
        <v>0.10249999999999999</v>
      </c>
      <c r="Q558" s="78">
        <v>0.44</v>
      </c>
      <c r="R558" s="78">
        <v>0.31740000000000002</v>
      </c>
      <c r="S558" s="69">
        <v>0</v>
      </c>
      <c r="T558" s="69">
        <v>0</v>
      </c>
      <c r="U558" s="518">
        <v>0.7</v>
      </c>
      <c r="V558" s="76">
        <v>0</v>
      </c>
      <c r="W558" s="76">
        <v>0</v>
      </c>
      <c r="X558" s="76"/>
      <c r="Y558" s="516" t="s">
        <v>470</v>
      </c>
    </row>
    <row r="559" spans="1:25" x14ac:dyDescent="0.25">
      <c r="A559" s="75" t="str">
        <f t="shared" si="21"/>
        <v>Construcción PFAE Premier Pago_Fijo_Puntual 10</v>
      </c>
      <c r="B559" s="75" t="str">
        <f t="shared" si="20"/>
        <v>Construcción PFAE Premier Pago_Fijo_Puntual 10 0.103</v>
      </c>
      <c r="C559" s="75" t="s">
        <v>150</v>
      </c>
      <c r="D559" s="75" t="s">
        <v>168</v>
      </c>
      <c r="E559" s="75" t="s">
        <v>143</v>
      </c>
      <c r="F559" s="75"/>
      <c r="G559" s="75"/>
      <c r="H559" s="75"/>
      <c r="I559" s="75" t="s">
        <v>171</v>
      </c>
      <c r="J559" s="76">
        <v>10</v>
      </c>
      <c r="K559" s="516" t="s">
        <v>386</v>
      </c>
      <c r="L559" s="517">
        <v>13.54</v>
      </c>
      <c r="M559" s="517">
        <v>14.2</v>
      </c>
      <c r="N559" s="518">
        <v>0.10299999999999999</v>
      </c>
      <c r="O559" s="518">
        <v>0.1</v>
      </c>
      <c r="P559" s="518">
        <v>0.112</v>
      </c>
      <c r="Q559" s="78">
        <v>0.44</v>
      </c>
      <c r="R559" s="78">
        <v>0.31740000000000002</v>
      </c>
      <c r="S559" s="69">
        <v>0</v>
      </c>
      <c r="T559" s="69">
        <v>0</v>
      </c>
      <c r="U559" s="518">
        <v>0.7</v>
      </c>
      <c r="V559" s="76">
        <v>0</v>
      </c>
      <c r="W559" s="76">
        <v>0</v>
      </c>
      <c r="X559" s="76"/>
      <c r="Y559" s="516" t="s">
        <v>470</v>
      </c>
    </row>
    <row r="560" spans="1:25" x14ac:dyDescent="0.25">
      <c r="A560" s="75" t="str">
        <f t="shared" si="21"/>
        <v>Construcción PFAE Premier Pago_Fijo_Puntual 5</v>
      </c>
      <c r="B560" s="75" t="str">
        <f t="shared" si="20"/>
        <v>Construcción PFAE Premier Pago_Fijo_Puntual 5 0.0965</v>
      </c>
      <c r="C560" s="75" t="s">
        <v>150</v>
      </c>
      <c r="D560" s="75" t="s">
        <v>168</v>
      </c>
      <c r="E560" s="75" t="s">
        <v>143</v>
      </c>
      <c r="F560" s="75"/>
      <c r="G560" s="75"/>
      <c r="H560" s="75"/>
      <c r="I560" s="75" t="s">
        <v>171</v>
      </c>
      <c r="J560" s="76">
        <v>5</v>
      </c>
      <c r="K560" s="516" t="s">
        <v>385</v>
      </c>
      <c r="L560" s="517">
        <v>21.12</v>
      </c>
      <c r="M560" s="517">
        <v>21.78</v>
      </c>
      <c r="N560" s="518">
        <v>9.6500000000000002E-2</v>
      </c>
      <c r="O560" s="518">
        <v>9.1999999999999998E-2</v>
      </c>
      <c r="P560" s="518">
        <v>0.10249999999999999</v>
      </c>
      <c r="Q560" s="78">
        <v>0.44</v>
      </c>
      <c r="R560" s="78">
        <v>0.31740000000000002</v>
      </c>
      <c r="S560" s="69">
        <v>0</v>
      </c>
      <c r="T560" s="69">
        <v>0</v>
      </c>
      <c r="U560" s="518">
        <v>0.7</v>
      </c>
      <c r="V560" s="76">
        <v>0</v>
      </c>
      <c r="W560" s="76">
        <v>0</v>
      </c>
      <c r="X560" s="76"/>
      <c r="Y560" s="516" t="s">
        <v>470</v>
      </c>
    </row>
    <row r="561" spans="1:25" x14ac:dyDescent="0.25">
      <c r="A561" s="75" t="str">
        <f t="shared" si="21"/>
        <v>Construcción PFAE Premier Pago_Fijo_Puntual 5</v>
      </c>
      <c r="B561" s="75" t="str">
        <f t="shared" si="20"/>
        <v>Construcción PFAE Premier Pago_Fijo_Puntual 5 0.103</v>
      </c>
      <c r="C561" s="75" t="s">
        <v>150</v>
      </c>
      <c r="D561" s="75" t="s">
        <v>168</v>
      </c>
      <c r="E561" s="75" t="s">
        <v>143</v>
      </c>
      <c r="F561" s="75"/>
      <c r="G561" s="75"/>
      <c r="H561" s="75"/>
      <c r="I561" s="75" t="s">
        <v>171</v>
      </c>
      <c r="J561" s="76">
        <v>5</v>
      </c>
      <c r="K561" s="516" t="s">
        <v>386</v>
      </c>
      <c r="L561" s="517">
        <v>21.44</v>
      </c>
      <c r="M561" s="517">
        <v>22.1</v>
      </c>
      <c r="N561" s="518">
        <v>0.10299999999999999</v>
      </c>
      <c r="O561" s="518">
        <v>0.1</v>
      </c>
      <c r="P561" s="518">
        <v>0.112</v>
      </c>
      <c r="Q561" s="78">
        <v>0.44</v>
      </c>
      <c r="R561" s="78">
        <v>0.31740000000000002</v>
      </c>
      <c r="S561" s="69">
        <v>0</v>
      </c>
      <c r="T561" s="69">
        <v>0</v>
      </c>
      <c r="U561" s="518">
        <v>0.7</v>
      </c>
      <c r="V561" s="76">
        <v>0</v>
      </c>
      <c r="W561" s="76">
        <v>0</v>
      </c>
      <c r="X561" s="76"/>
      <c r="Y561" s="516" t="s">
        <v>470</v>
      </c>
    </row>
    <row r="562" spans="1:25" x14ac:dyDescent="0.25">
      <c r="A562" s="75" t="str">
        <f t="shared" si="21"/>
        <v>Construcción PROF No_Premier Pago_Fijo_Puntual Si 20</v>
      </c>
      <c r="B562" s="75" t="str">
        <f t="shared" si="20"/>
        <v>Construcción PROF No_Premier Pago_Fijo_Puntual Si 20 0.103</v>
      </c>
      <c r="C562" s="75" t="s">
        <v>150</v>
      </c>
      <c r="D562" s="75" t="s">
        <v>169</v>
      </c>
      <c r="E562" s="75" t="s">
        <v>179</v>
      </c>
      <c r="F562" s="75"/>
      <c r="G562" s="75"/>
      <c r="H562" s="75"/>
      <c r="I562" s="75" t="s">
        <v>171</v>
      </c>
      <c r="J562" s="76">
        <v>20</v>
      </c>
      <c r="K562" s="519" t="s">
        <v>387</v>
      </c>
      <c r="L562" s="520">
        <v>10.16</v>
      </c>
      <c r="M562" s="520">
        <v>10.82</v>
      </c>
      <c r="N562" s="507">
        <v>0.10299999999999999</v>
      </c>
      <c r="O562" s="507">
        <v>0.1</v>
      </c>
      <c r="P562" s="507">
        <v>0.112</v>
      </c>
      <c r="Q562" s="78">
        <v>0.44</v>
      </c>
      <c r="R562" s="78">
        <v>0.31740000000000002</v>
      </c>
      <c r="S562" s="69">
        <v>0</v>
      </c>
      <c r="T562" s="69">
        <v>0</v>
      </c>
      <c r="U562" s="507">
        <v>0.75</v>
      </c>
      <c r="V562" s="76">
        <v>0</v>
      </c>
      <c r="W562" s="76">
        <v>0</v>
      </c>
      <c r="X562" s="76" t="s">
        <v>147</v>
      </c>
      <c r="Y562" s="519" t="s">
        <v>469</v>
      </c>
    </row>
    <row r="563" spans="1:25" x14ac:dyDescent="0.25">
      <c r="A563" s="75" t="str">
        <f t="shared" si="21"/>
        <v>Construcción PROF No_Premier Pago_Fijo_Puntual Si 15</v>
      </c>
      <c r="B563" s="75" t="str">
        <f t="shared" si="20"/>
        <v>Construcción PROF No_Premier Pago_Fijo_Puntual Si 15 0.103</v>
      </c>
      <c r="C563" s="75" t="s">
        <v>150</v>
      </c>
      <c r="D563" s="75" t="s">
        <v>169</v>
      </c>
      <c r="E563" s="75" t="s">
        <v>179</v>
      </c>
      <c r="F563" s="75"/>
      <c r="G563" s="75"/>
      <c r="H563" s="75"/>
      <c r="I563" s="75" t="s">
        <v>171</v>
      </c>
      <c r="J563" s="76">
        <v>15</v>
      </c>
      <c r="K563" s="519" t="s">
        <v>387</v>
      </c>
      <c r="L563" s="520">
        <v>11.18</v>
      </c>
      <c r="M563" s="520">
        <v>11.84</v>
      </c>
      <c r="N563" s="507">
        <v>0.10299999999999999</v>
      </c>
      <c r="O563" s="507">
        <v>0.1</v>
      </c>
      <c r="P563" s="507">
        <v>0.112</v>
      </c>
      <c r="Q563" s="78">
        <v>0.44</v>
      </c>
      <c r="R563" s="78">
        <v>0.31740000000000002</v>
      </c>
      <c r="S563" s="69">
        <v>0</v>
      </c>
      <c r="T563" s="69">
        <v>0</v>
      </c>
      <c r="U563" s="507">
        <v>0.75</v>
      </c>
      <c r="V563" s="76">
        <v>0</v>
      </c>
      <c r="W563" s="76">
        <v>0</v>
      </c>
      <c r="X563" s="76" t="s">
        <v>147</v>
      </c>
      <c r="Y563" s="519" t="s">
        <v>469</v>
      </c>
    </row>
    <row r="564" spans="1:25" x14ac:dyDescent="0.25">
      <c r="A564" s="75" t="str">
        <f t="shared" si="21"/>
        <v>Construcción PROF No_Premier Pago_Fijo_Puntual Si 10</v>
      </c>
      <c r="B564" s="75" t="str">
        <f t="shared" si="20"/>
        <v>Construcción PROF No_Premier Pago_Fijo_Puntual Si 10 0.103</v>
      </c>
      <c r="C564" s="75" t="s">
        <v>150</v>
      </c>
      <c r="D564" s="75" t="s">
        <v>169</v>
      </c>
      <c r="E564" s="75" t="s">
        <v>179</v>
      </c>
      <c r="F564" s="75"/>
      <c r="G564" s="75"/>
      <c r="H564" s="75"/>
      <c r="I564" s="75" t="s">
        <v>171</v>
      </c>
      <c r="J564" s="76">
        <v>10</v>
      </c>
      <c r="K564" s="519" t="s">
        <v>387</v>
      </c>
      <c r="L564" s="520">
        <v>13.54</v>
      </c>
      <c r="M564" s="520">
        <v>14.2</v>
      </c>
      <c r="N564" s="507">
        <v>0.10299999999999999</v>
      </c>
      <c r="O564" s="507">
        <v>0.1</v>
      </c>
      <c r="P564" s="507">
        <v>0.112</v>
      </c>
      <c r="Q564" s="78">
        <v>0.44</v>
      </c>
      <c r="R564" s="78">
        <v>0.31740000000000002</v>
      </c>
      <c r="S564" s="69">
        <v>0</v>
      </c>
      <c r="T564" s="69">
        <v>0</v>
      </c>
      <c r="U564" s="507">
        <v>0.75</v>
      </c>
      <c r="V564" s="76">
        <v>0</v>
      </c>
      <c r="W564" s="76">
        <v>0</v>
      </c>
      <c r="X564" s="76" t="s">
        <v>147</v>
      </c>
      <c r="Y564" s="519" t="s">
        <v>469</v>
      </c>
    </row>
    <row r="565" spans="1:25" x14ac:dyDescent="0.25">
      <c r="A565" s="75" t="str">
        <f t="shared" si="21"/>
        <v>Construcción PROF No_Premier Pago_Fijo_Puntual Si 5</v>
      </c>
      <c r="B565" s="75" t="str">
        <f t="shared" si="20"/>
        <v>Construcción PROF No_Premier Pago_Fijo_Puntual Si 5 0.103</v>
      </c>
      <c r="C565" s="75" t="s">
        <v>150</v>
      </c>
      <c r="D565" s="75" t="s">
        <v>169</v>
      </c>
      <c r="E565" s="75" t="s">
        <v>179</v>
      </c>
      <c r="F565" s="75"/>
      <c r="G565" s="75"/>
      <c r="H565" s="75"/>
      <c r="I565" s="75" t="s">
        <v>171</v>
      </c>
      <c r="J565" s="76">
        <v>5</v>
      </c>
      <c r="K565" s="519" t="s">
        <v>387</v>
      </c>
      <c r="L565" s="520">
        <v>21.44</v>
      </c>
      <c r="M565" s="520">
        <v>22.1</v>
      </c>
      <c r="N565" s="507">
        <v>0.10299999999999999</v>
      </c>
      <c r="O565" s="507">
        <v>0.1</v>
      </c>
      <c r="P565" s="507">
        <v>0.112</v>
      </c>
      <c r="Q565" s="78">
        <v>0.44</v>
      </c>
      <c r="R565" s="78">
        <v>0.31740000000000002</v>
      </c>
      <c r="S565" s="69">
        <v>0</v>
      </c>
      <c r="T565" s="69">
        <v>0</v>
      </c>
      <c r="U565" s="507">
        <v>0.75</v>
      </c>
      <c r="V565" s="76">
        <v>0</v>
      </c>
      <c r="W565" s="76">
        <v>0</v>
      </c>
      <c r="X565" s="76" t="s">
        <v>147</v>
      </c>
      <c r="Y565" s="519" t="s">
        <v>469</v>
      </c>
    </row>
    <row r="566" spans="1:25" x14ac:dyDescent="0.25">
      <c r="A566" s="75" t="str">
        <f t="shared" si="21"/>
        <v>Construcción PROF No_Premier Pago_Fijo_Puntual 20</v>
      </c>
      <c r="B566" s="75" t="str">
        <f t="shared" si="20"/>
        <v>Construcción PROF No_Premier Pago_Fijo_Puntual 20 0.0965</v>
      </c>
      <c r="C566" s="75" t="s">
        <v>150</v>
      </c>
      <c r="D566" s="75" t="s">
        <v>169</v>
      </c>
      <c r="E566" s="75" t="s">
        <v>179</v>
      </c>
      <c r="F566" s="75"/>
      <c r="G566" s="75"/>
      <c r="H566" s="75"/>
      <c r="I566" s="75" t="s">
        <v>171</v>
      </c>
      <c r="J566" s="76">
        <v>20</v>
      </c>
      <c r="K566" s="516" t="s">
        <v>385</v>
      </c>
      <c r="L566" s="517">
        <v>9.66</v>
      </c>
      <c r="M566" s="517">
        <v>10.32</v>
      </c>
      <c r="N566" s="518">
        <v>9.6500000000000002E-2</v>
      </c>
      <c r="O566" s="518">
        <v>9.1999999999999998E-2</v>
      </c>
      <c r="P566" s="518">
        <v>0.10249999999999999</v>
      </c>
      <c r="Q566" s="78">
        <v>0.44</v>
      </c>
      <c r="R566" s="78">
        <v>0.31740000000000002</v>
      </c>
      <c r="S566" s="69">
        <v>0</v>
      </c>
      <c r="T566" s="69">
        <v>0</v>
      </c>
      <c r="U566" s="518">
        <v>0.7</v>
      </c>
      <c r="V566" s="76">
        <v>0</v>
      </c>
      <c r="W566" s="76">
        <v>0</v>
      </c>
      <c r="X566" s="76"/>
      <c r="Y566" s="516" t="s">
        <v>470</v>
      </c>
    </row>
    <row r="567" spans="1:25" x14ac:dyDescent="0.25">
      <c r="A567" s="75" t="str">
        <f t="shared" si="21"/>
        <v>Construcción PROF No_Premier Pago_Fijo_Puntual 20</v>
      </c>
      <c r="B567" s="75" t="str">
        <f t="shared" si="20"/>
        <v>Construcción PROF No_Premier Pago_Fijo_Puntual 20 0.103</v>
      </c>
      <c r="C567" s="75" t="s">
        <v>150</v>
      </c>
      <c r="D567" s="75" t="s">
        <v>169</v>
      </c>
      <c r="E567" s="75" t="s">
        <v>179</v>
      </c>
      <c r="F567" s="75"/>
      <c r="G567" s="75"/>
      <c r="H567" s="75"/>
      <c r="I567" s="75" t="s">
        <v>171</v>
      </c>
      <c r="J567" s="76">
        <v>20</v>
      </c>
      <c r="K567" s="516" t="s">
        <v>386</v>
      </c>
      <c r="L567" s="517">
        <v>10.16</v>
      </c>
      <c r="M567" s="517">
        <v>10.82</v>
      </c>
      <c r="N567" s="518">
        <v>0.10299999999999999</v>
      </c>
      <c r="O567" s="518">
        <v>0.1</v>
      </c>
      <c r="P567" s="518">
        <v>0.112</v>
      </c>
      <c r="Q567" s="78">
        <v>0.44</v>
      </c>
      <c r="R567" s="78">
        <v>0.31740000000000002</v>
      </c>
      <c r="S567" s="69">
        <v>0</v>
      </c>
      <c r="T567" s="69">
        <v>0</v>
      </c>
      <c r="U567" s="518">
        <v>0.7</v>
      </c>
      <c r="V567" s="76">
        <v>0</v>
      </c>
      <c r="W567" s="76">
        <v>0</v>
      </c>
      <c r="X567" s="76"/>
      <c r="Y567" s="516" t="s">
        <v>470</v>
      </c>
    </row>
    <row r="568" spans="1:25" x14ac:dyDescent="0.25">
      <c r="A568" s="75" t="str">
        <f t="shared" si="21"/>
        <v>Construcción PROF No_Premier Pago_Fijo_Puntual 15</v>
      </c>
      <c r="B568" s="75" t="str">
        <f t="shared" si="20"/>
        <v>Construcción PROF No_Premier Pago_Fijo_Puntual 15 0.0965</v>
      </c>
      <c r="C568" s="75" t="s">
        <v>150</v>
      </c>
      <c r="D568" s="75" t="s">
        <v>169</v>
      </c>
      <c r="E568" s="75" t="s">
        <v>179</v>
      </c>
      <c r="F568" s="75"/>
      <c r="G568" s="75"/>
      <c r="H568" s="75"/>
      <c r="I568" s="75" t="s">
        <v>171</v>
      </c>
      <c r="J568" s="76">
        <v>15</v>
      </c>
      <c r="K568" s="516" t="s">
        <v>385</v>
      </c>
      <c r="L568" s="517">
        <v>10.73</v>
      </c>
      <c r="M568" s="517">
        <v>11.39</v>
      </c>
      <c r="N568" s="518">
        <v>9.6500000000000002E-2</v>
      </c>
      <c r="O568" s="518">
        <v>9.1999999999999998E-2</v>
      </c>
      <c r="P568" s="518">
        <v>0.10249999999999999</v>
      </c>
      <c r="Q568" s="78">
        <v>0.44</v>
      </c>
      <c r="R568" s="78">
        <v>0.31740000000000002</v>
      </c>
      <c r="S568" s="69">
        <v>0</v>
      </c>
      <c r="T568" s="69">
        <v>0</v>
      </c>
      <c r="U568" s="518">
        <v>0.7</v>
      </c>
      <c r="V568" s="76">
        <v>0</v>
      </c>
      <c r="W568" s="76">
        <v>0</v>
      </c>
      <c r="X568" s="76"/>
      <c r="Y568" s="516" t="s">
        <v>470</v>
      </c>
    </row>
    <row r="569" spans="1:25" x14ac:dyDescent="0.25">
      <c r="A569" s="75" t="str">
        <f t="shared" si="21"/>
        <v>Construcción PROF No_Premier Pago_Fijo_Puntual 15</v>
      </c>
      <c r="B569" s="75" t="str">
        <f t="shared" si="20"/>
        <v>Construcción PROF No_Premier Pago_Fijo_Puntual 15 0.103</v>
      </c>
      <c r="C569" s="75" t="s">
        <v>150</v>
      </c>
      <c r="D569" s="75" t="s">
        <v>169</v>
      </c>
      <c r="E569" s="75" t="s">
        <v>179</v>
      </c>
      <c r="F569" s="75"/>
      <c r="G569" s="75"/>
      <c r="H569" s="75"/>
      <c r="I569" s="75" t="s">
        <v>171</v>
      </c>
      <c r="J569" s="76">
        <v>15</v>
      </c>
      <c r="K569" s="516" t="s">
        <v>386</v>
      </c>
      <c r="L569" s="517">
        <v>11.18</v>
      </c>
      <c r="M569" s="517">
        <v>11.84</v>
      </c>
      <c r="N569" s="518">
        <v>0.10299999999999999</v>
      </c>
      <c r="O569" s="518">
        <v>0.1</v>
      </c>
      <c r="P569" s="518">
        <v>0.112</v>
      </c>
      <c r="Q569" s="78">
        <v>0.44</v>
      </c>
      <c r="R569" s="78">
        <v>0.31740000000000002</v>
      </c>
      <c r="S569" s="69">
        <v>0</v>
      </c>
      <c r="T569" s="69">
        <v>0</v>
      </c>
      <c r="U569" s="518">
        <v>0.7</v>
      </c>
      <c r="V569" s="76">
        <v>0</v>
      </c>
      <c r="W569" s="76">
        <v>0</v>
      </c>
      <c r="X569" s="76"/>
      <c r="Y569" s="516" t="s">
        <v>470</v>
      </c>
    </row>
    <row r="570" spans="1:25" x14ac:dyDescent="0.25">
      <c r="A570" s="75" t="str">
        <f t="shared" si="21"/>
        <v>Construcción PROF No_Premier Pago_Fijo_Puntual 10</v>
      </c>
      <c r="B570" s="75" t="str">
        <f t="shared" si="20"/>
        <v>Construcción PROF No_Premier Pago_Fijo_Puntual 10 0.0965</v>
      </c>
      <c r="C570" s="75" t="s">
        <v>150</v>
      </c>
      <c r="D570" s="75" t="s">
        <v>169</v>
      </c>
      <c r="E570" s="75" t="s">
        <v>179</v>
      </c>
      <c r="F570" s="75"/>
      <c r="G570" s="75"/>
      <c r="H570" s="75"/>
      <c r="I570" s="75" t="s">
        <v>171</v>
      </c>
      <c r="J570" s="76">
        <v>10</v>
      </c>
      <c r="K570" s="516" t="s">
        <v>385</v>
      </c>
      <c r="L570" s="517">
        <v>13.54</v>
      </c>
      <c r="M570" s="517">
        <v>14.2</v>
      </c>
      <c r="N570" s="518">
        <v>9.6500000000000002E-2</v>
      </c>
      <c r="O570" s="518">
        <v>9.1999999999999998E-2</v>
      </c>
      <c r="P570" s="518">
        <v>0.10249999999999999</v>
      </c>
      <c r="Q570" s="78">
        <v>0.44</v>
      </c>
      <c r="R570" s="78">
        <v>0.31740000000000002</v>
      </c>
      <c r="S570" s="69">
        <v>0</v>
      </c>
      <c r="T570" s="69">
        <v>0</v>
      </c>
      <c r="U570" s="518">
        <v>0.7</v>
      </c>
      <c r="V570" s="76">
        <v>0</v>
      </c>
      <c r="W570" s="76">
        <v>0</v>
      </c>
      <c r="X570" s="76"/>
      <c r="Y570" s="516" t="s">
        <v>470</v>
      </c>
    </row>
    <row r="571" spans="1:25" x14ac:dyDescent="0.25">
      <c r="A571" s="75" t="str">
        <f t="shared" si="21"/>
        <v>Construcción PROF No_Premier Pago_Fijo_Puntual 10</v>
      </c>
      <c r="B571" s="75" t="str">
        <f t="shared" si="20"/>
        <v>Construcción PROF No_Premier Pago_Fijo_Puntual 10 0.103</v>
      </c>
      <c r="C571" s="75" t="s">
        <v>150</v>
      </c>
      <c r="D571" s="75" t="s">
        <v>169</v>
      </c>
      <c r="E571" s="75" t="s">
        <v>179</v>
      </c>
      <c r="F571" s="75"/>
      <c r="G571" s="75"/>
      <c r="H571" s="75"/>
      <c r="I571" s="75" t="s">
        <v>171</v>
      </c>
      <c r="J571" s="76">
        <v>10</v>
      </c>
      <c r="K571" s="516" t="s">
        <v>386</v>
      </c>
      <c r="L571" s="517">
        <v>13.54</v>
      </c>
      <c r="M571" s="517">
        <v>14.2</v>
      </c>
      <c r="N571" s="518">
        <v>0.10299999999999999</v>
      </c>
      <c r="O571" s="518">
        <v>0.1</v>
      </c>
      <c r="P571" s="518">
        <v>0.112</v>
      </c>
      <c r="Q571" s="78">
        <v>0.44</v>
      </c>
      <c r="R571" s="78">
        <v>0.31740000000000002</v>
      </c>
      <c r="S571" s="69">
        <v>0</v>
      </c>
      <c r="T571" s="69">
        <v>0</v>
      </c>
      <c r="U571" s="518">
        <v>0.7</v>
      </c>
      <c r="V571" s="76">
        <v>0</v>
      </c>
      <c r="W571" s="76">
        <v>0</v>
      </c>
      <c r="X571" s="76"/>
      <c r="Y571" s="516" t="s">
        <v>470</v>
      </c>
    </row>
    <row r="572" spans="1:25" x14ac:dyDescent="0.25">
      <c r="A572" s="75" t="str">
        <f t="shared" si="21"/>
        <v>Construcción PROF No_Premier Pago_Fijo_Puntual 5</v>
      </c>
      <c r="B572" s="75" t="str">
        <f t="shared" si="20"/>
        <v>Construcción PROF No_Premier Pago_Fijo_Puntual 5 0.0965</v>
      </c>
      <c r="C572" s="75" t="s">
        <v>150</v>
      </c>
      <c r="D572" s="75" t="s">
        <v>169</v>
      </c>
      <c r="E572" s="75" t="s">
        <v>179</v>
      </c>
      <c r="F572" s="75"/>
      <c r="G572" s="75"/>
      <c r="H572" s="75"/>
      <c r="I572" s="75" t="s">
        <v>171</v>
      </c>
      <c r="J572" s="76">
        <v>5</v>
      </c>
      <c r="K572" s="516" t="s">
        <v>385</v>
      </c>
      <c r="L572" s="517">
        <v>21.12</v>
      </c>
      <c r="M572" s="517">
        <v>21.78</v>
      </c>
      <c r="N572" s="518">
        <v>9.6500000000000002E-2</v>
      </c>
      <c r="O572" s="518">
        <v>9.1999999999999998E-2</v>
      </c>
      <c r="P572" s="518">
        <v>0.10249999999999999</v>
      </c>
      <c r="Q572" s="78">
        <v>0.44</v>
      </c>
      <c r="R572" s="78">
        <v>0.31740000000000002</v>
      </c>
      <c r="S572" s="69">
        <v>0</v>
      </c>
      <c r="T572" s="69">
        <v>0</v>
      </c>
      <c r="U572" s="518">
        <v>0.7</v>
      </c>
      <c r="V572" s="76">
        <v>0</v>
      </c>
      <c r="W572" s="76">
        <v>0</v>
      </c>
      <c r="X572" s="76"/>
      <c r="Y572" s="516" t="s">
        <v>470</v>
      </c>
    </row>
    <row r="573" spans="1:25" x14ac:dyDescent="0.25">
      <c r="A573" s="75" t="str">
        <f t="shared" si="21"/>
        <v>Construcción PROF No_Premier Pago_Fijo_Puntual 5</v>
      </c>
      <c r="B573" s="75" t="str">
        <f t="shared" si="20"/>
        <v>Construcción PROF No_Premier Pago_Fijo_Puntual 5 0.103</v>
      </c>
      <c r="C573" s="75" t="s">
        <v>150</v>
      </c>
      <c r="D573" s="75" t="s">
        <v>169</v>
      </c>
      <c r="E573" s="75" t="s">
        <v>179</v>
      </c>
      <c r="F573" s="75"/>
      <c r="G573" s="75"/>
      <c r="H573" s="75"/>
      <c r="I573" s="75" t="s">
        <v>171</v>
      </c>
      <c r="J573" s="76">
        <v>5</v>
      </c>
      <c r="K573" s="516" t="s">
        <v>386</v>
      </c>
      <c r="L573" s="517">
        <v>21.44</v>
      </c>
      <c r="M573" s="517">
        <v>22.1</v>
      </c>
      <c r="N573" s="518">
        <v>0.10299999999999999</v>
      </c>
      <c r="O573" s="518">
        <v>0.1</v>
      </c>
      <c r="P573" s="518">
        <v>0.112</v>
      </c>
      <c r="Q573" s="78">
        <v>0.44</v>
      </c>
      <c r="R573" s="78">
        <v>0.31740000000000002</v>
      </c>
      <c r="S573" s="69">
        <v>0</v>
      </c>
      <c r="T573" s="69">
        <v>0</v>
      </c>
      <c r="U573" s="518">
        <v>0.7</v>
      </c>
      <c r="V573" s="76">
        <v>0</v>
      </c>
      <c r="W573" s="76">
        <v>0</v>
      </c>
      <c r="X573" s="76"/>
      <c r="Y573" s="516" t="s">
        <v>470</v>
      </c>
    </row>
    <row r="574" spans="1:25" x14ac:dyDescent="0.25">
      <c r="A574" s="75" t="str">
        <f t="shared" si="21"/>
        <v>Construcción PROF Premier Pago_Fijo_Puntual Si 20</v>
      </c>
      <c r="B574" s="75" t="str">
        <f t="shared" si="20"/>
        <v>Construcción PROF Premier Pago_Fijo_Puntual Si 20 0.103</v>
      </c>
      <c r="C574" s="75" t="s">
        <v>150</v>
      </c>
      <c r="D574" s="75" t="s">
        <v>169</v>
      </c>
      <c r="E574" s="75" t="s">
        <v>143</v>
      </c>
      <c r="F574" s="75"/>
      <c r="G574" s="75"/>
      <c r="H574" s="75"/>
      <c r="I574" s="75" t="s">
        <v>171</v>
      </c>
      <c r="J574" s="76">
        <v>20</v>
      </c>
      <c r="K574" s="519" t="s">
        <v>387</v>
      </c>
      <c r="L574" s="520">
        <v>10.16</v>
      </c>
      <c r="M574" s="520">
        <v>10.82</v>
      </c>
      <c r="N574" s="507">
        <v>0.10299999999999999</v>
      </c>
      <c r="O574" s="507">
        <v>0.1</v>
      </c>
      <c r="P574" s="507">
        <v>0.112</v>
      </c>
      <c r="Q574" s="78">
        <v>0.44</v>
      </c>
      <c r="R574" s="78">
        <v>0.31740000000000002</v>
      </c>
      <c r="S574" s="69">
        <v>0</v>
      </c>
      <c r="T574" s="69">
        <v>0</v>
      </c>
      <c r="U574" s="507">
        <v>0.75</v>
      </c>
      <c r="V574" s="76">
        <v>0</v>
      </c>
      <c r="W574" s="76">
        <v>0</v>
      </c>
      <c r="X574" s="76" t="s">
        <v>147</v>
      </c>
      <c r="Y574" s="519" t="s">
        <v>469</v>
      </c>
    </row>
    <row r="575" spans="1:25" x14ac:dyDescent="0.25">
      <c r="A575" s="75" t="str">
        <f t="shared" si="21"/>
        <v>Construcción PROF Premier Pago_Fijo_Puntual Si 15</v>
      </c>
      <c r="B575" s="75" t="str">
        <f t="shared" si="20"/>
        <v>Construcción PROF Premier Pago_Fijo_Puntual Si 15 0.103</v>
      </c>
      <c r="C575" s="75" t="s">
        <v>150</v>
      </c>
      <c r="D575" s="75" t="s">
        <v>169</v>
      </c>
      <c r="E575" s="75" t="s">
        <v>143</v>
      </c>
      <c r="F575" s="75"/>
      <c r="G575" s="75"/>
      <c r="H575" s="75"/>
      <c r="I575" s="75" t="s">
        <v>171</v>
      </c>
      <c r="J575" s="76">
        <v>15</v>
      </c>
      <c r="K575" s="519" t="s">
        <v>387</v>
      </c>
      <c r="L575" s="520">
        <v>11.18</v>
      </c>
      <c r="M575" s="520">
        <v>11.84</v>
      </c>
      <c r="N575" s="507">
        <v>0.10299999999999999</v>
      </c>
      <c r="O575" s="507">
        <v>0.1</v>
      </c>
      <c r="P575" s="507">
        <v>0.112</v>
      </c>
      <c r="Q575" s="78">
        <v>0.44</v>
      </c>
      <c r="R575" s="78">
        <v>0.31740000000000002</v>
      </c>
      <c r="S575" s="69">
        <v>0</v>
      </c>
      <c r="T575" s="69">
        <v>0</v>
      </c>
      <c r="U575" s="507">
        <v>0.75</v>
      </c>
      <c r="V575" s="76">
        <v>0</v>
      </c>
      <c r="W575" s="76">
        <v>0</v>
      </c>
      <c r="X575" s="76" t="s">
        <v>147</v>
      </c>
      <c r="Y575" s="519" t="s">
        <v>469</v>
      </c>
    </row>
    <row r="576" spans="1:25" x14ac:dyDescent="0.25">
      <c r="A576" s="75" t="str">
        <f t="shared" si="21"/>
        <v>Construcción PROF Premier Pago_Fijo_Puntual Si 10</v>
      </c>
      <c r="B576" s="75" t="str">
        <f t="shared" si="20"/>
        <v>Construcción PROF Premier Pago_Fijo_Puntual Si 10 0.103</v>
      </c>
      <c r="C576" s="75" t="s">
        <v>150</v>
      </c>
      <c r="D576" s="75" t="s">
        <v>169</v>
      </c>
      <c r="E576" s="75" t="s">
        <v>143</v>
      </c>
      <c r="F576" s="75"/>
      <c r="G576" s="75"/>
      <c r="H576" s="75"/>
      <c r="I576" s="75" t="s">
        <v>171</v>
      </c>
      <c r="J576" s="76">
        <v>10</v>
      </c>
      <c r="K576" s="519" t="s">
        <v>387</v>
      </c>
      <c r="L576" s="520">
        <v>13.54</v>
      </c>
      <c r="M576" s="520">
        <v>14.2</v>
      </c>
      <c r="N576" s="507">
        <v>0.10299999999999999</v>
      </c>
      <c r="O576" s="507">
        <v>0.1</v>
      </c>
      <c r="P576" s="507">
        <v>0.112</v>
      </c>
      <c r="Q576" s="78">
        <v>0.44</v>
      </c>
      <c r="R576" s="78">
        <v>0.31740000000000002</v>
      </c>
      <c r="S576" s="69">
        <v>0</v>
      </c>
      <c r="T576" s="69">
        <v>0</v>
      </c>
      <c r="U576" s="507">
        <v>0.75</v>
      </c>
      <c r="V576" s="76">
        <v>0</v>
      </c>
      <c r="W576" s="76">
        <v>0</v>
      </c>
      <c r="X576" s="76" t="s">
        <v>147</v>
      </c>
      <c r="Y576" s="519" t="s">
        <v>469</v>
      </c>
    </row>
    <row r="577" spans="1:25" x14ac:dyDescent="0.25">
      <c r="A577" s="75" t="str">
        <f t="shared" si="21"/>
        <v>Construcción PROF Premier Pago_Fijo_Puntual Si 5</v>
      </c>
      <c r="B577" s="75" t="str">
        <f t="shared" si="20"/>
        <v>Construcción PROF Premier Pago_Fijo_Puntual Si 5 0.103</v>
      </c>
      <c r="C577" s="75" t="s">
        <v>150</v>
      </c>
      <c r="D577" s="75" t="s">
        <v>169</v>
      </c>
      <c r="E577" s="75" t="s">
        <v>143</v>
      </c>
      <c r="F577" s="75"/>
      <c r="G577" s="75"/>
      <c r="H577" s="75"/>
      <c r="I577" s="75" t="s">
        <v>171</v>
      </c>
      <c r="J577" s="76">
        <v>5</v>
      </c>
      <c r="K577" s="519" t="s">
        <v>387</v>
      </c>
      <c r="L577" s="520">
        <v>21.44</v>
      </c>
      <c r="M577" s="520">
        <v>22.1</v>
      </c>
      <c r="N577" s="507">
        <v>0.10299999999999999</v>
      </c>
      <c r="O577" s="507">
        <v>0.1</v>
      </c>
      <c r="P577" s="507">
        <v>0.112</v>
      </c>
      <c r="Q577" s="78">
        <v>0.44</v>
      </c>
      <c r="R577" s="78">
        <v>0.31740000000000002</v>
      </c>
      <c r="S577" s="69">
        <v>0</v>
      </c>
      <c r="T577" s="69">
        <v>0</v>
      </c>
      <c r="U577" s="507">
        <v>0.75</v>
      </c>
      <c r="V577" s="76">
        <v>0</v>
      </c>
      <c r="W577" s="76">
        <v>0</v>
      </c>
      <c r="X577" s="76" t="s">
        <v>147</v>
      </c>
      <c r="Y577" s="519" t="s">
        <v>469</v>
      </c>
    </row>
    <row r="578" spans="1:25" x14ac:dyDescent="0.25">
      <c r="A578" s="75" t="str">
        <f t="shared" si="21"/>
        <v>Construcción PROF Premier Pago_Fijo_Puntual 20</v>
      </c>
      <c r="B578" s="75" t="str">
        <f t="shared" si="20"/>
        <v>Construcción PROF Premier Pago_Fijo_Puntual 20 0.0965</v>
      </c>
      <c r="C578" s="75" t="s">
        <v>150</v>
      </c>
      <c r="D578" s="75" t="s">
        <v>169</v>
      </c>
      <c r="E578" s="75" t="s">
        <v>143</v>
      </c>
      <c r="F578" s="75"/>
      <c r="G578" s="75"/>
      <c r="H578" s="75"/>
      <c r="I578" s="75" t="s">
        <v>171</v>
      </c>
      <c r="J578" s="76">
        <v>20</v>
      </c>
      <c r="K578" s="516" t="s">
        <v>385</v>
      </c>
      <c r="L578" s="517">
        <v>9.66</v>
      </c>
      <c r="M578" s="517">
        <v>10.32</v>
      </c>
      <c r="N578" s="518">
        <v>9.6500000000000002E-2</v>
      </c>
      <c r="O578" s="518">
        <v>9.1999999999999998E-2</v>
      </c>
      <c r="P578" s="518">
        <v>0.10249999999999999</v>
      </c>
      <c r="Q578" s="78">
        <v>0.44</v>
      </c>
      <c r="R578" s="78">
        <v>0.31740000000000002</v>
      </c>
      <c r="S578" s="69">
        <v>0</v>
      </c>
      <c r="T578" s="69">
        <v>0</v>
      </c>
      <c r="U578" s="518">
        <v>0.7</v>
      </c>
      <c r="V578" s="76">
        <v>0</v>
      </c>
      <c r="W578" s="76">
        <v>0</v>
      </c>
      <c r="X578" s="76"/>
      <c r="Y578" s="516" t="s">
        <v>470</v>
      </c>
    </row>
    <row r="579" spans="1:25" x14ac:dyDescent="0.25">
      <c r="A579" s="75" t="str">
        <f t="shared" si="21"/>
        <v>Construcción PROF Premier Pago_Fijo_Puntual 20</v>
      </c>
      <c r="B579" s="75" t="str">
        <f t="shared" si="20"/>
        <v>Construcción PROF Premier Pago_Fijo_Puntual 20 0.103</v>
      </c>
      <c r="C579" s="75" t="s">
        <v>150</v>
      </c>
      <c r="D579" s="75" t="s">
        <v>169</v>
      </c>
      <c r="E579" s="75" t="s">
        <v>143</v>
      </c>
      <c r="F579" s="75"/>
      <c r="G579" s="75"/>
      <c r="H579" s="75"/>
      <c r="I579" s="75" t="s">
        <v>171</v>
      </c>
      <c r="J579" s="76">
        <v>20</v>
      </c>
      <c r="K579" s="516" t="s">
        <v>386</v>
      </c>
      <c r="L579" s="517">
        <v>10.16</v>
      </c>
      <c r="M579" s="517">
        <v>10.82</v>
      </c>
      <c r="N579" s="518">
        <v>0.10299999999999999</v>
      </c>
      <c r="O579" s="518">
        <v>0.1</v>
      </c>
      <c r="P579" s="518">
        <v>0.112</v>
      </c>
      <c r="Q579" s="78">
        <v>0.44</v>
      </c>
      <c r="R579" s="78">
        <v>0.31740000000000002</v>
      </c>
      <c r="S579" s="69">
        <v>0</v>
      </c>
      <c r="T579" s="69">
        <v>0</v>
      </c>
      <c r="U579" s="518">
        <v>0.7</v>
      </c>
      <c r="V579" s="76">
        <v>0</v>
      </c>
      <c r="W579" s="76">
        <v>0</v>
      </c>
      <c r="X579" s="76"/>
      <c r="Y579" s="516" t="s">
        <v>470</v>
      </c>
    </row>
    <row r="580" spans="1:25" x14ac:dyDescent="0.25">
      <c r="A580" s="75" t="str">
        <f t="shared" si="21"/>
        <v>Construcción PROF Premier Pago_Fijo_Puntual 15</v>
      </c>
      <c r="B580" s="75" t="str">
        <f t="shared" si="20"/>
        <v>Construcción PROF Premier Pago_Fijo_Puntual 15 0.0965</v>
      </c>
      <c r="C580" s="75" t="s">
        <v>150</v>
      </c>
      <c r="D580" s="75" t="s">
        <v>169</v>
      </c>
      <c r="E580" s="75" t="s">
        <v>143</v>
      </c>
      <c r="F580" s="75"/>
      <c r="G580" s="75"/>
      <c r="H580" s="75"/>
      <c r="I580" s="75" t="s">
        <v>171</v>
      </c>
      <c r="J580" s="76">
        <v>15</v>
      </c>
      <c r="K580" s="516" t="s">
        <v>385</v>
      </c>
      <c r="L580" s="517">
        <v>10.73</v>
      </c>
      <c r="M580" s="517">
        <v>11.39</v>
      </c>
      <c r="N580" s="518">
        <v>9.6500000000000002E-2</v>
      </c>
      <c r="O580" s="518">
        <v>9.1999999999999998E-2</v>
      </c>
      <c r="P580" s="518">
        <v>0.10249999999999999</v>
      </c>
      <c r="Q580" s="78">
        <v>0.44</v>
      </c>
      <c r="R580" s="78">
        <v>0.31740000000000002</v>
      </c>
      <c r="S580" s="69">
        <v>0</v>
      </c>
      <c r="T580" s="69">
        <v>0</v>
      </c>
      <c r="U580" s="518">
        <v>0.7</v>
      </c>
      <c r="V580" s="76">
        <v>0</v>
      </c>
      <c r="W580" s="76">
        <v>0</v>
      </c>
      <c r="X580" s="76"/>
      <c r="Y580" s="516" t="s">
        <v>470</v>
      </c>
    </row>
    <row r="581" spans="1:25" x14ac:dyDescent="0.25">
      <c r="A581" s="75" t="str">
        <f t="shared" si="21"/>
        <v>Construcción PROF Premier Pago_Fijo_Puntual 15</v>
      </c>
      <c r="B581" s="75" t="str">
        <f t="shared" si="20"/>
        <v>Construcción PROF Premier Pago_Fijo_Puntual 15 0.103</v>
      </c>
      <c r="C581" s="75" t="s">
        <v>150</v>
      </c>
      <c r="D581" s="75" t="s">
        <v>169</v>
      </c>
      <c r="E581" s="75" t="s">
        <v>143</v>
      </c>
      <c r="F581" s="75"/>
      <c r="G581" s="75"/>
      <c r="H581" s="75"/>
      <c r="I581" s="75" t="s">
        <v>171</v>
      </c>
      <c r="J581" s="76">
        <v>15</v>
      </c>
      <c r="K581" s="516" t="s">
        <v>386</v>
      </c>
      <c r="L581" s="517">
        <v>11.18</v>
      </c>
      <c r="M581" s="517">
        <v>11.84</v>
      </c>
      <c r="N581" s="518">
        <v>0.10299999999999999</v>
      </c>
      <c r="O581" s="518">
        <v>0.1</v>
      </c>
      <c r="P581" s="518">
        <v>0.112</v>
      </c>
      <c r="Q581" s="78">
        <v>0.44</v>
      </c>
      <c r="R581" s="78">
        <v>0.31740000000000002</v>
      </c>
      <c r="S581" s="69">
        <v>0</v>
      </c>
      <c r="T581" s="69">
        <v>0</v>
      </c>
      <c r="U581" s="518">
        <v>0.7</v>
      </c>
      <c r="V581" s="76">
        <v>0</v>
      </c>
      <c r="W581" s="76">
        <v>0</v>
      </c>
      <c r="X581" s="76"/>
      <c r="Y581" s="516" t="s">
        <v>470</v>
      </c>
    </row>
    <row r="582" spans="1:25" x14ac:dyDescent="0.25">
      <c r="A582" s="75" t="str">
        <f t="shared" si="21"/>
        <v>Construcción PROF Premier Pago_Fijo_Puntual 10</v>
      </c>
      <c r="B582" s="75" t="str">
        <f t="shared" si="20"/>
        <v>Construcción PROF Premier Pago_Fijo_Puntual 10 0.0965</v>
      </c>
      <c r="C582" s="75" t="s">
        <v>150</v>
      </c>
      <c r="D582" s="75" t="s">
        <v>169</v>
      </c>
      <c r="E582" s="75" t="s">
        <v>143</v>
      </c>
      <c r="F582" s="75"/>
      <c r="G582" s="75"/>
      <c r="H582" s="75"/>
      <c r="I582" s="75" t="s">
        <v>171</v>
      </c>
      <c r="J582" s="76">
        <v>10</v>
      </c>
      <c r="K582" s="516" t="s">
        <v>385</v>
      </c>
      <c r="L582" s="517">
        <v>13.54</v>
      </c>
      <c r="M582" s="517">
        <v>14.2</v>
      </c>
      <c r="N582" s="518">
        <v>9.6500000000000002E-2</v>
      </c>
      <c r="O582" s="518">
        <v>9.1999999999999998E-2</v>
      </c>
      <c r="P582" s="518">
        <v>0.10249999999999999</v>
      </c>
      <c r="Q582" s="78">
        <v>0.44</v>
      </c>
      <c r="R582" s="78">
        <v>0.31740000000000002</v>
      </c>
      <c r="S582" s="69">
        <v>0</v>
      </c>
      <c r="T582" s="69">
        <v>0</v>
      </c>
      <c r="U582" s="518">
        <v>0.7</v>
      </c>
      <c r="V582" s="76">
        <v>0</v>
      </c>
      <c r="W582" s="76">
        <v>0</v>
      </c>
      <c r="X582" s="76"/>
      <c r="Y582" s="516" t="s">
        <v>470</v>
      </c>
    </row>
    <row r="583" spans="1:25" x14ac:dyDescent="0.25">
      <c r="A583" s="75" t="str">
        <f t="shared" si="21"/>
        <v>Construcción PROF Premier Pago_Fijo_Puntual 10</v>
      </c>
      <c r="B583" s="75" t="str">
        <f t="shared" si="20"/>
        <v>Construcción PROF Premier Pago_Fijo_Puntual 10 0.103</v>
      </c>
      <c r="C583" s="75" t="s">
        <v>150</v>
      </c>
      <c r="D583" s="75" t="s">
        <v>169</v>
      </c>
      <c r="E583" s="75" t="s">
        <v>143</v>
      </c>
      <c r="F583" s="75"/>
      <c r="G583" s="75"/>
      <c r="H583" s="75"/>
      <c r="I583" s="75" t="s">
        <v>171</v>
      </c>
      <c r="J583" s="76">
        <v>10</v>
      </c>
      <c r="K583" s="516" t="s">
        <v>386</v>
      </c>
      <c r="L583" s="517">
        <v>13.54</v>
      </c>
      <c r="M583" s="517">
        <v>14.2</v>
      </c>
      <c r="N583" s="518">
        <v>0.10299999999999999</v>
      </c>
      <c r="O583" s="518">
        <v>0.1</v>
      </c>
      <c r="P583" s="518">
        <v>0.112</v>
      </c>
      <c r="Q583" s="78">
        <v>0.44</v>
      </c>
      <c r="R583" s="78">
        <v>0.31740000000000002</v>
      </c>
      <c r="S583" s="69">
        <v>0</v>
      </c>
      <c r="T583" s="69">
        <v>0</v>
      </c>
      <c r="U583" s="518">
        <v>0.7</v>
      </c>
      <c r="V583" s="76">
        <v>0</v>
      </c>
      <c r="W583" s="76">
        <v>0</v>
      </c>
      <c r="X583" s="76"/>
      <c r="Y583" s="516" t="s">
        <v>470</v>
      </c>
    </row>
    <row r="584" spans="1:25" x14ac:dyDescent="0.25">
      <c r="A584" s="75" t="str">
        <f t="shared" si="21"/>
        <v>Construcción PROF Premier Pago_Fijo_Puntual 5</v>
      </c>
      <c r="B584" s="75" t="str">
        <f t="shared" si="20"/>
        <v>Construcción PROF Premier Pago_Fijo_Puntual 5 0.0965</v>
      </c>
      <c r="C584" s="75" t="s">
        <v>150</v>
      </c>
      <c r="D584" s="75" t="s">
        <v>169</v>
      </c>
      <c r="E584" s="75" t="s">
        <v>143</v>
      </c>
      <c r="F584" s="75"/>
      <c r="G584" s="75"/>
      <c r="H584" s="75"/>
      <c r="I584" s="75" t="s">
        <v>171</v>
      </c>
      <c r="J584" s="76">
        <v>5</v>
      </c>
      <c r="K584" s="516" t="s">
        <v>385</v>
      </c>
      <c r="L584" s="517">
        <v>21.12</v>
      </c>
      <c r="M584" s="517">
        <v>21.78</v>
      </c>
      <c r="N584" s="518">
        <v>9.6500000000000002E-2</v>
      </c>
      <c r="O584" s="518">
        <v>9.1999999999999998E-2</v>
      </c>
      <c r="P584" s="518">
        <v>0.10249999999999999</v>
      </c>
      <c r="Q584" s="78">
        <v>0.44</v>
      </c>
      <c r="R584" s="78">
        <v>0.31740000000000002</v>
      </c>
      <c r="S584" s="69">
        <v>0</v>
      </c>
      <c r="T584" s="69">
        <v>0</v>
      </c>
      <c r="U584" s="518">
        <v>0.7</v>
      </c>
      <c r="V584" s="76">
        <v>0</v>
      </c>
      <c r="W584" s="76">
        <v>0</v>
      </c>
      <c r="X584" s="76"/>
      <c r="Y584" s="516" t="s">
        <v>470</v>
      </c>
    </row>
    <row r="585" spans="1:25" x14ac:dyDescent="0.25">
      <c r="A585" s="75" t="str">
        <f t="shared" si="21"/>
        <v>Construcción PROF Premier Pago_Fijo_Puntual 5</v>
      </c>
      <c r="B585" s="75" t="str">
        <f t="shared" si="20"/>
        <v>Construcción PROF Premier Pago_Fijo_Puntual 5 0.103</v>
      </c>
      <c r="C585" s="75" t="s">
        <v>150</v>
      </c>
      <c r="D585" s="75" t="s">
        <v>169</v>
      </c>
      <c r="E585" s="75" t="s">
        <v>143</v>
      </c>
      <c r="F585" s="75"/>
      <c r="G585" s="75"/>
      <c r="H585" s="75"/>
      <c r="I585" s="75" t="s">
        <v>171</v>
      </c>
      <c r="J585" s="76">
        <v>5</v>
      </c>
      <c r="K585" s="516" t="s">
        <v>386</v>
      </c>
      <c r="L585" s="517">
        <v>21.44</v>
      </c>
      <c r="M585" s="517">
        <v>22.1</v>
      </c>
      <c r="N585" s="518">
        <v>0.10299999999999999</v>
      </c>
      <c r="O585" s="518">
        <v>0.1</v>
      </c>
      <c r="P585" s="518">
        <v>0.112</v>
      </c>
      <c r="Q585" s="78">
        <v>0.44</v>
      </c>
      <c r="R585" s="78">
        <v>0.31740000000000002</v>
      </c>
      <c r="S585" s="69">
        <v>0</v>
      </c>
      <c r="T585" s="69">
        <v>0</v>
      </c>
      <c r="U585" s="518">
        <v>0.7</v>
      </c>
      <c r="V585" s="76">
        <v>0</v>
      </c>
      <c r="W585" s="76">
        <v>0</v>
      </c>
      <c r="X585" s="76"/>
      <c r="Y585" s="516" t="s">
        <v>470</v>
      </c>
    </row>
    <row r="586" spans="1:25" x14ac:dyDescent="0.25">
      <c r="A586" s="75" t="str">
        <f t="shared" si="21"/>
        <v>Exclusiva PF No_Premier Nómina Apoyo Infonavit Pago_Fijo_Puntual Si 25</v>
      </c>
      <c r="B586" s="75" t="str">
        <f t="shared" si="20"/>
        <v>Exclusiva PF No_Premier Nómina Apoyo Infonavit Pago_Fijo_Puntual Si 25 0.103</v>
      </c>
      <c r="C586" s="75" t="s">
        <v>116</v>
      </c>
      <c r="D586" s="75" t="s">
        <v>132</v>
      </c>
      <c r="E586" s="75" t="s">
        <v>179</v>
      </c>
      <c r="F586" s="75" t="s">
        <v>181</v>
      </c>
      <c r="G586" s="75" t="s">
        <v>112</v>
      </c>
      <c r="H586" s="75"/>
      <c r="I586" s="75" t="s">
        <v>171</v>
      </c>
      <c r="J586" s="76">
        <v>25</v>
      </c>
      <c r="K586" s="519" t="s">
        <v>387</v>
      </c>
      <c r="L586" s="520">
        <v>9.65</v>
      </c>
      <c r="M586" s="520">
        <v>10.31</v>
      </c>
      <c r="N586" s="507">
        <v>0.10299999999999999</v>
      </c>
      <c r="O586" s="507">
        <v>0.1</v>
      </c>
      <c r="P586" s="507">
        <v>0.112</v>
      </c>
      <c r="Q586" s="78">
        <v>0.44</v>
      </c>
      <c r="R586" s="78">
        <v>0.31740000000000002</v>
      </c>
      <c r="S586" s="69">
        <v>2.5000000000000001E-2</v>
      </c>
      <c r="T586" s="69">
        <v>5.0000000000000001E-3</v>
      </c>
      <c r="U586" s="507">
        <v>0.95</v>
      </c>
      <c r="V586" s="76">
        <v>0</v>
      </c>
      <c r="W586" s="76">
        <v>0</v>
      </c>
      <c r="X586" s="76" t="s">
        <v>147</v>
      </c>
      <c r="Y586" s="519" t="s">
        <v>469</v>
      </c>
    </row>
    <row r="587" spans="1:25" x14ac:dyDescent="0.25">
      <c r="A587" s="75" t="str">
        <f t="shared" si="21"/>
        <v>Exclusiva PF No_Premier Nómina Apoyo Infonavit Pago_Fijo_Puntual 25</v>
      </c>
      <c r="B587" s="75" t="str">
        <f t="shared" si="20"/>
        <v>Exclusiva PF No_Premier Nómina Apoyo Infonavit Pago_Fijo_Puntual 25 0.106</v>
      </c>
      <c r="C587" s="75" t="s">
        <v>116</v>
      </c>
      <c r="D587" s="75" t="s">
        <v>132</v>
      </c>
      <c r="E587" s="75" t="s">
        <v>179</v>
      </c>
      <c r="F587" s="75" t="s">
        <v>181</v>
      </c>
      <c r="G587" s="75" t="s">
        <v>112</v>
      </c>
      <c r="H587" s="75"/>
      <c r="I587" s="75" t="s">
        <v>171</v>
      </c>
      <c r="J587" s="76">
        <v>25</v>
      </c>
      <c r="K587" s="519">
        <v>3</v>
      </c>
      <c r="L587" s="520">
        <v>9.93</v>
      </c>
      <c r="M587" s="520">
        <v>10.59</v>
      </c>
      <c r="N587" s="507">
        <v>0.106</v>
      </c>
      <c r="O587" s="507">
        <v>0.10299999999999999</v>
      </c>
      <c r="P587" s="507">
        <v>0.11799999999999999</v>
      </c>
      <c r="Q587" s="78">
        <v>0.44</v>
      </c>
      <c r="R587" s="78">
        <v>0.31740000000000002</v>
      </c>
      <c r="S587" s="69">
        <v>2.5000000000000001E-2</v>
      </c>
      <c r="T587" s="69">
        <v>5.0000000000000001E-3</v>
      </c>
      <c r="U587" s="507">
        <v>0.95</v>
      </c>
      <c r="V587" s="76">
        <v>0</v>
      </c>
      <c r="W587" s="76">
        <v>0</v>
      </c>
      <c r="X587" s="76"/>
      <c r="Y587" s="519" t="s">
        <v>469</v>
      </c>
    </row>
    <row r="588" spans="1:25" x14ac:dyDescent="0.25">
      <c r="A588" s="75" t="str">
        <f t="shared" si="21"/>
        <v>Exclusiva PF No_Premier Nómina Apoyo Infonavit Pago_Fijo_Puntual Si 20</v>
      </c>
      <c r="B588" s="75" t="str">
        <f t="shared" si="20"/>
        <v>Exclusiva PF No_Premier Nómina Apoyo Infonavit Pago_Fijo_Puntual Si 20 0.103</v>
      </c>
      <c r="C588" s="75" t="s">
        <v>116</v>
      </c>
      <c r="D588" s="75" t="s">
        <v>132</v>
      </c>
      <c r="E588" s="75" t="s">
        <v>179</v>
      </c>
      <c r="F588" s="75" t="s">
        <v>181</v>
      </c>
      <c r="G588" s="75" t="s">
        <v>112</v>
      </c>
      <c r="H588" s="75"/>
      <c r="I588" s="75" t="s">
        <v>171</v>
      </c>
      <c r="J588" s="76">
        <v>20</v>
      </c>
      <c r="K588" s="519" t="s">
        <v>387</v>
      </c>
      <c r="L588" s="520">
        <v>10.16</v>
      </c>
      <c r="M588" s="520">
        <v>10.82</v>
      </c>
      <c r="N588" s="507">
        <v>0.10299999999999999</v>
      </c>
      <c r="O588" s="507">
        <v>0.1</v>
      </c>
      <c r="P588" s="507">
        <v>0.112</v>
      </c>
      <c r="Q588" s="78">
        <v>0.44</v>
      </c>
      <c r="R588" s="78">
        <v>0.31740000000000002</v>
      </c>
      <c r="S588" s="69">
        <v>2.5000000000000001E-2</v>
      </c>
      <c r="T588" s="69">
        <v>5.0000000000000001E-3</v>
      </c>
      <c r="U588" s="507">
        <v>0.95</v>
      </c>
      <c r="V588" s="76">
        <v>0</v>
      </c>
      <c r="W588" s="76">
        <v>0</v>
      </c>
      <c r="X588" s="76" t="s">
        <v>147</v>
      </c>
      <c r="Y588" s="519" t="s">
        <v>469</v>
      </c>
    </row>
    <row r="589" spans="1:25" x14ac:dyDescent="0.25">
      <c r="A589" s="75" t="str">
        <f t="shared" si="21"/>
        <v>Exclusiva PF No_Premier Nómina Apoyo Infonavit Pago_Fijo_Puntual 20</v>
      </c>
      <c r="B589" s="75" t="str">
        <f t="shared" si="20"/>
        <v>Exclusiva PF No_Premier Nómina Apoyo Infonavit Pago_Fijo_Puntual 20 0.106</v>
      </c>
      <c r="C589" s="75" t="s">
        <v>116</v>
      </c>
      <c r="D589" s="75" t="s">
        <v>132</v>
      </c>
      <c r="E589" s="75" t="s">
        <v>179</v>
      </c>
      <c r="F589" s="75" t="s">
        <v>181</v>
      </c>
      <c r="G589" s="75" t="s">
        <v>112</v>
      </c>
      <c r="H589" s="75"/>
      <c r="I589" s="75" t="s">
        <v>171</v>
      </c>
      <c r="J589" s="76">
        <v>20</v>
      </c>
      <c r="K589" s="519">
        <v>3</v>
      </c>
      <c r="L589" s="520">
        <v>10.41</v>
      </c>
      <c r="M589" s="520">
        <v>11.07</v>
      </c>
      <c r="N589" s="507">
        <v>0.106</v>
      </c>
      <c r="O589" s="507">
        <v>0.10299999999999999</v>
      </c>
      <c r="P589" s="507">
        <v>0.11799999999999999</v>
      </c>
      <c r="Q589" s="78">
        <v>0.44</v>
      </c>
      <c r="R589" s="78">
        <v>0.31740000000000002</v>
      </c>
      <c r="S589" s="69">
        <v>2.5000000000000001E-2</v>
      </c>
      <c r="T589" s="69">
        <v>5.0000000000000001E-3</v>
      </c>
      <c r="U589" s="507">
        <v>0.95</v>
      </c>
      <c r="V589" s="76">
        <v>0</v>
      </c>
      <c r="W589" s="76">
        <v>0</v>
      </c>
      <c r="X589" s="76"/>
      <c r="Y589" s="519" t="s">
        <v>469</v>
      </c>
    </row>
    <row r="590" spans="1:25" x14ac:dyDescent="0.25">
      <c r="A590" s="75" t="str">
        <f t="shared" si="21"/>
        <v>Exclusiva PF No_Premier Nómina Apoyo Infonavit Pago_Fijo_Puntual Si 15</v>
      </c>
      <c r="B590" s="75" t="str">
        <f t="shared" ref="B590:B653" si="22">CONCATENATE(A590," ",N590)</f>
        <v>Exclusiva PF No_Premier Nómina Apoyo Infonavit Pago_Fijo_Puntual Si 15 0.103</v>
      </c>
      <c r="C590" s="75" t="s">
        <v>116</v>
      </c>
      <c r="D590" s="75" t="s">
        <v>132</v>
      </c>
      <c r="E590" s="75" t="s">
        <v>179</v>
      </c>
      <c r="F590" s="75" t="s">
        <v>181</v>
      </c>
      <c r="G590" s="75" t="s">
        <v>112</v>
      </c>
      <c r="H590" s="75"/>
      <c r="I590" s="75" t="s">
        <v>171</v>
      </c>
      <c r="J590" s="76">
        <v>15</v>
      </c>
      <c r="K590" s="519" t="s">
        <v>387</v>
      </c>
      <c r="L590" s="520">
        <v>11.18</v>
      </c>
      <c r="M590" s="520">
        <v>11.84</v>
      </c>
      <c r="N590" s="507">
        <v>0.10299999999999999</v>
      </c>
      <c r="O590" s="507">
        <v>0.1</v>
      </c>
      <c r="P590" s="507">
        <v>0.112</v>
      </c>
      <c r="Q590" s="78">
        <v>0.44</v>
      </c>
      <c r="R590" s="78">
        <v>0.31740000000000002</v>
      </c>
      <c r="S590" s="69">
        <v>2.5000000000000001E-2</v>
      </c>
      <c r="T590" s="69">
        <v>5.0000000000000001E-3</v>
      </c>
      <c r="U590" s="507">
        <v>0.95</v>
      </c>
      <c r="V590" s="76">
        <v>0</v>
      </c>
      <c r="W590" s="76">
        <v>0</v>
      </c>
      <c r="X590" s="76" t="s">
        <v>147</v>
      </c>
      <c r="Y590" s="519" t="s">
        <v>469</v>
      </c>
    </row>
    <row r="591" spans="1:25" x14ac:dyDescent="0.25">
      <c r="A591" s="75" t="str">
        <f t="shared" ref="A591:A654" si="23">TRIM(CONCATENATE(C591," ",D591," ",E591," ",F591," ",G591," ",I591," ",X591," ",J591))</f>
        <v>Exclusiva PF No_Premier Nómina Apoyo Infonavit Pago_Fijo_Puntual 15</v>
      </c>
      <c r="B591" s="75" t="str">
        <f t="shared" si="22"/>
        <v>Exclusiva PF No_Premier Nómina Apoyo Infonavit Pago_Fijo_Puntual 15 0.106</v>
      </c>
      <c r="C591" s="75" t="s">
        <v>116</v>
      </c>
      <c r="D591" s="75" t="s">
        <v>132</v>
      </c>
      <c r="E591" s="75" t="s">
        <v>179</v>
      </c>
      <c r="F591" s="75" t="s">
        <v>181</v>
      </c>
      <c r="G591" s="75" t="s">
        <v>112</v>
      </c>
      <c r="H591" s="75"/>
      <c r="I591" s="75" t="s">
        <v>171</v>
      </c>
      <c r="J591" s="76">
        <v>15</v>
      </c>
      <c r="K591" s="519">
        <v>3</v>
      </c>
      <c r="L591" s="520">
        <v>11.39</v>
      </c>
      <c r="M591" s="520">
        <v>12.05</v>
      </c>
      <c r="N591" s="507">
        <v>0.106</v>
      </c>
      <c r="O591" s="507">
        <v>0.10299999999999999</v>
      </c>
      <c r="P591" s="507">
        <v>0.11799999999999999</v>
      </c>
      <c r="Q591" s="78">
        <v>0.44</v>
      </c>
      <c r="R591" s="78">
        <v>0.31740000000000002</v>
      </c>
      <c r="S591" s="69">
        <v>2.5000000000000001E-2</v>
      </c>
      <c r="T591" s="69">
        <v>5.0000000000000001E-3</v>
      </c>
      <c r="U591" s="507">
        <v>0.95</v>
      </c>
      <c r="V591" s="76">
        <v>0</v>
      </c>
      <c r="W591" s="76">
        <v>0</v>
      </c>
      <c r="X591" s="76"/>
      <c r="Y591" s="519" t="s">
        <v>469</v>
      </c>
    </row>
    <row r="592" spans="1:25" x14ac:dyDescent="0.25">
      <c r="A592" s="75" t="str">
        <f t="shared" si="23"/>
        <v>Exclusiva PF No_Premier Nómina Apoyo Infonavit Pago_Fijo_Puntual Si 10</v>
      </c>
      <c r="B592" s="75" t="str">
        <f t="shared" si="22"/>
        <v>Exclusiva PF No_Premier Nómina Apoyo Infonavit Pago_Fijo_Puntual Si 10 0.103</v>
      </c>
      <c r="C592" s="75" t="s">
        <v>116</v>
      </c>
      <c r="D592" s="75" t="s">
        <v>132</v>
      </c>
      <c r="E592" s="75" t="s">
        <v>179</v>
      </c>
      <c r="F592" s="75" t="s">
        <v>181</v>
      </c>
      <c r="G592" s="75" t="s">
        <v>112</v>
      </c>
      <c r="H592" s="75"/>
      <c r="I592" s="75" t="s">
        <v>171</v>
      </c>
      <c r="J592" s="76">
        <v>10</v>
      </c>
      <c r="K592" s="519" t="s">
        <v>387</v>
      </c>
      <c r="L592" s="520">
        <v>13.54</v>
      </c>
      <c r="M592" s="520">
        <v>14.2</v>
      </c>
      <c r="N592" s="507">
        <v>0.10299999999999999</v>
      </c>
      <c r="O592" s="507">
        <v>0.1</v>
      </c>
      <c r="P592" s="507">
        <v>0.112</v>
      </c>
      <c r="Q592" s="78">
        <v>0.44</v>
      </c>
      <c r="R592" s="78">
        <v>0.31740000000000002</v>
      </c>
      <c r="S592" s="69">
        <v>2.5000000000000001E-2</v>
      </c>
      <c r="T592" s="69">
        <v>5.0000000000000001E-3</v>
      </c>
      <c r="U592" s="507">
        <v>0.95</v>
      </c>
      <c r="V592" s="76">
        <v>0</v>
      </c>
      <c r="W592" s="76">
        <v>0</v>
      </c>
      <c r="X592" s="76" t="s">
        <v>147</v>
      </c>
      <c r="Y592" s="519" t="s">
        <v>469</v>
      </c>
    </row>
    <row r="593" spans="1:25" x14ac:dyDescent="0.25">
      <c r="A593" s="75" t="str">
        <f t="shared" si="23"/>
        <v>Exclusiva PF No_Premier Nómina Apoyo Infonavit Pago_Fijo_Puntual 10</v>
      </c>
      <c r="B593" s="75" t="str">
        <f t="shared" si="22"/>
        <v>Exclusiva PF No_Premier Nómina Apoyo Infonavit Pago_Fijo_Puntual 10 0.106</v>
      </c>
      <c r="C593" s="75" t="s">
        <v>116</v>
      </c>
      <c r="D593" s="75" t="s">
        <v>132</v>
      </c>
      <c r="E593" s="75" t="s">
        <v>179</v>
      </c>
      <c r="F593" s="75" t="s">
        <v>181</v>
      </c>
      <c r="G593" s="75" t="s">
        <v>112</v>
      </c>
      <c r="H593" s="75"/>
      <c r="I593" s="75" t="s">
        <v>171</v>
      </c>
      <c r="J593" s="76">
        <v>10</v>
      </c>
      <c r="K593" s="519">
        <v>3</v>
      </c>
      <c r="L593" s="520">
        <v>13.71</v>
      </c>
      <c r="M593" s="520">
        <v>14.37</v>
      </c>
      <c r="N593" s="507">
        <v>0.106</v>
      </c>
      <c r="O593" s="507">
        <v>0.10299999999999999</v>
      </c>
      <c r="P593" s="507">
        <v>0.11799999999999999</v>
      </c>
      <c r="Q593" s="78">
        <v>0.44</v>
      </c>
      <c r="R593" s="78">
        <v>0.31740000000000002</v>
      </c>
      <c r="S593" s="69">
        <v>2.5000000000000001E-2</v>
      </c>
      <c r="T593" s="69">
        <v>5.0000000000000001E-3</v>
      </c>
      <c r="U593" s="507">
        <v>0.95</v>
      </c>
      <c r="V593" s="76">
        <v>0</v>
      </c>
      <c r="W593" s="76">
        <v>0</v>
      </c>
      <c r="X593" s="76"/>
      <c r="Y593" s="519" t="s">
        <v>469</v>
      </c>
    </row>
    <row r="594" spans="1:25" x14ac:dyDescent="0.25">
      <c r="A594" s="75" t="str">
        <f t="shared" si="23"/>
        <v>Exclusiva PF No_Premier Nómina Apoyo Infonavit Pago_Fijo_Puntual Si 5</v>
      </c>
      <c r="B594" s="75" t="str">
        <f t="shared" si="22"/>
        <v>Exclusiva PF No_Premier Nómina Apoyo Infonavit Pago_Fijo_Puntual Si 5 0.103</v>
      </c>
      <c r="C594" s="75" t="s">
        <v>116</v>
      </c>
      <c r="D594" s="75" t="s">
        <v>132</v>
      </c>
      <c r="E594" s="75" t="s">
        <v>179</v>
      </c>
      <c r="F594" s="75" t="s">
        <v>181</v>
      </c>
      <c r="G594" s="75" t="s">
        <v>112</v>
      </c>
      <c r="H594" s="75"/>
      <c r="I594" s="75" t="s">
        <v>171</v>
      </c>
      <c r="J594" s="76">
        <v>5</v>
      </c>
      <c r="K594" s="519" t="s">
        <v>387</v>
      </c>
      <c r="L594" s="520">
        <v>21.44</v>
      </c>
      <c r="M594" s="520">
        <v>22.1</v>
      </c>
      <c r="N594" s="507">
        <v>0.10299999999999999</v>
      </c>
      <c r="O594" s="507">
        <v>0.1</v>
      </c>
      <c r="P594" s="507">
        <v>0.112</v>
      </c>
      <c r="Q594" s="78">
        <v>0.44</v>
      </c>
      <c r="R594" s="78">
        <v>0.31740000000000002</v>
      </c>
      <c r="S594" s="69">
        <v>2.5000000000000001E-2</v>
      </c>
      <c r="T594" s="69">
        <v>5.0000000000000001E-3</v>
      </c>
      <c r="U594" s="507">
        <v>0.95</v>
      </c>
      <c r="V594" s="76">
        <v>0</v>
      </c>
      <c r="W594" s="76">
        <v>0</v>
      </c>
      <c r="X594" s="76" t="s">
        <v>147</v>
      </c>
      <c r="Y594" s="519" t="s">
        <v>469</v>
      </c>
    </row>
    <row r="595" spans="1:25" x14ac:dyDescent="0.25">
      <c r="A595" s="75" t="str">
        <f t="shared" si="23"/>
        <v>Exclusiva PF No_Premier Nómina Apoyo Infonavit Pago_Fijo_Puntual 5</v>
      </c>
      <c r="B595" s="75" t="str">
        <f t="shared" si="22"/>
        <v>Exclusiva PF No_Premier Nómina Apoyo Infonavit Pago_Fijo_Puntual 5 0.106</v>
      </c>
      <c r="C595" s="75" t="s">
        <v>116</v>
      </c>
      <c r="D595" s="75" t="s">
        <v>132</v>
      </c>
      <c r="E595" s="75" t="s">
        <v>179</v>
      </c>
      <c r="F595" s="75" t="s">
        <v>181</v>
      </c>
      <c r="G595" s="75" t="s">
        <v>112</v>
      </c>
      <c r="H595" s="75"/>
      <c r="I595" s="75" t="s">
        <v>171</v>
      </c>
      <c r="J595" s="76">
        <v>5</v>
      </c>
      <c r="K595" s="519">
        <v>3</v>
      </c>
      <c r="L595" s="520">
        <v>21.59</v>
      </c>
      <c r="M595" s="520">
        <v>22.25</v>
      </c>
      <c r="N595" s="507">
        <v>0.106</v>
      </c>
      <c r="O595" s="507">
        <v>0.10299999999999999</v>
      </c>
      <c r="P595" s="507">
        <v>0.11799999999999999</v>
      </c>
      <c r="Q595" s="78">
        <v>0.44</v>
      </c>
      <c r="R595" s="78">
        <v>0.31740000000000002</v>
      </c>
      <c r="S595" s="69">
        <v>2.5000000000000001E-2</v>
      </c>
      <c r="T595" s="69">
        <v>5.0000000000000001E-3</v>
      </c>
      <c r="U595" s="507">
        <v>0.95</v>
      </c>
      <c r="V595" s="76">
        <v>0</v>
      </c>
      <c r="W595" s="76">
        <v>0</v>
      </c>
      <c r="X595" s="76"/>
      <c r="Y595" s="519" t="s">
        <v>469</v>
      </c>
    </row>
    <row r="596" spans="1:25" x14ac:dyDescent="0.25">
      <c r="A596" s="75" t="str">
        <f t="shared" si="23"/>
        <v>Exclusiva PF No_Premier Nómina Apoyo Infonavit Pago_Bajo_Puntual Si 25</v>
      </c>
      <c r="B596" s="75" t="str">
        <f t="shared" si="22"/>
        <v>Exclusiva PF No_Premier Nómina Apoyo Infonavit Pago_Bajo_Puntual Si 25 0.103</v>
      </c>
      <c r="C596" s="75" t="s">
        <v>116</v>
      </c>
      <c r="D596" s="75" t="s">
        <v>132</v>
      </c>
      <c r="E596" s="75" t="s">
        <v>179</v>
      </c>
      <c r="F596" s="75" t="s">
        <v>181</v>
      </c>
      <c r="G596" s="75" t="s">
        <v>112</v>
      </c>
      <c r="H596" s="75"/>
      <c r="I596" s="75" t="s">
        <v>170</v>
      </c>
      <c r="J596" s="523">
        <v>25</v>
      </c>
      <c r="K596" s="519" t="s">
        <v>387</v>
      </c>
      <c r="L596" s="525">
        <v>8.64</v>
      </c>
      <c r="M596" s="525">
        <v>9.3000000000000007</v>
      </c>
      <c r="N596" s="507">
        <v>0.10299999999999999</v>
      </c>
      <c r="O596" s="507">
        <v>0.1</v>
      </c>
      <c r="P596" s="507">
        <v>0.112</v>
      </c>
      <c r="Q596" s="78">
        <v>0.44</v>
      </c>
      <c r="R596" s="78">
        <v>0.31740000000000002</v>
      </c>
      <c r="S596" s="69">
        <v>2.5000000000000001E-2</v>
      </c>
      <c r="T596" s="69">
        <v>5.0000000000000001E-3</v>
      </c>
      <c r="U596" s="507">
        <v>0.95</v>
      </c>
      <c r="V596" s="76">
        <v>0</v>
      </c>
      <c r="W596" s="76">
        <v>0</v>
      </c>
      <c r="X596" s="76" t="s">
        <v>147</v>
      </c>
      <c r="Y596" s="519" t="s">
        <v>469</v>
      </c>
    </row>
    <row r="597" spans="1:25" x14ac:dyDescent="0.25">
      <c r="A597" s="75" t="str">
        <f t="shared" si="23"/>
        <v>Exclusiva PF No_Premier Nómina Apoyo Infonavit Pago_Bajo_Puntual 25</v>
      </c>
      <c r="B597" s="75" t="str">
        <f t="shared" si="22"/>
        <v>Exclusiva PF No_Premier Nómina Apoyo Infonavit Pago_Bajo_Puntual 25 0.106</v>
      </c>
      <c r="C597" s="75" t="s">
        <v>116</v>
      </c>
      <c r="D597" s="75" t="s">
        <v>132</v>
      </c>
      <c r="E597" s="75" t="s">
        <v>179</v>
      </c>
      <c r="F597" s="75" t="s">
        <v>181</v>
      </c>
      <c r="G597" s="75" t="s">
        <v>112</v>
      </c>
      <c r="H597" s="75"/>
      <c r="I597" s="75" t="s">
        <v>170</v>
      </c>
      <c r="J597" s="523">
        <v>25</v>
      </c>
      <c r="K597" s="519">
        <v>3</v>
      </c>
      <c r="L597" s="525">
        <v>8.89</v>
      </c>
      <c r="M597" s="525">
        <v>9.5500000000000007</v>
      </c>
      <c r="N597" s="507">
        <v>0.106</v>
      </c>
      <c r="O597" s="507">
        <v>0.10299999999999999</v>
      </c>
      <c r="P597" s="507">
        <v>0.11799999999999999</v>
      </c>
      <c r="Q597" s="78">
        <v>0.44</v>
      </c>
      <c r="R597" s="78">
        <v>0.31740000000000002</v>
      </c>
      <c r="S597" s="69">
        <v>2.5000000000000001E-2</v>
      </c>
      <c r="T597" s="69">
        <v>5.0000000000000001E-3</v>
      </c>
      <c r="U597" s="507">
        <v>0.95</v>
      </c>
      <c r="V597" s="76">
        <v>0</v>
      </c>
      <c r="W597" s="76">
        <v>0</v>
      </c>
      <c r="X597" s="76"/>
      <c r="Y597" s="519" t="s">
        <v>469</v>
      </c>
    </row>
    <row r="598" spans="1:25" x14ac:dyDescent="0.25">
      <c r="A598" s="75" t="str">
        <f t="shared" si="23"/>
        <v>Exclusiva PF No_Premier Nómina Apoyo Infonavit Pago_Bajo_Puntual Si 20</v>
      </c>
      <c r="B598" s="75" t="str">
        <f t="shared" si="22"/>
        <v>Exclusiva PF No_Premier Nómina Apoyo Infonavit Pago_Bajo_Puntual Si 20 0.103</v>
      </c>
      <c r="C598" s="75" t="s">
        <v>116</v>
      </c>
      <c r="D598" s="75" t="s">
        <v>132</v>
      </c>
      <c r="E598" s="75" t="s">
        <v>179</v>
      </c>
      <c r="F598" s="75" t="s">
        <v>181</v>
      </c>
      <c r="G598" s="75" t="s">
        <v>112</v>
      </c>
      <c r="H598" s="75"/>
      <c r="I598" s="75" t="s">
        <v>170</v>
      </c>
      <c r="J598" s="76">
        <v>20</v>
      </c>
      <c r="K598" s="519" t="s">
        <v>387</v>
      </c>
      <c r="L598" s="520">
        <v>9</v>
      </c>
      <c r="M598" s="520">
        <v>9.66</v>
      </c>
      <c r="N598" s="507">
        <v>0.10299999999999999</v>
      </c>
      <c r="O598" s="507">
        <v>0.1</v>
      </c>
      <c r="P598" s="507">
        <v>0.112</v>
      </c>
      <c r="Q598" s="78">
        <v>0.44</v>
      </c>
      <c r="R598" s="78">
        <v>0.31740000000000002</v>
      </c>
      <c r="S598" s="69">
        <v>2.5000000000000001E-2</v>
      </c>
      <c r="T598" s="69">
        <v>5.0000000000000001E-3</v>
      </c>
      <c r="U598" s="507">
        <v>0.95</v>
      </c>
      <c r="V598" s="76">
        <v>0</v>
      </c>
      <c r="W598" s="76">
        <v>0</v>
      </c>
      <c r="X598" s="76" t="s">
        <v>147</v>
      </c>
      <c r="Y598" s="519" t="s">
        <v>469</v>
      </c>
    </row>
    <row r="599" spans="1:25" x14ac:dyDescent="0.25">
      <c r="A599" s="75" t="str">
        <f t="shared" si="23"/>
        <v>Exclusiva PF No_Premier Nómina Apoyo Infonavit Pago_Bajo_Puntual 20</v>
      </c>
      <c r="B599" s="75" t="str">
        <f t="shared" si="22"/>
        <v>Exclusiva PF No_Premier Nómina Apoyo Infonavit Pago_Bajo_Puntual 20 0.106</v>
      </c>
      <c r="C599" s="75" t="s">
        <v>116</v>
      </c>
      <c r="D599" s="75" t="s">
        <v>132</v>
      </c>
      <c r="E599" s="75" t="s">
        <v>179</v>
      </c>
      <c r="F599" s="75" t="s">
        <v>181</v>
      </c>
      <c r="G599" s="75" t="s">
        <v>112</v>
      </c>
      <c r="H599" s="75"/>
      <c r="I599" s="75" t="s">
        <v>170</v>
      </c>
      <c r="J599" s="76">
        <v>20</v>
      </c>
      <c r="K599" s="519">
        <v>3</v>
      </c>
      <c r="L599" s="520">
        <v>9.24</v>
      </c>
      <c r="M599" s="520">
        <v>9.9</v>
      </c>
      <c r="N599" s="507">
        <v>0.106</v>
      </c>
      <c r="O599" s="507">
        <v>0.10299999999999999</v>
      </c>
      <c r="P599" s="507">
        <v>0.11799999999999999</v>
      </c>
      <c r="Q599" s="78">
        <v>0.44</v>
      </c>
      <c r="R599" s="78">
        <v>0.31740000000000002</v>
      </c>
      <c r="S599" s="69">
        <v>2.5000000000000001E-2</v>
      </c>
      <c r="T599" s="69">
        <v>5.0000000000000001E-3</v>
      </c>
      <c r="U599" s="507">
        <v>0.95</v>
      </c>
      <c r="V599" s="76">
        <v>0</v>
      </c>
      <c r="W599" s="76">
        <v>0</v>
      </c>
      <c r="X599" s="76"/>
      <c r="Y599" s="519" t="s">
        <v>469</v>
      </c>
    </row>
    <row r="600" spans="1:25" x14ac:dyDescent="0.25">
      <c r="A600" s="75" t="str">
        <f t="shared" si="23"/>
        <v>Exclusiva PF No_Premier Nómina Apoyo Infonavit Pago_Bajo_Puntual Si 15</v>
      </c>
      <c r="B600" s="75" t="str">
        <f t="shared" si="22"/>
        <v>Exclusiva PF No_Premier Nómina Apoyo Infonavit Pago_Bajo_Puntual Si 15 0.103</v>
      </c>
      <c r="C600" s="75" t="s">
        <v>116</v>
      </c>
      <c r="D600" s="75" t="s">
        <v>132</v>
      </c>
      <c r="E600" s="75" t="s">
        <v>179</v>
      </c>
      <c r="F600" s="75" t="s">
        <v>181</v>
      </c>
      <c r="G600" s="75" t="s">
        <v>112</v>
      </c>
      <c r="H600" s="75"/>
      <c r="I600" s="75" t="s">
        <v>170</v>
      </c>
      <c r="J600" s="76">
        <v>15</v>
      </c>
      <c r="K600" s="519" t="s">
        <v>387</v>
      </c>
      <c r="L600" s="520">
        <v>10.119999999999999</v>
      </c>
      <c r="M600" s="520">
        <v>10.78</v>
      </c>
      <c r="N600" s="507">
        <v>0.10299999999999999</v>
      </c>
      <c r="O600" s="507">
        <v>0.1</v>
      </c>
      <c r="P600" s="507">
        <v>0.112</v>
      </c>
      <c r="Q600" s="78">
        <v>0.44</v>
      </c>
      <c r="R600" s="78">
        <v>0.31740000000000002</v>
      </c>
      <c r="S600" s="69">
        <v>2.5000000000000001E-2</v>
      </c>
      <c r="T600" s="69">
        <v>5.0000000000000001E-3</v>
      </c>
      <c r="U600" s="507">
        <v>0.95</v>
      </c>
      <c r="V600" s="76">
        <v>0</v>
      </c>
      <c r="W600" s="76">
        <v>0</v>
      </c>
      <c r="X600" s="76" t="s">
        <v>147</v>
      </c>
      <c r="Y600" s="519" t="s">
        <v>469</v>
      </c>
    </row>
    <row r="601" spans="1:25" x14ac:dyDescent="0.25">
      <c r="A601" s="75" t="str">
        <f t="shared" si="23"/>
        <v>Exclusiva PF No_Premier Nómina Apoyo Infonavit Pago_Bajo_Puntual 15</v>
      </c>
      <c r="B601" s="75" t="str">
        <f t="shared" si="22"/>
        <v>Exclusiva PF No_Premier Nómina Apoyo Infonavit Pago_Bajo_Puntual 15 0.106</v>
      </c>
      <c r="C601" s="75" t="s">
        <v>116</v>
      </c>
      <c r="D601" s="75" t="s">
        <v>132</v>
      </c>
      <c r="E601" s="75" t="s">
        <v>179</v>
      </c>
      <c r="F601" s="75" t="s">
        <v>181</v>
      </c>
      <c r="G601" s="75" t="s">
        <v>112</v>
      </c>
      <c r="H601" s="75"/>
      <c r="I601" s="75" t="s">
        <v>170</v>
      </c>
      <c r="J601" s="76">
        <v>15</v>
      </c>
      <c r="K601" s="519">
        <v>3</v>
      </c>
      <c r="L601" s="520">
        <v>10.33</v>
      </c>
      <c r="M601" s="520">
        <v>10.99</v>
      </c>
      <c r="N601" s="507">
        <v>0.106</v>
      </c>
      <c r="O601" s="507">
        <v>0.10299999999999999</v>
      </c>
      <c r="P601" s="507">
        <v>0.11799999999999999</v>
      </c>
      <c r="Q601" s="78">
        <v>0.44</v>
      </c>
      <c r="R601" s="78">
        <v>0.31740000000000002</v>
      </c>
      <c r="S601" s="69">
        <v>2.5000000000000001E-2</v>
      </c>
      <c r="T601" s="69">
        <v>5.0000000000000001E-3</v>
      </c>
      <c r="U601" s="507">
        <v>0.95</v>
      </c>
      <c r="V601" s="76">
        <v>0</v>
      </c>
      <c r="W601" s="76">
        <v>0</v>
      </c>
      <c r="X601" s="76"/>
      <c r="Y601" s="519" t="s">
        <v>469</v>
      </c>
    </row>
    <row r="602" spans="1:25" x14ac:dyDescent="0.25">
      <c r="A602" s="75" t="str">
        <f t="shared" si="23"/>
        <v>Exclusiva PF No_Premier Nómina Apoyo Infonavit Pago_Bajo_Puntual Si 10</v>
      </c>
      <c r="B602" s="75" t="str">
        <f t="shared" si="22"/>
        <v>Exclusiva PF No_Premier Nómina Apoyo Infonavit Pago_Bajo_Puntual Si 10 0.103</v>
      </c>
      <c r="C602" s="75" t="s">
        <v>116</v>
      </c>
      <c r="D602" s="75" t="s">
        <v>132</v>
      </c>
      <c r="E602" s="75" t="s">
        <v>179</v>
      </c>
      <c r="F602" s="75" t="s">
        <v>181</v>
      </c>
      <c r="G602" s="75" t="s">
        <v>112</v>
      </c>
      <c r="H602" s="75"/>
      <c r="I602" s="75" t="s">
        <v>170</v>
      </c>
      <c r="J602" s="76">
        <v>10</v>
      </c>
      <c r="K602" s="519" t="s">
        <v>387</v>
      </c>
      <c r="L602" s="520">
        <v>12.62</v>
      </c>
      <c r="M602" s="520">
        <v>13.28</v>
      </c>
      <c r="N602" s="507">
        <v>0.10299999999999999</v>
      </c>
      <c r="O602" s="507">
        <v>0.1</v>
      </c>
      <c r="P602" s="507">
        <v>0.112</v>
      </c>
      <c r="Q602" s="78">
        <v>0.44</v>
      </c>
      <c r="R602" s="78">
        <v>0.31740000000000002</v>
      </c>
      <c r="S602" s="69">
        <v>2.5000000000000001E-2</v>
      </c>
      <c r="T602" s="69">
        <v>5.0000000000000001E-3</v>
      </c>
      <c r="U602" s="507">
        <v>0.95</v>
      </c>
      <c r="V602" s="76">
        <v>0</v>
      </c>
      <c r="W602" s="76">
        <v>0</v>
      </c>
      <c r="X602" s="76" t="s">
        <v>147</v>
      </c>
      <c r="Y602" s="519" t="s">
        <v>469</v>
      </c>
    </row>
    <row r="603" spans="1:25" x14ac:dyDescent="0.25">
      <c r="A603" s="75" t="str">
        <f t="shared" si="23"/>
        <v>Exclusiva PF No_Premier Nómina Apoyo Infonavit Pago_Bajo_Puntual 10</v>
      </c>
      <c r="B603" s="75" t="str">
        <f t="shared" si="22"/>
        <v>Exclusiva PF No_Premier Nómina Apoyo Infonavit Pago_Bajo_Puntual 10 0.106</v>
      </c>
      <c r="C603" s="75" t="s">
        <v>116</v>
      </c>
      <c r="D603" s="75" t="s">
        <v>132</v>
      </c>
      <c r="E603" s="75" t="s">
        <v>179</v>
      </c>
      <c r="F603" s="75" t="s">
        <v>181</v>
      </c>
      <c r="G603" s="75" t="s">
        <v>112</v>
      </c>
      <c r="H603" s="75"/>
      <c r="I603" s="75" t="s">
        <v>170</v>
      </c>
      <c r="J603" s="76">
        <v>10</v>
      </c>
      <c r="K603" s="519">
        <v>3</v>
      </c>
      <c r="L603" s="520">
        <v>12.78</v>
      </c>
      <c r="M603" s="520">
        <v>13.44</v>
      </c>
      <c r="N603" s="507">
        <v>0.106</v>
      </c>
      <c r="O603" s="507">
        <v>0.10299999999999999</v>
      </c>
      <c r="P603" s="507">
        <v>0.11799999999999999</v>
      </c>
      <c r="Q603" s="78">
        <v>0.44</v>
      </c>
      <c r="R603" s="78">
        <v>0.31740000000000002</v>
      </c>
      <c r="S603" s="69">
        <v>2.5000000000000001E-2</v>
      </c>
      <c r="T603" s="69">
        <v>5.0000000000000001E-3</v>
      </c>
      <c r="U603" s="507">
        <v>0.95</v>
      </c>
      <c r="V603" s="76">
        <v>0</v>
      </c>
      <c r="W603" s="76">
        <v>0</v>
      </c>
      <c r="X603" s="76"/>
      <c r="Y603" s="519" t="s">
        <v>469</v>
      </c>
    </row>
    <row r="604" spans="1:25" x14ac:dyDescent="0.25">
      <c r="A604" s="75" t="str">
        <f t="shared" si="23"/>
        <v>Exclusiva PF No_Premier Nómina Apoyo Infonavit Pago_Bajo_Puntual Si 5</v>
      </c>
      <c r="B604" s="75" t="str">
        <f t="shared" si="22"/>
        <v>Exclusiva PF No_Premier Nómina Apoyo Infonavit Pago_Bajo_Puntual Si 5 0.103</v>
      </c>
      <c r="C604" s="75" t="s">
        <v>116</v>
      </c>
      <c r="D604" s="75" t="s">
        <v>132</v>
      </c>
      <c r="E604" s="75" t="s">
        <v>179</v>
      </c>
      <c r="F604" s="75" t="s">
        <v>181</v>
      </c>
      <c r="G604" s="75" t="s">
        <v>112</v>
      </c>
      <c r="H604" s="75"/>
      <c r="I604" s="75" t="s">
        <v>170</v>
      </c>
      <c r="J604" s="76">
        <v>5</v>
      </c>
      <c r="K604" s="519" t="s">
        <v>387</v>
      </c>
      <c r="L604" s="520">
        <v>20.72</v>
      </c>
      <c r="M604" s="520">
        <v>21.38</v>
      </c>
      <c r="N604" s="507">
        <v>0.10299999999999999</v>
      </c>
      <c r="O604" s="507">
        <v>0.1</v>
      </c>
      <c r="P604" s="507">
        <v>0.112</v>
      </c>
      <c r="Q604" s="78">
        <v>0.44</v>
      </c>
      <c r="R604" s="78">
        <v>0.31740000000000002</v>
      </c>
      <c r="S604" s="69">
        <v>2.5000000000000001E-2</v>
      </c>
      <c r="T604" s="69">
        <v>5.0000000000000001E-3</v>
      </c>
      <c r="U604" s="507">
        <v>0.95</v>
      </c>
      <c r="V604" s="76">
        <v>0</v>
      </c>
      <c r="W604" s="76">
        <v>0</v>
      </c>
      <c r="X604" s="76" t="s">
        <v>147</v>
      </c>
      <c r="Y604" s="519" t="s">
        <v>469</v>
      </c>
    </row>
    <row r="605" spans="1:25" x14ac:dyDescent="0.25">
      <c r="A605" s="75" t="str">
        <f t="shared" si="23"/>
        <v>Exclusiva PF No_Premier Nómina Apoyo Infonavit Pago_Bajo_Puntual 5</v>
      </c>
      <c r="B605" s="75" t="str">
        <f t="shared" si="22"/>
        <v>Exclusiva PF No_Premier Nómina Apoyo Infonavit Pago_Bajo_Puntual 5 0.106</v>
      </c>
      <c r="C605" s="75" t="s">
        <v>116</v>
      </c>
      <c r="D605" s="75" t="s">
        <v>132</v>
      </c>
      <c r="E605" s="75" t="s">
        <v>179</v>
      </c>
      <c r="F605" s="75" t="s">
        <v>181</v>
      </c>
      <c r="G605" s="75" t="s">
        <v>112</v>
      </c>
      <c r="H605" s="75"/>
      <c r="I605" s="75" t="s">
        <v>170</v>
      </c>
      <c r="J605" s="76">
        <v>5</v>
      </c>
      <c r="K605" s="519">
        <v>3</v>
      </c>
      <c r="L605" s="520">
        <v>20.86</v>
      </c>
      <c r="M605" s="520">
        <v>21.52</v>
      </c>
      <c r="N605" s="507">
        <v>0.106</v>
      </c>
      <c r="O605" s="507">
        <v>0.10299999999999999</v>
      </c>
      <c r="P605" s="507">
        <v>0.11799999999999999</v>
      </c>
      <c r="Q605" s="78">
        <v>0.44</v>
      </c>
      <c r="R605" s="78">
        <v>0.31740000000000002</v>
      </c>
      <c r="S605" s="69">
        <v>2.5000000000000001E-2</v>
      </c>
      <c r="T605" s="69">
        <v>5.0000000000000001E-3</v>
      </c>
      <c r="U605" s="507">
        <v>0.95</v>
      </c>
      <c r="V605" s="76">
        <v>0</v>
      </c>
      <c r="W605" s="76">
        <v>0</v>
      </c>
      <c r="X605" s="76"/>
      <c r="Y605" s="519" t="s">
        <v>469</v>
      </c>
    </row>
    <row r="606" spans="1:25" x14ac:dyDescent="0.25">
      <c r="A606" s="75" t="str">
        <f t="shared" si="23"/>
        <v>Exclusiva PF No_Premier Nómina Apoyo Infonavit Pago_Fijo_Puntual 25</v>
      </c>
      <c r="B606" s="75" t="str">
        <f t="shared" si="22"/>
        <v>Exclusiva PF No_Premier Nómina Apoyo Infonavit Pago_Fijo_Puntual 25 0.0965</v>
      </c>
      <c r="C606" s="75" t="s">
        <v>116</v>
      </c>
      <c r="D606" s="75" t="s">
        <v>132</v>
      </c>
      <c r="E606" s="75" t="s">
        <v>179</v>
      </c>
      <c r="F606" s="75" t="s">
        <v>181</v>
      </c>
      <c r="G606" s="75" t="s">
        <v>112</v>
      </c>
      <c r="H606" s="75"/>
      <c r="I606" s="75" t="s">
        <v>171</v>
      </c>
      <c r="J606" s="76">
        <v>25</v>
      </c>
      <c r="K606" s="516" t="s">
        <v>385</v>
      </c>
      <c r="L606" s="517">
        <v>9.11</v>
      </c>
      <c r="M606" s="517">
        <v>9.77</v>
      </c>
      <c r="N606" s="518">
        <v>9.6500000000000002E-2</v>
      </c>
      <c r="O606" s="518">
        <v>9.1999999999999998E-2</v>
      </c>
      <c r="P606" s="518">
        <v>0.10249999999999999</v>
      </c>
      <c r="Q606" s="78">
        <v>0.44</v>
      </c>
      <c r="R606" s="78">
        <v>0.31740000000000002</v>
      </c>
      <c r="S606" s="69">
        <v>2.5000000000000001E-2</v>
      </c>
      <c r="T606" s="69">
        <v>5.0000000000000001E-3</v>
      </c>
      <c r="U606" s="518">
        <v>0.7</v>
      </c>
      <c r="V606" s="76">
        <v>0</v>
      </c>
      <c r="W606" s="76">
        <v>0</v>
      </c>
      <c r="X606" s="76"/>
      <c r="Y606" s="516" t="s">
        <v>470</v>
      </c>
    </row>
    <row r="607" spans="1:25" x14ac:dyDescent="0.25">
      <c r="A607" s="75" t="str">
        <f t="shared" si="23"/>
        <v>Exclusiva PF No_Premier Nómina Apoyo Infonavit Pago_Fijo_Puntual 25</v>
      </c>
      <c r="B607" s="75" t="str">
        <f t="shared" si="22"/>
        <v>Exclusiva PF No_Premier Nómina Apoyo Infonavit Pago_Fijo_Puntual 25 0.103</v>
      </c>
      <c r="C607" s="75" t="s">
        <v>116</v>
      </c>
      <c r="D607" s="75" t="s">
        <v>132</v>
      </c>
      <c r="E607" s="75" t="s">
        <v>179</v>
      </c>
      <c r="F607" s="75" t="s">
        <v>181</v>
      </c>
      <c r="G607" s="75" t="s">
        <v>112</v>
      </c>
      <c r="H607" s="75"/>
      <c r="I607" s="75" t="s">
        <v>171</v>
      </c>
      <c r="J607" s="76">
        <v>25</v>
      </c>
      <c r="K607" s="516" t="s">
        <v>386</v>
      </c>
      <c r="L607" s="517">
        <v>9.65</v>
      </c>
      <c r="M607" s="517">
        <v>10.31</v>
      </c>
      <c r="N607" s="518">
        <v>0.10299999999999999</v>
      </c>
      <c r="O607" s="518">
        <v>0.1</v>
      </c>
      <c r="P607" s="518">
        <v>0.112</v>
      </c>
      <c r="Q607" s="78">
        <v>0.44</v>
      </c>
      <c r="R607" s="78">
        <v>0.31740000000000002</v>
      </c>
      <c r="S607" s="69">
        <v>2.5000000000000001E-2</v>
      </c>
      <c r="T607" s="69">
        <v>5.0000000000000001E-3</v>
      </c>
      <c r="U607" s="518">
        <v>0.7</v>
      </c>
      <c r="V607" s="76">
        <v>0</v>
      </c>
      <c r="W607" s="76">
        <v>0</v>
      </c>
      <c r="X607" s="76"/>
      <c r="Y607" s="516" t="s">
        <v>470</v>
      </c>
    </row>
    <row r="608" spans="1:25" x14ac:dyDescent="0.25">
      <c r="A608" s="75" t="str">
        <f t="shared" si="23"/>
        <v>Exclusiva PF No_Premier Nómina Apoyo Infonavit Pago_Fijo_Puntual 20</v>
      </c>
      <c r="B608" s="75" t="str">
        <f t="shared" si="22"/>
        <v>Exclusiva PF No_Premier Nómina Apoyo Infonavit Pago_Fijo_Puntual 20 0.0965</v>
      </c>
      <c r="C608" s="75" t="s">
        <v>116</v>
      </c>
      <c r="D608" s="75" t="s">
        <v>132</v>
      </c>
      <c r="E608" s="75" t="s">
        <v>179</v>
      </c>
      <c r="F608" s="75" t="s">
        <v>181</v>
      </c>
      <c r="G608" s="75" t="s">
        <v>112</v>
      </c>
      <c r="H608" s="75"/>
      <c r="I608" s="75" t="s">
        <v>171</v>
      </c>
      <c r="J608" s="76">
        <v>20</v>
      </c>
      <c r="K608" s="516" t="s">
        <v>385</v>
      </c>
      <c r="L608" s="517">
        <v>9.66</v>
      </c>
      <c r="M608" s="517">
        <v>10.32</v>
      </c>
      <c r="N608" s="518">
        <v>9.6500000000000002E-2</v>
      </c>
      <c r="O608" s="518">
        <v>9.1999999999999998E-2</v>
      </c>
      <c r="P608" s="518">
        <v>0.10249999999999999</v>
      </c>
      <c r="Q608" s="78">
        <v>0.44</v>
      </c>
      <c r="R608" s="78">
        <v>0.31740000000000002</v>
      </c>
      <c r="S608" s="69">
        <v>2.5000000000000001E-2</v>
      </c>
      <c r="T608" s="69">
        <v>5.0000000000000001E-3</v>
      </c>
      <c r="U608" s="518">
        <v>0.7</v>
      </c>
      <c r="V608" s="76">
        <v>0</v>
      </c>
      <c r="W608" s="76">
        <v>0</v>
      </c>
      <c r="X608" s="76"/>
      <c r="Y608" s="516" t="s">
        <v>470</v>
      </c>
    </row>
    <row r="609" spans="1:25" x14ac:dyDescent="0.25">
      <c r="A609" s="75" t="str">
        <f t="shared" si="23"/>
        <v>Exclusiva PF No_Premier Nómina Apoyo Infonavit Pago_Fijo_Puntual 20</v>
      </c>
      <c r="B609" s="75" t="str">
        <f t="shared" si="22"/>
        <v>Exclusiva PF No_Premier Nómina Apoyo Infonavit Pago_Fijo_Puntual 20 0.103</v>
      </c>
      <c r="C609" s="75" t="s">
        <v>116</v>
      </c>
      <c r="D609" s="75" t="s">
        <v>132</v>
      </c>
      <c r="E609" s="75" t="s">
        <v>179</v>
      </c>
      <c r="F609" s="75" t="s">
        <v>181</v>
      </c>
      <c r="G609" s="75" t="s">
        <v>112</v>
      </c>
      <c r="H609" s="75"/>
      <c r="I609" s="75" t="s">
        <v>171</v>
      </c>
      <c r="J609" s="76">
        <v>20</v>
      </c>
      <c r="K609" s="516" t="s">
        <v>386</v>
      </c>
      <c r="L609" s="517">
        <v>10.16</v>
      </c>
      <c r="M609" s="517">
        <v>10.82</v>
      </c>
      <c r="N609" s="518">
        <v>0.10299999999999999</v>
      </c>
      <c r="O609" s="518">
        <v>0.1</v>
      </c>
      <c r="P609" s="518">
        <v>0.112</v>
      </c>
      <c r="Q609" s="78">
        <v>0.44</v>
      </c>
      <c r="R609" s="78">
        <v>0.31740000000000002</v>
      </c>
      <c r="S609" s="69">
        <v>2.5000000000000001E-2</v>
      </c>
      <c r="T609" s="69">
        <v>5.0000000000000001E-3</v>
      </c>
      <c r="U609" s="518">
        <v>0.7</v>
      </c>
      <c r="V609" s="76">
        <v>0</v>
      </c>
      <c r="W609" s="76">
        <v>0</v>
      </c>
      <c r="X609" s="76"/>
      <c r="Y609" s="516" t="s">
        <v>470</v>
      </c>
    </row>
    <row r="610" spans="1:25" x14ac:dyDescent="0.25">
      <c r="A610" s="75" t="str">
        <f t="shared" si="23"/>
        <v>Exclusiva PF No_Premier Nómina Apoyo Infonavit Pago_Fijo_Puntual 15</v>
      </c>
      <c r="B610" s="75" t="str">
        <f t="shared" si="22"/>
        <v>Exclusiva PF No_Premier Nómina Apoyo Infonavit Pago_Fijo_Puntual 15 0.0965</v>
      </c>
      <c r="C610" s="75" t="s">
        <v>116</v>
      </c>
      <c r="D610" s="75" t="s">
        <v>132</v>
      </c>
      <c r="E610" s="75" t="s">
        <v>179</v>
      </c>
      <c r="F610" s="75" t="s">
        <v>181</v>
      </c>
      <c r="G610" s="75" t="s">
        <v>112</v>
      </c>
      <c r="H610" s="75"/>
      <c r="I610" s="75" t="s">
        <v>171</v>
      </c>
      <c r="J610" s="76">
        <v>15</v>
      </c>
      <c r="K610" s="516" t="s">
        <v>385</v>
      </c>
      <c r="L610" s="517">
        <v>10.73</v>
      </c>
      <c r="M610" s="517">
        <v>11.39</v>
      </c>
      <c r="N610" s="518">
        <v>9.6500000000000002E-2</v>
      </c>
      <c r="O610" s="518">
        <v>9.1999999999999998E-2</v>
      </c>
      <c r="P610" s="518">
        <v>0.10249999999999999</v>
      </c>
      <c r="Q610" s="78">
        <v>0.44</v>
      </c>
      <c r="R610" s="78">
        <v>0.31740000000000002</v>
      </c>
      <c r="S610" s="69">
        <v>2.5000000000000001E-2</v>
      </c>
      <c r="T610" s="69">
        <v>5.0000000000000001E-3</v>
      </c>
      <c r="U610" s="518">
        <v>0.7</v>
      </c>
      <c r="V610" s="76">
        <v>0</v>
      </c>
      <c r="W610" s="76">
        <v>0</v>
      </c>
      <c r="X610" s="76"/>
      <c r="Y610" s="516" t="s">
        <v>470</v>
      </c>
    </row>
    <row r="611" spans="1:25" x14ac:dyDescent="0.25">
      <c r="A611" s="75" t="str">
        <f t="shared" si="23"/>
        <v>Exclusiva PF No_Premier Nómina Apoyo Infonavit Pago_Fijo_Puntual 15</v>
      </c>
      <c r="B611" s="75" t="str">
        <f t="shared" si="22"/>
        <v>Exclusiva PF No_Premier Nómina Apoyo Infonavit Pago_Fijo_Puntual 15 0.103</v>
      </c>
      <c r="C611" s="75" t="s">
        <v>116</v>
      </c>
      <c r="D611" s="75" t="s">
        <v>132</v>
      </c>
      <c r="E611" s="75" t="s">
        <v>179</v>
      </c>
      <c r="F611" s="75" t="s">
        <v>181</v>
      </c>
      <c r="G611" s="75" t="s">
        <v>112</v>
      </c>
      <c r="H611" s="75"/>
      <c r="I611" s="75" t="s">
        <v>171</v>
      </c>
      <c r="J611" s="76">
        <v>15</v>
      </c>
      <c r="K611" s="516" t="s">
        <v>386</v>
      </c>
      <c r="L611" s="517">
        <v>11.18</v>
      </c>
      <c r="M611" s="517">
        <v>11.84</v>
      </c>
      <c r="N611" s="518">
        <v>0.10299999999999999</v>
      </c>
      <c r="O611" s="518">
        <v>0.1</v>
      </c>
      <c r="P611" s="518">
        <v>0.112</v>
      </c>
      <c r="Q611" s="78">
        <v>0.44</v>
      </c>
      <c r="R611" s="78">
        <v>0.31740000000000002</v>
      </c>
      <c r="S611" s="69">
        <v>2.5000000000000001E-2</v>
      </c>
      <c r="T611" s="69">
        <v>5.0000000000000001E-3</v>
      </c>
      <c r="U611" s="518">
        <v>0.7</v>
      </c>
      <c r="V611" s="76">
        <v>0</v>
      </c>
      <c r="W611" s="76">
        <v>0</v>
      </c>
      <c r="X611" s="76"/>
      <c r="Y611" s="516" t="s">
        <v>470</v>
      </c>
    </row>
    <row r="612" spans="1:25" x14ac:dyDescent="0.25">
      <c r="A612" s="75" t="str">
        <f t="shared" si="23"/>
        <v>Exclusiva PF No_Premier Nómina Apoyo Infonavit Pago_Fijo_Puntual 10</v>
      </c>
      <c r="B612" s="75" t="str">
        <f t="shared" si="22"/>
        <v>Exclusiva PF No_Premier Nómina Apoyo Infonavit Pago_Fijo_Puntual 10 0.0965</v>
      </c>
      <c r="C612" s="75" t="s">
        <v>116</v>
      </c>
      <c r="D612" s="75" t="s">
        <v>132</v>
      </c>
      <c r="E612" s="75" t="s">
        <v>179</v>
      </c>
      <c r="F612" s="75" t="s">
        <v>181</v>
      </c>
      <c r="G612" s="75" t="s">
        <v>112</v>
      </c>
      <c r="H612" s="75"/>
      <c r="I612" s="75" t="s">
        <v>171</v>
      </c>
      <c r="J612" s="76">
        <v>10</v>
      </c>
      <c r="K612" s="516" t="s">
        <v>385</v>
      </c>
      <c r="L612" s="517">
        <v>13.16</v>
      </c>
      <c r="M612" s="517">
        <v>13.82</v>
      </c>
      <c r="N612" s="518">
        <v>9.6500000000000002E-2</v>
      </c>
      <c r="O612" s="518">
        <v>9.1999999999999998E-2</v>
      </c>
      <c r="P612" s="518">
        <v>0.10249999999999999</v>
      </c>
      <c r="Q612" s="78">
        <v>0.44</v>
      </c>
      <c r="R612" s="78">
        <v>0.31740000000000002</v>
      </c>
      <c r="S612" s="69">
        <v>2.5000000000000001E-2</v>
      </c>
      <c r="T612" s="69">
        <v>5.0000000000000001E-3</v>
      </c>
      <c r="U612" s="518">
        <v>0.7</v>
      </c>
      <c r="V612" s="76">
        <v>0</v>
      </c>
      <c r="W612" s="76">
        <v>0</v>
      </c>
      <c r="X612" s="76"/>
      <c r="Y612" s="516" t="s">
        <v>470</v>
      </c>
    </row>
    <row r="613" spans="1:25" x14ac:dyDescent="0.25">
      <c r="A613" s="75" t="str">
        <f t="shared" si="23"/>
        <v>Exclusiva PF No_Premier Nómina Apoyo Infonavit Pago_Fijo_Puntual 10</v>
      </c>
      <c r="B613" s="75" t="str">
        <f t="shared" si="22"/>
        <v>Exclusiva PF No_Premier Nómina Apoyo Infonavit Pago_Fijo_Puntual 10 0.103</v>
      </c>
      <c r="C613" s="75" t="s">
        <v>116</v>
      </c>
      <c r="D613" s="75" t="s">
        <v>132</v>
      </c>
      <c r="E613" s="75" t="s">
        <v>179</v>
      </c>
      <c r="F613" s="75" t="s">
        <v>181</v>
      </c>
      <c r="G613" s="75" t="s">
        <v>112</v>
      </c>
      <c r="H613" s="75"/>
      <c r="I613" s="75" t="s">
        <v>171</v>
      </c>
      <c r="J613" s="76">
        <v>10</v>
      </c>
      <c r="K613" s="516" t="s">
        <v>386</v>
      </c>
      <c r="L613" s="517">
        <v>13.54</v>
      </c>
      <c r="M613" s="517">
        <v>14.2</v>
      </c>
      <c r="N613" s="518">
        <v>0.10299999999999999</v>
      </c>
      <c r="O613" s="518">
        <v>0.1</v>
      </c>
      <c r="P613" s="518">
        <v>0.112</v>
      </c>
      <c r="Q613" s="78">
        <v>0.44</v>
      </c>
      <c r="R613" s="78">
        <v>0.31740000000000002</v>
      </c>
      <c r="S613" s="69">
        <v>2.5000000000000001E-2</v>
      </c>
      <c r="T613" s="69">
        <v>5.0000000000000001E-3</v>
      </c>
      <c r="U613" s="518">
        <v>0.7</v>
      </c>
      <c r="V613" s="76">
        <v>0</v>
      </c>
      <c r="W613" s="76">
        <v>0</v>
      </c>
      <c r="X613" s="76"/>
      <c r="Y613" s="516" t="s">
        <v>470</v>
      </c>
    </row>
    <row r="614" spans="1:25" x14ac:dyDescent="0.25">
      <c r="A614" s="75" t="str">
        <f t="shared" si="23"/>
        <v>Exclusiva PF No_Premier Nómina Apoyo Infonavit Pago_Fijo_Puntual 5</v>
      </c>
      <c r="B614" s="75" t="str">
        <f t="shared" si="22"/>
        <v>Exclusiva PF No_Premier Nómina Apoyo Infonavit Pago_Fijo_Puntual 5 0.0965</v>
      </c>
      <c r="C614" s="75" t="s">
        <v>116</v>
      </c>
      <c r="D614" s="75" t="s">
        <v>132</v>
      </c>
      <c r="E614" s="75" t="s">
        <v>179</v>
      </c>
      <c r="F614" s="75" t="s">
        <v>181</v>
      </c>
      <c r="G614" s="75" t="s">
        <v>112</v>
      </c>
      <c r="H614" s="75"/>
      <c r="I614" s="75" t="s">
        <v>171</v>
      </c>
      <c r="J614" s="76">
        <v>5</v>
      </c>
      <c r="K614" s="516" t="s">
        <v>385</v>
      </c>
      <c r="L614" s="517">
        <v>21.12</v>
      </c>
      <c r="M614" s="517">
        <v>21.78</v>
      </c>
      <c r="N614" s="518">
        <v>9.6500000000000002E-2</v>
      </c>
      <c r="O614" s="518">
        <v>9.1999999999999998E-2</v>
      </c>
      <c r="P614" s="518">
        <v>0.10249999999999999</v>
      </c>
      <c r="Q614" s="78">
        <v>0.44</v>
      </c>
      <c r="R614" s="78">
        <v>0.31740000000000002</v>
      </c>
      <c r="S614" s="69">
        <v>2.5000000000000001E-2</v>
      </c>
      <c r="T614" s="69">
        <v>5.0000000000000001E-3</v>
      </c>
      <c r="U614" s="518">
        <v>0.7</v>
      </c>
      <c r="V614" s="76">
        <v>0</v>
      </c>
      <c r="W614" s="76">
        <v>0</v>
      </c>
      <c r="X614" s="76"/>
      <c r="Y614" s="516" t="s">
        <v>470</v>
      </c>
    </row>
    <row r="615" spans="1:25" x14ac:dyDescent="0.25">
      <c r="A615" s="75" t="str">
        <f t="shared" si="23"/>
        <v>Exclusiva PF No_Premier Nómina Apoyo Infonavit Pago_Fijo_Puntual 5</v>
      </c>
      <c r="B615" s="75" t="str">
        <f t="shared" si="22"/>
        <v>Exclusiva PF No_Premier Nómina Apoyo Infonavit Pago_Fijo_Puntual 5 0.103</v>
      </c>
      <c r="C615" s="75" t="s">
        <v>116</v>
      </c>
      <c r="D615" s="75" t="s">
        <v>132</v>
      </c>
      <c r="E615" s="75" t="s">
        <v>179</v>
      </c>
      <c r="F615" s="75" t="s">
        <v>181</v>
      </c>
      <c r="G615" s="75" t="s">
        <v>112</v>
      </c>
      <c r="H615" s="75"/>
      <c r="I615" s="75" t="s">
        <v>171</v>
      </c>
      <c r="J615" s="76">
        <v>5</v>
      </c>
      <c r="K615" s="516" t="s">
        <v>386</v>
      </c>
      <c r="L615" s="517">
        <v>21.44</v>
      </c>
      <c r="M615" s="517">
        <v>22.1</v>
      </c>
      <c r="N615" s="518">
        <v>0.10299999999999999</v>
      </c>
      <c r="O615" s="518">
        <v>0.1</v>
      </c>
      <c r="P615" s="518">
        <v>0.112</v>
      </c>
      <c r="Q615" s="78">
        <v>0.44</v>
      </c>
      <c r="R615" s="78">
        <v>0.31740000000000002</v>
      </c>
      <c r="S615" s="69">
        <v>2.5000000000000001E-2</v>
      </c>
      <c r="T615" s="69">
        <v>5.0000000000000001E-3</v>
      </c>
      <c r="U615" s="518">
        <v>0.7</v>
      </c>
      <c r="V615" s="76">
        <v>0</v>
      </c>
      <c r="W615" s="76">
        <v>0</v>
      </c>
      <c r="X615" s="76"/>
      <c r="Y615" s="516" t="s">
        <v>470</v>
      </c>
    </row>
    <row r="616" spans="1:25" x14ac:dyDescent="0.25">
      <c r="A616" s="75" t="str">
        <f t="shared" si="23"/>
        <v>Exclusiva PF No_Premier Nómina Apoyo Infonavit Pago_Bajo_Puntual 25</v>
      </c>
      <c r="B616" s="75" t="str">
        <f t="shared" si="22"/>
        <v>Exclusiva PF No_Premier Nómina Apoyo Infonavit Pago_Bajo_Puntual 25 0.0965</v>
      </c>
      <c r="C616" s="75" t="s">
        <v>116</v>
      </c>
      <c r="D616" s="75" t="s">
        <v>132</v>
      </c>
      <c r="E616" s="75" t="s">
        <v>179</v>
      </c>
      <c r="F616" s="75" t="s">
        <v>181</v>
      </c>
      <c r="G616" s="75" t="s">
        <v>112</v>
      </c>
      <c r="H616" s="75"/>
      <c r="I616" s="75" t="s">
        <v>170</v>
      </c>
      <c r="J616" s="523">
        <v>25</v>
      </c>
      <c r="K616" s="516" t="s">
        <v>385</v>
      </c>
      <c r="L616" s="517">
        <v>8.1</v>
      </c>
      <c r="M616" s="517">
        <v>8.76</v>
      </c>
      <c r="N616" s="518">
        <v>9.6500000000000002E-2</v>
      </c>
      <c r="O616" s="518">
        <v>9.1999999999999998E-2</v>
      </c>
      <c r="P616" s="518">
        <v>0.10249999999999999</v>
      </c>
      <c r="Q616" s="78">
        <v>0.44</v>
      </c>
      <c r="R616" s="78">
        <v>0.31740000000000002</v>
      </c>
      <c r="S616" s="69">
        <v>2.5000000000000001E-2</v>
      </c>
      <c r="T616" s="69">
        <v>5.0000000000000001E-3</v>
      </c>
      <c r="U616" s="518">
        <v>0.7</v>
      </c>
      <c r="V616" s="76">
        <v>0</v>
      </c>
      <c r="W616" s="76">
        <v>0</v>
      </c>
      <c r="X616" s="76"/>
      <c r="Y616" s="516" t="s">
        <v>470</v>
      </c>
    </row>
    <row r="617" spans="1:25" x14ac:dyDescent="0.25">
      <c r="A617" s="75" t="str">
        <f t="shared" si="23"/>
        <v>Exclusiva PF No_Premier Nómina Apoyo Infonavit Pago_Bajo_Puntual 25</v>
      </c>
      <c r="B617" s="75" t="str">
        <f t="shared" si="22"/>
        <v>Exclusiva PF No_Premier Nómina Apoyo Infonavit Pago_Bajo_Puntual 25 0.103</v>
      </c>
      <c r="C617" s="75" t="s">
        <v>116</v>
      </c>
      <c r="D617" s="75" t="s">
        <v>132</v>
      </c>
      <c r="E617" s="75" t="s">
        <v>179</v>
      </c>
      <c r="F617" s="75" t="s">
        <v>181</v>
      </c>
      <c r="G617" s="75" t="s">
        <v>112</v>
      </c>
      <c r="H617" s="75"/>
      <c r="I617" s="75" t="s">
        <v>170</v>
      </c>
      <c r="J617" s="523">
        <v>25</v>
      </c>
      <c r="K617" s="516" t="s">
        <v>386</v>
      </c>
      <c r="L617" s="517">
        <v>8.64</v>
      </c>
      <c r="M617" s="517">
        <v>9.3000000000000007</v>
      </c>
      <c r="N617" s="518">
        <v>0.10299999999999999</v>
      </c>
      <c r="O617" s="518">
        <v>0.1</v>
      </c>
      <c r="P617" s="518">
        <v>0.112</v>
      </c>
      <c r="Q617" s="78">
        <v>0.44</v>
      </c>
      <c r="R617" s="78">
        <v>0.31740000000000002</v>
      </c>
      <c r="S617" s="69">
        <v>2.5000000000000001E-2</v>
      </c>
      <c r="T617" s="69">
        <v>5.0000000000000001E-3</v>
      </c>
      <c r="U617" s="518">
        <v>0.7</v>
      </c>
      <c r="V617" s="76">
        <v>0</v>
      </c>
      <c r="W617" s="76">
        <v>0</v>
      </c>
      <c r="X617" s="76"/>
      <c r="Y617" s="516" t="s">
        <v>470</v>
      </c>
    </row>
    <row r="618" spans="1:25" x14ac:dyDescent="0.25">
      <c r="A618" s="75" t="str">
        <f t="shared" si="23"/>
        <v>Exclusiva PF No_Premier Nómina Apoyo Infonavit Pago_Bajo_Puntual 20</v>
      </c>
      <c r="B618" s="75" t="str">
        <f t="shared" si="22"/>
        <v>Exclusiva PF No_Premier Nómina Apoyo Infonavit Pago_Bajo_Puntual 20 0.0965</v>
      </c>
      <c r="C618" s="75" t="s">
        <v>116</v>
      </c>
      <c r="D618" s="75" t="s">
        <v>132</v>
      </c>
      <c r="E618" s="75" t="s">
        <v>179</v>
      </c>
      <c r="F618" s="75" t="s">
        <v>181</v>
      </c>
      <c r="G618" s="75" t="s">
        <v>112</v>
      </c>
      <c r="H618" s="75"/>
      <c r="I618" s="75" t="s">
        <v>170</v>
      </c>
      <c r="J618" s="76">
        <v>20</v>
      </c>
      <c r="K618" s="516" t="s">
        <v>385</v>
      </c>
      <c r="L618" s="517">
        <v>8.52</v>
      </c>
      <c r="M618" s="517">
        <v>9.18</v>
      </c>
      <c r="N618" s="518">
        <v>9.6500000000000002E-2</v>
      </c>
      <c r="O618" s="518">
        <v>9.1999999999999998E-2</v>
      </c>
      <c r="P618" s="518">
        <v>0.10249999999999999</v>
      </c>
      <c r="Q618" s="78">
        <v>0.44</v>
      </c>
      <c r="R618" s="78">
        <v>0.31740000000000002</v>
      </c>
      <c r="S618" s="69">
        <v>2.5000000000000001E-2</v>
      </c>
      <c r="T618" s="69">
        <v>5.0000000000000001E-3</v>
      </c>
      <c r="U618" s="518">
        <v>0.7</v>
      </c>
      <c r="V618" s="76">
        <v>0</v>
      </c>
      <c r="W618" s="76">
        <v>0</v>
      </c>
      <c r="X618" s="76"/>
      <c r="Y618" s="516" t="s">
        <v>470</v>
      </c>
    </row>
    <row r="619" spans="1:25" x14ac:dyDescent="0.25">
      <c r="A619" s="75" t="str">
        <f t="shared" si="23"/>
        <v>Exclusiva PF No_Premier Nómina Apoyo Infonavit Pago_Bajo_Puntual 20</v>
      </c>
      <c r="B619" s="75" t="str">
        <f t="shared" si="22"/>
        <v>Exclusiva PF No_Premier Nómina Apoyo Infonavit Pago_Bajo_Puntual 20 0.103</v>
      </c>
      <c r="C619" s="75" t="s">
        <v>116</v>
      </c>
      <c r="D619" s="75" t="s">
        <v>132</v>
      </c>
      <c r="E619" s="75" t="s">
        <v>179</v>
      </c>
      <c r="F619" s="75" t="s">
        <v>181</v>
      </c>
      <c r="G619" s="75" t="s">
        <v>112</v>
      </c>
      <c r="H619" s="75"/>
      <c r="I619" s="75" t="s">
        <v>170</v>
      </c>
      <c r="J619" s="76">
        <v>20</v>
      </c>
      <c r="K619" s="516" t="s">
        <v>386</v>
      </c>
      <c r="L619" s="517">
        <v>9</v>
      </c>
      <c r="M619" s="517">
        <v>9.66</v>
      </c>
      <c r="N619" s="518">
        <v>0.10299999999999999</v>
      </c>
      <c r="O619" s="518">
        <v>0.1</v>
      </c>
      <c r="P619" s="518">
        <v>0.112</v>
      </c>
      <c r="Q619" s="78">
        <v>0.44</v>
      </c>
      <c r="R619" s="78">
        <v>0.31740000000000002</v>
      </c>
      <c r="S619" s="69">
        <v>2.5000000000000001E-2</v>
      </c>
      <c r="T619" s="69">
        <v>5.0000000000000001E-3</v>
      </c>
      <c r="U619" s="518">
        <v>0.7</v>
      </c>
      <c r="V619" s="76">
        <v>0</v>
      </c>
      <c r="W619" s="76">
        <v>0</v>
      </c>
      <c r="X619" s="76"/>
      <c r="Y619" s="516" t="s">
        <v>470</v>
      </c>
    </row>
    <row r="620" spans="1:25" x14ac:dyDescent="0.25">
      <c r="A620" s="75" t="str">
        <f t="shared" si="23"/>
        <v>Exclusiva PF No_Premier Nómina Apoyo Infonavit Pago_Bajo_Puntual 15</v>
      </c>
      <c r="B620" s="75" t="str">
        <f t="shared" si="22"/>
        <v>Exclusiva PF No_Premier Nómina Apoyo Infonavit Pago_Bajo_Puntual 15 0.0965</v>
      </c>
      <c r="C620" s="75" t="s">
        <v>116</v>
      </c>
      <c r="D620" s="75" t="s">
        <v>132</v>
      </c>
      <c r="E620" s="75" t="s">
        <v>179</v>
      </c>
      <c r="F620" s="75" t="s">
        <v>181</v>
      </c>
      <c r="G620" s="75" t="s">
        <v>112</v>
      </c>
      <c r="H620" s="75"/>
      <c r="I620" s="75" t="s">
        <v>170</v>
      </c>
      <c r="J620" s="76">
        <v>15</v>
      </c>
      <c r="K620" s="516" t="s">
        <v>385</v>
      </c>
      <c r="L620" s="517">
        <v>9.6999999999999993</v>
      </c>
      <c r="M620" s="517">
        <v>10.36</v>
      </c>
      <c r="N620" s="518">
        <v>9.6500000000000002E-2</v>
      </c>
      <c r="O620" s="518">
        <v>9.1999999999999998E-2</v>
      </c>
      <c r="P620" s="518">
        <v>0.10249999999999999</v>
      </c>
      <c r="Q620" s="78">
        <v>0.44</v>
      </c>
      <c r="R620" s="78">
        <v>0.31740000000000002</v>
      </c>
      <c r="S620" s="69">
        <v>2.5000000000000001E-2</v>
      </c>
      <c r="T620" s="69">
        <v>5.0000000000000001E-3</v>
      </c>
      <c r="U620" s="518">
        <v>0.7</v>
      </c>
      <c r="V620" s="76">
        <v>0</v>
      </c>
      <c r="W620" s="76">
        <v>0</v>
      </c>
      <c r="X620" s="76"/>
      <c r="Y620" s="516" t="s">
        <v>470</v>
      </c>
    </row>
    <row r="621" spans="1:25" x14ac:dyDescent="0.25">
      <c r="A621" s="75" t="str">
        <f t="shared" si="23"/>
        <v>Exclusiva PF No_Premier Nómina Apoyo Infonavit Pago_Bajo_Puntual 15</v>
      </c>
      <c r="B621" s="75" t="str">
        <f t="shared" si="22"/>
        <v>Exclusiva PF No_Premier Nómina Apoyo Infonavit Pago_Bajo_Puntual 15 0.103</v>
      </c>
      <c r="C621" s="75" t="s">
        <v>116</v>
      </c>
      <c r="D621" s="75" t="s">
        <v>132</v>
      </c>
      <c r="E621" s="75" t="s">
        <v>179</v>
      </c>
      <c r="F621" s="75" t="s">
        <v>181</v>
      </c>
      <c r="G621" s="75" t="s">
        <v>112</v>
      </c>
      <c r="H621" s="75"/>
      <c r="I621" s="75" t="s">
        <v>170</v>
      </c>
      <c r="J621" s="76">
        <v>15</v>
      </c>
      <c r="K621" s="516" t="s">
        <v>386</v>
      </c>
      <c r="L621" s="517">
        <v>10.119999999999999</v>
      </c>
      <c r="M621" s="517">
        <v>10.78</v>
      </c>
      <c r="N621" s="518">
        <v>0.10299999999999999</v>
      </c>
      <c r="O621" s="518">
        <v>0.1</v>
      </c>
      <c r="P621" s="518">
        <v>0.112</v>
      </c>
      <c r="Q621" s="78">
        <v>0.44</v>
      </c>
      <c r="R621" s="78">
        <v>0.31740000000000002</v>
      </c>
      <c r="S621" s="69">
        <v>2.5000000000000001E-2</v>
      </c>
      <c r="T621" s="69">
        <v>5.0000000000000001E-3</v>
      </c>
      <c r="U621" s="518">
        <v>0.7</v>
      </c>
      <c r="V621" s="76">
        <v>0</v>
      </c>
      <c r="W621" s="76">
        <v>0</v>
      </c>
      <c r="X621" s="76"/>
      <c r="Y621" s="516" t="s">
        <v>470</v>
      </c>
    </row>
    <row r="622" spans="1:25" x14ac:dyDescent="0.25">
      <c r="A622" s="75" t="str">
        <f t="shared" si="23"/>
        <v>Exclusiva PF No_Premier Nómina Apoyo Infonavit Pago_Bajo_Puntual 10</v>
      </c>
      <c r="B622" s="75" t="str">
        <f t="shared" si="22"/>
        <v>Exclusiva PF No_Premier Nómina Apoyo Infonavit Pago_Bajo_Puntual 10 0.0965</v>
      </c>
      <c r="C622" s="75" t="s">
        <v>116</v>
      </c>
      <c r="D622" s="75" t="s">
        <v>132</v>
      </c>
      <c r="E622" s="75" t="s">
        <v>179</v>
      </c>
      <c r="F622" s="75" t="s">
        <v>181</v>
      </c>
      <c r="G622" s="75" t="s">
        <v>112</v>
      </c>
      <c r="H622" s="75"/>
      <c r="I622" s="75" t="s">
        <v>170</v>
      </c>
      <c r="J622" s="76">
        <v>10</v>
      </c>
      <c r="K622" s="516" t="s">
        <v>385</v>
      </c>
      <c r="L622" s="517">
        <v>12.25</v>
      </c>
      <c r="M622" s="517">
        <v>12.91</v>
      </c>
      <c r="N622" s="518">
        <v>9.6500000000000002E-2</v>
      </c>
      <c r="O622" s="518">
        <v>9.1999999999999998E-2</v>
      </c>
      <c r="P622" s="518">
        <v>0.10249999999999999</v>
      </c>
      <c r="Q622" s="78">
        <v>0.44</v>
      </c>
      <c r="R622" s="78">
        <v>0.31740000000000002</v>
      </c>
      <c r="S622" s="69">
        <v>2.5000000000000001E-2</v>
      </c>
      <c r="T622" s="69">
        <v>5.0000000000000001E-3</v>
      </c>
      <c r="U622" s="518">
        <v>0.7</v>
      </c>
      <c r="V622" s="76">
        <v>0</v>
      </c>
      <c r="W622" s="76">
        <v>0</v>
      </c>
      <c r="X622" s="76"/>
      <c r="Y622" s="516" t="s">
        <v>470</v>
      </c>
    </row>
    <row r="623" spans="1:25" x14ac:dyDescent="0.25">
      <c r="A623" s="75" t="str">
        <f t="shared" si="23"/>
        <v>Exclusiva PF No_Premier Nómina Apoyo Infonavit Pago_Bajo_Puntual 10</v>
      </c>
      <c r="B623" s="75" t="str">
        <f t="shared" si="22"/>
        <v>Exclusiva PF No_Premier Nómina Apoyo Infonavit Pago_Bajo_Puntual 10 0.103</v>
      </c>
      <c r="C623" s="75" t="s">
        <v>116</v>
      </c>
      <c r="D623" s="75" t="s">
        <v>132</v>
      </c>
      <c r="E623" s="75" t="s">
        <v>179</v>
      </c>
      <c r="F623" s="75" t="s">
        <v>181</v>
      </c>
      <c r="G623" s="75" t="s">
        <v>112</v>
      </c>
      <c r="H623" s="75"/>
      <c r="I623" s="75" t="s">
        <v>170</v>
      </c>
      <c r="J623" s="76">
        <v>10</v>
      </c>
      <c r="K623" s="516" t="s">
        <v>386</v>
      </c>
      <c r="L623" s="517">
        <v>12.62</v>
      </c>
      <c r="M623" s="517">
        <v>13.28</v>
      </c>
      <c r="N623" s="518">
        <v>0.10299999999999999</v>
      </c>
      <c r="O623" s="518">
        <v>0.1</v>
      </c>
      <c r="P623" s="518">
        <v>0.112</v>
      </c>
      <c r="Q623" s="78">
        <v>0.44</v>
      </c>
      <c r="R623" s="78">
        <v>0.31740000000000002</v>
      </c>
      <c r="S623" s="69">
        <v>2.5000000000000001E-2</v>
      </c>
      <c r="T623" s="69">
        <v>5.0000000000000001E-3</v>
      </c>
      <c r="U623" s="518">
        <v>0.7</v>
      </c>
      <c r="V623" s="76">
        <v>0</v>
      </c>
      <c r="W623" s="76">
        <v>0</v>
      </c>
      <c r="X623" s="76"/>
      <c r="Y623" s="516" t="s">
        <v>470</v>
      </c>
    </row>
    <row r="624" spans="1:25" x14ac:dyDescent="0.25">
      <c r="A624" s="75" t="str">
        <f t="shared" si="23"/>
        <v>Exclusiva PF No_Premier Nómina Apoyo Infonavit Pago_Bajo_Puntual 5</v>
      </c>
      <c r="B624" s="75" t="str">
        <f t="shared" si="22"/>
        <v>Exclusiva PF No_Premier Nómina Apoyo Infonavit Pago_Bajo_Puntual 5 0.0965</v>
      </c>
      <c r="C624" s="75" t="s">
        <v>116</v>
      </c>
      <c r="D624" s="75" t="s">
        <v>132</v>
      </c>
      <c r="E624" s="75" t="s">
        <v>179</v>
      </c>
      <c r="F624" s="75" t="s">
        <v>181</v>
      </c>
      <c r="G624" s="75" t="s">
        <v>112</v>
      </c>
      <c r="H624" s="75"/>
      <c r="I624" s="75" t="s">
        <v>170</v>
      </c>
      <c r="J624" s="76">
        <v>5</v>
      </c>
      <c r="K624" s="516" t="s">
        <v>385</v>
      </c>
      <c r="L624" s="517">
        <v>20.399999999999999</v>
      </c>
      <c r="M624" s="517">
        <v>21.06</v>
      </c>
      <c r="N624" s="518">
        <v>9.6500000000000002E-2</v>
      </c>
      <c r="O624" s="518">
        <v>9.1999999999999998E-2</v>
      </c>
      <c r="P624" s="518">
        <v>0.10249999999999999</v>
      </c>
      <c r="Q624" s="78">
        <v>0.44</v>
      </c>
      <c r="R624" s="78">
        <v>0.31740000000000002</v>
      </c>
      <c r="S624" s="69">
        <v>2.5000000000000001E-2</v>
      </c>
      <c r="T624" s="69">
        <v>5.0000000000000001E-3</v>
      </c>
      <c r="U624" s="518">
        <v>0.7</v>
      </c>
      <c r="V624" s="76">
        <v>0</v>
      </c>
      <c r="W624" s="76">
        <v>0</v>
      </c>
      <c r="X624" s="76"/>
      <c r="Y624" s="516" t="s">
        <v>470</v>
      </c>
    </row>
    <row r="625" spans="1:25" x14ac:dyDescent="0.25">
      <c r="A625" s="75" t="str">
        <f t="shared" si="23"/>
        <v>Exclusiva PF No_Premier Nómina Apoyo Infonavit Pago_Bajo_Puntual 5</v>
      </c>
      <c r="B625" s="75" t="str">
        <f t="shared" si="22"/>
        <v>Exclusiva PF No_Premier Nómina Apoyo Infonavit Pago_Bajo_Puntual 5 0.103</v>
      </c>
      <c r="C625" s="75" t="s">
        <v>116</v>
      </c>
      <c r="D625" s="75" t="s">
        <v>132</v>
      </c>
      <c r="E625" s="75" t="s">
        <v>179</v>
      </c>
      <c r="F625" s="75" t="s">
        <v>181</v>
      </c>
      <c r="G625" s="75" t="s">
        <v>112</v>
      </c>
      <c r="H625" s="75"/>
      <c r="I625" s="75" t="s">
        <v>170</v>
      </c>
      <c r="J625" s="76">
        <v>5</v>
      </c>
      <c r="K625" s="516" t="s">
        <v>386</v>
      </c>
      <c r="L625" s="517">
        <v>20.72</v>
      </c>
      <c r="M625" s="517">
        <v>21.38</v>
      </c>
      <c r="N625" s="518">
        <v>0.10299999999999999</v>
      </c>
      <c r="O625" s="518">
        <v>0.1</v>
      </c>
      <c r="P625" s="518">
        <v>0.112</v>
      </c>
      <c r="Q625" s="78">
        <v>0.44</v>
      </c>
      <c r="R625" s="78">
        <v>0.31740000000000002</v>
      </c>
      <c r="S625" s="69">
        <v>2.5000000000000001E-2</v>
      </c>
      <c r="T625" s="69">
        <v>5.0000000000000001E-3</v>
      </c>
      <c r="U625" s="518">
        <v>0.7</v>
      </c>
      <c r="V625" s="76">
        <v>0</v>
      </c>
      <c r="W625" s="76">
        <v>0</v>
      </c>
      <c r="X625" s="76"/>
      <c r="Y625" s="516" t="s">
        <v>470</v>
      </c>
    </row>
    <row r="626" spans="1:25" x14ac:dyDescent="0.25">
      <c r="A626" s="75" t="str">
        <f t="shared" si="23"/>
        <v>Exclusiva PF No_Premier Nómina Cofinavit Pago_Fijo_Puntual Si 25</v>
      </c>
      <c r="B626" s="75" t="str">
        <f t="shared" si="22"/>
        <v>Exclusiva PF No_Premier Nómina Cofinavit Pago_Fijo_Puntual Si 25 0.103</v>
      </c>
      <c r="C626" s="75" t="s">
        <v>116</v>
      </c>
      <c r="D626" s="75" t="s">
        <v>132</v>
      </c>
      <c r="E626" s="75" t="s">
        <v>179</v>
      </c>
      <c r="F626" s="75" t="s">
        <v>181</v>
      </c>
      <c r="G626" s="75" t="s">
        <v>113</v>
      </c>
      <c r="H626" s="75"/>
      <c r="I626" s="75" t="s">
        <v>171</v>
      </c>
      <c r="J626" s="76">
        <v>25</v>
      </c>
      <c r="K626" s="519" t="s">
        <v>387</v>
      </c>
      <c r="L626" s="520">
        <v>9.65</v>
      </c>
      <c r="M626" s="520">
        <v>10.31</v>
      </c>
      <c r="N626" s="507">
        <v>0.10299999999999999</v>
      </c>
      <c r="O626" s="507">
        <v>0.1</v>
      </c>
      <c r="P626" s="507">
        <v>0.112</v>
      </c>
      <c r="Q626" s="78">
        <v>0.44</v>
      </c>
      <c r="R626" s="78">
        <v>0.31740000000000002</v>
      </c>
      <c r="S626" s="69">
        <v>2.5000000000000001E-2</v>
      </c>
      <c r="T626" s="69">
        <v>5.0000000000000001E-3</v>
      </c>
      <c r="U626" s="507">
        <v>0.95</v>
      </c>
      <c r="V626" s="76">
        <v>0</v>
      </c>
      <c r="W626" s="76">
        <v>0</v>
      </c>
      <c r="X626" s="76" t="s">
        <v>147</v>
      </c>
      <c r="Y626" s="519" t="s">
        <v>469</v>
      </c>
    </row>
    <row r="627" spans="1:25" x14ac:dyDescent="0.25">
      <c r="A627" s="75" t="str">
        <f t="shared" si="23"/>
        <v>Exclusiva PF No_Premier Nómina Cofinavit Pago_Fijo_Puntual 25</v>
      </c>
      <c r="B627" s="75" t="str">
        <f t="shared" si="22"/>
        <v>Exclusiva PF No_Premier Nómina Cofinavit Pago_Fijo_Puntual 25 0.106</v>
      </c>
      <c r="C627" s="75" t="s">
        <v>116</v>
      </c>
      <c r="D627" s="75" t="s">
        <v>132</v>
      </c>
      <c r="E627" s="75" t="s">
        <v>179</v>
      </c>
      <c r="F627" s="75" t="s">
        <v>181</v>
      </c>
      <c r="G627" s="75" t="s">
        <v>113</v>
      </c>
      <c r="H627" s="75"/>
      <c r="I627" s="75" t="s">
        <v>171</v>
      </c>
      <c r="J627" s="76">
        <v>25</v>
      </c>
      <c r="K627" s="519">
        <v>3</v>
      </c>
      <c r="L627" s="520">
        <v>9.93</v>
      </c>
      <c r="M627" s="520">
        <v>10.59</v>
      </c>
      <c r="N627" s="507">
        <v>0.106</v>
      </c>
      <c r="O627" s="507">
        <v>0.10299999999999999</v>
      </c>
      <c r="P627" s="507">
        <v>0.11799999999999999</v>
      </c>
      <c r="Q627" s="78">
        <v>0.44</v>
      </c>
      <c r="R627" s="78">
        <v>0.31740000000000002</v>
      </c>
      <c r="S627" s="69">
        <v>2.5000000000000001E-2</v>
      </c>
      <c r="T627" s="69">
        <v>5.0000000000000001E-3</v>
      </c>
      <c r="U627" s="507">
        <v>0.95</v>
      </c>
      <c r="V627" s="76">
        <v>0</v>
      </c>
      <c r="W627" s="76">
        <v>0</v>
      </c>
      <c r="X627" s="76"/>
      <c r="Y627" s="519" t="s">
        <v>469</v>
      </c>
    </row>
    <row r="628" spans="1:25" x14ac:dyDescent="0.25">
      <c r="A628" s="75" t="str">
        <f t="shared" si="23"/>
        <v>Exclusiva PF No_Premier Nómina Cofinavit Pago_Fijo_Puntual Si 20</v>
      </c>
      <c r="B628" s="75" t="str">
        <f t="shared" si="22"/>
        <v>Exclusiva PF No_Premier Nómina Cofinavit Pago_Fijo_Puntual Si 20 0.103</v>
      </c>
      <c r="C628" s="75" t="s">
        <v>116</v>
      </c>
      <c r="D628" s="75" t="s">
        <v>132</v>
      </c>
      <c r="E628" s="75" t="s">
        <v>179</v>
      </c>
      <c r="F628" s="75" t="s">
        <v>181</v>
      </c>
      <c r="G628" s="75" t="s">
        <v>113</v>
      </c>
      <c r="H628" s="75"/>
      <c r="I628" s="75" t="s">
        <v>171</v>
      </c>
      <c r="J628" s="76">
        <v>20</v>
      </c>
      <c r="K628" s="519" t="s">
        <v>387</v>
      </c>
      <c r="L628" s="520">
        <v>10.16</v>
      </c>
      <c r="M628" s="520">
        <v>10.82</v>
      </c>
      <c r="N628" s="507">
        <v>0.10299999999999999</v>
      </c>
      <c r="O628" s="507">
        <v>0.1</v>
      </c>
      <c r="P628" s="507">
        <v>0.112</v>
      </c>
      <c r="Q628" s="78">
        <v>0.44</v>
      </c>
      <c r="R628" s="78">
        <v>0.31740000000000002</v>
      </c>
      <c r="S628" s="69">
        <v>2.5000000000000001E-2</v>
      </c>
      <c r="T628" s="69">
        <v>5.0000000000000001E-3</v>
      </c>
      <c r="U628" s="507">
        <v>0.95</v>
      </c>
      <c r="V628" s="76">
        <v>0</v>
      </c>
      <c r="W628" s="76">
        <v>0</v>
      </c>
      <c r="X628" s="76" t="s">
        <v>147</v>
      </c>
      <c r="Y628" s="519" t="s">
        <v>469</v>
      </c>
    </row>
    <row r="629" spans="1:25" x14ac:dyDescent="0.25">
      <c r="A629" s="75" t="str">
        <f t="shared" si="23"/>
        <v>Exclusiva PF No_Premier Nómina Cofinavit Pago_Fijo_Puntual 20</v>
      </c>
      <c r="B629" s="75" t="str">
        <f t="shared" si="22"/>
        <v>Exclusiva PF No_Premier Nómina Cofinavit Pago_Fijo_Puntual 20 0.106</v>
      </c>
      <c r="C629" s="75" t="s">
        <v>116</v>
      </c>
      <c r="D629" s="75" t="s">
        <v>132</v>
      </c>
      <c r="E629" s="75" t="s">
        <v>179</v>
      </c>
      <c r="F629" s="75" t="s">
        <v>181</v>
      </c>
      <c r="G629" s="75" t="s">
        <v>113</v>
      </c>
      <c r="H629" s="75"/>
      <c r="I629" s="75" t="s">
        <v>171</v>
      </c>
      <c r="J629" s="76">
        <v>20</v>
      </c>
      <c r="K629" s="519">
        <v>3</v>
      </c>
      <c r="L629" s="520">
        <v>10.41</v>
      </c>
      <c r="M629" s="520">
        <v>11.07</v>
      </c>
      <c r="N629" s="507">
        <v>0.106</v>
      </c>
      <c r="O629" s="507">
        <v>0.10299999999999999</v>
      </c>
      <c r="P629" s="507">
        <v>0.11799999999999999</v>
      </c>
      <c r="Q629" s="78">
        <v>0.44</v>
      </c>
      <c r="R629" s="78">
        <v>0.31740000000000002</v>
      </c>
      <c r="S629" s="69">
        <v>2.5000000000000001E-2</v>
      </c>
      <c r="T629" s="69">
        <v>5.0000000000000001E-3</v>
      </c>
      <c r="U629" s="507">
        <v>0.95</v>
      </c>
      <c r="V629" s="76">
        <v>0</v>
      </c>
      <c r="W629" s="76">
        <v>0</v>
      </c>
      <c r="X629" s="76"/>
      <c r="Y629" s="519" t="s">
        <v>469</v>
      </c>
    </row>
    <row r="630" spans="1:25" x14ac:dyDescent="0.25">
      <c r="A630" s="75" t="str">
        <f t="shared" si="23"/>
        <v>Exclusiva PF No_Premier Nómina Cofinavit Pago_Fijo_Puntual Si 15</v>
      </c>
      <c r="B630" s="75" t="str">
        <f t="shared" si="22"/>
        <v>Exclusiva PF No_Premier Nómina Cofinavit Pago_Fijo_Puntual Si 15 0.103</v>
      </c>
      <c r="C630" s="75" t="s">
        <v>116</v>
      </c>
      <c r="D630" s="75" t="s">
        <v>132</v>
      </c>
      <c r="E630" s="75" t="s">
        <v>179</v>
      </c>
      <c r="F630" s="75" t="s">
        <v>181</v>
      </c>
      <c r="G630" s="75" t="s">
        <v>113</v>
      </c>
      <c r="H630" s="75"/>
      <c r="I630" s="75" t="s">
        <v>171</v>
      </c>
      <c r="J630" s="76">
        <v>15</v>
      </c>
      <c r="K630" s="519" t="s">
        <v>387</v>
      </c>
      <c r="L630" s="520">
        <v>11.18</v>
      </c>
      <c r="M630" s="520">
        <v>11.84</v>
      </c>
      <c r="N630" s="507">
        <v>0.10299999999999999</v>
      </c>
      <c r="O630" s="507">
        <v>0.1</v>
      </c>
      <c r="P630" s="507">
        <v>0.112</v>
      </c>
      <c r="Q630" s="78">
        <v>0.44</v>
      </c>
      <c r="R630" s="78">
        <v>0.31740000000000002</v>
      </c>
      <c r="S630" s="69">
        <v>2.5000000000000001E-2</v>
      </c>
      <c r="T630" s="69">
        <v>5.0000000000000001E-3</v>
      </c>
      <c r="U630" s="507">
        <v>0.95</v>
      </c>
      <c r="V630" s="76">
        <v>0</v>
      </c>
      <c r="W630" s="76">
        <v>0</v>
      </c>
      <c r="X630" s="76" t="s">
        <v>147</v>
      </c>
      <c r="Y630" s="519" t="s">
        <v>469</v>
      </c>
    </row>
    <row r="631" spans="1:25" x14ac:dyDescent="0.25">
      <c r="A631" s="75" t="str">
        <f t="shared" si="23"/>
        <v>Exclusiva PF No_Premier Nómina Cofinavit Pago_Fijo_Puntual 15</v>
      </c>
      <c r="B631" s="75" t="str">
        <f t="shared" si="22"/>
        <v>Exclusiva PF No_Premier Nómina Cofinavit Pago_Fijo_Puntual 15 0.106</v>
      </c>
      <c r="C631" s="75" t="s">
        <v>116</v>
      </c>
      <c r="D631" s="75" t="s">
        <v>132</v>
      </c>
      <c r="E631" s="75" t="s">
        <v>179</v>
      </c>
      <c r="F631" s="75" t="s">
        <v>181</v>
      </c>
      <c r="G631" s="75" t="s">
        <v>113</v>
      </c>
      <c r="H631" s="75"/>
      <c r="I631" s="75" t="s">
        <v>171</v>
      </c>
      <c r="J631" s="76">
        <v>15</v>
      </c>
      <c r="K631" s="519">
        <v>3</v>
      </c>
      <c r="L631" s="520">
        <v>11.39</v>
      </c>
      <c r="M631" s="520">
        <v>12.05</v>
      </c>
      <c r="N631" s="507">
        <v>0.106</v>
      </c>
      <c r="O631" s="507">
        <v>0.10299999999999999</v>
      </c>
      <c r="P631" s="507">
        <v>0.11799999999999999</v>
      </c>
      <c r="Q631" s="78">
        <v>0.44</v>
      </c>
      <c r="R631" s="78">
        <v>0.31740000000000002</v>
      </c>
      <c r="S631" s="69">
        <v>2.5000000000000001E-2</v>
      </c>
      <c r="T631" s="69">
        <v>5.0000000000000001E-3</v>
      </c>
      <c r="U631" s="507">
        <v>0.95</v>
      </c>
      <c r="V631" s="76">
        <v>0</v>
      </c>
      <c r="W631" s="76">
        <v>0</v>
      </c>
      <c r="X631" s="76"/>
      <c r="Y631" s="519" t="s">
        <v>469</v>
      </c>
    </row>
    <row r="632" spans="1:25" x14ac:dyDescent="0.25">
      <c r="A632" s="75" t="str">
        <f t="shared" si="23"/>
        <v>Exclusiva PF No_Premier Nómina Cofinavit Pago_Fijo_Puntual Si 10</v>
      </c>
      <c r="B632" s="75" t="str">
        <f t="shared" si="22"/>
        <v>Exclusiva PF No_Premier Nómina Cofinavit Pago_Fijo_Puntual Si 10 0.103</v>
      </c>
      <c r="C632" s="75" t="s">
        <v>116</v>
      </c>
      <c r="D632" s="75" t="s">
        <v>132</v>
      </c>
      <c r="E632" s="75" t="s">
        <v>179</v>
      </c>
      <c r="F632" s="75" t="s">
        <v>181</v>
      </c>
      <c r="G632" s="75" t="s">
        <v>113</v>
      </c>
      <c r="H632" s="75"/>
      <c r="I632" s="75" t="s">
        <v>171</v>
      </c>
      <c r="J632" s="76">
        <v>10</v>
      </c>
      <c r="K632" s="519" t="s">
        <v>387</v>
      </c>
      <c r="L632" s="520">
        <v>13.54</v>
      </c>
      <c r="M632" s="520">
        <v>14.2</v>
      </c>
      <c r="N632" s="507">
        <v>0.10299999999999999</v>
      </c>
      <c r="O632" s="507">
        <v>0.1</v>
      </c>
      <c r="P632" s="507">
        <v>0.112</v>
      </c>
      <c r="Q632" s="78">
        <v>0.44</v>
      </c>
      <c r="R632" s="78">
        <v>0.31740000000000002</v>
      </c>
      <c r="S632" s="69">
        <v>2.5000000000000001E-2</v>
      </c>
      <c r="T632" s="69">
        <v>5.0000000000000001E-3</v>
      </c>
      <c r="U632" s="507">
        <v>0.95</v>
      </c>
      <c r="V632" s="76">
        <v>0</v>
      </c>
      <c r="W632" s="76">
        <v>0</v>
      </c>
      <c r="X632" s="76" t="s">
        <v>147</v>
      </c>
      <c r="Y632" s="519" t="s">
        <v>469</v>
      </c>
    </row>
    <row r="633" spans="1:25" x14ac:dyDescent="0.25">
      <c r="A633" s="75" t="str">
        <f t="shared" si="23"/>
        <v>Exclusiva PF No_Premier Nómina Cofinavit Pago_Fijo_Puntual 10</v>
      </c>
      <c r="B633" s="75" t="str">
        <f t="shared" si="22"/>
        <v>Exclusiva PF No_Premier Nómina Cofinavit Pago_Fijo_Puntual 10 0.106</v>
      </c>
      <c r="C633" s="75" t="s">
        <v>116</v>
      </c>
      <c r="D633" s="75" t="s">
        <v>132</v>
      </c>
      <c r="E633" s="75" t="s">
        <v>179</v>
      </c>
      <c r="F633" s="75" t="s">
        <v>181</v>
      </c>
      <c r="G633" s="75" t="s">
        <v>113</v>
      </c>
      <c r="H633" s="75"/>
      <c r="I633" s="75" t="s">
        <v>171</v>
      </c>
      <c r="J633" s="76">
        <v>10</v>
      </c>
      <c r="K633" s="519">
        <v>3</v>
      </c>
      <c r="L633" s="520">
        <v>13.71</v>
      </c>
      <c r="M633" s="520">
        <v>14.37</v>
      </c>
      <c r="N633" s="507">
        <v>0.106</v>
      </c>
      <c r="O633" s="507">
        <v>0.10299999999999999</v>
      </c>
      <c r="P633" s="507">
        <v>0.11799999999999999</v>
      </c>
      <c r="Q633" s="78">
        <v>0.44</v>
      </c>
      <c r="R633" s="78">
        <v>0.31740000000000002</v>
      </c>
      <c r="S633" s="69">
        <v>2.5000000000000001E-2</v>
      </c>
      <c r="T633" s="69">
        <v>5.0000000000000001E-3</v>
      </c>
      <c r="U633" s="507">
        <v>0.95</v>
      </c>
      <c r="V633" s="76">
        <v>0</v>
      </c>
      <c r="W633" s="76">
        <v>0</v>
      </c>
      <c r="X633" s="76"/>
      <c r="Y633" s="519" t="s">
        <v>469</v>
      </c>
    </row>
    <row r="634" spans="1:25" x14ac:dyDescent="0.25">
      <c r="A634" s="75" t="str">
        <f t="shared" si="23"/>
        <v>Exclusiva PF No_Premier Nómina Cofinavit Pago_Fijo_Puntual Si 5</v>
      </c>
      <c r="B634" s="75" t="str">
        <f t="shared" si="22"/>
        <v>Exclusiva PF No_Premier Nómina Cofinavit Pago_Fijo_Puntual Si 5 0.103</v>
      </c>
      <c r="C634" s="75" t="s">
        <v>116</v>
      </c>
      <c r="D634" s="75" t="s">
        <v>132</v>
      </c>
      <c r="E634" s="75" t="s">
        <v>179</v>
      </c>
      <c r="F634" s="75" t="s">
        <v>181</v>
      </c>
      <c r="G634" s="75" t="s">
        <v>113</v>
      </c>
      <c r="H634" s="75"/>
      <c r="I634" s="75" t="s">
        <v>171</v>
      </c>
      <c r="J634" s="76">
        <v>5</v>
      </c>
      <c r="K634" s="519" t="s">
        <v>387</v>
      </c>
      <c r="L634" s="520">
        <v>21.44</v>
      </c>
      <c r="M634" s="520">
        <v>22.1</v>
      </c>
      <c r="N634" s="507">
        <v>0.10299999999999999</v>
      </c>
      <c r="O634" s="507">
        <v>0.1</v>
      </c>
      <c r="P634" s="507">
        <v>0.112</v>
      </c>
      <c r="Q634" s="78">
        <v>0.44</v>
      </c>
      <c r="R634" s="78">
        <v>0.31740000000000002</v>
      </c>
      <c r="S634" s="69">
        <v>2.5000000000000001E-2</v>
      </c>
      <c r="T634" s="69">
        <v>5.0000000000000001E-3</v>
      </c>
      <c r="U634" s="507">
        <v>0.95</v>
      </c>
      <c r="V634" s="76">
        <v>0</v>
      </c>
      <c r="W634" s="76">
        <v>0</v>
      </c>
      <c r="X634" s="76" t="s">
        <v>147</v>
      </c>
      <c r="Y634" s="519" t="s">
        <v>469</v>
      </c>
    </row>
    <row r="635" spans="1:25" x14ac:dyDescent="0.25">
      <c r="A635" s="75" t="str">
        <f t="shared" si="23"/>
        <v>Exclusiva PF No_Premier Nómina Cofinavit Pago_Fijo_Puntual 5</v>
      </c>
      <c r="B635" s="75" t="str">
        <f t="shared" si="22"/>
        <v>Exclusiva PF No_Premier Nómina Cofinavit Pago_Fijo_Puntual 5 0.106</v>
      </c>
      <c r="C635" s="75" t="s">
        <v>116</v>
      </c>
      <c r="D635" s="75" t="s">
        <v>132</v>
      </c>
      <c r="E635" s="75" t="s">
        <v>179</v>
      </c>
      <c r="F635" s="75" t="s">
        <v>181</v>
      </c>
      <c r="G635" s="75" t="s">
        <v>113</v>
      </c>
      <c r="H635" s="75"/>
      <c r="I635" s="75" t="s">
        <v>171</v>
      </c>
      <c r="J635" s="76">
        <v>5</v>
      </c>
      <c r="K635" s="519">
        <v>3</v>
      </c>
      <c r="L635" s="520">
        <v>21.59</v>
      </c>
      <c r="M635" s="520">
        <v>22.25</v>
      </c>
      <c r="N635" s="507">
        <v>0.106</v>
      </c>
      <c r="O635" s="507">
        <v>0.10299999999999999</v>
      </c>
      <c r="P635" s="507">
        <v>0.11799999999999999</v>
      </c>
      <c r="Q635" s="78">
        <v>0.44</v>
      </c>
      <c r="R635" s="78">
        <v>0.31740000000000002</v>
      </c>
      <c r="S635" s="69">
        <v>2.5000000000000001E-2</v>
      </c>
      <c r="T635" s="69">
        <v>5.0000000000000001E-3</v>
      </c>
      <c r="U635" s="507">
        <v>0.95</v>
      </c>
      <c r="V635" s="76">
        <v>0</v>
      </c>
      <c r="W635" s="76">
        <v>0</v>
      </c>
      <c r="X635" s="76"/>
      <c r="Y635" s="519" t="s">
        <v>469</v>
      </c>
    </row>
    <row r="636" spans="1:25" x14ac:dyDescent="0.25">
      <c r="A636" s="75" t="str">
        <f t="shared" si="23"/>
        <v>Exclusiva PF No_Premier Nómina Cofinavit Pago_Bajo_Puntual Si 25</v>
      </c>
      <c r="B636" s="75" t="str">
        <f t="shared" si="22"/>
        <v>Exclusiva PF No_Premier Nómina Cofinavit Pago_Bajo_Puntual Si 25 0.103</v>
      </c>
      <c r="C636" s="75" t="s">
        <v>116</v>
      </c>
      <c r="D636" s="75" t="s">
        <v>132</v>
      </c>
      <c r="E636" s="75" t="s">
        <v>179</v>
      </c>
      <c r="F636" s="75" t="s">
        <v>181</v>
      </c>
      <c r="G636" s="75" t="s">
        <v>113</v>
      </c>
      <c r="H636" s="75"/>
      <c r="I636" s="75" t="s">
        <v>170</v>
      </c>
      <c r="J636" s="523">
        <v>25</v>
      </c>
      <c r="K636" s="519" t="s">
        <v>387</v>
      </c>
      <c r="L636" s="525">
        <v>8.64</v>
      </c>
      <c r="M636" s="525">
        <v>9.3000000000000007</v>
      </c>
      <c r="N636" s="507">
        <v>0.10299999999999999</v>
      </c>
      <c r="O636" s="507">
        <v>0.1</v>
      </c>
      <c r="P636" s="507">
        <v>0.112</v>
      </c>
      <c r="Q636" s="78">
        <v>0.44</v>
      </c>
      <c r="R636" s="78">
        <v>0.31740000000000002</v>
      </c>
      <c r="S636" s="69">
        <v>2.5000000000000001E-2</v>
      </c>
      <c r="T636" s="69">
        <v>5.0000000000000001E-3</v>
      </c>
      <c r="U636" s="507">
        <v>0.95</v>
      </c>
      <c r="V636" s="76">
        <v>0</v>
      </c>
      <c r="W636" s="76">
        <v>0</v>
      </c>
      <c r="X636" s="76" t="s">
        <v>147</v>
      </c>
      <c r="Y636" s="519" t="s">
        <v>469</v>
      </c>
    </row>
    <row r="637" spans="1:25" x14ac:dyDescent="0.25">
      <c r="A637" s="75" t="str">
        <f t="shared" si="23"/>
        <v>Exclusiva PF No_Premier Nómina Cofinavit Pago_Bajo_Puntual 25</v>
      </c>
      <c r="B637" s="75" t="str">
        <f t="shared" si="22"/>
        <v>Exclusiva PF No_Premier Nómina Cofinavit Pago_Bajo_Puntual 25 0.106</v>
      </c>
      <c r="C637" s="75" t="s">
        <v>116</v>
      </c>
      <c r="D637" s="75" t="s">
        <v>132</v>
      </c>
      <c r="E637" s="75" t="s">
        <v>179</v>
      </c>
      <c r="F637" s="75" t="s">
        <v>181</v>
      </c>
      <c r="G637" s="75" t="s">
        <v>113</v>
      </c>
      <c r="H637" s="75"/>
      <c r="I637" s="75" t="s">
        <v>170</v>
      </c>
      <c r="J637" s="523">
        <v>25</v>
      </c>
      <c r="K637" s="519">
        <v>3</v>
      </c>
      <c r="L637" s="525">
        <v>8.89</v>
      </c>
      <c r="M637" s="525">
        <v>9.5500000000000007</v>
      </c>
      <c r="N637" s="507">
        <v>0.106</v>
      </c>
      <c r="O637" s="507">
        <v>0.10299999999999999</v>
      </c>
      <c r="P637" s="507">
        <v>0.11799999999999999</v>
      </c>
      <c r="Q637" s="78">
        <v>0.44</v>
      </c>
      <c r="R637" s="78">
        <v>0.31740000000000002</v>
      </c>
      <c r="S637" s="69">
        <v>2.5000000000000001E-2</v>
      </c>
      <c r="T637" s="69">
        <v>5.0000000000000001E-3</v>
      </c>
      <c r="U637" s="507">
        <v>0.95</v>
      </c>
      <c r="V637" s="76">
        <v>0</v>
      </c>
      <c r="W637" s="76">
        <v>0</v>
      </c>
      <c r="X637" s="76"/>
      <c r="Y637" s="519" t="s">
        <v>469</v>
      </c>
    </row>
    <row r="638" spans="1:25" x14ac:dyDescent="0.25">
      <c r="A638" s="75" t="str">
        <f t="shared" si="23"/>
        <v>Exclusiva PF No_Premier Nómina Cofinavit Pago_Bajo_Puntual Si 20</v>
      </c>
      <c r="B638" s="75" t="str">
        <f t="shared" si="22"/>
        <v>Exclusiva PF No_Premier Nómina Cofinavit Pago_Bajo_Puntual Si 20 0.103</v>
      </c>
      <c r="C638" s="75" t="s">
        <v>116</v>
      </c>
      <c r="D638" s="75" t="s">
        <v>132</v>
      </c>
      <c r="E638" s="75" t="s">
        <v>179</v>
      </c>
      <c r="F638" s="75" t="s">
        <v>181</v>
      </c>
      <c r="G638" s="75" t="s">
        <v>113</v>
      </c>
      <c r="H638" s="75"/>
      <c r="I638" s="75" t="s">
        <v>170</v>
      </c>
      <c r="J638" s="76">
        <v>20</v>
      </c>
      <c r="K638" s="519" t="s">
        <v>387</v>
      </c>
      <c r="L638" s="520">
        <v>9</v>
      </c>
      <c r="M638" s="520">
        <v>9.66</v>
      </c>
      <c r="N638" s="507">
        <v>0.10299999999999999</v>
      </c>
      <c r="O638" s="507">
        <v>0.1</v>
      </c>
      <c r="P638" s="507">
        <v>0.112</v>
      </c>
      <c r="Q638" s="78">
        <v>0.44</v>
      </c>
      <c r="R638" s="78">
        <v>0.31740000000000002</v>
      </c>
      <c r="S638" s="69">
        <v>2.5000000000000001E-2</v>
      </c>
      <c r="T638" s="69">
        <v>5.0000000000000001E-3</v>
      </c>
      <c r="U638" s="507">
        <v>0.95</v>
      </c>
      <c r="V638" s="76">
        <v>0</v>
      </c>
      <c r="W638" s="76">
        <v>0</v>
      </c>
      <c r="X638" s="76" t="s">
        <v>147</v>
      </c>
      <c r="Y638" s="519" t="s">
        <v>469</v>
      </c>
    </row>
    <row r="639" spans="1:25" x14ac:dyDescent="0.25">
      <c r="A639" s="75" t="str">
        <f t="shared" si="23"/>
        <v>Exclusiva PF No_Premier Nómina Cofinavit Pago_Bajo_Puntual 20</v>
      </c>
      <c r="B639" s="75" t="str">
        <f t="shared" si="22"/>
        <v>Exclusiva PF No_Premier Nómina Cofinavit Pago_Bajo_Puntual 20 0.106</v>
      </c>
      <c r="C639" s="75" t="s">
        <v>116</v>
      </c>
      <c r="D639" s="75" t="s">
        <v>132</v>
      </c>
      <c r="E639" s="75" t="s">
        <v>179</v>
      </c>
      <c r="F639" s="75" t="s">
        <v>181</v>
      </c>
      <c r="G639" s="75" t="s">
        <v>113</v>
      </c>
      <c r="H639" s="75"/>
      <c r="I639" s="75" t="s">
        <v>170</v>
      </c>
      <c r="J639" s="76">
        <v>20</v>
      </c>
      <c r="K639" s="519">
        <v>3</v>
      </c>
      <c r="L639" s="520">
        <v>9.24</v>
      </c>
      <c r="M639" s="520">
        <v>9.9</v>
      </c>
      <c r="N639" s="507">
        <v>0.106</v>
      </c>
      <c r="O639" s="507">
        <v>0.10299999999999999</v>
      </c>
      <c r="P639" s="507">
        <v>0.11799999999999999</v>
      </c>
      <c r="Q639" s="78">
        <v>0.44</v>
      </c>
      <c r="R639" s="78">
        <v>0.31740000000000002</v>
      </c>
      <c r="S639" s="69">
        <v>2.5000000000000001E-2</v>
      </c>
      <c r="T639" s="69">
        <v>5.0000000000000001E-3</v>
      </c>
      <c r="U639" s="507">
        <v>0.95</v>
      </c>
      <c r="V639" s="76">
        <v>0</v>
      </c>
      <c r="W639" s="76">
        <v>0</v>
      </c>
      <c r="X639" s="76"/>
      <c r="Y639" s="519" t="s">
        <v>469</v>
      </c>
    </row>
    <row r="640" spans="1:25" x14ac:dyDescent="0.25">
      <c r="A640" s="75" t="str">
        <f t="shared" si="23"/>
        <v>Exclusiva PF No_Premier Nómina Cofinavit Pago_Bajo_Puntual Si 15</v>
      </c>
      <c r="B640" s="75" t="str">
        <f t="shared" si="22"/>
        <v>Exclusiva PF No_Premier Nómina Cofinavit Pago_Bajo_Puntual Si 15 0.103</v>
      </c>
      <c r="C640" s="75" t="s">
        <v>116</v>
      </c>
      <c r="D640" s="75" t="s">
        <v>132</v>
      </c>
      <c r="E640" s="75" t="s">
        <v>179</v>
      </c>
      <c r="F640" s="75" t="s">
        <v>181</v>
      </c>
      <c r="G640" s="75" t="s">
        <v>113</v>
      </c>
      <c r="H640" s="75"/>
      <c r="I640" s="75" t="s">
        <v>170</v>
      </c>
      <c r="J640" s="76">
        <v>15</v>
      </c>
      <c r="K640" s="519" t="s">
        <v>387</v>
      </c>
      <c r="L640" s="520">
        <v>10.119999999999999</v>
      </c>
      <c r="M640" s="520">
        <v>10.78</v>
      </c>
      <c r="N640" s="507">
        <v>0.10299999999999999</v>
      </c>
      <c r="O640" s="507">
        <v>0.1</v>
      </c>
      <c r="P640" s="507">
        <v>0.112</v>
      </c>
      <c r="Q640" s="78">
        <v>0.44</v>
      </c>
      <c r="R640" s="78">
        <v>0.31740000000000002</v>
      </c>
      <c r="S640" s="69">
        <v>2.5000000000000001E-2</v>
      </c>
      <c r="T640" s="69">
        <v>5.0000000000000001E-3</v>
      </c>
      <c r="U640" s="507">
        <v>0.95</v>
      </c>
      <c r="V640" s="76">
        <v>0</v>
      </c>
      <c r="W640" s="76">
        <v>0</v>
      </c>
      <c r="X640" s="76" t="s">
        <v>147</v>
      </c>
      <c r="Y640" s="519" t="s">
        <v>469</v>
      </c>
    </row>
    <row r="641" spans="1:25" x14ac:dyDescent="0.25">
      <c r="A641" s="75" t="str">
        <f t="shared" si="23"/>
        <v>Exclusiva PF No_Premier Nómina Cofinavit Pago_Bajo_Puntual 15</v>
      </c>
      <c r="B641" s="75" t="str">
        <f t="shared" si="22"/>
        <v>Exclusiva PF No_Premier Nómina Cofinavit Pago_Bajo_Puntual 15 0.106</v>
      </c>
      <c r="C641" s="75" t="s">
        <v>116</v>
      </c>
      <c r="D641" s="75" t="s">
        <v>132</v>
      </c>
      <c r="E641" s="75" t="s">
        <v>179</v>
      </c>
      <c r="F641" s="75" t="s">
        <v>181</v>
      </c>
      <c r="G641" s="75" t="s">
        <v>113</v>
      </c>
      <c r="H641" s="75"/>
      <c r="I641" s="75" t="s">
        <v>170</v>
      </c>
      <c r="J641" s="76">
        <v>15</v>
      </c>
      <c r="K641" s="519">
        <v>3</v>
      </c>
      <c r="L641" s="520">
        <v>10.33</v>
      </c>
      <c r="M641" s="520">
        <v>10.99</v>
      </c>
      <c r="N641" s="507">
        <v>0.106</v>
      </c>
      <c r="O641" s="507">
        <v>0.10299999999999999</v>
      </c>
      <c r="P641" s="507">
        <v>0.11799999999999999</v>
      </c>
      <c r="Q641" s="78">
        <v>0.44</v>
      </c>
      <c r="R641" s="78">
        <v>0.31740000000000002</v>
      </c>
      <c r="S641" s="69">
        <v>2.5000000000000001E-2</v>
      </c>
      <c r="T641" s="69">
        <v>5.0000000000000001E-3</v>
      </c>
      <c r="U641" s="507">
        <v>0.95</v>
      </c>
      <c r="V641" s="76">
        <v>0</v>
      </c>
      <c r="W641" s="76">
        <v>0</v>
      </c>
      <c r="X641" s="76"/>
      <c r="Y641" s="519" t="s">
        <v>469</v>
      </c>
    </row>
    <row r="642" spans="1:25" x14ac:dyDescent="0.25">
      <c r="A642" s="75" t="str">
        <f t="shared" si="23"/>
        <v>Exclusiva PF No_Premier Nómina Cofinavit Pago_Bajo_Puntual Si 10</v>
      </c>
      <c r="B642" s="75" t="str">
        <f t="shared" si="22"/>
        <v>Exclusiva PF No_Premier Nómina Cofinavit Pago_Bajo_Puntual Si 10 0.103</v>
      </c>
      <c r="C642" s="75" t="s">
        <v>116</v>
      </c>
      <c r="D642" s="75" t="s">
        <v>132</v>
      </c>
      <c r="E642" s="75" t="s">
        <v>179</v>
      </c>
      <c r="F642" s="75" t="s">
        <v>181</v>
      </c>
      <c r="G642" s="75" t="s">
        <v>113</v>
      </c>
      <c r="H642" s="75"/>
      <c r="I642" s="75" t="s">
        <v>170</v>
      </c>
      <c r="J642" s="76">
        <v>10</v>
      </c>
      <c r="K642" s="519" t="s">
        <v>387</v>
      </c>
      <c r="L642" s="520">
        <v>12.62</v>
      </c>
      <c r="M642" s="520">
        <v>13.28</v>
      </c>
      <c r="N642" s="507">
        <v>0.10299999999999999</v>
      </c>
      <c r="O642" s="507">
        <v>0.1</v>
      </c>
      <c r="P642" s="507">
        <v>0.112</v>
      </c>
      <c r="Q642" s="78">
        <v>0.44</v>
      </c>
      <c r="R642" s="78">
        <v>0.31740000000000002</v>
      </c>
      <c r="S642" s="69">
        <v>2.5000000000000001E-2</v>
      </c>
      <c r="T642" s="69">
        <v>5.0000000000000001E-3</v>
      </c>
      <c r="U642" s="507">
        <v>0.95</v>
      </c>
      <c r="V642" s="76">
        <v>0</v>
      </c>
      <c r="W642" s="76">
        <v>0</v>
      </c>
      <c r="X642" s="76" t="s">
        <v>147</v>
      </c>
      <c r="Y642" s="519" t="s">
        <v>469</v>
      </c>
    </row>
    <row r="643" spans="1:25" x14ac:dyDescent="0.25">
      <c r="A643" s="75" t="str">
        <f t="shared" si="23"/>
        <v>Exclusiva PF No_Premier Nómina Cofinavit Pago_Bajo_Puntual 10</v>
      </c>
      <c r="B643" s="75" t="str">
        <f t="shared" si="22"/>
        <v>Exclusiva PF No_Premier Nómina Cofinavit Pago_Bajo_Puntual 10 0.106</v>
      </c>
      <c r="C643" s="75" t="s">
        <v>116</v>
      </c>
      <c r="D643" s="75" t="s">
        <v>132</v>
      </c>
      <c r="E643" s="75" t="s">
        <v>179</v>
      </c>
      <c r="F643" s="75" t="s">
        <v>181</v>
      </c>
      <c r="G643" s="75" t="s">
        <v>113</v>
      </c>
      <c r="H643" s="75"/>
      <c r="I643" s="75" t="s">
        <v>170</v>
      </c>
      <c r="J643" s="76">
        <v>10</v>
      </c>
      <c r="K643" s="519">
        <v>3</v>
      </c>
      <c r="L643" s="520">
        <v>12.78</v>
      </c>
      <c r="M643" s="520">
        <v>13.44</v>
      </c>
      <c r="N643" s="507">
        <v>0.106</v>
      </c>
      <c r="O643" s="507">
        <v>0.10299999999999999</v>
      </c>
      <c r="P643" s="507">
        <v>0.11799999999999999</v>
      </c>
      <c r="Q643" s="78">
        <v>0.44</v>
      </c>
      <c r="R643" s="78">
        <v>0.31740000000000002</v>
      </c>
      <c r="S643" s="69">
        <v>2.5000000000000001E-2</v>
      </c>
      <c r="T643" s="69">
        <v>5.0000000000000001E-3</v>
      </c>
      <c r="U643" s="507">
        <v>0.95</v>
      </c>
      <c r="V643" s="76">
        <v>0</v>
      </c>
      <c r="W643" s="76">
        <v>0</v>
      </c>
      <c r="X643" s="76"/>
      <c r="Y643" s="519" t="s">
        <v>469</v>
      </c>
    </row>
    <row r="644" spans="1:25" x14ac:dyDescent="0.25">
      <c r="A644" s="75" t="str">
        <f t="shared" si="23"/>
        <v>Exclusiva PF No_Premier Nómina Cofinavit Pago_Bajo_Puntual Si 5</v>
      </c>
      <c r="B644" s="75" t="str">
        <f t="shared" si="22"/>
        <v>Exclusiva PF No_Premier Nómina Cofinavit Pago_Bajo_Puntual Si 5 0.103</v>
      </c>
      <c r="C644" s="75" t="s">
        <v>116</v>
      </c>
      <c r="D644" s="75" t="s">
        <v>132</v>
      </c>
      <c r="E644" s="75" t="s">
        <v>179</v>
      </c>
      <c r="F644" s="75" t="s">
        <v>181</v>
      </c>
      <c r="G644" s="75" t="s">
        <v>113</v>
      </c>
      <c r="H644" s="75"/>
      <c r="I644" s="75" t="s">
        <v>170</v>
      </c>
      <c r="J644" s="76">
        <v>5</v>
      </c>
      <c r="K644" s="519" t="s">
        <v>387</v>
      </c>
      <c r="L644" s="520">
        <v>20.72</v>
      </c>
      <c r="M644" s="520">
        <v>21.38</v>
      </c>
      <c r="N644" s="507">
        <v>0.10299999999999999</v>
      </c>
      <c r="O644" s="507">
        <v>0.1</v>
      </c>
      <c r="P644" s="507">
        <v>0.112</v>
      </c>
      <c r="Q644" s="78">
        <v>0.44</v>
      </c>
      <c r="R644" s="78">
        <v>0.31740000000000002</v>
      </c>
      <c r="S644" s="69">
        <v>2.5000000000000001E-2</v>
      </c>
      <c r="T644" s="69">
        <v>5.0000000000000001E-3</v>
      </c>
      <c r="U644" s="507">
        <v>0.95</v>
      </c>
      <c r="V644" s="76">
        <v>0</v>
      </c>
      <c r="W644" s="76">
        <v>0</v>
      </c>
      <c r="X644" s="76" t="s">
        <v>147</v>
      </c>
      <c r="Y644" s="519" t="s">
        <v>469</v>
      </c>
    </row>
    <row r="645" spans="1:25" x14ac:dyDescent="0.25">
      <c r="A645" s="75" t="str">
        <f t="shared" si="23"/>
        <v>Exclusiva PF No_Premier Nómina Cofinavit Pago_Bajo_Puntual 5</v>
      </c>
      <c r="B645" s="75" t="str">
        <f t="shared" si="22"/>
        <v>Exclusiva PF No_Premier Nómina Cofinavit Pago_Bajo_Puntual 5 0.106</v>
      </c>
      <c r="C645" s="75" t="s">
        <v>116</v>
      </c>
      <c r="D645" s="75" t="s">
        <v>132</v>
      </c>
      <c r="E645" s="75" t="s">
        <v>179</v>
      </c>
      <c r="F645" s="75" t="s">
        <v>181</v>
      </c>
      <c r="G645" s="75" t="s">
        <v>113</v>
      </c>
      <c r="H645" s="75"/>
      <c r="I645" s="75" t="s">
        <v>170</v>
      </c>
      <c r="J645" s="76">
        <v>5</v>
      </c>
      <c r="K645" s="519">
        <v>3</v>
      </c>
      <c r="L645" s="520">
        <v>20.86</v>
      </c>
      <c r="M645" s="520">
        <v>21.52</v>
      </c>
      <c r="N645" s="507">
        <v>0.106</v>
      </c>
      <c r="O645" s="507">
        <v>0.10299999999999999</v>
      </c>
      <c r="P645" s="507">
        <v>0.11799999999999999</v>
      </c>
      <c r="Q645" s="78">
        <v>0.44</v>
      </c>
      <c r="R645" s="78">
        <v>0.31740000000000002</v>
      </c>
      <c r="S645" s="69">
        <v>2.5000000000000001E-2</v>
      </c>
      <c r="T645" s="69">
        <v>5.0000000000000001E-3</v>
      </c>
      <c r="U645" s="507">
        <v>0.95</v>
      </c>
      <c r="V645" s="76">
        <v>0</v>
      </c>
      <c r="W645" s="76">
        <v>0</v>
      </c>
      <c r="X645" s="76"/>
      <c r="Y645" s="519" t="s">
        <v>469</v>
      </c>
    </row>
    <row r="646" spans="1:25" x14ac:dyDescent="0.25">
      <c r="A646" s="75" t="str">
        <f t="shared" si="23"/>
        <v>Exclusiva PF No_Premier Nómina Cofinavit Pago_Fijo_Puntual 25</v>
      </c>
      <c r="B646" s="75" t="str">
        <f t="shared" si="22"/>
        <v>Exclusiva PF No_Premier Nómina Cofinavit Pago_Fijo_Puntual 25 0.0965</v>
      </c>
      <c r="C646" s="75" t="s">
        <v>116</v>
      </c>
      <c r="D646" s="75" t="s">
        <v>132</v>
      </c>
      <c r="E646" s="75" t="s">
        <v>179</v>
      </c>
      <c r="F646" s="75" t="s">
        <v>181</v>
      </c>
      <c r="G646" s="75" t="s">
        <v>113</v>
      </c>
      <c r="H646" s="75"/>
      <c r="I646" s="75" t="s">
        <v>171</v>
      </c>
      <c r="J646" s="76">
        <v>25</v>
      </c>
      <c r="K646" s="516" t="s">
        <v>385</v>
      </c>
      <c r="L646" s="517">
        <v>9.11</v>
      </c>
      <c r="M646" s="517">
        <v>9.77</v>
      </c>
      <c r="N646" s="518">
        <v>9.6500000000000002E-2</v>
      </c>
      <c r="O646" s="518">
        <v>9.1999999999999998E-2</v>
      </c>
      <c r="P646" s="518">
        <v>0.10249999999999999</v>
      </c>
      <c r="Q646" s="78">
        <v>0.44</v>
      </c>
      <c r="R646" s="78">
        <v>0.31740000000000002</v>
      </c>
      <c r="S646" s="69">
        <v>2.5000000000000001E-2</v>
      </c>
      <c r="T646" s="69">
        <v>5.0000000000000001E-3</v>
      </c>
      <c r="U646" s="518">
        <v>0.7</v>
      </c>
      <c r="V646" s="76">
        <v>0</v>
      </c>
      <c r="W646" s="76">
        <v>0</v>
      </c>
      <c r="X646" s="76"/>
      <c r="Y646" s="516" t="s">
        <v>470</v>
      </c>
    </row>
    <row r="647" spans="1:25" x14ac:dyDescent="0.25">
      <c r="A647" s="75" t="str">
        <f t="shared" si="23"/>
        <v>Exclusiva PF No_Premier Nómina Cofinavit Pago_Fijo_Puntual 25</v>
      </c>
      <c r="B647" s="75" t="str">
        <f t="shared" si="22"/>
        <v>Exclusiva PF No_Premier Nómina Cofinavit Pago_Fijo_Puntual 25 0.103</v>
      </c>
      <c r="C647" s="75" t="s">
        <v>116</v>
      </c>
      <c r="D647" s="75" t="s">
        <v>132</v>
      </c>
      <c r="E647" s="75" t="s">
        <v>179</v>
      </c>
      <c r="F647" s="75" t="s">
        <v>181</v>
      </c>
      <c r="G647" s="75" t="s">
        <v>113</v>
      </c>
      <c r="H647" s="75"/>
      <c r="I647" s="75" t="s">
        <v>171</v>
      </c>
      <c r="J647" s="76">
        <v>25</v>
      </c>
      <c r="K647" s="516" t="s">
        <v>386</v>
      </c>
      <c r="L647" s="517">
        <v>9.65</v>
      </c>
      <c r="M647" s="517">
        <v>10.31</v>
      </c>
      <c r="N647" s="518">
        <v>0.10299999999999999</v>
      </c>
      <c r="O647" s="518">
        <v>0.1</v>
      </c>
      <c r="P647" s="518">
        <v>0.112</v>
      </c>
      <c r="Q647" s="78">
        <v>0.44</v>
      </c>
      <c r="R647" s="78">
        <v>0.31740000000000002</v>
      </c>
      <c r="S647" s="69">
        <v>2.5000000000000001E-2</v>
      </c>
      <c r="T647" s="69">
        <v>5.0000000000000001E-3</v>
      </c>
      <c r="U647" s="518">
        <v>0.7</v>
      </c>
      <c r="V647" s="76">
        <v>0</v>
      </c>
      <c r="W647" s="76">
        <v>0</v>
      </c>
      <c r="X647" s="76"/>
      <c r="Y647" s="516" t="s">
        <v>470</v>
      </c>
    </row>
    <row r="648" spans="1:25" x14ac:dyDescent="0.25">
      <c r="A648" s="75" t="str">
        <f t="shared" si="23"/>
        <v>Exclusiva PF No_Premier Nómina Cofinavit Pago_Fijo_Puntual 20</v>
      </c>
      <c r="B648" s="75" t="str">
        <f t="shared" si="22"/>
        <v>Exclusiva PF No_Premier Nómina Cofinavit Pago_Fijo_Puntual 20 0.0965</v>
      </c>
      <c r="C648" s="75" t="s">
        <v>116</v>
      </c>
      <c r="D648" s="75" t="s">
        <v>132</v>
      </c>
      <c r="E648" s="75" t="s">
        <v>179</v>
      </c>
      <c r="F648" s="75" t="s">
        <v>181</v>
      </c>
      <c r="G648" s="75" t="s">
        <v>113</v>
      </c>
      <c r="H648" s="75"/>
      <c r="I648" s="75" t="s">
        <v>171</v>
      </c>
      <c r="J648" s="76">
        <v>20</v>
      </c>
      <c r="K648" s="516" t="s">
        <v>385</v>
      </c>
      <c r="L648" s="517">
        <v>9.66</v>
      </c>
      <c r="M648" s="517">
        <v>10.32</v>
      </c>
      <c r="N648" s="518">
        <v>9.6500000000000002E-2</v>
      </c>
      <c r="O648" s="518">
        <v>9.1999999999999998E-2</v>
      </c>
      <c r="P648" s="518">
        <v>0.10249999999999999</v>
      </c>
      <c r="Q648" s="78">
        <v>0.44</v>
      </c>
      <c r="R648" s="78">
        <v>0.31740000000000002</v>
      </c>
      <c r="S648" s="69">
        <v>2.5000000000000001E-2</v>
      </c>
      <c r="T648" s="69">
        <v>5.0000000000000001E-3</v>
      </c>
      <c r="U648" s="518">
        <v>0.7</v>
      </c>
      <c r="V648" s="76">
        <v>0</v>
      </c>
      <c r="W648" s="76">
        <v>0</v>
      </c>
      <c r="X648" s="76"/>
      <c r="Y648" s="516" t="s">
        <v>470</v>
      </c>
    </row>
    <row r="649" spans="1:25" x14ac:dyDescent="0.25">
      <c r="A649" s="75" t="str">
        <f t="shared" si="23"/>
        <v>Exclusiva PF No_Premier Nómina Cofinavit Pago_Fijo_Puntual 20</v>
      </c>
      <c r="B649" s="75" t="str">
        <f t="shared" si="22"/>
        <v>Exclusiva PF No_Premier Nómina Cofinavit Pago_Fijo_Puntual 20 0.103</v>
      </c>
      <c r="C649" s="75" t="s">
        <v>116</v>
      </c>
      <c r="D649" s="75" t="s">
        <v>132</v>
      </c>
      <c r="E649" s="75" t="s">
        <v>179</v>
      </c>
      <c r="F649" s="75" t="s">
        <v>181</v>
      </c>
      <c r="G649" s="75" t="s">
        <v>113</v>
      </c>
      <c r="H649" s="75"/>
      <c r="I649" s="75" t="s">
        <v>171</v>
      </c>
      <c r="J649" s="76">
        <v>20</v>
      </c>
      <c r="K649" s="516" t="s">
        <v>386</v>
      </c>
      <c r="L649" s="517">
        <v>10.16</v>
      </c>
      <c r="M649" s="517">
        <v>10.82</v>
      </c>
      <c r="N649" s="518">
        <v>0.10299999999999999</v>
      </c>
      <c r="O649" s="518">
        <v>0.1</v>
      </c>
      <c r="P649" s="518">
        <v>0.112</v>
      </c>
      <c r="Q649" s="78">
        <v>0.44</v>
      </c>
      <c r="R649" s="78">
        <v>0.31740000000000002</v>
      </c>
      <c r="S649" s="69">
        <v>2.5000000000000001E-2</v>
      </c>
      <c r="T649" s="69">
        <v>5.0000000000000001E-3</v>
      </c>
      <c r="U649" s="518">
        <v>0.7</v>
      </c>
      <c r="V649" s="76">
        <v>0</v>
      </c>
      <c r="W649" s="76">
        <v>0</v>
      </c>
      <c r="X649" s="76"/>
      <c r="Y649" s="516" t="s">
        <v>470</v>
      </c>
    </row>
    <row r="650" spans="1:25" x14ac:dyDescent="0.25">
      <c r="A650" s="75" t="str">
        <f t="shared" si="23"/>
        <v>Exclusiva PF No_Premier Nómina Cofinavit Pago_Fijo_Puntual 15</v>
      </c>
      <c r="B650" s="75" t="str">
        <f t="shared" si="22"/>
        <v>Exclusiva PF No_Premier Nómina Cofinavit Pago_Fijo_Puntual 15 0.0965</v>
      </c>
      <c r="C650" s="75" t="s">
        <v>116</v>
      </c>
      <c r="D650" s="75" t="s">
        <v>132</v>
      </c>
      <c r="E650" s="75" t="s">
        <v>179</v>
      </c>
      <c r="F650" s="75" t="s">
        <v>181</v>
      </c>
      <c r="G650" s="75" t="s">
        <v>113</v>
      </c>
      <c r="H650" s="75"/>
      <c r="I650" s="75" t="s">
        <v>171</v>
      </c>
      <c r="J650" s="76">
        <v>15</v>
      </c>
      <c r="K650" s="516" t="s">
        <v>385</v>
      </c>
      <c r="L650" s="517">
        <v>10.73</v>
      </c>
      <c r="M650" s="517">
        <v>11.39</v>
      </c>
      <c r="N650" s="518">
        <v>9.6500000000000002E-2</v>
      </c>
      <c r="O650" s="518">
        <v>9.1999999999999998E-2</v>
      </c>
      <c r="P650" s="518">
        <v>0.10249999999999999</v>
      </c>
      <c r="Q650" s="78">
        <v>0.44</v>
      </c>
      <c r="R650" s="78">
        <v>0.31740000000000002</v>
      </c>
      <c r="S650" s="69">
        <v>2.5000000000000001E-2</v>
      </c>
      <c r="T650" s="69">
        <v>5.0000000000000001E-3</v>
      </c>
      <c r="U650" s="518">
        <v>0.7</v>
      </c>
      <c r="V650" s="76">
        <v>0</v>
      </c>
      <c r="W650" s="76">
        <v>0</v>
      </c>
      <c r="X650" s="76"/>
      <c r="Y650" s="516" t="s">
        <v>470</v>
      </c>
    </row>
    <row r="651" spans="1:25" x14ac:dyDescent="0.25">
      <c r="A651" s="75" t="str">
        <f t="shared" si="23"/>
        <v>Exclusiva PF No_Premier Nómina Cofinavit Pago_Fijo_Puntual 15</v>
      </c>
      <c r="B651" s="75" t="str">
        <f t="shared" si="22"/>
        <v>Exclusiva PF No_Premier Nómina Cofinavit Pago_Fijo_Puntual 15 0.103</v>
      </c>
      <c r="C651" s="75" t="s">
        <v>116</v>
      </c>
      <c r="D651" s="75" t="s">
        <v>132</v>
      </c>
      <c r="E651" s="75" t="s">
        <v>179</v>
      </c>
      <c r="F651" s="75" t="s">
        <v>181</v>
      </c>
      <c r="G651" s="75" t="s">
        <v>113</v>
      </c>
      <c r="H651" s="75"/>
      <c r="I651" s="75" t="s">
        <v>171</v>
      </c>
      <c r="J651" s="76">
        <v>15</v>
      </c>
      <c r="K651" s="516" t="s">
        <v>386</v>
      </c>
      <c r="L651" s="517">
        <v>11.18</v>
      </c>
      <c r="M651" s="517">
        <v>11.84</v>
      </c>
      <c r="N651" s="518">
        <v>0.10299999999999999</v>
      </c>
      <c r="O651" s="518">
        <v>0.1</v>
      </c>
      <c r="P651" s="518">
        <v>0.112</v>
      </c>
      <c r="Q651" s="78">
        <v>0.44</v>
      </c>
      <c r="R651" s="78">
        <v>0.31740000000000002</v>
      </c>
      <c r="S651" s="69">
        <v>2.5000000000000001E-2</v>
      </c>
      <c r="T651" s="69">
        <v>5.0000000000000001E-3</v>
      </c>
      <c r="U651" s="518">
        <v>0.7</v>
      </c>
      <c r="V651" s="76">
        <v>0</v>
      </c>
      <c r="W651" s="76">
        <v>0</v>
      </c>
      <c r="X651" s="76"/>
      <c r="Y651" s="516" t="s">
        <v>470</v>
      </c>
    </row>
    <row r="652" spans="1:25" x14ac:dyDescent="0.25">
      <c r="A652" s="75" t="str">
        <f t="shared" si="23"/>
        <v>Exclusiva PF No_Premier Nómina Cofinavit Pago_Fijo_Puntual 10</v>
      </c>
      <c r="B652" s="75" t="str">
        <f t="shared" si="22"/>
        <v>Exclusiva PF No_Premier Nómina Cofinavit Pago_Fijo_Puntual 10 0.0965</v>
      </c>
      <c r="C652" s="75" t="s">
        <v>116</v>
      </c>
      <c r="D652" s="75" t="s">
        <v>132</v>
      </c>
      <c r="E652" s="75" t="s">
        <v>179</v>
      </c>
      <c r="F652" s="75" t="s">
        <v>181</v>
      </c>
      <c r="G652" s="75" t="s">
        <v>113</v>
      </c>
      <c r="H652" s="75"/>
      <c r="I652" s="75" t="s">
        <v>171</v>
      </c>
      <c r="J652" s="76">
        <v>10</v>
      </c>
      <c r="K652" s="516" t="s">
        <v>385</v>
      </c>
      <c r="L652" s="517">
        <v>13.16</v>
      </c>
      <c r="M652" s="517">
        <v>13.82</v>
      </c>
      <c r="N652" s="518">
        <v>9.6500000000000002E-2</v>
      </c>
      <c r="O652" s="518">
        <v>9.1999999999999998E-2</v>
      </c>
      <c r="P652" s="518">
        <v>0.10249999999999999</v>
      </c>
      <c r="Q652" s="78">
        <v>0.44</v>
      </c>
      <c r="R652" s="78">
        <v>0.31740000000000002</v>
      </c>
      <c r="S652" s="69">
        <v>2.5000000000000001E-2</v>
      </c>
      <c r="T652" s="69">
        <v>5.0000000000000001E-3</v>
      </c>
      <c r="U652" s="518">
        <v>0.7</v>
      </c>
      <c r="V652" s="76">
        <v>0</v>
      </c>
      <c r="W652" s="76">
        <v>0</v>
      </c>
      <c r="X652" s="76"/>
      <c r="Y652" s="516" t="s">
        <v>470</v>
      </c>
    </row>
    <row r="653" spans="1:25" x14ac:dyDescent="0.25">
      <c r="A653" s="75" t="str">
        <f t="shared" si="23"/>
        <v>Exclusiva PF No_Premier Nómina Cofinavit Pago_Fijo_Puntual 10</v>
      </c>
      <c r="B653" s="75" t="str">
        <f t="shared" si="22"/>
        <v>Exclusiva PF No_Premier Nómina Cofinavit Pago_Fijo_Puntual 10 0.103</v>
      </c>
      <c r="C653" s="75" t="s">
        <v>116</v>
      </c>
      <c r="D653" s="75" t="s">
        <v>132</v>
      </c>
      <c r="E653" s="75" t="s">
        <v>179</v>
      </c>
      <c r="F653" s="75" t="s">
        <v>181</v>
      </c>
      <c r="G653" s="75" t="s">
        <v>113</v>
      </c>
      <c r="H653" s="75"/>
      <c r="I653" s="75" t="s">
        <v>171</v>
      </c>
      <c r="J653" s="76">
        <v>10</v>
      </c>
      <c r="K653" s="516" t="s">
        <v>386</v>
      </c>
      <c r="L653" s="517">
        <v>13.54</v>
      </c>
      <c r="M653" s="517">
        <v>14.2</v>
      </c>
      <c r="N653" s="518">
        <v>0.10299999999999999</v>
      </c>
      <c r="O653" s="518">
        <v>0.1</v>
      </c>
      <c r="P653" s="518">
        <v>0.112</v>
      </c>
      <c r="Q653" s="78">
        <v>0.44</v>
      </c>
      <c r="R653" s="78">
        <v>0.31740000000000002</v>
      </c>
      <c r="S653" s="69">
        <v>2.5000000000000001E-2</v>
      </c>
      <c r="T653" s="69">
        <v>5.0000000000000001E-3</v>
      </c>
      <c r="U653" s="518">
        <v>0.7</v>
      </c>
      <c r="V653" s="76">
        <v>0</v>
      </c>
      <c r="W653" s="76">
        <v>0</v>
      </c>
      <c r="X653" s="76"/>
      <c r="Y653" s="516" t="s">
        <v>470</v>
      </c>
    </row>
    <row r="654" spans="1:25" x14ac:dyDescent="0.25">
      <c r="A654" s="75" t="str">
        <f t="shared" si="23"/>
        <v>Exclusiva PF No_Premier Nómina Cofinavit Pago_Fijo_Puntual 5</v>
      </c>
      <c r="B654" s="75" t="str">
        <f t="shared" ref="B654:B717" si="24">CONCATENATE(A654," ",N654)</f>
        <v>Exclusiva PF No_Premier Nómina Cofinavit Pago_Fijo_Puntual 5 0.0965</v>
      </c>
      <c r="C654" s="75" t="s">
        <v>116</v>
      </c>
      <c r="D654" s="75" t="s">
        <v>132</v>
      </c>
      <c r="E654" s="75" t="s">
        <v>179</v>
      </c>
      <c r="F654" s="75" t="s">
        <v>181</v>
      </c>
      <c r="G654" s="75" t="s">
        <v>113</v>
      </c>
      <c r="H654" s="75"/>
      <c r="I654" s="75" t="s">
        <v>171</v>
      </c>
      <c r="J654" s="76">
        <v>5</v>
      </c>
      <c r="K654" s="516" t="s">
        <v>385</v>
      </c>
      <c r="L654" s="517">
        <v>21.12</v>
      </c>
      <c r="M654" s="517">
        <v>21.78</v>
      </c>
      <c r="N654" s="518">
        <v>9.6500000000000002E-2</v>
      </c>
      <c r="O654" s="518">
        <v>9.1999999999999998E-2</v>
      </c>
      <c r="P654" s="518">
        <v>0.10249999999999999</v>
      </c>
      <c r="Q654" s="78">
        <v>0.44</v>
      </c>
      <c r="R654" s="78">
        <v>0.31740000000000002</v>
      </c>
      <c r="S654" s="69">
        <v>2.5000000000000001E-2</v>
      </c>
      <c r="T654" s="69">
        <v>5.0000000000000001E-3</v>
      </c>
      <c r="U654" s="518">
        <v>0.7</v>
      </c>
      <c r="V654" s="76">
        <v>0</v>
      </c>
      <c r="W654" s="76">
        <v>0</v>
      </c>
      <c r="X654" s="76"/>
      <c r="Y654" s="516" t="s">
        <v>470</v>
      </c>
    </row>
    <row r="655" spans="1:25" x14ac:dyDescent="0.25">
      <c r="A655" s="75" t="str">
        <f t="shared" ref="A655:A718" si="25">TRIM(CONCATENATE(C655," ",D655," ",E655," ",F655," ",G655," ",I655," ",X655," ",J655))</f>
        <v>Exclusiva PF No_Premier Nómina Cofinavit Pago_Fijo_Puntual 5</v>
      </c>
      <c r="B655" s="75" t="str">
        <f t="shared" si="24"/>
        <v>Exclusiva PF No_Premier Nómina Cofinavit Pago_Fijo_Puntual 5 0.103</v>
      </c>
      <c r="C655" s="75" t="s">
        <v>116</v>
      </c>
      <c r="D655" s="75" t="s">
        <v>132</v>
      </c>
      <c r="E655" s="75" t="s">
        <v>179</v>
      </c>
      <c r="F655" s="75" t="s">
        <v>181</v>
      </c>
      <c r="G655" s="75" t="s">
        <v>113</v>
      </c>
      <c r="H655" s="75"/>
      <c r="I655" s="75" t="s">
        <v>171</v>
      </c>
      <c r="J655" s="76">
        <v>5</v>
      </c>
      <c r="K655" s="516" t="s">
        <v>386</v>
      </c>
      <c r="L655" s="517">
        <v>21.44</v>
      </c>
      <c r="M655" s="517">
        <v>22.1</v>
      </c>
      <c r="N655" s="518">
        <v>0.10299999999999999</v>
      </c>
      <c r="O655" s="518">
        <v>0.1</v>
      </c>
      <c r="P655" s="518">
        <v>0.112</v>
      </c>
      <c r="Q655" s="78">
        <v>0.44</v>
      </c>
      <c r="R655" s="78">
        <v>0.31740000000000002</v>
      </c>
      <c r="S655" s="69">
        <v>2.5000000000000001E-2</v>
      </c>
      <c r="T655" s="69">
        <v>5.0000000000000001E-3</v>
      </c>
      <c r="U655" s="518">
        <v>0.7</v>
      </c>
      <c r="V655" s="76">
        <v>0</v>
      </c>
      <c r="W655" s="76">
        <v>0</v>
      </c>
      <c r="X655" s="76"/>
      <c r="Y655" s="516" t="s">
        <v>470</v>
      </c>
    </row>
    <row r="656" spans="1:25" x14ac:dyDescent="0.25">
      <c r="A656" s="75" t="str">
        <f t="shared" si="25"/>
        <v>Exclusiva PF No_Premier Nómina Cofinavit Pago_Bajo_Puntual 25</v>
      </c>
      <c r="B656" s="75" t="str">
        <f t="shared" si="24"/>
        <v>Exclusiva PF No_Premier Nómina Cofinavit Pago_Bajo_Puntual 25 0.0965</v>
      </c>
      <c r="C656" s="75" t="s">
        <v>116</v>
      </c>
      <c r="D656" s="75" t="s">
        <v>132</v>
      </c>
      <c r="E656" s="75" t="s">
        <v>179</v>
      </c>
      <c r="F656" s="75" t="s">
        <v>181</v>
      </c>
      <c r="G656" s="75" t="s">
        <v>113</v>
      </c>
      <c r="H656" s="75"/>
      <c r="I656" s="75" t="s">
        <v>170</v>
      </c>
      <c r="J656" s="523">
        <v>25</v>
      </c>
      <c r="K656" s="516" t="s">
        <v>385</v>
      </c>
      <c r="L656" s="517">
        <v>8.1</v>
      </c>
      <c r="M656" s="517">
        <v>8.76</v>
      </c>
      <c r="N656" s="518">
        <v>9.6500000000000002E-2</v>
      </c>
      <c r="O656" s="518">
        <v>9.1999999999999998E-2</v>
      </c>
      <c r="P656" s="518">
        <v>0.10249999999999999</v>
      </c>
      <c r="Q656" s="78">
        <v>0.44</v>
      </c>
      <c r="R656" s="78">
        <v>0.31740000000000002</v>
      </c>
      <c r="S656" s="69">
        <v>2.5000000000000001E-2</v>
      </c>
      <c r="T656" s="69">
        <v>5.0000000000000001E-3</v>
      </c>
      <c r="U656" s="518">
        <v>0.7</v>
      </c>
      <c r="V656" s="76">
        <v>0</v>
      </c>
      <c r="W656" s="76">
        <v>0</v>
      </c>
      <c r="X656" s="76"/>
      <c r="Y656" s="516" t="s">
        <v>470</v>
      </c>
    </row>
    <row r="657" spans="1:25" x14ac:dyDescent="0.25">
      <c r="A657" s="75" t="str">
        <f t="shared" si="25"/>
        <v>Exclusiva PF No_Premier Nómina Cofinavit Pago_Bajo_Puntual 25</v>
      </c>
      <c r="B657" s="75" t="str">
        <f t="shared" si="24"/>
        <v>Exclusiva PF No_Premier Nómina Cofinavit Pago_Bajo_Puntual 25 0.103</v>
      </c>
      <c r="C657" s="75" t="s">
        <v>116</v>
      </c>
      <c r="D657" s="75" t="s">
        <v>132</v>
      </c>
      <c r="E657" s="75" t="s">
        <v>179</v>
      </c>
      <c r="F657" s="75" t="s">
        <v>181</v>
      </c>
      <c r="G657" s="75" t="s">
        <v>113</v>
      </c>
      <c r="H657" s="75"/>
      <c r="I657" s="75" t="s">
        <v>170</v>
      </c>
      <c r="J657" s="523">
        <v>25</v>
      </c>
      <c r="K657" s="516" t="s">
        <v>386</v>
      </c>
      <c r="L657" s="517">
        <v>8.64</v>
      </c>
      <c r="M657" s="517">
        <v>9.3000000000000007</v>
      </c>
      <c r="N657" s="518">
        <v>0.10299999999999999</v>
      </c>
      <c r="O657" s="518">
        <v>0.1</v>
      </c>
      <c r="P657" s="518">
        <v>0.112</v>
      </c>
      <c r="Q657" s="78">
        <v>0.44</v>
      </c>
      <c r="R657" s="78">
        <v>0.31740000000000002</v>
      </c>
      <c r="S657" s="69">
        <v>2.5000000000000001E-2</v>
      </c>
      <c r="T657" s="69">
        <v>5.0000000000000001E-3</v>
      </c>
      <c r="U657" s="518">
        <v>0.7</v>
      </c>
      <c r="V657" s="76">
        <v>0</v>
      </c>
      <c r="W657" s="76">
        <v>0</v>
      </c>
      <c r="X657" s="76"/>
      <c r="Y657" s="516" t="s">
        <v>470</v>
      </c>
    </row>
    <row r="658" spans="1:25" x14ac:dyDescent="0.25">
      <c r="A658" s="75" t="str">
        <f t="shared" si="25"/>
        <v>Exclusiva PF No_Premier Nómina Cofinavit Pago_Bajo_Puntual 20</v>
      </c>
      <c r="B658" s="75" t="str">
        <f t="shared" si="24"/>
        <v>Exclusiva PF No_Premier Nómina Cofinavit Pago_Bajo_Puntual 20 0.0965</v>
      </c>
      <c r="C658" s="75" t="s">
        <v>116</v>
      </c>
      <c r="D658" s="75" t="s">
        <v>132</v>
      </c>
      <c r="E658" s="75" t="s">
        <v>179</v>
      </c>
      <c r="F658" s="75" t="s">
        <v>181</v>
      </c>
      <c r="G658" s="75" t="s">
        <v>113</v>
      </c>
      <c r="H658" s="75"/>
      <c r="I658" s="75" t="s">
        <v>170</v>
      </c>
      <c r="J658" s="76">
        <v>20</v>
      </c>
      <c r="K658" s="516" t="s">
        <v>385</v>
      </c>
      <c r="L658" s="517">
        <v>8.52</v>
      </c>
      <c r="M658" s="517">
        <v>9.18</v>
      </c>
      <c r="N658" s="518">
        <v>9.6500000000000002E-2</v>
      </c>
      <c r="O658" s="518">
        <v>9.1999999999999998E-2</v>
      </c>
      <c r="P658" s="518">
        <v>0.10249999999999999</v>
      </c>
      <c r="Q658" s="78">
        <v>0.44</v>
      </c>
      <c r="R658" s="78">
        <v>0.31740000000000002</v>
      </c>
      <c r="S658" s="69">
        <v>2.5000000000000001E-2</v>
      </c>
      <c r="T658" s="69">
        <v>5.0000000000000001E-3</v>
      </c>
      <c r="U658" s="518">
        <v>0.7</v>
      </c>
      <c r="V658" s="76">
        <v>0</v>
      </c>
      <c r="W658" s="76">
        <v>0</v>
      </c>
      <c r="X658" s="76"/>
      <c r="Y658" s="516" t="s">
        <v>470</v>
      </c>
    </row>
    <row r="659" spans="1:25" x14ac:dyDescent="0.25">
      <c r="A659" s="75" t="str">
        <f t="shared" si="25"/>
        <v>Exclusiva PF No_Premier Nómina Cofinavit Pago_Bajo_Puntual 20</v>
      </c>
      <c r="B659" s="75" t="str">
        <f t="shared" si="24"/>
        <v>Exclusiva PF No_Premier Nómina Cofinavit Pago_Bajo_Puntual 20 0.103</v>
      </c>
      <c r="C659" s="75" t="s">
        <v>116</v>
      </c>
      <c r="D659" s="75" t="s">
        <v>132</v>
      </c>
      <c r="E659" s="75" t="s">
        <v>179</v>
      </c>
      <c r="F659" s="75" t="s">
        <v>181</v>
      </c>
      <c r="G659" s="75" t="s">
        <v>113</v>
      </c>
      <c r="H659" s="75"/>
      <c r="I659" s="75" t="s">
        <v>170</v>
      </c>
      <c r="J659" s="76">
        <v>20</v>
      </c>
      <c r="K659" s="516" t="s">
        <v>386</v>
      </c>
      <c r="L659" s="517">
        <v>9</v>
      </c>
      <c r="M659" s="517">
        <v>9.66</v>
      </c>
      <c r="N659" s="518">
        <v>0.10299999999999999</v>
      </c>
      <c r="O659" s="518">
        <v>0.1</v>
      </c>
      <c r="P659" s="518">
        <v>0.112</v>
      </c>
      <c r="Q659" s="78">
        <v>0.44</v>
      </c>
      <c r="R659" s="78">
        <v>0.31740000000000002</v>
      </c>
      <c r="S659" s="69">
        <v>2.5000000000000001E-2</v>
      </c>
      <c r="T659" s="69">
        <v>5.0000000000000001E-3</v>
      </c>
      <c r="U659" s="518">
        <v>0.7</v>
      </c>
      <c r="V659" s="76">
        <v>0</v>
      </c>
      <c r="W659" s="76">
        <v>0</v>
      </c>
      <c r="X659" s="76"/>
      <c r="Y659" s="516" t="s">
        <v>470</v>
      </c>
    </row>
    <row r="660" spans="1:25" x14ac:dyDescent="0.25">
      <c r="A660" s="75" t="str">
        <f t="shared" si="25"/>
        <v>Exclusiva PF No_Premier Nómina Cofinavit Pago_Bajo_Puntual 15</v>
      </c>
      <c r="B660" s="75" t="str">
        <f t="shared" si="24"/>
        <v>Exclusiva PF No_Premier Nómina Cofinavit Pago_Bajo_Puntual 15 0.0965</v>
      </c>
      <c r="C660" s="75" t="s">
        <v>116</v>
      </c>
      <c r="D660" s="75" t="s">
        <v>132</v>
      </c>
      <c r="E660" s="75" t="s">
        <v>179</v>
      </c>
      <c r="F660" s="75" t="s">
        <v>181</v>
      </c>
      <c r="G660" s="75" t="s">
        <v>113</v>
      </c>
      <c r="H660" s="75"/>
      <c r="I660" s="75" t="s">
        <v>170</v>
      </c>
      <c r="J660" s="76">
        <v>15</v>
      </c>
      <c r="K660" s="516" t="s">
        <v>385</v>
      </c>
      <c r="L660" s="517">
        <v>9.6999999999999993</v>
      </c>
      <c r="M660" s="517">
        <v>10.36</v>
      </c>
      <c r="N660" s="518">
        <v>9.6500000000000002E-2</v>
      </c>
      <c r="O660" s="518">
        <v>9.1999999999999998E-2</v>
      </c>
      <c r="P660" s="518">
        <v>0.10249999999999999</v>
      </c>
      <c r="Q660" s="78">
        <v>0.44</v>
      </c>
      <c r="R660" s="78">
        <v>0.31740000000000002</v>
      </c>
      <c r="S660" s="69">
        <v>2.5000000000000001E-2</v>
      </c>
      <c r="T660" s="69">
        <v>5.0000000000000001E-3</v>
      </c>
      <c r="U660" s="518">
        <v>0.7</v>
      </c>
      <c r="V660" s="76">
        <v>0</v>
      </c>
      <c r="W660" s="76">
        <v>0</v>
      </c>
      <c r="X660" s="76"/>
      <c r="Y660" s="516" t="s">
        <v>470</v>
      </c>
    </row>
    <row r="661" spans="1:25" x14ac:dyDescent="0.25">
      <c r="A661" s="75" t="str">
        <f t="shared" si="25"/>
        <v>Exclusiva PF No_Premier Nómina Cofinavit Pago_Bajo_Puntual 15</v>
      </c>
      <c r="B661" s="75" t="str">
        <f t="shared" si="24"/>
        <v>Exclusiva PF No_Premier Nómina Cofinavit Pago_Bajo_Puntual 15 0.103</v>
      </c>
      <c r="C661" s="75" t="s">
        <v>116</v>
      </c>
      <c r="D661" s="75" t="s">
        <v>132</v>
      </c>
      <c r="E661" s="75" t="s">
        <v>179</v>
      </c>
      <c r="F661" s="75" t="s">
        <v>181</v>
      </c>
      <c r="G661" s="75" t="s">
        <v>113</v>
      </c>
      <c r="H661" s="75"/>
      <c r="I661" s="75" t="s">
        <v>170</v>
      </c>
      <c r="J661" s="76">
        <v>15</v>
      </c>
      <c r="K661" s="516" t="s">
        <v>386</v>
      </c>
      <c r="L661" s="517">
        <v>10.119999999999999</v>
      </c>
      <c r="M661" s="517">
        <v>10.78</v>
      </c>
      <c r="N661" s="518">
        <v>0.10299999999999999</v>
      </c>
      <c r="O661" s="518">
        <v>0.1</v>
      </c>
      <c r="P661" s="518">
        <v>0.112</v>
      </c>
      <c r="Q661" s="78">
        <v>0.44</v>
      </c>
      <c r="R661" s="78">
        <v>0.31740000000000002</v>
      </c>
      <c r="S661" s="69">
        <v>2.5000000000000001E-2</v>
      </c>
      <c r="T661" s="69">
        <v>5.0000000000000001E-3</v>
      </c>
      <c r="U661" s="518">
        <v>0.7</v>
      </c>
      <c r="V661" s="76">
        <v>0</v>
      </c>
      <c r="W661" s="76">
        <v>0</v>
      </c>
      <c r="X661" s="76"/>
      <c r="Y661" s="516" t="s">
        <v>470</v>
      </c>
    </row>
    <row r="662" spans="1:25" x14ac:dyDescent="0.25">
      <c r="A662" s="75" t="str">
        <f t="shared" si="25"/>
        <v>Exclusiva PF No_Premier Nómina Cofinavit Pago_Bajo_Puntual 10</v>
      </c>
      <c r="B662" s="75" t="str">
        <f t="shared" si="24"/>
        <v>Exclusiva PF No_Premier Nómina Cofinavit Pago_Bajo_Puntual 10 0.0965</v>
      </c>
      <c r="C662" s="75" t="s">
        <v>116</v>
      </c>
      <c r="D662" s="75" t="s">
        <v>132</v>
      </c>
      <c r="E662" s="75" t="s">
        <v>179</v>
      </c>
      <c r="F662" s="75" t="s">
        <v>181</v>
      </c>
      <c r="G662" s="75" t="s">
        <v>113</v>
      </c>
      <c r="H662" s="75"/>
      <c r="I662" s="75" t="s">
        <v>170</v>
      </c>
      <c r="J662" s="76">
        <v>10</v>
      </c>
      <c r="K662" s="516" t="s">
        <v>385</v>
      </c>
      <c r="L662" s="517">
        <v>12.25</v>
      </c>
      <c r="M662" s="517">
        <v>12.91</v>
      </c>
      <c r="N662" s="518">
        <v>9.6500000000000002E-2</v>
      </c>
      <c r="O662" s="518">
        <v>9.1999999999999998E-2</v>
      </c>
      <c r="P662" s="518">
        <v>0.10249999999999999</v>
      </c>
      <c r="Q662" s="78">
        <v>0.44</v>
      </c>
      <c r="R662" s="78">
        <v>0.31740000000000002</v>
      </c>
      <c r="S662" s="69">
        <v>2.5000000000000001E-2</v>
      </c>
      <c r="T662" s="69">
        <v>5.0000000000000001E-3</v>
      </c>
      <c r="U662" s="518">
        <v>0.7</v>
      </c>
      <c r="V662" s="76">
        <v>0</v>
      </c>
      <c r="W662" s="76">
        <v>0</v>
      </c>
      <c r="X662" s="76"/>
      <c r="Y662" s="516" t="s">
        <v>470</v>
      </c>
    </row>
    <row r="663" spans="1:25" x14ac:dyDescent="0.25">
      <c r="A663" s="75" t="str">
        <f t="shared" si="25"/>
        <v>Exclusiva PF No_Premier Nómina Cofinavit Pago_Bajo_Puntual 10</v>
      </c>
      <c r="B663" s="75" t="str">
        <f t="shared" si="24"/>
        <v>Exclusiva PF No_Premier Nómina Cofinavit Pago_Bajo_Puntual 10 0.103</v>
      </c>
      <c r="C663" s="75" t="s">
        <v>116</v>
      </c>
      <c r="D663" s="75" t="s">
        <v>132</v>
      </c>
      <c r="E663" s="75" t="s">
        <v>179</v>
      </c>
      <c r="F663" s="75" t="s">
        <v>181</v>
      </c>
      <c r="G663" s="75" t="s">
        <v>113</v>
      </c>
      <c r="H663" s="75"/>
      <c r="I663" s="75" t="s">
        <v>170</v>
      </c>
      <c r="J663" s="76">
        <v>10</v>
      </c>
      <c r="K663" s="516" t="s">
        <v>386</v>
      </c>
      <c r="L663" s="517">
        <v>12.62</v>
      </c>
      <c r="M663" s="517">
        <v>13.28</v>
      </c>
      <c r="N663" s="518">
        <v>0.10299999999999999</v>
      </c>
      <c r="O663" s="518">
        <v>0.1</v>
      </c>
      <c r="P663" s="518">
        <v>0.112</v>
      </c>
      <c r="Q663" s="78">
        <v>0.44</v>
      </c>
      <c r="R663" s="78">
        <v>0.31740000000000002</v>
      </c>
      <c r="S663" s="69">
        <v>2.5000000000000001E-2</v>
      </c>
      <c r="T663" s="69">
        <v>5.0000000000000001E-3</v>
      </c>
      <c r="U663" s="518">
        <v>0.7</v>
      </c>
      <c r="V663" s="76">
        <v>0</v>
      </c>
      <c r="W663" s="76">
        <v>0</v>
      </c>
      <c r="X663" s="76"/>
      <c r="Y663" s="516" t="s">
        <v>470</v>
      </c>
    </row>
    <row r="664" spans="1:25" x14ac:dyDescent="0.25">
      <c r="A664" s="75" t="str">
        <f t="shared" si="25"/>
        <v>Exclusiva PF No_Premier Nómina Cofinavit Pago_Bajo_Puntual 5</v>
      </c>
      <c r="B664" s="75" t="str">
        <f t="shared" si="24"/>
        <v>Exclusiva PF No_Premier Nómina Cofinavit Pago_Bajo_Puntual 5 0.0965</v>
      </c>
      <c r="C664" s="75" t="s">
        <v>116</v>
      </c>
      <c r="D664" s="75" t="s">
        <v>132</v>
      </c>
      <c r="E664" s="75" t="s">
        <v>179</v>
      </c>
      <c r="F664" s="75" t="s">
        <v>181</v>
      </c>
      <c r="G664" s="75" t="s">
        <v>113</v>
      </c>
      <c r="H664" s="75"/>
      <c r="I664" s="75" t="s">
        <v>170</v>
      </c>
      <c r="J664" s="76">
        <v>5</v>
      </c>
      <c r="K664" s="516" t="s">
        <v>385</v>
      </c>
      <c r="L664" s="517">
        <v>20.399999999999999</v>
      </c>
      <c r="M664" s="517">
        <v>21.06</v>
      </c>
      <c r="N664" s="518">
        <v>9.6500000000000002E-2</v>
      </c>
      <c r="O664" s="518">
        <v>9.1999999999999998E-2</v>
      </c>
      <c r="P664" s="518">
        <v>0.10249999999999999</v>
      </c>
      <c r="Q664" s="78">
        <v>0.44</v>
      </c>
      <c r="R664" s="78">
        <v>0.31740000000000002</v>
      </c>
      <c r="S664" s="69">
        <v>2.5000000000000001E-2</v>
      </c>
      <c r="T664" s="69">
        <v>5.0000000000000001E-3</v>
      </c>
      <c r="U664" s="518">
        <v>0.7</v>
      </c>
      <c r="V664" s="76">
        <v>0</v>
      </c>
      <c r="W664" s="76">
        <v>0</v>
      </c>
      <c r="X664" s="76"/>
      <c r="Y664" s="516" t="s">
        <v>470</v>
      </c>
    </row>
    <row r="665" spans="1:25" x14ac:dyDescent="0.25">
      <c r="A665" s="75" t="str">
        <f t="shared" si="25"/>
        <v>Exclusiva PF No_Premier Nómina Cofinavit Pago_Bajo_Puntual 5</v>
      </c>
      <c r="B665" s="75" t="str">
        <f t="shared" si="24"/>
        <v>Exclusiva PF No_Premier Nómina Cofinavit Pago_Bajo_Puntual 5 0.103</v>
      </c>
      <c r="C665" s="75" t="s">
        <v>116</v>
      </c>
      <c r="D665" s="75" t="s">
        <v>132</v>
      </c>
      <c r="E665" s="75" t="s">
        <v>179</v>
      </c>
      <c r="F665" s="75" t="s">
        <v>181</v>
      </c>
      <c r="G665" s="75" t="s">
        <v>113</v>
      </c>
      <c r="H665" s="75"/>
      <c r="I665" s="75" t="s">
        <v>170</v>
      </c>
      <c r="J665" s="76">
        <v>5</v>
      </c>
      <c r="K665" s="516" t="s">
        <v>386</v>
      </c>
      <c r="L665" s="517">
        <v>20.72</v>
      </c>
      <c r="M665" s="517">
        <v>21.38</v>
      </c>
      <c r="N665" s="518">
        <v>0.10299999999999999</v>
      </c>
      <c r="O665" s="518">
        <v>0.1</v>
      </c>
      <c r="P665" s="518">
        <v>0.112</v>
      </c>
      <c r="Q665" s="78">
        <v>0.44</v>
      </c>
      <c r="R665" s="78">
        <v>0.31740000000000002</v>
      </c>
      <c r="S665" s="69">
        <v>2.5000000000000001E-2</v>
      </c>
      <c r="T665" s="69">
        <v>5.0000000000000001E-3</v>
      </c>
      <c r="U665" s="518">
        <v>0.7</v>
      </c>
      <c r="V665" s="76">
        <v>0</v>
      </c>
      <c r="W665" s="76">
        <v>0</v>
      </c>
      <c r="X665" s="76"/>
      <c r="Y665" s="516" t="s">
        <v>470</v>
      </c>
    </row>
    <row r="666" spans="1:25" x14ac:dyDescent="0.25">
      <c r="A666" s="75" t="str">
        <f t="shared" si="25"/>
        <v>Exclusiva PF No_Premier Nómina Mercado_Abierto Pago_Fijo_Puntual Si 25</v>
      </c>
      <c r="B666" s="75" t="str">
        <f t="shared" si="24"/>
        <v>Exclusiva PF No_Premier Nómina Mercado_Abierto Pago_Fijo_Puntual Si 25 0.103</v>
      </c>
      <c r="C666" s="75" t="s">
        <v>116</v>
      </c>
      <c r="D666" s="75" t="s">
        <v>132</v>
      </c>
      <c r="E666" s="75" t="s">
        <v>179</v>
      </c>
      <c r="F666" s="75" t="s">
        <v>181</v>
      </c>
      <c r="G666" s="75" t="s">
        <v>396</v>
      </c>
      <c r="H666" s="75"/>
      <c r="I666" s="75" t="s">
        <v>171</v>
      </c>
      <c r="J666" s="76">
        <v>25</v>
      </c>
      <c r="K666" s="519" t="s">
        <v>387</v>
      </c>
      <c r="L666" s="520">
        <v>9.65</v>
      </c>
      <c r="M666" s="520">
        <v>10.31</v>
      </c>
      <c r="N666" s="507">
        <v>0.10299999999999999</v>
      </c>
      <c r="O666" s="507">
        <v>0.1</v>
      </c>
      <c r="P666" s="507">
        <v>0.112</v>
      </c>
      <c r="Q666" s="78">
        <v>0.44</v>
      </c>
      <c r="R666" s="78">
        <v>0.31740000000000002</v>
      </c>
      <c r="S666" s="69">
        <v>2.5000000000000001E-2</v>
      </c>
      <c r="T666" s="69">
        <v>5.0000000000000001E-3</v>
      </c>
      <c r="U666" s="507">
        <v>0.9</v>
      </c>
      <c r="V666" s="76">
        <v>0</v>
      </c>
      <c r="W666" s="76">
        <v>0</v>
      </c>
      <c r="X666" s="76" t="s">
        <v>147</v>
      </c>
      <c r="Y666" s="519" t="s">
        <v>469</v>
      </c>
    </row>
    <row r="667" spans="1:25" x14ac:dyDescent="0.25">
      <c r="A667" s="75" t="str">
        <f t="shared" si="25"/>
        <v>Exclusiva PF No_Premier Nómina Mercado_Abierto Pago_Fijo_Puntual 25</v>
      </c>
      <c r="B667" s="75" t="str">
        <f t="shared" si="24"/>
        <v>Exclusiva PF No_Premier Nómina Mercado_Abierto Pago_Fijo_Puntual 25 0.106</v>
      </c>
      <c r="C667" s="75" t="s">
        <v>116</v>
      </c>
      <c r="D667" s="75" t="s">
        <v>132</v>
      </c>
      <c r="E667" s="75" t="s">
        <v>179</v>
      </c>
      <c r="F667" s="75" t="s">
        <v>181</v>
      </c>
      <c r="G667" s="75" t="s">
        <v>396</v>
      </c>
      <c r="H667" s="75"/>
      <c r="I667" s="75" t="s">
        <v>171</v>
      </c>
      <c r="J667" s="76">
        <v>25</v>
      </c>
      <c r="K667" s="519">
        <v>3</v>
      </c>
      <c r="L667" s="520">
        <v>9.93</v>
      </c>
      <c r="M667" s="520">
        <v>10.59</v>
      </c>
      <c r="N667" s="507">
        <v>0.106</v>
      </c>
      <c r="O667" s="507">
        <v>0.10299999999999999</v>
      </c>
      <c r="P667" s="507">
        <v>0.11799999999999999</v>
      </c>
      <c r="Q667" s="78">
        <v>0.44</v>
      </c>
      <c r="R667" s="78">
        <v>0.31740000000000002</v>
      </c>
      <c r="S667" s="69">
        <v>2.5000000000000001E-2</v>
      </c>
      <c r="T667" s="69">
        <v>5.0000000000000001E-3</v>
      </c>
      <c r="U667" s="507">
        <v>0.85</v>
      </c>
      <c r="V667" s="76">
        <v>0</v>
      </c>
      <c r="W667" s="76">
        <v>0</v>
      </c>
      <c r="X667" s="76"/>
      <c r="Y667" s="519" t="s">
        <v>469</v>
      </c>
    </row>
    <row r="668" spans="1:25" x14ac:dyDescent="0.25">
      <c r="A668" s="75" t="str">
        <f t="shared" si="25"/>
        <v>Exclusiva PF No_Premier Nómina Mercado_Abierto Pago_Fijo_Puntual Si 20</v>
      </c>
      <c r="B668" s="75" t="str">
        <f t="shared" si="24"/>
        <v>Exclusiva PF No_Premier Nómina Mercado_Abierto Pago_Fijo_Puntual Si 20 0.103</v>
      </c>
      <c r="C668" s="75" t="s">
        <v>116</v>
      </c>
      <c r="D668" s="75" t="s">
        <v>132</v>
      </c>
      <c r="E668" s="75" t="s">
        <v>179</v>
      </c>
      <c r="F668" s="75" t="s">
        <v>181</v>
      </c>
      <c r="G668" s="75" t="s">
        <v>396</v>
      </c>
      <c r="H668" s="75"/>
      <c r="I668" s="75" t="s">
        <v>171</v>
      </c>
      <c r="J668" s="76">
        <v>20</v>
      </c>
      <c r="K668" s="519" t="s">
        <v>387</v>
      </c>
      <c r="L668" s="520">
        <v>10.16</v>
      </c>
      <c r="M668" s="520">
        <v>10.82</v>
      </c>
      <c r="N668" s="507">
        <v>0.10299999999999999</v>
      </c>
      <c r="O668" s="507">
        <v>0.1</v>
      </c>
      <c r="P668" s="507">
        <v>0.112</v>
      </c>
      <c r="Q668" s="78">
        <v>0.44</v>
      </c>
      <c r="R668" s="78">
        <v>0.31740000000000002</v>
      </c>
      <c r="S668" s="69">
        <v>2.5000000000000001E-2</v>
      </c>
      <c r="T668" s="69">
        <v>5.0000000000000001E-3</v>
      </c>
      <c r="U668" s="507">
        <v>0.9</v>
      </c>
      <c r="V668" s="76">
        <v>0</v>
      </c>
      <c r="W668" s="76">
        <v>0</v>
      </c>
      <c r="X668" s="76" t="s">
        <v>147</v>
      </c>
      <c r="Y668" s="519" t="s">
        <v>469</v>
      </c>
    </row>
    <row r="669" spans="1:25" x14ac:dyDescent="0.25">
      <c r="A669" s="75" t="str">
        <f t="shared" si="25"/>
        <v>Exclusiva PF No_Premier Nómina Mercado_Abierto Pago_Fijo_Puntual 20</v>
      </c>
      <c r="B669" s="75" t="str">
        <f t="shared" si="24"/>
        <v>Exclusiva PF No_Premier Nómina Mercado_Abierto Pago_Fijo_Puntual 20 0.106</v>
      </c>
      <c r="C669" s="75" t="s">
        <v>116</v>
      </c>
      <c r="D669" s="75" t="s">
        <v>132</v>
      </c>
      <c r="E669" s="75" t="s">
        <v>179</v>
      </c>
      <c r="F669" s="75" t="s">
        <v>181</v>
      </c>
      <c r="G669" s="75" t="s">
        <v>396</v>
      </c>
      <c r="H669" s="75"/>
      <c r="I669" s="75" t="s">
        <v>171</v>
      </c>
      <c r="J669" s="76">
        <v>20</v>
      </c>
      <c r="K669" s="519">
        <v>3</v>
      </c>
      <c r="L669" s="520">
        <v>10.41</v>
      </c>
      <c r="M669" s="520">
        <v>11.07</v>
      </c>
      <c r="N669" s="507">
        <v>0.106</v>
      </c>
      <c r="O669" s="507">
        <v>0.10299999999999999</v>
      </c>
      <c r="P669" s="507">
        <v>0.11799999999999999</v>
      </c>
      <c r="Q669" s="78">
        <v>0.44</v>
      </c>
      <c r="R669" s="78">
        <v>0.31740000000000002</v>
      </c>
      <c r="S669" s="69">
        <v>2.5000000000000001E-2</v>
      </c>
      <c r="T669" s="69">
        <v>5.0000000000000001E-3</v>
      </c>
      <c r="U669" s="507">
        <v>0.85</v>
      </c>
      <c r="V669" s="76">
        <v>0</v>
      </c>
      <c r="W669" s="76">
        <v>0</v>
      </c>
      <c r="X669" s="76"/>
      <c r="Y669" s="519" t="s">
        <v>469</v>
      </c>
    </row>
    <row r="670" spans="1:25" x14ac:dyDescent="0.25">
      <c r="A670" s="75" t="str">
        <f t="shared" si="25"/>
        <v>Exclusiva PF No_Premier Nómina Mercado_Abierto Pago_Fijo_Puntual Si 15</v>
      </c>
      <c r="B670" s="75" t="str">
        <f t="shared" si="24"/>
        <v>Exclusiva PF No_Premier Nómina Mercado_Abierto Pago_Fijo_Puntual Si 15 0.103</v>
      </c>
      <c r="C670" s="75" t="s">
        <v>116</v>
      </c>
      <c r="D670" s="75" t="s">
        <v>132</v>
      </c>
      <c r="E670" s="75" t="s">
        <v>179</v>
      </c>
      <c r="F670" s="75" t="s">
        <v>181</v>
      </c>
      <c r="G670" s="75" t="s">
        <v>396</v>
      </c>
      <c r="H670" s="75"/>
      <c r="I670" s="75" t="s">
        <v>171</v>
      </c>
      <c r="J670" s="76">
        <v>15</v>
      </c>
      <c r="K670" s="519" t="s">
        <v>387</v>
      </c>
      <c r="L670" s="520">
        <v>11.18</v>
      </c>
      <c r="M670" s="520">
        <v>11.84</v>
      </c>
      <c r="N670" s="507">
        <v>0.10299999999999999</v>
      </c>
      <c r="O670" s="507">
        <v>0.1</v>
      </c>
      <c r="P670" s="507">
        <v>0.112</v>
      </c>
      <c r="Q670" s="78">
        <v>0.44</v>
      </c>
      <c r="R670" s="78">
        <v>0.31740000000000002</v>
      </c>
      <c r="S670" s="69">
        <v>2.5000000000000001E-2</v>
      </c>
      <c r="T670" s="69">
        <v>5.0000000000000001E-3</v>
      </c>
      <c r="U670" s="507">
        <v>0.9</v>
      </c>
      <c r="V670" s="76">
        <v>0</v>
      </c>
      <c r="W670" s="76">
        <v>0</v>
      </c>
      <c r="X670" s="76" t="s">
        <v>147</v>
      </c>
      <c r="Y670" s="519" t="s">
        <v>469</v>
      </c>
    </row>
    <row r="671" spans="1:25" x14ac:dyDescent="0.25">
      <c r="A671" s="75" t="str">
        <f t="shared" si="25"/>
        <v>Exclusiva PF No_Premier Nómina Mercado_Abierto Pago_Fijo_Puntual 15</v>
      </c>
      <c r="B671" s="75" t="str">
        <f t="shared" si="24"/>
        <v>Exclusiva PF No_Premier Nómina Mercado_Abierto Pago_Fijo_Puntual 15 0.106</v>
      </c>
      <c r="C671" s="75" t="s">
        <v>116</v>
      </c>
      <c r="D671" s="75" t="s">
        <v>132</v>
      </c>
      <c r="E671" s="75" t="s">
        <v>179</v>
      </c>
      <c r="F671" s="75" t="s">
        <v>181</v>
      </c>
      <c r="G671" s="75" t="s">
        <v>396</v>
      </c>
      <c r="H671" s="75"/>
      <c r="I671" s="75" t="s">
        <v>171</v>
      </c>
      <c r="J671" s="76">
        <v>15</v>
      </c>
      <c r="K671" s="519">
        <v>3</v>
      </c>
      <c r="L671" s="520">
        <v>11.39</v>
      </c>
      <c r="M671" s="520">
        <v>12.05</v>
      </c>
      <c r="N671" s="507">
        <v>0.106</v>
      </c>
      <c r="O671" s="507">
        <v>0.10299999999999999</v>
      </c>
      <c r="P671" s="507">
        <v>0.11799999999999999</v>
      </c>
      <c r="Q671" s="78">
        <v>0.44</v>
      </c>
      <c r="R671" s="78">
        <v>0.31740000000000002</v>
      </c>
      <c r="S671" s="69">
        <v>2.5000000000000001E-2</v>
      </c>
      <c r="T671" s="69">
        <v>5.0000000000000001E-3</v>
      </c>
      <c r="U671" s="507">
        <v>0.85</v>
      </c>
      <c r="V671" s="76">
        <v>0</v>
      </c>
      <c r="W671" s="76">
        <v>0</v>
      </c>
      <c r="X671" s="76"/>
      <c r="Y671" s="519" t="s">
        <v>469</v>
      </c>
    </row>
    <row r="672" spans="1:25" x14ac:dyDescent="0.25">
      <c r="A672" s="75" t="str">
        <f t="shared" si="25"/>
        <v>Exclusiva PF No_Premier Nómina Mercado_Abierto Pago_Fijo_Puntual Si 10</v>
      </c>
      <c r="B672" s="75" t="str">
        <f t="shared" si="24"/>
        <v>Exclusiva PF No_Premier Nómina Mercado_Abierto Pago_Fijo_Puntual Si 10 0.103</v>
      </c>
      <c r="C672" s="75" t="s">
        <v>116</v>
      </c>
      <c r="D672" s="75" t="s">
        <v>132</v>
      </c>
      <c r="E672" s="75" t="s">
        <v>179</v>
      </c>
      <c r="F672" s="75" t="s">
        <v>181</v>
      </c>
      <c r="G672" s="75" t="s">
        <v>396</v>
      </c>
      <c r="H672" s="75"/>
      <c r="I672" s="75" t="s">
        <v>171</v>
      </c>
      <c r="J672" s="76">
        <v>10</v>
      </c>
      <c r="K672" s="519" t="s">
        <v>387</v>
      </c>
      <c r="L672" s="520">
        <v>13.54</v>
      </c>
      <c r="M672" s="520">
        <v>14.2</v>
      </c>
      <c r="N672" s="507">
        <v>0.10299999999999999</v>
      </c>
      <c r="O672" s="507">
        <v>0.1</v>
      </c>
      <c r="P672" s="507">
        <v>0.112</v>
      </c>
      <c r="Q672" s="78">
        <v>0.44</v>
      </c>
      <c r="R672" s="78">
        <v>0.31740000000000002</v>
      </c>
      <c r="S672" s="69">
        <v>2.5000000000000001E-2</v>
      </c>
      <c r="T672" s="69">
        <v>5.0000000000000001E-3</v>
      </c>
      <c r="U672" s="507">
        <v>0.9</v>
      </c>
      <c r="V672" s="76">
        <v>0</v>
      </c>
      <c r="W672" s="76">
        <v>0</v>
      </c>
      <c r="X672" s="76" t="s">
        <v>147</v>
      </c>
      <c r="Y672" s="519" t="s">
        <v>469</v>
      </c>
    </row>
    <row r="673" spans="1:25" x14ac:dyDescent="0.25">
      <c r="A673" s="75" t="str">
        <f t="shared" si="25"/>
        <v>Exclusiva PF No_Premier Nómina Mercado_Abierto Pago_Fijo_Puntual 10</v>
      </c>
      <c r="B673" s="75" t="str">
        <f t="shared" si="24"/>
        <v>Exclusiva PF No_Premier Nómina Mercado_Abierto Pago_Fijo_Puntual 10 0.106</v>
      </c>
      <c r="C673" s="75" t="s">
        <v>116</v>
      </c>
      <c r="D673" s="75" t="s">
        <v>132</v>
      </c>
      <c r="E673" s="75" t="s">
        <v>179</v>
      </c>
      <c r="F673" s="75" t="s">
        <v>181</v>
      </c>
      <c r="G673" s="75" t="s">
        <v>396</v>
      </c>
      <c r="H673" s="75"/>
      <c r="I673" s="75" t="s">
        <v>171</v>
      </c>
      <c r="J673" s="76">
        <v>10</v>
      </c>
      <c r="K673" s="519">
        <v>3</v>
      </c>
      <c r="L673" s="520">
        <v>13.71</v>
      </c>
      <c r="M673" s="520">
        <v>14.37</v>
      </c>
      <c r="N673" s="507">
        <v>0.106</v>
      </c>
      <c r="O673" s="507">
        <v>0.10299999999999999</v>
      </c>
      <c r="P673" s="507">
        <v>0.11799999999999999</v>
      </c>
      <c r="Q673" s="78">
        <v>0.44</v>
      </c>
      <c r="R673" s="78">
        <v>0.31740000000000002</v>
      </c>
      <c r="S673" s="69">
        <v>2.5000000000000001E-2</v>
      </c>
      <c r="T673" s="69">
        <v>5.0000000000000001E-3</v>
      </c>
      <c r="U673" s="507">
        <v>0.85</v>
      </c>
      <c r="V673" s="76">
        <v>0</v>
      </c>
      <c r="W673" s="76">
        <v>0</v>
      </c>
      <c r="X673" s="76"/>
      <c r="Y673" s="519" t="s">
        <v>469</v>
      </c>
    </row>
    <row r="674" spans="1:25" x14ac:dyDescent="0.25">
      <c r="A674" s="75" t="str">
        <f t="shared" si="25"/>
        <v>Exclusiva PF No_Premier Nómina Mercado_Abierto Pago_Fijo_Puntual Si 5</v>
      </c>
      <c r="B674" s="75" t="str">
        <f t="shared" si="24"/>
        <v>Exclusiva PF No_Premier Nómina Mercado_Abierto Pago_Fijo_Puntual Si 5 0.103</v>
      </c>
      <c r="C674" s="75" t="s">
        <v>116</v>
      </c>
      <c r="D674" s="75" t="s">
        <v>132</v>
      </c>
      <c r="E674" s="75" t="s">
        <v>179</v>
      </c>
      <c r="F674" s="75" t="s">
        <v>181</v>
      </c>
      <c r="G674" s="75" t="s">
        <v>396</v>
      </c>
      <c r="H674" s="75"/>
      <c r="I674" s="75" t="s">
        <v>171</v>
      </c>
      <c r="J674" s="76">
        <v>5</v>
      </c>
      <c r="K674" s="519" t="s">
        <v>387</v>
      </c>
      <c r="L674" s="520">
        <v>21.44</v>
      </c>
      <c r="M674" s="520">
        <v>22.1</v>
      </c>
      <c r="N674" s="507">
        <v>0.10299999999999999</v>
      </c>
      <c r="O674" s="507">
        <v>0.1</v>
      </c>
      <c r="P674" s="507">
        <v>0.112</v>
      </c>
      <c r="Q674" s="78">
        <v>0.44</v>
      </c>
      <c r="R674" s="78">
        <v>0.31740000000000002</v>
      </c>
      <c r="S674" s="69">
        <v>2.5000000000000001E-2</v>
      </c>
      <c r="T674" s="69">
        <v>5.0000000000000001E-3</v>
      </c>
      <c r="U674" s="507">
        <v>0.9</v>
      </c>
      <c r="V674" s="76">
        <v>0</v>
      </c>
      <c r="W674" s="76">
        <v>0</v>
      </c>
      <c r="X674" s="76" t="s">
        <v>147</v>
      </c>
      <c r="Y674" s="519" t="s">
        <v>469</v>
      </c>
    </row>
    <row r="675" spans="1:25" x14ac:dyDescent="0.25">
      <c r="A675" s="75" t="str">
        <f t="shared" si="25"/>
        <v>Exclusiva PF No_Premier Nómina Mercado_Abierto Pago_Fijo_Puntual 5</v>
      </c>
      <c r="B675" s="75" t="str">
        <f t="shared" si="24"/>
        <v>Exclusiva PF No_Premier Nómina Mercado_Abierto Pago_Fijo_Puntual 5 0.106</v>
      </c>
      <c r="C675" s="75" t="s">
        <v>116</v>
      </c>
      <c r="D675" s="75" t="s">
        <v>132</v>
      </c>
      <c r="E675" s="75" t="s">
        <v>179</v>
      </c>
      <c r="F675" s="75" t="s">
        <v>181</v>
      </c>
      <c r="G675" s="75" t="s">
        <v>396</v>
      </c>
      <c r="H675" s="75"/>
      <c r="I675" s="75" t="s">
        <v>171</v>
      </c>
      <c r="J675" s="76">
        <v>5</v>
      </c>
      <c r="K675" s="519">
        <v>3</v>
      </c>
      <c r="L675" s="520">
        <v>21.59</v>
      </c>
      <c r="M675" s="520">
        <v>22.25</v>
      </c>
      <c r="N675" s="507">
        <v>0.106</v>
      </c>
      <c r="O675" s="507">
        <v>0.10299999999999999</v>
      </c>
      <c r="P675" s="507">
        <v>0.11799999999999999</v>
      </c>
      <c r="Q675" s="78">
        <v>0.44</v>
      </c>
      <c r="R675" s="78">
        <v>0.31740000000000002</v>
      </c>
      <c r="S675" s="69">
        <v>2.5000000000000001E-2</v>
      </c>
      <c r="T675" s="69">
        <v>5.0000000000000001E-3</v>
      </c>
      <c r="U675" s="507">
        <v>0.85</v>
      </c>
      <c r="V675" s="76">
        <v>0</v>
      </c>
      <c r="W675" s="76">
        <v>0</v>
      </c>
      <c r="X675" s="76"/>
      <c r="Y675" s="519" t="s">
        <v>469</v>
      </c>
    </row>
    <row r="676" spans="1:25" x14ac:dyDescent="0.25">
      <c r="A676" s="75" t="str">
        <f t="shared" si="25"/>
        <v>Exclusiva PF No_Premier Nómina Mercado_Abierto Pago_Bajo_Puntual Si 25</v>
      </c>
      <c r="B676" s="75" t="str">
        <f t="shared" si="24"/>
        <v>Exclusiva PF No_Premier Nómina Mercado_Abierto Pago_Bajo_Puntual Si 25 0.103</v>
      </c>
      <c r="C676" s="75" t="s">
        <v>116</v>
      </c>
      <c r="D676" s="75" t="s">
        <v>132</v>
      </c>
      <c r="E676" s="75" t="s">
        <v>179</v>
      </c>
      <c r="F676" s="75" t="s">
        <v>181</v>
      </c>
      <c r="G676" s="75" t="s">
        <v>396</v>
      </c>
      <c r="H676" s="75"/>
      <c r="I676" s="75" t="s">
        <v>170</v>
      </c>
      <c r="J676" s="523">
        <v>25</v>
      </c>
      <c r="K676" s="519" t="s">
        <v>387</v>
      </c>
      <c r="L676" s="525">
        <v>8.64</v>
      </c>
      <c r="M676" s="525">
        <v>9.3000000000000007</v>
      </c>
      <c r="N676" s="507">
        <v>0.10299999999999999</v>
      </c>
      <c r="O676" s="507">
        <v>0.1</v>
      </c>
      <c r="P676" s="507">
        <v>0.112</v>
      </c>
      <c r="Q676" s="78">
        <v>0.44</v>
      </c>
      <c r="R676" s="78">
        <v>0.31740000000000002</v>
      </c>
      <c r="S676" s="69">
        <v>2.5000000000000001E-2</v>
      </c>
      <c r="T676" s="69">
        <v>5.0000000000000001E-3</v>
      </c>
      <c r="U676" s="507">
        <v>0.9</v>
      </c>
      <c r="V676" s="76">
        <v>0</v>
      </c>
      <c r="W676" s="76">
        <v>0</v>
      </c>
      <c r="X676" s="76" t="s">
        <v>147</v>
      </c>
      <c r="Y676" s="519" t="s">
        <v>469</v>
      </c>
    </row>
    <row r="677" spans="1:25" x14ac:dyDescent="0.25">
      <c r="A677" s="75" t="str">
        <f t="shared" si="25"/>
        <v>Exclusiva PF No_Premier Nómina Mercado_Abierto Pago_Bajo_Puntual 25</v>
      </c>
      <c r="B677" s="75" t="str">
        <f t="shared" si="24"/>
        <v>Exclusiva PF No_Premier Nómina Mercado_Abierto Pago_Bajo_Puntual 25 0.106</v>
      </c>
      <c r="C677" s="75" t="s">
        <v>116</v>
      </c>
      <c r="D677" s="75" t="s">
        <v>132</v>
      </c>
      <c r="E677" s="75" t="s">
        <v>179</v>
      </c>
      <c r="F677" s="75" t="s">
        <v>181</v>
      </c>
      <c r="G677" s="75" t="s">
        <v>396</v>
      </c>
      <c r="H677" s="75"/>
      <c r="I677" s="75" t="s">
        <v>170</v>
      </c>
      <c r="J677" s="523">
        <v>25</v>
      </c>
      <c r="K677" s="519">
        <v>3</v>
      </c>
      <c r="L677" s="525">
        <v>8.89</v>
      </c>
      <c r="M677" s="525">
        <v>9.5500000000000007</v>
      </c>
      <c r="N677" s="507">
        <v>0.106</v>
      </c>
      <c r="O677" s="507">
        <v>0.10299999999999999</v>
      </c>
      <c r="P677" s="507">
        <v>0.11799999999999999</v>
      </c>
      <c r="Q677" s="78">
        <v>0.44</v>
      </c>
      <c r="R677" s="78">
        <v>0.31740000000000002</v>
      </c>
      <c r="S677" s="69">
        <v>2.5000000000000001E-2</v>
      </c>
      <c r="T677" s="69">
        <v>5.0000000000000001E-3</v>
      </c>
      <c r="U677" s="507">
        <v>0.85</v>
      </c>
      <c r="V677" s="76">
        <v>0</v>
      </c>
      <c r="W677" s="76">
        <v>0</v>
      </c>
      <c r="X677" s="76"/>
      <c r="Y677" s="519" t="s">
        <v>469</v>
      </c>
    </row>
    <row r="678" spans="1:25" x14ac:dyDescent="0.25">
      <c r="A678" s="75" t="str">
        <f t="shared" si="25"/>
        <v>Exclusiva PF No_Premier Nómina Mercado_Abierto Pago_Bajo_Puntual Si 20</v>
      </c>
      <c r="B678" s="75" t="str">
        <f t="shared" si="24"/>
        <v>Exclusiva PF No_Premier Nómina Mercado_Abierto Pago_Bajo_Puntual Si 20 0.103</v>
      </c>
      <c r="C678" s="75" t="s">
        <v>116</v>
      </c>
      <c r="D678" s="75" t="s">
        <v>132</v>
      </c>
      <c r="E678" s="75" t="s">
        <v>179</v>
      </c>
      <c r="F678" s="75" t="s">
        <v>181</v>
      </c>
      <c r="G678" s="75" t="s">
        <v>396</v>
      </c>
      <c r="H678" s="75"/>
      <c r="I678" s="75" t="s">
        <v>170</v>
      </c>
      <c r="J678" s="76">
        <v>20</v>
      </c>
      <c r="K678" s="519" t="s">
        <v>387</v>
      </c>
      <c r="L678" s="520">
        <v>9</v>
      </c>
      <c r="M678" s="520">
        <v>9.66</v>
      </c>
      <c r="N678" s="507">
        <v>0.10299999999999999</v>
      </c>
      <c r="O678" s="507">
        <v>0.1</v>
      </c>
      <c r="P678" s="507">
        <v>0.112</v>
      </c>
      <c r="Q678" s="78">
        <v>0.44</v>
      </c>
      <c r="R678" s="78">
        <v>0.31740000000000002</v>
      </c>
      <c r="S678" s="69">
        <v>2.5000000000000001E-2</v>
      </c>
      <c r="T678" s="69">
        <v>5.0000000000000001E-3</v>
      </c>
      <c r="U678" s="507">
        <v>0.9</v>
      </c>
      <c r="V678" s="76">
        <v>0</v>
      </c>
      <c r="W678" s="76">
        <v>0</v>
      </c>
      <c r="X678" s="76" t="s">
        <v>147</v>
      </c>
      <c r="Y678" s="519" t="s">
        <v>469</v>
      </c>
    </row>
    <row r="679" spans="1:25" x14ac:dyDescent="0.25">
      <c r="A679" s="75" t="str">
        <f t="shared" si="25"/>
        <v>Exclusiva PF No_Premier Nómina Mercado_Abierto Pago_Bajo_Puntual 20</v>
      </c>
      <c r="B679" s="75" t="str">
        <f t="shared" si="24"/>
        <v>Exclusiva PF No_Premier Nómina Mercado_Abierto Pago_Bajo_Puntual 20 0.106</v>
      </c>
      <c r="C679" s="75" t="s">
        <v>116</v>
      </c>
      <c r="D679" s="75" t="s">
        <v>132</v>
      </c>
      <c r="E679" s="75" t="s">
        <v>179</v>
      </c>
      <c r="F679" s="75" t="s">
        <v>181</v>
      </c>
      <c r="G679" s="75" t="s">
        <v>396</v>
      </c>
      <c r="H679" s="75"/>
      <c r="I679" s="75" t="s">
        <v>170</v>
      </c>
      <c r="J679" s="76">
        <v>20</v>
      </c>
      <c r="K679" s="519">
        <v>3</v>
      </c>
      <c r="L679" s="520">
        <v>9.24</v>
      </c>
      <c r="M679" s="520">
        <v>9.9</v>
      </c>
      <c r="N679" s="507">
        <v>0.106</v>
      </c>
      <c r="O679" s="507">
        <v>0.10299999999999999</v>
      </c>
      <c r="P679" s="507">
        <v>0.11799999999999999</v>
      </c>
      <c r="Q679" s="78">
        <v>0.44</v>
      </c>
      <c r="R679" s="78">
        <v>0.31740000000000002</v>
      </c>
      <c r="S679" s="69">
        <v>2.5000000000000001E-2</v>
      </c>
      <c r="T679" s="69">
        <v>5.0000000000000001E-3</v>
      </c>
      <c r="U679" s="507">
        <v>0.85</v>
      </c>
      <c r="V679" s="76">
        <v>0</v>
      </c>
      <c r="W679" s="76">
        <v>0</v>
      </c>
      <c r="X679" s="76"/>
      <c r="Y679" s="519" t="s">
        <v>469</v>
      </c>
    </row>
    <row r="680" spans="1:25" x14ac:dyDescent="0.25">
      <c r="A680" s="75" t="str">
        <f t="shared" si="25"/>
        <v>Exclusiva PF No_Premier Nómina Mercado_Abierto Pago_Bajo_Puntual Si 15</v>
      </c>
      <c r="B680" s="75" t="str">
        <f t="shared" si="24"/>
        <v>Exclusiva PF No_Premier Nómina Mercado_Abierto Pago_Bajo_Puntual Si 15 0.103</v>
      </c>
      <c r="C680" s="75" t="s">
        <v>116</v>
      </c>
      <c r="D680" s="75" t="s">
        <v>132</v>
      </c>
      <c r="E680" s="75" t="s">
        <v>179</v>
      </c>
      <c r="F680" s="75" t="s">
        <v>181</v>
      </c>
      <c r="G680" s="75" t="s">
        <v>396</v>
      </c>
      <c r="H680" s="75"/>
      <c r="I680" s="75" t="s">
        <v>170</v>
      </c>
      <c r="J680" s="76">
        <v>15</v>
      </c>
      <c r="K680" s="519" t="s">
        <v>387</v>
      </c>
      <c r="L680" s="520">
        <v>10.119999999999999</v>
      </c>
      <c r="M680" s="520">
        <v>10.78</v>
      </c>
      <c r="N680" s="507">
        <v>0.10299999999999999</v>
      </c>
      <c r="O680" s="507">
        <v>0.1</v>
      </c>
      <c r="P680" s="507">
        <v>0.112</v>
      </c>
      <c r="Q680" s="78">
        <v>0.44</v>
      </c>
      <c r="R680" s="78">
        <v>0.31740000000000002</v>
      </c>
      <c r="S680" s="69">
        <v>2.5000000000000001E-2</v>
      </c>
      <c r="T680" s="69">
        <v>5.0000000000000001E-3</v>
      </c>
      <c r="U680" s="507">
        <v>0.9</v>
      </c>
      <c r="V680" s="76">
        <v>0</v>
      </c>
      <c r="W680" s="76">
        <v>0</v>
      </c>
      <c r="X680" s="76" t="s">
        <v>147</v>
      </c>
      <c r="Y680" s="519" t="s">
        <v>469</v>
      </c>
    </row>
    <row r="681" spans="1:25" x14ac:dyDescent="0.25">
      <c r="A681" s="75" t="str">
        <f t="shared" si="25"/>
        <v>Exclusiva PF No_Premier Nómina Mercado_Abierto Pago_Bajo_Puntual 15</v>
      </c>
      <c r="B681" s="75" t="str">
        <f t="shared" si="24"/>
        <v>Exclusiva PF No_Premier Nómina Mercado_Abierto Pago_Bajo_Puntual 15 0.106</v>
      </c>
      <c r="C681" s="75" t="s">
        <v>116</v>
      </c>
      <c r="D681" s="75" t="s">
        <v>132</v>
      </c>
      <c r="E681" s="75" t="s">
        <v>179</v>
      </c>
      <c r="F681" s="75" t="s">
        <v>181</v>
      </c>
      <c r="G681" s="75" t="s">
        <v>396</v>
      </c>
      <c r="H681" s="75"/>
      <c r="I681" s="75" t="s">
        <v>170</v>
      </c>
      <c r="J681" s="76">
        <v>15</v>
      </c>
      <c r="K681" s="519">
        <v>3</v>
      </c>
      <c r="L681" s="520">
        <v>10.33</v>
      </c>
      <c r="M681" s="520">
        <v>10.99</v>
      </c>
      <c r="N681" s="507">
        <v>0.106</v>
      </c>
      <c r="O681" s="507">
        <v>0.10299999999999999</v>
      </c>
      <c r="P681" s="507">
        <v>0.11799999999999999</v>
      </c>
      <c r="Q681" s="78">
        <v>0.44</v>
      </c>
      <c r="R681" s="78">
        <v>0.31740000000000002</v>
      </c>
      <c r="S681" s="69">
        <v>2.5000000000000001E-2</v>
      </c>
      <c r="T681" s="69">
        <v>5.0000000000000001E-3</v>
      </c>
      <c r="U681" s="507">
        <v>0.85</v>
      </c>
      <c r="V681" s="76">
        <v>0</v>
      </c>
      <c r="W681" s="76">
        <v>0</v>
      </c>
      <c r="X681" s="76"/>
      <c r="Y681" s="519" t="s">
        <v>469</v>
      </c>
    </row>
    <row r="682" spans="1:25" x14ac:dyDescent="0.25">
      <c r="A682" s="75" t="str">
        <f t="shared" si="25"/>
        <v>Exclusiva PF No_Premier Nómina Mercado_Abierto Pago_Bajo_Puntual Si 10</v>
      </c>
      <c r="B682" s="75" t="str">
        <f t="shared" si="24"/>
        <v>Exclusiva PF No_Premier Nómina Mercado_Abierto Pago_Bajo_Puntual Si 10 0.103</v>
      </c>
      <c r="C682" s="75" t="s">
        <v>116</v>
      </c>
      <c r="D682" s="75" t="s">
        <v>132</v>
      </c>
      <c r="E682" s="75" t="s">
        <v>179</v>
      </c>
      <c r="F682" s="75" t="s">
        <v>181</v>
      </c>
      <c r="G682" s="75" t="s">
        <v>396</v>
      </c>
      <c r="H682" s="75"/>
      <c r="I682" s="75" t="s">
        <v>170</v>
      </c>
      <c r="J682" s="76">
        <v>10</v>
      </c>
      <c r="K682" s="519" t="s">
        <v>387</v>
      </c>
      <c r="L682" s="520">
        <v>12.62</v>
      </c>
      <c r="M682" s="520">
        <v>13.28</v>
      </c>
      <c r="N682" s="507">
        <v>0.10299999999999999</v>
      </c>
      <c r="O682" s="507">
        <v>0.1</v>
      </c>
      <c r="P682" s="507">
        <v>0.112</v>
      </c>
      <c r="Q682" s="78">
        <v>0.44</v>
      </c>
      <c r="R682" s="78">
        <v>0.31740000000000002</v>
      </c>
      <c r="S682" s="69">
        <v>2.5000000000000001E-2</v>
      </c>
      <c r="T682" s="69">
        <v>5.0000000000000001E-3</v>
      </c>
      <c r="U682" s="507">
        <v>0.9</v>
      </c>
      <c r="V682" s="76">
        <v>0</v>
      </c>
      <c r="W682" s="76">
        <v>0</v>
      </c>
      <c r="X682" s="76" t="s">
        <v>147</v>
      </c>
      <c r="Y682" s="519" t="s">
        <v>469</v>
      </c>
    </row>
    <row r="683" spans="1:25" x14ac:dyDescent="0.25">
      <c r="A683" s="75" t="str">
        <f t="shared" si="25"/>
        <v>Exclusiva PF No_Premier Nómina Mercado_Abierto Pago_Bajo_Puntual 10</v>
      </c>
      <c r="B683" s="75" t="str">
        <f t="shared" si="24"/>
        <v>Exclusiva PF No_Premier Nómina Mercado_Abierto Pago_Bajo_Puntual 10 0.106</v>
      </c>
      <c r="C683" s="75" t="s">
        <v>116</v>
      </c>
      <c r="D683" s="75" t="s">
        <v>132</v>
      </c>
      <c r="E683" s="75" t="s">
        <v>179</v>
      </c>
      <c r="F683" s="75" t="s">
        <v>181</v>
      </c>
      <c r="G683" s="75" t="s">
        <v>396</v>
      </c>
      <c r="H683" s="75"/>
      <c r="I683" s="75" t="s">
        <v>170</v>
      </c>
      <c r="J683" s="76">
        <v>10</v>
      </c>
      <c r="K683" s="519">
        <v>3</v>
      </c>
      <c r="L683" s="520">
        <v>12.78</v>
      </c>
      <c r="M683" s="520">
        <v>13.44</v>
      </c>
      <c r="N683" s="507">
        <v>0.106</v>
      </c>
      <c r="O683" s="507">
        <v>0.10299999999999999</v>
      </c>
      <c r="P683" s="507">
        <v>0.11799999999999999</v>
      </c>
      <c r="Q683" s="78">
        <v>0.44</v>
      </c>
      <c r="R683" s="78">
        <v>0.31740000000000002</v>
      </c>
      <c r="S683" s="69">
        <v>2.5000000000000001E-2</v>
      </c>
      <c r="T683" s="69">
        <v>5.0000000000000001E-3</v>
      </c>
      <c r="U683" s="507">
        <v>0.85</v>
      </c>
      <c r="V683" s="76">
        <v>0</v>
      </c>
      <c r="W683" s="76">
        <v>0</v>
      </c>
      <c r="X683" s="76"/>
      <c r="Y683" s="519" t="s">
        <v>469</v>
      </c>
    </row>
    <row r="684" spans="1:25" x14ac:dyDescent="0.25">
      <c r="A684" s="75" t="str">
        <f t="shared" si="25"/>
        <v>Exclusiva PF No_Premier Nómina Mercado_Abierto Pago_Bajo_Puntual Si 5</v>
      </c>
      <c r="B684" s="75" t="str">
        <f t="shared" si="24"/>
        <v>Exclusiva PF No_Premier Nómina Mercado_Abierto Pago_Bajo_Puntual Si 5 0.103</v>
      </c>
      <c r="C684" s="75" t="s">
        <v>116</v>
      </c>
      <c r="D684" s="75" t="s">
        <v>132</v>
      </c>
      <c r="E684" s="75" t="s">
        <v>179</v>
      </c>
      <c r="F684" s="75" t="s">
        <v>181</v>
      </c>
      <c r="G684" s="75" t="s">
        <v>396</v>
      </c>
      <c r="H684" s="75"/>
      <c r="I684" s="75" t="s">
        <v>170</v>
      </c>
      <c r="J684" s="76">
        <v>5</v>
      </c>
      <c r="K684" s="519" t="s">
        <v>387</v>
      </c>
      <c r="L684" s="520">
        <v>20.72</v>
      </c>
      <c r="M684" s="520">
        <v>21.38</v>
      </c>
      <c r="N684" s="507">
        <v>0.10299999999999999</v>
      </c>
      <c r="O684" s="507">
        <v>0.1</v>
      </c>
      <c r="P684" s="507">
        <v>0.112</v>
      </c>
      <c r="Q684" s="78">
        <v>0.44</v>
      </c>
      <c r="R684" s="78">
        <v>0.31740000000000002</v>
      </c>
      <c r="S684" s="69">
        <v>2.5000000000000001E-2</v>
      </c>
      <c r="T684" s="69">
        <v>5.0000000000000001E-3</v>
      </c>
      <c r="U684" s="507">
        <v>0.9</v>
      </c>
      <c r="V684" s="76">
        <v>0</v>
      </c>
      <c r="W684" s="76">
        <v>0</v>
      </c>
      <c r="X684" s="76" t="s">
        <v>147</v>
      </c>
      <c r="Y684" s="519" t="s">
        <v>469</v>
      </c>
    </row>
    <row r="685" spans="1:25" x14ac:dyDescent="0.25">
      <c r="A685" s="75" t="str">
        <f t="shared" si="25"/>
        <v>Exclusiva PF No_Premier Nómina Mercado_Abierto Pago_Bajo_Puntual 5</v>
      </c>
      <c r="B685" s="75" t="str">
        <f t="shared" si="24"/>
        <v>Exclusiva PF No_Premier Nómina Mercado_Abierto Pago_Bajo_Puntual 5 0.106</v>
      </c>
      <c r="C685" s="75" t="s">
        <v>116</v>
      </c>
      <c r="D685" s="75" t="s">
        <v>132</v>
      </c>
      <c r="E685" s="75" t="s">
        <v>179</v>
      </c>
      <c r="F685" s="75" t="s">
        <v>181</v>
      </c>
      <c r="G685" s="75" t="s">
        <v>396</v>
      </c>
      <c r="H685" s="75"/>
      <c r="I685" s="75" t="s">
        <v>170</v>
      </c>
      <c r="J685" s="76">
        <v>5</v>
      </c>
      <c r="K685" s="519">
        <v>3</v>
      </c>
      <c r="L685" s="520">
        <v>20.86</v>
      </c>
      <c r="M685" s="520">
        <v>21.52</v>
      </c>
      <c r="N685" s="507">
        <v>0.106</v>
      </c>
      <c r="O685" s="507">
        <v>0.10299999999999999</v>
      </c>
      <c r="P685" s="507">
        <v>0.11799999999999999</v>
      </c>
      <c r="Q685" s="78">
        <v>0.44</v>
      </c>
      <c r="R685" s="78">
        <v>0.31740000000000002</v>
      </c>
      <c r="S685" s="69">
        <v>2.5000000000000001E-2</v>
      </c>
      <c r="T685" s="69">
        <v>5.0000000000000001E-3</v>
      </c>
      <c r="U685" s="507">
        <v>0.85</v>
      </c>
      <c r="V685" s="76">
        <v>0</v>
      </c>
      <c r="W685" s="76">
        <v>0</v>
      </c>
      <c r="X685" s="76"/>
      <c r="Y685" s="519" t="s">
        <v>469</v>
      </c>
    </row>
    <row r="686" spans="1:25" x14ac:dyDescent="0.25">
      <c r="A686" s="75" t="str">
        <f t="shared" si="25"/>
        <v>Exclusiva PF No_Premier Nómina Mercado_Abierto Pago_Fijo_Puntual 25</v>
      </c>
      <c r="B686" s="75" t="str">
        <f t="shared" si="24"/>
        <v>Exclusiva PF No_Premier Nómina Mercado_Abierto Pago_Fijo_Puntual 25 0.0965</v>
      </c>
      <c r="C686" s="75" t="s">
        <v>116</v>
      </c>
      <c r="D686" s="75" t="s">
        <v>132</v>
      </c>
      <c r="E686" s="75" t="s">
        <v>179</v>
      </c>
      <c r="F686" s="75" t="s">
        <v>181</v>
      </c>
      <c r="G686" s="75" t="s">
        <v>396</v>
      </c>
      <c r="H686" s="75"/>
      <c r="I686" s="75" t="s">
        <v>171</v>
      </c>
      <c r="J686" s="76">
        <v>25</v>
      </c>
      <c r="K686" s="516" t="s">
        <v>385</v>
      </c>
      <c r="L686" s="517">
        <v>9.11</v>
      </c>
      <c r="M686" s="517">
        <v>9.77</v>
      </c>
      <c r="N686" s="518">
        <v>9.6500000000000002E-2</v>
      </c>
      <c r="O686" s="518">
        <v>9.1999999999999998E-2</v>
      </c>
      <c r="P686" s="518">
        <v>0.10249999999999999</v>
      </c>
      <c r="Q686" s="78">
        <v>0.44</v>
      </c>
      <c r="R686" s="78">
        <v>0.31740000000000002</v>
      </c>
      <c r="S686" s="69">
        <v>2.5000000000000001E-2</v>
      </c>
      <c r="T686" s="69">
        <v>5.0000000000000001E-3</v>
      </c>
      <c r="U686" s="518">
        <v>0.7</v>
      </c>
      <c r="V686" s="76">
        <v>0</v>
      </c>
      <c r="W686" s="76">
        <v>0</v>
      </c>
      <c r="X686" s="76"/>
      <c r="Y686" s="516" t="s">
        <v>470</v>
      </c>
    </row>
    <row r="687" spans="1:25" x14ac:dyDescent="0.25">
      <c r="A687" s="75" t="str">
        <f t="shared" si="25"/>
        <v>Exclusiva PF No_Premier Nómina Mercado_Abierto Pago_Fijo_Puntual 25</v>
      </c>
      <c r="B687" s="75" t="str">
        <f t="shared" si="24"/>
        <v>Exclusiva PF No_Premier Nómina Mercado_Abierto Pago_Fijo_Puntual 25 0.103</v>
      </c>
      <c r="C687" s="75" t="s">
        <v>116</v>
      </c>
      <c r="D687" s="75" t="s">
        <v>132</v>
      </c>
      <c r="E687" s="75" t="s">
        <v>179</v>
      </c>
      <c r="F687" s="75" t="s">
        <v>181</v>
      </c>
      <c r="G687" s="75" t="s">
        <v>396</v>
      </c>
      <c r="H687" s="75"/>
      <c r="I687" s="75" t="s">
        <v>171</v>
      </c>
      <c r="J687" s="76">
        <v>25</v>
      </c>
      <c r="K687" s="516" t="s">
        <v>386</v>
      </c>
      <c r="L687" s="517">
        <v>9.65</v>
      </c>
      <c r="M687" s="517">
        <v>10.31</v>
      </c>
      <c r="N687" s="518">
        <v>0.10299999999999999</v>
      </c>
      <c r="O687" s="518">
        <v>0.1</v>
      </c>
      <c r="P687" s="518">
        <v>0.112</v>
      </c>
      <c r="Q687" s="78">
        <v>0.44</v>
      </c>
      <c r="R687" s="78">
        <v>0.31740000000000002</v>
      </c>
      <c r="S687" s="69">
        <v>2.5000000000000001E-2</v>
      </c>
      <c r="T687" s="69">
        <v>5.0000000000000001E-3</v>
      </c>
      <c r="U687" s="518">
        <v>0.7</v>
      </c>
      <c r="V687" s="76">
        <v>0</v>
      </c>
      <c r="W687" s="76">
        <v>0</v>
      </c>
      <c r="X687" s="76"/>
      <c r="Y687" s="516" t="s">
        <v>470</v>
      </c>
    </row>
    <row r="688" spans="1:25" x14ac:dyDescent="0.25">
      <c r="A688" s="75" t="str">
        <f t="shared" si="25"/>
        <v>Exclusiva PF No_Premier Nómina Mercado_Abierto Pago_Fijo_Puntual 20</v>
      </c>
      <c r="B688" s="75" t="str">
        <f t="shared" si="24"/>
        <v>Exclusiva PF No_Premier Nómina Mercado_Abierto Pago_Fijo_Puntual 20 0.0965</v>
      </c>
      <c r="C688" s="75" t="s">
        <v>116</v>
      </c>
      <c r="D688" s="75" t="s">
        <v>132</v>
      </c>
      <c r="E688" s="75" t="s">
        <v>179</v>
      </c>
      <c r="F688" s="75" t="s">
        <v>181</v>
      </c>
      <c r="G688" s="75" t="s">
        <v>396</v>
      </c>
      <c r="H688" s="75"/>
      <c r="I688" s="75" t="s">
        <v>171</v>
      </c>
      <c r="J688" s="76">
        <v>20</v>
      </c>
      <c r="K688" s="516" t="s">
        <v>385</v>
      </c>
      <c r="L688" s="517">
        <v>9.66</v>
      </c>
      <c r="M688" s="517">
        <v>10.32</v>
      </c>
      <c r="N688" s="518">
        <v>9.6500000000000002E-2</v>
      </c>
      <c r="O688" s="518">
        <v>9.1999999999999998E-2</v>
      </c>
      <c r="P688" s="518">
        <v>0.10249999999999999</v>
      </c>
      <c r="Q688" s="78">
        <v>0.44</v>
      </c>
      <c r="R688" s="78">
        <v>0.31740000000000002</v>
      </c>
      <c r="S688" s="69">
        <v>2.5000000000000001E-2</v>
      </c>
      <c r="T688" s="69">
        <v>5.0000000000000001E-3</v>
      </c>
      <c r="U688" s="518">
        <v>0.7</v>
      </c>
      <c r="V688" s="76">
        <v>0</v>
      </c>
      <c r="W688" s="76">
        <v>0</v>
      </c>
      <c r="X688" s="76"/>
      <c r="Y688" s="516" t="s">
        <v>470</v>
      </c>
    </row>
    <row r="689" spans="1:25" x14ac:dyDescent="0.25">
      <c r="A689" s="75" t="str">
        <f t="shared" si="25"/>
        <v>Exclusiva PF No_Premier Nómina Mercado_Abierto Pago_Fijo_Puntual 20</v>
      </c>
      <c r="B689" s="75" t="str">
        <f t="shared" si="24"/>
        <v>Exclusiva PF No_Premier Nómina Mercado_Abierto Pago_Fijo_Puntual 20 0.103</v>
      </c>
      <c r="C689" s="75" t="s">
        <v>116</v>
      </c>
      <c r="D689" s="75" t="s">
        <v>132</v>
      </c>
      <c r="E689" s="75" t="s">
        <v>179</v>
      </c>
      <c r="F689" s="75" t="s">
        <v>181</v>
      </c>
      <c r="G689" s="75" t="s">
        <v>396</v>
      </c>
      <c r="H689" s="75"/>
      <c r="I689" s="75" t="s">
        <v>171</v>
      </c>
      <c r="J689" s="76">
        <v>20</v>
      </c>
      <c r="K689" s="516" t="s">
        <v>386</v>
      </c>
      <c r="L689" s="517">
        <v>10.16</v>
      </c>
      <c r="M689" s="517">
        <v>10.82</v>
      </c>
      <c r="N689" s="518">
        <v>0.10299999999999999</v>
      </c>
      <c r="O689" s="518">
        <v>0.1</v>
      </c>
      <c r="P689" s="518">
        <v>0.112</v>
      </c>
      <c r="Q689" s="78">
        <v>0.44</v>
      </c>
      <c r="R689" s="78">
        <v>0.31740000000000002</v>
      </c>
      <c r="S689" s="69">
        <v>2.5000000000000001E-2</v>
      </c>
      <c r="T689" s="69">
        <v>5.0000000000000001E-3</v>
      </c>
      <c r="U689" s="518">
        <v>0.7</v>
      </c>
      <c r="V689" s="76">
        <v>0</v>
      </c>
      <c r="W689" s="76">
        <v>0</v>
      </c>
      <c r="X689" s="76"/>
      <c r="Y689" s="516" t="s">
        <v>470</v>
      </c>
    </row>
    <row r="690" spans="1:25" x14ac:dyDescent="0.25">
      <c r="A690" s="75" t="str">
        <f t="shared" si="25"/>
        <v>Exclusiva PF No_Premier Nómina Mercado_Abierto Pago_Fijo_Puntual 15</v>
      </c>
      <c r="B690" s="75" t="str">
        <f t="shared" si="24"/>
        <v>Exclusiva PF No_Premier Nómina Mercado_Abierto Pago_Fijo_Puntual 15 0.0965</v>
      </c>
      <c r="C690" s="75" t="s">
        <v>116</v>
      </c>
      <c r="D690" s="75" t="s">
        <v>132</v>
      </c>
      <c r="E690" s="75" t="s">
        <v>179</v>
      </c>
      <c r="F690" s="75" t="s">
        <v>181</v>
      </c>
      <c r="G690" s="75" t="s">
        <v>396</v>
      </c>
      <c r="H690" s="75"/>
      <c r="I690" s="75" t="s">
        <v>171</v>
      </c>
      <c r="J690" s="76">
        <v>15</v>
      </c>
      <c r="K690" s="516" t="s">
        <v>385</v>
      </c>
      <c r="L690" s="517">
        <v>10.73</v>
      </c>
      <c r="M690" s="517">
        <v>11.39</v>
      </c>
      <c r="N690" s="518">
        <v>9.6500000000000002E-2</v>
      </c>
      <c r="O690" s="518">
        <v>9.1999999999999998E-2</v>
      </c>
      <c r="P690" s="518">
        <v>0.10249999999999999</v>
      </c>
      <c r="Q690" s="78">
        <v>0.44</v>
      </c>
      <c r="R690" s="78">
        <v>0.31740000000000002</v>
      </c>
      <c r="S690" s="69">
        <v>2.5000000000000001E-2</v>
      </c>
      <c r="T690" s="69">
        <v>5.0000000000000001E-3</v>
      </c>
      <c r="U690" s="518">
        <v>0.7</v>
      </c>
      <c r="V690" s="76">
        <v>0</v>
      </c>
      <c r="W690" s="76">
        <v>0</v>
      </c>
      <c r="X690" s="76"/>
      <c r="Y690" s="516" t="s">
        <v>470</v>
      </c>
    </row>
    <row r="691" spans="1:25" x14ac:dyDescent="0.25">
      <c r="A691" s="75" t="str">
        <f t="shared" si="25"/>
        <v>Exclusiva PF No_Premier Nómina Mercado_Abierto Pago_Fijo_Puntual 15</v>
      </c>
      <c r="B691" s="75" t="str">
        <f t="shared" si="24"/>
        <v>Exclusiva PF No_Premier Nómina Mercado_Abierto Pago_Fijo_Puntual 15 0.103</v>
      </c>
      <c r="C691" s="75" t="s">
        <v>116</v>
      </c>
      <c r="D691" s="75" t="s">
        <v>132</v>
      </c>
      <c r="E691" s="75" t="s">
        <v>179</v>
      </c>
      <c r="F691" s="75" t="s">
        <v>181</v>
      </c>
      <c r="G691" s="75" t="s">
        <v>396</v>
      </c>
      <c r="H691" s="75"/>
      <c r="I691" s="75" t="s">
        <v>171</v>
      </c>
      <c r="J691" s="76">
        <v>15</v>
      </c>
      <c r="K691" s="516" t="s">
        <v>386</v>
      </c>
      <c r="L691" s="517">
        <v>11.18</v>
      </c>
      <c r="M691" s="517">
        <v>11.84</v>
      </c>
      <c r="N691" s="518">
        <v>0.10299999999999999</v>
      </c>
      <c r="O691" s="518">
        <v>0.1</v>
      </c>
      <c r="P691" s="518">
        <v>0.112</v>
      </c>
      <c r="Q691" s="78">
        <v>0.44</v>
      </c>
      <c r="R691" s="78">
        <v>0.31740000000000002</v>
      </c>
      <c r="S691" s="69">
        <v>2.5000000000000001E-2</v>
      </c>
      <c r="T691" s="69">
        <v>5.0000000000000001E-3</v>
      </c>
      <c r="U691" s="518">
        <v>0.7</v>
      </c>
      <c r="V691" s="76">
        <v>0</v>
      </c>
      <c r="W691" s="76">
        <v>0</v>
      </c>
      <c r="X691" s="76"/>
      <c r="Y691" s="516" t="s">
        <v>470</v>
      </c>
    </row>
    <row r="692" spans="1:25" x14ac:dyDescent="0.25">
      <c r="A692" s="75" t="str">
        <f t="shared" si="25"/>
        <v>Exclusiva PF No_Premier Nómina Mercado_Abierto Pago_Fijo_Puntual 10</v>
      </c>
      <c r="B692" s="75" t="str">
        <f t="shared" si="24"/>
        <v>Exclusiva PF No_Premier Nómina Mercado_Abierto Pago_Fijo_Puntual 10 0.0965</v>
      </c>
      <c r="C692" s="75" t="s">
        <v>116</v>
      </c>
      <c r="D692" s="75" t="s">
        <v>132</v>
      </c>
      <c r="E692" s="75" t="s">
        <v>179</v>
      </c>
      <c r="F692" s="75" t="s">
        <v>181</v>
      </c>
      <c r="G692" s="75" t="s">
        <v>396</v>
      </c>
      <c r="H692" s="75"/>
      <c r="I692" s="75" t="s">
        <v>171</v>
      </c>
      <c r="J692" s="76">
        <v>10</v>
      </c>
      <c r="K692" s="516" t="s">
        <v>385</v>
      </c>
      <c r="L692" s="517">
        <v>13.16</v>
      </c>
      <c r="M692" s="517">
        <v>13.82</v>
      </c>
      <c r="N692" s="518">
        <v>9.6500000000000002E-2</v>
      </c>
      <c r="O692" s="518">
        <v>9.1999999999999998E-2</v>
      </c>
      <c r="P692" s="518">
        <v>0.10249999999999999</v>
      </c>
      <c r="Q692" s="78">
        <v>0.44</v>
      </c>
      <c r="R692" s="78">
        <v>0.31740000000000002</v>
      </c>
      <c r="S692" s="69">
        <v>2.5000000000000001E-2</v>
      </c>
      <c r="T692" s="69">
        <v>5.0000000000000001E-3</v>
      </c>
      <c r="U692" s="518">
        <v>0.7</v>
      </c>
      <c r="V692" s="76">
        <v>0</v>
      </c>
      <c r="W692" s="76">
        <v>0</v>
      </c>
      <c r="X692" s="76"/>
      <c r="Y692" s="516" t="s">
        <v>470</v>
      </c>
    </row>
    <row r="693" spans="1:25" x14ac:dyDescent="0.25">
      <c r="A693" s="75" t="str">
        <f t="shared" si="25"/>
        <v>Exclusiva PF No_Premier Nómina Mercado_Abierto Pago_Fijo_Puntual 10</v>
      </c>
      <c r="B693" s="75" t="str">
        <f t="shared" si="24"/>
        <v>Exclusiva PF No_Premier Nómina Mercado_Abierto Pago_Fijo_Puntual 10 0.103</v>
      </c>
      <c r="C693" s="75" t="s">
        <v>116</v>
      </c>
      <c r="D693" s="75" t="s">
        <v>132</v>
      </c>
      <c r="E693" s="75" t="s">
        <v>179</v>
      </c>
      <c r="F693" s="75" t="s">
        <v>181</v>
      </c>
      <c r="G693" s="75" t="s">
        <v>396</v>
      </c>
      <c r="H693" s="75"/>
      <c r="I693" s="75" t="s">
        <v>171</v>
      </c>
      <c r="J693" s="76">
        <v>10</v>
      </c>
      <c r="K693" s="516" t="s">
        <v>386</v>
      </c>
      <c r="L693" s="517">
        <v>13.54</v>
      </c>
      <c r="M693" s="517">
        <v>14.2</v>
      </c>
      <c r="N693" s="518">
        <v>0.10299999999999999</v>
      </c>
      <c r="O693" s="518">
        <v>0.1</v>
      </c>
      <c r="P693" s="518">
        <v>0.112</v>
      </c>
      <c r="Q693" s="78">
        <v>0.44</v>
      </c>
      <c r="R693" s="78">
        <v>0.31740000000000002</v>
      </c>
      <c r="S693" s="69">
        <v>2.5000000000000001E-2</v>
      </c>
      <c r="T693" s="69">
        <v>5.0000000000000001E-3</v>
      </c>
      <c r="U693" s="518">
        <v>0.7</v>
      </c>
      <c r="V693" s="76">
        <v>0</v>
      </c>
      <c r="W693" s="76">
        <v>0</v>
      </c>
      <c r="X693" s="76"/>
      <c r="Y693" s="516" t="s">
        <v>470</v>
      </c>
    </row>
    <row r="694" spans="1:25" x14ac:dyDescent="0.25">
      <c r="A694" s="75" t="str">
        <f t="shared" si="25"/>
        <v>Exclusiva PF No_Premier Nómina Mercado_Abierto Pago_Fijo_Puntual 5</v>
      </c>
      <c r="B694" s="75" t="str">
        <f t="shared" si="24"/>
        <v>Exclusiva PF No_Premier Nómina Mercado_Abierto Pago_Fijo_Puntual 5 0.0965</v>
      </c>
      <c r="C694" s="75" t="s">
        <v>116</v>
      </c>
      <c r="D694" s="75" t="s">
        <v>132</v>
      </c>
      <c r="E694" s="75" t="s">
        <v>179</v>
      </c>
      <c r="F694" s="75" t="s">
        <v>181</v>
      </c>
      <c r="G694" s="75" t="s">
        <v>396</v>
      </c>
      <c r="H694" s="75"/>
      <c r="I694" s="75" t="s">
        <v>171</v>
      </c>
      <c r="J694" s="76">
        <v>5</v>
      </c>
      <c r="K694" s="516" t="s">
        <v>385</v>
      </c>
      <c r="L694" s="517">
        <v>21.12</v>
      </c>
      <c r="M694" s="517">
        <v>21.78</v>
      </c>
      <c r="N694" s="518">
        <v>9.6500000000000002E-2</v>
      </c>
      <c r="O694" s="518">
        <v>9.1999999999999998E-2</v>
      </c>
      <c r="P694" s="518">
        <v>0.10249999999999999</v>
      </c>
      <c r="Q694" s="78">
        <v>0.44</v>
      </c>
      <c r="R694" s="78">
        <v>0.31740000000000002</v>
      </c>
      <c r="S694" s="69">
        <v>2.5000000000000001E-2</v>
      </c>
      <c r="T694" s="69">
        <v>5.0000000000000001E-3</v>
      </c>
      <c r="U694" s="518">
        <v>0.7</v>
      </c>
      <c r="V694" s="76">
        <v>0</v>
      </c>
      <c r="W694" s="76">
        <v>0</v>
      </c>
      <c r="X694" s="76"/>
      <c r="Y694" s="516" t="s">
        <v>470</v>
      </c>
    </row>
    <row r="695" spans="1:25" x14ac:dyDescent="0.25">
      <c r="A695" s="75" t="str">
        <f t="shared" si="25"/>
        <v>Exclusiva PF No_Premier Nómina Mercado_Abierto Pago_Fijo_Puntual 5</v>
      </c>
      <c r="B695" s="75" t="str">
        <f t="shared" si="24"/>
        <v>Exclusiva PF No_Premier Nómina Mercado_Abierto Pago_Fijo_Puntual 5 0.103</v>
      </c>
      <c r="C695" s="75" t="s">
        <v>116</v>
      </c>
      <c r="D695" s="75" t="s">
        <v>132</v>
      </c>
      <c r="E695" s="75" t="s">
        <v>179</v>
      </c>
      <c r="F695" s="75" t="s">
        <v>181</v>
      </c>
      <c r="G695" s="75" t="s">
        <v>396</v>
      </c>
      <c r="H695" s="75"/>
      <c r="I695" s="75" t="s">
        <v>171</v>
      </c>
      <c r="J695" s="76">
        <v>5</v>
      </c>
      <c r="K695" s="516" t="s">
        <v>386</v>
      </c>
      <c r="L695" s="517">
        <v>21.44</v>
      </c>
      <c r="M695" s="517">
        <v>22.1</v>
      </c>
      <c r="N695" s="518">
        <v>0.10299999999999999</v>
      </c>
      <c r="O695" s="518">
        <v>0.1</v>
      </c>
      <c r="P695" s="518">
        <v>0.112</v>
      </c>
      <c r="Q695" s="78">
        <v>0.44</v>
      </c>
      <c r="R695" s="78">
        <v>0.31740000000000002</v>
      </c>
      <c r="S695" s="69">
        <v>2.5000000000000001E-2</v>
      </c>
      <c r="T695" s="69">
        <v>5.0000000000000001E-3</v>
      </c>
      <c r="U695" s="518">
        <v>0.7</v>
      </c>
      <c r="V695" s="76">
        <v>0</v>
      </c>
      <c r="W695" s="76">
        <v>0</v>
      </c>
      <c r="X695" s="76"/>
      <c r="Y695" s="516" t="s">
        <v>470</v>
      </c>
    </row>
    <row r="696" spans="1:25" x14ac:dyDescent="0.25">
      <c r="A696" s="75" t="str">
        <f t="shared" si="25"/>
        <v>Exclusiva PF No_Premier Nómina Mercado_Abierto Pago_Bajo_Puntual 25</v>
      </c>
      <c r="B696" s="75" t="str">
        <f t="shared" si="24"/>
        <v>Exclusiva PF No_Premier Nómina Mercado_Abierto Pago_Bajo_Puntual 25 0.0965</v>
      </c>
      <c r="C696" s="75" t="s">
        <v>116</v>
      </c>
      <c r="D696" s="75" t="s">
        <v>132</v>
      </c>
      <c r="E696" s="75" t="s">
        <v>179</v>
      </c>
      <c r="F696" s="75" t="s">
        <v>181</v>
      </c>
      <c r="G696" s="75" t="s">
        <v>396</v>
      </c>
      <c r="H696" s="75"/>
      <c r="I696" s="75" t="s">
        <v>170</v>
      </c>
      <c r="J696" s="523">
        <v>25</v>
      </c>
      <c r="K696" s="516" t="s">
        <v>385</v>
      </c>
      <c r="L696" s="517">
        <v>8.1</v>
      </c>
      <c r="M696" s="517">
        <v>8.76</v>
      </c>
      <c r="N696" s="518">
        <v>9.6500000000000002E-2</v>
      </c>
      <c r="O696" s="518">
        <v>9.1999999999999998E-2</v>
      </c>
      <c r="P696" s="518">
        <v>0.10249999999999999</v>
      </c>
      <c r="Q696" s="78">
        <v>0.44</v>
      </c>
      <c r="R696" s="78">
        <v>0.31740000000000002</v>
      </c>
      <c r="S696" s="69">
        <v>2.5000000000000001E-2</v>
      </c>
      <c r="T696" s="69">
        <v>5.0000000000000001E-3</v>
      </c>
      <c r="U696" s="518">
        <v>0.7</v>
      </c>
      <c r="V696" s="76">
        <v>0</v>
      </c>
      <c r="W696" s="76">
        <v>0</v>
      </c>
      <c r="X696" s="76"/>
      <c r="Y696" s="516" t="s">
        <v>470</v>
      </c>
    </row>
    <row r="697" spans="1:25" x14ac:dyDescent="0.25">
      <c r="A697" s="75" t="str">
        <f t="shared" si="25"/>
        <v>Exclusiva PF No_Premier Nómina Mercado_Abierto Pago_Bajo_Puntual 25</v>
      </c>
      <c r="B697" s="75" t="str">
        <f t="shared" si="24"/>
        <v>Exclusiva PF No_Premier Nómina Mercado_Abierto Pago_Bajo_Puntual 25 0.103</v>
      </c>
      <c r="C697" s="75" t="s">
        <v>116</v>
      </c>
      <c r="D697" s="75" t="s">
        <v>132</v>
      </c>
      <c r="E697" s="75" t="s">
        <v>179</v>
      </c>
      <c r="F697" s="75" t="s">
        <v>181</v>
      </c>
      <c r="G697" s="75" t="s">
        <v>396</v>
      </c>
      <c r="H697" s="75"/>
      <c r="I697" s="75" t="s">
        <v>170</v>
      </c>
      <c r="J697" s="523">
        <v>25</v>
      </c>
      <c r="K697" s="516" t="s">
        <v>386</v>
      </c>
      <c r="L697" s="517">
        <v>8.64</v>
      </c>
      <c r="M697" s="517">
        <v>9.3000000000000007</v>
      </c>
      <c r="N697" s="518">
        <v>0.10299999999999999</v>
      </c>
      <c r="O697" s="518">
        <v>0.1</v>
      </c>
      <c r="P697" s="518">
        <v>0.112</v>
      </c>
      <c r="Q697" s="78">
        <v>0.44</v>
      </c>
      <c r="R697" s="78">
        <v>0.31740000000000002</v>
      </c>
      <c r="S697" s="69">
        <v>2.5000000000000001E-2</v>
      </c>
      <c r="T697" s="69">
        <v>5.0000000000000001E-3</v>
      </c>
      <c r="U697" s="518">
        <v>0.7</v>
      </c>
      <c r="V697" s="76">
        <v>0</v>
      </c>
      <c r="W697" s="76">
        <v>0</v>
      </c>
      <c r="X697" s="76"/>
      <c r="Y697" s="516" t="s">
        <v>470</v>
      </c>
    </row>
    <row r="698" spans="1:25" x14ac:dyDescent="0.25">
      <c r="A698" s="75" t="str">
        <f t="shared" si="25"/>
        <v>Exclusiva PF No_Premier Nómina Mercado_Abierto Pago_Bajo_Puntual 20</v>
      </c>
      <c r="B698" s="75" t="str">
        <f t="shared" si="24"/>
        <v>Exclusiva PF No_Premier Nómina Mercado_Abierto Pago_Bajo_Puntual 20 0.0965</v>
      </c>
      <c r="C698" s="75" t="s">
        <v>116</v>
      </c>
      <c r="D698" s="75" t="s">
        <v>132</v>
      </c>
      <c r="E698" s="75" t="s">
        <v>179</v>
      </c>
      <c r="F698" s="75" t="s">
        <v>181</v>
      </c>
      <c r="G698" s="75" t="s">
        <v>396</v>
      </c>
      <c r="H698" s="75"/>
      <c r="I698" s="75" t="s">
        <v>170</v>
      </c>
      <c r="J698" s="76">
        <v>20</v>
      </c>
      <c r="K698" s="516" t="s">
        <v>385</v>
      </c>
      <c r="L698" s="517">
        <v>8.52</v>
      </c>
      <c r="M698" s="517">
        <v>9.18</v>
      </c>
      <c r="N698" s="518">
        <v>9.6500000000000002E-2</v>
      </c>
      <c r="O698" s="518">
        <v>9.1999999999999998E-2</v>
      </c>
      <c r="P698" s="518">
        <v>0.10249999999999999</v>
      </c>
      <c r="Q698" s="78">
        <v>0.44</v>
      </c>
      <c r="R698" s="78">
        <v>0.31740000000000002</v>
      </c>
      <c r="S698" s="69">
        <v>2.5000000000000001E-2</v>
      </c>
      <c r="T698" s="69">
        <v>5.0000000000000001E-3</v>
      </c>
      <c r="U698" s="518">
        <v>0.7</v>
      </c>
      <c r="V698" s="76">
        <v>0</v>
      </c>
      <c r="W698" s="76">
        <v>0</v>
      </c>
      <c r="X698" s="76"/>
      <c r="Y698" s="516" t="s">
        <v>470</v>
      </c>
    </row>
    <row r="699" spans="1:25" x14ac:dyDescent="0.25">
      <c r="A699" s="75" t="str">
        <f t="shared" si="25"/>
        <v>Exclusiva PF No_Premier Nómina Mercado_Abierto Pago_Bajo_Puntual 20</v>
      </c>
      <c r="B699" s="75" t="str">
        <f t="shared" si="24"/>
        <v>Exclusiva PF No_Premier Nómina Mercado_Abierto Pago_Bajo_Puntual 20 0.103</v>
      </c>
      <c r="C699" s="75" t="s">
        <v>116</v>
      </c>
      <c r="D699" s="75" t="s">
        <v>132</v>
      </c>
      <c r="E699" s="75" t="s">
        <v>179</v>
      </c>
      <c r="F699" s="75" t="s">
        <v>181</v>
      </c>
      <c r="G699" s="75" t="s">
        <v>396</v>
      </c>
      <c r="H699" s="75"/>
      <c r="I699" s="75" t="s">
        <v>170</v>
      </c>
      <c r="J699" s="76">
        <v>20</v>
      </c>
      <c r="K699" s="516" t="s">
        <v>386</v>
      </c>
      <c r="L699" s="517">
        <v>9</v>
      </c>
      <c r="M699" s="517">
        <v>9.66</v>
      </c>
      <c r="N699" s="518">
        <v>0.10299999999999999</v>
      </c>
      <c r="O699" s="518">
        <v>0.1</v>
      </c>
      <c r="P699" s="518">
        <v>0.112</v>
      </c>
      <c r="Q699" s="78">
        <v>0.44</v>
      </c>
      <c r="R699" s="78">
        <v>0.31740000000000002</v>
      </c>
      <c r="S699" s="69">
        <v>2.5000000000000001E-2</v>
      </c>
      <c r="T699" s="69">
        <v>5.0000000000000001E-3</v>
      </c>
      <c r="U699" s="518">
        <v>0.7</v>
      </c>
      <c r="V699" s="76">
        <v>0</v>
      </c>
      <c r="W699" s="76">
        <v>0</v>
      </c>
      <c r="X699" s="76"/>
      <c r="Y699" s="516" t="s">
        <v>470</v>
      </c>
    </row>
    <row r="700" spans="1:25" x14ac:dyDescent="0.25">
      <c r="A700" s="75" t="str">
        <f t="shared" si="25"/>
        <v>Exclusiva PF No_Premier Nómina Mercado_Abierto Pago_Bajo_Puntual 15</v>
      </c>
      <c r="B700" s="75" t="str">
        <f t="shared" si="24"/>
        <v>Exclusiva PF No_Premier Nómina Mercado_Abierto Pago_Bajo_Puntual 15 0.0965</v>
      </c>
      <c r="C700" s="75" t="s">
        <v>116</v>
      </c>
      <c r="D700" s="75" t="s">
        <v>132</v>
      </c>
      <c r="E700" s="75" t="s">
        <v>179</v>
      </c>
      <c r="F700" s="75" t="s">
        <v>181</v>
      </c>
      <c r="G700" s="75" t="s">
        <v>396</v>
      </c>
      <c r="H700" s="75"/>
      <c r="I700" s="75" t="s">
        <v>170</v>
      </c>
      <c r="J700" s="76">
        <v>15</v>
      </c>
      <c r="K700" s="516" t="s">
        <v>385</v>
      </c>
      <c r="L700" s="517">
        <v>9.6999999999999993</v>
      </c>
      <c r="M700" s="517">
        <v>10.36</v>
      </c>
      <c r="N700" s="518">
        <v>9.6500000000000002E-2</v>
      </c>
      <c r="O700" s="518">
        <v>9.1999999999999998E-2</v>
      </c>
      <c r="P700" s="518">
        <v>0.10249999999999999</v>
      </c>
      <c r="Q700" s="78">
        <v>0.44</v>
      </c>
      <c r="R700" s="78">
        <v>0.31740000000000002</v>
      </c>
      <c r="S700" s="69">
        <v>2.5000000000000001E-2</v>
      </c>
      <c r="T700" s="69">
        <v>5.0000000000000001E-3</v>
      </c>
      <c r="U700" s="518">
        <v>0.7</v>
      </c>
      <c r="V700" s="76">
        <v>0</v>
      </c>
      <c r="W700" s="76">
        <v>0</v>
      </c>
      <c r="X700" s="76"/>
      <c r="Y700" s="516" t="s">
        <v>470</v>
      </c>
    </row>
    <row r="701" spans="1:25" x14ac:dyDescent="0.25">
      <c r="A701" s="75" t="str">
        <f t="shared" si="25"/>
        <v>Exclusiva PF No_Premier Nómina Mercado_Abierto Pago_Bajo_Puntual 15</v>
      </c>
      <c r="B701" s="75" t="str">
        <f t="shared" si="24"/>
        <v>Exclusiva PF No_Premier Nómina Mercado_Abierto Pago_Bajo_Puntual 15 0.103</v>
      </c>
      <c r="C701" s="75" t="s">
        <v>116</v>
      </c>
      <c r="D701" s="75" t="s">
        <v>132</v>
      </c>
      <c r="E701" s="75" t="s">
        <v>179</v>
      </c>
      <c r="F701" s="75" t="s">
        <v>181</v>
      </c>
      <c r="G701" s="75" t="s">
        <v>396</v>
      </c>
      <c r="H701" s="75"/>
      <c r="I701" s="75" t="s">
        <v>170</v>
      </c>
      <c r="J701" s="76">
        <v>15</v>
      </c>
      <c r="K701" s="516" t="s">
        <v>386</v>
      </c>
      <c r="L701" s="517">
        <v>10.119999999999999</v>
      </c>
      <c r="M701" s="517">
        <v>10.78</v>
      </c>
      <c r="N701" s="518">
        <v>0.10299999999999999</v>
      </c>
      <c r="O701" s="518">
        <v>0.1</v>
      </c>
      <c r="P701" s="518">
        <v>0.112</v>
      </c>
      <c r="Q701" s="78">
        <v>0.44</v>
      </c>
      <c r="R701" s="78">
        <v>0.31740000000000002</v>
      </c>
      <c r="S701" s="69">
        <v>2.5000000000000001E-2</v>
      </c>
      <c r="T701" s="69">
        <v>5.0000000000000001E-3</v>
      </c>
      <c r="U701" s="518">
        <v>0.7</v>
      </c>
      <c r="V701" s="76">
        <v>0</v>
      </c>
      <c r="W701" s="76">
        <v>0</v>
      </c>
      <c r="X701" s="76"/>
      <c r="Y701" s="516" t="s">
        <v>470</v>
      </c>
    </row>
    <row r="702" spans="1:25" x14ac:dyDescent="0.25">
      <c r="A702" s="75" t="str">
        <f t="shared" si="25"/>
        <v>Exclusiva PF No_Premier Nómina Mercado_Abierto Pago_Bajo_Puntual 10</v>
      </c>
      <c r="B702" s="75" t="str">
        <f t="shared" si="24"/>
        <v>Exclusiva PF No_Premier Nómina Mercado_Abierto Pago_Bajo_Puntual 10 0.0965</v>
      </c>
      <c r="C702" s="75" t="s">
        <v>116</v>
      </c>
      <c r="D702" s="75" t="s">
        <v>132</v>
      </c>
      <c r="E702" s="75" t="s">
        <v>179</v>
      </c>
      <c r="F702" s="75" t="s">
        <v>181</v>
      </c>
      <c r="G702" s="75" t="s">
        <v>396</v>
      </c>
      <c r="H702" s="75"/>
      <c r="I702" s="75" t="s">
        <v>170</v>
      </c>
      <c r="J702" s="76">
        <v>10</v>
      </c>
      <c r="K702" s="516" t="s">
        <v>385</v>
      </c>
      <c r="L702" s="517">
        <v>12.25</v>
      </c>
      <c r="M702" s="517">
        <v>12.91</v>
      </c>
      <c r="N702" s="518">
        <v>9.6500000000000002E-2</v>
      </c>
      <c r="O702" s="518">
        <v>9.1999999999999998E-2</v>
      </c>
      <c r="P702" s="518">
        <v>0.10249999999999999</v>
      </c>
      <c r="Q702" s="78">
        <v>0.44</v>
      </c>
      <c r="R702" s="78">
        <v>0.31740000000000002</v>
      </c>
      <c r="S702" s="69">
        <v>2.5000000000000001E-2</v>
      </c>
      <c r="T702" s="69">
        <v>5.0000000000000001E-3</v>
      </c>
      <c r="U702" s="518">
        <v>0.7</v>
      </c>
      <c r="V702" s="76">
        <v>0</v>
      </c>
      <c r="W702" s="76">
        <v>0</v>
      </c>
      <c r="X702" s="76"/>
      <c r="Y702" s="516" t="s">
        <v>470</v>
      </c>
    </row>
    <row r="703" spans="1:25" x14ac:dyDescent="0.25">
      <c r="A703" s="75" t="str">
        <f t="shared" si="25"/>
        <v>Exclusiva PF No_Premier Nómina Mercado_Abierto Pago_Bajo_Puntual 10</v>
      </c>
      <c r="B703" s="75" t="str">
        <f t="shared" si="24"/>
        <v>Exclusiva PF No_Premier Nómina Mercado_Abierto Pago_Bajo_Puntual 10 0.103</v>
      </c>
      <c r="C703" s="75" t="s">
        <v>116</v>
      </c>
      <c r="D703" s="75" t="s">
        <v>132</v>
      </c>
      <c r="E703" s="75" t="s">
        <v>179</v>
      </c>
      <c r="F703" s="75" t="s">
        <v>181</v>
      </c>
      <c r="G703" s="75" t="s">
        <v>396</v>
      </c>
      <c r="H703" s="75"/>
      <c r="I703" s="75" t="s">
        <v>170</v>
      </c>
      <c r="J703" s="76">
        <v>10</v>
      </c>
      <c r="K703" s="516" t="s">
        <v>386</v>
      </c>
      <c r="L703" s="517">
        <v>12.62</v>
      </c>
      <c r="M703" s="517">
        <v>13.28</v>
      </c>
      <c r="N703" s="518">
        <v>0.10299999999999999</v>
      </c>
      <c r="O703" s="518">
        <v>0.1</v>
      </c>
      <c r="P703" s="518">
        <v>0.112</v>
      </c>
      <c r="Q703" s="78">
        <v>0.44</v>
      </c>
      <c r="R703" s="78">
        <v>0.31740000000000002</v>
      </c>
      <c r="S703" s="69">
        <v>2.5000000000000001E-2</v>
      </c>
      <c r="T703" s="69">
        <v>5.0000000000000001E-3</v>
      </c>
      <c r="U703" s="518">
        <v>0.7</v>
      </c>
      <c r="V703" s="76">
        <v>0</v>
      </c>
      <c r="W703" s="76">
        <v>0</v>
      </c>
      <c r="X703" s="76"/>
      <c r="Y703" s="516" t="s">
        <v>470</v>
      </c>
    </row>
    <row r="704" spans="1:25" x14ac:dyDescent="0.25">
      <c r="A704" s="75" t="str">
        <f t="shared" si="25"/>
        <v>Exclusiva PF No_Premier Nómina Mercado_Abierto Pago_Bajo_Puntual 5</v>
      </c>
      <c r="B704" s="75" t="str">
        <f t="shared" si="24"/>
        <v>Exclusiva PF No_Premier Nómina Mercado_Abierto Pago_Bajo_Puntual 5 0.0965</v>
      </c>
      <c r="C704" s="75" t="s">
        <v>116</v>
      </c>
      <c r="D704" s="75" t="s">
        <v>132</v>
      </c>
      <c r="E704" s="75" t="s">
        <v>179</v>
      </c>
      <c r="F704" s="75" t="s">
        <v>181</v>
      </c>
      <c r="G704" s="75" t="s">
        <v>396</v>
      </c>
      <c r="H704" s="75"/>
      <c r="I704" s="75" t="s">
        <v>170</v>
      </c>
      <c r="J704" s="76">
        <v>5</v>
      </c>
      <c r="K704" s="516" t="s">
        <v>385</v>
      </c>
      <c r="L704" s="517">
        <v>20.399999999999999</v>
      </c>
      <c r="M704" s="517">
        <v>21.06</v>
      </c>
      <c r="N704" s="518">
        <v>9.6500000000000002E-2</v>
      </c>
      <c r="O704" s="518">
        <v>9.1999999999999998E-2</v>
      </c>
      <c r="P704" s="518">
        <v>0.10249999999999999</v>
      </c>
      <c r="Q704" s="78">
        <v>0.44</v>
      </c>
      <c r="R704" s="78">
        <v>0.31740000000000002</v>
      </c>
      <c r="S704" s="69">
        <v>2.5000000000000001E-2</v>
      </c>
      <c r="T704" s="69">
        <v>5.0000000000000001E-3</v>
      </c>
      <c r="U704" s="518">
        <v>0.7</v>
      </c>
      <c r="V704" s="76">
        <v>0</v>
      </c>
      <c r="W704" s="76">
        <v>0</v>
      </c>
      <c r="X704" s="76"/>
      <c r="Y704" s="516" t="s">
        <v>470</v>
      </c>
    </row>
    <row r="705" spans="1:25" x14ac:dyDescent="0.25">
      <c r="A705" s="75" t="str">
        <f t="shared" si="25"/>
        <v>Exclusiva PF No_Premier Nómina Mercado_Abierto Pago_Bajo_Puntual 5</v>
      </c>
      <c r="B705" s="75" t="str">
        <f t="shared" si="24"/>
        <v>Exclusiva PF No_Premier Nómina Mercado_Abierto Pago_Bajo_Puntual 5 0.103</v>
      </c>
      <c r="C705" s="75" t="s">
        <v>116</v>
      </c>
      <c r="D705" s="75" t="s">
        <v>132</v>
      </c>
      <c r="E705" s="75" t="s">
        <v>179</v>
      </c>
      <c r="F705" s="75" t="s">
        <v>181</v>
      </c>
      <c r="G705" s="75" t="s">
        <v>396</v>
      </c>
      <c r="H705" s="75"/>
      <c r="I705" s="75" t="s">
        <v>170</v>
      </c>
      <c r="J705" s="76">
        <v>5</v>
      </c>
      <c r="K705" s="516" t="s">
        <v>386</v>
      </c>
      <c r="L705" s="517">
        <v>20.72</v>
      </c>
      <c r="M705" s="517">
        <v>21.38</v>
      </c>
      <c r="N705" s="518">
        <v>0.10299999999999999</v>
      </c>
      <c r="O705" s="518">
        <v>0.1</v>
      </c>
      <c r="P705" s="518">
        <v>0.112</v>
      </c>
      <c r="Q705" s="78">
        <v>0.44</v>
      </c>
      <c r="R705" s="78">
        <v>0.31740000000000002</v>
      </c>
      <c r="S705" s="69">
        <v>2.5000000000000001E-2</v>
      </c>
      <c r="T705" s="69">
        <v>5.0000000000000001E-3</v>
      </c>
      <c r="U705" s="518">
        <v>0.7</v>
      </c>
      <c r="V705" s="76">
        <v>0</v>
      </c>
      <c r="W705" s="76">
        <v>0</v>
      </c>
      <c r="X705" s="76"/>
      <c r="Y705" s="516" t="s">
        <v>470</v>
      </c>
    </row>
    <row r="706" spans="1:25" x14ac:dyDescent="0.25">
      <c r="A706" s="75" t="str">
        <f t="shared" si="25"/>
        <v>Exclusiva PF No_Premier Normal Apoyo Infonavit Pago_Fijo_Puntual Si 25</v>
      </c>
      <c r="B706" s="75" t="str">
        <f t="shared" si="24"/>
        <v>Exclusiva PF No_Premier Normal Apoyo Infonavit Pago_Fijo_Puntual Si 25 0.103</v>
      </c>
      <c r="C706" s="75" t="s">
        <v>116</v>
      </c>
      <c r="D706" s="75" t="s">
        <v>132</v>
      </c>
      <c r="E706" s="75" t="s">
        <v>179</v>
      </c>
      <c r="F706" s="75" t="s">
        <v>180</v>
      </c>
      <c r="G706" s="75" t="s">
        <v>112</v>
      </c>
      <c r="H706" s="75"/>
      <c r="I706" s="75" t="s">
        <v>171</v>
      </c>
      <c r="J706" s="76">
        <v>25</v>
      </c>
      <c r="K706" s="519" t="s">
        <v>387</v>
      </c>
      <c r="L706" s="520">
        <v>9.65</v>
      </c>
      <c r="M706" s="520">
        <v>10.31</v>
      </c>
      <c r="N706" s="507">
        <v>0.10299999999999999</v>
      </c>
      <c r="O706" s="507">
        <v>0.1</v>
      </c>
      <c r="P706" s="507">
        <v>0.112</v>
      </c>
      <c r="Q706" s="78">
        <v>0.44</v>
      </c>
      <c r="R706" s="78">
        <v>0.31740000000000002</v>
      </c>
      <c r="S706" s="69">
        <v>2.5000000000000001E-2</v>
      </c>
      <c r="T706" s="69">
        <v>5.0000000000000001E-3</v>
      </c>
      <c r="U706" s="507">
        <v>0.95</v>
      </c>
      <c r="V706" s="76">
        <v>0</v>
      </c>
      <c r="W706" s="76">
        <v>0</v>
      </c>
      <c r="X706" s="76" t="s">
        <v>147</v>
      </c>
      <c r="Y706" s="519" t="s">
        <v>469</v>
      </c>
    </row>
    <row r="707" spans="1:25" x14ac:dyDescent="0.25">
      <c r="A707" s="75" t="str">
        <f t="shared" si="25"/>
        <v>Exclusiva PF No_Premier Normal Apoyo Infonavit Pago_Fijo_Puntual 25</v>
      </c>
      <c r="B707" s="75" t="str">
        <f t="shared" si="24"/>
        <v>Exclusiva PF No_Premier Normal Apoyo Infonavit Pago_Fijo_Puntual 25 0.106</v>
      </c>
      <c r="C707" s="75" t="s">
        <v>116</v>
      </c>
      <c r="D707" s="75" t="s">
        <v>132</v>
      </c>
      <c r="E707" s="75" t="s">
        <v>179</v>
      </c>
      <c r="F707" s="75" t="s">
        <v>180</v>
      </c>
      <c r="G707" s="75" t="s">
        <v>112</v>
      </c>
      <c r="H707" s="75"/>
      <c r="I707" s="75" t="s">
        <v>171</v>
      </c>
      <c r="J707" s="76">
        <v>25</v>
      </c>
      <c r="K707" s="519">
        <v>3</v>
      </c>
      <c r="L707" s="520">
        <v>9.93</v>
      </c>
      <c r="M707" s="520">
        <v>10.59</v>
      </c>
      <c r="N707" s="507">
        <v>0.106</v>
      </c>
      <c r="O707" s="507">
        <v>0.10299999999999999</v>
      </c>
      <c r="P707" s="507">
        <v>0.11799999999999999</v>
      </c>
      <c r="Q707" s="78">
        <v>0.44</v>
      </c>
      <c r="R707" s="78">
        <v>0.31740000000000002</v>
      </c>
      <c r="S707" s="69">
        <v>2.5000000000000001E-2</v>
      </c>
      <c r="T707" s="69">
        <v>5.0000000000000001E-3</v>
      </c>
      <c r="U707" s="507">
        <v>0.95</v>
      </c>
      <c r="V707" s="76">
        <v>0</v>
      </c>
      <c r="W707" s="76">
        <v>0</v>
      </c>
      <c r="X707" s="76"/>
      <c r="Y707" s="519" t="s">
        <v>469</v>
      </c>
    </row>
    <row r="708" spans="1:25" x14ac:dyDescent="0.25">
      <c r="A708" s="75" t="str">
        <f t="shared" si="25"/>
        <v>Exclusiva PF No_Premier Normal Apoyo Infonavit Pago_Fijo_Puntual Si 20</v>
      </c>
      <c r="B708" s="75" t="str">
        <f t="shared" si="24"/>
        <v>Exclusiva PF No_Premier Normal Apoyo Infonavit Pago_Fijo_Puntual Si 20 0.103</v>
      </c>
      <c r="C708" s="75" t="s">
        <v>116</v>
      </c>
      <c r="D708" s="75" t="s">
        <v>132</v>
      </c>
      <c r="E708" s="75" t="s">
        <v>179</v>
      </c>
      <c r="F708" s="75" t="s">
        <v>180</v>
      </c>
      <c r="G708" s="75" t="s">
        <v>112</v>
      </c>
      <c r="H708" s="75"/>
      <c r="I708" s="75" t="s">
        <v>171</v>
      </c>
      <c r="J708" s="76">
        <v>20</v>
      </c>
      <c r="K708" s="519" t="s">
        <v>387</v>
      </c>
      <c r="L708" s="520">
        <v>10.16</v>
      </c>
      <c r="M708" s="520">
        <v>10.82</v>
      </c>
      <c r="N708" s="507">
        <v>0.10299999999999999</v>
      </c>
      <c r="O708" s="507">
        <v>0.1</v>
      </c>
      <c r="P708" s="507">
        <v>0.112</v>
      </c>
      <c r="Q708" s="78">
        <v>0.44</v>
      </c>
      <c r="R708" s="78">
        <v>0.31740000000000002</v>
      </c>
      <c r="S708" s="69">
        <v>2.5000000000000001E-2</v>
      </c>
      <c r="T708" s="69">
        <v>5.0000000000000001E-3</v>
      </c>
      <c r="U708" s="507">
        <v>0.95</v>
      </c>
      <c r="V708" s="76">
        <v>0</v>
      </c>
      <c r="W708" s="76">
        <v>0</v>
      </c>
      <c r="X708" s="76" t="s">
        <v>147</v>
      </c>
      <c r="Y708" s="519" t="s">
        <v>469</v>
      </c>
    </row>
    <row r="709" spans="1:25" x14ac:dyDescent="0.25">
      <c r="A709" s="75" t="str">
        <f t="shared" si="25"/>
        <v>Exclusiva PF No_Premier Normal Apoyo Infonavit Pago_Fijo_Puntual 20</v>
      </c>
      <c r="B709" s="75" t="str">
        <f t="shared" si="24"/>
        <v>Exclusiva PF No_Premier Normal Apoyo Infonavit Pago_Fijo_Puntual 20 0.106</v>
      </c>
      <c r="C709" s="75" t="s">
        <v>116</v>
      </c>
      <c r="D709" s="75" t="s">
        <v>132</v>
      </c>
      <c r="E709" s="75" t="s">
        <v>179</v>
      </c>
      <c r="F709" s="75" t="s">
        <v>180</v>
      </c>
      <c r="G709" s="75" t="s">
        <v>112</v>
      </c>
      <c r="H709" s="75"/>
      <c r="I709" s="75" t="s">
        <v>171</v>
      </c>
      <c r="J709" s="76">
        <v>20</v>
      </c>
      <c r="K709" s="519">
        <v>3</v>
      </c>
      <c r="L709" s="520">
        <v>10.41</v>
      </c>
      <c r="M709" s="520">
        <v>11.07</v>
      </c>
      <c r="N709" s="507">
        <v>0.106</v>
      </c>
      <c r="O709" s="507">
        <v>0.10299999999999999</v>
      </c>
      <c r="P709" s="507">
        <v>0.11799999999999999</v>
      </c>
      <c r="Q709" s="78">
        <v>0.44</v>
      </c>
      <c r="R709" s="78">
        <v>0.31740000000000002</v>
      </c>
      <c r="S709" s="69">
        <v>2.5000000000000001E-2</v>
      </c>
      <c r="T709" s="69">
        <v>5.0000000000000001E-3</v>
      </c>
      <c r="U709" s="507">
        <v>0.95</v>
      </c>
      <c r="V709" s="76">
        <v>0</v>
      </c>
      <c r="W709" s="76">
        <v>0</v>
      </c>
      <c r="X709" s="76"/>
      <c r="Y709" s="519" t="s">
        <v>469</v>
      </c>
    </row>
    <row r="710" spans="1:25" x14ac:dyDescent="0.25">
      <c r="A710" s="75" t="str">
        <f t="shared" si="25"/>
        <v>Exclusiva PF No_Premier Normal Apoyo Infonavit Pago_Fijo_Puntual Si 15</v>
      </c>
      <c r="B710" s="75" t="str">
        <f t="shared" si="24"/>
        <v>Exclusiva PF No_Premier Normal Apoyo Infonavit Pago_Fijo_Puntual Si 15 0.103</v>
      </c>
      <c r="C710" s="75" t="s">
        <v>116</v>
      </c>
      <c r="D710" s="75" t="s">
        <v>132</v>
      </c>
      <c r="E710" s="75" t="s">
        <v>179</v>
      </c>
      <c r="F710" s="75" t="s">
        <v>180</v>
      </c>
      <c r="G710" s="75" t="s">
        <v>112</v>
      </c>
      <c r="H710" s="75"/>
      <c r="I710" s="75" t="s">
        <v>171</v>
      </c>
      <c r="J710" s="76">
        <v>15</v>
      </c>
      <c r="K710" s="519" t="s">
        <v>387</v>
      </c>
      <c r="L710" s="520">
        <v>11.18</v>
      </c>
      <c r="M710" s="520">
        <v>11.84</v>
      </c>
      <c r="N710" s="507">
        <v>0.10299999999999999</v>
      </c>
      <c r="O710" s="507">
        <v>0.1</v>
      </c>
      <c r="P710" s="507">
        <v>0.112</v>
      </c>
      <c r="Q710" s="78">
        <v>0.44</v>
      </c>
      <c r="R710" s="78">
        <v>0.31740000000000002</v>
      </c>
      <c r="S710" s="69">
        <v>2.5000000000000001E-2</v>
      </c>
      <c r="T710" s="69">
        <v>5.0000000000000001E-3</v>
      </c>
      <c r="U710" s="507">
        <v>0.95</v>
      </c>
      <c r="V710" s="76">
        <v>0</v>
      </c>
      <c r="W710" s="76">
        <v>0</v>
      </c>
      <c r="X710" s="76" t="s">
        <v>147</v>
      </c>
      <c r="Y710" s="519" t="s">
        <v>469</v>
      </c>
    </row>
    <row r="711" spans="1:25" x14ac:dyDescent="0.25">
      <c r="A711" s="75" t="str">
        <f t="shared" si="25"/>
        <v>Exclusiva PF No_Premier Normal Apoyo Infonavit Pago_Fijo_Puntual 15</v>
      </c>
      <c r="B711" s="75" t="str">
        <f t="shared" si="24"/>
        <v>Exclusiva PF No_Premier Normal Apoyo Infonavit Pago_Fijo_Puntual 15 0.106</v>
      </c>
      <c r="C711" s="75" t="s">
        <v>116</v>
      </c>
      <c r="D711" s="75" t="s">
        <v>132</v>
      </c>
      <c r="E711" s="75" t="s">
        <v>179</v>
      </c>
      <c r="F711" s="75" t="s">
        <v>180</v>
      </c>
      <c r="G711" s="75" t="s">
        <v>112</v>
      </c>
      <c r="H711" s="75"/>
      <c r="I711" s="75" t="s">
        <v>171</v>
      </c>
      <c r="J711" s="76">
        <v>15</v>
      </c>
      <c r="K711" s="519">
        <v>3</v>
      </c>
      <c r="L711" s="520">
        <v>11.39</v>
      </c>
      <c r="M711" s="520">
        <v>12.05</v>
      </c>
      <c r="N711" s="507">
        <v>0.106</v>
      </c>
      <c r="O711" s="507">
        <v>0.10299999999999999</v>
      </c>
      <c r="P711" s="507">
        <v>0.11799999999999999</v>
      </c>
      <c r="Q711" s="78">
        <v>0.44</v>
      </c>
      <c r="R711" s="78">
        <v>0.31740000000000002</v>
      </c>
      <c r="S711" s="69">
        <v>2.5000000000000001E-2</v>
      </c>
      <c r="T711" s="69">
        <v>5.0000000000000001E-3</v>
      </c>
      <c r="U711" s="507">
        <v>0.95</v>
      </c>
      <c r="V711" s="76">
        <v>0</v>
      </c>
      <c r="W711" s="76">
        <v>0</v>
      </c>
      <c r="X711" s="76"/>
      <c r="Y711" s="519" t="s">
        <v>469</v>
      </c>
    </row>
    <row r="712" spans="1:25" x14ac:dyDescent="0.25">
      <c r="A712" s="75" t="str">
        <f t="shared" si="25"/>
        <v>Exclusiva PF No_Premier Normal Apoyo Infonavit Pago_Fijo_Puntual Si 10</v>
      </c>
      <c r="B712" s="75" t="str">
        <f t="shared" si="24"/>
        <v>Exclusiva PF No_Premier Normal Apoyo Infonavit Pago_Fijo_Puntual Si 10 0.103</v>
      </c>
      <c r="C712" s="75" t="s">
        <v>116</v>
      </c>
      <c r="D712" s="75" t="s">
        <v>132</v>
      </c>
      <c r="E712" s="75" t="s">
        <v>179</v>
      </c>
      <c r="F712" s="75" t="s">
        <v>180</v>
      </c>
      <c r="G712" s="75" t="s">
        <v>112</v>
      </c>
      <c r="H712" s="75"/>
      <c r="I712" s="75" t="s">
        <v>171</v>
      </c>
      <c r="J712" s="76">
        <v>10</v>
      </c>
      <c r="K712" s="519" t="s">
        <v>387</v>
      </c>
      <c r="L712" s="520">
        <v>13.54</v>
      </c>
      <c r="M712" s="520">
        <v>14.2</v>
      </c>
      <c r="N712" s="507">
        <v>0.10299999999999999</v>
      </c>
      <c r="O712" s="507">
        <v>0.1</v>
      </c>
      <c r="P712" s="507">
        <v>0.112</v>
      </c>
      <c r="Q712" s="78">
        <v>0.44</v>
      </c>
      <c r="R712" s="78">
        <v>0.31740000000000002</v>
      </c>
      <c r="S712" s="69">
        <v>2.5000000000000001E-2</v>
      </c>
      <c r="T712" s="69">
        <v>5.0000000000000001E-3</v>
      </c>
      <c r="U712" s="507">
        <v>0.95</v>
      </c>
      <c r="V712" s="76">
        <v>0</v>
      </c>
      <c r="W712" s="76">
        <v>0</v>
      </c>
      <c r="X712" s="76" t="s">
        <v>147</v>
      </c>
      <c r="Y712" s="519" t="s">
        <v>469</v>
      </c>
    </row>
    <row r="713" spans="1:25" x14ac:dyDescent="0.25">
      <c r="A713" s="75" t="str">
        <f t="shared" si="25"/>
        <v>Exclusiva PF No_Premier Normal Apoyo Infonavit Pago_Fijo_Puntual 10</v>
      </c>
      <c r="B713" s="75" t="str">
        <f t="shared" si="24"/>
        <v>Exclusiva PF No_Premier Normal Apoyo Infonavit Pago_Fijo_Puntual 10 0.106</v>
      </c>
      <c r="C713" s="75" t="s">
        <v>116</v>
      </c>
      <c r="D713" s="75" t="s">
        <v>132</v>
      </c>
      <c r="E713" s="75" t="s">
        <v>179</v>
      </c>
      <c r="F713" s="75" t="s">
        <v>180</v>
      </c>
      <c r="G713" s="75" t="s">
        <v>112</v>
      </c>
      <c r="H713" s="75"/>
      <c r="I713" s="75" t="s">
        <v>171</v>
      </c>
      <c r="J713" s="76">
        <v>10</v>
      </c>
      <c r="K713" s="519">
        <v>3</v>
      </c>
      <c r="L713" s="520">
        <v>13.71</v>
      </c>
      <c r="M713" s="520">
        <v>14.37</v>
      </c>
      <c r="N713" s="507">
        <v>0.106</v>
      </c>
      <c r="O713" s="507">
        <v>0.10299999999999999</v>
      </c>
      <c r="P713" s="507">
        <v>0.11799999999999999</v>
      </c>
      <c r="Q713" s="78">
        <v>0.44</v>
      </c>
      <c r="R713" s="78">
        <v>0.31740000000000002</v>
      </c>
      <c r="S713" s="69">
        <v>2.5000000000000001E-2</v>
      </c>
      <c r="T713" s="69">
        <v>5.0000000000000001E-3</v>
      </c>
      <c r="U713" s="507">
        <v>0.95</v>
      </c>
      <c r="V713" s="76">
        <v>0</v>
      </c>
      <c r="W713" s="76">
        <v>0</v>
      </c>
      <c r="X713" s="76"/>
      <c r="Y713" s="519" t="s">
        <v>469</v>
      </c>
    </row>
    <row r="714" spans="1:25" x14ac:dyDescent="0.25">
      <c r="A714" s="75" t="str">
        <f t="shared" si="25"/>
        <v>Exclusiva PF No_Premier Normal Apoyo Infonavit Pago_Fijo_Puntual Si 5</v>
      </c>
      <c r="B714" s="75" t="str">
        <f t="shared" si="24"/>
        <v>Exclusiva PF No_Premier Normal Apoyo Infonavit Pago_Fijo_Puntual Si 5 0.103</v>
      </c>
      <c r="C714" s="75" t="s">
        <v>116</v>
      </c>
      <c r="D714" s="75" t="s">
        <v>132</v>
      </c>
      <c r="E714" s="75" t="s">
        <v>179</v>
      </c>
      <c r="F714" s="75" t="s">
        <v>180</v>
      </c>
      <c r="G714" s="75" t="s">
        <v>112</v>
      </c>
      <c r="H714" s="75"/>
      <c r="I714" s="75" t="s">
        <v>171</v>
      </c>
      <c r="J714" s="76">
        <v>5</v>
      </c>
      <c r="K714" s="519" t="s">
        <v>387</v>
      </c>
      <c r="L714" s="520">
        <v>21.44</v>
      </c>
      <c r="M714" s="520">
        <v>22.1</v>
      </c>
      <c r="N714" s="507">
        <v>0.10299999999999999</v>
      </c>
      <c r="O714" s="507">
        <v>0.1</v>
      </c>
      <c r="P714" s="507">
        <v>0.112</v>
      </c>
      <c r="Q714" s="78">
        <v>0.44</v>
      </c>
      <c r="R714" s="78">
        <v>0.31740000000000002</v>
      </c>
      <c r="S714" s="69">
        <v>2.5000000000000001E-2</v>
      </c>
      <c r="T714" s="69">
        <v>5.0000000000000001E-3</v>
      </c>
      <c r="U714" s="507">
        <v>0.95</v>
      </c>
      <c r="V714" s="76">
        <v>0</v>
      </c>
      <c r="W714" s="76">
        <v>0</v>
      </c>
      <c r="X714" s="76" t="s">
        <v>147</v>
      </c>
      <c r="Y714" s="519" t="s">
        <v>469</v>
      </c>
    </row>
    <row r="715" spans="1:25" x14ac:dyDescent="0.25">
      <c r="A715" s="75" t="str">
        <f t="shared" si="25"/>
        <v>Exclusiva PF No_Premier Normal Apoyo Infonavit Pago_Fijo_Puntual 5</v>
      </c>
      <c r="B715" s="75" t="str">
        <f t="shared" si="24"/>
        <v>Exclusiva PF No_Premier Normal Apoyo Infonavit Pago_Fijo_Puntual 5 0.106</v>
      </c>
      <c r="C715" s="75" t="s">
        <v>116</v>
      </c>
      <c r="D715" s="75" t="s">
        <v>132</v>
      </c>
      <c r="E715" s="75" t="s">
        <v>179</v>
      </c>
      <c r="F715" s="75" t="s">
        <v>180</v>
      </c>
      <c r="G715" s="75" t="s">
        <v>112</v>
      </c>
      <c r="H715" s="75"/>
      <c r="I715" s="75" t="s">
        <v>171</v>
      </c>
      <c r="J715" s="76">
        <v>5</v>
      </c>
      <c r="K715" s="519">
        <v>3</v>
      </c>
      <c r="L715" s="520">
        <v>21.59</v>
      </c>
      <c r="M715" s="520">
        <v>22.25</v>
      </c>
      <c r="N715" s="507">
        <v>0.106</v>
      </c>
      <c r="O715" s="507">
        <v>0.10299999999999999</v>
      </c>
      <c r="P715" s="507">
        <v>0.11799999999999999</v>
      </c>
      <c r="Q715" s="78">
        <v>0.44</v>
      </c>
      <c r="R715" s="78">
        <v>0.31740000000000002</v>
      </c>
      <c r="S715" s="69">
        <v>2.5000000000000001E-2</v>
      </c>
      <c r="T715" s="69">
        <v>5.0000000000000001E-3</v>
      </c>
      <c r="U715" s="507">
        <v>0.95</v>
      </c>
      <c r="V715" s="76">
        <v>0</v>
      </c>
      <c r="W715" s="76">
        <v>0</v>
      </c>
      <c r="X715" s="76"/>
      <c r="Y715" s="519" t="s">
        <v>469</v>
      </c>
    </row>
    <row r="716" spans="1:25" x14ac:dyDescent="0.25">
      <c r="A716" s="75" t="str">
        <f t="shared" si="25"/>
        <v>Exclusiva PF No_Premier Normal Apoyo Infonavit Pago_Bajo_Puntual Si 25</v>
      </c>
      <c r="B716" s="75" t="str">
        <f t="shared" si="24"/>
        <v>Exclusiva PF No_Premier Normal Apoyo Infonavit Pago_Bajo_Puntual Si 25 0.103</v>
      </c>
      <c r="C716" s="75" t="s">
        <v>116</v>
      </c>
      <c r="D716" s="75" t="s">
        <v>132</v>
      </c>
      <c r="E716" s="75" t="s">
        <v>179</v>
      </c>
      <c r="F716" s="75" t="s">
        <v>180</v>
      </c>
      <c r="G716" s="75" t="s">
        <v>112</v>
      </c>
      <c r="H716" s="75"/>
      <c r="I716" s="75" t="s">
        <v>170</v>
      </c>
      <c r="J716" s="523">
        <v>25</v>
      </c>
      <c r="K716" s="519" t="s">
        <v>387</v>
      </c>
      <c r="L716" s="525">
        <v>8.64</v>
      </c>
      <c r="M716" s="525">
        <v>9.3000000000000007</v>
      </c>
      <c r="N716" s="507">
        <v>0.10299999999999999</v>
      </c>
      <c r="O716" s="507">
        <v>0.1</v>
      </c>
      <c r="P716" s="507">
        <v>0.112</v>
      </c>
      <c r="Q716" s="78">
        <v>0.44</v>
      </c>
      <c r="R716" s="78">
        <v>0.31740000000000002</v>
      </c>
      <c r="S716" s="69">
        <v>2.5000000000000001E-2</v>
      </c>
      <c r="T716" s="69">
        <v>5.0000000000000001E-3</v>
      </c>
      <c r="U716" s="507">
        <v>0.95</v>
      </c>
      <c r="V716" s="76">
        <v>0</v>
      </c>
      <c r="W716" s="76">
        <v>0</v>
      </c>
      <c r="X716" s="76" t="s">
        <v>147</v>
      </c>
      <c r="Y716" s="519" t="s">
        <v>469</v>
      </c>
    </row>
    <row r="717" spans="1:25" x14ac:dyDescent="0.25">
      <c r="A717" s="75" t="str">
        <f t="shared" si="25"/>
        <v>Exclusiva PF No_Premier Normal Apoyo Infonavit Pago_Bajo_Puntual 25</v>
      </c>
      <c r="B717" s="75" t="str">
        <f t="shared" si="24"/>
        <v>Exclusiva PF No_Premier Normal Apoyo Infonavit Pago_Bajo_Puntual 25 0.106</v>
      </c>
      <c r="C717" s="75" t="s">
        <v>116</v>
      </c>
      <c r="D717" s="75" t="s">
        <v>132</v>
      </c>
      <c r="E717" s="75" t="s">
        <v>179</v>
      </c>
      <c r="F717" s="75" t="s">
        <v>180</v>
      </c>
      <c r="G717" s="75" t="s">
        <v>112</v>
      </c>
      <c r="H717" s="75"/>
      <c r="I717" s="75" t="s">
        <v>170</v>
      </c>
      <c r="J717" s="523">
        <v>25</v>
      </c>
      <c r="K717" s="519">
        <v>3</v>
      </c>
      <c r="L717" s="525">
        <v>8.89</v>
      </c>
      <c r="M717" s="525">
        <v>9.5500000000000007</v>
      </c>
      <c r="N717" s="507">
        <v>0.106</v>
      </c>
      <c r="O717" s="507">
        <v>0.10299999999999999</v>
      </c>
      <c r="P717" s="507">
        <v>0.11799999999999999</v>
      </c>
      <c r="Q717" s="78">
        <v>0.44</v>
      </c>
      <c r="R717" s="78">
        <v>0.31740000000000002</v>
      </c>
      <c r="S717" s="69">
        <v>2.5000000000000001E-2</v>
      </c>
      <c r="T717" s="69">
        <v>5.0000000000000001E-3</v>
      </c>
      <c r="U717" s="507">
        <v>0.95</v>
      </c>
      <c r="V717" s="76">
        <v>0</v>
      </c>
      <c r="W717" s="76">
        <v>0</v>
      </c>
      <c r="X717" s="76"/>
      <c r="Y717" s="519" t="s">
        <v>469</v>
      </c>
    </row>
    <row r="718" spans="1:25" x14ac:dyDescent="0.25">
      <c r="A718" s="75" t="str">
        <f t="shared" si="25"/>
        <v>Exclusiva PF No_Premier Normal Apoyo Infonavit Pago_Bajo_Puntual Si 20</v>
      </c>
      <c r="B718" s="75" t="str">
        <f t="shared" ref="B718:B781" si="26">CONCATENATE(A718," ",N718)</f>
        <v>Exclusiva PF No_Premier Normal Apoyo Infonavit Pago_Bajo_Puntual Si 20 0.103</v>
      </c>
      <c r="C718" s="75" t="s">
        <v>116</v>
      </c>
      <c r="D718" s="75" t="s">
        <v>132</v>
      </c>
      <c r="E718" s="75" t="s">
        <v>179</v>
      </c>
      <c r="F718" s="75" t="s">
        <v>180</v>
      </c>
      <c r="G718" s="75" t="s">
        <v>112</v>
      </c>
      <c r="H718" s="75"/>
      <c r="I718" s="75" t="s">
        <v>170</v>
      </c>
      <c r="J718" s="76">
        <v>20</v>
      </c>
      <c r="K718" s="519" t="s">
        <v>387</v>
      </c>
      <c r="L718" s="520">
        <v>9</v>
      </c>
      <c r="M718" s="520">
        <v>9.66</v>
      </c>
      <c r="N718" s="507">
        <v>0.10299999999999999</v>
      </c>
      <c r="O718" s="507">
        <v>0.1</v>
      </c>
      <c r="P718" s="507">
        <v>0.112</v>
      </c>
      <c r="Q718" s="78">
        <v>0.44</v>
      </c>
      <c r="R718" s="78">
        <v>0.31740000000000002</v>
      </c>
      <c r="S718" s="69">
        <v>2.5000000000000001E-2</v>
      </c>
      <c r="T718" s="69">
        <v>5.0000000000000001E-3</v>
      </c>
      <c r="U718" s="507">
        <v>0.95</v>
      </c>
      <c r="V718" s="76">
        <v>0</v>
      </c>
      <c r="W718" s="76">
        <v>0</v>
      </c>
      <c r="X718" s="76" t="s">
        <v>147</v>
      </c>
      <c r="Y718" s="519" t="s">
        <v>469</v>
      </c>
    </row>
    <row r="719" spans="1:25" x14ac:dyDescent="0.25">
      <c r="A719" s="75" t="str">
        <f t="shared" ref="A719:A782" si="27">TRIM(CONCATENATE(C719," ",D719," ",E719," ",F719," ",G719," ",I719," ",X719," ",J719))</f>
        <v>Exclusiva PF No_Premier Normal Apoyo Infonavit Pago_Bajo_Puntual 20</v>
      </c>
      <c r="B719" s="75" t="str">
        <f t="shared" si="26"/>
        <v>Exclusiva PF No_Premier Normal Apoyo Infonavit Pago_Bajo_Puntual 20 0.106</v>
      </c>
      <c r="C719" s="75" t="s">
        <v>116</v>
      </c>
      <c r="D719" s="75" t="s">
        <v>132</v>
      </c>
      <c r="E719" s="75" t="s">
        <v>179</v>
      </c>
      <c r="F719" s="75" t="s">
        <v>180</v>
      </c>
      <c r="G719" s="75" t="s">
        <v>112</v>
      </c>
      <c r="H719" s="75"/>
      <c r="I719" s="75" t="s">
        <v>170</v>
      </c>
      <c r="J719" s="76">
        <v>20</v>
      </c>
      <c r="K719" s="519">
        <v>3</v>
      </c>
      <c r="L719" s="520">
        <v>9.24</v>
      </c>
      <c r="M719" s="520">
        <v>9.9</v>
      </c>
      <c r="N719" s="507">
        <v>0.106</v>
      </c>
      <c r="O719" s="507">
        <v>0.10299999999999999</v>
      </c>
      <c r="P719" s="507">
        <v>0.11799999999999999</v>
      </c>
      <c r="Q719" s="78">
        <v>0.44</v>
      </c>
      <c r="R719" s="78">
        <v>0.31740000000000002</v>
      </c>
      <c r="S719" s="69">
        <v>2.5000000000000001E-2</v>
      </c>
      <c r="T719" s="69">
        <v>5.0000000000000001E-3</v>
      </c>
      <c r="U719" s="507">
        <v>0.95</v>
      </c>
      <c r="V719" s="76">
        <v>0</v>
      </c>
      <c r="W719" s="76">
        <v>0</v>
      </c>
      <c r="X719" s="76"/>
      <c r="Y719" s="519" t="s">
        <v>469</v>
      </c>
    </row>
    <row r="720" spans="1:25" x14ac:dyDescent="0.25">
      <c r="A720" s="75" t="str">
        <f t="shared" si="27"/>
        <v>Exclusiva PF No_Premier Normal Apoyo Infonavit Pago_Bajo_Puntual Si 15</v>
      </c>
      <c r="B720" s="75" t="str">
        <f t="shared" si="26"/>
        <v>Exclusiva PF No_Premier Normal Apoyo Infonavit Pago_Bajo_Puntual Si 15 0.103</v>
      </c>
      <c r="C720" s="75" t="s">
        <v>116</v>
      </c>
      <c r="D720" s="75" t="s">
        <v>132</v>
      </c>
      <c r="E720" s="75" t="s">
        <v>179</v>
      </c>
      <c r="F720" s="75" t="s">
        <v>180</v>
      </c>
      <c r="G720" s="75" t="s">
        <v>112</v>
      </c>
      <c r="H720" s="75"/>
      <c r="I720" s="75" t="s">
        <v>170</v>
      </c>
      <c r="J720" s="76">
        <v>15</v>
      </c>
      <c r="K720" s="519" t="s">
        <v>387</v>
      </c>
      <c r="L720" s="520">
        <v>10.119999999999999</v>
      </c>
      <c r="M720" s="520">
        <v>10.78</v>
      </c>
      <c r="N720" s="507">
        <v>0.10299999999999999</v>
      </c>
      <c r="O720" s="507">
        <v>0.1</v>
      </c>
      <c r="P720" s="507">
        <v>0.112</v>
      </c>
      <c r="Q720" s="78">
        <v>0.44</v>
      </c>
      <c r="R720" s="78">
        <v>0.31740000000000002</v>
      </c>
      <c r="S720" s="69">
        <v>2.5000000000000001E-2</v>
      </c>
      <c r="T720" s="69">
        <v>5.0000000000000001E-3</v>
      </c>
      <c r="U720" s="507">
        <v>0.95</v>
      </c>
      <c r="V720" s="76">
        <v>0</v>
      </c>
      <c r="W720" s="76">
        <v>0</v>
      </c>
      <c r="X720" s="76" t="s">
        <v>147</v>
      </c>
      <c r="Y720" s="519" t="s">
        <v>469</v>
      </c>
    </row>
    <row r="721" spans="1:25" x14ac:dyDescent="0.25">
      <c r="A721" s="75" t="str">
        <f t="shared" si="27"/>
        <v>Exclusiva PF No_Premier Normal Apoyo Infonavit Pago_Bajo_Puntual 15</v>
      </c>
      <c r="B721" s="75" t="str">
        <f t="shared" si="26"/>
        <v>Exclusiva PF No_Premier Normal Apoyo Infonavit Pago_Bajo_Puntual 15 0.106</v>
      </c>
      <c r="C721" s="75" t="s">
        <v>116</v>
      </c>
      <c r="D721" s="75" t="s">
        <v>132</v>
      </c>
      <c r="E721" s="75" t="s">
        <v>179</v>
      </c>
      <c r="F721" s="75" t="s">
        <v>180</v>
      </c>
      <c r="G721" s="75" t="s">
        <v>112</v>
      </c>
      <c r="H721" s="75"/>
      <c r="I721" s="75" t="s">
        <v>170</v>
      </c>
      <c r="J721" s="76">
        <v>15</v>
      </c>
      <c r="K721" s="519">
        <v>3</v>
      </c>
      <c r="L721" s="520">
        <v>10.33</v>
      </c>
      <c r="M721" s="520">
        <v>10.99</v>
      </c>
      <c r="N721" s="507">
        <v>0.106</v>
      </c>
      <c r="O721" s="507">
        <v>0.10299999999999999</v>
      </c>
      <c r="P721" s="507">
        <v>0.11799999999999999</v>
      </c>
      <c r="Q721" s="78">
        <v>0.44</v>
      </c>
      <c r="R721" s="78">
        <v>0.31740000000000002</v>
      </c>
      <c r="S721" s="69">
        <v>2.5000000000000001E-2</v>
      </c>
      <c r="T721" s="69">
        <v>5.0000000000000001E-3</v>
      </c>
      <c r="U721" s="507">
        <v>0.95</v>
      </c>
      <c r="V721" s="76">
        <v>0</v>
      </c>
      <c r="W721" s="76">
        <v>0</v>
      </c>
      <c r="X721" s="76"/>
      <c r="Y721" s="519" t="s">
        <v>469</v>
      </c>
    </row>
    <row r="722" spans="1:25" x14ac:dyDescent="0.25">
      <c r="A722" s="75" t="str">
        <f t="shared" si="27"/>
        <v>Exclusiva PF No_Premier Normal Apoyo Infonavit Pago_Bajo_Puntual Si 10</v>
      </c>
      <c r="B722" s="75" t="str">
        <f t="shared" si="26"/>
        <v>Exclusiva PF No_Premier Normal Apoyo Infonavit Pago_Bajo_Puntual Si 10 0.103</v>
      </c>
      <c r="C722" s="75" t="s">
        <v>116</v>
      </c>
      <c r="D722" s="75" t="s">
        <v>132</v>
      </c>
      <c r="E722" s="75" t="s">
        <v>179</v>
      </c>
      <c r="F722" s="75" t="s">
        <v>180</v>
      </c>
      <c r="G722" s="75" t="s">
        <v>112</v>
      </c>
      <c r="H722" s="75"/>
      <c r="I722" s="75" t="s">
        <v>170</v>
      </c>
      <c r="J722" s="76">
        <v>10</v>
      </c>
      <c r="K722" s="519" t="s">
        <v>387</v>
      </c>
      <c r="L722" s="520">
        <v>12.62</v>
      </c>
      <c r="M722" s="520">
        <v>13.28</v>
      </c>
      <c r="N722" s="507">
        <v>0.10299999999999999</v>
      </c>
      <c r="O722" s="507">
        <v>0.1</v>
      </c>
      <c r="P722" s="507">
        <v>0.112</v>
      </c>
      <c r="Q722" s="78">
        <v>0.44</v>
      </c>
      <c r="R722" s="78">
        <v>0.31740000000000002</v>
      </c>
      <c r="S722" s="69">
        <v>2.5000000000000001E-2</v>
      </c>
      <c r="T722" s="69">
        <v>5.0000000000000001E-3</v>
      </c>
      <c r="U722" s="507">
        <v>0.95</v>
      </c>
      <c r="V722" s="76">
        <v>0</v>
      </c>
      <c r="W722" s="76">
        <v>0</v>
      </c>
      <c r="X722" s="76" t="s">
        <v>147</v>
      </c>
      <c r="Y722" s="519" t="s">
        <v>469</v>
      </c>
    </row>
    <row r="723" spans="1:25" x14ac:dyDescent="0.25">
      <c r="A723" s="75" t="str">
        <f t="shared" si="27"/>
        <v>Exclusiva PF No_Premier Normal Apoyo Infonavit Pago_Bajo_Puntual 10</v>
      </c>
      <c r="B723" s="75" t="str">
        <f t="shared" si="26"/>
        <v>Exclusiva PF No_Premier Normal Apoyo Infonavit Pago_Bajo_Puntual 10 0.106</v>
      </c>
      <c r="C723" s="75" t="s">
        <v>116</v>
      </c>
      <c r="D723" s="75" t="s">
        <v>132</v>
      </c>
      <c r="E723" s="75" t="s">
        <v>179</v>
      </c>
      <c r="F723" s="75" t="s">
        <v>180</v>
      </c>
      <c r="G723" s="75" t="s">
        <v>112</v>
      </c>
      <c r="H723" s="75"/>
      <c r="I723" s="75" t="s">
        <v>170</v>
      </c>
      <c r="J723" s="76">
        <v>10</v>
      </c>
      <c r="K723" s="519">
        <v>3</v>
      </c>
      <c r="L723" s="520">
        <v>12.78</v>
      </c>
      <c r="M723" s="520">
        <v>13.44</v>
      </c>
      <c r="N723" s="507">
        <v>0.106</v>
      </c>
      <c r="O723" s="507">
        <v>0.10299999999999999</v>
      </c>
      <c r="P723" s="507">
        <v>0.11799999999999999</v>
      </c>
      <c r="Q723" s="78">
        <v>0.44</v>
      </c>
      <c r="R723" s="78">
        <v>0.31740000000000002</v>
      </c>
      <c r="S723" s="69">
        <v>2.5000000000000001E-2</v>
      </c>
      <c r="T723" s="69">
        <v>5.0000000000000001E-3</v>
      </c>
      <c r="U723" s="507">
        <v>0.95</v>
      </c>
      <c r="V723" s="76">
        <v>0</v>
      </c>
      <c r="W723" s="76">
        <v>0</v>
      </c>
      <c r="X723" s="76"/>
      <c r="Y723" s="519" t="s">
        <v>469</v>
      </c>
    </row>
    <row r="724" spans="1:25" x14ac:dyDescent="0.25">
      <c r="A724" s="75" t="str">
        <f t="shared" si="27"/>
        <v>Exclusiva PF No_Premier Normal Apoyo Infonavit Pago_Bajo_Puntual Si 5</v>
      </c>
      <c r="B724" s="75" t="str">
        <f t="shared" si="26"/>
        <v>Exclusiva PF No_Premier Normal Apoyo Infonavit Pago_Bajo_Puntual Si 5 0.103</v>
      </c>
      <c r="C724" s="75" t="s">
        <v>116</v>
      </c>
      <c r="D724" s="75" t="s">
        <v>132</v>
      </c>
      <c r="E724" s="75" t="s">
        <v>179</v>
      </c>
      <c r="F724" s="75" t="s">
        <v>180</v>
      </c>
      <c r="G724" s="75" t="s">
        <v>112</v>
      </c>
      <c r="H724" s="75"/>
      <c r="I724" s="75" t="s">
        <v>170</v>
      </c>
      <c r="J724" s="76">
        <v>5</v>
      </c>
      <c r="K724" s="519" t="s">
        <v>387</v>
      </c>
      <c r="L724" s="520">
        <v>20.72</v>
      </c>
      <c r="M724" s="520">
        <v>21.38</v>
      </c>
      <c r="N724" s="507">
        <v>0.10299999999999999</v>
      </c>
      <c r="O724" s="507">
        <v>0.1</v>
      </c>
      <c r="P724" s="507">
        <v>0.112</v>
      </c>
      <c r="Q724" s="78">
        <v>0.44</v>
      </c>
      <c r="R724" s="78">
        <v>0.31740000000000002</v>
      </c>
      <c r="S724" s="69">
        <v>2.5000000000000001E-2</v>
      </c>
      <c r="T724" s="69">
        <v>5.0000000000000001E-3</v>
      </c>
      <c r="U724" s="507">
        <v>0.95</v>
      </c>
      <c r="V724" s="76">
        <v>0</v>
      </c>
      <c r="W724" s="76">
        <v>0</v>
      </c>
      <c r="X724" s="76" t="s">
        <v>147</v>
      </c>
      <c r="Y724" s="519" t="s">
        <v>469</v>
      </c>
    </row>
    <row r="725" spans="1:25" x14ac:dyDescent="0.25">
      <c r="A725" s="75" t="str">
        <f t="shared" si="27"/>
        <v>Exclusiva PF No_Premier Normal Apoyo Infonavit Pago_Bajo_Puntual 5</v>
      </c>
      <c r="B725" s="75" t="str">
        <f t="shared" si="26"/>
        <v>Exclusiva PF No_Premier Normal Apoyo Infonavit Pago_Bajo_Puntual 5 0.106</v>
      </c>
      <c r="C725" s="75" t="s">
        <v>116</v>
      </c>
      <c r="D725" s="75" t="s">
        <v>132</v>
      </c>
      <c r="E725" s="75" t="s">
        <v>179</v>
      </c>
      <c r="F725" s="75" t="s">
        <v>180</v>
      </c>
      <c r="G725" s="75" t="s">
        <v>112</v>
      </c>
      <c r="H725" s="75"/>
      <c r="I725" s="75" t="s">
        <v>170</v>
      </c>
      <c r="J725" s="76">
        <v>5</v>
      </c>
      <c r="K725" s="519">
        <v>3</v>
      </c>
      <c r="L725" s="520">
        <v>20.86</v>
      </c>
      <c r="M725" s="520">
        <v>21.52</v>
      </c>
      <c r="N725" s="507">
        <v>0.106</v>
      </c>
      <c r="O725" s="507">
        <v>0.10299999999999999</v>
      </c>
      <c r="P725" s="507">
        <v>0.11799999999999999</v>
      </c>
      <c r="Q725" s="78">
        <v>0.44</v>
      </c>
      <c r="R725" s="78">
        <v>0.31740000000000002</v>
      </c>
      <c r="S725" s="69">
        <v>2.5000000000000001E-2</v>
      </c>
      <c r="T725" s="69">
        <v>5.0000000000000001E-3</v>
      </c>
      <c r="U725" s="507">
        <v>0.95</v>
      </c>
      <c r="V725" s="76">
        <v>0</v>
      </c>
      <c r="W725" s="76">
        <v>0</v>
      </c>
      <c r="X725" s="76"/>
      <c r="Y725" s="519" t="s">
        <v>469</v>
      </c>
    </row>
    <row r="726" spans="1:25" x14ac:dyDescent="0.25">
      <c r="A726" s="75" t="str">
        <f t="shared" si="27"/>
        <v>Exclusiva PF No_Premier Normal Apoyo Infonavit Pago_Fijo_Puntual 25</v>
      </c>
      <c r="B726" s="75" t="str">
        <f t="shared" si="26"/>
        <v>Exclusiva PF No_Premier Normal Apoyo Infonavit Pago_Fijo_Puntual 25 0.0965</v>
      </c>
      <c r="C726" s="75" t="s">
        <v>116</v>
      </c>
      <c r="D726" s="75" t="s">
        <v>132</v>
      </c>
      <c r="E726" s="75" t="s">
        <v>179</v>
      </c>
      <c r="F726" s="75" t="s">
        <v>180</v>
      </c>
      <c r="G726" s="75" t="s">
        <v>112</v>
      </c>
      <c r="H726" s="75"/>
      <c r="I726" s="75" t="s">
        <v>171</v>
      </c>
      <c r="J726" s="76">
        <v>25</v>
      </c>
      <c r="K726" s="516" t="s">
        <v>385</v>
      </c>
      <c r="L726" s="517">
        <v>9.11</v>
      </c>
      <c r="M726" s="517">
        <v>9.77</v>
      </c>
      <c r="N726" s="518">
        <v>9.6500000000000002E-2</v>
      </c>
      <c r="O726" s="518">
        <v>9.1999999999999998E-2</v>
      </c>
      <c r="P726" s="518">
        <v>0.10249999999999999</v>
      </c>
      <c r="Q726" s="78">
        <v>0.44</v>
      </c>
      <c r="R726" s="78">
        <v>0.31740000000000002</v>
      </c>
      <c r="S726" s="69">
        <v>2.5000000000000001E-2</v>
      </c>
      <c r="T726" s="69">
        <v>5.0000000000000001E-3</v>
      </c>
      <c r="U726" s="518">
        <v>0.7</v>
      </c>
      <c r="V726" s="76">
        <v>0</v>
      </c>
      <c r="W726" s="76">
        <v>0</v>
      </c>
      <c r="X726" s="76"/>
      <c r="Y726" s="516" t="s">
        <v>470</v>
      </c>
    </row>
    <row r="727" spans="1:25" x14ac:dyDescent="0.25">
      <c r="A727" s="75" t="str">
        <f t="shared" si="27"/>
        <v>Exclusiva PF No_Premier Normal Apoyo Infonavit Pago_Fijo_Puntual 25</v>
      </c>
      <c r="B727" s="75" t="str">
        <f t="shared" si="26"/>
        <v>Exclusiva PF No_Premier Normal Apoyo Infonavit Pago_Fijo_Puntual 25 0.103</v>
      </c>
      <c r="C727" s="75" t="s">
        <v>116</v>
      </c>
      <c r="D727" s="75" t="s">
        <v>132</v>
      </c>
      <c r="E727" s="75" t="s">
        <v>179</v>
      </c>
      <c r="F727" s="75" t="s">
        <v>180</v>
      </c>
      <c r="G727" s="75" t="s">
        <v>112</v>
      </c>
      <c r="H727" s="75"/>
      <c r="I727" s="75" t="s">
        <v>171</v>
      </c>
      <c r="J727" s="76">
        <v>25</v>
      </c>
      <c r="K727" s="516" t="s">
        <v>386</v>
      </c>
      <c r="L727" s="517">
        <v>9.65</v>
      </c>
      <c r="M727" s="517">
        <v>10.31</v>
      </c>
      <c r="N727" s="518">
        <v>0.10299999999999999</v>
      </c>
      <c r="O727" s="518">
        <v>0.1</v>
      </c>
      <c r="P727" s="518">
        <v>0.112</v>
      </c>
      <c r="Q727" s="78">
        <v>0.44</v>
      </c>
      <c r="R727" s="78">
        <v>0.31740000000000002</v>
      </c>
      <c r="S727" s="69">
        <v>2.5000000000000001E-2</v>
      </c>
      <c r="T727" s="69">
        <v>5.0000000000000001E-3</v>
      </c>
      <c r="U727" s="518">
        <v>0.7</v>
      </c>
      <c r="V727" s="76">
        <v>0</v>
      </c>
      <c r="W727" s="76">
        <v>0</v>
      </c>
      <c r="X727" s="76"/>
      <c r="Y727" s="516" t="s">
        <v>470</v>
      </c>
    </row>
    <row r="728" spans="1:25" x14ac:dyDescent="0.25">
      <c r="A728" s="75" t="str">
        <f t="shared" si="27"/>
        <v>Exclusiva PF No_Premier Normal Apoyo Infonavit Pago_Fijo_Puntual 20</v>
      </c>
      <c r="B728" s="75" t="str">
        <f t="shared" si="26"/>
        <v>Exclusiva PF No_Premier Normal Apoyo Infonavit Pago_Fijo_Puntual 20 0.0965</v>
      </c>
      <c r="C728" s="75" t="s">
        <v>116</v>
      </c>
      <c r="D728" s="75" t="s">
        <v>132</v>
      </c>
      <c r="E728" s="75" t="s">
        <v>179</v>
      </c>
      <c r="F728" s="75" t="s">
        <v>180</v>
      </c>
      <c r="G728" s="75" t="s">
        <v>112</v>
      </c>
      <c r="H728" s="75"/>
      <c r="I728" s="75" t="s">
        <v>171</v>
      </c>
      <c r="J728" s="76">
        <v>20</v>
      </c>
      <c r="K728" s="516" t="s">
        <v>385</v>
      </c>
      <c r="L728" s="517">
        <v>9.66</v>
      </c>
      <c r="M728" s="517">
        <v>10.32</v>
      </c>
      <c r="N728" s="518">
        <v>9.6500000000000002E-2</v>
      </c>
      <c r="O728" s="518">
        <v>9.1999999999999998E-2</v>
      </c>
      <c r="P728" s="518">
        <v>0.10249999999999999</v>
      </c>
      <c r="Q728" s="78">
        <v>0.44</v>
      </c>
      <c r="R728" s="78">
        <v>0.31740000000000002</v>
      </c>
      <c r="S728" s="69">
        <v>2.5000000000000001E-2</v>
      </c>
      <c r="T728" s="69">
        <v>5.0000000000000001E-3</v>
      </c>
      <c r="U728" s="518">
        <v>0.7</v>
      </c>
      <c r="V728" s="76">
        <v>0</v>
      </c>
      <c r="W728" s="76">
        <v>0</v>
      </c>
      <c r="X728" s="76"/>
      <c r="Y728" s="516" t="s">
        <v>470</v>
      </c>
    </row>
    <row r="729" spans="1:25" x14ac:dyDescent="0.25">
      <c r="A729" s="75" t="str">
        <f t="shared" si="27"/>
        <v>Exclusiva PF No_Premier Normal Apoyo Infonavit Pago_Fijo_Puntual 20</v>
      </c>
      <c r="B729" s="75" t="str">
        <f t="shared" si="26"/>
        <v>Exclusiva PF No_Premier Normal Apoyo Infonavit Pago_Fijo_Puntual 20 0.103</v>
      </c>
      <c r="C729" s="75" t="s">
        <v>116</v>
      </c>
      <c r="D729" s="75" t="s">
        <v>132</v>
      </c>
      <c r="E729" s="75" t="s">
        <v>179</v>
      </c>
      <c r="F729" s="75" t="s">
        <v>180</v>
      </c>
      <c r="G729" s="75" t="s">
        <v>112</v>
      </c>
      <c r="H729" s="75"/>
      <c r="I729" s="75" t="s">
        <v>171</v>
      </c>
      <c r="J729" s="76">
        <v>20</v>
      </c>
      <c r="K729" s="516" t="s">
        <v>386</v>
      </c>
      <c r="L729" s="517">
        <v>10.16</v>
      </c>
      <c r="M729" s="517">
        <v>10.82</v>
      </c>
      <c r="N729" s="518">
        <v>0.10299999999999999</v>
      </c>
      <c r="O729" s="518">
        <v>0.1</v>
      </c>
      <c r="P729" s="518">
        <v>0.112</v>
      </c>
      <c r="Q729" s="78">
        <v>0.44</v>
      </c>
      <c r="R729" s="78">
        <v>0.31740000000000002</v>
      </c>
      <c r="S729" s="69">
        <v>2.5000000000000001E-2</v>
      </c>
      <c r="T729" s="69">
        <v>5.0000000000000001E-3</v>
      </c>
      <c r="U729" s="518">
        <v>0.7</v>
      </c>
      <c r="V729" s="76">
        <v>0</v>
      </c>
      <c r="W729" s="76">
        <v>0</v>
      </c>
      <c r="X729" s="76"/>
      <c r="Y729" s="516" t="s">
        <v>470</v>
      </c>
    </row>
    <row r="730" spans="1:25" x14ac:dyDescent="0.25">
      <c r="A730" s="75" t="str">
        <f t="shared" si="27"/>
        <v>Exclusiva PF No_Premier Normal Apoyo Infonavit Pago_Fijo_Puntual 15</v>
      </c>
      <c r="B730" s="75" t="str">
        <f t="shared" si="26"/>
        <v>Exclusiva PF No_Premier Normal Apoyo Infonavit Pago_Fijo_Puntual 15 0.0965</v>
      </c>
      <c r="C730" s="75" t="s">
        <v>116</v>
      </c>
      <c r="D730" s="75" t="s">
        <v>132</v>
      </c>
      <c r="E730" s="75" t="s">
        <v>179</v>
      </c>
      <c r="F730" s="75" t="s">
        <v>180</v>
      </c>
      <c r="G730" s="75" t="s">
        <v>112</v>
      </c>
      <c r="H730" s="75"/>
      <c r="I730" s="75" t="s">
        <v>171</v>
      </c>
      <c r="J730" s="76">
        <v>15</v>
      </c>
      <c r="K730" s="516" t="s">
        <v>385</v>
      </c>
      <c r="L730" s="517">
        <v>10.73</v>
      </c>
      <c r="M730" s="517">
        <v>11.39</v>
      </c>
      <c r="N730" s="518">
        <v>9.6500000000000002E-2</v>
      </c>
      <c r="O730" s="518">
        <v>9.1999999999999998E-2</v>
      </c>
      <c r="P730" s="518">
        <v>0.10249999999999999</v>
      </c>
      <c r="Q730" s="78">
        <v>0.44</v>
      </c>
      <c r="R730" s="78">
        <v>0.31740000000000002</v>
      </c>
      <c r="S730" s="69">
        <v>2.5000000000000001E-2</v>
      </c>
      <c r="T730" s="69">
        <v>5.0000000000000001E-3</v>
      </c>
      <c r="U730" s="518">
        <v>0.7</v>
      </c>
      <c r="V730" s="76">
        <v>0</v>
      </c>
      <c r="W730" s="76">
        <v>0</v>
      </c>
      <c r="X730" s="76"/>
      <c r="Y730" s="516" t="s">
        <v>470</v>
      </c>
    </row>
    <row r="731" spans="1:25" x14ac:dyDescent="0.25">
      <c r="A731" s="75" t="str">
        <f t="shared" si="27"/>
        <v>Exclusiva PF No_Premier Normal Apoyo Infonavit Pago_Fijo_Puntual 15</v>
      </c>
      <c r="B731" s="75" t="str">
        <f t="shared" si="26"/>
        <v>Exclusiva PF No_Premier Normal Apoyo Infonavit Pago_Fijo_Puntual 15 0.103</v>
      </c>
      <c r="C731" s="75" t="s">
        <v>116</v>
      </c>
      <c r="D731" s="75" t="s">
        <v>132</v>
      </c>
      <c r="E731" s="75" t="s">
        <v>179</v>
      </c>
      <c r="F731" s="75" t="s">
        <v>180</v>
      </c>
      <c r="G731" s="75" t="s">
        <v>112</v>
      </c>
      <c r="H731" s="75"/>
      <c r="I731" s="75" t="s">
        <v>171</v>
      </c>
      <c r="J731" s="76">
        <v>15</v>
      </c>
      <c r="K731" s="516" t="s">
        <v>386</v>
      </c>
      <c r="L731" s="517">
        <v>11.18</v>
      </c>
      <c r="M731" s="517">
        <v>11.84</v>
      </c>
      <c r="N731" s="518">
        <v>0.10299999999999999</v>
      </c>
      <c r="O731" s="518">
        <v>0.1</v>
      </c>
      <c r="P731" s="518">
        <v>0.112</v>
      </c>
      <c r="Q731" s="78">
        <v>0.44</v>
      </c>
      <c r="R731" s="78">
        <v>0.31740000000000002</v>
      </c>
      <c r="S731" s="69">
        <v>2.5000000000000001E-2</v>
      </c>
      <c r="T731" s="69">
        <v>5.0000000000000001E-3</v>
      </c>
      <c r="U731" s="518">
        <v>0.7</v>
      </c>
      <c r="V731" s="76">
        <v>0</v>
      </c>
      <c r="W731" s="76">
        <v>0</v>
      </c>
      <c r="X731" s="76"/>
      <c r="Y731" s="516" t="s">
        <v>470</v>
      </c>
    </row>
    <row r="732" spans="1:25" x14ac:dyDescent="0.25">
      <c r="A732" s="75" t="str">
        <f t="shared" si="27"/>
        <v>Exclusiva PF No_Premier Normal Apoyo Infonavit Pago_Fijo_Puntual 10</v>
      </c>
      <c r="B732" s="75" t="str">
        <f t="shared" si="26"/>
        <v>Exclusiva PF No_Premier Normal Apoyo Infonavit Pago_Fijo_Puntual 10 0.0965</v>
      </c>
      <c r="C732" s="75" t="s">
        <v>116</v>
      </c>
      <c r="D732" s="75" t="s">
        <v>132</v>
      </c>
      <c r="E732" s="75" t="s">
        <v>179</v>
      </c>
      <c r="F732" s="75" t="s">
        <v>180</v>
      </c>
      <c r="G732" s="75" t="s">
        <v>112</v>
      </c>
      <c r="H732" s="75"/>
      <c r="I732" s="75" t="s">
        <v>171</v>
      </c>
      <c r="J732" s="76">
        <v>10</v>
      </c>
      <c r="K732" s="516" t="s">
        <v>385</v>
      </c>
      <c r="L732" s="517">
        <v>13.16</v>
      </c>
      <c r="M732" s="517">
        <v>13.82</v>
      </c>
      <c r="N732" s="518">
        <v>9.6500000000000002E-2</v>
      </c>
      <c r="O732" s="518">
        <v>9.1999999999999998E-2</v>
      </c>
      <c r="P732" s="518">
        <v>0.10249999999999999</v>
      </c>
      <c r="Q732" s="78">
        <v>0.44</v>
      </c>
      <c r="R732" s="78">
        <v>0.31740000000000002</v>
      </c>
      <c r="S732" s="69">
        <v>2.5000000000000001E-2</v>
      </c>
      <c r="T732" s="69">
        <v>5.0000000000000001E-3</v>
      </c>
      <c r="U732" s="518">
        <v>0.7</v>
      </c>
      <c r="V732" s="76">
        <v>0</v>
      </c>
      <c r="W732" s="76">
        <v>0</v>
      </c>
      <c r="X732" s="76"/>
      <c r="Y732" s="516" t="s">
        <v>470</v>
      </c>
    </row>
    <row r="733" spans="1:25" x14ac:dyDescent="0.25">
      <c r="A733" s="75" t="str">
        <f t="shared" si="27"/>
        <v>Exclusiva PF No_Premier Normal Apoyo Infonavit Pago_Fijo_Puntual 10</v>
      </c>
      <c r="B733" s="75" t="str">
        <f t="shared" si="26"/>
        <v>Exclusiva PF No_Premier Normal Apoyo Infonavit Pago_Fijo_Puntual 10 0.103</v>
      </c>
      <c r="C733" s="75" t="s">
        <v>116</v>
      </c>
      <c r="D733" s="75" t="s">
        <v>132</v>
      </c>
      <c r="E733" s="75" t="s">
        <v>179</v>
      </c>
      <c r="F733" s="75" t="s">
        <v>180</v>
      </c>
      <c r="G733" s="75" t="s">
        <v>112</v>
      </c>
      <c r="H733" s="75"/>
      <c r="I733" s="75" t="s">
        <v>171</v>
      </c>
      <c r="J733" s="76">
        <v>10</v>
      </c>
      <c r="K733" s="516" t="s">
        <v>386</v>
      </c>
      <c r="L733" s="517">
        <v>13.54</v>
      </c>
      <c r="M733" s="517">
        <v>14.2</v>
      </c>
      <c r="N733" s="518">
        <v>0.10299999999999999</v>
      </c>
      <c r="O733" s="518">
        <v>0.1</v>
      </c>
      <c r="P733" s="518">
        <v>0.112</v>
      </c>
      <c r="Q733" s="78">
        <v>0.44</v>
      </c>
      <c r="R733" s="78">
        <v>0.31740000000000002</v>
      </c>
      <c r="S733" s="69">
        <v>2.5000000000000001E-2</v>
      </c>
      <c r="T733" s="69">
        <v>5.0000000000000001E-3</v>
      </c>
      <c r="U733" s="518">
        <v>0.7</v>
      </c>
      <c r="V733" s="76">
        <v>0</v>
      </c>
      <c r="W733" s="76">
        <v>0</v>
      </c>
      <c r="X733" s="76"/>
      <c r="Y733" s="516" t="s">
        <v>470</v>
      </c>
    </row>
    <row r="734" spans="1:25" x14ac:dyDescent="0.25">
      <c r="A734" s="75" t="str">
        <f t="shared" si="27"/>
        <v>Exclusiva PF No_Premier Normal Apoyo Infonavit Pago_Fijo_Puntual 5</v>
      </c>
      <c r="B734" s="75" t="str">
        <f t="shared" si="26"/>
        <v>Exclusiva PF No_Premier Normal Apoyo Infonavit Pago_Fijo_Puntual 5 0.0965</v>
      </c>
      <c r="C734" s="75" t="s">
        <v>116</v>
      </c>
      <c r="D734" s="75" t="s">
        <v>132</v>
      </c>
      <c r="E734" s="75" t="s">
        <v>179</v>
      </c>
      <c r="F734" s="75" t="s">
        <v>180</v>
      </c>
      <c r="G734" s="75" t="s">
        <v>112</v>
      </c>
      <c r="H734" s="75"/>
      <c r="I734" s="75" t="s">
        <v>171</v>
      </c>
      <c r="J734" s="76">
        <v>5</v>
      </c>
      <c r="K734" s="516" t="s">
        <v>385</v>
      </c>
      <c r="L734" s="517">
        <v>21.12</v>
      </c>
      <c r="M734" s="517">
        <v>21.78</v>
      </c>
      <c r="N734" s="518">
        <v>9.6500000000000002E-2</v>
      </c>
      <c r="O734" s="518">
        <v>9.1999999999999998E-2</v>
      </c>
      <c r="P734" s="518">
        <v>0.10249999999999999</v>
      </c>
      <c r="Q734" s="78">
        <v>0.44</v>
      </c>
      <c r="R734" s="78">
        <v>0.31740000000000002</v>
      </c>
      <c r="S734" s="69">
        <v>2.5000000000000001E-2</v>
      </c>
      <c r="T734" s="69">
        <v>5.0000000000000001E-3</v>
      </c>
      <c r="U734" s="518">
        <v>0.7</v>
      </c>
      <c r="V734" s="76">
        <v>0</v>
      </c>
      <c r="W734" s="76">
        <v>0</v>
      </c>
      <c r="X734" s="76"/>
      <c r="Y734" s="516" t="s">
        <v>470</v>
      </c>
    </row>
    <row r="735" spans="1:25" x14ac:dyDescent="0.25">
      <c r="A735" s="75" t="str">
        <f t="shared" si="27"/>
        <v>Exclusiva PF No_Premier Normal Apoyo Infonavit Pago_Fijo_Puntual 5</v>
      </c>
      <c r="B735" s="75" t="str">
        <f t="shared" si="26"/>
        <v>Exclusiva PF No_Premier Normal Apoyo Infonavit Pago_Fijo_Puntual 5 0.103</v>
      </c>
      <c r="C735" s="75" t="s">
        <v>116</v>
      </c>
      <c r="D735" s="75" t="s">
        <v>132</v>
      </c>
      <c r="E735" s="75" t="s">
        <v>179</v>
      </c>
      <c r="F735" s="75" t="s">
        <v>180</v>
      </c>
      <c r="G735" s="75" t="s">
        <v>112</v>
      </c>
      <c r="H735" s="75"/>
      <c r="I735" s="75" t="s">
        <v>171</v>
      </c>
      <c r="J735" s="76">
        <v>5</v>
      </c>
      <c r="K735" s="516" t="s">
        <v>386</v>
      </c>
      <c r="L735" s="517">
        <v>21.44</v>
      </c>
      <c r="M735" s="517">
        <v>22.1</v>
      </c>
      <c r="N735" s="518">
        <v>0.10299999999999999</v>
      </c>
      <c r="O735" s="518">
        <v>0.1</v>
      </c>
      <c r="P735" s="518">
        <v>0.112</v>
      </c>
      <c r="Q735" s="78">
        <v>0.44</v>
      </c>
      <c r="R735" s="78">
        <v>0.31740000000000002</v>
      </c>
      <c r="S735" s="69">
        <v>2.5000000000000001E-2</v>
      </c>
      <c r="T735" s="69">
        <v>5.0000000000000001E-3</v>
      </c>
      <c r="U735" s="518">
        <v>0.7</v>
      </c>
      <c r="V735" s="76">
        <v>0</v>
      </c>
      <c r="W735" s="76">
        <v>0</v>
      </c>
      <c r="X735" s="76"/>
      <c r="Y735" s="516" t="s">
        <v>470</v>
      </c>
    </row>
    <row r="736" spans="1:25" x14ac:dyDescent="0.25">
      <c r="A736" s="75" t="str">
        <f t="shared" si="27"/>
        <v>Exclusiva PF No_Premier Normal Apoyo Infonavit Pago_Bajo_Puntual 25</v>
      </c>
      <c r="B736" s="75" t="str">
        <f t="shared" si="26"/>
        <v>Exclusiva PF No_Premier Normal Apoyo Infonavit Pago_Bajo_Puntual 25 0.0965</v>
      </c>
      <c r="C736" s="75" t="s">
        <v>116</v>
      </c>
      <c r="D736" s="75" t="s">
        <v>132</v>
      </c>
      <c r="E736" s="75" t="s">
        <v>179</v>
      </c>
      <c r="F736" s="75" t="s">
        <v>180</v>
      </c>
      <c r="G736" s="75" t="s">
        <v>112</v>
      </c>
      <c r="H736" s="75"/>
      <c r="I736" s="75" t="s">
        <v>170</v>
      </c>
      <c r="J736" s="523">
        <v>25</v>
      </c>
      <c r="K736" s="516" t="s">
        <v>385</v>
      </c>
      <c r="L736" s="517">
        <v>8.1</v>
      </c>
      <c r="M736" s="517">
        <v>8.76</v>
      </c>
      <c r="N736" s="518">
        <v>9.6500000000000002E-2</v>
      </c>
      <c r="O736" s="518">
        <v>9.1999999999999998E-2</v>
      </c>
      <c r="P736" s="518">
        <v>0.10249999999999999</v>
      </c>
      <c r="Q736" s="78">
        <v>0.44</v>
      </c>
      <c r="R736" s="78">
        <v>0.31740000000000002</v>
      </c>
      <c r="S736" s="69">
        <v>2.5000000000000001E-2</v>
      </c>
      <c r="T736" s="69">
        <v>5.0000000000000001E-3</v>
      </c>
      <c r="U736" s="518">
        <v>0.7</v>
      </c>
      <c r="V736" s="76">
        <v>0</v>
      </c>
      <c r="W736" s="76">
        <v>0</v>
      </c>
      <c r="X736" s="76"/>
      <c r="Y736" s="516" t="s">
        <v>470</v>
      </c>
    </row>
    <row r="737" spans="1:25" x14ac:dyDescent="0.25">
      <c r="A737" s="75" t="str">
        <f t="shared" si="27"/>
        <v>Exclusiva PF No_Premier Normal Apoyo Infonavit Pago_Bajo_Puntual 25</v>
      </c>
      <c r="B737" s="75" t="str">
        <f t="shared" si="26"/>
        <v>Exclusiva PF No_Premier Normal Apoyo Infonavit Pago_Bajo_Puntual 25 0.103</v>
      </c>
      <c r="C737" s="75" t="s">
        <v>116</v>
      </c>
      <c r="D737" s="75" t="s">
        <v>132</v>
      </c>
      <c r="E737" s="75" t="s">
        <v>179</v>
      </c>
      <c r="F737" s="75" t="s">
        <v>180</v>
      </c>
      <c r="G737" s="75" t="s">
        <v>112</v>
      </c>
      <c r="H737" s="75"/>
      <c r="I737" s="75" t="s">
        <v>170</v>
      </c>
      <c r="J737" s="523">
        <v>25</v>
      </c>
      <c r="K737" s="516" t="s">
        <v>386</v>
      </c>
      <c r="L737" s="517">
        <v>8.64</v>
      </c>
      <c r="M737" s="517">
        <v>9.3000000000000007</v>
      </c>
      <c r="N737" s="518">
        <v>0.10299999999999999</v>
      </c>
      <c r="O737" s="518">
        <v>0.1</v>
      </c>
      <c r="P737" s="518">
        <v>0.112</v>
      </c>
      <c r="Q737" s="78">
        <v>0.44</v>
      </c>
      <c r="R737" s="78">
        <v>0.31740000000000002</v>
      </c>
      <c r="S737" s="69">
        <v>2.5000000000000001E-2</v>
      </c>
      <c r="T737" s="69">
        <v>5.0000000000000001E-3</v>
      </c>
      <c r="U737" s="518">
        <v>0.7</v>
      </c>
      <c r="V737" s="76">
        <v>0</v>
      </c>
      <c r="W737" s="76">
        <v>0</v>
      </c>
      <c r="X737" s="76"/>
      <c r="Y737" s="516" t="s">
        <v>470</v>
      </c>
    </row>
    <row r="738" spans="1:25" x14ac:dyDescent="0.25">
      <c r="A738" s="75" t="str">
        <f t="shared" si="27"/>
        <v>Exclusiva PF No_Premier Normal Apoyo Infonavit Pago_Bajo_Puntual 20</v>
      </c>
      <c r="B738" s="75" t="str">
        <f t="shared" si="26"/>
        <v>Exclusiva PF No_Premier Normal Apoyo Infonavit Pago_Bajo_Puntual 20 0.0965</v>
      </c>
      <c r="C738" s="75" t="s">
        <v>116</v>
      </c>
      <c r="D738" s="75" t="s">
        <v>132</v>
      </c>
      <c r="E738" s="75" t="s">
        <v>179</v>
      </c>
      <c r="F738" s="75" t="s">
        <v>180</v>
      </c>
      <c r="G738" s="75" t="s">
        <v>112</v>
      </c>
      <c r="H738" s="75"/>
      <c r="I738" s="75" t="s">
        <v>170</v>
      </c>
      <c r="J738" s="76">
        <v>20</v>
      </c>
      <c r="K738" s="516" t="s">
        <v>385</v>
      </c>
      <c r="L738" s="517">
        <v>8.52</v>
      </c>
      <c r="M738" s="517">
        <v>9.18</v>
      </c>
      <c r="N738" s="518">
        <v>9.6500000000000002E-2</v>
      </c>
      <c r="O738" s="518">
        <v>9.1999999999999998E-2</v>
      </c>
      <c r="P738" s="518">
        <v>0.10249999999999999</v>
      </c>
      <c r="Q738" s="78">
        <v>0.44</v>
      </c>
      <c r="R738" s="78">
        <v>0.31740000000000002</v>
      </c>
      <c r="S738" s="69">
        <v>2.5000000000000001E-2</v>
      </c>
      <c r="T738" s="69">
        <v>5.0000000000000001E-3</v>
      </c>
      <c r="U738" s="518">
        <v>0.7</v>
      </c>
      <c r="V738" s="76">
        <v>0</v>
      </c>
      <c r="W738" s="76">
        <v>0</v>
      </c>
      <c r="X738" s="76"/>
      <c r="Y738" s="516" t="s">
        <v>470</v>
      </c>
    </row>
    <row r="739" spans="1:25" x14ac:dyDescent="0.25">
      <c r="A739" s="75" t="str">
        <f t="shared" si="27"/>
        <v>Exclusiva PF No_Premier Normal Apoyo Infonavit Pago_Bajo_Puntual 20</v>
      </c>
      <c r="B739" s="75" t="str">
        <f t="shared" si="26"/>
        <v>Exclusiva PF No_Premier Normal Apoyo Infonavit Pago_Bajo_Puntual 20 0.103</v>
      </c>
      <c r="C739" s="75" t="s">
        <v>116</v>
      </c>
      <c r="D739" s="75" t="s">
        <v>132</v>
      </c>
      <c r="E739" s="75" t="s">
        <v>179</v>
      </c>
      <c r="F739" s="75" t="s">
        <v>180</v>
      </c>
      <c r="G739" s="75" t="s">
        <v>112</v>
      </c>
      <c r="H739" s="75"/>
      <c r="I739" s="75" t="s">
        <v>170</v>
      </c>
      <c r="J739" s="76">
        <v>20</v>
      </c>
      <c r="K739" s="516" t="s">
        <v>386</v>
      </c>
      <c r="L739" s="517">
        <v>9</v>
      </c>
      <c r="M739" s="517">
        <v>9.66</v>
      </c>
      <c r="N739" s="518">
        <v>0.10299999999999999</v>
      </c>
      <c r="O739" s="518">
        <v>0.1</v>
      </c>
      <c r="P739" s="518">
        <v>0.112</v>
      </c>
      <c r="Q739" s="78">
        <v>0.44</v>
      </c>
      <c r="R739" s="78">
        <v>0.31740000000000002</v>
      </c>
      <c r="S739" s="69">
        <v>2.5000000000000001E-2</v>
      </c>
      <c r="T739" s="69">
        <v>5.0000000000000001E-3</v>
      </c>
      <c r="U739" s="518">
        <v>0.7</v>
      </c>
      <c r="V739" s="76">
        <v>0</v>
      </c>
      <c r="W739" s="76">
        <v>0</v>
      </c>
      <c r="X739" s="76"/>
      <c r="Y739" s="516" t="s">
        <v>470</v>
      </c>
    </row>
    <row r="740" spans="1:25" x14ac:dyDescent="0.25">
      <c r="A740" s="75" t="str">
        <f t="shared" si="27"/>
        <v>Exclusiva PF No_Premier Normal Apoyo Infonavit Pago_Bajo_Puntual 15</v>
      </c>
      <c r="B740" s="75" t="str">
        <f t="shared" si="26"/>
        <v>Exclusiva PF No_Premier Normal Apoyo Infonavit Pago_Bajo_Puntual 15 0.0965</v>
      </c>
      <c r="C740" s="75" t="s">
        <v>116</v>
      </c>
      <c r="D740" s="75" t="s">
        <v>132</v>
      </c>
      <c r="E740" s="75" t="s">
        <v>179</v>
      </c>
      <c r="F740" s="75" t="s">
        <v>180</v>
      </c>
      <c r="G740" s="75" t="s">
        <v>112</v>
      </c>
      <c r="H740" s="75"/>
      <c r="I740" s="75" t="s">
        <v>170</v>
      </c>
      <c r="J740" s="76">
        <v>15</v>
      </c>
      <c r="K740" s="516" t="s">
        <v>385</v>
      </c>
      <c r="L740" s="517">
        <v>9.6999999999999993</v>
      </c>
      <c r="M740" s="517">
        <v>10.36</v>
      </c>
      <c r="N740" s="518">
        <v>9.6500000000000002E-2</v>
      </c>
      <c r="O740" s="518">
        <v>9.1999999999999998E-2</v>
      </c>
      <c r="P740" s="518">
        <v>0.10249999999999999</v>
      </c>
      <c r="Q740" s="78">
        <v>0.44</v>
      </c>
      <c r="R740" s="78">
        <v>0.31740000000000002</v>
      </c>
      <c r="S740" s="69">
        <v>2.5000000000000001E-2</v>
      </c>
      <c r="T740" s="69">
        <v>5.0000000000000001E-3</v>
      </c>
      <c r="U740" s="518">
        <v>0.7</v>
      </c>
      <c r="V740" s="76">
        <v>0</v>
      </c>
      <c r="W740" s="76">
        <v>0</v>
      </c>
      <c r="X740" s="76"/>
      <c r="Y740" s="516" t="s">
        <v>470</v>
      </c>
    </row>
    <row r="741" spans="1:25" x14ac:dyDescent="0.25">
      <c r="A741" s="75" t="str">
        <f t="shared" si="27"/>
        <v>Exclusiva PF No_Premier Normal Apoyo Infonavit Pago_Bajo_Puntual 15</v>
      </c>
      <c r="B741" s="75" t="str">
        <f t="shared" si="26"/>
        <v>Exclusiva PF No_Premier Normal Apoyo Infonavit Pago_Bajo_Puntual 15 0.103</v>
      </c>
      <c r="C741" s="75" t="s">
        <v>116</v>
      </c>
      <c r="D741" s="75" t="s">
        <v>132</v>
      </c>
      <c r="E741" s="75" t="s">
        <v>179</v>
      </c>
      <c r="F741" s="75" t="s">
        <v>180</v>
      </c>
      <c r="G741" s="75" t="s">
        <v>112</v>
      </c>
      <c r="H741" s="75"/>
      <c r="I741" s="75" t="s">
        <v>170</v>
      </c>
      <c r="J741" s="76">
        <v>15</v>
      </c>
      <c r="K741" s="516" t="s">
        <v>386</v>
      </c>
      <c r="L741" s="517">
        <v>10.119999999999999</v>
      </c>
      <c r="M741" s="517">
        <v>10.78</v>
      </c>
      <c r="N741" s="518">
        <v>0.10299999999999999</v>
      </c>
      <c r="O741" s="518">
        <v>0.1</v>
      </c>
      <c r="P741" s="518">
        <v>0.112</v>
      </c>
      <c r="Q741" s="78">
        <v>0.44</v>
      </c>
      <c r="R741" s="78">
        <v>0.31740000000000002</v>
      </c>
      <c r="S741" s="69">
        <v>2.5000000000000001E-2</v>
      </c>
      <c r="T741" s="69">
        <v>5.0000000000000001E-3</v>
      </c>
      <c r="U741" s="518">
        <v>0.7</v>
      </c>
      <c r="V741" s="76">
        <v>0</v>
      </c>
      <c r="W741" s="76">
        <v>0</v>
      </c>
      <c r="X741" s="76"/>
      <c r="Y741" s="516" t="s">
        <v>470</v>
      </c>
    </row>
    <row r="742" spans="1:25" x14ac:dyDescent="0.25">
      <c r="A742" s="75" t="str">
        <f t="shared" si="27"/>
        <v>Exclusiva PF No_Premier Normal Apoyo Infonavit Pago_Bajo_Puntual 10</v>
      </c>
      <c r="B742" s="75" t="str">
        <f t="shared" si="26"/>
        <v>Exclusiva PF No_Premier Normal Apoyo Infonavit Pago_Bajo_Puntual 10 0.0965</v>
      </c>
      <c r="C742" s="75" t="s">
        <v>116</v>
      </c>
      <c r="D742" s="75" t="s">
        <v>132</v>
      </c>
      <c r="E742" s="75" t="s">
        <v>179</v>
      </c>
      <c r="F742" s="75" t="s">
        <v>180</v>
      </c>
      <c r="G742" s="75" t="s">
        <v>112</v>
      </c>
      <c r="H742" s="75"/>
      <c r="I742" s="75" t="s">
        <v>170</v>
      </c>
      <c r="J742" s="76">
        <v>10</v>
      </c>
      <c r="K742" s="516" t="s">
        <v>385</v>
      </c>
      <c r="L742" s="517">
        <v>12.25</v>
      </c>
      <c r="M742" s="517">
        <v>12.91</v>
      </c>
      <c r="N742" s="518">
        <v>9.6500000000000002E-2</v>
      </c>
      <c r="O742" s="518">
        <v>9.1999999999999998E-2</v>
      </c>
      <c r="P742" s="518">
        <v>0.10249999999999999</v>
      </c>
      <c r="Q742" s="78">
        <v>0.44</v>
      </c>
      <c r="R742" s="78">
        <v>0.31740000000000002</v>
      </c>
      <c r="S742" s="69">
        <v>2.5000000000000001E-2</v>
      </c>
      <c r="T742" s="69">
        <v>5.0000000000000001E-3</v>
      </c>
      <c r="U742" s="518">
        <v>0.7</v>
      </c>
      <c r="V742" s="76">
        <v>0</v>
      </c>
      <c r="W742" s="76">
        <v>0</v>
      </c>
      <c r="X742" s="76"/>
      <c r="Y742" s="516" t="s">
        <v>470</v>
      </c>
    </row>
    <row r="743" spans="1:25" x14ac:dyDescent="0.25">
      <c r="A743" s="75" t="str">
        <f t="shared" si="27"/>
        <v>Exclusiva PF No_Premier Normal Apoyo Infonavit Pago_Bajo_Puntual 10</v>
      </c>
      <c r="B743" s="75" t="str">
        <f t="shared" si="26"/>
        <v>Exclusiva PF No_Premier Normal Apoyo Infonavit Pago_Bajo_Puntual 10 0.103</v>
      </c>
      <c r="C743" s="75" t="s">
        <v>116</v>
      </c>
      <c r="D743" s="75" t="s">
        <v>132</v>
      </c>
      <c r="E743" s="75" t="s">
        <v>179</v>
      </c>
      <c r="F743" s="75" t="s">
        <v>180</v>
      </c>
      <c r="G743" s="75" t="s">
        <v>112</v>
      </c>
      <c r="H743" s="75"/>
      <c r="I743" s="75" t="s">
        <v>170</v>
      </c>
      <c r="J743" s="76">
        <v>10</v>
      </c>
      <c r="K743" s="516" t="s">
        <v>386</v>
      </c>
      <c r="L743" s="517">
        <v>12.62</v>
      </c>
      <c r="M743" s="517">
        <v>13.28</v>
      </c>
      <c r="N743" s="518">
        <v>0.10299999999999999</v>
      </c>
      <c r="O743" s="518">
        <v>0.1</v>
      </c>
      <c r="P743" s="518">
        <v>0.112</v>
      </c>
      <c r="Q743" s="78">
        <v>0.44</v>
      </c>
      <c r="R743" s="78">
        <v>0.31740000000000002</v>
      </c>
      <c r="S743" s="69">
        <v>2.5000000000000001E-2</v>
      </c>
      <c r="T743" s="69">
        <v>5.0000000000000001E-3</v>
      </c>
      <c r="U743" s="518">
        <v>0.7</v>
      </c>
      <c r="V743" s="76">
        <v>0</v>
      </c>
      <c r="W743" s="76">
        <v>0</v>
      </c>
      <c r="X743" s="76"/>
      <c r="Y743" s="516" t="s">
        <v>470</v>
      </c>
    </row>
    <row r="744" spans="1:25" x14ac:dyDescent="0.25">
      <c r="A744" s="75" t="str">
        <f t="shared" si="27"/>
        <v>Exclusiva PF No_Premier Normal Apoyo Infonavit Pago_Bajo_Puntual 5</v>
      </c>
      <c r="B744" s="75" t="str">
        <f t="shared" si="26"/>
        <v>Exclusiva PF No_Premier Normal Apoyo Infonavit Pago_Bajo_Puntual 5 0.0965</v>
      </c>
      <c r="C744" s="75" t="s">
        <v>116</v>
      </c>
      <c r="D744" s="75" t="s">
        <v>132</v>
      </c>
      <c r="E744" s="75" t="s">
        <v>179</v>
      </c>
      <c r="F744" s="75" t="s">
        <v>180</v>
      </c>
      <c r="G744" s="75" t="s">
        <v>112</v>
      </c>
      <c r="H744" s="75"/>
      <c r="I744" s="75" t="s">
        <v>170</v>
      </c>
      <c r="J744" s="76">
        <v>5</v>
      </c>
      <c r="K744" s="516" t="s">
        <v>385</v>
      </c>
      <c r="L744" s="517">
        <v>20.399999999999999</v>
      </c>
      <c r="M744" s="517">
        <v>21.06</v>
      </c>
      <c r="N744" s="518">
        <v>9.6500000000000002E-2</v>
      </c>
      <c r="O744" s="518">
        <v>9.1999999999999998E-2</v>
      </c>
      <c r="P744" s="518">
        <v>0.10249999999999999</v>
      </c>
      <c r="Q744" s="78">
        <v>0.44</v>
      </c>
      <c r="R744" s="78">
        <v>0.31740000000000002</v>
      </c>
      <c r="S744" s="69">
        <v>2.5000000000000001E-2</v>
      </c>
      <c r="T744" s="69">
        <v>5.0000000000000001E-3</v>
      </c>
      <c r="U744" s="518">
        <v>0.7</v>
      </c>
      <c r="V744" s="76">
        <v>0</v>
      </c>
      <c r="W744" s="76">
        <v>0</v>
      </c>
      <c r="X744" s="76"/>
      <c r="Y744" s="516" t="s">
        <v>470</v>
      </c>
    </row>
    <row r="745" spans="1:25" x14ac:dyDescent="0.25">
      <c r="A745" s="75" t="str">
        <f t="shared" si="27"/>
        <v>Exclusiva PF No_Premier Normal Apoyo Infonavit Pago_Bajo_Puntual 5</v>
      </c>
      <c r="B745" s="75" t="str">
        <f t="shared" si="26"/>
        <v>Exclusiva PF No_Premier Normal Apoyo Infonavit Pago_Bajo_Puntual 5 0.103</v>
      </c>
      <c r="C745" s="75" t="s">
        <v>116</v>
      </c>
      <c r="D745" s="75" t="s">
        <v>132</v>
      </c>
      <c r="E745" s="75" t="s">
        <v>179</v>
      </c>
      <c r="F745" s="75" t="s">
        <v>180</v>
      </c>
      <c r="G745" s="75" t="s">
        <v>112</v>
      </c>
      <c r="H745" s="75"/>
      <c r="I745" s="75" t="s">
        <v>170</v>
      </c>
      <c r="J745" s="76">
        <v>5</v>
      </c>
      <c r="K745" s="516" t="s">
        <v>386</v>
      </c>
      <c r="L745" s="517">
        <v>20.72</v>
      </c>
      <c r="M745" s="517">
        <v>21.38</v>
      </c>
      <c r="N745" s="518">
        <v>0.10299999999999999</v>
      </c>
      <c r="O745" s="518">
        <v>0.1</v>
      </c>
      <c r="P745" s="518">
        <v>0.112</v>
      </c>
      <c r="Q745" s="78">
        <v>0.44</v>
      </c>
      <c r="R745" s="78">
        <v>0.31740000000000002</v>
      </c>
      <c r="S745" s="69">
        <v>2.5000000000000001E-2</v>
      </c>
      <c r="T745" s="69">
        <v>5.0000000000000001E-3</v>
      </c>
      <c r="U745" s="518">
        <v>0.7</v>
      </c>
      <c r="V745" s="76">
        <v>0</v>
      </c>
      <c r="W745" s="76">
        <v>0</v>
      </c>
      <c r="X745" s="76"/>
      <c r="Y745" s="516" t="s">
        <v>470</v>
      </c>
    </row>
    <row r="746" spans="1:25" x14ac:dyDescent="0.25">
      <c r="A746" s="75" t="str">
        <f t="shared" si="27"/>
        <v>Exclusiva PF No_Premier Normal Cofinavit Pago_Fijo_Puntual Si 25</v>
      </c>
      <c r="B746" s="75" t="str">
        <f t="shared" si="26"/>
        <v>Exclusiva PF No_Premier Normal Cofinavit Pago_Fijo_Puntual Si 25 0.103</v>
      </c>
      <c r="C746" s="75" t="s">
        <v>116</v>
      </c>
      <c r="D746" s="75" t="s">
        <v>132</v>
      </c>
      <c r="E746" s="75" t="s">
        <v>179</v>
      </c>
      <c r="F746" s="75" t="s">
        <v>180</v>
      </c>
      <c r="G746" s="75" t="s">
        <v>113</v>
      </c>
      <c r="H746" s="75"/>
      <c r="I746" s="75" t="s">
        <v>171</v>
      </c>
      <c r="J746" s="76">
        <v>25</v>
      </c>
      <c r="K746" s="519" t="s">
        <v>387</v>
      </c>
      <c r="L746" s="520">
        <v>9.65</v>
      </c>
      <c r="M746" s="520">
        <v>10.31</v>
      </c>
      <c r="N746" s="507">
        <v>0.10299999999999999</v>
      </c>
      <c r="O746" s="507">
        <v>0.1</v>
      </c>
      <c r="P746" s="507">
        <v>0.112</v>
      </c>
      <c r="Q746" s="78">
        <v>0.44</v>
      </c>
      <c r="R746" s="78">
        <v>0.31740000000000002</v>
      </c>
      <c r="S746" s="69">
        <v>2.5000000000000001E-2</v>
      </c>
      <c r="T746" s="69">
        <v>5.0000000000000001E-3</v>
      </c>
      <c r="U746" s="507">
        <v>0.95</v>
      </c>
      <c r="V746" s="76">
        <v>0</v>
      </c>
      <c r="W746" s="76">
        <v>0</v>
      </c>
      <c r="X746" s="76" t="s">
        <v>147</v>
      </c>
      <c r="Y746" s="519" t="s">
        <v>469</v>
      </c>
    </row>
    <row r="747" spans="1:25" x14ac:dyDescent="0.25">
      <c r="A747" s="75" t="str">
        <f t="shared" si="27"/>
        <v>Exclusiva PF No_Premier Normal Cofinavit Pago_Fijo_Puntual 25</v>
      </c>
      <c r="B747" s="75" t="str">
        <f t="shared" si="26"/>
        <v>Exclusiva PF No_Premier Normal Cofinavit Pago_Fijo_Puntual 25 0.106</v>
      </c>
      <c r="C747" s="75" t="s">
        <v>116</v>
      </c>
      <c r="D747" s="75" t="s">
        <v>132</v>
      </c>
      <c r="E747" s="75" t="s">
        <v>179</v>
      </c>
      <c r="F747" s="75" t="s">
        <v>180</v>
      </c>
      <c r="G747" s="75" t="s">
        <v>113</v>
      </c>
      <c r="H747" s="75"/>
      <c r="I747" s="75" t="s">
        <v>171</v>
      </c>
      <c r="J747" s="76">
        <v>25</v>
      </c>
      <c r="K747" s="519">
        <v>3</v>
      </c>
      <c r="L747" s="520">
        <v>9.93</v>
      </c>
      <c r="M747" s="520">
        <v>10.59</v>
      </c>
      <c r="N747" s="507">
        <v>0.106</v>
      </c>
      <c r="O747" s="507">
        <v>0.10299999999999999</v>
      </c>
      <c r="P747" s="507">
        <v>0.11799999999999999</v>
      </c>
      <c r="Q747" s="78">
        <v>0.44</v>
      </c>
      <c r="R747" s="78">
        <v>0.31740000000000002</v>
      </c>
      <c r="S747" s="69">
        <v>2.5000000000000001E-2</v>
      </c>
      <c r="T747" s="69">
        <v>5.0000000000000001E-3</v>
      </c>
      <c r="U747" s="507">
        <v>0.95</v>
      </c>
      <c r="V747" s="76">
        <v>0</v>
      </c>
      <c r="W747" s="76">
        <v>0</v>
      </c>
      <c r="X747" s="76"/>
      <c r="Y747" s="519" t="s">
        <v>469</v>
      </c>
    </row>
    <row r="748" spans="1:25" x14ac:dyDescent="0.25">
      <c r="A748" s="75" t="str">
        <f t="shared" si="27"/>
        <v>Exclusiva PF No_Premier Normal Cofinavit Pago_Fijo_Puntual Si 20</v>
      </c>
      <c r="B748" s="75" t="str">
        <f t="shared" si="26"/>
        <v>Exclusiva PF No_Premier Normal Cofinavit Pago_Fijo_Puntual Si 20 0.103</v>
      </c>
      <c r="C748" s="75" t="s">
        <v>116</v>
      </c>
      <c r="D748" s="75" t="s">
        <v>132</v>
      </c>
      <c r="E748" s="75" t="s">
        <v>179</v>
      </c>
      <c r="F748" s="75" t="s">
        <v>180</v>
      </c>
      <c r="G748" s="75" t="s">
        <v>113</v>
      </c>
      <c r="H748" s="75"/>
      <c r="I748" s="75" t="s">
        <v>171</v>
      </c>
      <c r="J748" s="76">
        <v>20</v>
      </c>
      <c r="K748" s="519" t="s">
        <v>387</v>
      </c>
      <c r="L748" s="520">
        <v>10.16</v>
      </c>
      <c r="M748" s="520">
        <v>10.82</v>
      </c>
      <c r="N748" s="507">
        <v>0.10299999999999999</v>
      </c>
      <c r="O748" s="507">
        <v>0.1</v>
      </c>
      <c r="P748" s="507">
        <v>0.112</v>
      </c>
      <c r="Q748" s="78">
        <v>0.44</v>
      </c>
      <c r="R748" s="78">
        <v>0.31740000000000002</v>
      </c>
      <c r="S748" s="69">
        <v>2.5000000000000001E-2</v>
      </c>
      <c r="T748" s="69">
        <v>5.0000000000000001E-3</v>
      </c>
      <c r="U748" s="507">
        <v>0.95</v>
      </c>
      <c r="V748" s="76">
        <v>0</v>
      </c>
      <c r="W748" s="76">
        <v>0</v>
      </c>
      <c r="X748" s="76" t="s">
        <v>147</v>
      </c>
      <c r="Y748" s="519" t="s">
        <v>469</v>
      </c>
    </row>
    <row r="749" spans="1:25" x14ac:dyDescent="0.25">
      <c r="A749" s="75" t="str">
        <f t="shared" si="27"/>
        <v>Exclusiva PF No_Premier Normal Cofinavit Pago_Fijo_Puntual 20</v>
      </c>
      <c r="B749" s="75" t="str">
        <f t="shared" si="26"/>
        <v>Exclusiva PF No_Premier Normal Cofinavit Pago_Fijo_Puntual 20 0.106</v>
      </c>
      <c r="C749" s="75" t="s">
        <v>116</v>
      </c>
      <c r="D749" s="75" t="s">
        <v>132</v>
      </c>
      <c r="E749" s="75" t="s">
        <v>179</v>
      </c>
      <c r="F749" s="75" t="s">
        <v>180</v>
      </c>
      <c r="G749" s="75" t="s">
        <v>113</v>
      </c>
      <c r="H749" s="75"/>
      <c r="I749" s="75" t="s">
        <v>171</v>
      </c>
      <c r="J749" s="76">
        <v>20</v>
      </c>
      <c r="K749" s="519">
        <v>3</v>
      </c>
      <c r="L749" s="520">
        <v>10.41</v>
      </c>
      <c r="M749" s="520">
        <v>11.07</v>
      </c>
      <c r="N749" s="507">
        <v>0.106</v>
      </c>
      <c r="O749" s="507">
        <v>0.10299999999999999</v>
      </c>
      <c r="P749" s="507">
        <v>0.11799999999999999</v>
      </c>
      <c r="Q749" s="78">
        <v>0.44</v>
      </c>
      <c r="R749" s="78">
        <v>0.31740000000000002</v>
      </c>
      <c r="S749" s="69">
        <v>2.5000000000000001E-2</v>
      </c>
      <c r="T749" s="69">
        <v>5.0000000000000001E-3</v>
      </c>
      <c r="U749" s="507">
        <v>0.95</v>
      </c>
      <c r="V749" s="76">
        <v>0</v>
      </c>
      <c r="W749" s="76">
        <v>0</v>
      </c>
      <c r="X749" s="76"/>
      <c r="Y749" s="519" t="s">
        <v>469</v>
      </c>
    </row>
    <row r="750" spans="1:25" x14ac:dyDescent="0.25">
      <c r="A750" s="75" t="str">
        <f t="shared" si="27"/>
        <v>Exclusiva PF No_Premier Normal Cofinavit Pago_Fijo_Puntual Si 15</v>
      </c>
      <c r="B750" s="75" t="str">
        <f t="shared" si="26"/>
        <v>Exclusiva PF No_Premier Normal Cofinavit Pago_Fijo_Puntual Si 15 0.103</v>
      </c>
      <c r="C750" s="75" t="s">
        <v>116</v>
      </c>
      <c r="D750" s="75" t="s">
        <v>132</v>
      </c>
      <c r="E750" s="75" t="s">
        <v>179</v>
      </c>
      <c r="F750" s="75" t="s">
        <v>180</v>
      </c>
      <c r="G750" s="75" t="s">
        <v>113</v>
      </c>
      <c r="H750" s="75"/>
      <c r="I750" s="75" t="s">
        <v>171</v>
      </c>
      <c r="J750" s="76">
        <v>15</v>
      </c>
      <c r="K750" s="519" t="s">
        <v>387</v>
      </c>
      <c r="L750" s="520">
        <v>11.18</v>
      </c>
      <c r="M750" s="520">
        <v>11.84</v>
      </c>
      <c r="N750" s="507">
        <v>0.10299999999999999</v>
      </c>
      <c r="O750" s="507">
        <v>0.1</v>
      </c>
      <c r="P750" s="507">
        <v>0.112</v>
      </c>
      <c r="Q750" s="78">
        <v>0.44</v>
      </c>
      <c r="R750" s="78">
        <v>0.31740000000000002</v>
      </c>
      <c r="S750" s="69">
        <v>2.5000000000000001E-2</v>
      </c>
      <c r="T750" s="69">
        <v>5.0000000000000001E-3</v>
      </c>
      <c r="U750" s="507">
        <v>0.95</v>
      </c>
      <c r="V750" s="76">
        <v>0</v>
      </c>
      <c r="W750" s="76">
        <v>0</v>
      </c>
      <c r="X750" s="76" t="s">
        <v>147</v>
      </c>
      <c r="Y750" s="519" t="s">
        <v>469</v>
      </c>
    </row>
    <row r="751" spans="1:25" x14ac:dyDescent="0.25">
      <c r="A751" s="75" t="str">
        <f t="shared" si="27"/>
        <v>Exclusiva PF No_Premier Normal Cofinavit Pago_Fijo_Puntual 15</v>
      </c>
      <c r="B751" s="75" t="str">
        <f t="shared" si="26"/>
        <v>Exclusiva PF No_Premier Normal Cofinavit Pago_Fijo_Puntual 15 0.106</v>
      </c>
      <c r="C751" s="75" t="s">
        <v>116</v>
      </c>
      <c r="D751" s="75" t="s">
        <v>132</v>
      </c>
      <c r="E751" s="75" t="s">
        <v>179</v>
      </c>
      <c r="F751" s="75" t="s">
        <v>180</v>
      </c>
      <c r="G751" s="75" t="s">
        <v>113</v>
      </c>
      <c r="H751" s="75"/>
      <c r="I751" s="75" t="s">
        <v>171</v>
      </c>
      <c r="J751" s="76">
        <v>15</v>
      </c>
      <c r="K751" s="519">
        <v>3</v>
      </c>
      <c r="L751" s="520">
        <v>11.39</v>
      </c>
      <c r="M751" s="520">
        <v>12.05</v>
      </c>
      <c r="N751" s="507">
        <v>0.106</v>
      </c>
      <c r="O751" s="507">
        <v>0.10299999999999999</v>
      </c>
      <c r="P751" s="507">
        <v>0.11799999999999999</v>
      </c>
      <c r="Q751" s="78">
        <v>0.44</v>
      </c>
      <c r="R751" s="78">
        <v>0.31740000000000002</v>
      </c>
      <c r="S751" s="69">
        <v>2.5000000000000001E-2</v>
      </c>
      <c r="T751" s="69">
        <v>5.0000000000000001E-3</v>
      </c>
      <c r="U751" s="507">
        <v>0.95</v>
      </c>
      <c r="V751" s="76">
        <v>0</v>
      </c>
      <c r="W751" s="76">
        <v>0</v>
      </c>
      <c r="X751" s="76"/>
      <c r="Y751" s="519" t="s">
        <v>469</v>
      </c>
    </row>
    <row r="752" spans="1:25" x14ac:dyDescent="0.25">
      <c r="A752" s="75" t="str">
        <f t="shared" si="27"/>
        <v>Exclusiva PF No_Premier Normal Cofinavit Pago_Fijo_Puntual Si 10</v>
      </c>
      <c r="B752" s="75" t="str">
        <f t="shared" si="26"/>
        <v>Exclusiva PF No_Premier Normal Cofinavit Pago_Fijo_Puntual Si 10 0.103</v>
      </c>
      <c r="C752" s="75" t="s">
        <v>116</v>
      </c>
      <c r="D752" s="75" t="s">
        <v>132</v>
      </c>
      <c r="E752" s="75" t="s">
        <v>179</v>
      </c>
      <c r="F752" s="75" t="s">
        <v>180</v>
      </c>
      <c r="G752" s="75" t="s">
        <v>113</v>
      </c>
      <c r="H752" s="75"/>
      <c r="I752" s="75" t="s">
        <v>171</v>
      </c>
      <c r="J752" s="76">
        <v>10</v>
      </c>
      <c r="K752" s="519" t="s">
        <v>387</v>
      </c>
      <c r="L752" s="520">
        <v>13.54</v>
      </c>
      <c r="M752" s="520">
        <v>14.2</v>
      </c>
      <c r="N752" s="507">
        <v>0.10299999999999999</v>
      </c>
      <c r="O752" s="507">
        <v>0.1</v>
      </c>
      <c r="P752" s="507">
        <v>0.112</v>
      </c>
      <c r="Q752" s="78">
        <v>0.44</v>
      </c>
      <c r="R752" s="78">
        <v>0.31740000000000002</v>
      </c>
      <c r="S752" s="69">
        <v>2.5000000000000001E-2</v>
      </c>
      <c r="T752" s="69">
        <v>5.0000000000000001E-3</v>
      </c>
      <c r="U752" s="507">
        <v>0.95</v>
      </c>
      <c r="V752" s="76">
        <v>0</v>
      </c>
      <c r="W752" s="76">
        <v>0</v>
      </c>
      <c r="X752" s="76" t="s">
        <v>147</v>
      </c>
      <c r="Y752" s="519" t="s">
        <v>469</v>
      </c>
    </row>
    <row r="753" spans="1:25" x14ac:dyDescent="0.25">
      <c r="A753" s="75" t="str">
        <f t="shared" si="27"/>
        <v>Exclusiva PF No_Premier Normal Cofinavit Pago_Fijo_Puntual 10</v>
      </c>
      <c r="B753" s="75" t="str">
        <f t="shared" si="26"/>
        <v>Exclusiva PF No_Premier Normal Cofinavit Pago_Fijo_Puntual 10 0.106</v>
      </c>
      <c r="C753" s="75" t="s">
        <v>116</v>
      </c>
      <c r="D753" s="75" t="s">
        <v>132</v>
      </c>
      <c r="E753" s="75" t="s">
        <v>179</v>
      </c>
      <c r="F753" s="75" t="s">
        <v>180</v>
      </c>
      <c r="G753" s="75" t="s">
        <v>113</v>
      </c>
      <c r="H753" s="75"/>
      <c r="I753" s="75" t="s">
        <v>171</v>
      </c>
      <c r="J753" s="76">
        <v>10</v>
      </c>
      <c r="K753" s="519">
        <v>3</v>
      </c>
      <c r="L753" s="520">
        <v>13.71</v>
      </c>
      <c r="M753" s="520">
        <v>14.37</v>
      </c>
      <c r="N753" s="507">
        <v>0.106</v>
      </c>
      <c r="O753" s="507">
        <v>0.10299999999999999</v>
      </c>
      <c r="P753" s="507">
        <v>0.11799999999999999</v>
      </c>
      <c r="Q753" s="78">
        <v>0.44</v>
      </c>
      <c r="R753" s="78">
        <v>0.31740000000000002</v>
      </c>
      <c r="S753" s="69">
        <v>2.5000000000000001E-2</v>
      </c>
      <c r="T753" s="69">
        <v>5.0000000000000001E-3</v>
      </c>
      <c r="U753" s="507">
        <v>0.95</v>
      </c>
      <c r="V753" s="76">
        <v>0</v>
      </c>
      <c r="W753" s="76">
        <v>0</v>
      </c>
      <c r="X753" s="76"/>
      <c r="Y753" s="519" t="s">
        <v>469</v>
      </c>
    </row>
    <row r="754" spans="1:25" x14ac:dyDescent="0.25">
      <c r="A754" s="75" t="str">
        <f t="shared" si="27"/>
        <v>Exclusiva PF No_Premier Normal Cofinavit Pago_Fijo_Puntual Si 5</v>
      </c>
      <c r="B754" s="75" t="str">
        <f t="shared" si="26"/>
        <v>Exclusiva PF No_Premier Normal Cofinavit Pago_Fijo_Puntual Si 5 0.103</v>
      </c>
      <c r="C754" s="75" t="s">
        <v>116</v>
      </c>
      <c r="D754" s="75" t="s">
        <v>132</v>
      </c>
      <c r="E754" s="75" t="s">
        <v>179</v>
      </c>
      <c r="F754" s="75" t="s">
        <v>180</v>
      </c>
      <c r="G754" s="75" t="s">
        <v>113</v>
      </c>
      <c r="H754" s="75"/>
      <c r="I754" s="75" t="s">
        <v>171</v>
      </c>
      <c r="J754" s="76">
        <v>5</v>
      </c>
      <c r="K754" s="519" t="s">
        <v>387</v>
      </c>
      <c r="L754" s="520">
        <v>21.44</v>
      </c>
      <c r="M754" s="520">
        <v>22.1</v>
      </c>
      <c r="N754" s="507">
        <v>0.10299999999999999</v>
      </c>
      <c r="O754" s="507">
        <v>0.1</v>
      </c>
      <c r="P754" s="507">
        <v>0.112</v>
      </c>
      <c r="Q754" s="78">
        <v>0.44</v>
      </c>
      <c r="R754" s="78">
        <v>0.31740000000000002</v>
      </c>
      <c r="S754" s="69">
        <v>2.5000000000000001E-2</v>
      </c>
      <c r="T754" s="69">
        <v>5.0000000000000001E-3</v>
      </c>
      <c r="U754" s="507">
        <v>0.95</v>
      </c>
      <c r="V754" s="76">
        <v>0</v>
      </c>
      <c r="W754" s="76">
        <v>0</v>
      </c>
      <c r="X754" s="76" t="s">
        <v>147</v>
      </c>
      <c r="Y754" s="519" t="s">
        <v>469</v>
      </c>
    </row>
    <row r="755" spans="1:25" x14ac:dyDescent="0.25">
      <c r="A755" s="75" t="str">
        <f t="shared" si="27"/>
        <v>Exclusiva PF No_Premier Normal Cofinavit Pago_Fijo_Puntual 5</v>
      </c>
      <c r="B755" s="75" t="str">
        <f t="shared" si="26"/>
        <v>Exclusiva PF No_Premier Normal Cofinavit Pago_Fijo_Puntual 5 0.106</v>
      </c>
      <c r="C755" s="75" t="s">
        <v>116</v>
      </c>
      <c r="D755" s="75" t="s">
        <v>132</v>
      </c>
      <c r="E755" s="75" t="s">
        <v>179</v>
      </c>
      <c r="F755" s="75" t="s">
        <v>180</v>
      </c>
      <c r="G755" s="75" t="s">
        <v>113</v>
      </c>
      <c r="H755" s="75"/>
      <c r="I755" s="75" t="s">
        <v>171</v>
      </c>
      <c r="J755" s="76">
        <v>5</v>
      </c>
      <c r="K755" s="519">
        <v>3</v>
      </c>
      <c r="L755" s="520">
        <v>21.59</v>
      </c>
      <c r="M755" s="520">
        <v>22.25</v>
      </c>
      <c r="N755" s="507">
        <v>0.106</v>
      </c>
      <c r="O755" s="507">
        <v>0.10299999999999999</v>
      </c>
      <c r="P755" s="507">
        <v>0.11799999999999999</v>
      </c>
      <c r="Q755" s="78">
        <v>0.44</v>
      </c>
      <c r="R755" s="78">
        <v>0.31740000000000002</v>
      </c>
      <c r="S755" s="69">
        <v>2.5000000000000001E-2</v>
      </c>
      <c r="T755" s="69">
        <v>5.0000000000000001E-3</v>
      </c>
      <c r="U755" s="507">
        <v>0.95</v>
      </c>
      <c r="V755" s="76">
        <v>0</v>
      </c>
      <c r="W755" s="76">
        <v>0</v>
      </c>
      <c r="X755" s="76"/>
      <c r="Y755" s="519" t="s">
        <v>469</v>
      </c>
    </row>
    <row r="756" spans="1:25" x14ac:dyDescent="0.25">
      <c r="A756" s="75" t="str">
        <f t="shared" si="27"/>
        <v>Exclusiva PF No_Premier Normal Cofinavit Pago_Bajo_Puntual Si 25</v>
      </c>
      <c r="B756" s="75" t="str">
        <f t="shared" si="26"/>
        <v>Exclusiva PF No_Premier Normal Cofinavit Pago_Bajo_Puntual Si 25 0.103</v>
      </c>
      <c r="C756" s="75" t="s">
        <v>116</v>
      </c>
      <c r="D756" s="75" t="s">
        <v>132</v>
      </c>
      <c r="E756" s="75" t="s">
        <v>179</v>
      </c>
      <c r="F756" s="75" t="s">
        <v>180</v>
      </c>
      <c r="G756" s="75" t="s">
        <v>113</v>
      </c>
      <c r="H756" s="75"/>
      <c r="I756" s="75" t="s">
        <v>170</v>
      </c>
      <c r="J756" s="523">
        <v>25</v>
      </c>
      <c r="K756" s="519" t="s">
        <v>387</v>
      </c>
      <c r="L756" s="525">
        <v>8.64</v>
      </c>
      <c r="M756" s="525">
        <v>9.3000000000000007</v>
      </c>
      <c r="N756" s="507">
        <v>0.10299999999999999</v>
      </c>
      <c r="O756" s="507">
        <v>0.1</v>
      </c>
      <c r="P756" s="507">
        <v>0.112</v>
      </c>
      <c r="Q756" s="78">
        <v>0.44</v>
      </c>
      <c r="R756" s="78">
        <v>0.31740000000000002</v>
      </c>
      <c r="S756" s="69">
        <v>2.5000000000000001E-2</v>
      </c>
      <c r="T756" s="69">
        <v>5.0000000000000001E-3</v>
      </c>
      <c r="U756" s="507">
        <v>0.95</v>
      </c>
      <c r="V756" s="76">
        <v>0</v>
      </c>
      <c r="W756" s="76">
        <v>0</v>
      </c>
      <c r="X756" s="76" t="s">
        <v>147</v>
      </c>
      <c r="Y756" s="519" t="s">
        <v>469</v>
      </c>
    </row>
    <row r="757" spans="1:25" x14ac:dyDescent="0.25">
      <c r="A757" s="75" t="str">
        <f t="shared" si="27"/>
        <v>Exclusiva PF No_Premier Normal Cofinavit Pago_Bajo_Puntual 25</v>
      </c>
      <c r="B757" s="75" t="str">
        <f t="shared" si="26"/>
        <v>Exclusiva PF No_Premier Normal Cofinavit Pago_Bajo_Puntual 25 0.106</v>
      </c>
      <c r="C757" s="75" t="s">
        <v>116</v>
      </c>
      <c r="D757" s="75" t="s">
        <v>132</v>
      </c>
      <c r="E757" s="75" t="s">
        <v>179</v>
      </c>
      <c r="F757" s="75" t="s">
        <v>180</v>
      </c>
      <c r="G757" s="75" t="s">
        <v>113</v>
      </c>
      <c r="H757" s="75"/>
      <c r="I757" s="75" t="s">
        <v>170</v>
      </c>
      <c r="J757" s="523">
        <v>25</v>
      </c>
      <c r="K757" s="519">
        <v>3</v>
      </c>
      <c r="L757" s="525">
        <v>8.89</v>
      </c>
      <c r="M757" s="525">
        <v>9.5500000000000007</v>
      </c>
      <c r="N757" s="507">
        <v>0.106</v>
      </c>
      <c r="O757" s="507">
        <v>0.10299999999999999</v>
      </c>
      <c r="P757" s="507">
        <v>0.11799999999999999</v>
      </c>
      <c r="Q757" s="78">
        <v>0.44</v>
      </c>
      <c r="R757" s="78">
        <v>0.31740000000000002</v>
      </c>
      <c r="S757" s="69">
        <v>2.5000000000000001E-2</v>
      </c>
      <c r="T757" s="69">
        <v>5.0000000000000001E-3</v>
      </c>
      <c r="U757" s="507">
        <v>0.95</v>
      </c>
      <c r="V757" s="76">
        <v>0</v>
      </c>
      <c r="W757" s="76">
        <v>0</v>
      </c>
      <c r="X757" s="76"/>
      <c r="Y757" s="519" t="s">
        <v>469</v>
      </c>
    </row>
    <row r="758" spans="1:25" x14ac:dyDescent="0.25">
      <c r="A758" s="75" t="str">
        <f t="shared" si="27"/>
        <v>Exclusiva PF No_Premier Normal Cofinavit Pago_Bajo_Puntual Si 20</v>
      </c>
      <c r="B758" s="75" t="str">
        <f t="shared" si="26"/>
        <v>Exclusiva PF No_Premier Normal Cofinavit Pago_Bajo_Puntual Si 20 0.103</v>
      </c>
      <c r="C758" s="75" t="s">
        <v>116</v>
      </c>
      <c r="D758" s="75" t="s">
        <v>132</v>
      </c>
      <c r="E758" s="75" t="s">
        <v>179</v>
      </c>
      <c r="F758" s="75" t="s">
        <v>180</v>
      </c>
      <c r="G758" s="75" t="s">
        <v>113</v>
      </c>
      <c r="H758" s="75"/>
      <c r="I758" s="75" t="s">
        <v>170</v>
      </c>
      <c r="J758" s="76">
        <v>20</v>
      </c>
      <c r="K758" s="519" t="s">
        <v>387</v>
      </c>
      <c r="L758" s="520">
        <v>9</v>
      </c>
      <c r="M758" s="520">
        <v>9.66</v>
      </c>
      <c r="N758" s="507">
        <v>0.10299999999999999</v>
      </c>
      <c r="O758" s="507">
        <v>0.1</v>
      </c>
      <c r="P758" s="507">
        <v>0.112</v>
      </c>
      <c r="Q758" s="78">
        <v>0.44</v>
      </c>
      <c r="R758" s="78">
        <v>0.31740000000000002</v>
      </c>
      <c r="S758" s="69">
        <v>2.5000000000000001E-2</v>
      </c>
      <c r="T758" s="69">
        <v>5.0000000000000001E-3</v>
      </c>
      <c r="U758" s="507">
        <v>0.95</v>
      </c>
      <c r="V758" s="76">
        <v>0</v>
      </c>
      <c r="W758" s="76">
        <v>0</v>
      </c>
      <c r="X758" s="76" t="s">
        <v>147</v>
      </c>
      <c r="Y758" s="519" t="s">
        <v>469</v>
      </c>
    </row>
    <row r="759" spans="1:25" x14ac:dyDescent="0.25">
      <c r="A759" s="75" t="str">
        <f t="shared" si="27"/>
        <v>Exclusiva PF No_Premier Normal Cofinavit Pago_Bajo_Puntual 20</v>
      </c>
      <c r="B759" s="75" t="str">
        <f t="shared" si="26"/>
        <v>Exclusiva PF No_Premier Normal Cofinavit Pago_Bajo_Puntual 20 0.106</v>
      </c>
      <c r="C759" s="75" t="s">
        <v>116</v>
      </c>
      <c r="D759" s="75" t="s">
        <v>132</v>
      </c>
      <c r="E759" s="75" t="s">
        <v>179</v>
      </c>
      <c r="F759" s="75" t="s">
        <v>180</v>
      </c>
      <c r="G759" s="75" t="s">
        <v>113</v>
      </c>
      <c r="H759" s="75"/>
      <c r="I759" s="75" t="s">
        <v>170</v>
      </c>
      <c r="J759" s="76">
        <v>20</v>
      </c>
      <c r="K759" s="519">
        <v>3</v>
      </c>
      <c r="L759" s="520">
        <v>9.24</v>
      </c>
      <c r="M759" s="520">
        <v>9.9</v>
      </c>
      <c r="N759" s="507">
        <v>0.106</v>
      </c>
      <c r="O759" s="507">
        <v>0.10299999999999999</v>
      </c>
      <c r="P759" s="507">
        <v>0.11799999999999999</v>
      </c>
      <c r="Q759" s="78">
        <v>0.44</v>
      </c>
      <c r="R759" s="78">
        <v>0.31740000000000002</v>
      </c>
      <c r="S759" s="69">
        <v>2.5000000000000001E-2</v>
      </c>
      <c r="T759" s="69">
        <v>5.0000000000000001E-3</v>
      </c>
      <c r="U759" s="507">
        <v>0.95</v>
      </c>
      <c r="V759" s="76">
        <v>0</v>
      </c>
      <c r="W759" s="76">
        <v>0</v>
      </c>
      <c r="X759" s="76"/>
      <c r="Y759" s="519" t="s">
        <v>469</v>
      </c>
    </row>
    <row r="760" spans="1:25" x14ac:dyDescent="0.25">
      <c r="A760" s="75" t="str">
        <f t="shared" si="27"/>
        <v>Exclusiva PF No_Premier Normal Cofinavit Pago_Bajo_Puntual Si 15</v>
      </c>
      <c r="B760" s="75" t="str">
        <f t="shared" si="26"/>
        <v>Exclusiva PF No_Premier Normal Cofinavit Pago_Bajo_Puntual Si 15 0.103</v>
      </c>
      <c r="C760" s="75" t="s">
        <v>116</v>
      </c>
      <c r="D760" s="75" t="s">
        <v>132</v>
      </c>
      <c r="E760" s="75" t="s">
        <v>179</v>
      </c>
      <c r="F760" s="75" t="s">
        <v>180</v>
      </c>
      <c r="G760" s="75" t="s">
        <v>113</v>
      </c>
      <c r="H760" s="75"/>
      <c r="I760" s="75" t="s">
        <v>170</v>
      </c>
      <c r="J760" s="76">
        <v>15</v>
      </c>
      <c r="K760" s="519" t="s">
        <v>387</v>
      </c>
      <c r="L760" s="520">
        <v>10.119999999999999</v>
      </c>
      <c r="M760" s="520">
        <v>10.78</v>
      </c>
      <c r="N760" s="507">
        <v>0.10299999999999999</v>
      </c>
      <c r="O760" s="507">
        <v>0.1</v>
      </c>
      <c r="P760" s="507">
        <v>0.112</v>
      </c>
      <c r="Q760" s="78">
        <v>0.44</v>
      </c>
      <c r="R760" s="78">
        <v>0.31740000000000002</v>
      </c>
      <c r="S760" s="69">
        <v>2.5000000000000001E-2</v>
      </c>
      <c r="T760" s="69">
        <v>5.0000000000000001E-3</v>
      </c>
      <c r="U760" s="507">
        <v>0.95</v>
      </c>
      <c r="V760" s="76">
        <v>0</v>
      </c>
      <c r="W760" s="76">
        <v>0</v>
      </c>
      <c r="X760" s="76" t="s">
        <v>147</v>
      </c>
      <c r="Y760" s="519" t="s">
        <v>469</v>
      </c>
    </row>
    <row r="761" spans="1:25" x14ac:dyDescent="0.25">
      <c r="A761" s="75" t="str">
        <f t="shared" si="27"/>
        <v>Exclusiva PF No_Premier Normal Cofinavit Pago_Bajo_Puntual 15</v>
      </c>
      <c r="B761" s="75" t="str">
        <f t="shared" si="26"/>
        <v>Exclusiva PF No_Premier Normal Cofinavit Pago_Bajo_Puntual 15 0.106</v>
      </c>
      <c r="C761" s="75" t="s">
        <v>116</v>
      </c>
      <c r="D761" s="75" t="s">
        <v>132</v>
      </c>
      <c r="E761" s="75" t="s">
        <v>179</v>
      </c>
      <c r="F761" s="75" t="s">
        <v>180</v>
      </c>
      <c r="G761" s="75" t="s">
        <v>113</v>
      </c>
      <c r="H761" s="75"/>
      <c r="I761" s="75" t="s">
        <v>170</v>
      </c>
      <c r="J761" s="76">
        <v>15</v>
      </c>
      <c r="K761" s="519">
        <v>3</v>
      </c>
      <c r="L761" s="520">
        <v>10.33</v>
      </c>
      <c r="M761" s="520">
        <v>10.99</v>
      </c>
      <c r="N761" s="507">
        <v>0.106</v>
      </c>
      <c r="O761" s="507">
        <v>0.10299999999999999</v>
      </c>
      <c r="P761" s="507">
        <v>0.11799999999999999</v>
      </c>
      <c r="Q761" s="78">
        <v>0.44</v>
      </c>
      <c r="R761" s="78">
        <v>0.31740000000000002</v>
      </c>
      <c r="S761" s="69">
        <v>2.5000000000000001E-2</v>
      </c>
      <c r="T761" s="69">
        <v>5.0000000000000001E-3</v>
      </c>
      <c r="U761" s="507">
        <v>0.95</v>
      </c>
      <c r="V761" s="76">
        <v>0</v>
      </c>
      <c r="W761" s="76">
        <v>0</v>
      </c>
      <c r="X761" s="76"/>
      <c r="Y761" s="519" t="s">
        <v>469</v>
      </c>
    </row>
    <row r="762" spans="1:25" x14ac:dyDescent="0.25">
      <c r="A762" s="75" t="str">
        <f t="shared" si="27"/>
        <v>Exclusiva PF No_Premier Normal Cofinavit Pago_Bajo_Puntual Si 10</v>
      </c>
      <c r="B762" s="75" t="str">
        <f t="shared" si="26"/>
        <v>Exclusiva PF No_Premier Normal Cofinavit Pago_Bajo_Puntual Si 10 0.103</v>
      </c>
      <c r="C762" s="75" t="s">
        <v>116</v>
      </c>
      <c r="D762" s="75" t="s">
        <v>132</v>
      </c>
      <c r="E762" s="75" t="s">
        <v>179</v>
      </c>
      <c r="F762" s="75" t="s">
        <v>180</v>
      </c>
      <c r="G762" s="75" t="s">
        <v>113</v>
      </c>
      <c r="H762" s="75"/>
      <c r="I762" s="75" t="s">
        <v>170</v>
      </c>
      <c r="J762" s="76">
        <v>10</v>
      </c>
      <c r="K762" s="519" t="s">
        <v>387</v>
      </c>
      <c r="L762" s="520">
        <v>12.62</v>
      </c>
      <c r="M762" s="520">
        <v>13.28</v>
      </c>
      <c r="N762" s="507">
        <v>0.10299999999999999</v>
      </c>
      <c r="O762" s="507">
        <v>0.1</v>
      </c>
      <c r="P762" s="507">
        <v>0.112</v>
      </c>
      <c r="Q762" s="78">
        <v>0.44</v>
      </c>
      <c r="R762" s="78">
        <v>0.31740000000000002</v>
      </c>
      <c r="S762" s="69">
        <v>2.5000000000000001E-2</v>
      </c>
      <c r="T762" s="69">
        <v>5.0000000000000001E-3</v>
      </c>
      <c r="U762" s="507">
        <v>0.95</v>
      </c>
      <c r="V762" s="76">
        <v>0</v>
      </c>
      <c r="W762" s="76">
        <v>0</v>
      </c>
      <c r="X762" s="76" t="s">
        <v>147</v>
      </c>
      <c r="Y762" s="519" t="s">
        <v>469</v>
      </c>
    </row>
    <row r="763" spans="1:25" x14ac:dyDescent="0.25">
      <c r="A763" s="75" t="str">
        <f t="shared" si="27"/>
        <v>Exclusiva PF No_Premier Normal Cofinavit Pago_Bajo_Puntual 10</v>
      </c>
      <c r="B763" s="75" t="str">
        <f t="shared" si="26"/>
        <v>Exclusiva PF No_Premier Normal Cofinavit Pago_Bajo_Puntual 10 0.106</v>
      </c>
      <c r="C763" s="75" t="s">
        <v>116</v>
      </c>
      <c r="D763" s="75" t="s">
        <v>132</v>
      </c>
      <c r="E763" s="75" t="s">
        <v>179</v>
      </c>
      <c r="F763" s="75" t="s">
        <v>180</v>
      </c>
      <c r="G763" s="75" t="s">
        <v>113</v>
      </c>
      <c r="H763" s="75"/>
      <c r="I763" s="75" t="s">
        <v>170</v>
      </c>
      <c r="J763" s="76">
        <v>10</v>
      </c>
      <c r="K763" s="519">
        <v>3</v>
      </c>
      <c r="L763" s="520">
        <v>12.78</v>
      </c>
      <c r="M763" s="520">
        <v>13.44</v>
      </c>
      <c r="N763" s="507">
        <v>0.106</v>
      </c>
      <c r="O763" s="507">
        <v>0.10299999999999999</v>
      </c>
      <c r="P763" s="507">
        <v>0.11799999999999999</v>
      </c>
      <c r="Q763" s="78">
        <v>0.44</v>
      </c>
      <c r="R763" s="78">
        <v>0.31740000000000002</v>
      </c>
      <c r="S763" s="69">
        <v>2.5000000000000001E-2</v>
      </c>
      <c r="T763" s="69">
        <v>5.0000000000000001E-3</v>
      </c>
      <c r="U763" s="507">
        <v>0.95</v>
      </c>
      <c r="V763" s="76">
        <v>0</v>
      </c>
      <c r="W763" s="76">
        <v>0</v>
      </c>
      <c r="X763" s="76"/>
      <c r="Y763" s="519" t="s">
        <v>469</v>
      </c>
    </row>
    <row r="764" spans="1:25" x14ac:dyDescent="0.25">
      <c r="A764" s="75" t="str">
        <f t="shared" si="27"/>
        <v>Exclusiva PF No_Premier Normal Cofinavit Pago_Bajo_Puntual Si 5</v>
      </c>
      <c r="B764" s="75" t="str">
        <f t="shared" si="26"/>
        <v>Exclusiva PF No_Premier Normal Cofinavit Pago_Bajo_Puntual Si 5 0.103</v>
      </c>
      <c r="C764" s="75" t="s">
        <v>116</v>
      </c>
      <c r="D764" s="75" t="s">
        <v>132</v>
      </c>
      <c r="E764" s="75" t="s">
        <v>179</v>
      </c>
      <c r="F764" s="75" t="s">
        <v>180</v>
      </c>
      <c r="G764" s="75" t="s">
        <v>113</v>
      </c>
      <c r="H764" s="75"/>
      <c r="I764" s="75" t="s">
        <v>170</v>
      </c>
      <c r="J764" s="76">
        <v>5</v>
      </c>
      <c r="K764" s="519" t="s">
        <v>387</v>
      </c>
      <c r="L764" s="520">
        <v>20.72</v>
      </c>
      <c r="M764" s="520">
        <v>21.38</v>
      </c>
      <c r="N764" s="507">
        <v>0.10299999999999999</v>
      </c>
      <c r="O764" s="507">
        <v>0.1</v>
      </c>
      <c r="P764" s="507">
        <v>0.112</v>
      </c>
      <c r="Q764" s="78">
        <v>0.44</v>
      </c>
      <c r="R764" s="78">
        <v>0.31740000000000002</v>
      </c>
      <c r="S764" s="69">
        <v>2.5000000000000001E-2</v>
      </c>
      <c r="T764" s="69">
        <v>5.0000000000000001E-3</v>
      </c>
      <c r="U764" s="507">
        <v>0.95</v>
      </c>
      <c r="V764" s="76">
        <v>0</v>
      </c>
      <c r="W764" s="76">
        <v>0</v>
      </c>
      <c r="X764" s="76" t="s">
        <v>147</v>
      </c>
      <c r="Y764" s="519" t="s">
        <v>469</v>
      </c>
    </row>
    <row r="765" spans="1:25" x14ac:dyDescent="0.25">
      <c r="A765" s="75" t="str">
        <f t="shared" si="27"/>
        <v>Exclusiva PF No_Premier Normal Cofinavit Pago_Bajo_Puntual 5</v>
      </c>
      <c r="B765" s="75" t="str">
        <f t="shared" si="26"/>
        <v>Exclusiva PF No_Premier Normal Cofinavit Pago_Bajo_Puntual 5 0.106</v>
      </c>
      <c r="C765" s="75" t="s">
        <v>116</v>
      </c>
      <c r="D765" s="75" t="s">
        <v>132</v>
      </c>
      <c r="E765" s="75" t="s">
        <v>179</v>
      </c>
      <c r="F765" s="75" t="s">
        <v>180</v>
      </c>
      <c r="G765" s="75" t="s">
        <v>113</v>
      </c>
      <c r="H765" s="75"/>
      <c r="I765" s="75" t="s">
        <v>170</v>
      </c>
      <c r="J765" s="76">
        <v>5</v>
      </c>
      <c r="K765" s="519">
        <v>3</v>
      </c>
      <c r="L765" s="520">
        <v>20.86</v>
      </c>
      <c r="M765" s="520">
        <v>21.52</v>
      </c>
      <c r="N765" s="507">
        <v>0.106</v>
      </c>
      <c r="O765" s="507">
        <v>0.10299999999999999</v>
      </c>
      <c r="P765" s="507">
        <v>0.11799999999999999</v>
      </c>
      <c r="Q765" s="78">
        <v>0.44</v>
      </c>
      <c r="R765" s="78">
        <v>0.31740000000000002</v>
      </c>
      <c r="S765" s="69">
        <v>2.5000000000000001E-2</v>
      </c>
      <c r="T765" s="69">
        <v>5.0000000000000001E-3</v>
      </c>
      <c r="U765" s="507">
        <v>0.95</v>
      </c>
      <c r="V765" s="76">
        <v>0</v>
      </c>
      <c r="W765" s="76">
        <v>0</v>
      </c>
      <c r="X765" s="76"/>
      <c r="Y765" s="519" t="s">
        <v>469</v>
      </c>
    </row>
    <row r="766" spans="1:25" x14ac:dyDescent="0.25">
      <c r="A766" s="75" t="str">
        <f t="shared" si="27"/>
        <v>Exclusiva PF No_Premier Normal Cofinavit Pago_Fijo_Puntual 25</v>
      </c>
      <c r="B766" s="75" t="str">
        <f t="shared" si="26"/>
        <v>Exclusiva PF No_Premier Normal Cofinavit Pago_Fijo_Puntual 25 0.0965</v>
      </c>
      <c r="C766" s="75" t="s">
        <v>116</v>
      </c>
      <c r="D766" s="75" t="s">
        <v>132</v>
      </c>
      <c r="E766" s="75" t="s">
        <v>179</v>
      </c>
      <c r="F766" s="75" t="s">
        <v>180</v>
      </c>
      <c r="G766" s="75" t="s">
        <v>113</v>
      </c>
      <c r="H766" s="75"/>
      <c r="I766" s="75" t="s">
        <v>171</v>
      </c>
      <c r="J766" s="76">
        <v>25</v>
      </c>
      <c r="K766" s="516" t="s">
        <v>385</v>
      </c>
      <c r="L766" s="517">
        <v>9.11</v>
      </c>
      <c r="M766" s="517">
        <v>9.77</v>
      </c>
      <c r="N766" s="518">
        <v>9.6500000000000002E-2</v>
      </c>
      <c r="O766" s="518">
        <v>9.1999999999999998E-2</v>
      </c>
      <c r="P766" s="518">
        <v>0.10249999999999999</v>
      </c>
      <c r="Q766" s="78">
        <v>0.44</v>
      </c>
      <c r="R766" s="78">
        <v>0.31740000000000002</v>
      </c>
      <c r="S766" s="69">
        <v>2.5000000000000001E-2</v>
      </c>
      <c r="T766" s="69">
        <v>5.0000000000000001E-3</v>
      </c>
      <c r="U766" s="518">
        <v>0.7</v>
      </c>
      <c r="V766" s="76">
        <v>0</v>
      </c>
      <c r="W766" s="76">
        <v>0</v>
      </c>
      <c r="X766" s="76"/>
      <c r="Y766" s="516" t="s">
        <v>470</v>
      </c>
    </row>
    <row r="767" spans="1:25" x14ac:dyDescent="0.25">
      <c r="A767" s="75" t="str">
        <f t="shared" si="27"/>
        <v>Exclusiva PF No_Premier Normal Cofinavit Pago_Fijo_Puntual 25</v>
      </c>
      <c r="B767" s="75" t="str">
        <f t="shared" si="26"/>
        <v>Exclusiva PF No_Premier Normal Cofinavit Pago_Fijo_Puntual 25 0.103</v>
      </c>
      <c r="C767" s="75" t="s">
        <v>116</v>
      </c>
      <c r="D767" s="75" t="s">
        <v>132</v>
      </c>
      <c r="E767" s="75" t="s">
        <v>179</v>
      </c>
      <c r="F767" s="75" t="s">
        <v>180</v>
      </c>
      <c r="G767" s="75" t="s">
        <v>113</v>
      </c>
      <c r="H767" s="75"/>
      <c r="I767" s="75" t="s">
        <v>171</v>
      </c>
      <c r="J767" s="76">
        <v>25</v>
      </c>
      <c r="K767" s="516" t="s">
        <v>386</v>
      </c>
      <c r="L767" s="517">
        <v>9.65</v>
      </c>
      <c r="M767" s="517">
        <v>10.31</v>
      </c>
      <c r="N767" s="518">
        <v>0.10299999999999999</v>
      </c>
      <c r="O767" s="518">
        <v>0.1</v>
      </c>
      <c r="P767" s="518">
        <v>0.112</v>
      </c>
      <c r="Q767" s="78">
        <v>0.44</v>
      </c>
      <c r="R767" s="78">
        <v>0.31740000000000002</v>
      </c>
      <c r="S767" s="69">
        <v>2.5000000000000001E-2</v>
      </c>
      <c r="T767" s="69">
        <v>5.0000000000000001E-3</v>
      </c>
      <c r="U767" s="518">
        <v>0.7</v>
      </c>
      <c r="V767" s="76">
        <v>0</v>
      </c>
      <c r="W767" s="76">
        <v>0</v>
      </c>
      <c r="X767" s="76"/>
      <c r="Y767" s="516" t="s">
        <v>470</v>
      </c>
    </row>
    <row r="768" spans="1:25" x14ac:dyDescent="0.25">
      <c r="A768" s="75" t="str">
        <f t="shared" si="27"/>
        <v>Exclusiva PF No_Premier Normal Cofinavit Pago_Fijo_Puntual 20</v>
      </c>
      <c r="B768" s="75" t="str">
        <f t="shared" si="26"/>
        <v>Exclusiva PF No_Premier Normal Cofinavit Pago_Fijo_Puntual 20 0.0965</v>
      </c>
      <c r="C768" s="75" t="s">
        <v>116</v>
      </c>
      <c r="D768" s="75" t="s">
        <v>132</v>
      </c>
      <c r="E768" s="75" t="s">
        <v>179</v>
      </c>
      <c r="F768" s="75" t="s">
        <v>180</v>
      </c>
      <c r="G768" s="75" t="s">
        <v>113</v>
      </c>
      <c r="H768" s="75"/>
      <c r="I768" s="75" t="s">
        <v>171</v>
      </c>
      <c r="J768" s="76">
        <v>20</v>
      </c>
      <c r="K768" s="516" t="s">
        <v>385</v>
      </c>
      <c r="L768" s="517">
        <v>9.66</v>
      </c>
      <c r="M768" s="517">
        <v>10.32</v>
      </c>
      <c r="N768" s="518">
        <v>9.6500000000000002E-2</v>
      </c>
      <c r="O768" s="518">
        <v>9.1999999999999998E-2</v>
      </c>
      <c r="P768" s="518">
        <v>0.10249999999999999</v>
      </c>
      <c r="Q768" s="78">
        <v>0.44</v>
      </c>
      <c r="R768" s="78">
        <v>0.31740000000000002</v>
      </c>
      <c r="S768" s="69">
        <v>2.5000000000000001E-2</v>
      </c>
      <c r="T768" s="69">
        <v>5.0000000000000001E-3</v>
      </c>
      <c r="U768" s="518">
        <v>0.7</v>
      </c>
      <c r="V768" s="76">
        <v>0</v>
      </c>
      <c r="W768" s="76">
        <v>0</v>
      </c>
      <c r="X768" s="76"/>
      <c r="Y768" s="516" t="s">
        <v>470</v>
      </c>
    </row>
    <row r="769" spans="1:25" x14ac:dyDescent="0.25">
      <c r="A769" s="75" t="str">
        <f t="shared" si="27"/>
        <v>Exclusiva PF No_Premier Normal Cofinavit Pago_Fijo_Puntual 20</v>
      </c>
      <c r="B769" s="75" t="str">
        <f t="shared" si="26"/>
        <v>Exclusiva PF No_Premier Normal Cofinavit Pago_Fijo_Puntual 20 0.103</v>
      </c>
      <c r="C769" s="75" t="s">
        <v>116</v>
      </c>
      <c r="D769" s="75" t="s">
        <v>132</v>
      </c>
      <c r="E769" s="75" t="s">
        <v>179</v>
      </c>
      <c r="F769" s="75" t="s">
        <v>180</v>
      </c>
      <c r="G769" s="75" t="s">
        <v>113</v>
      </c>
      <c r="H769" s="75"/>
      <c r="I769" s="75" t="s">
        <v>171</v>
      </c>
      <c r="J769" s="76">
        <v>20</v>
      </c>
      <c r="K769" s="516" t="s">
        <v>386</v>
      </c>
      <c r="L769" s="517">
        <v>10.16</v>
      </c>
      <c r="M769" s="517">
        <v>10.82</v>
      </c>
      <c r="N769" s="518">
        <v>0.10299999999999999</v>
      </c>
      <c r="O769" s="518">
        <v>0.1</v>
      </c>
      <c r="P769" s="518">
        <v>0.112</v>
      </c>
      <c r="Q769" s="78">
        <v>0.44</v>
      </c>
      <c r="R769" s="78">
        <v>0.31740000000000002</v>
      </c>
      <c r="S769" s="69">
        <v>2.5000000000000001E-2</v>
      </c>
      <c r="T769" s="69">
        <v>5.0000000000000001E-3</v>
      </c>
      <c r="U769" s="518">
        <v>0.7</v>
      </c>
      <c r="V769" s="76">
        <v>0</v>
      </c>
      <c r="W769" s="76">
        <v>0</v>
      </c>
      <c r="X769" s="76"/>
      <c r="Y769" s="516" t="s">
        <v>470</v>
      </c>
    </row>
    <row r="770" spans="1:25" x14ac:dyDescent="0.25">
      <c r="A770" s="75" t="str">
        <f t="shared" si="27"/>
        <v>Exclusiva PF No_Premier Normal Cofinavit Pago_Fijo_Puntual 15</v>
      </c>
      <c r="B770" s="75" t="str">
        <f t="shared" si="26"/>
        <v>Exclusiva PF No_Premier Normal Cofinavit Pago_Fijo_Puntual 15 0.0965</v>
      </c>
      <c r="C770" s="75" t="s">
        <v>116</v>
      </c>
      <c r="D770" s="75" t="s">
        <v>132</v>
      </c>
      <c r="E770" s="75" t="s">
        <v>179</v>
      </c>
      <c r="F770" s="75" t="s">
        <v>180</v>
      </c>
      <c r="G770" s="75" t="s">
        <v>113</v>
      </c>
      <c r="H770" s="75"/>
      <c r="I770" s="75" t="s">
        <v>171</v>
      </c>
      <c r="J770" s="76">
        <v>15</v>
      </c>
      <c r="K770" s="516" t="s">
        <v>385</v>
      </c>
      <c r="L770" s="517">
        <v>10.73</v>
      </c>
      <c r="M770" s="517">
        <v>11.39</v>
      </c>
      <c r="N770" s="518">
        <v>9.6500000000000002E-2</v>
      </c>
      <c r="O770" s="518">
        <v>9.1999999999999998E-2</v>
      </c>
      <c r="P770" s="518">
        <v>0.10249999999999999</v>
      </c>
      <c r="Q770" s="78">
        <v>0.44</v>
      </c>
      <c r="R770" s="78">
        <v>0.31740000000000002</v>
      </c>
      <c r="S770" s="69">
        <v>2.5000000000000001E-2</v>
      </c>
      <c r="T770" s="69">
        <v>5.0000000000000001E-3</v>
      </c>
      <c r="U770" s="518">
        <v>0.7</v>
      </c>
      <c r="V770" s="76">
        <v>0</v>
      </c>
      <c r="W770" s="76">
        <v>0</v>
      </c>
      <c r="X770" s="76"/>
      <c r="Y770" s="516" t="s">
        <v>470</v>
      </c>
    </row>
    <row r="771" spans="1:25" x14ac:dyDescent="0.25">
      <c r="A771" s="75" t="str">
        <f t="shared" si="27"/>
        <v>Exclusiva PF No_Premier Normal Cofinavit Pago_Fijo_Puntual 15</v>
      </c>
      <c r="B771" s="75" t="str">
        <f t="shared" si="26"/>
        <v>Exclusiva PF No_Premier Normal Cofinavit Pago_Fijo_Puntual 15 0.103</v>
      </c>
      <c r="C771" s="75" t="s">
        <v>116</v>
      </c>
      <c r="D771" s="75" t="s">
        <v>132</v>
      </c>
      <c r="E771" s="75" t="s">
        <v>179</v>
      </c>
      <c r="F771" s="75" t="s">
        <v>180</v>
      </c>
      <c r="G771" s="75" t="s">
        <v>113</v>
      </c>
      <c r="H771" s="75"/>
      <c r="I771" s="75" t="s">
        <v>171</v>
      </c>
      <c r="J771" s="76">
        <v>15</v>
      </c>
      <c r="K771" s="516" t="s">
        <v>386</v>
      </c>
      <c r="L771" s="517">
        <v>11.18</v>
      </c>
      <c r="M771" s="517">
        <v>11.84</v>
      </c>
      <c r="N771" s="518">
        <v>0.10299999999999999</v>
      </c>
      <c r="O771" s="518">
        <v>0.1</v>
      </c>
      <c r="P771" s="518">
        <v>0.112</v>
      </c>
      <c r="Q771" s="78">
        <v>0.44</v>
      </c>
      <c r="R771" s="78">
        <v>0.31740000000000002</v>
      </c>
      <c r="S771" s="69">
        <v>2.5000000000000001E-2</v>
      </c>
      <c r="T771" s="69">
        <v>5.0000000000000001E-3</v>
      </c>
      <c r="U771" s="518">
        <v>0.7</v>
      </c>
      <c r="V771" s="76">
        <v>0</v>
      </c>
      <c r="W771" s="76">
        <v>0</v>
      </c>
      <c r="X771" s="76"/>
      <c r="Y771" s="516" t="s">
        <v>470</v>
      </c>
    </row>
    <row r="772" spans="1:25" x14ac:dyDescent="0.25">
      <c r="A772" s="75" t="str">
        <f t="shared" si="27"/>
        <v>Exclusiva PF No_Premier Normal Cofinavit Pago_Fijo_Puntual 10</v>
      </c>
      <c r="B772" s="75" t="str">
        <f t="shared" si="26"/>
        <v>Exclusiva PF No_Premier Normal Cofinavit Pago_Fijo_Puntual 10 0.0965</v>
      </c>
      <c r="C772" s="75" t="s">
        <v>116</v>
      </c>
      <c r="D772" s="75" t="s">
        <v>132</v>
      </c>
      <c r="E772" s="75" t="s">
        <v>179</v>
      </c>
      <c r="F772" s="75" t="s">
        <v>180</v>
      </c>
      <c r="G772" s="75" t="s">
        <v>113</v>
      </c>
      <c r="H772" s="75"/>
      <c r="I772" s="75" t="s">
        <v>171</v>
      </c>
      <c r="J772" s="76">
        <v>10</v>
      </c>
      <c r="K772" s="516" t="s">
        <v>385</v>
      </c>
      <c r="L772" s="517">
        <v>13.16</v>
      </c>
      <c r="M772" s="517">
        <v>13.82</v>
      </c>
      <c r="N772" s="518">
        <v>9.6500000000000002E-2</v>
      </c>
      <c r="O772" s="518">
        <v>9.1999999999999998E-2</v>
      </c>
      <c r="P772" s="518">
        <v>0.10249999999999999</v>
      </c>
      <c r="Q772" s="78">
        <v>0.44</v>
      </c>
      <c r="R772" s="78">
        <v>0.31740000000000002</v>
      </c>
      <c r="S772" s="69">
        <v>2.5000000000000001E-2</v>
      </c>
      <c r="T772" s="69">
        <v>5.0000000000000001E-3</v>
      </c>
      <c r="U772" s="518">
        <v>0.7</v>
      </c>
      <c r="V772" s="76">
        <v>0</v>
      </c>
      <c r="W772" s="76">
        <v>0</v>
      </c>
      <c r="X772" s="76"/>
      <c r="Y772" s="516" t="s">
        <v>470</v>
      </c>
    </row>
    <row r="773" spans="1:25" x14ac:dyDescent="0.25">
      <c r="A773" s="75" t="str">
        <f t="shared" si="27"/>
        <v>Exclusiva PF No_Premier Normal Cofinavit Pago_Fijo_Puntual 10</v>
      </c>
      <c r="B773" s="75" t="str">
        <f t="shared" si="26"/>
        <v>Exclusiva PF No_Premier Normal Cofinavit Pago_Fijo_Puntual 10 0.103</v>
      </c>
      <c r="C773" s="75" t="s">
        <v>116</v>
      </c>
      <c r="D773" s="75" t="s">
        <v>132</v>
      </c>
      <c r="E773" s="75" t="s">
        <v>179</v>
      </c>
      <c r="F773" s="75" t="s">
        <v>180</v>
      </c>
      <c r="G773" s="75" t="s">
        <v>113</v>
      </c>
      <c r="H773" s="75"/>
      <c r="I773" s="75" t="s">
        <v>171</v>
      </c>
      <c r="J773" s="76">
        <v>10</v>
      </c>
      <c r="K773" s="516" t="s">
        <v>386</v>
      </c>
      <c r="L773" s="517">
        <v>13.54</v>
      </c>
      <c r="M773" s="517">
        <v>14.2</v>
      </c>
      <c r="N773" s="518">
        <v>0.10299999999999999</v>
      </c>
      <c r="O773" s="518">
        <v>0.1</v>
      </c>
      <c r="P773" s="518">
        <v>0.112</v>
      </c>
      <c r="Q773" s="78">
        <v>0.44</v>
      </c>
      <c r="R773" s="78">
        <v>0.31740000000000002</v>
      </c>
      <c r="S773" s="69">
        <v>2.5000000000000001E-2</v>
      </c>
      <c r="T773" s="69">
        <v>5.0000000000000001E-3</v>
      </c>
      <c r="U773" s="518">
        <v>0.7</v>
      </c>
      <c r="V773" s="76">
        <v>0</v>
      </c>
      <c r="W773" s="76">
        <v>0</v>
      </c>
      <c r="X773" s="76"/>
      <c r="Y773" s="516" t="s">
        <v>470</v>
      </c>
    </row>
    <row r="774" spans="1:25" x14ac:dyDescent="0.25">
      <c r="A774" s="75" t="str">
        <f t="shared" si="27"/>
        <v>Exclusiva PF No_Premier Normal Cofinavit Pago_Fijo_Puntual 5</v>
      </c>
      <c r="B774" s="75" t="str">
        <f t="shared" si="26"/>
        <v>Exclusiva PF No_Premier Normal Cofinavit Pago_Fijo_Puntual 5 0.0965</v>
      </c>
      <c r="C774" s="75" t="s">
        <v>116</v>
      </c>
      <c r="D774" s="75" t="s">
        <v>132</v>
      </c>
      <c r="E774" s="75" t="s">
        <v>179</v>
      </c>
      <c r="F774" s="75" t="s">
        <v>180</v>
      </c>
      <c r="G774" s="75" t="s">
        <v>113</v>
      </c>
      <c r="H774" s="75"/>
      <c r="I774" s="75" t="s">
        <v>171</v>
      </c>
      <c r="J774" s="76">
        <v>5</v>
      </c>
      <c r="K774" s="516" t="s">
        <v>385</v>
      </c>
      <c r="L774" s="517">
        <v>21.12</v>
      </c>
      <c r="M774" s="517">
        <v>21.78</v>
      </c>
      <c r="N774" s="518">
        <v>9.6500000000000002E-2</v>
      </c>
      <c r="O774" s="518">
        <v>9.1999999999999998E-2</v>
      </c>
      <c r="P774" s="518">
        <v>0.10249999999999999</v>
      </c>
      <c r="Q774" s="78">
        <v>0.44</v>
      </c>
      <c r="R774" s="78">
        <v>0.31740000000000002</v>
      </c>
      <c r="S774" s="69">
        <v>2.5000000000000001E-2</v>
      </c>
      <c r="T774" s="69">
        <v>5.0000000000000001E-3</v>
      </c>
      <c r="U774" s="518">
        <v>0.7</v>
      </c>
      <c r="V774" s="76">
        <v>0</v>
      </c>
      <c r="W774" s="76">
        <v>0</v>
      </c>
      <c r="X774" s="76"/>
      <c r="Y774" s="516" t="s">
        <v>470</v>
      </c>
    </row>
    <row r="775" spans="1:25" x14ac:dyDescent="0.25">
      <c r="A775" s="75" t="str">
        <f t="shared" si="27"/>
        <v>Exclusiva PF No_Premier Normal Cofinavit Pago_Fijo_Puntual 5</v>
      </c>
      <c r="B775" s="75" t="str">
        <f t="shared" si="26"/>
        <v>Exclusiva PF No_Premier Normal Cofinavit Pago_Fijo_Puntual 5 0.103</v>
      </c>
      <c r="C775" s="75" t="s">
        <v>116</v>
      </c>
      <c r="D775" s="75" t="s">
        <v>132</v>
      </c>
      <c r="E775" s="75" t="s">
        <v>179</v>
      </c>
      <c r="F775" s="75" t="s">
        <v>180</v>
      </c>
      <c r="G775" s="75" t="s">
        <v>113</v>
      </c>
      <c r="H775" s="75"/>
      <c r="I775" s="75" t="s">
        <v>171</v>
      </c>
      <c r="J775" s="76">
        <v>5</v>
      </c>
      <c r="K775" s="516" t="s">
        <v>386</v>
      </c>
      <c r="L775" s="517">
        <v>21.44</v>
      </c>
      <c r="M775" s="517">
        <v>22.1</v>
      </c>
      <c r="N775" s="518">
        <v>0.10299999999999999</v>
      </c>
      <c r="O775" s="518">
        <v>0.1</v>
      </c>
      <c r="P775" s="518">
        <v>0.112</v>
      </c>
      <c r="Q775" s="78">
        <v>0.44</v>
      </c>
      <c r="R775" s="78">
        <v>0.31740000000000002</v>
      </c>
      <c r="S775" s="69">
        <v>2.5000000000000001E-2</v>
      </c>
      <c r="T775" s="69">
        <v>5.0000000000000001E-3</v>
      </c>
      <c r="U775" s="518">
        <v>0.7</v>
      </c>
      <c r="V775" s="76">
        <v>0</v>
      </c>
      <c r="W775" s="76">
        <v>0</v>
      </c>
      <c r="X775" s="76"/>
      <c r="Y775" s="516" t="s">
        <v>470</v>
      </c>
    </row>
    <row r="776" spans="1:25" x14ac:dyDescent="0.25">
      <c r="A776" s="75" t="str">
        <f t="shared" si="27"/>
        <v>Exclusiva PF No_Premier Normal Cofinavit Pago_Bajo_Puntual 25</v>
      </c>
      <c r="B776" s="75" t="str">
        <f t="shared" si="26"/>
        <v>Exclusiva PF No_Premier Normal Cofinavit Pago_Bajo_Puntual 25 0.0965</v>
      </c>
      <c r="C776" s="75" t="s">
        <v>116</v>
      </c>
      <c r="D776" s="75" t="s">
        <v>132</v>
      </c>
      <c r="E776" s="75" t="s">
        <v>179</v>
      </c>
      <c r="F776" s="75" t="s">
        <v>180</v>
      </c>
      <c r="G776" s="75" t="s">
        <v>113</v>
      </c>
      <c r="H776" s="75"/>
      <c r="I776" s="75" t="s">
        <v>170</v>
      </c>
      <c r="J776" s="523">
        <v>25</v>
      </c>
      <c r="K776" s="516" t="s">
        <v>385</v>
      </c>
      <c r="L776" s="517">
        <v>8.1</v>
      </c>
      <c r="M776" s="517">
        <v>8.76</v>
      </c>
      <c r="N776" s="518">
        <v>9.6500000000000002E-2</v>
      </c>
      <c r="O776" s="518">
        <v>9.1999999999999998E-2</v>
      </c>
      <c r="P776" s="518">
        <v>0.10249999999999999</v>
      </c>
      <c r="Q776" s="78">
        <v>0.44</v>
      </c>
      <c r="R776" s="78">
        <v>0.31740000000000002</v>
      </c>
      <c r="S776" s="69">
        <v>2.5000000000000001E-2</v>
      </c>
      <c r="T776" s="69">
        <v>5.0000000000000001E-3</v>
      </c>
      <c r="U776" s="518">
        <v>0.7</v>
      </c>
      <c r="V776" s="76">
        <v>0</v>
      </c>
      <c r="W776" s="76">
        <v>0</v>
      </c>
      <c r="X776" s="76"/>
      <c r="Y776" s="516" t="s">
        <v>470</v>
      </c>
    </row>
    <row r="777" spans="1:25" x14ac:dyDescent="0.25">
      <c r="A777" s="75" t="str">
        <f t="shared" si="27"/>
        <v>Exclusiva PF No_Premier Normal Cofinavit Pago_Bajo_Puntual 25</v>
      </c>
      <c r="B777" s="75" t="str">
        <f t="shared" si="26"/>
        <v>Exclusiva PF No_Premier Normal Cofinavit Pago_Bajo_Puntual 25 0.103</v>
      </c>
      <c r="C777" s="75" t="s">
        <v>116</v>
      </c>
      <c r="D777" s="75" t="s">
        <v>132</v>
      </c>
      <c r="E777" s="75" t="s">
        <v>179</v>
      </c>
      <c r="F777" s="75" t="s">
        <v>180</v>
      </c>
      <c r="G777" s="75" t="s">
        <v>113</v>
      </c>
      <c r="H777" s="75"/>
      <c r="I777" s="75" t="s">
        <v>170</v>
      </c>
      <c r="J777" s="523">
        <v>25</v>
      </c>
      <c r="K777" s="516" t="s">
        <v>386</v>
      </c>
      <c r="L777" s="517">
        <v>8.64</v>
      </c>
      <c r="M777" s="517">
        <v>9.3000000000000007</v>
      </c>
      <c r="N777" s="518">
        <v>0.10299999999999999</v>
      </c>
      <c r="O777" s="518">
        <v>0.1</v>
      </c>
      <c r="P777" s="518">
        <v>0.112</v>
      </c>
      <c r="Q777" s="78">
        <v>0.44</v>
      </c>
      <c r="R777" s="78">
        <v>0.31740000000000002</v>
      </c>
      <c r="S777" s="69">
        <v>2.5000000000000001E-2</v>
      </c>
      <c r="T777" s="69">
        <v>5.0000000000000001E-3</v>
      </c>
      <c r="U777" s="518">
        <v>0.7</v>
      </c>
      <c r="V777" s="76">
        <v>0</v>
      </c>
      <c r="W777" s="76">
        <v>0</v>
      </c>
      <c r="X777" s="76"/>
      <c r="Y777" s="516" t="s">
        <v>470</v>
      </c>
    </row>
    <row r="778" spans="1:25" x14ac:dyDescent="0.25">
      <c r="A778" s="75" t="str">
        <f t="shared" si="27"/>
        <v>Exclusiva PF No_Premier Normal Cofinavit Pago_Bajo_Puntual 20</v>
      </c>
      <c r="B778" s="75" t="str">
        <f t="shared" si="26"/>
        <v>Exclusiva PF No_Premier Normal Cofinavit Pago_Bajo_Puntual 20 0.0965</v>
      </c>
      <c r="C778" s="75" t="s">
        <v>116</v>
      </c>
      <c r="D778" s="75" t="s">
        <v>132</v>
      </c>
      <c r="E778" s="75" t="s">
        <v>179</v>
      </c>
      <c r="F778" s="75" t="s">
        <v>180</v>
      </c>
      <c r="G778" s="75" t="s">
        <v>113</v>
      </c>
      <c r="H778" s="75"/>
      <c r="I778" s="75" t="s">
        <v>170</v>
      </c>
      <c r="J778" s="76">
        <v>20</v>
      </c>
      <c r="K778" s="516" t="s">
        <v>385</v>
      </c>
      <c r="L778" s="517">
        <v>8.52</v>
      </c>
      <c r="M778" s="517">
        <v>9.18</v>
      </c>
      <c r="N778" s="518">
        <v>9.6500000000000002E-2</v>
      </c>
      <c r="O778" s="518">
        <v>9.1999999999999998E-2</v>
      </c>
      <c r="P778" s="518">
        <v>0.10249999999999999</v>
      </c>
      <c r="Q778" s="78">
        <v>0.44</v>
      </c>
      <c r="R778" s="78">
        <v>0.31740000000000002</v>
      </c>
      <c r="S778" s="69">
        <v>2.5000000000000001E-2</v>
      </c>
      <c r="T778" s="69">
        <v>5.0000000000000001E-3</v>
      </c>
      <c r="U778" s="518">
        <v>0.7</v>
      </c>
      <c r="V778" s="76">
        <v>0</v>
      </c>
      <c r="W778" s="76">
        <v>0</v>
      </c>
      <c r="X778" s="76"/>
      <c r="Y778" s="516" t="s">
        <v>470</v>
      </c>
    </row>
    <row r="779" spans="1:25" x14ac:dyDescent="0.25">
      <c r="A779" s="75" t="str">
        <f t="shared" si="27"/>
        <v>Exclusiva PF No_Premier Normal Cofinavit Pago_Bajo_Puntual 20</v>
      </c>
      <c r="B779" s="75" t="str">
        <f t="shared" si="26"/>
        <v>Exclusiva PF No_Premier Normal Cofinavit Pago_Bajo_Puntual 20 0.103</v>
      </c>
      <c r="C779" s="75" t="s">
        <v>116</v>
      </c>
      <c r="D779" s="75" t="s">
        <v>132</v>
      </c>
      <c r="E779" s="75" t="s">
        <v>179</v>
      </c>
      <c r="F779" s="75" t="s">
        <v>180</v>
      </c>
      <c r="G779" s="75" t="s">
        <v>113</v>
      </c>
      <c r="H779" s="75"/>
      <c r="I779" s="75" t="s">
        <v>170</v>
      </c>
      <c r="J779" s="76">
        <v>20</v>
      </c>
      <c r="K779" s="516" t="s">
        <v>386</v>
      </c>
      <c r="L779" s="517">
        <v>9</v>
      </c>
      <c r="M779" s="517">
        <v>9.66</v>
      </c>
      <c r="N779" s="518">
        <v>0.10299999999999999</v>
      </c>
      <c r="O779" s="518">
        <v>0.1</v>
      </c>
      <c r="P779" s="518">
        <v>0.112</v>
      </c>
      <c r="Q779" s="78">
        <v>0.44</v>
      </c>
      <c r="R779" s="78">
        <v>0.31740000000000002</v>
      </c>
      <c r="S779" s="69">
        <v>2.5000000000000001E-2</v>
      </c>
      <c r="T779" s="69">
        <v>5.0000000000000001E-3</v>
      </c>
      <c r="U779" s="518">
        <v>0.7</v>
      </c>
      <c r="V779" s="76">
        <v>0</v>
      </c>
      <c r="W779" s="76">
        <v>0</v>
      </c>
      <c r="X779" s="76"/>
      <c r="Y779" s="516" t="s">
        <v>470</v>
      </c>
    </row>
    <row r="780" spans="1:25" x14ac:dyDescent="0.25">
      <c r="A780" s="75" t="str">
        <f t="shared" si="27"/>
        <v>Exclusiva PF No_Premier Normal Cofinavit Pago_Bajo_Puntual 15</v>
      </c>
      <c r="B780" s="75" t="str">
        <f t="shared" si="26"/>
        <v>Exclusiva PF No_Premier Normal Cofinavit Pago_Bajo_Puntual 15 0.0965</v>
      </c>
      <c r="C780" s="75" t="s">
        <v>116</v>
      </c>
      <c r="D780" s="75" t="s">
        <v>132</v>
      </c>
      <c r="E780" s="75" t="s">
        <v>179</v>
      </c>
      <c r="F780" s="75" t="s">
        <v>180</v>
      </c>
      <c r="G780" s="75" t="s">
        <v>113</v>
      </c>
      <c r="H780" s="75"/>
      <c r="I780" s="75" t="s">
        <v>170</v>
      </c>
      <c r="J780" s="76">
        <v>15</v>
      </c>
      <c r="K780" s="516" t="s">
        <v>385</v>
      </c>
      <c r="L780" s="517">
        <v>9.6999999999999993</v>
      </c>
      <c r="M780" s="517">
        <v>10.36</v>
      </c>
      <c r="N780" s="518">
        <v>9.6500000000000002E-2</v>
      </c>
      <c r="O780" s="518">
        <v>9.1999999999999998E-2</v>
      </c>
      <c r="P780" s="518">
        <v>0.10249999999999999</v>
      </c>
      <c r="Q780" s="78">
        <v>0.44</v>
      </c>
      <c r="R780" s="78">
        <v>0.31740000000000002</v>
      </c>
      <c r="S780" s="69">
        <v>2.5000000000000001E-2</v>
      </c>
      <c r="T780" s="69">
        <v>5.0000000000000001E-3</v>
      </c>
      <c r="U780" s="518">
        <v>0.7</v>
      </c>
      <c r="V780" s="76">
        <v>0</v>
      </c>
      <c r="W780" s="76">
        <v>0</v>
      </c>
      <c r="X780" s="76"/>
      <c r="Y780" s="516" t="s">
        <v>470</v>
      </c>
    </row>
    <row r="781" spans="1:25" x14ac:dyDescent="0.25">
      <c r="A781" s="75" t="str">
        <f t="shared" si="27"/>
        <v>Exclusiva PF No_Premier Normal Cofinavit Pago_Bajo_Puntual 15</v>
      </c>
      <c r="B781" s="75" t="str">
        <f t="shared" si="26"/>
        <v>Exclusiva PF No_Premier Normal Cofinavit Pago_Bajo_Puntual 15 0.103</v>
      </c>
      <c r="C781" s="75" t="s">
        <v>116</v>
      </c>
      <c r="D781" s="75" t="s">
        <v>132</v>
      </c>
      <c r="E781" s="75" t="s">
        <v>179</v>
      </c>
      <c r="F781" s="75" t="s">
        <v>180</v>
      </c>
      <c r="G781" s="75" t="s">
        <v>113</v>
      </c>
      <c r="H781" s="75"/>
      <c r="I781" s="75" t="s">
        <v>170</v>
      </c>
      <c r="J781" s="76">
        <v>15</v>
      </c>
      <c r="K781" s="516" t="s">
        <v>386</v>
      </c>
      <c r="L781" s="517">
        <v>10.119999999999999</v>
      </c>
      <c r="M781" s="517">
        <v>10.78</v>
      </c>
      <c r="N781" s="518">
        <v>0.10299999999999999</v>
      </c>
      <c r="O781" s="518">
        <v>0.1</v>
      </c>
      <c r="P781" s="518">
        <v>0.112</v>
      </c>
      <c r="Q781" s="78">
        <v>0.44</v>
      </c>
      <c r="R781" s="78">
        <v>0.31740000000000002</v>
      </c>
      <c r="S781" s="69">
        <v>2.5000000000000001E-2</v>
      </c>
      <c r="T781" s="69">
        <v>5.0000000000000001E-3</v>
      </c>
      <c r="U781" s="518">
        <v>0.7</v>
      </c>
      <c r="V781" s="76">
        <v>0</v>
      </c>
      <c r="W781" s="76">
        <v>0</v>
      </c>
      <c r="X781" s="76"/>
      <c r="Y781" s="516" t="s">
        <v>470</v>
      </c>
    </row>
    <row r="782" spans="1:25" x14ac:dyDescent="0.25">
      <c r="A782" s="75" t="str">
        <f t="shared" si="27"/>
        <v>Exclusiva PF No_Premier Normal Cofinavit Pago_Bajo_Puntual 10</v>
      </c>
      <c r="B782" s="75" t="str">
        <f t="shared" ref="B782:B845" si="28">CONCATENATE(A782," ",N782)</f>
        <v>Exclusiva PF No_Premier Normal Cofinavit Pago_Bajo_Puntual 10 0.0965</v>
      </c>
      <c r="C782" s="75" t="s">
        <v>116</v>
      </c>
      <c r="D782" s="75" t="s">
        <v>132</v>
      </c>
      <c r="E782" s="75" t="s">
        <v>179</v>
      </c>
      <c r="F782" s="75" t="s">
        <v>180</v>
      </c>
      <c r="G782" s="75" t="s">
        <v>113</v>
      </c>
      <c r="H782" s="75"/>
      <c r="I782" s="75" t="s">
        <v>170</v>
      </c>
      <c r="J782" s="76">
        <v>10</v>
      </c>
      <c r="K782" s="516" t="s">
        <v>385</v>
      </c>
      <c r="L782" s="517">
        <v>12.25</v>
      </c>
      <c r="M782" s="517">
        <v>12.91</v>
      </c>
      <c r="N782" s="518">
        <v>9.6500000000000002E-2</v>
      </c>
      <c r="O782" s="518">
        <v>9.1999999999999998E-2</v>
      </c>
      <c r="P782" s="518">
        <v>0.10249999999999999</v>
      </c>
      <c r="Q782" s="78">
        <v>0.44</v>
      </c>
      <c r="R782" s="78">
        <v>0.31740000000000002</v>
      </c>
      <c r="S782" s="69">
        <v>2.5000000000000001E-2</v>
      </c>
      <c r="T782" s="69">
        <v>5.0000000000000001E-3</v>
      </c>
      <c r="U782" s="518">
        <v>0.7</v>
      </c>
      <c r="V782" s="76">
        <v>0</v>
      </c>
      <c r="W782" s="76">
        <v>0</v>
      </c>
      <c r="X782" s="76"/>
      <c r="Y782" s="516" t="s">
        <v>470</v>
      </c>
    </row>
    <row r="783" spans="1:25" x14ac:dyDescent="0.25">
      <c r="A783" s="75" t="str">
        <f t="shared" ref="A783:A846" si="29">TRIM(CONCATENATE(C783," ",D783," ",E783," ",F783," ",G783," ",I783," ",X783," ",J783))</f>
        <v>Exclusiva PF No_Premier Normal Cofinavit Pago_Bajo_Puntual 10</v>
      </c>
      <c r="B783" s="75" t="str">
        <f t="shared" si="28"/>
        <v>Exclusiva PF No_Premier Normal Cofinavit Pago_Bajo_Puntual 10 0.103</v>
      </c>
      <c r="C783" s="75" t="s">
        <v>116</v>
      </c>
      <c r="D783" s="75" t="s">
        <v>132</v>
      </c>
      <c r="E783" s="75" t="s">
        <v>179</v>
      </c>
      <c r="F783" s="75" t="s">
        <v>180</v>
      </c>
      <c r="G783" s="75" t="s">
        <v>113</v>
      </c>
      <c r="H783" s="75"/>
      <c r="I783" s="75" t="s">
        <v>170</v>
      </c>
      <c r="J783" s="76">
        <v>10</v>
      </c>
      <c r="K783" s="516" t="s">
        <v>386</v>
      </c>
      <c r="L783" s="517">
        <v>12.62</v>
      </c>
      <c r="M783" s="517">
        <v>13.28</v>
      </c>
      <c r="N783" s="518">
        <v>0.10299999999999999</v>
      </c>
      <c r="O783" s="518">
        <v>0.1</v>
      </c>
      <c r="P783" s="518">
        <v>0.112</v>
      </c>
      <c r="Q783" s="78">
        <v>0.44</v>
      </c>
      <c r="R783" s="78">
        <v>0.31740000000000002</v>
      </c>
      <c r="S783" s="69">
        <v>2.5000000000000001E-2</v>
      </c>
      <c r="T783" s="69">
        <v>5.0000000000000001E-3</v>
      </c>
      <c r="U783" s="518">
        <v>0.7</v>
      </c>
      <c r="V783" s="76">
        <v>0</v>
      </c>
      <c r="W783" s="76">
        <v>0</v>
      </c>
      <c r="X783" s="76"/>
      <c r="Y783" s="516" t="s">
        <v>470</v>
      </c>
    </row>
    <row r="784" spans="1:25" x14ac:dyDescent="0.25">
      <c r="A784" s="75" t="str">
        <f t="shared" si="29"/>
        <v>Exclusiva PF No_Premier Normal Cofinavit Pago_Bajo_Puntual 5</v>
      </c>
      <c r="B784" s="75" t="str">
        <f t="shared" si="28"/>
        <v>Exclusiva PF No_Premier Normal Cofinavit Pago_Bajo_Puntual 5 0.0965</v>
      </c>
      <c r="C784" s="75" t="s">
        <v>116</v>
      </c>
      <c r="D784" s="75" t="s">
        <v>132</v>
      </c>
      <c r="E784" s="75" t="s">
        <v>179</v>
      </c>
      <c r="F784" s="75" t="s">
        <v>180</v>
      </c>
      <c r="G784" s="75" t="s">
        <v>113</v>
      </c>
      <c r="H784" s="75"/>
      <c r="I784" s="75" t="s">
        <v>170</v>
      </c>
      <c r="J784" s="76">
        <v>5</v>
      </c>
      <c r="K784" s="516" t="s">
        <v>385</v>
      </c>
      <c r="L784" s="517">
        <v>20.399999999999999</v>
      </c>
      <c r="M784" s="517">
        <v>21.06</v>
      </c>
      <c r="N784" s="518">
        <v>9.6500000000000002E-2</v>
      </c>
      <c r="O784" s="518">
        <v>9.1999999999999998E-2</v>
      </c>
      <c r="P784" s="518">
        <v>0.10249999999999999</v>
      </c>
      <c r="Q784" s="78">
        <v>0.44</v>
      </c>
      <c r="R784" s="78">
        <v>0.31740000000000002</v>
      </c>
      <c r="S784" s="69">
        <v>2.5000000000000001E-2</v>
      </c>
      <c r="T784" s="69">
        <v>5.0000000000000001E-3</v>
      </c>
      <c r="U784" s="518">
        <v>0.7</v>
      </c>
      <c r="V784" s="76">
        <v>0</v>
      </c>
      <c r="W784" s="76">
        <v>0</v>
      </c>
      <c r="X784" s="76"/>
      <c r="Y784" s="516" t="s">
        <v>470</v>
      </c>
    </row>
    <row r="785" spans="1:25" x14ac:dyDescent="0.25">
      <c r="A785" s="75" t="str">
        <f t="shared" si="29"/>
        <v>Exclusiva PF No_Premier Normal Cofinavit Pago_Bajo_Puntual 5</v>
      </c>
      <c r="B785" s="75" t="str">
        <f t="shared" si="28"/>
        <v>Exclusiva PF No_Premier Normal Cofinavit Pago_Bajo_Puntual 5 0.103</v>
      </c>
      <c r="C785" s="75" t="s">
        <v>116</v>
      </c>
      <c r="D785" s="75" t="s">
        <v>132</v>
      </c>
      <c r="E785" s="75" t="s">
        <v>179</v>
      </c>
      <c r="F785" s="75" t="s">
        <v>180</v>
      </c>
      <c r="G785" s="75" t="s">
        <v>113</v>
      </c>
      <c r="H785" s="75"/>
      <c r="I785" s="75" t="s">
        <v>170</v>
      </c>
      <c r="J785" s="76">
        <v>5</v>
      </c>
      <c r="K785" s="516" t="s">
        <v>386</v>
      </c>
      <c r="L785" s="517">
        <v>20.72</v>
      </c>
      <c r="M785" s="517">
        <v>21.38</v>
      </c>
      <c r="N785" s="518">
        <v>0.10299999999999999</v>
      </c>
      <c r="O785" s="518">
        <v>0.1</v>
      </c>
      <c r="P785" s="518">
        <v>0.112</v>
      </c>
      <c r="Q785" s="78">
        <v>0.44</v>
      </c>
      <c r="R785" s="78">
        <v>0.31740000000000002</v>
      </c>
      <c r="S785" s="69">
        <v>2.5000000000000001E-2</v>
      </c>
      <c r="T785" s="69">
        <v>5.0000000000000001E-3</v>
      </c>
      <c r="U785" s="518">
        <v>0.7</v>
      </c>
      <c r="V785" s="76">
        <v>0</v>
      </c>
      <c r="W785" s="76">
        <v>0</v>
      </c>
      <c r="X785" s="76"/>
      <c r="Y785" s="516" t="s">
        <v>470</v>
      </c>
    </row>
    <row r="786" spans="1:25" x14ac:dyDescent="0.25">
      <c r="A786" s="75" t="str">
        <f t="shared" si="29"/>
        <v>Exclusiva PF No_Premier Normal Mercado_Abierto Pago_Fijo_Puntual Si 25</v>
      </c>
      <c r="B786" s="75" t="str">
        <f t="shared" si="28"/>
        <v>Exclusiva PF No_Premier Normal Mercado_Abierto Pago_Fijo_Puntual Si 25 0.103</v>
      </c>
      <c r="C786" s="75" t="s">
        <v>116</v>
      </c>
      <c r="D786" s="75" t="s">
        <v>132</v>
      </c>
      <c r="E786" s="75" t="s">
        <v>179</v>
      </c>
      <c r="F786" s="75" t="s">
        <v>180</v>
      </c>
      <c r="G786" s="75" t="s">
        <v>396</v>
      </c>
      <c r="H786" s="75"/>
      <c r="I786" s="75" t="s">
        <v>171</v>
      </c>
      <c r="J786" s="76">
        <v>25</v>
      </c>
      <c r="K786" s="519" t="s">
        <v>387</v>
      </c>
      <c r="L786" s="520">
        <v>9.65</v>
      </c>
      <c r="M786" s="520">
        <v>10.31</v>
      </c>
      <c r="N786" s="507">
        <v>0.10299999999999999</v>
      </c>
      <c r="O786" s="507">
        <v>0.1</v>
      </c>
      <c r="P786" s="507">
        <v>0.112</v>
      </c>
      <c r="Q786" s="78">
        <v>0.44</v>
      </c>
      <c r="R786" s="78">
        <v>0.31740000000000002</v>
      </c>
      <c r="S786" s="69">
        <v>2.5000000000000001E-2</v>
      </c>
      <c r="T786" s="69">
        <v>0.01</v>
      </c>
      <c r="U786" s="507">
        <v>0.9</v>
      </c>
      <c r="V786" s="76">
        <v>0</v>
      </c>
      <c r="W786" s="76">
        <v>0</v>
      </c>
      <c r="X786" s="76" t="s">
        <v>147</v>
      </c>
      <c r="Y786" s="519" t="s">
        <v>469</v>
      </c>
    </row>
    <row r="787" spans="1:25" x14ac:dyDescent="0.25">
      <c r="A787" s="75" t="str">
        <f t="shared" si="29"/>
        <v>Exclusiva PF No_Premier Normal Mercado_Abierto Pago_Fijo_Puntual 25</v>
      </c>
      <c r="B787" s="75" t="str">
        <f t="shared" si="28"/>
        <v>Exclusiva PF No_Premier Normal Mercado_Abierto Pago_Fijo_Puntual 25 0.106</v>
      </c>
      <c r="C787" s="75" t="s">
        <v>116</v>
      </c>
      <c r="D787" s="75" t="s">
        <v>132</v>
      </c>
      <c r="E787" s="75" t="s">
        <v>179</v>
      </c>
      <c r="F787" s="75" t="s">
        <v>180</v>
      </c>
      <c r="G787" s="75" t="s">
        <v>396</v>
      </c>
      <c r="H787" s="75"/>
      <c r="I787" s="75" t="s">
        <v>171</v>
      </c>
      <c r="J787" s="76">
        <v>25</v>
      </c>
      <c r="K787" s="519">
        <v>3</v>
      </c>
      <c r="L787" s="520">
        <v>9.93</v>
      </c>
      <c r="M787" s="520">
        <v>10.59</v>
      </c>
      <c r="N787" s="507">
        <v>0.106</v>
      </c>
      <c r="O787" s="507">
        <v>0.10299999999999999</v>
      </c>
      <c r="P787" s="507">
        <v>0.11799999999999999</v>
      </c>
      <c r="Q787" s="78">
        <v>0.44</v>
      </c>
      <c r="R787" s="78">
        <v>0.31740000000000002</v>
      </c>
      <c r="S787" s="69">
        <v>2.5000000000000001E-2</v>
      </c>
      <c r="T787" s="69">
        <v>0.01</v>
      </c>
      <c r="U787" s="507">
        <v>0.85</v>
      </c>
      <c r="V787" s="76">
        <v>0</v>
      </c>
      <c r="W787" s="76">
        <v>0</v>
      </c>
      <c r="X787" s="76"/>
      <c r="Y787" s="519" t="s">
        <v>469</v>
      </c>
    </row>
    <row r="788" spans="1:25" x14ac:dyDescent="0.25">
      <c r="A788" s="75" t="str">
        <f t="shared" si="29"/>
        <v>Exclusiva PF No_Premier Normal Mercado_Abierto Pago_Fijo_Puntual Si 20</v>
      </c>
      <c r="B788" s="75" t="str">
        <f t="shared" si="28"/>
        <v>Exclusiva PF No_Premier Normal Mercado_Abierto Pago_Fijo_Puntual Si 20 0.103</v>
      </c>
      <c r="C788" s="75" t="s">
        <v>116</v>
      </c>
      <c r="D788" s="75" t="s">
        <v>132</v>
      </c>
      <c r="E788" s="75" t="s">
        <v>179</v>
      </c>
      <c r="F788" s="75" t="s">
        <v>180</v>
      </c>
      <c r="G788" s="75" t="s">
        <v>396</v>
      </c>
      <c r="H788" s="75"/>
      <c r="I788" s="75" t="s">
        <v>171</v>
      </c>
      <c r="J788" s="76">
        <v>20</v>
      </c>
      <c r="K788" s="519" t="s">
        <v>387</v>
      </c>
      <c r="L788" s="520">
        <v>10.16</v>
      </c>
      <c r="M788" s="520">
        <v>10.82</v>
      </c>
      <c r="N788" s="507">
        <v>0.10299999999999999</v>
      </c>
      <c r="O788" s="507">
        <v>0.1</v>
      </c>
      <c r="P788" s="507">
        <v>0.112</v>
      </c>
      <c r="Q788" s="78">
        <v>0.44</v>
      </c>
      <c r="R788" s="78">
        <v>0.31740000000000002</v>
      </c>
      <c r="S788" s="69">
        <v>2.5000000000000001E-2</v>
      </c>
      <c r="T788" s="69">
        <v>0.01</v>
      </c>
      <c r="U788" s="507">
        <v>0.9</v>
      </c>
      <c r="V788" s="76">
        <v>0</v>
      </c>
      <c r="W788" s="76">
        <v>0</v>
      </c>
      <c r="X788" s="76" t="s">
        <v>147</v>
      </c>
      <c r="Y788" s="519" t="s">
        <v>469</v>
      </c>
    </row>
    <row r="789" spans="1:25" x14ac:dyDescent="0.25">
      <c r="A789" s="75" t="str">
        <f t="shared" si="29"/>
        <v>Exclusiva PF No_Premier Normal Mercado_Abierto Pago_Fijo_Puntual 20</v>
      </c>
      <c r="B789" s="75" t="str">
        <f t="shared" si="28"/>
        <v>Exclusiva PF No_Premier Normal Mercado_Abierto Pago_Fijo_Puntual 20 0.106</v>
      </c>
      <c r="C789" s="75" t="s">
        <v>116</v>
      </c>
      <c r="D789" s="75" t="s">
        <v>132</v>
      </c>
      <c r="E789" s="75" t="s">
        <v>179</v>
      </c>
      <c r="F789" s="75" t="s">
        <v>180</v>
      </c>
      <c r="G789" s="75" t="s">
        <v>396</v>
      </c>
      <c r="H789" s="75"/>
      <c r="I789" s="75" t="s">
        <v>171</v>
      </c>
      <c r="J789" s="76">
        <v>20</v>
      </c>
      <c r="K789" s="519">
        <v>3</v>
      </c>
      <c r="L789" s="520">
        <v>10.41</v>
      </c>
      <c r="M789" s="520">
        <v>11.07</v>
      </c>
      <c r="N789" s="507">
        <v>0.106</v>
      </c>
      <c r="O789" s="507">
        <v>0.10299999999999999</v>
      </c>
      <c r="P789" s="507">
        <v>0.11799999999999999</v>
      </c>
      <c r="Q789" s="78">
        <v>0.44</v>
      </c>
      <c r="R789" s="78">
        <v>0.31740000000000002</v>
      </c>
      <c r="S789" s="69">
        <v>2.5000000000000001E-2</v>
      </c>
      <c r="T789" s="69">
        <v>0.01</v>
      </c>
      <c r="U789" s="507">
        <v>0.85</v>
      </c>
      <c r="V789" s="76">
        <v>0</v>
      </c>
      <c r="W789" s="76">
        <v>0</v>
      </c>
      <c r="X789" s="76"/>
      <c r="Y789" s="519" t="s">
        <v>469</v>
      </c>
    </row>
    <row r="790" spans="1:25" x14ac:dyDescent="0.25">
      <c r="A790" s="75" t="str">
        <f t="shared" si="29"/>
        <v>Exclusiva PF No_Premier Normal Mercado_Abierto Pago_Fijo_Puntual Si 15</v>
      </c>
      <c r="B790" s="75" t="str">
        <f t="shared" si="28"/>
        <v>Exclusiva PF No_Premier Normal Mercado_Abierto Pago_Fijo_Puntual Si 15 0.103</v>
      </c>
      <c r="C790" s="75" t="s">
        <v>116</v>
      </c>
      <c r="D790" s="75" t="s">
        <v>132</v>
      </c>
      <c r="E790" s="75" t="s">
        <v>179</v>
      </c>
      <c r="F790" s="75" t="s">
        <v>180</v>
      </c>
      <c r="G790" s="75" t="s">
        <v>396</v>
      </c>
      <c r="H790" s="75"/>
      <c r="I790" s="75" t="s">
        <v>171</v>
      </c>
      <c r="J790" s="76">
        <v>15</v>
      </c>
      <c r="K790" s="519" t="s">
        <v>387</v>
      </c>
      <c r="L790" s="520">
        <v>11.18</v>
      </c>
      <c r="M790" s="520">
        <v>11.84</v>
      </c>
      <c r="N790" s="507">
        <v>0.10299999999999999</v>
      </c>
      <c r="O790" s="507">
        <v>0.1</v>
      </c>
      <c r="P790" s="507">
        <v>0.112</v>
      </c>
      <c r="Q790" s="78">
        <v>0.44</v>
      </c>
      <c r="R790" s="78">
        <v>0.31740000000000002</v>
      </c>
      <c r="S790" s="69">
        <v>2.5000000000000001E-2</v>
      </c>
      <c r="T790" s="69">
        <v>0.01</v>
      </c>
      <c r="U790" s="507">
        <v>0.9</v>
      </c>
      <c r="V790" s="76">
        <v>0</v>
      </c>
      <c r="W790" s="76">
        <v>0</v>
      </c>
      <c r="X790" s="76" t="s">
        <v>147</v>
      </c>
      <c r="Y790" s="519" t="s">
        <v>469</v>
      </c>
    </row>
    <row r="791" spans="1:25" x14ac:dyDescent="0.25">
      <c r="A791" s="75" t="str">
        <f t="shared" si="29"/>
        <v>Exclusiva PF No_Premier Normal Mercado_Abierto Pago_Fijo_Puntual 15</v>
      </c>
      <c r="B791" s="75" t="str">
        <f t="shared" si="28"/>
        <v>Exclusiva PF No_Premier Normal Mercado_Abierto Pago_Fijo_Puntual 15 0.106</v>
      </c>
      <c r="C791" s="75" t="s">
        <v>116</v>
      </c>
      <c r="D791" s="75" t="s">
        <v>132</v>
      </c>
      <c r="E791" s="75" t="s">
        <v>179</v>
      </c>
      <c r="F791" s="75" t="s">
        <v>180</v>
      </c>
      <c r="G791" s="75" t="s">
        <v>396</v>
      </c>
      <c r="H791" s="75"/>
      <c r="I791" s="75" t="s">
        <v>171</v>
      </c>
      <c r="J791" s="76">
        <v>15</v>
      </c>
      <c r="K791" s="519">
        <v>3</v>
      </c>
      <c r="L791" s="520">
        <v>11.39</v>
      </c>
      <c r="M791" s="520">
        <v>12.05</v>
      </c>
      <c r="N791" s="507">
        <v>0.106</v>
      </c>
      <c r="O791" s="507">
        <v>0.10299999999999999</v>
      </c>
      <c r="P791" s="507">
        <v>0.11799999999999999</v>
      </c>
      <c r="Q791" s="78">
        <v>0.44</v>
      </c>
      <c r="R791" s="78">
        <v>0.31740000000000002</v>
      </c>
      <c r="S791" s="69">
        <v>2.5000000000000001E-2</v>
      </c>
      <c r="T791" s="69">
        <v>0.01</v>
      </c>
      <c r="U791" s="507">
        <v>0.85</v>
      </c>
      <c r="V791" s="76">
        <v>0</v>
      </c>
      <c r="W791" s="76">
        <v>0</v>
      </c>
      <c r="X791" s="76"/>
      <c r="Y791" s="519" t="s">
        <v>469</v>
      </c>
    </row>
    <row r="792" spans="1:25" x14ac:dyDescent="0.25">
      <c r="A792" s="75" t="str">
        <f t="shared" si="29"/>
        <v>Exclusiva PF No_Premier Normal Mercado_Abierto Pago_Fijo_Puntual Si 10</v>
      </c>
      <c r="B792" s="75" t="str">
        <f t="shared" si="28"/>
        <v>Exclusiva PF No_Premier Normal Mercado_Abierto Pago_Fijo_Puntual Si 10 0.103</v>
      </c>
      <c r="C792" s="75" t="s">
        <v>116</v>
      </c>
      <c r="D792" s="75" t="s">
        <v>132</v>
      </c>
      <c r="E792" s="75" t="s">
        <v>179</v>
      </c>
      <c r="F792" s="75" t="s">
        <v>180</v>
      </c>
      <c r="G792" s="75" t="s">
        <v>396</v>
      </c>
      <c r="H792" s="75"/>
      <c r="I792" s="75" t="s">
        <v>171</v>
      </c>
      <c r="J792" s="76">
        <v>10</v>
      </c>
      <c r="K792" s="519" t="s">
        <v>387</v>
      </c>
      <c r="L792" s="520">
        <v>13.54</v>
      </c>
      <c r="M792" s="520">
        <v>14.2</v>
      </c>
      <c r="N792" s="507">
        <v>0.10299999999999999</v>
      </c>
      <c r="O792" s="507">
        <v>0.1</v>
      </c>
      <c r="P792" s="507">
        <v>0.112</v>
      </c>
      <c r="Q792" s="78">
        <v>0.44</v>
      </c>
      <c r="R792" s="78">
        <v>0.31740000000000002</v>
      </c>
      <c r="S792" s="69">
        <v>2.5000000000000001E-2</v>
      </c>
      <c r="T792" s="69">
        <v>0.01</v>
      </c>
      <c r="U792" s="507">
        <v>0.9</v>
      </c>
      <c r="V792" s="76">
        <v>0</v>
      </c>
      <c r="W792" s="76">
        <v>0</v>
      </c>
      <c r="X792" s="76" t="s">
        <v>147</v>
      </c>
      <c r="Y792" s="519" t="s">
        <v>469</v>
      </c>
    </row>
    <row r="793" spans="1:25" x14ac:dyDescent="0.25">
      <c r="A793" s="75" t="str">
        <f t="shared" si="29"/>
        <v>Exclusiva PF No_Premier Normal Mercado_Abierto Pago_Fijo_Puntual 10</v>
      </c>
      <c r="B793" s="75" t="str">
        <f t="shared" si="28"/>
        <v>Exclusiva PF No_Premier Normal Mercado_Abierto Pago_Fijo_Puntual 10 0.106</v>
      </c>
      <c r="C793" s="75" t="s">
        <v>116</v>
      </c>
      <c r="D793" s="75" t="s">
        <v>132</v>
      </c>
      <c r="E793" s="75" t="s">
        <v>179</v>
      </c>
      <c r="F793" s="75" t="s">
        <v>180</v>
      </c>
      <c r="G793" s="75" t="s">
        <v>396</v>
      </c>
      <c r="H793" s="75"/>
      <c r="I793" s="75" t="s">
        <v>171</v>
      </c>
      <c r="J793" s="76">
        <v>10</v>
      </c>
      <c r="K793" s="519">
        <v>3</v>
      </c>
      <c r="L793" s="520">
        <v>13.71</v>
      </c>
      <c r="M793" s="520">
        <v>14.37</v>
      </c>
      <c r="N793" s="507">
        <v>0.106</v>
      </c>
      <c r="O793" s="507">
        <v>0.10299999999999999</v>
      </c>
      <c r="P793" s="507">
        <v>0.11799999999999999</v>
      </c>
      <c r="Q793" s="78">
        <v>0.44</v>
      </c>
      <c r="R793" s="78">
        <v>0.31740000000000002</v>
      </c>
      <c r="S793" s="69">
        <v>2.5000000000000001E-2</v>
      </c>
      <c r="T793" s="69">
        <v>0.01</v>
      </c>
      <c r="U793" s="507">
        <v>0.85</v>
      </c>
      <c r="V793" s="76">
        <v>0</v>
      </c>
      <c r="W793" s="76">
        <v>0</v>
      </c>
      <c r="X793" s="76"/>
      <c r="Y793" s="519" t="s">
        <v>469</v>
      </c>
    </row>
    <row r="794" spans="1:25" x14ac:dyDescent="0.25">
      <c r="A794" s="75" t="str">
        <f t="shared" si="29"/>
        <v>Exclusiva PF No_Premier Normal Mercado_Abierto Pago_Fijo_Puntual Si 5</v>
      </c>
      <c r="B794" s="75" t="str">
        <f t="shared" si="28"/>
        <v>Exclusiva PF No_Premier Normal Mercado_Abierto Pago_Fijo_Puntual Si 5 0.103</v>
      </c>
      <c r="C794" s="75" t="s">
        <v>116</v>
      </c>
      <c r="D794" s="75" t="s">
        <v>132</v>
      </c>
      <c r="E794" s="75" t="s">
        <v>179</v>
      </c>
      <c r="F794" s="75" t="s">
        <v>180</v>
      </c>
      <c r="G794" s="75" t="s">
        <v>396</v>
      </c>
      <c r="H794" s="75"/>
      <c r="I794" s="75" t="s">
        <v>171</v>
      </c>
      <c r="J794" s="76">
        <v>5</v>
      </c>
      <c r="K794" s="519" t="s">
        <v>387</v>
      </c>
      <c r="L794" s="520">
        <v>21.44</v>
      </c>
      <c r="M794" s="520">
        <v>22.1</v>
      </c>
      <c r="N794" s="507">
        <v>0.10299999999999999</v>
      </c>
      <c r="O794" s="507">
        <v>0.1</v>
      </c>
      <c r="P794" s="507">
        <v>0.112</v>
      </c>
      <c r="Q794" s="78">
        <v>0.44</v>
      </c>
      <c r="R794" s="78">
        <v>0.31740000000000002</v>
      </c>
      <c r="S794" s="69">
        <v>2.5000000000000001E-2</v>
      </c>
      <c r="T794" s="69">
        <v>0.01</v>
      </c>
      <c r="U794" s="507">
        <v>0.9</v>
      </c>
      <c r="V794" s="76">
        <v>0</v>
      </c>
      <c r="W794" s="76">
        <v>0</v>
      </c>
      <c r="X794" s="76" t="s">
        <v>147</v>
      </c>
      <c r="Y794" s="519" t="s">
        <v>469</v>
      </c>
    </row>
    <row r="795" spans="1:25" x14ac:dyDescent="0.25">
      <c r="A795" s="75" t="str">
        <f t="shared" si="29"/>
        <v>Exclusiva PF No_Premier Normal Mercado_Abierto Pago_Fijo_Puntual 5</v>
      </c>
      <c r="B795" s="75" t="str">
        <f t="shared" si="28"/>
        <v>Exclusiva PF No_Premier Normal Mercado_Abierto Pago_Fijo_Puntual 5 0.106</v>
      </c>
      <c r="C795" s="75" t="s">
        <v>116</v>
      </c>
      <c r="D795" s="75" t="s">
        <v>132</v>
      </c>
      <c r="E795" s="75" t="s">
        <v>179</v>
      </c>
      <c r="F795" s="75" t="s">
        <v>180</v>
      </c>
      <c r="G795" s="75" t="s">
        <v>396</v>
      </c>
      <c r="H795" s="75"/>
      <c r="I795" s="75" t="s">
        <v>171</v>
      </c>
      <c r="J795" s="76">
        <v>5</v>
      </c>
      <c r="K795" s="519">
        <v>3</v>
      </c>
      <c r="L795" s="520">
        <v>21.59</v>
      </c>
      <c r="M795" s="520">
        <v>22.25</v>
      </c>
      <c r="N795" s="507">
        <v>0.106</v>
      </c>
      <c r="O795" s="507">
        <v>0.10299999999999999</v>
      </c>
      <c r="P795" s="507">
        <v>0.11799999999999999</v>
      </c>
      <c r="Q795" s="78">
        <v>0.44</v>
      </c>
      <c r="R795" s="78">
        <v>0.31740000000000002</v>
      </c>
      <c r="S795" s="69">
        <v>2.5000000000000001E-2</v>
      </c>
      <c r="T795" s="69">
        <v>0.01</v>
      </c>
      <c r="U795" s="507">
        <v>0.85</v>
      </c>
      <c r="V795" s="76">
        <v>0</v>
      </c>
      <c r="W795" s="76">
        <v>0</v>
      </c>
      <c r="X795" s="76"/>
      <c r="Y795" s="519" t="s">
        <v>469</v>
      </c>
    </row>
    <row r="796" spans="1:25" x14ac:dyDescent="0.25">
      <c r="A796" s="75" t="str">
        <f t="shared" si="29"/>
        <v>Exclusiva PF No_Premier Normal Mercado_Abierto Pago_Bajo_Puntual Si 25</v>
      </c>
      <c r="B796" s="75" t="str">
        <f t="shared" si="28"/>
        <v>Exclusiva PF No_Premier Normal Mercado_Abierto Pago_Bajo_Puntual Si 25 0.103</v>
      </c>
      <c r="C796" s="75" t="s">
        <v>116</v>
      </c>
      <c r="D796" s="75" t="s">
        <v>132</v>
      </c>
      <c r="E796" s="75" t="s">
        <v>179</v>
      </c>
      <c r="F796" s="75" t="s">
        <v>180</v>
      </c>
      <c r="G796" s="75" t="s">
        <v>396</v>
      </c>
      <c r="H796" s="75"/>
      <c r="I796" s="75" t="s">
        <v>170</v>
      </c>
      <c r="J796" s="523">
        <v>25</v>
      </c>
      <c r="K796" s="519" t="s">
        <v>387</v>
      </c>
      <c r="L796" s="525">
        <v>8.64</v>
      </c>
      <c r="M796" s="525">
        <v>9.3000000000000007</v>
      </c>
      <c r="N796" s="507">
        <v>0.10299999999999999</v>
      </c>
      <c r="O796" s="507">
        <v>0.1</v>
      </c>
      <c r="P796" s="507">
        <v>0.112</v>
      </c>
      <c r="Q796" s="78">
        <v>0.44</v>
      </c>
      <c r="R796" s="78">
        <v>0.31740000000000002</v>
      </c>
      <c r="S796" s="69">
        <v>2.5000000000000001E-2</v>
      </c>
      <c r="T796" s="69">
        <v>0.01</v>
      </c>
      <c r="U796" s="507">
        <v>0.9</v>
      </c>
      <c r="V796" s="76">
        <v>0</v>
      </c>
      <c r="W796" s="76">
        <v>0</v>
      </c>
      <c r="X796" s="76" t="s">
        <v>147</v>
      </c>
      <c r="Y796" s="519" t="s">
        <v>469</v>
      </c>
    </row>
    <row r="797" spans="1:25" x14ac:dyDescent="0.25">
      <c r="A797" s="75" t="str">
        <f t="shared" si="29"/>
        <v>Exclusiva PF No_Premier Normal Mercado_Abierto Pago_Bajo_Puntual 25</v>
      </c>
      <c r="B797" s="75" t="str">
        <f t="shared" si="28"/>
        <v>Exclusiva PF No_Premier Normal Mercado_Abierto Pago_Bajo_Puntual 25 0.106</v>
      </c>
      <c r="C797" s="75" t="s">
        <v>116</v>
      </c>
      <c r="D797" s="75" t="s">
        <v>132</v>
      </c>
      <c r="E797" s="75" t="s">
        <v>179</v>
      </c>
      <c r="F797" s="75" t="s">
        <v>180</v>
      </c>
      <c r="G797" s="75" t="s">
        <v>396</v>
      </c>
      <c r="H797" s="75"/>
      <c r="I797" s="75" t="s">
        <v>170</v>
      </c>
      <c r="J797" s="523">
        <v>25</v>
      </c>
      <c r="K797" s="519">
        <v>3</v>
      </c>
      <c r="L797" s="525">
        <v>8.89</v>
      </c>
      <c r="M797" s="525">
        <v>9.5500000000000007</v>
      </c>
      <c r="N797" s="507">
        <v>0.106</v>
      </c>
      <c r="O797" s="507">
        <v>0.10299999999999999</v>
      </c>
      <c r="P797" s="507">
        <v>0.11799999999999999</v>
      </c>
      <c r="Q797" s="78">
        <v>0.44</v>
      </c>
      <c r="R797" s="78">
        <v>0.31740000000000002</v>
      </c>
      <c r="S797" s="69">
        <v>2.5000000000000001E-2</v>
      </c>
      <c r="T797" s="69">
        <v>0.01</v>
      </c>
      <c r="U797" s="507">
        <v>0.85</v>
      </c>
      <c r="V797" s="76">
        <v>0</v>
      </c>
      <c r="W797" s="76">
        <v>0</v>
      </c>
      <c r="X797" s="76"/>
      <c r="Y797" s="519" t="s">
        <v>469</v>
      </c>
    </row>
    <row r="798" spans="1:25" x14ac:dyDescent="0.25">
      <c r="A798" s="75" t="str">
        <f t="shared" si="29"/>
        <v>Exclusiva PF No_Premier Normal Mercado_Abierto Pago_Bajo_Puntual Si 20</v>
      </c>
      <c r="B798" s="75" t="str">
        <f t="shared" si="28"/>
        <v>Exclusiva PF No_Premier Normal Mercado_Abierto Pago_Bajo_Puntual Si 20 0.103</v>
      </c>
      <c r="C798" s="75" t="s">
        <v>116</v>
      </c>
      <c r="D798" s="75" t="s">
        <v>132</v>
      </c>
      <c r="E798" s="75" t="s">
        <v>179</v>
      </c>
      <c r="F798" s="75" t="s">
        <v>180</v>
      </c>
      <c r="G798" s="75" t="s">
        <v>396</v>
      </c>
      <c r="H798" s="75"/>
      <c r="I798" s="75" t="s">
        <v>170</v>
      </c>
      <c r="J798" s="76">
        <v>20</v>
      </c>
      <c r="K798" s="519" t="s">
        <v>387</v>
      </c>
      <c r="L798" s="520">
        <v>9</v>
      </c>
      <c r="M798" s="520">
        <v>9.66</v>
      </c>
      <c r="N798" s="507">
        <v>0.10299999999999999</v>
      </c>
      <c r="O798" s="507">
        <v>0.1</v>
      </c>
      <c r="P798" s="507">
        <v>0.112</v>
      </c>
      <c r="Q798" s="78">
        <v>0.44</v>
      </c>
      <c r="R798" s="78">
        <v>0.31740000000000002</v>
      </c>
      <c r="S798" s="69">
        <v>2.5000000000000001E-2</v>
      </c>
      <c r="T798" s="69">
        <v>0.01</v>
      </c>
      <c r="U798" s="507">
        <v>0.9</v>
      </c>
      <c r="V798" s="76">
        <v>0</v>
      </c>
      <c r="W798" s="76">
        <v>0</v>
      </c>
      <c r="X798" s="76" t="s">
        <v>147</v>
      </c>
      <c r="Y798" s="519" t="s">
        <v>469</v>
      </c>
    </row>
    <row r="799" spans="1:25" x14ac:dyDescent="0.25">
      <c r="A799" s="75" t="str">
        <f t="shared" si="29"/>
        <v>Exclusiva PF No_Premier Normal Mercado_Abierto Pago_Bajo_Puntual 20</v>
      </c>
      <c r="B799" s="75" t="str">
        <f t="shared" si="28"/>
        <v>Exclusiva PF No_Premier Normal Mercado_Abierto Pago_Bajo_Puntual 20 0.106</v>
      </c>
      <c r="C799" s="75" t="s">
        <v>116</v>
      </c>
      <c r="D799" s="75" t="s">
        <v>132</v>
      </c>
      <c r="E799" s="75" t="s">
        <v>179</v>
      </c>
      <c r="F799" s="75" t="s">
        <v>180</v>
      </c>
      <c r="G799" s="75" t="s">
        <v>396</v>
      </c>
      <c r="H799" s="75"/>
      <c r="I799" s="75" t="s">
        <v>170</v>
      </c>
      <c r="J799" s="76">
        <v>20</v>
      </c>
      <c r="K799" s="519">
        <v>3</v>
      </c>
      <c r="L799" s="520">
        <v>9.24</v>
      </c>
      <c r="M799" s="520">
        <v>9.9</v>
      </c>
      <c r="N799" s="507">
        <v>0.106</v>
      </c>
      <c r="O799" s="507">
        <v>0.10299999999999999</v>
      </c>
      <c r="P799" s="507">
        <v>0.11799999999999999</v>
      </c>
      <c r="Q799" s="78">
        <v>0.44</v>
      </c>
      <c r="R799" s="78">
        <v>0.31740000000000002</v>
      </c>
      <c r="S799" s="69">
        <v>2.5000000000000001E-2</v>
      </c>
      <c r="T799" s="69">
        <v>0.01</v>
      </c>
      <c r="U799" s="507">
        <v>0.85</v>
      </c>
      <c r="V799" s="76">
        <v>0</v>
      </c>
      <c r="W799" s="76">
        <v>0</v>
      </c>
      <c r="X799" s="76"/>
      <c r="Y799" s="519" t="s">
        <v>469</v>
      </c>
    </row>
    <row r="800" spans="1:25" x14ac:dyDescent="0.25">
      <c r="A800" s="75" t="str">
        <f t="shared" si="29"/>
        <v>Exclusiva PF No_Premier Normal Mercado_Abierto Pago_Bajo_Puntual Si 15</v>
      </c>
      <c r="B800" s="75" t="str">
        <f t="shared" si="28"/>
        <v>Exclusiva PF No_Premier Normal Mercado_Abierto Pago_Bajo_Puntual Si 15 0.103</v>
      </c>
      <c r="C800" s="75" t="s">
        <v>116</v>
      </c>
      <c r="D800" s="75" t="s">
        <v>132</v>
      </c>
      <c r="E800" s="75" t="s">
        <v>179</v>
      </c>
      <c r="F800" s="75" t="s">
        <v>180</v>
      </c>
      <c r="G800" s="75" t="s">
        <v>396</v>
      </c>
      <c r="H800" s="75"/>
      <c r="I800" s="75" t="s">
        <v>170</v>
      </c>
      <c r="J800" s="76">
        <v>15</v>
      </c>
      <c r="K800" s="519" t="s">
        <v>387</v>
      </c>
      <c r="L800" s="520">
        <v>10.119999999999999</v>
      </c>
      <c r="M800" s="520">
        <v>10.78</v>
      </c>
      <c r="N800" s="507">
        <v>0.10299999999999999</v>
      </c>
      <c r="O800" s="507">
        <v>0.1</v>
      </c>
      <c r="P800" s="507">
        <v>0.112</v>
      </c>
      <c r="Q800" s="78">
        <v>0.44</v>
      </c>
      <c r="R800" s="78">
        <v>0.31740000000000002</v>
      </c>
      <c r="S800" s="69">
        <v>2.5000000000000001E-2</v>
      </c>
      <c r="T800" s="69">
        <v>0.01</v>
      </c>
      <c r="U800" s="507">
        <v>0.9</v>
      </c>
      <c r="V800" s="76">
        <v>0</v>
      </c>
      <c r="W800" s="76">
        <v>0</v>
      </c>
      <c r="X800" s="76" t="s">
        <v>147</v>
      </c>
      <c r="Y800" s="519" t="s">
        <v>469</v>
      </c>
    </row>
    <row r="801" spans="1:25" x14ac:dyDescent="0.25">
      <c r="A801" s="75" t="str">
        <f t="shared" si="29"/>
        <v>Exclusiva PF No_Premier Normal Mercado_Abierto Pago_Bajo_Puntual 15</v>
      </c>
      <c r="B801" s="75" t="str">
        <f t="shared" si="28"/>
        <v>Exclusiva PF No_Premier Normal Mercado_Abierto Pago_Bajo_Puntual 15 0.106</v>
      </c>
      <c r="C801" s="75" t="s">
        <v>116</v>
      </c>
      <c r="D801" s="75" t="s">
        <v>132</v>
      </c>
      <c r="E801" s="75" t="s">
        <v>179</v>
      </c>
      <c r="F801" s="75" t="s">
        <v>180</v>
      </c>
      <c r="G801" s="75" t="s">
        <v>396</v>
      </c>
      <c r="H801" s="75"/>
      <c r="I801" s="75" t="s">
        <v>170</v>
      </c>
      <c r="J801" s="76">
        <v>15</v>
      </c>
      <c r="K801" s="519">
        <v>3</v>
      </c>
      <c r="L801" s="520">
        <v>10.33</v>
      </c>
      <c r="M801" s="520">
        <v>10.99</v>
      </c>
      <c r="N801" s="507">
        <v>0.106</v>
      </c>
      <c r="O801" s="507">
        <v>0.10299999999999999</v>
      </c>
      <c r="P801" s="507">
        <v>0.11799999999999999</v>
      </c>
      <c r="Q801" s="78">
        <v>0.44</v>
      </c>
      <c r="R801" s="78">
        <v>0.31740000000000002</v>
      </c>
      <c r="S801" s="69">
        <v>2.5000000000000001E-2</v>
      </c>
      <c r="T801" s="69">
        <v>0.01</v>
      </c>
      <c r="U801" s="507">
        <v>0.85</v>
      </c>
      <c r="V801" s="76">
        <v>0</v>
      </c>
      <c r="W801" s="76">
        <v>0</v>
      </c>
      <c r="X801" s="76"/>
      <c r="Y801" s="519" t="s">
        <v>469</v>
      </c>
    </row>
    <row r="802" spans="1:25" x14ac:dyDescent="0.25">
      <c r="A802" s="75" t="str">
        <f t="shared" si="29"/>
        <v>Exclusiva PF No_Premier Normal Mercado_Abierto Pago_Bajo_Puntual Si 10</v>
      </c>
      <c r="B802" s="75" t="str">
        <f t="shared" si="28"/>
        <v>Exclusiva PF No_Premier Normal Mercado_Abierto Pago_Bajo_Puntual Si 10 0.103</v>
      </c>
      <c r="C802" s="75" t="s">
        <v>116</v>
      </c>
      <c r="D802" s="75" t="s">
        <v>132</v>
      </c>
      <c r="E802" s="75" t="s">
        <v>179</v>
      </c>
      <c r="F802" s="75" t="s">
        <v>180</v>
      </c>
      <c r="G802" s="75" t="s">
        <v>396</v>
      </c>
      <c r="H802" s="75"/>
      <c r="I802" s="75" t="s">
        <v>170</v>
      </c>
      <c r="J802" s="76">
        <v>10</v>
      </c>
      <c r="K802" s="519" t="s">
        <v>387</v>
      </c>
      <c r="L802" s="520">
        <v>12.62</v>
      </c>
      <c r="M802" s="520">
        <v>13.28</v>
      </c>
      <c r="N802" s="507">
        <v>0.10299999999999999</v>
      </c>
      <c r="O802" s="507">
        <v>0.1</v>
      </c>
      <c r="P802" s="507">
        <v>0.112</v>
      </c>
      <c r="Q802" s="78">
        <v>0.44</v>
      </c>
      <c r="R802" s="78">
        <v>0.31740000000000002</v>
      </c>
      <c r="S802" s="69">
        <v>2.5000000000000001E-2</v>
      </c>
      <c r="T802" s="69">
        <v>0.01</v>
      </c>
      <c r="U802" s="507">
        <v>0.9</v>
      </c>
      <c r="V802" s="76">
        <v>0</v>
      </c>
      <c r="W802" s="76">
        <v>0</v>
      </c>
      <c r="X802" s="76" t="s">
        <v>147</v>
      </c>
      <c r="Y802" s="519" t="s">
        <v>469</v>
      </c>
    </row>
    <row r="803" spans="1:25" x14ac:dyDescent="0.25">
      <c r="A803" s="75" t="str">
        <f t="shared" si="29"/>
        <v>Exclusiva PF No_Premier Normal Mercado_Abierto Pago_Bajo_Puntual 10</v>
      </c>
      <c r="B803" s="75" t="str">
        <f t="shared" si="28"/>
        <v>Exclusiva PF No_Premier Normal Mercado_Abierto Pago_Bajo_Puntual 10 0.106</v>
      </c>
      <c r="C803" s="75" t="s">
        <v>116</v>
      </c>
      <c r="D803" s="75" t="s">
        <v>132</v>
      </c>
      <c r="E803" s="75" t="s">
        <v>179</v>
      </c>
      <c r="F803" s="75" t="s">
        <v>180</v>
      </c>
      <c r="G803" s="75" t="s">
        <v>396</v>
      </c>
      <c r="H803" s="75"/>
      <c r="I803" s="75" t="s">
        <v>170</v>
      </c>
      <c r="J803" s="76">
        <v>10</v>
      </c>
      <c r="K803" s="519">
        <v>3</v>
      </c>
      <c r="L803" s="520">
        <v>12.78</v>
      </c>
      <c r="M803" s="520">
        <v>13.44</v>
      </c>
      <c r="N803" s="507">
        <v>0.106</v>
      </c>
      <c r="O803" s="507">
        <v>0.10299999999999999</v>
      </c>
      <c r="P803" s="507">
        <v>0.11799999999999999</v>
      </c>
      <c r="Q803" s="78">
        <v>0.44</v>
      </c>
      <c r="R803" s="78">
        <v>0.31740000000000002</v>
      </c>
      <c r="S803" s="69">
        <v>2.5000000000000001E-2</v>
      </c>
      <c r="T803" s="69">
        <v>0.01</v>
      </c>
      <c r="U803" s="507">
        <v>0.85</v>
      </c>
      <c r="V803" s="76">
        <v>0</v>
      </c>
      <c r="W803" s="76">
        <v>0</v>
      </c>
      <c r="X803" s="76"/>
      <c r="Y803" s="519" t="s">
        <v>469</v>
      </c>
    </row>
    <row r="804" spans="1:25" x14ac:dyDescent="0.25">
      <c r="A804" s="75" t="str">
        <f t="shared" si="29"/>
        <v>Exclusiva PF No_Premier Normal Mercado_Abierto Pago_Bajo_Puntual Si 5</v>
      </c>
      <c r="B804" s="75" t="str">
        <f t="shared" si="28"/>
        <v>Exclusiva PF No_Premier Normal Mercado_Abierto Pago_Bajo_Puntual Si 5 0.103</v>
      </c>
      <c r="C804" s="75" t="s">
        <v>116</v>
      </c>
      <c r="D804" s="75" t="s">
        <v>132</v>
      </c>
      <c r="E804" s="75" t="s">
        <v>179</v>
      </c>
      <c r="F804" s="75" t="s">
        <v>180</v>
      </c>
      <c r="G804" s="75" t="s">
        <v>396</v>
      </c>
      <c r="H804" s="75"/>
      <c r="I804" s="75" t="s">
        <v>170</v>
      </c>
      <c r="J804" s="76">
        <v>5</v>
      </c>
      <c r="K804" s="519" t="s">
        <v>387</v>
      </c>
      <c r="L804" s="520">
        <v>20.72</v>
      </c>
      <c r="M804" s="520">
        <v>21.38</v>
      </c>
      <c r="N804" s="507">
        <v>0.10299999999999999</v>
      </c>
      <c r="O804" s="507">
        <v>0.1</v>
      </c>
      <c r="P804" s="507">
        <v>0.112</v>
      </c>
      <c r="Q804" s="78">
        <v>0.44</v>
      </c>
      <c r="R804" s="78">
        <v>0.31740000000000002</v>
      </c>
      <c r="S804" s="69">
        <v>2.5000000000000001E-2</v>
      </c>
      <c r="T804" s="69">
        <v>0.01</v>
      </c>
      <c r="U804" s="507">
        <v>0.9</v>
      </c>
      <c r="V804" s="76">
        <v>0</v>
      </c>
      <c r="W804" s="76">
        <v>0</v>
      </c>
      <c r="X804" s="76" t="s">
        <v>147</v>
      </c>
      <c r="Y804" s="519" t="s">
        <v>469</v>
      </c>
    </row>
    <row r="805" spans="1:25" x14ac:dyDescent="0.25">
      <c r="A805" s="75" t="str">
        <f t="shared" si="29"/>
        <v>Exclusiva PF No_Premier Normal Mercado_Abierto Pago_Bajo_Puntual 5</v>
      </c>
      <c r="B805" s="75" t="str">
        <f t="shared" si="28"/>
        <v>Exclusiva PF No_Premier Normal Mercado_Abierto Pago_Bajo_Puntual 5 0.106</v>
      </c>
      <c r="C805" s="75" t="s">
        <v>116</v>
      </c>
      <c r="D805" s="75" t="s">
        <v>132</v>
      </c>
      <c r="E805" s="75" t="s">
        <v>179</v>
      </c>
      <c r="F805" s="75" t="s">
        <v>180</v>
      </c>
      <c r="G805" s="75" t="s">
        <v>396</v>
      </c>
      <c r="H805" s="75"/>
      <c r="I805" s="75" t="s">
        <v>170</v>
      </c>
      <c r="J805" s="76">
        <v>5</v>
      </c>
      <c r="K805" s="519">
        <v>3</v>
      </c>
      <c r="L805" s="520">
        <v>20.86</v>
      </c>
      <c r="M805" s="520">
        <v>21.52</v>
      </c>
      <c r="N805" s="507">
        <v>0.106</v>
      </c>
      <c r="O805" s="507">
        <v>0.10299999999999999</v>
      </c>
      <c r="P805" s="507">
        <v>0.11799999999999999</v>
      </c>
      <c r="Q805" s="78">
        <v>0.44</v>
      </c>
      <c r="R805" s="78">
        <v>0.31740000000000002</v>
      </c>
      <c r="S805" s="69">
        <v>2.5000000000000001E-2</v>
      </c>
      <c r="T805" s="69">
        <v>0.01</v>
      </c>
      <c r="U805" s="507">
        <v>0.85</v>
      </c>
      <c r="V805" s="76">
        <v>0</v>
      </c>
      <c r="W805" s="76">
        <v>0</v>
      </c>
      <c r="X805" s="76"/>
      <c r="Y805" s="519" t="s">
        <v>469</v>
      </c>
    </row>
    <row r="806" spans="1:25" x14ac:dyDescent="0.25">
      <c r="A806" s="75" t="str">
        <f t="shared" si="29"/>
        <v>Exclusiva PF No_Premier Normal Mercado_Abierto Pago_Fijo_Puntual 25</v>
      </c>
      <c r="B806" s="75" t="str">
        <f t="shared" si="28"/>
        <v>Exclusiva PF No_Premier Normal Mercado_Abierto Pago_Fijo_Puntual 25 0.0965</v>
      </c>
      <c r="C806" s="75" t="s">
        <v>116</v>
      </c>
      <c r="D806" s="75" t="s">
        <v>132</v>
      </c>
      <c r="E806" s="75" t="s">
        <v>179</v>
      </c>
      <c r="F806" s="75" t="s">
        <v>180</v>
      </c>
      <c r="G806" s="75" t="s">
        <v>396</v>
      </c>
      <c r="H806" s="75"/>
      <c r="I806" s="75" t="s">
        <v>171</v>
      </c>
      <c r="J806" s="76">
        <v>25</v>
      </c>
      <c r="K806" s="516" t="s">
        <v>385</v>
      </c>
      <c r="L806" s="517">
        <v>9.11</v>
      </c>
      <c r="M806" s="517">
        <v>9.77</v>
      </c>
      <c r="N806" s="518">
        <v>9.6500000000000002E-2</v>
      </c>
      <c r="O806" s="518">
        <v>9.1999999999999998E-2</v>
      </c>
      <c r="P806" s="518">
        <v>0.10249999999999999</v>
      </c>
      <c r="Q806" s="78">
        <v>0.44</v>
      </c>
      <c r="R806" s="78">
        <v>0.31740000000000002</v>
      </c>
      <c r="S806" s="69">
        <v>2.5000000000000001E-2</v>
      </c>
      <c r="T806" s="69">
        <v>0.01</v>
      </c>
      <c r="U806" s="518">
        <v>0.7</v>
      </c>
      <c r="V806" s="76">
        <v>0</v>
      </c>
      <c r="W806" s="76">
        <v>0</v>
      </c>
      <c r="X806" s="76"/>
      <c r="Y806" s="516" t="s">
        <v>470</v>
      </c>
    </row>
    <row r="807" spans="1:25" x14ac:dyDescent="0.25">
      <c r="A807" s="75" t="str">
        <f t="shared" si="29"/>
        <v>Exclusiva PF No_Premier Normal Mercado_Abierto Pago_Fijo_Puntual 25</v>
      </c>
      <c r="B807" s="75" t="str">
        <f t="shared" si="28"/>
        <v>Exclusiva PF No_Premier Normal Mercado_Abierto Pago_Fijo_Puntual 25 0.103</v>
      </c>
      <c r="C807" s="75" t="s">
        <v>116</v>
      </c>
      <c r="D807" s="75" t="s">
        <v>132</v>
      </c>
      <c r="E807" s="75" t="s">
        <v>179</v>
      </c>
      <c r="F807" s="75" t="s">
        <v>180</v>
      </c>
      <c r="G807" s="75" t="s">
        <v>396</v>
      </c>
      <c r="H807" s="75"/>
      <c r="I807" s="75" t="s">
        <v>171</v>
      </c>
      <c r="J807" s="76">
        <v>25</v>
      </c>
      <c r="K807" s="516" t="s">
        <v>386</v>
      </c>
      <c r="L807" s="517">
        <v>9.65</v>
      </c>
      <c r="M807" s="517">
        <v>10.31</v>
      </c>
      <c r="N807" s="518">
        <v>0.10299999999999999</v>
      </c>
      <c r="O807" s="518">
        <v>0.1</v>
      </c>
      <c r="P807" s="518">
        <v>0.112</v>
      </c>
      <c r="Q807" s="78">
        <v>0.44</v>
      </c>
      <c r="R807" s="78">
        <v>0.31740000000000002</v>
      </c>
      <c r="S807" s="69">
        <v>2.5000000000000001E-2</v>
      </c>
      <c r="T807" s="69">
        <v>0.01</v>
      </c>
      <c r="U807" s="518">
        <v>0.7</v>
      </c>
      <c r="V807" s="76">
        <v>0</v>
      </c>
      <c r="W807" s="76">
        <v>0</v>
      </c>
      <c r="X807" s="76"/>
      <c r="Y807" s="516" t="s">
        <v>470</v>
      </c>
    </row>
    <row r="808" spans="1:25" x14ac:dyDescent="0.25">
      <c r="A808" s="75" t="str">
        <f t="shared" si="29"/>
        <v>Exclusiva PF No_Premier Normal Mercado_Abierto Pago_Fijo_Puntual 20</v>
      </c>
      <c r="B808" s="75" t="str">
        <f t="shared" si="28"/>
        <v>Exclusiva PF No_Premier Normal Mercado_Abierto Pago_Fijo_Puntual 20 0.0965</v>
      </c>
      <c r="C808" s="75" t="s">
        <v>116</v>
      </c>
      <c r="D808" s="75" t="s">
        <v>132</v>
      </c>
      <c r="E808" s="75" t="s">
        <v>179</v>
      </c>
      <c r="F808" s="75" t="s">
        <v>180</v>
      </c>
      <c r="G808" s="75" t="s">
        <v>396</v>
      </c>
      <c r="H808" s="75"/>
      <c r="I808" s="75" t="s">
        <v>171</v>
      </c>
      <c r="J808" s="76">
        <v>20</v>
      </c>
      <c r="K808" s="516" t="s">
        <v>385</v>
      </c>
      <c r="L808" s="517">
        <v>9.66</v>
      </c>
      <c r="M808" s="517">
        <v>10.32</v>
      </c>
      <c r="N808" s="518">
        <v>9.6500000000000002E-2</v>
      </c>
      <c r="O808" s="518">
        <v>9.1999999999999998E-2</v>
      </c>
      <c r="P808" s="518">
        <v>0.10249999999999999</v>
      </c>
      <c r="Q808" s="78">
        <v>0.44</v>
      </c>
      <c r="R808" s="78">
        <v>0.31740000000000002</v>
      </c>
      <c r="S808" s="69">
        <v>2.5000000000000001E-2</v>
      </c>
      <c r="T808" s="69">
        <v>0.01</v>
      </c>
      <c r="U808" s="518">
        <v>0.7</v>
      </c>
      <c r="V808" s="76">
        <v>0</v>
      </c>
      <c r="W808" s="76">
        <v>0</v>
      </c>
      <c r="X808" s="76"/>
      <c r="Y808" s="516" t="s">
        <v>470</v>
      </c>
    </row>
    <row r="809" spans="1:25" x14ac:dyDescent="0.25">
      <c r="A809" s="75" t="str">
        <f t="shared" si="29"/>
        <v>Exclusiva PF No_Premier Normal Mercado_Abierto Pago_Fijo_Puntual 20</v>
      </c>
      <c r="B809" s="75" t="str">
        <f t="shared" si="28"/>
        <v>Exclusiva PF No_Premier Normal Mercado_Abierto Pago_Fijo_Puntual 20 0.103</v>
      </c>
      <c r="C809" s="75" t="s">
        <v>116</v>
      </c>
      <c r="D809" s="75" t="s">
        <v>132</v>
      </c>
      <c r="E809" s="75" t="s">
        <v>179</v>
      </c>
      <c r="F809" s="75" t="s">
        <v>180</v>
      </c>
      <c r="G809" s="75" t="s">
        <v>396</v>
      </c>
      <c r="H809" s="75"/>
      <c r="I809" s="75" t="s">
        <v>171</v>
      </c>
      <c r="J809" s="76">
        <v>20</v>
      </c>
      <c r="K809" s="516" t="s">
        <v>386</v>
      </c>
      <c r="L809" s="517">
        <v>10.16</v>
      </c>
      <c r="M809" s="517">
        <v>10.82</v>
      </c>
      <c r="N809" s="518">
        <v>0.10299999999999999</v>
      </c>
      <c r="O809" s="518">
        <v>0.1</v>
      </c>
      <c r="P809" s="518">
        <v>0.112</v>
      </c>
      <c r="Q809" s="78">
        <v>0.44</v>
      </c>
      <c r="R809" s="78">
        <v>0.31740000000000002</v>
      </c>
      <c r="S809" s="69">
        <v>2.5000000000000001E-2</v>
      </c>
      <c r="T809" s="69">
        <v>0.01</v>
      </c>
      <c r="U809" s="518">
        <v>0.7</v>
      </c>
      <c r="V809" s="76">
        <v>0</v>
      </c>
      <c r="W809" s="76">
        <v>0</v>
      </c>
      <c r="X809" s="76"/>
      <c r="Y809" s="516" t="s">
        <v>470</v>
      </c>
    </row>
    <row r="810" spans="1:25" x14ac:dyDescent="0.25">
      <c r="A810" s="75" t="str">
        <f t="shared" si="29"/>
        <v>Exclusiva PF No_Premier Normal Mercado_Abierto Pago_Fijo_Puntual 15</v>
      </c>
      <c r="B810" s="75" t="str">
        <f t="shared" si="28"/>
        <v>Exclusiva PF No_Premier Normal Mercado_Abierto Pago_Fijo_Puntual 15 0.0965</v>
      </c>
      <c r="C810" s="75" t="s">
        <v>116</v>
      </c>
      <c r="D810" s="75" t="s">
        <v>132</v>
      </c>
      <c r="E810" s="75" t="s">
        <v>179</v>
      </c>
      <c r="F810" s="75" t="s">
        <v>180</v>
      </c>
      <c r="G810" s="75" t="s">
        <v>396</v>
      </c>
      <c r="H810" s="75"/>
      <c r="I810" s="75" t="s">
        <v>171</v>
      </c>
      <c r="J810" s="76">
        <v>15</v>
      </c>
      <c r="K810" s="516" t="s">
        <v>385</v>
      </c>
      <c r="L810" s="517">
        <v>10.73</v>
      </c>
      <c r="M810" s="517">
        <v>11.39</v>
      </c>
      <c r="N810" s="518">
        <v>9.6500000000000002E-2</v>
      </c>
      <c r="O810" s="518">
        <v>9.1999999999999998E-2</v>
      </c>
      <c r="P810" s="518">
        <v>0.10249999999999999</v>
      </c>
      <c r="Q810" s="78">
        <v>0.44</v>
      </c>
      <c r="R810" s="78">
        <v>0.31740000000000002</v>
      </c>
      <c r="S810" s="69">
        <v>2.5000000000000001E-2</v>
      </c>
      <c r="T810" s="69">
        <v>0.01</v>
      </c>
      <c r="U810" s="518">
        <v>0.7</v>
      </c>
      <c r="V810" s="76">
        <v>0</v>
      </c>
      <c r="W810" s="76">
        <v>0</v>
      </c>
      <c r="X810" s="76"/>
      <c r="Y810" s="516" t="s">
        <v>470</v>
      </c>
    </row>
    <row r="811" spans="1:25" x14ac:dyDescent="0.25">
      <c r="A811" s="75" t="str">
        <f t="shared" si="29"/>
        <v>Exclusiva PF No_Premier Normal Mercado_Abierto Pago_Fijo_Puntual 15</v>
      </c>
      <c r="B811" s="75" t="str">
        <f t="shared" si="28"/>
        <v>Exclusiva PF No_Premier Normal Mercado_Abierto Pago_Fijo_Puntual 15 0.103</v>
      </c>
      <c r="C811" s="75" t="s">
        <v>116</v>
      </c>
      <c r="D811" s="75" t="s">
        <v>132</v>
      </c>
      <c r="E811" s="75" t="s">
        <v>179</v>
      </c>
      <c r="F811" s="75" t="s">
        <v>180</v>
      </c>
      <c r="G811" s="75" t="s">
        <v>396</v>
      </c>
      <c r="H811" s="75"/>
      <c r="I811" s="75" t="s">
        <v>171</v>
      </c>
      <c r="J811" s="76">
        <v>15</v>
      </c>
      <c r="K811" s="516" t="s">
        <v>386</v>
      </c>
      <c r="L811" s="517">
        <v>11.18</v>
      </c>
      <c r="M811" s="517">
        <v>11.84</v>
      </c>
      <c r="N811" s="518">
        <v>0.10299999999999999</v>
      </c>
      <c r="O811" s="518">
        <v>0.1</v>
      </c>
      <c r="P811" s="518">
        <v>0.112</v>
      </c>
      <c r="Q811" s="78">
        <v>0.44</v>
      </c>
      <c r="R811" s="78">
        <v>0.31740000000000002</v>
      </c>
      <c r="S811" s="69">
        <v>2.5000000000000001E-2</v>
      </c>
      <c r="T811" s="69">
        <v>0.01</v>
      </c>
      <c r="U811" s="518">
        <v>0.7</v>
      </c>
      <c r="V811" s="76">
        <v>0</v>
      </c>
      <c r="W811" s="76">
        <v>0</v>
      </c>
      <c r="X811" s="76"/>
      <c r="Y811" s="516" t="s">
        <v>470</v>
      </c>
    </row>
    <row r="812" spans="1:25" x14ac:dyDescent="0.25">
      <c r="A812" s="75" t="str">
        <f t="shared" si="29"/>
        <v>Exclusiva PF No_Premier Normal Mercado_Abierto Pago_Fijo_Puntual 10</v>
      </c>
      <c r="B812" s="75" t="str">
        <f t="shared" si="28"/>
        <v>Exclusiva PF No_Premier Normal Mercado_Abierto Pago_Fijo_Puntual 10 0.0965</v>
      </c>
      <c r="C812" s="75" t="s">
        <v>116</v>
      </c>
      <c r="D812" s="75" t="s">
        <v>132</v>
      </c>
      <c r="E812" s="75" t="s">
        <v>179</v>
      </c>
      <c r="F812" s="75" t="s">
        <v>180</v>
      </c>
      <c r="G812" s="75" t="s">
        <v>396</v>
      </c>
      <c r="H812" s="75"/>
      <c r="I812" s="75" t="s">
        <v>171</v>
      </c>
      <c r="J812" s="76">
        <v>10</v>
      </c>
      <c r="K812" s="516" t="s">
        <v>385</v>
      </c>
      <c r="L812" s="517">
        <v>13.16</v>
      </c>
      <c r="M812" s="517">
        <v>13.82</v>
      </c>
      <c r="N812" s="518">
        <v>9.6500000000000002E-2</v>
      </c>
      <c r="O812" s="518">
        <v>9.1999999999999998E-2</v>
      </c>
      <c r="P812" s="518">
        <v>0.10249999999999999</v>
      </c>
      <c r="Q812" s="78">
        <v>0.44</v>
      </c>
      <c r="R812" s="78">
        <v>0.31740000000000002</v>
      </c>
      <c r="S812" s="69">
        <v>2.5000000000000001E-2</v>
      </c>
      <c r="T812" s="69">
        <v>0.01</v>
      </c>
      <c r="U812" s="518">
        <v>0.7</v>
      </c>
      <c r="V812" s="76">
        <v>0</v>
      </c>
      <c r="W812" s="76">
        <v>0</v>
      </c>
      <c r="X812" s="76"/>
      <c r="Y812" s="516" t="s">
        <v>470</v>
      </c>
    </row>
    <row r="813" spans="1:25" x14ac:dyDescent="0.25">
      <c r="A813" s="75" t="str">
        <f t="shared" si="29"/>
        <v>Exclusiva PF No_Premier Normal Mercado_Abierto Pago_Fijo_Puntual 10</v>
      </c>
      <c r="B813" s="75" t="str">
        <f t="shared" si="28"/>
        <v>Exclusiva PF No_Premier Normal Mercado_Abierto Pago_Fijo_Puntual 10 0.103</v>
      </c>
      <c r="C813" s="75" t="s">
        <v>116</v>
      </c>
      <c r="D813" s="75" t="s">
        <v>132</v>
      </c>
      <c r="E813" s="75" t="s">
        <v>179</v>
      </c>
      <c r="F813" s="75" t="s">
        <v>180</v>
      </c>
      <c r="G813" s="75" t="s">
        <v>396</v>
      </c>
      <c r="H813" s="75"/>
      <c r="I813" s="75" t="s">
        <v>171</v>
      </c>
      <c r="J813" s="76">
        <v>10</v>
      </c>
      <c r="K813" s="516" t="s">
        <v>386</v>
      </c>
      <c r="L813" s="517">
        <v>13.54</v>
      </c>
      <c r="M813" s="517">
        <v>14.2</v>
      </c>
      <c r="N813" s="518">
        <v>0.10299999999999999</v>
      </c>
      <c r="O813" s="518">
        <v>0.1</v>
      </c>
      <c r="P813" s="518">
        <v>0.112</v>
      </c>
      <c r="Q813" s="78">
        <v>0.44</v>
      </c>
      <c r="R813" s="78">
        <v>0.31740000000000002</v>
      </c>
      <c r="S813" s="69">
        <v>2.5000000000000001E-2</v>
      </c>
      <c r="T813" s="69">
        <v>0.01</v>
      </c>
      <c r="U813" s="518">
        <v>0.7</v>
      </c>
      <c r="V813" s="76">
        <v>0</v>
      </c>
      <c r="W813" s="76">
        <v>0</v>
      </c>
      <c r="X813" s="76"/>
      <c r="Y813" s="516" t="s">
        <v>470</v>
      </c>
    </row>
    <row r="814" spans="1:25" x14ac:dyDescent="0.25">
      <c r="A814" s="75" t="str">
        <f t="shared" si="29"/>
        <v>Exclusiva PF No_Premier Normal Mercado_Abierto Pago_Fijo_Puntual 5</v>
      </c>
      <c r="B814" s="75" t="str">
        <f t="shared" si="28"/>
        <v>Exclusiva PF No_Premier Normal Mercado_Abierto Pago_Fijo_Puntual 5 0.0965</v>
      </c>
      <c r="C814" s="75" t="s">
        <v>116</v>
      </c>
      <c r="D814" s="75" t="s">
        <v>132</v>
      </c>
      <c r="E814" s="75" t="s">
        <v>179</v>
      </c>
      <c r="F814" s="75" t="s">
        <v>180</v>
      </c>
      <c r="G814" s="75" t="s">
        <v>396</v>
      </c>
      <c r="H814" s="75"/>
      <c r="I814" s="75" t="s">
        <v>171</v>
      </c>
      <c r="J814" s="76">
        <v>5</v>
      </c>
      <c r="K814" s="516" t="s">
        <v>385</v>
      </c>
      <c r="L814" s="517">
        <v>21.12</v>
      </c>
      <c r="M814" s="517">
        <v>21.78</v>
      </c>
      <c r="N814" s="518">
        <v>9.6500000000000002E-2</v>
      </c>
      <c r="O814" s="518">
        <v>9.1999999999999998E-2</v>
      </c>
      <c r="P814" s="518">
        <v>0.10249999999999999</v>
      </c>
      <c r="Q814" s="78">
        <v>0.44</v>
      </c>
      <c r="R814" s="78">
        <v>0.31740000000000002</v>
      </c>
      <c r="S814" s="69">
        <v>2.5000000000000001E-2</v>
      </c>
      <c r="T814" s="69">
        <v>0.01</v>
      </c>
      <c r="U814" s="518">
        <v>0.7</v>
      </c>
      <c r="V814" s="76">
        <v>0</v>
      </c>
      <c r="W814" s="76">
        <v>0</v>
      </c>
      <c r="X814" s="76"/>
      <c r="Y814" s="516" t="s">
        <v>470</v>
      </c>
    </row>
    <row r="815" spans="1:25" x14ac:dyDescent="0.25">
      <c r="A815" s="75" t="str">
        <f t="shared" si="29"/>
        <v>Exclusiva PF No_Premier Normal Mercado_Abierto Pago_Fijo_Puntual 5</v>
      </c>
      <c r="B815" s="75" t="str">
        <f t="shared" si="28"/>
        <v>Exclusiva PF No_Premier Normal Mercado_Abierto Pago_Fijo_Puntual 5 0.103</v>
      </c>
      <c r="C815" s="75" t="s">
        <v>116</v>
      </c>
      <c r="D815" s="75" t="s">
        <v>132</v>
      </c>
      <c r="E815" s="75" t="s">
        <v>179</v>
      </c>
      <c r="F815" s="75" t="s">
        <v>180</v>
      </c>
      <c r="G815" s="75" t="s">
        <v>396</v>
      </c>
      <c r="H815" s="75"/>
      <c r="I815" s="75" t="s">
        <v>171</v>
      </c>
      <c r="J815" s="76">
        <v>5</v>
      </c>
      <c r="K815" s="516" t="s">
        <v>386</v>
      </c>
      <c r="L815" s="517">
        <v>21.44</v>
      </c>
      <c r="M815" s="517">
        <v>22.1</v>
      </c>
      <c r="N815" s="518">
        <v>0.10299999999999999</v>
      </c>
      <c r="O815" s="518">
        <v>0.1</v>
      </c>
      <c r="P815" s="518">
        <v>0.112</v>
      </c>
      <c r="Q815" s="78">
        <v>0.44</v>
      </c>
      <c r="R815" s="78">
        <v>0.31740000000000002</v>
      </c>
      <c r="S815" s="69">
        <v>2.5000000000000001E-2</v>
      </c>
      <c r="T815" s="69">
        <v>0.01</v>
      </c>
      <c r="U815" s="518">
        <v>0.7</v>
      </c>
      <c r="V815" s="76">
        <v>0</v>
      </c>
      <c r="W815" s="76">
        <v>0</v>
      </c>
      <c r="X815" s="76"/>
      <c r="Y815" s="516" t="s">
        <v>470</v>
      </c>
    </row>
    <row r="816" spans="1:25" x14ac:dyDescent="0.25">
      <c r="A816" s="75" t="str">
        <f t="shared" si="29"/>
        <v>Exclusiva PF No_Premier Normal Mercado_Abierto Pago_Bajo_Puntual 25</v>
      </c>
      <c r="B816" s="75" t="str">
        <f t="shared" si="28"/>
        <v>Exclusiva PF No_Premier Normal Mercado_Abierto Pago_Bajo_Puntual 25 0.0965</v>
      </c>
      <c r="C816" s="75" t="s">
        <v>116</v>
      </c>
      <c r="D816" s="75" t="s">
        <v>132</v>
      </c>
      <c r="E816" s="75" t="s">
        <v>179</v>
      </c>
      <c r="F816" s="75" t="s">
        <v>180</v>
      </c>
      <c r="G816" s="75" t="s">
        <v>396</v>
      </c>
      <c r="H816" s="75"/>
      <c r="I816" s="75" t="s">
        <v>170</v>
      </c>
      <c r="J816" s="523">
        <v>25</v>
      </c>
      <c r="K816" s="516" t="s">
        <v>385</v>
      </c>
      <c r="L816" s="517">
        <v>8.1</v>
      </c>
      <c r="M816" s="517">
        <v>8.76</v>
      </c>
      <c r="N816" s="518">
        <v>9.6500000000000002E-2</v>
      </c>
      <c r="O816" s="518">
        <v>9.1999999999999998E-2</v>
      </c>
      <c r="P816" s="518">
        <v>0.10249999999999999</v>
      </c>
      <c r="Q816" s="78">
        <v>0.44</v>
      </c>
      <c r="R816" s="78">
        <v>0.31740000000000002</v>
      </c>
      <c r="S816" s="69">
        <v>2.5000000000000001E-2</v>
      </c>
      <c r="T816" s="69">
        <v>0.01</v>
      </c>
      <c r="U816" s="518">
        <v>0.7</v>
      </c>
      <c r="V816" s="76">
        <v>0</v>
      </c>
      <c r="W816" s="76">
        <v>0</v>
      </c>
      <c r="X816" s="76"/>
      <c r="Y816" s="516" t="s">
        <v>470</v>
      </c>
    </row>
    <row r="817" spans="1:25" x14ac:dyDescent="0.25">
      <c r="A817" s="75" t="str">
        <f t="shared" si="29"/>
        <v>Exclusiva PF No_Premier Normal Mercado_Abierto Pago_Bajo_Puntual 25</v>
      </c>
      <c r="B817" s="75" t="str">
        <f t="shared" si="28"/>
        <v>Exclusiva PF No_Premier Normal Mercado_Abierto Pago_Bajo_Puntual 25 0.103</v>
      </c>
      <c r="C817" s="75" t="s">
        <v>116</v>
      </c>
      <c r="D817" s="75" t="s">
        <v>132</v>
      </c>
      <c r="E817" s="75" t="s">
        <v>179</v>
      </c>
      <c r="F817" s="75" t="s">
        <v>180</v>
      </c>
      <c r="G817" s="75" t="s">
        <v>396</v>
      </c>
      <c r="H817" s="75"/>
      <c r="I817" s="75" t="s">
        <v>170</v>
      </c>
      <c r="J817" s="523">
        <v>25</v>
      </c>
      <c r="K817" s="516" t="s">
        <v>386</v>
      </c>
      <c r="L817" s="517">
        <v>8.64</v>
      </c>
      <c r="M817" s="517">
        <v>9.3000000000000007</v>
      </c>
      <c r="N817" s="518">
        <v>0.10299999999999999</v>
      </c>
      <c r="O817" s="518">
        <v>0.1</v>
      </c>
      <c r="P817" s="518">
        <v>0.112</v>
      </c>
      <c r="Q817" s="78">
        <v>0.44</v>
      </c>
      <c r="R817" s="78">
        <v>0.31740000000000002</v>
      </c>
      <c r="S817" s="69">
        <v>2.5000000000000001E-2</v>
      </c>
      <c r="T817" s="69">
        <v>0.01</v>
      </c>
      <c r="U817" s="518">
        <v>0.7</v>
      </c>
      <c r="V817" s="76">
        <v>0</v>
      </c>
      <c r="W817" s="76">
        <v>0</v>
      </c>
      <c r="X817" s="76"/>
      <c r="Y817" s="516" t="s">
        <v>470</v>
      </c>
    </row>
    <row r="818" spans="1:25" x14ac:dyDescent="0.25">
      <c r="A818" s="75" t="str">
        <f t="shared" si="29"/>
        <v>Exclusiva PF No_Premier Normal Mercado_Abierto Pago_Bajo_Puntual 20</v>
      </c>
      <c r="B818" s="75" t="str">
        <f t="shared" si="28"/>
        <v>Exclusiva PF No_Premier Normal Mercado_Abierto Pago_Bajo_Puntual 20 0.0965</v>
      </c>
      <c r="C818" s="75" t="s">
        <v>116</v>
      </c>
      <c r="D818" s="75" t="s">
        <v>132</v>
      </c>
      <c r="E818" s="75" t="s">
        <v>179</v>
      </c>
      <c r="F818" s="75" t="s">
        <v>180</v>
      </c>
      <c r="G818" s="75" t="s">
        <v>396</v>
      </c>
      <c r="H818" s="75"/>
      <c r="I818" s="75" t="s">
        <v>170</v>
      </c>
      <c r="J818" s="76">
        <v>20</v>
      </c>
      <c r="K818" s="516" t="s">
        <v>385</v>
      </c>
      <c r="L818" s="517">
        <v>8.52</v>
      </c>
      <c r="M818" s="517">
        <v>9.18</v>
      </c>
      <c r="N818" s="518">
        <v>9.6500000000000002E-2</v>
      </c>
      <c r="O818" s="518">
        <v>9.1999999999999998E-2</v>
      </c>
      <c r="P818" s="518">
        <v>0.10249999999999999</v>
      </c>
      <c r="Q818" s="78">
        <v>0.44</v>
      </c>
      <c r="R818" s="78">
        <v>0.31740000000000002</v>
      </c>
      <c r="S818" s="69">
        <v>2.5000000000000001E-2</v>
      </c>
      <c r="T818" s="69">
        <v>0.01</v>
      </c>
      <c r="U818" s="518">
        <v>0.7</v>
      </c>
      <c r="V818" s="76">
        <v>0</v>
      </c>
      <c r="W818" s="76">
        <v>0</v>
      </c>
      <c r="X818" s="76"/>
      <c r="Y818" s="516" t="s">
        <v>470</v>
      </c>
    </row>
    <row r="819" spans="1:25" x14ac:dyDescent="0.25">
      <c r="A819" s="75" t="str">
        <f t="shared" si="29"/>
        <v>Exclusiva PF No_Premier Normal Mercado_Abierto Pago_Bajo_Puntual 20</v>
      </c>
      <c r="B819" s="75" t="str">
        <f t="shared" si="28"/>
        <v>Exclusiva PF No_Premier Normal Mercado_Abierto Pago_Bajo_Puntual 20 0.103</v>
      </c>
      <c r="C819" s="75" t="s">
        <v>116</v>
      </c>
      <c r="D819" s="75" t="s">
        <v>132</v>
      </c>
      <c r="E819" s="75" t="s">
        <v>179</v>
      </c>
      <c r="F819" s="75" t="s">
        <v>180</v>
      </c>
      <c r="G819" s="75" t="s">
        <v>396</v>
      </c>
      <c r="H819" s="75"/>
      <c r="I819" s="75" t="s">
        <v>170</v>
      </c>
      <c r="J819" s="76">
        <v>20</v>
      </c>
      <c r="K819" s="516" t="s">
        <v>386</v>
      </c>
      <c r="L819" s="517">
        <v>9</v>
      </c>
      <c r="M819" s="517">
        <v>9.66</v>
      </c>
      <c r="N819" s="518">
        <v>0.10299999999999999</v>
      </c>
      <c r="O819" s="518">
        <v>0.1</v>
      </c>
      <c r="P819" s="518">
        <v>0.112</v>
      </c>
      <c r="Q819" s="78">
        <v>0.44</v>
      </c>
      <c r="R819" s="78">
        <v>0.31740000000000002</v>
      </c>
      <c r="S819" s="69">
        <v>2.5000000000000001E-2</v>
      </c>
      <c r="T819" s="69">
        <v>0.01</v>
      </c>
      <c r="U819" s="518">
        <v>0.7</v>
      </c>
      <c r="V819" s="76">
        <v>0</v>
      </c>
      <c r="W819" s="76">
        <v>0</v>
      </c>
      <c r="X819" s="76"/>
      <c r="Y819" s="516" t="s">
        <v>470</v>
      </c>
    </row>
    <row r="820" spans="1:25" x14ac:dyDescent="0.25">
      <c r="A820" s="75" t="str">
        <f t="shared" si="29"/>
        <v>Exclusiva PF No_Premier Normal Mercado_Abierto Pago_Bajo_Puntual 15</v>
      </c>
      <c r="B820" s="75" t="str">
        <f t="shared" si="28"/>
        <v>Exclusiva PF No_Premier Normal Mercado_Abierto Pago_Bajo_Puntual 15 0.0965</v>
      </c>
      <c r="C820" s="75" t="s">
        <v>116</v>
      </c>
      <c r="D820" s="75" t="s">
        <v>132</v>
      </c>
      <c r="E820" s="75" t="s">
        <v>179</v>
      </c>
      <c r="F820" s="75" t="s">
        <v>180</v>
      </c>
      <c r="G820" s="75" t="s">
        <v>396</v>
      </c>
      <c r="H820" s="75"/>
      <c r="I820" s="75" t="s">
        <v>170</v>
      </c>
      <c r="J820" s="76">
        <v>15</v>
      </c>
      <c r="K820" s="516" t="s">
        <v>385</v>
      </c>
      <c r="L820" s="517">
        <v>9.6999999999999993</v>
      </c>
      <c r="M820" s="517">
        <v>10.36</v>
      </c>
      <c r="N820" s="518">
        <v>9.6500000000000002E-2</v>
      </c>
      <c r="O820" s="518">
        <v>9.1999999999999998E-2</v>
      </c>
      <c r="P820" s="518">
        <v>0.10249999999999999</v>
      </c>
      <c r="Q820" s="78">
        <v>0.44</v>
      </c>
      <c r="R820" s="78">
        <v>0.31740000000000002</v>
      </c>
      <c r="S820" s="69">
        <v>2.5000000000000001E-2</v>
      </c>
      <c r="T820" s="69">
        <v>0.01</v>
      </c>
      <c r="U820" s="518">
        <v>0.7</v>
      </c>
      <c r="V820" s="76">
        <v>0</v>
      </c>
      <c r="W820" s="76">
        <v>0</v>
      </c>
      <c r="X820" s="76"/>
      <c r="Y820" s="516" t="s">
        <v>470</v>
      </c>
    </row>
    <row r="821" spans="1:25" x14ac:dyDescent="0.25">
      <c r="A821" s="75" t="str">
        <f t="shared" si="29"/>
        <v>Exclusiva PF No_Premier Normal Mercado_Abierto Pago_Bajo_Puntual 15</v>
      </c>
      <c r="B821" s="75" t="str">
        <f t="shared" si="28"/>
        <v>Exclusiva PF No_Premier Normal Mercado_Abierto Pago_Bajo_Puntual 15 0.103</v>
      </c>
      <c r="C821" s="75" t="s">
        <v>116</v>
      </c>
      <c r="D821" s="75" t="s">
        <v>132</v>
      </c>
      <c r="E821" s="75" t="s">
        <v>179</v>
      </c>
      <c r="F821" s="75" t="s">
        <v>180</v>
      </c>
      <c r="G821" s="75" t="s">
        <v>396</v>
      </c>
      <c r="H821" s="75"/>
      <c r="I821" s="75" t="s">
        <v>170</v>
      </c>
      <c r="J821" s="76">
        <v>15</v>
      </c>
      <c r="K821" s="516" t="s">
        <v>386</v>
      </c>
      <c r="L821" s="517">
        <v>10.119999999999999</v>
      </c>
      <c r="M821" s="517">
        <v>10.78</v>
      </c>
      <c r="N821" s="518">
        <v>0.10299999999999999</v>
      </c>
      <c r="O821" s="518">
        <v>0.1</v>
      </c>
      <c r="P821" s="518">
        <v>0.112</v>
      </c>
      <c r="Q821" s="78">
        <v>0.44</v>
      </c>
      <c r="R821" s="78">
        <v>0.31740000000000002</v>
      </c>
      <c r="S821" s="69">
        <v>2.5000000000000001E-2</v>
      </c>
      <c r="T821" s="69">
        <v>0.01</v>
      </c>
      <c r="U821" s="518">
        <v>0.7</v>
      </c>
      <c r="V821" s="76">
        <v>0</v>
      </c>
      <c r="W821" s="76">
        <v>0</v>
      </c>
      <c r="X821" s="76"/>
      <c r="Y821" s="516" t="s">
        <v>470</v>
      </c>
    </row>
    <row r="822" spans="1:25" x14ac:dyDescent="0.25">
      <c r="A822" s="75" t="str">
        <f t="shared" si="29"/>
        <v>Exclusiva PF No_Premier Normal Mercado_Abierto Pago_Bajo_Puntual 10</v>
      </c>
      <c r="B822" s="75" t="str">
        <f t="shared" si="28"/>
        <v>Exclusiva PF No_Premier Normal Mercado_Abierto Pago_Bajo_Puntual 10 0.0965</v>
      </c>
      <c r="C822" s="75" t="s">
        <v>116</v>
      </c>
      <c r="D822" s="75" t="s">
        <v>132</v>
      </c>
      <c r="E822" s="75" t="s">
        <v>179</v>
      </c>
      <c r="F822" s="75" t="s">
        <v>180</v>
      </c>
      <c r="G822" s="75" t="s">
        <v>396</v>
      </c>
      <c r="H822" s="75"/>
      <c r="I822" s="75" t="s">
        <v>170</v>
      </c>
      <c r="J822" s="76">
        <v>10</v>
      </c>
      <c r="K822" s="516" t="s">
        <v>385</v>
      </c>
      <c r="L822" s="517">
        <v>12.25</v>
      </c>
      <c r="M822" s="517">
        <v>12.91</v>
      </c>
      <c r="N822" s="518">
        <v>9.6500000000000002E-2</v>
      </c>
      <c r="O822" s="518">
        <v>9.1999999999999998E-2</v>
      </c>
      <c r="P822" s="518">
        <v>0.10249999999999999</v>
      </c>
      <c r="Q822" s="78">
        <v>0.44</v>
      </c>
      <c r="R822" s="78">
        <v>0.31740000000000002</v>
      </c>
      <c r="S822" s="69">
        <v>2.5000000000000001E-2</v>
      </c>
      <c r="T822" s="69">
        <v>0.01</v>
      </c>
      <c r="U822" s="518">
        <v>0.7</v>
      </c>
      <c r="V822" s="76">
        <v>0</v>
      </c>
      <c r="W822" s="76">
        <v>0</v>
      </c>
      <c r="X822" s="76"/>
      <c r="Y822" s="516" t="s">
        <v>470</v>
      </c>
    </row>
    <row r="823" spans="1:25" x14ac:dyDescent="0.25">
      <c r="A823" s="75" t="str">
        <f t="shared" si="29"/>
        <v>Exclusiva PF No_Premier Normal Mercado_Abierto Pago_Bajo_Puntual 10</v>
      </c>
      <c r="B823" s="75" t="str">
        <f t="shared" si="28"/>
        <v>Exclusiva PF No_Premier Normal Mercado_Abierto Pago_Bajo_Puntual 10 0.103</v>
      </c>
      <c r="C823" s="75" t="s">
        <v>116</v>
      </c>
      <c r="D823" s="75" t="s">
        <v>132</v>
      </c>
      <c r="E823" s="75" t="s">
        <v>179</v>
      </c>
      <c r="F823" s="75" t="s">
        <v>180</v>
      </c>
      <c r="G823" s="75" t="s">
        <v>396</v>
      </c>
      <c r="H823" s="75"/>
      <c r="I823" s="75" t="s">
        <v>170</v>
      </c>
      <c r="J823" s="76">
        <v>10</v>
      </c>
      <c r="K823" s="516" t="s">
        <v>386</v>
      </c>
      <c r="L823" s="517">
        <v>12.62</v>
      </c>
      <c r="M823" s="517">
        <v>13.28</v>
      </c>
      <c r="N823" s="518">
        <v>0.10299999999999999</v>
      </c>
      <c r="O823" s="518">
        <v>0.1</v>
      </c>
      <c r="P823" s="518">
        <v>0.112</v>
      </c>
      <c r="Q823" s="78">
        <v>0.44</v>
      </c>
      <c r="R823" s="78">
        <v>0.31740000000000002</v>
      </c>
      <c r="S823" s="69">
        <v>2.5000000000000001E-2</v>
      </c>
      <c r="T823" s="69">
        <v>0.01</v>
      </c>
      <c r="U823" s="518">
        <v>0.7</v>
      </c>
      <c r="V823" s="76">
        <v>0</v>
      </c>
      <c r="W823" s="76">
        <v>0</v>
      </c>
      <c r="X823" s="76"/>
      <c r="Y823" s="516" t="s">
        <v>470</v>
      </c>
    </row>
    <row r="824" spans="1:25" x14ac:dyDescent="0.25">
      <c r="A824" s="75" t="str">
        <f t="shared" si="29"/>
        <v>Exclusiva PF No_Premier Normal Mercado_Abierto Pago_Bajo_Puntual 5</v>
      </c>
      <c r="B824" s="75" t="str">
        <f t="shared" si="28"/>
        <v>Exclusiva PF No_Premier Normal Mercado_Abierto Pago_Bajo_Puntual 5 0.0965</v>
      </c>
      <c r="C824" s="75" t="s">
        <v>116</v>
      </c>
      <c r="D824" s="75" t="s">
        <v>132</v>
      </c>
      <c r="E824" s="75" t="s">
        <v>179</v>
      </c>
      <c r="F824" s="75" t="s">
        <v>180</v>
      </c>
      <c r="G824" s="75" t="s">
        <v>396</v>
      </c>
      <c r="H824" s="75"/>
      <c r="I824" s="75" t="s">
        <v>170</v>
      </c>
      <c r="J824" s="76">
        <v>5</v>
      </c>
      <c r="K824" s="516" t="s">
        <v>385</v>
      </c>
      <c r="L824" s="517">
        <v>20.399999999999999</v>
      </c>
      <c r="M824" s="517">
        <v>21.06</v>
      </c>
      <c r="N824" s="518">
        <v>9.6500000000000002E-2</v>
      </c>
      <c r="O824" s="518">
        <v>9.1999999999999998E-2</v>
      </c>
      <c r="P824" s="518">
        <v>0.10249999999999999</v>
      </c>
      <c r="Q824" s="78">
        <v>0.44</v>
      </c>
      <c r="R824" s="78">
        <v>0.31740000000000002</v>
      </c>
      <c r="S824" s="69">
        <v>2.5000000000000001E-2</v>
      </c>
      <c r="T824" s="69">
        <v>0.01</v>
      </c>
      <c r="U824" s="518">
        <v>0.7</v>
      </c>
      <c r="V824" s="76">
        <v>0</v>
      </c>
      <c r="W824" s="76">
        <v>0</v>
      </c>
      <c r="X824" s="76"/>
      <c r="Y824" s="516" t="s">
        <v>470</v>
      </c>
    </row>
    <row r="825" spans="1:25" x14ac:dyDescent="0.25">
      <c r="A825" s="75" t="str">
        <f t="shared" si="29"/>
        <v>Exclusiva PF No_Premier Normal Mercado_Abierto Pago_Bajo_Puntual 5</v>
      </c>
      <c r="B825" s="75" t="str">
        <f t="shared" si="28"/>
        <v>Exclusiva PF No_Premier Normal Mercado_Abierto Pago_Bajo_Puntual 5 0.103</v>
      </c>
      <c r="C825" s="75" t="s">
        <v>116</v>
      </c>
      <c r="D825" s="75" t="s">
        <v>132</v>
      </c>
      <c r="E825" s="75" t="s">
        <v>179</v>
      </c>
      <c r="F825" s="75" t="s">
        <v>180</v>
      </c>
      <c r="G825" s="75" t="s">
        <v>396</v>
      </c>
      <c r="H825" s="75"/>
      <c r="I825" s="75" t="s">
        <v>170</v>
      </c>
      <c r="J825" s="76">
        <v>5</v>
      </c>
      <c r="K825" s="516" t="s">
        <v>386</v>
      </c>
      <c r="L825" s="517">
        <v>20.72</v>
      </c>
      <c r="M825" s="517">
        <v>21.38</v>
      </c>
      <c r="N825" s="518">
        <v>0.10299999999999999</v>
      </c>
      <c r="O825" s="518">
        <v>0.1</v>
      </c>
      <c r="P825" s="518">
        <v>0.112</v>
      </c>
      <c r="Q825" s="78">
        <v>0.44</v>
      </c>
      <c r="R825" s="78">
        <v>0.31740000000000002</v>
      </c>
      <c r="S825" s="69">
        <v>2.5000000000000001E-2</v>
      </c>
      <c r="T825" s="69">
        <v>0.01</v>
      </c>
      <c r="U825" s="518">
        <v>0.7</v>
      </c>
      <c r="V825" s="76">
        <v>0</v>
      </c>
      <c r="W825" s="76">
        <v>0</v>
      </c>
      <c r="X825" s="76"/>
      <c r="Y825" s="516" t="s">
        <v>470</v>
      </c>
    </row>
    <row r="826" spans="1:25" x14ac:dyDescent="0.25">
      <c r="A826" s="75" t="str">
        <f t="shared" si="29"/>
        <v>Exclusiva PF Premier Apoyo Infonavit Pago_Fijo_Puntual Si 25</v>
      </c>
      <c r="B826" s="75" t="str">
        <f t="shared" si="28"/>
        <v>Exclusiva PF Premier Apoyo Infonavit Pago_Fijo_Puntual Si 25 0.103</v>
      </c>
      <c r="C826" s="75" t="s">
        <v>116</v>
      </c>
      <c r="D826" s="75" t="s">
        <v>132</v>
      </c>
      <c r="E826" s="75" t="s">
        <v>143</v>
      </c>
      <c r="F826" s="75"/>
      <c r="G826" s="75" t="s">
        <v>112</v>
      </c>
      <c r="H826" s="75"/>
      <c r="I826" s="75" t="s">
        <v>171</v>
      </c>
      <c r="J826" s="76">
        <v>25</v>
      </c>
      <c r="K826" s="519" t="s">
        <v>387</v>
      </c>
      <c r="L826" s="520">
        <v>9.65</v>
      </c>
      <c r="M826" s="520">
        <v>10.31</v>
      </c>
      <c r="N826" s="507">
        <v>0.10299999999999999</v>
      </c>
      <c r="O826" s="507">
        <v>0.1</v>
      </c>
      <c r="P826" s="507">
        <v>0.112</v>
      </c>
      <c r="Q826" s="78">
        <v>0.44</v>
      </c>
      <c r="R826" s="78">
        <v>0.31740000000000002</v>
      </c>
      <c r="S826" s="69">
        <v>1.4999999999999999E-2</v>
      </c>
      <c r="T826" s="69">
        <v>5.0000000000000001E-3</v>
      </c>
      <c r="U826" s="507">
        <v>0.95</v>
      </c>
      <c r="V826" s="76">
        <v>0</v>
      </c>
      <c r="W826" s="76">
        <v>0</v>
      </c>
      <c r="X826" s="76" t="s">
        <v>147</v>
      </c>
      <c r="Y826" s="519" t="s">
        <v>469</v>
      </c>
    </row>
    <row r="827" spans="1:25" x14ac:dyDescent="0.25">
      <c r="A827" s="75" t="str">
        <f t="shared" si="29"/>
        <v>Exclusiva PF Premier Apoyo Infonavit Pago_Fijo_Puntual 25</v>
      </c>
      <c r="B827" s="75" t="str">
        <f t="shared" si="28"/>
        <v>Exclusiva PF Premier Apoyo Infonavit Pago_Fijo_Puntual 25 0.106</v>
      </c>
      <c r="C827" s="75" t="s">
        <v>116</v>
      </c>
      <c r="D827" s="75" t="s">
        <v>132</v>
      </c>
      <c r="E827" s="75" t="s">
        <v>143</v>
      </c>
      <c r="F827" s="75"/>
      <c r="G827" s="75" t="s">
        <v>112</v>
      </c>
      <c r="H827" s="75"/>
      <c r="I827" s="75" t="s">
        <v>171</v>
      </c>
      <c r="J827" s="76">
        <v>25</v>
      </c>
      <c r="K827" s="519">
        <v>3</v>
      </c>
      <c r="L827" s="520">
        <v>9.93</v>
      </c>
      <c r="M827" s="520">
        <v>10.59</v>
      </c>
      <c r="N827" s="507">
        <v>0.106</v>
      </c>
      <c r="O827" s="507">
        <v>0.10299999999999999</v>
      </c>
      <c r="P827" s="507">
        <v>0.11799999999999999</v>
      </c>
      <c r="Q827" s="78">
        <v>0.44</v>
      </c>
      <c r="R827" s="78">
        <v>0.31740000000000002</v>
      </c>
      <c r="S827" s="69">
        <v>1.4999999999999999E-2</v>
      </c>
      <c r="T827" s="69">
        <v>5.0000000000000001E-3</v>
      </c>
      <c r="U827" s="507">
        <v>0.95</v>
      </c>
      <c r="V827" s="76">
        <v>0</v>
      </c>
      <c r="W827" s="76">
        <v>0</v>
      </c>
      <c r="X827" s="76"/>
      <c r="Y827" s="519" t="s">
        <v>469</v>
      </c>
    </row>
    <row r="828" spans="1:25" x14ac:dyDescent="0.25">
      <c r="A828" s="75" t="str">
        <f t="shared" si="29"/>
        <v>Exclusiva PF Premier Apoyo Infonavit Pago_Fijo_Puntual Si 20</v>
      </c>
      <c r="B828" s="75" t="str">
        <f t="shared" si="28"/>
        <v>Exclusiva PF Premier Apoyo Infonavit Pago_Fijo_Puntual Si 20 0.103</v>
      </c>
      <c r="C828" s="75" t="s">
        <v>116</v>
      </c>
      <c r="D828" s="75" t="s">
        <v>132</v>
      </c>
      <c r="E828" s="75" t="s">
        <v>143</v>
      </c>
      <c r="F828" s="75"/>
      <c r="G828" s="75" t="s">
        <v>112</v>
      </c>
      <c r="H828" s="75"/>
      <c r="I828" s="75" t="s">
        <v>171</v>
      </c>
      <c r="J828" s="76">
        <v>20</v>
      </c>
      <c r="K828" s="519" t="s">
        <v>387</v>
      </c>
      <c r="L828" s="520">
        <v>10.16</v>
      </c>
      <c r="M828" s="520">
        <v>10.82</v>
      </c>
      <c r="N828" s="507">
        <v>0.10299999999999999</v>
      </c>
      <c r="O828" s="507">
        <v>0.1</v>
      </c>
      <c r="P828" s="507">
        <v>0.112</v>
      </c>
      <c r="Q828" s="78">
        <v>0.44</v>
      </c>
      <c r="R828" s="78">
        <v>0.31740000000000002</v>
      </c>
      <c r="S828" s="69">
        <v>1.4999999999999999E-2</v>
      </c>
      <c r="T828" s="69">
        <v>5.0000000000000001E-3</v>
      </c>
      <c r="U828" s="507">
        <v>0.95</v>
      </c>
      <c r="V828" s="76">
        <v>0</v>
      </c>
      <c r="W828" s="76">
        <v>0</v>
      </c>
      <c r="X828" s="76" t="s">
        <v>147</v>
      </c>
      <c r="Y828" s="519" t="s">
        <v>469</v>
      </c>
    </row>
    <row r="829" spans="1:25" x14ac:dyDescent="0.25">
      <c r="A829" s="75" t="str">
        <f t="shared" si="29"/>
        <v>Exclusiva PF Premier Apoyo Infonavit Pago_Fijo_Puntual 20</v>
      </c>
      <c r="B829" s="75" t="str">
        <f t="shared" si="28"/>
        <v>Exclusiva PF Premier Apoyo Infonavit Pago_Fijo_Puntual 20 0.106</v>
      </c>
      <c r="C829" s="75" t="s">
        <v>116</v>
      </c>
      <c r="D829" s="75" t="s">
        <v>132</v>
      </c>
      <c r="E829" s="75" t="s">
        <v>143</v>
      </c>
      <c r="F829" s="75"/>
      <c r="G829" s="75" t="s">
        <v>112</v>
      </c>
      <c r="H829" s="75"/>
      <c r="I829" s="75" t="s">
        <v>171</v>
      </c>
      <c r="J829" s="76">
        <v>20</v>
      </c>
      <c r="K829" s="519">
        <v>3</v>
      </c>
      <c r="L829" s="520">
        <v>10.41</v>
      </c>
      <c r="M829" s="520">
        <v>11.07</v>
      </c>
      <c r="N829" s="507">
        <v>0.106</v>
      </c>
      <c r="O829" s="507">
        <v>0.10299999999999999</v>
      </c>
      <c r="P829" s="507">
        <v>0.11799999999999999</v>
      </c>
      <c r="Q829" s="78">
        <v>0.44</v>
      </c>
      <c r="R829" s="78">
        <v>0.31740000000000002</v>
      </c>
      <c r="S829" s="69">
        <v>1.4999999999999999E-2</v>
      </c>
      <c r="T829" s="69">
        <v>5.0000000000000001E-3</v>
      </c>
      <c r="U829" s="507">
        <v>0.95</v>
      </c>
      <c r="V829" s="76">
        <v>0</v>
      </c>
      <c r="W829" s="76">
        <v>0</v>
      </c>
      <c r="X829" s="76"/>
      <c r="Y829" s="519" t="s">
        <v>469</v>
      </c>
    </row>
    <row r="830" spans="1:25" x14ac:dyDescent="0.25">
      <c r="A830" s="75" t="str">
        <f t="shared" si="29"/>
        <v>Exclusiva PF Premier Apoyo Infonavit Pago_Fijo_Puntual Si 15</v>
      </c>
      <c r="B830" s="75" t="str">
        <f t="shared" si="28"/>
        <v>Exclusiva PF Premier Apoyo Infonavit Pago_Fijo_Puntual Si 15 0.103</v>
      </c>
      <c r="C830" s="75" t="s">
        <v>116</v>
      </c>
      <c r="D830" s="75" t="s">
        <v>132</v>
      </c>
      <c r="E830" s="75" t="s">
        <v>143</v>
      </c>
      <c r="F830" s="75"/>
      <c r="G830" s="75" t="s">
        <v>112</v>
      </c>
      <c r="H830" s="75"/>
      <c r="I830" s="75" t="s">
        <v>171</v>
      </c>
      <c r="J830" s="76">
        <v>15</v>
      </c>
      <c r="K830" s="519" t="s">
        <v>387</v>
      </c>
      <c r="L830" s="520">
        <v>11.18</v>
      </c>
      <c r="M830" s="520">
        <v>11.84</v>
      </c>
      <c r="N830" s="507">
        <v>0.10299999999999999</v>
      </c>
      <c r="O830" s="507">
        <v>0.1</v>
      </c>
      <c r="P830" s="507">
        <v>0.112</v>
      </c>
      <c r="Q830" s="78">
        <v>0.44</v>
      </c>
      <c r="R830" s="78">
        <v>0.31740000000000002</v>
      </c>
      <c r="S830" s="69">
        <v>1.4999999999999999E-2</v>
      </c>
      <c r="T830" s="69">
        <v>5.0000000000000001E-3</v>
      </c>
      <c r="U830" s="507">
        <v>0.95</v>
      </c>
      <c r="V830" s="76">
        <v>0</v>
      </c>
      <c r="W830" s="76">
        <v>0</v>
      </c>
      <c r="X830" s="76" t="s">
        <v>147</v>
      </c>
      <c r="Y830" s="519" t="s">
        <v>469</v>
      </c>
    </row>
    <row r="831" spans="1:25" x14ac:dyDescent="0.25">
      <c r="A831" s="75" t="str">
        <f t="shared" si="29"/>
        <v>Exclusiva PF Premier Apoyo Infonavit Pago_Fijo_Puntual 15</v>
      </c>
      <c r="B831" s="75" t="str">
        <f t="shared" si="28"/>
        <v>Exclusiva PF Premier Apoyo Infonavit Pago_Fijo_Puntual 15 0.106</v>
      </c>
      <c r="C831" s="75" t="s">
        <v>116</v>
      </c>
      <c r="D831" s="75" t="s">
        <v>132</v>
      </c>
      <c r="E831" s="75" t="s">
        <v>143</v>
      </c>
      <c r="F831" s="75"/>
      <c r="G831" s="75" t="s">
        <v>112</v>
      </c>
      <c r="H831" s="75"/>
      <c r="I831" s="75" t="s">
        <v>171</v>
      </c>
      <c r="J831" s="76">
        <v>15</v>
      </c>
      <c r="K831" s="519">
        <v>3</v>
      </c>
      <c r="L831" s="520">
        <v>11.39</v>
      </c>
      <c r="M831" s="520">
        <v>12.05</v>
      </c>
      <c r="N831" s="507">
        <v>0.106</v>
      </c>
      <c r="O831" s="507">
        <v>0.10299999999999999</v>
      </c>
      <c r="P831" s="507">
        <v>0.11799999999999999</v>
      </c>
      <c r="Q831" s="78">
        <v>0.44</v>
      </c>
      <c r="R831" s="78">
        <v>0.31740000000000002</v>
      </c>
      <c r="S831" s="69">
        <v>1.4999999999999999E-2</v>
      </c>
      <c r="T831" s="69">
        <v>5.0000000000000001E-3</v>
      </c>
      <c r="U831" s="507">
        <v>0.95</v>
      </c>
      <c r="V831" s="76">
        <v>0</v>
      </c>
      <c r="W831" s="76">
        <v>0</v>
      </c>
      <c r="X831" s="76"/>
      <c r="Y831" s="519" t="s">
        <v>469</v>
      </c>
    </row>
    <row r="832" spans="1:25" x14ac:dyDescent="0.25">
      <c r="A832" s="75" t="str">
        <f t="shared" si="29"/>
        <v>Exclusiva PF Premier Apoyo Infonavit Pago_Fijo_Puntual Si 10</v>
      </c>
      <c r="B832" s="75" t="str">
        <f t="shared" si="28"/>
        <v>Exclusiva PF Premier Apoyo Infonavit Pago_Fijo_Puntual Si 10 0.103</v>
      </c>
      <c r="C832" s="75" t="s">
        <v>116</v>
      </c>
      <c r="D832" s="75" t="s">
        <v>132</v>
      </c>
      <c r="E832" s="75" t="s">
        <v>143</v>
      </c>
      <c r="F832" s="75"/>
      <c r="G832" s="75" t="s">
        <v>112</v>
      </c>
      <c r="H832" s="75"/>
      <c r="I832" s="75" t="s">
        <v>171</v>
      </c>
      <c r="J832" s="76">
        <v>10</v>
      </c>
      <c r="K832" s="519" t="s">
        <v>387</v>
      </c>
      <c r="L832" s="520">
        <v>13.54</v>
      </c>
      <c r="M832" s="520">
        <v>14.2</v>
      </c>
      <c r="N832" s="507">
        <v>0.10299999999999999</v>
      </c>
      <c r="O832" s="507">
        <v>0.1</v>
      </c>
      <c r="P832" s="507">
        <v>0.112</v>
      </c>
      <c r="Q832" s="78">
        <v>0.44</v>
      </c>
      <c r="R832" s="78">
        <v>0.31740000000000002</v>
      </c>
      <c r="S832" s="69">
        <v>1.4999999999999999E-2</v>
      </c>
      <c r="T832" s="69">
        <v>5.0000000000000001E-3</v>
      </c>
      <c r="U832" s="507">
        <v>0.95</v>
      </c>
      <c r="V832" s="76">
        <v>0</v>
      </c>
      <c r="W832" s="76">
        <v>0</v>
      </c>
      <c r="X832" s="76" t="s">
        <v>147</v>
      </c>
      <c r="Y832" s="519" t="s">
        <v>469</v>
      </c>
    </row>
    <row r="833" spans="1:25" x14ac:dyDescent="0.25">
      <c r="A833" s="75" t="str">
        <f t="shared" si="29"/>
        <v>Exclusiva PF Premier Apoyo Infonavit Pago_Fijo_Puntual 10</v>
      </c>
      <c r="B833" s="75" t="str">
        <f t="shared" si="28"/>
        <v>Exclusiva PF Premier Apoyo Infonavit Pago_Fijo_Puntual 10 0.106</v>
      </c>
      <c r="C833" s="75" t="s">
        <v>116</v>
      </c>
      <c r="D833" s="75" t="s">
        <v>132</v>
      </c>
      <c r="E833" s="75" t="s">
        <v>143</v>
      </c>
      <c r="F833" s="75"/>
      <c r="G833" s="75" t="s">
        <v>112</v>
      </c>
      <c r="H833" s="75"/>
      <c r="I833" s="75" t="s">
        <v>171</v>
      </c>
      <c r="J833" s="76">
        <v>10</v>
      </c>
      <c r="K833" s="519">
        <v>3</v>
      </c>
      <c r="L833" s="520">
        <v>13.71</v>
      </c>
      <c r="M833" s="520">
        <v>14.37</v>
      </c>
      <c r="N833" s="507">
        <v>0.106</v>
      </c>
      <c r="O833" s="507">
        <v>0.10299999999999999</v>
      </c>
      <c r="P833" s="507">
        <v>0.11799999999999999</v>
      </c>
      <c r="Q833" s="78">
        <v>0.44</v>
      </c>
      <c r="R833" s="78">
        <v>0.31740000000000002</v>
      </c>
      <c r="S833" s="69">
        <v>1.4999999999999999E-2</v>
      </c>
      <c r="T833" s="69">
        <v>5.0000000000000001E-3</v>
      </c>
      <c r="U833" s="507">
        <v>0.95</v>
      </c>
      <c r="V833" s="76">
        <v>0</v>
      </c>
      <c r="W833" s="76">
        <v>0</v>
      </c>
      <c r="X833" s="76"/>
      <c r="Y833" s="519" t="s">
        <v>469</v>
      </c>
    </row>
    <row r="834" spans="1:25" x14ac:dyDescent="0.25">
      <c r="A834" s="75" t="str">
        <f t="shared" si="29"/>
        <v>Exclusiva PF Premier Apoyo Infonavit Pago_Fijo_Puntual Si 5</v>
      </c>
      <c r="B834" s="75" t="str">
        <f t="shared" si="28"/>
        <v>Exclusiva PF Premier Apoyo Infonavit Pago_Fijo_Puntual Si 5 0.103</v>
      </c>
      <c r="C834" s="75" t="s">
        <v>116</v>
      </c>
      <c r="D834" s="75" t="s">
        <v>132</v>
      </c>
      <c r="E834" s="75" t="s">
        <v>143</v>
      </c>
      <c r="F834" s="75"/>
      <c r="G834" s="75" t="s">
        <v>112</v>
      </c>
      <c r="H834" s="75"/>
      <c r="I834" s="75" t="s">
        <v>171</v>
      </c>
      <c r="J834" s="76">
        <v>5</v>
      </c>
      <c r="K834" s="519" t="s">
        <v>387</v>
      </c>
      <c r="L834" s="520">
        <v>21.44</v>
      </c>
      <c r="M834" s="520">
        <v>22.1</v>
      </c>
      <c r="N834" s="507">
        <v>0.10299999999999999</v>
      </c>
      <c r="O834" s="507">
        <v>0.1</v>
      </c>
      <c r="P834" s="507">
        <v>0.112</v>
      </c>
      <c r="Q834" s="78">
        <v>0.44</v>
      </c>
      <c r="R834" s="78">
        <v>0.31740000000000002</v>
      </c>
      <c r="S834" s="69">
        <v>1.4999999999999999E-2</v>
      </c>
      <c r="T834" s="69">
        <v>5.0000000000000001E-3</v>
      </c>
      <c r="U834" s="507">
        <v>0.95</v>
      </c>
      <c r="V834" s="76">
        <v>0</v>
      </c>
      <c r="W834" s="76">
        <v>0</v>
      </c>
      <c r="X834" s="76" t="s">
        <v>147</v>
      </c>
      <c r="Y834" s="519" t="s">
        <v>469</v>
      </c>
    </row>
    <row r="835" spans="1:25" x14ac:dyDescent="0.25">
      <c r="A835" s="75" t="str">
        <f t="shared" si="29"/>
        <v>Exclusiva PF Premier Apoyo Infonavit Pago_Fijo_Puntual 5</v>
      </c>
      <c r="B835" s="75" t="str">
        <f t="shared" si="28"/>
        <v>Exclusiva PF Premier Apoyo Infonavit Pago_Fijo_Puntual 5 0.106</v>
      </c>
      <c r="C835" s="75" t="s">
        <v>116</v>
      </c>
      <c r="D835" s="75" t="s">
        <v>132</v>
      </c>
      <c r="E835" s="75" t="s">
        <v>143</v>
      </c>
      <c r="F835" s="75"/>
      <c r="G835" s="75" t="s">
        <v>112</v>
      </c>
      <c r="H835" s="75"/>
      <c r="I835" s="75" t="s">
        <v>171</v>
      </c>
      <c r="J835" s="76">
        <v>5</v>
      </c>
      <c r="K835" s="519">
        <v>3</v>
      </c>
      <c r="L835" s="520">
        <v>21.59</v>
      </c>
      <c r="M835" s="520">
        <v>22.25</v>
      </c>
      <c r="N835" s="507">
        <v>0.106</v>
      </c>
      <c r="O835" s="507">
        <v>0.10299999999999999</v>
      </c>
      <c r="P835" s="507">
        <v>0.11799999999999999</v>
      </c>
      <c r="Q835" s="78">
        <v>0.44</v>
      </c>
      <c r="R835" s="78">
        <v>0.31740000000000002</v>
      </c>
      <c r="S835" s="69">
        <v>1.4999999999999999E-2</v>
      </c>
      <c r="T835" s="69">
        <v>5.0000000000000001E-3</v>
      </c>
      <c r="U835" s="507">
        <v>0.95</v>
      </c>
      <c r="V835" s="76">
        <v>0</v>
      </c>
      <c r="W835" s="76">
        <v>0</v>
      </c>
      <c r="X835" s="76"/>
      <c r="Y835" s="519" t="s">
        <v>469</v>
      </c>
    </row>
    <row r="836" spans="1:25" x14ac:dyDescent="0.25">
      <c r="A836" s="75" t="str">
        <f t="shared" si="29"/>
        <v>Exclusiva PF Premier Apoyo Infonavit Pago_Bajo_Puntual Si 25</v>
      </c>
      <c r="B836" s="75" t="str">
        <f t="shared" si="28"/>
        <v>Exclusiva PF Premier Apoyo Infonavit Pago_Bajo_Puntual Si 25 0.103</v>
      </c>
      <c r="C836" s="75" t="s">
        <v>116</v>
      </c>
      <c r="D836" s="75" t="s">
        <v>132</v>
      </c>
      <c r="E836" s="75" t="s">
        <v>143</v>
      </c>
      <c r="F836" s="75"/>
      <c r="G836" s="75" t="s">
        <v>112</v>
      </c>
      <c r="H836" s="75"/>
      <c r="I836" s="75" t="s">
        <v>170</v>
      </c>
      <c r="J836" s="523">
        <v>25</v>
      </c>
      <c r="K836" s="519" t="s">
        <v>387</v>
      </c>
      <c r="L836" s="525">
        <v>8.64</v>
      </c>
      <c r="M836" s="525">
        <v>9.3000000000000007</v>
      </c>
      <c r="N836" s="507">
        <v>0.10299999999999999</v>
      </c>
      <c r="O836" s="507">
        <v>0.1</v>
      </c>
      <c r="P836" s="507">
        <v>0.112</v>
      </c>
      <c r="Q836" s="78">
        <v>0.44</v>
      </c>
      <c r="R836" s="78">
        <v>0.31740000000000002</v>
      </c>
      <c r="S836" s="69">
        <v>1.4999999999999999E-2</v>
      </c>
      <c r="T836" s="69">
        <v>5.0000000000000001E-3</v>
      </c>
      <c r="U836" s="507">
        <v>0.95</v>
      </c>
      <c r="V836" s="76">
        <v>0</v>
      </c>
      <c r="W836" s="76">
        <v>0</v>
      </c>
      <c r="X836" s="76" t="s">
        <v>147</v>
      </c>
      <c r="Y836" s="519" t="s">
        <v>469</v>
      </c>
    </row>
    <row r="837" spans="1:25" x14ac:dyDescent="0.25">
      <c r="A837" s="75" t="str">
        <f t="shared" si="29"/>
        <v>Exclusiva PF Premier Apoyo Infonavit Pago_Bajo_Puntual 25</v>
      </c>
      <c r="B837" s="75" t="str">
        <f t="shared" si="28"/>
        <v>Exclusiva PF Premier Apoyo Infonavit Pago_Bajo_Puntual 25 0.106</v>
      </c>
      <c r="C837" s="75" t="s">
        <v>116</v>
      </c>
      <c r="D837" s="75" t="s">
        <v>132</v>
      </c>
      <c r="E837" s="75" t="s">
        <v>143</v>
      </c>
      <c r="F837" s="75"/>
      <c r="G837" s="75" t="s">
        <v>112</v>
      </c>
      <c r="H837" s="75"/>
      <c r="I837" s="75" t="s">
        <v>170</v>
      </c>
      <c r="J837" s="523">
        <v>25</v>
      </c>
      <c r="K837" s="519">
        <v>3</v>
      </c>
      <c r="L837" s="525">
        <v>8.89</v>
      </c>
      <c r="M837" s="525">
        <v>9.5500000000000007</v>
      </c>
      <c r="N837" s="507">
        <v>0.106</v>
      </c>
      <c r="O837" s="507">
        <v>0.10299999999999999</v>
      </c>
      <c r="P837" s="507">
        <v>0.11799999999999999</v>
      </c>
      <c r="Q837" s="78">
        <v>0.44</v>
      </c>
      <c r="R837" s="78">
        <v>0.31740000000000002</v>
      </c>
      <c r="S837" s="69">
        <v>1.4999999999999999E-2</v>
      </c>
      <c r="T837" s="69">
        <v>5.0000000000000001E-3</v>
      </c>
      <c r="U837" s="507">
        <v>0.95</v>
      </c>
      <c r="V837" s="76">
        <v>0</v>
      </c>
      <c r="W837" s="76">
        <v>0</v>
      </c>
      <c r="X837" s="76"/>
      <c r="Y837" s="519" t="s">
        <v>469</v>
      </c>
    </row>
    <row r="838" spans="1:25" x14ac:dyDescent="0.25">
      <c r="A838" s="75" t="str">
        <f t="shared" si="29"/>
        <v>Exclusiva PF Premier Apoyo Infonavit Pago_Bajo_Puntual Si 20</v>
      </c>
      <c r="B838" s="75" t="str">
        <f t="shared" si="28"/>
        <v>Exclusiva PF Premier Apoyo Infonavit Pago_Bajo_Puntual Si 20 0.103</v>
      </c>
      <c r="C838" s="75" t="s">
        <v>116</v>
      </c>
      <c r="D838" s="75" t="s">
        <v>132</v>
      </c>
      <c r="E838" s="75" t="s">
        <v>143</v>
      </c>
      <c r="F838" s="75"/>
      <c r="G838" s="75" t="s">
        <v>112</v>
      </c>
      <c r="H838" s="75"/>
      <c r="I838" s="75" t="s">
        <v>170</v>
      </c>
      <c r="J838" s="76">
        <v>20</v>
      </c>
      <c r="K838" s="519" t="s">
        <v>387</v>
      </c>
      <c r="L838" s="520">
        <v>9</v>
      </c>
      <c r="M838" s="520">
        <v>9.66</v>
      </c>
      <c r="N838" s="507">
        <v>0.10299999999999999</v>
      </c>
      <c r="O838" s="507">
        <v>0.1</v>
      </c>
      <c r="P838" s="507">
        <v>0.112</v>
      </c>
      <c r="Q838" s="78">
        <v>0.44</v>
      </c>
      <c r="R838" s="78">
        <v>0.31740000000000002</v>
      </c>
      <c r="S838" s="69">
        <v>1.4999999999999999E-2</v>
      </c>
      <c r="T838" s="69">
        <v>5.0000000000000001E-3</v>
      </c>
      <c r="U838" s="507">
        <v>0.95</v>
      </c>
      <c r="V838" s="76">
        <v>0</v>
      </c>
      <c r="W838" s="76">
        <v>0</v>
      </c>
      <c r="X838" s="76" t="s">
        <v>147</v>
      </c>
      <c r="Y838" s="519" t="s">
        <v>469</v>
      </c>
    </row>
    <row r="839" spans="1:25" x14ac:dyDescent="0.25">
      <c r="A839" s="75" t="str">
        <f t="shared" si="29"/>
        <v>Exclusiva PF Premier Apoyo Infonavit Pago_Bajo_Puntual 20</v>
      </c>
      <c r="B839" s="75" t="str">
        <f t="shared" si="28"/>
        <v>Exclusiva PF Premier Apoyo Infonavit Pago_Bajo_Puntual 20 0.106</v>
      </c>
      <c r="C839" s="75" t="s">
        <v>116</v>
      </c>
      <c r="D839" s="75" t="s">
        <v>132</v>
      </c>
      <c r="E839" s="75" t="s">
        <v>143</v>
      </c>
      <c r="F839" s="75"/>
      <c r="G839" s="75" t="s">
        <v>112</v>
      </c>
      <c r="H839" s="75"/>
      <c r="I839" s="75" t="s">
        <v>170</v>
      </c>
      <c r="J839" s="76">
        <v>20</v>
      </c>
      <c r="K839" s="519">
        <v>3</v>
      </c>
      <c r="L839" s="520">
        <v>9.24</v>
      </c>
      <c r="M839" s="520">
        <v>9.9</v>
      </c>
      <c r="N839" s="507">
        <v>0.106</v>
      </c>
      <c r="O839" s="507">
        <v>0.10299999999999999</v>
      </c>
      <c r="P839" s="507">
        <v>0.11799999999999999</v>
      </c>
      <c r="Q839" s="78">
        <v>0.44</v>
      </c>
      <c r="R839" s="78">
        <v>0.31740000000000002</v>
      </c>
      <c r="S839" s="69">
        <v>1.4999999999999999E-2</v>
      </c>
      <c r="T839" s="69">
        <v>5.0000000000000001E-3</v>
      </c>
      <c r="U839" s="507">
        <v>0.95</v>
      </c>
      <c r="V839" s="76">
        <v>0</v>
      </c>
      <c r="W839" s="76">
        <v>0</v>
      </c>
      <c r="X839" s="76"/>
      <c r="Y839" s="519" t="s">
        <v>469</v>
      </c>
    </row>
    <row r="840" spans="1:25" x14ac:dyDescent="0.25">
      <c r="A840" s="75" t="str">
        <f t="shared" si="29"/>
        <v>Exclusiva PF Premier Apoyo Infonavit Pago_Bajo_Puntual Si 15</v>
      </c>
      <c r="B840" s="75" t="str">
        <f t="shared" si="28"/>
        <v>Exclusiva PF Premier Apoyo Infonavit Pago_Bajo_Puntual Si 15 0.103</v>
      </c>
      <c r="C840" s="75" t="s">
        <v>116</v>
      </c>
      <c r="D840" s="75" t="s">
        <v>132</v>
      </c>
      <c r="E840" s="75" t="s">
        <v>143</v>
      </c>
      <c r="F840" s="75"/>
      <c r="G840" s="75" t="s">
        <v>112</v>
      </c>
      <c r="H840" s="75"/>
      <c r="I840" s="75" t="s">
        <v>170</v>
      </c>
      <c r="J840" s="76">
        <v>15</v>
      </c>
      <c r="K840" s="519" t="s">
        <v>387</v>
      </c>
      <c r="L840" s="520">
        <v>10.119999999999999</v>
      </c>
      <c r="M840" s="520">
        <v>10.78</v>
      </c>
      <c r="N840" s="507">
        <v>0.10299999999999999</v>
      </c>
      <c r="O840" s="507">
        <v>0.1</v>
      </c>
      <c r="P840" s="507">
        <v>0.112</v>
      </c>
      <c r="Q840" s="78">
        <v>0.44</v>
      </c>
      <c r="R840" s="78">
        <v>0.31740000000000002</v>
      </c>
      <c r="S840" s="69">
        <v>1.4999999999999999E-2</v>
      </c>
      <c r="T840" s="69">
        <v>5.0000000000000001E-3</v>
      </c>
      <c r="U840" s="507">
        <v>0.95</v>
      </c>
      <c r="V840" s="76">
        <v>0</v>
      </c>
      <c r="W840" s="76">
        <v>0</v>
      </c>
      <c r="X840" s="76" t="s">
        <v>147</v>
      </c>
      <c r="Y840" s="519" t="s">
        <v>469</v>
      </c>
    </row>
    <row r="841" spans="1:25" x14ac:dyDescent="0.25">
      <c r="A841" s="75" t="str">
        <f t="shared" si="29"/>
        <v>Exclusiva PF Premier Apoyo Infonavit Pago_Bajo_Puntual 15</v>
      </c>
      <c r="B841" s="75" t="str">
        <f t="shared" si="28"/>
        <v>Exclusiva PF Premier Apoyo Infonavit Pago_Bajo_Puntual 15 0.106</v>
      </c>
      <c r="C841" s="75" t="s">
        <v>116</v>
      </c>
      <c r="D841" s="75" t="s">
        <v>132</v>
      </c>
      <c r="E841" s="75" t="s">
        <v>143</v>
      </c>
      <c r="F841" s="75"/>
      <c r="G841" s="75" t="s">
        <v>112</v>
      </c>
      <c r="H841" s="75"/>
      <c r="I841" s="75" t="s">
        <v>170</v>
      </c>
      <c r="J841" s="76">
        <v>15</v>
      </c>
      <c r="K841" s="519">
        <v>3</v>
      </c>
      <c r="L841" s="520">
        <v>10.33</v>
      </c>
      <c r="M841" s="520">
        <v>10.99</v>
      </c>
      <c r="N841" s="507">
        <v>0.106</v>
      </c>
      <c r="O841" s="507">
        <v>0.10299999999999999</v>
      </c>
      <c r="P841" s="507">
        <v>0.11799999999999999</v>
      </c>
      <c r="Q841" s="78">
        <v>0.44</v>
      </c>
      <c r="R841" s="78">
        <v>0.31740000000000002</v>
      </c>
      <c r="S841" s="69">
        <v>1.4999999999999999E-2</v>
      </c>
      <c r="T841" s="69">
        <v>5.0000000000000001E-3</v>
      </c>
      <c r="U841" s="507">
        <v>0.95</v>
      </c>
      <c r="V841" s="76">
        <v>0</v>
      </c>
      <c r="W841" s="76">
        <v>0</v>
      </c>
      <c r="X841" s="76"/>
      <c r="Y841" s="519" t="s">
        <v>469</v>
      </c>
    </row>
    <row r="842" spans="1:25" x14ac:dyDescent="0.25">
      <c r="A842" s="75" t="str">
        <f t="shared" si="29"/>
        <v>Exclusiva PF Premier Apoyo Infonavit Pago_Bajo_Puntual Si 10</v>
      </c>
      <c r="B842" s="75" t="str">
        <f t="shared" si="28"/>
        <v>Exclusiva PF Premier Apoyo Infonavit Pago_Bajo_Puntual Si 10 0.103</v>
      </c>
      <c r="C842" s="75" t="s">
        <v>116</v>
      </c>
      <c r="D842" s="75" t="s">
        <v>132</v>
      </c>
      <c r="E842" s="75" t="s">
        <v>143</v>
      </c>
      <c r="F842" s="75"/>
      <c r="G842" s="75" t="s">
        <v>112</v>
      </c>
      <c r="H842" s="75"/>
      <c r="I842" s="75" t="s">
        <v>170</v>
      </c>
      <c r="J842" s="76">
        <v>10</v>
      </c>
      <c r="K842" s="519" t="s">
        <v>387</v>
      </c>
      <c r="L842" s="520">
        <v>12.62</v>
      </c>
      <c r="M842" s="520">
        <v>13.28</v>
      </c>
      <c r="N842" s="507">
        <v>0.10299999999999999</v>
      </c>
      <c r="O842" s="507">
        <v>0.1</v>
      </c>
      <c r="P842" s="507">
        <v>0.112</v>
      </c>
      <c r="Q842" s="78">
        <v>0.44</v>
      </c>
      <c r="R842" s="78">
        <v>0.31740000000000002</v>
      </c>
      <c r="S842" s="69">
        <v>1.4999999999999999E-2</v>
      </c>
      <c r="T842" s="69">
        <v>5.0000000000000001E-3</v>
      </c>
      <c r="U842" s="507">
        <v>0.95</v>
      </c>
      <c r="V842" s="76">
        <v>0</v>
      </c>
      <c r="W842" s="76">
        <v>0</v>
      </c>
      <c r="X842" s="76" t="s">
        <v>147</v>
      </c>
      <c r="Y842" s="519" t="s">
        <v>469</v>
      </c>
    </row>
    <row r="843" spans="1:25" x14ac:dyDescent="0.25">
      <c r="A843" s="75" t="str">
        <f t="shared" si="29"/>
        <v>Exclusiva PF Premier Apoyo Infonavit Pago_Bajo_Puntual 10</v>
      </c>
      <c r="B843" s="75" t="str">
        <f t="shared" si="28"/>
        <v>Exclusiva PF Premier Apoyo Infonavit Pago_Bajo_Puntual 10 0.106</v>
      </c>
      <c r="C843" s="75" t="s">
        <v>116</v>
      </c>
      <c r="D843" s="75" t="s">
        <v>132</v>
      </c>
      <c r="E843" s="75" t="s">
        <v>143</v>
      </c>
      <c r="F843" s="75"/>
      <c r="G843" s="75" t="s">
        <v>112</v>
      </c>
      <c r="H843" s="75"/>
      <c r="I843" s="75" t="s">
        <v>170</v>
      </c>
      <c r="J843" s="76">
        <v>10</v>
      </c>
      <c r="K843" s="519">
        <v>3</v>
      </c>
      <c r="L843" s="520">
        <v>12.78</v>
      </c>
      <c r="M843" s="520">
        <v>13.44</v>
      </c>
      <c r="N843" s="507">
        <v>0.106</v>
      </c>
      <c r="O843" s="507">
        <v>0.10299999999999999</v>
      </c>
      <c r="P843" s="507">
        <v>0.11799999999999999</v>
      </c>
      <c r="Q843" s="78">
        <v>0.44</v>
      </c>
      <c r="R843" s="78">
        <v>0.31740000000000002</v>
      </c>
      <c r="S843" s="69">
        <v>1.4999999999999999E-2</v>
      </c>
      <c r="T843" s="69">
        <v>5.0000000000000001E-3</v>
      </c>
      <c r="U843" s="507">
        <v>0.95</v>
      </c>
      <c r="V843" s="76">
        <v>0</v>
      </c>
      <c r="W843" s="76">
        <v>0</v>
      </c>
      <c r="X843" s="76"/>
      <c r="Y843" s="519" t="s">
        <v>469</v>
      </c>
    </row>
    <row r="844" spans="1:25" x14ac:dyDescent="0.25">
      <c r="A844" s="75" t="str">
        <f t="shared" si="29"/>
        <v>Exclusiva PF Premier Apoyo Infonavit Pago_Bajo_Puntual Si 5</v>
      </c>
      <c r="B844" s="75" t="str">
        <f t="shared" si="28"/>
        <v>Exclusiva PF Premier Apoyo Infonavit Pago_Bajo_Puntual Si 5 0.103</v>
      </c>
      <c r="C844" s="75" t="s">
        <v>116</v>
      </c>
      <c r="D844" s="75" t="s">
        <v>132</v>
      </c>
      <c r="E844" s="75" t="s">
        <v>143</v>
      </c>
      <c r="F844" s="75"/>
      <c r="G844" s="75" t="s">
        <v>112</v>
      </c>
      <c r="H844" s="75"/>
      <c r="I844" s="75" t="s">
        <v>170</v>
      </c>
      <c r="J844" s="76">
        <v>5</v>
      </c>
      <c r="K844" s="519" t="s">
        <v>387</v>
      </c>
      <c r="L844" s="520">
        <v>20.72</v>
      </c>
      <c r="M844" s="520">
        <v>21.38</v>
      </c>
      <c r="N844" s="507">
        <v>0.10299999999999999</v>
      </c>
      <c r="O844" s="507">
        <v>0.1</v>
      </c>
      <c r="P844" s="507">
        <v>0.112</v>
      </c>
      <c r="Q844" s="78">
        <v>0.44</v>
      </c>
      <c r="R844" s="78">
        <v>0.31740000000000002</v>
      </c>
      <c r="S844" s="69">
        <v>1.4999999999999999E-2</v>
      </c>
      <c r="T844" s="69">
        <v>5.0000000000000001E-3</v>
      </c>
      <c r="U844" s="507">
        <v>0.95</v>
      </c>
      <c r="V844" s="76">
        <v>0</v>
      </c>
      <c r="W844" s="76">
        <v>0</v>
      </c>
      <c r="X844" s="76" t="s">
        <v>147</v>
      </c>
      <c r="Y844" s="519" t="s">
        <v>469</v>
      </c>
    </row>
    <row r="845" spans="1:25" x14ac:dyDescent="0.25">
      <c r="A845" s="75" t="str">
        <f t="shared" si="29"/>
        <v>Exclusiva PF Premier Apoyo Infonavit Pago_Bajo_Puntual 5</v>
      </c>
      <c r="B845" s="75" t="str">
        <f t="shared" si="28"/>
        <v>Exclusiva PF Premier Apoyo Infonavit Pago_Bajo_Puntual 5 0.106</v>
      </c>
      <c r="C845" s="75" t="s">
        <v>116</v>
      </c>
      <c r="D845" s="75" t="s">
        <v>132</v>
      </c>
      <c r="E845" s="75" t="s">
        <v>143</v>
      </c>
      <c r="F845" s="75"/>
      <c r="G845" s="75" t="s">
        <v>112</v>
      </c>
      <c r="H845" s="75"/>
      <c r="I845" s="75" t="s">
        <v>170</v>
      </c>
      <c r="J845" s="76">
        <v>5</v>
      </c>
      <c r="K845" s="519">
        <v>3</v>
      </c>
      <c r="L845" s="520">
        <v>20.86</v>
      </c>
      <c r="M845" s="520">
        <v>21.52</v>
      </c>
      <c r="N845" s="507">
        <v>0.106</v>
      </c>
      <c r="O845" s="507">
        <v>0.10299999999999999</v>
      </c>
      <c r="P845" s="507">
        <v>0.11799999999999999</v>
      </c>
      <c r="Q845" s="78">
        <v>0.44</v>
      </c>
      <c r="R845" s="78">
        <v>0.31740000000000002</v>
      </c>
      <c r="S845" s="69">
        <v>1.4999999999999999E-2</v>
      </c>
      <c r="T845" s="69">
        <v>5.0000000000000001E-3</v>
      </c>
      <c r="U845" s="507">
        <v>0.95</v>
      </c>
      <c r="V845" s="76">
        <v>0</v>
      </c>
      <c r="W845" s="76">
        <v>0</v>
      </c>
      <c r="X845" s="76"/>
      <c r="Y845" s="519" t="s">
        <v>469</v>
      </c>
    </row>
    <row r="846" spans="1:25" x14ac:dyDescent="0.25">
      <c r="A846" s="75" t="str">
        <f t="shared" si="29"/>
        <v>Exclusiva PF Premier Apoyo Infonavit Pago_Fijo_Puntual 25</v>
      </c>
      <c r="B846" s="75" t="str">
        <f t="shared" ref="B846:B909" si="30">CONCATENATE(A846," ",N846)</f>
        <v>Exclusiva PF Premier Apoyo Infonavit Pago_Fijo_Puntual 25 0.0965</v>
      </c>
      <c r="C846" s="75" t="s">
        <v>116</v>
      </c>
      <c r="D846" s="75" t="s">
        <v>132</v>
      </c>
      <c r="E846" s="75" t="s">
        <v>143</v>
      </c>
      <c r="F846" s="75"/>
      <c r="G846" s="75" t="s">
        <v>112</v>
      </c>
      <c r="H846" s="75"/>
      <c r="I846" s="75" t="s">
        <v>171</v>
      </c>
      <c r="J846" s="76">
        <v>25</v>
      </c>
      <c r="K846" s="516" t="s">
        <v>385</v>
      </c>
      <c r="L846" s="517">
        <v>9.11</v>
      </c>
      <c r="M846" s="517">
        <v>9.77</v>
      </c>
      <c r="N846" s="518">
        <v>9.6500000000000002E-2</v>
      </c>
      <c r="O846" s="518">
        <v>9.1999999999999998E-2</v>
      </c>
      <c r="P846" s="518">
        <v>0.10249999999999999</v>
      </c>
      <c r="Q846" s="78">
        <v>0.44</v>
      </c>
      <c r="R846" s="78">
        <v>0.31740000000000002</v>
      </c>
      <c r="S846" s="69">
        <v>1.4999999999999999E-2</v>
      </c>
      <c r="T846" s="69">
        <v>5.0000000000000001E-3</v>
      </c>
      <c r="U846" s="518">
        <v>0.7</v>
      </c>
      <c r="V846" s="76">
        <v>0</v>
      </c>
      <c r="W846" s="76">
        <v>0</v>
      </c>
      <c r="X846" s="76"/>
      <c r="Y846" s="516" t="s">
        <v>470</v>
      </c>
    </row>
    <row r="847" spans="1:25" x14ac:dyDescent="0.25">
      <c r="A847" s="75" t="str">
        <f t="shared" ref="A847:A910" si="31">TRIM(CONCATENATE(C847," ",D847," ",E847," ",F847," ",G847," ",I847," ",X847," ",J847))</f>
        <v>Exclusiva PF Premier Apoyo Infonavit Pago_Fijo_Puntual 25</v>
      </c>
      <c r="B847" s="75" t="str">
        <f t="shared" si="30"/>
        <v>Exclusiva PF Premier Apoyo Infonavit Pago_Fijo_Puntual 25 0.103</v>
      </c>
      <c r="C847" s="75" t="s">
        <v>116</v>
      </c>
      <c r="D847" s="75" t="s">
        <v>132</v>
      </c>
      <c r="E847" s="75" t="s">
        <v>143</v>
      </c>
      <c r="F847" s="75"/>
      <c r="G847" s="75" t="s">
        <v>112</v>
      </c>
      <c r="H847" s="75"/>
      <c r="I847" s="75" t="s">
        <v>171</v>
      </c>
      <c r="J847" s="76">
        <v>25</v>
      </c>
      <c r="K847" s="516" t="s">
        <v>386</v>
      </c>
      <c r="L847" s="517">
        <v>9.65</v>
      </c>
      <c r="M847" s="517">
        <v>10.31</v>
      </c>
      <c r="N847" s="518">
        <v>0.10299999999999999</v>
      </c>
      <c r="O847" s="518">
        <v>0.1</v>
      </c>
      <c r="P847" s="518">
        <v>0.112</v>
      </c>
      <c r="Q847" s="78">
        <v>0.44</v>
      </c>
      <c r="R847" s="78">
        <v>0.31740000000000002</v>
      </c>
      <c r="S847" s="69">
        <v>1.4999999999999999E-2</v>
      </c>
      <c r="T847" s="69">
        <v>5.0000000000000001E-3</v>
      </c>
      <c r="U847" s="518">
        <v>0.7</v>
      </c>
      <c r="V847" s="76">
        <v>0</v>
      </c>
      <c r="W847" s="76">
        <v>0</v>
      </c>
      <c r="X847" s="76"/>
      <c r="Y847" s="516" t="s">
        <v>470</v>
      </c>
    </row>
    <row r="848" spans="1:25" x14ac:dyDescent="0.25">
      <c r="A848" s="75" t="str">
        <f t="shared" si="31"/>
        <v>Exclusiva PF Premier Apoyo Infonavit Pago_Fijo_Puntual 20</v>
      </c>
      <c r="B848" s="75" t="str">
        <f t="shared" si="30"/>
        <v>Exclusiva PF Premier Apoyo Infonavit Pago_Fijo_Puntual 20 0.0965</v>
      </c>
      <c r="C848" s="75" t="s">
        <v>116</v>
      </c>
      <c r="D848" s="75" t="s">
        <v>132</v>
      </c>
      <c r="E848" s="75" t="s">
        <v>143</v>
      </c>
      <c r="F848" s="75"/>
      <c r="G848" s="75" t="s">
        <v>112</v>
      </c>
      <c r="H848" s="75"/>
      <c r="I848" s="75" t="s">
        <v>171</v>
      </c>
      <c r="J848" s="76">
        <v>20</v>
      </c>
      <c r="K848" s="516" t="s">
        <v>385</v>
      </c>
      <c r="L848" s="517">
        <v>9.66</v>
      </c>
      <c r="M848" s="517">
        <v>10.32</v>
      </c>
      <c r="N848" s="518">
        <v>9.6500000000000002E-2</v>
      </c>
      <c r="O848" s="518">
        <v>9.1999999999999998E-2</v>
      </c>
      <c r="P848" s="518">
        <v>0.10249999999999999</v>
      </c>
      <c r="Q848" s="78">
        <v>0.44</v>
      </c>
      <c r="R848" s="78">
        <v>0.31740000000000002</v>
      </c>
      <c r="S848" s="69">
        <v>1.4999999999999999E-2</v>
      </c>
      <c r="T848" s="69">
        <v>5.0000000000000001E-3</v>
      </c>
      <c r="U848" s="518">
        <v>0.7</v>
      </c>
      <c r="V848" s="76">
        <v>0</v>
      </c>
      <c r="W848" s="76">
        <v>0</v>
      </c>
      <c r="X848" s="76"/>
      <c r="Y848" s="516" t="s">
        <v>470</v>
      </c>
    </row>
    <row r="849" spans="1:25" x14ac:dyDescent="0.25">
      <c r="A849" s="75" t="str">
        <f t="shared" si="31"/>
        <v>Exclusiva PF Premier Apoyo Infonavit Pago_Fijo_Puntual 20</v>
      </c>
      <c r="B849" s="75" t="str">
        <f t="shared" si="30"/>
        <v>Exclusiva PF Premier Apoyo Infonavit Pago_Fijo_Puntual 20 0.103</v>
      </c>
      <c r="C849" s="75" t="s">
        <v>116</v>
      </c>
      <c r="D849" s="75" t="s">
        <v>132</v>
      </c>
      <c r="E849" s="75" t="s">
        <v>143</v>
      </c>
      <c r="F849" s="75"/>
      <c r="G849" s="75" t="s">
        <v>112</v>
      </c>
      <c r="H849" s="75"/>
      <c r="I849" s="75" t="s">
        <v>171</v>
      </c>
      <c r="J849" s="76">
        <v>20</v>
      </c>
      <c r="K849" s="516" t="s">
        <v>386</v>
      </c>
      <c r="L849" s="517">
        <v>10.16</v>
      </c>
      <c r="M849" s="517">
        <v>10.82</v>
      </c>
      <c r="N849" s="518">
        <v>0.10299999999999999</v>
      </c>
      <c r="O849" s="518">
        <v>0.1</v>
      </c>
      <c r="P849" s="518">
        <v>0.112</v>
      </c>
      <c r="Q849" s="78">
        <v>0.44</v>
      </c>
      <c r="R849" s="78">
        <v>0.31740000000000002</v>
      </c>
      <c r="S849" s="69">
        <v>1.4999999999999999E-2</v>
      </c>
      <c r="T849" s="69">
        <v>5.0000000000000001E-3</v>
      </c>
      <c r="U849" s="518">
        <v>0.7</v>
      </c>
      <c r="V849" s="76">
        <v>0</v>
      </c>
      <c r="W849" s="76">
        <v>0</v>
      </c>
      <c r="X849" s="76"/>
      <c r="Y849" s="516" t="s">
        <v>470</v>
      </c>
    </row>
    <row r="850" spans="1:25" x14ac:dyDescent="0.25">
      <c r="A850" s="75" t="str">
        <f t="shared" si="31"/>
        <v>Exclusiva PF Premier Apoyo Infonavit Pago_Fijo_Puntual 15</v>
      </c>
      <c r="B850" s="75" t="str">
        <f t="shared" si="30"/>
        <v>Exclusiva PF Premier Apoyo Infonavit Pago_Fijo_Puntual 15 0.0965</v>
      </c>
      <c r="C850" s="75" t="s">
        <v>116</v>
      </c>
      <c r="D850" s="75" t="s">
        <v>132</v>
      </c>
      <c r="E850" s="75" t="s">
        <v>143</v>
      </c>
      <c r="F850" s="75"/>
      <c r="G850" s="75" t="s">
        <v>112</v>
      </c>
      <c r="H850" s="75"/>
      <c r="I850" s="75" t="s">
        <v>171</v>
      </c>
      <c r="J850" s="76">
        <v>15</v>
      </c>
      <c r="K850" s="516" t="s">
        <v>385</v>
      </c>
      <c r="L850" s="517">
        <v>10.73</v>
      </c>
      <c r="M850" s="517">
        <v>11.39</v>
      </c>
      <c r="N850" s="518">
        <v>9.6500000000000002E-2</v>
      </c>
      <c r="O850" s="518">
        <v>9.1999999999999998E-2</v>
      </c>
      <c r="P850" s="518">
        <v>0.10249999999999999</v>
      </c>
      <c r="Q850" s="78">
        <v>0.44</v>
      </c>
      <c r="R850" s="78">
        <v>0.31740000000000002</v>
      </c>
      <c r="S850" s="69">
        <v>1.4999999999999999E-2</v>
      </c>
      <c r="T850" s="69">
        <v>5.0000000000000001E-3</v>
      </c>
      <c r="U850" s="518">
        <v>0.7</v>
      </c>
      <c r="V850" s="76">
        <v>0</v>
      </c>
      <c r="W850" s="76">
        <v>0</v>
      </c>
      <c r="X850" s="76"/>
      <c r="Y850" s="516" t="s">
        <v>470</v>
      </c>
    </row>
    <row r="851" spans="1:25" x14ac:dyDescent="0.25">
      <c r="A851" s="75" t="str">
        <f t="shared" si="31"/>
        <v>Exclusiva PF Premier Apoyo Infonavit Pago_Fijo_Puntual 15</v>
      </c>
      <c r="B851" s="75" t="str">
        <f t="shared" si="30"/>
        <v>Exclusiva PF Premier Apoyo Infonavit Pago_Fijo_Puntual 15 0.103</v>
      </c>
      <c r="C851" s="75" t="s">
        <v>116</v>
      </c>
      <c r="D851" s="75" t="s">
        <v>132</v>
      </c>
      <c r="E851" s="75" t="s">
        <v>143</v>
      </c>
      <c r="F851" s="75"/>
      <c r="G851" s="75" t="s">
        <v>112</v>
      </c>
      <c r="H851" s="75"/>
      <c r="I851" s="75" t="s">
        <v>171</v>
      </c>
      <c r="J851" s="76">
        <v>15</v>
      </c>
      <c r="K851" s="516" t="s">
        <v>386</v>
      </c>
      <c r="L851" s="517">
        <v>11.18</v>
      </c>
      <c r="M851" s="517">
        <v>11.84</v>
      </c>
      <c r="N851" s="518">
        <v>0.10299999999999999</v>
      </c>
      <c r="O851" s="518">
        <v>0.1</v>
      </c>
      <c r="P851" s="518">
        <v>0.112</v>
      </c>
      <c r="Q851" s="78">
        <v>0.44</v>
      </c>
      <c r="R851" s="78">
        <v>0.31740000000000002</v>
      </c>
      <c r="S851" s="69">
        <v>1.4999999999999999E-2</v>
      </c>
      <c r="T851" s="69">
        <v>5.0000000000000001E-3</v>
      </c>
      <c r="U851" s="518">
        <v>0.7</v>
      </c>
      <c r="V851" s="76">
        <v>0</v>
      </c>
      <c r="W851" s="76">
        <v>0</v>
      </c>
      <c r="X851" s="76"/>
      <c r="Y851" s="516" t="s">
        <v>470</v>
      </c>
    </row>
    <row r="852" spans="1:25" x14ac:dyDescent="0.25">
      <c r="A852" s="75" t="str">
        <f t="shared" si="31"/>
        <v>Exclusiva PF Premier Apoyo Infonavit Pago_Fijo_Puntual 10</v>
      </c>
      <c r="B852" s="75" t="str">
        <f t="shared" si="30"/>
        <v>Exclusiva PF Premier Apoyo Infonavit Pago_Fijo_Puntual 10 0.0965</v>
      </c>
      <c r="C852" s="75" t="s">
        <v>116</v>
      </c>
      <c r="D852" s="75" t="s">
        <v>132</v>
      </c>
      <c r="E852" s="75" t="s">
        <v>143</v>
      </c>
      <c r="F852" s="75"/>
      <c r="G852" s="75" t="s">
        <v>112</v>
      </c>
      <c r="H852" s="75"/>
      <c r="I852" s="75" t="s">
        <v>171</v>
      </c>
      <c r="J852" s="76">
        <v>10</v>
      </c>
      <c r="K852" s="516" t="s">
        <v>385</v>
      </c>
      <c r="L852" s="517">
        <v>13.16</v>
      </c>
      <c r="M852" s="517">
        <v>13.82</v>
      </c>
      <c r="N852" s="518">
        <v>9.6500000000000002E-2</v>
      </c>
      <c r="O852" s="518">
        <v>9.1999999999999998E-2</v>
      </c>
      <c r="P852" s="518">
        <v>0.10249999999999999</v>
      </c>
      <c r="Q852" s="78">
        <v>0.44</v>
      </c>
      <c r="R852" s="78">
        <v>0.31740000000000002</v>
      </c>
      <c r="S852" s="69">
        <v>1.4999999999999999E-2</v>
      </c>
      <c r="T852" s="69">
        <v>5.0000000000000001E-3</v>
      </c>
      <c r="U852" s="518">
        <v>0.7</v>
      </c>
      <c r="V852" s="76">
        <v>0</v>
      </c>
      <c r="W852" s="76">
        <v>0</v>
      </c>
      <c r="X852" s="76"/>
      <c r="Y852" s="516" t="s">
        <v>470</v>
      </c>
    </row>
    <row r="853" spans="1:25" x14ac:dyDescent="0.25">
      <c r="A853" s="75" t="str">
        <f t="shared" si="31"/>
        <v>Exclusiva PF Premier Apoyo Infonavit Pago_Fijo_Puntual 10</v>
      </c>
      <c r="B853" s="75" t="str">
        <f t="shared" si="30"/>
        <v>Exclusiva PF Premier Apoyo Infonavit Pago_Fijo_Puntual 10 0.103</v>
      </c>
      <c r="C853" s="75" t="s">
        <v>116</v>
      </c>
      <c r="D853" s="75" t="s">
        <v>132</v>
      </c>
      <c r="E853" s="75" t="s">
        <v>143</v>
      </c>
      <c r="F853" s="75"/>
      <c r="G853" s="75" t="s">
        <v>112</v>
      </c>
      <c r="H853" s="75"/>
      <c r="I853" s="75" t="s">
        <v>171</v>
      </c>
      <c r="J853" s="76">
        <v>10</v>
      </c>
      <c r="K853" s="516" t="s">
        <v>386</v>
      </c>
      <c r="L853" s="517">
        <v>13.54</v>
      </c>
      <c r="M853" s="517">
        <v>14.2</v>
      </c>
      <c r="N853" s="518">
        <v>0.10299999999999999</v>
      </c>
      <c r="O853" s="518">
        <v>0.1</v>
      </c>
      <c r="P853" s="518">
        <v>0.112</v>
      </c>
      <c r="Q853" s="78">
        <v>0.44</v>
      </c>
      <c r="R853" s="78">
        <v>0.31740000000000002</v>
      </c>
      <c r="S853" s="69">
        <v>1.4999999999999999E-2</v>
      </c>
      <c r="T853" s="69">
        <v>5.0000000000000001E-3</v>
      </c>
      <c r="U853" s="518">
        <v>0.7</v>
      </c>
      <c r="V853" s="76">
        <v>0</v>
      </c>
      <c r="W853" s="76">
        <v>0</v>
      </c>
      <c r="X853" s="76"/>
      <c r="Y853" s="516" t="s">
        <v>470</v>
      </c>
    </row>
    <row r="854" spans="1:25" x14ac:dyDescent="0.25">
      <c r="A854" s="75" t="str">
        <f t="shared" si="31"/>
        <v>Exclusiva PF Premier Apoyo Infonavit Pago_Fijo_Puntual 5</v>
      </c>
      <c r="B854" s="75" t="str">
        <f t="shared" si="30"/>
        <v>Exclusiva PF Premier Apoyo Infonavit Pago_Fijo_Puntual 5 0.0965</v>
      </c>
      <c r="C854" s="75" t="s">
        <v>116</v>
      </c>
      <c r="D854" s="75" t="s">
        <v>132</v>
      </c>
      <c r="E854" s="75" t="s">
        <v>143</v>
      </c>
      <c r="F854" s="75"/>
      <c r="G854" s="75" t="s">
        <v>112</v>
      </c>
      <c r="H854" s="75"/>
      <c r="I854" s="75" t="s">
        <v>171</v>
      </c>
      <c r="J854" s="76">
        <v>5</v>
      </c>
      <c r="K854" s="516" t="s">
        <v>385</v>
      </c>
      <c r="L854" s="517">
        <v>21.12</v>
      </c>
      <c r="M854" s="517">
        <v>21.78</v>
      </c>
      <c r="N854" s="518">
        <v>9.6500000000000002E-2</v>
      </c>
      <c r="O854" s="518">
        <v>9.1999999999999998E-2</v>
      </c>
      <c r="P854" s="518">
        <v>0.10249999999999999</v>
      </c>
      <c r="Q854" s="78">
        <v>0.44</v>
      </c>
      <c r="R854" s="78">
        <v>0.31740000000000002</v>
      </c>
      <c r="S854" s="69">
        <v>1.4999999999999999E-2</v>
      </c>
      <c r="T854" s="69">
        <v>5.0000000000000001E-3</v>
      </c>
      <c r="U854" s="518">
        <v>0.7</v>
      </c>
      <c r="V854" s="76">
        <v>0</v>
      </c>
      <c r="W854" s="76">
        <v>0</v>
      </c>
      <c r="X854" s="76"/>
      <c r="Y854" s="516" t="s">
        <v>470</v>
      </c>
    </row>
    <row r="855" spans="1:25" x14ac:dyDescent="0.25">
      <c r="A855" s="75" t="str">
        <f t="shared" si="31"/>
        <v>Exclusiva PF Premier Apoyo Infonavit Pago_Fijo_Puntual 5</v>
      </c>
      <c r="B855" s="75" t="str">
        <f t="shared" si="30"/>
        <v>Exclusiva PF Premier Apoyo Infonavit Pago_Fijo_Puntual 5 0.103</v>
      </c>
      <c r="C855" s="75" t="s">
        <v>116</v>
      </c>
      <c r="D855" s="75" t="s">
        <v>132</v>
      </c>
      <c r="E855" s="75" t="s">
        <v>143</v>
      </c>
      <c r="F855" s="75"/>
      <c r="G855" s="75" t="s">
        <v>112</v>
      </c>
      <c r="H855" s="75"/>
      <c r="I855" s="75" t="s">
        <v>171</v>
      </c>
      <c r="J855" s="76">
        <v>5</v>
      </c>
      <c r="K855" s="516" t="s">
        <v>386</v>
      </c>
      <c r="L855" s="517">
        <v>21.44</v>
      </c>
      <c r="M855" s="517">
        <v>22.1</v>
      </c>
      <c r="N855" s="518">
        <v>0.10299999999999999</v>
      </c>
      <c r="O855" s="518">
        <v>0.1</v>
      </c>
      <c r="P855" s="518">
        <v>0.112</v>
      </c>
      <c r="Q855" s="78">
        <v>0.44</v>
      </c>
      <c r="R855" s="78">
        <v>0.31740000000000002</v>
      </c>
      <c r="S855" s="69">
        <v>1.4999999999999999E-2</v>
      </c>
      <c r="T855" s="69">
        <v>5.0000000000000001E-3</v>
      </c>
      <c r="U855" s="518">
        <v>0.7</v>
      </c>
      <c r="V855" s="76">
        <v>0</v>
      </c>
      <c r="W855" s="76">
        <v>0</v>
      </c>
      <c r="X855" s="76"/>
      <c r="Y855" s="516" t="s">
        <v>470</v>
      </c>
    </row>
    <row r="856" spans="1:25" x14ac:dyDescent="0.25">
      <c r="A856" s="75" t="str">
        <f t="shared" si="31"/>
        <v>Exclusiva PF Premier Apoyo Infonavit Pago_Bajo_Puntual 25</v>
      </c>
      <c r="B856" s="75" t="str">
        <f t="shared" si="30"/>
        <v>Exclusiva PF Premier Apoyo Infonavit Pago_Bajo_Puntual 25 0.0965</v>
      </c>
      <c r="C856" s="75" t="s">
        <v>116</v>
      </c>
      <c r="D856" s="75" t="s">
        <v>132</v>
      </c>
      <c r="E856" s="75" t="s">
        <v>143</v>
      </c>
      <c r="F856" s="75"/>
      <c r="G856" s="75" t="s">
        <v>112</v>
      </c>
      <c r="H856" s="75"/>
      <c r="I856" s="75" t="s">
        <v>170</v>
      </c>
      <c r="J856" s="523">
        <v>25</v>
      </c>
      <c r="K856" s="516" t="s">
        <v>385</v>
      </c>
      <c r="L856" s="517">
        <v>8.1</v>
      </c>
      <c r="M856" s="517">
        <v>8.76</v>
      </c>
      <c r="N856" s="518">
        <v>9.6500000000000002E-2</v>
      </c>
      <c r="O856" s="518">
        <v>9.1999999999999998E-2</v>
      </c>
      <c r="P856" s="518">
        <v>0.10249999999999999</v>
      </c>
      <c r="Q856" s="78">
        <v>0.44</v>
      </c>
      <c r="R856" s="78">
        <v>0.31740000000000002</v>
      </c>
      <c r="S856" s="69">
        <v>1.4999999999999999E-2</v>
      </c>
      <c r="T856" s="69">
        <v>5.0000000000000001E-3</v>
      </c>
      <c r="U856" s="518">
        <v>0.7</v>
      </c>
      <c r="V856" s="76">
        <v>0</v>
      </c>
      <c r="W856" s="76">
        <v>0</v>
      </c>
      <c r="X856" s="76"/>
      <c r="Y856" s="516" t="s">
        <v>470</v>
      </c>
    </row>
    <row r="857" spans="1:25" x14ac:dyDescent="0.25">
      <c r="A857" s="75" t="str">
        <f t="shared" si="31"/>
        <v>Exclusiva PF Premier Apoyo Infonavit Pago_Bajo_Puntual 25</v>
      </c>
      <c r="B857" s="75" t="str">
        <f t="shared" si="30"/>
        <v>Exclusiva PF Premier Apoyo Infonavit Pago_Bajo_Puntual 25 0.103</v>
      </c>
      <c r="C857" s="75" t="s">
        <v>116</v>
      </c>
      <c r="D857" s="75" t="s">
        <v>132</v>
      </c>
      <c r="E857" s="75" t="s">
        <v>143</v>
      </c>
      <c r="F857" s="75"/>
      <c r="G857" s="75" t="s">
        <v>112</v>
      </c>
      <c r="H857" s="75"/>
      <c r="I857" s="75" t="s">
        <v>170</v>
      </c>
      <c r="J857" s="523">
        <v>25</v>
      </c>
      <c r="K857" s="516" t="s">
        <v>386</v>
      </c>
      <c r="L857" s="517">
        <v>8.64</v>
      </c>
      <c r="M857" s="517">
        <v>9.3000000000000007</v>
      </c>
      <c r="N857" s="518">
        <v>0.10299999999999999</v>
      </c>
      <c r="O857" s="518">
        <v>0.1</v>
      </c>
      <c r="P857" s="518">
        <v>0.112</v>
      </c>
      <c r="Q857" s="78">
        <v>0.44</v>
      </c>
      <c r="R857" s="78">
        <v>0.31740000000000002</v>
      </c>
      <c r="S857" s="69">
        <v>1.4999999999999999E-2</v>
      </c>
      <c r="T857" s="69">
        <v>5.0000000000000001E-3</v>
      </c>
      <c r="U857" s="518">
        <v>0.7</v>
      </c>
      <c r="V857" s="76">
        <v>0</v>
      </c>
      <c r="W857" s="76">
        <v>0</v>
      </c>
      <c r="X857" s="76"/>
      <c r="Y857" s="516" t="s">
        <v>470</v>
      </c>
    </row>
    <row r="858" spans="1:25" x14ac:dyDescent="0.25">
      <c r="A858" s="75" t="str">
        <f t="shared" si="31"/>
        <v>Exclusiva PF Premier Apoyo Infonavit Pago_Bajo_Puntual 20</v>
      </c>
      <c r="B858" s="75" t="str">
        <f t="shared" si="30"/>
        <v>Exclusiva PF Premier Apoyo Infonavit Pago_Bajo_Puntual 20 0.0965</v>
      </c>
      <c r="C858" s="75" t="s">
        <v>116</v>
      </c>
      <c r="D858" s="75" t="s">
        <v>132</v>
      </c>
      <c r="E858" s="75" t="s">
        <v>143</v>
      </c>
      <c r="F858" s="75"/>
      <c r="G858" s="75" t="s">
        <v>112</v>
      </c>
      <c r="H858" s="75"/>
      <c r="I858" s="75" t="s">
        <v>170</v>
      </c>
      <c r="J858" s="76">
        <v>20</v>
      </c>
      <c r="K858" s="516" t="s">
        <v>385</v>
      </c>
      <c r="L858" s="517">
        <v>8.52</v>
      </c>
      <c r="M858" s="517">
        <v>9.18</v>
      </c>
      <c r="N858" s="518">
        <v>9.6500000000000002E-2</v>
      </c>
      <c r="O858" s="518">
        <v>9.1999999999999998E-2</v>
      </c>
      <c r="P858" s="518">
        <v>0.10249999999999999</v>
      </c>
      <c r="Q858" s="78">
        <v>0.44</v>
      </c>
      <c r="R858" s="78">
        <v>0.31740000000000002</v>
      </c>
      <c r="S858" s="69">
        <v>1.4999999999999999E-2</v>
      </c>
      <c r="T858" s="69">
        <v>5.0000000000000001E-3</v>
      </c>
      <c r="U858" s="518">
        <v>0.7</v>
      </c>
      <c r="V858" s="76">
        <v>0</v>
      </c>
      <c r="W858" s="76">
        <v>0</v>
      </c>
      <c r="X858" s="76"/>
      <c r="Y858" s="516" t="s">
        <v>470</v>
      </c>
    </row>
    <row r="859" spans="1:25" x14ac:dyDescent="0.25">
      <c r="A859" s="75" t="str">
        <f t="shared" si="31"/>
        <v>Exclusiva PF Premier Apoyo Infonavit Pago_Bajo_Puntual 20</v>
      </c>
      <c r="B859" s="75" t="str">
        <f t="shared" si="30"/>
        <v>Exclusiva PF Premier Apoyo Infonavit Pago_Bajo_Puntual 20 0.103</v>
      </c>
      <c r="C859" s="75" t="s">
        <v>116</v>
      </c>
      <c r="D859" s="75" t="s">
        <v>132</v>
      </c>
      <c r="E859" s="75" t="s">
        <v>143</v>
      </c>
      <c r="F859" s="75"/>
      <c r="G859" s="75" t="s">
        <v>112</v>
      </c>
      <c r="H859" s="75"/>
      <c r="I859" s="75" t="s">
        <v>170</v>
      </c>
      <c r="J859" s="76">
        <v>20</v>
      </c>
      <c r="K859" s="516" t="s">
        <v>386</v>
      </c>
      <c r="L859" s="517">
        <v>9</v>
      </c>
      <c r="M859" s="517">
        <v>9.66</v>
      </c>
      <c r="N859" s="518">
        <v>0.10299999999999999</v>
      </c>
      <c r="O859" s="518">
        <v>0.1</v>
      </c>
      <c r="P859" s="518">
        <v>0.112</v>
      </c>
      <c r="Q859" s="78">
        <v>0.44</v>
      </c>
      <c r="R859" s="78">
        <v>0.31740000000000002</v>
      </c>
      <c r="S859" s="69">
        <v>1.4999999999999999E-2</v>
      </c>
      <c r="T859" s="69">
        <v>5.0000000000000001E-3</v>
      </c>
      <c r="U859" s="518">
        <v>0.7</v>
      </c>
      <c r="V859" s="76">
        <v>0</v>
      </c>
      <c r="W859" s="76">
        <v>0</v>
      </c>
      <c r="X859" s="76"/>
      <c r="Y859" s="516" t="s">
        <v>470</v>
      </c>
    </row>
    <row r="860" spans="1:25" x14ac:dyDescent="0.25">
      <c r="A860" s="75" t="str">
        <f t="shared" si="31"/>
        <v>Exclusiva PF Premier Apoyo Infonavit Pago_Bajo_Puntual 15</v>
      </c>
      <c r="B860" s="75" t="str">
        <f t="shared" si="30"/>
        <v>Exclusiva PF Premier Apoyo Infonavit Pago_Bajo_Puntual 15 0.0965</v>
      </c>
      <c r="C860" s="75" t="s">
        <v>116</v>
      </c>
      <c r="D860" s="75" t="s">
        <v>132</v>
      </c>
      <c r="E860" s="75" t="s">
        <v>143</v>
      </c>
      <c r="F860" s="75"/>
      <c r="G860" s="75" t="s">
        <v>112</v>
      </c>
      <c r="H860" s="75"/>
      <c r="I860" s="75" t="s">
        <v>170</v>
      </c>
      <c r="J860" s="76">
        <v>15</v>
      </c>
      <c r="K860" s="516" t="s">
        <v>385</v>
      </c>
      <c r="L860" s="517">
        <v>9.6999999999999993</v>
      </c>
      <c r="M860" s="517">
        <v>10.36</v>
      </c>
      <c r="N860" s="518">
        <v>9.6500000000000002E-2</v>
      </c>
      <c r="O860" s="518">
        <v>9.1999999999999998E-2</v>
      </c>
      <c r="P860" s="518">
        <v>0.10249999999999999</v>
      </c>
      <c r="Q860" s="78">
        <v>0.44</v>
      </c>
      <c r="R860" s="78">
        <v>0.31740000000000002</v>
      </c>
      <c r="S860" s="69">
        <v>1.4999999999999999E-2</v>
      </c>
      <c r="T860" s="69">
        <v>5.0000000000000001E-3</v>
      </c>
      <c r="U860" s="518">
        <v>0.7</v>
      </c>
      <c r="V860" s="76">
        <v>0</v>
      </c>
      <c r="W860" s="76">
        <v>0</v>
      </c>
      <c r="X860" s="76"/>
      <c r="Y860" s="516" t="s">
        <v>470</v>
      </c>
    </row>
    <row r="861" spans="1:25" x14ac:dyDescent="0.25">
      <c r="A861" s="75" t="str">
        <f t="shared" si="31"/>
        <v>Exclusiva PF Premier Apoyo Infonavit Pago_Bajo_Puntual 15</v>
      </c>
      <c r="B861" s="75" t="str">
        <f t="shared" si="30"/>
        <v>Exclusiva PF Premier Apoyo Infonavit Pago_Bajo_Puntual 15 0.103</v>
      </c>
      <c r="C861" s="75" t="s">
        <v>116</v>
      </c>
      <c r="D861" s="75" t="s">
        <v>132</v>
      </c>
      <c r="E861" s="75" t="s">
        <v>143</v>
      </c>
      <c r="F861" s="75"/>
      <c r="G861" s="75" t="s">
        <v>112</v>
      </c>
      <c r="H861" s="75"/>
      <c r="I861" s="75" t="s">
        <v>170</v>
      </c>
      <c r="J861" s="76">
        <v>15</v>
      </c>
      <c r="K861" s="516" t="s">
        <v>386</v>
      </c>
      <c r="L861" s="517">
        <v>10.119999999999999</v>
      </c>
      <c r="M861" s="517">
        <v>10.78</v>
      </c>
      <c r="N861" s="518">
        <v>0.10299999999999999</v>
      </c>
      <c r="O861" s="518">
        <v>0.1</v>
      </c>
      <c r="P861" s="518">
        <v>0.112</v>
      </c>
      <c r="Q861" s="78">
        <v>0.44</v>
      </c>
      <c r="R861" s="78">
        <v>0.31740000000000002</v>
      </c>
      <c r="S861" s="69">
        <v>1.4999999999999999E-2</v>
      </c>
      <c r="T861" s="69">
        <v>5.0000000000000001E-3</v>
      </c>
      <c r="U861" s="518">
        <v>0.7</v>
      </c>
      <c r="V861" s="76">
        <v>0</v>
      </c>
      <c r="W861" s="76">
        <v>0</v>
      </c>
      <c r="X861" s="76"/>
      <c r="Y861" s="516" t="s">
        <v>470</v>
      </c>
    </row>
    <row r="862" spans="1:25" x14ac:dyDescent="0.25">
      <c r="A862" s="75" t="str">
        <f t="shared" si="31"/>
        <v>Exclusiva PF Premier Apoyo Infonavit Pago_Bajo_Puntual 10</v>
      </c>
      <c r="B862" s="75" t="str">
        <f t="shared" si="30"/>
        <v>Exclusiva PF Premier Apoyo Infonavit Pago_Bajo_Puntual 10 0.0965</v>
      </c>
      <c r="C862" s="75" t="s">
        <v>116</v>
      </c>
      <c r="D862" s="75" t="s">
        <v>132</v>
      </c>
      <c r="E862" s="75" t="s">
        <v>143</v>
      </c>
      <c r="F862" s="75"/>
      <c r="G862" s="75" t="s">
        <v>112</v>
      </c>
      <c r="H862" s="75"/>
      <c r="I862" s="75" t="s">
        <v>170</v>
      </c>
      <c r="J862" s="76">
        <v>10</v>
      </c>
      <c r="K862" s="516" t="s">
        <v>385</v>
      </c>
      <c r="L862" s="517">
        <v>12.25</v>
      </c>
      <c r="M862" s="517">
        <v>12.91</v>
      </c>
      <c r="N862" s="518">
        <v>9.6500000000000002E-2</v>
      </c>
      <c r="O862" s="518">
        <v>9.1999999999999998E-2</v>
      </c>
      <c r="P862" s="518">
        <v>0.10249999999999999</v>
      </c>
      <c r="Q862" s="78">
        <v>0.44</v>
      </c>
      <c r="R862" s="78">
        <v>0.31740000000000002</v>
      </c>
      <c r="S862" s="69">
        <v>1.4999999999999999E-2</v>
      </c>
      <c r="T862" s="69">
        <v>5.0000000000000001E-3</v>
      </c>
      <c r="U862" s="518">
        <v>0.7</v>
      </c>
      <c r="V862" s="76">
        <v>0</v>
      </c>
      <c r="W862" s="76">
        <v>0</v>
      </c>
      <c r="X862" s="76"/>
      <c r="Y862" s="516" t="s">
        <v>470</v>
      </c>
    </row>
    <row r="863" spans="1:25" x14ac:dyDescent="0.25">
      <c r="A863" s="75" t="str">
        <f t="shared" si="31"/>
        <v>Exclusiva PF Premier Apoyo Infonavit Pago_Bajo_Puntual 10</v>
      </c>
      <c r="B863" s="75" t="str">
        <f t="shared" si="30"/>
        <v>Exclusiva PF Premier Apoyo Infonavit Pago_Bajo_Puntual 10 0.103</v>
      </c>
      <c r="C863" s="75" t="s">
        <v>116</v>
      </c>
      <c r="D863" s="75" t="s">
        <v>132</v>
      </c>
      <c r="E863" s="75" t="s">
        <v>143</v>
      </c>
      <c r="F863" s="75"/>
      <c r="G863" s="75" t="s">
        <v>112</v>
      </c>
      <c r="H863" s="75"/>
      <c r="I863" s="75" t="s">
        <v>170</v>
      </c>
      <c r="J863" s="76">
        <v>10</v>
      </c>
      <c r="K863" s="516" t="s">
        <v>386</v>
      </c>
      <c r="L863" s="517">
        <v>12.62</v>
      </c>
      <c r="M863" s="517">
        <v>13.28</v>
      </c>
      <c r="N863" s="518">
        <v>0.10299999999999999</v>
      </c>
      <c r="O863" s="518">
        <v>0.1</v>
      </c>
      <c r="P863" s="518">
        <v>0.112</v>
      </c>
      <c r="Q863" s="78">
        <v>0.44</v>
      </c>
      <c r="R863" s="78">
        <v>0.31740000000000002</v>
      </c>
      <c r="S863" s="69">
        <v>1.4999999999999999E-2</v>
      </c>
      <c r="T863" s="69">
        <v>5.0000000000000001E-3</v>
      </c>
      <c r="U863" s="518">
        <v>0.7</v>
      </c>
      <c r="V863" s="76">
        <v>0</v>
      </c>
      <c r="W863" s="76">
        <v>0</v>
      </c>
      <c r="X863" s="76"/>
      <c r="Y863" s="516" t="s">
        <v>470</v>
      </c>
    </row>
    <row r="864" spans="1:25" x14ac:dyDescent="0.25">
      <c r="A864" s="75" t="str">
        <f t="shared" si="31"/>
        <v>Exclusiva PF Premier Apoyo Infonavit Pago_Bajo_Puntual 5</v>
      </c>
      <c r="B864" s="75" t="str">
        <f t="shared" si="30"/>
        <v>Exclusiva PF Premier Apoyo Infonavit Pago_Bajo_Puntual 5 0.0965</v>
      </c>
      <c r="C864" s="75" t="s">
        <v>116</v>
      </c>
      <c r="D864" s="75" t="s">
        <v>132</v>
      </c>
      <c r="E864" s="75" t="s">
        <v>143</v>
      </c>
      <c r="F864" s="75"/>
      <c r="G864" s="75" t="s">
        <v>112</v>
      </c>
      <c r="H864" s="75"/>
      <c r="I864" s="75" t="s">
        <v>170</v>
      </c>
      <c r="J864" s="76">
        <v>5</v>
      </c>
      <c r="K864" s="516" t="s">
        <v>385</v>
      </c>
      <c r="L864" s="517">
        <v>20.399999999999999</v>
      </c>
      <c r="M864" s="517">
        <v>21.06</v>
      </c>
      <c r="N864" s="518">
        <v>9.6500000000000002E-2</v>
      </c>
      <c r="O864" s="518">
        <v>9.1999999999999998E-2</v>
      </c>
      <c r="P864" s="518">
        <v>0.10249999999999999</v>
      </c>
      <c r="Q864" s="78">
        <v>0.44</v>
      </c>
      <c r="R864" s="78">
        <v>0.31740000000000002</v>
      </c>
      <c r="S864" s="69">
        <v>1.4999999999999999E-2</v>
      </c>
      <c r="T864" s="69">
        <v>5.0000000000000001E-3</v>
      </c>
      <c r="U864" s="518">
        <v>0.7</v>
      </c>
      <c r="V864" s="76">
        <v>0</v>
      </c>
      <c r="W864" s="76">
        <v>0</v>
      </c>
      <c r="X864" s="76"/>
      <c r="Y864" s="516" t="s">
        <v>470</v>
      </c>
    </row>
    <row r="865" spans="1:25" x14ac:dyDescent="0.25">
      <c r="A865" s="75" t="str">
        <f t="shared" si="31"/>
        <v>Exclusiva PF Premier Apoyo Infonavit Pago_Bajo_Puntual 5</v>
      </c>
      <c r="B865" s="75" t="str">
        <f t="shared" si="30"/>
        <v>Exclusiva PF Premier Apoyo Infonavit Pago_Bajo_Puntual 5 0.103</v>
      </c>
      <c r="C865" s="75" t="s">
        <v>116</v>
      </c>
      <c r="D865" s="75" t="s">
        <v>132</v>
      </c>
      <c r="E865" s="75" t="s">
        <v>143</v>
      </c>
      <c r="F865" s="75"/>
      <c r="G865" s="75" t="s">
        <v>112</v>
      </c>
      <c r="H865" s="75"/>
      <c r="I865" s="75" t="s">
        <v>170</v>
      </c>
      <c r="J865" s="76">
        <v>5</v>
      </c>
      <c r="K865" s="516" t="s">
        <v>386</v>
      </c>
      <c r="L865" s="517">
        <v>20.72</v>
      </c>
      <c r="M865" s="517">
        <v>21.38</v>
      </c>
      <c r="N865" s="518">
        <v>0.10299999999999999</v>
      </c>
      <c r="O865" s="518">
        <v>0.1</v>
      </c>
      <c r="P865" s="518">
        <v>0.112</v>
      </c>
      <c r="Q865" s="78">
        <v>0.44</v>
      </c>
      <c r="R865" s="78">
        <v>0.31740000000000002</v>
      </c>
      <c r="S865" s="69">
        <v>1.4999999999999999E-2</v>
      </c>
      <c r="T865" s="69">
        <v>5.0000000000000001E-3</v>
      </c>
      <c r="U865" s="518">
        <v>0.7</v>
      </c>
      <c r="V865" s="76">
        <v>0</v>
      </c>
      <c r="W865" s="76">
        <v>0</v>
      </c>
      <c r="X865" s="76"/>
      <c r="Y865" s="516" t="s">
        <v>470</v>
      </c>
    </row>
    <row r="866" spans="1:25" x14ac:dyDescent="0.25">
      <c r="A866" s="75" t="str">
        <f t="shared" si="31"/>
        <v>Exclusiva PF Premier Cofinavit Pago_Fijo_Puntual Si 25</v>
      </c>
      <c r="B866" s="75" t="str">
        <f t="shared" si="30"/>
        <v>Exclusiva PF Premier Cofinavit Pago_Fijo_Puntual Si 25 0.103</v>
      </c>
      <c r="C866" s="75" t="s">
        <v>116</v>
      </c>
      <c r="D866" s="75" t="s">
        <v>132</v>
      </c>
      <c r="E866" s="75" t="s">
        <v>143</v>
      </c>
      <c r="F866" s="75"/>
      <c r="G866" s="75" t="s">
        <v>113</v>
      </c>
      <c r="H866" s="75"/>
      <c r="I866" s="75" t="s">
        <v>171</v>
      </c>
      <c r="J866" s="76">
        <v>25</v>
      </c>
      <c r="K866" s="519" t="s">
        <v>387</v>
      </c>
      <c r="L866" s="520">
        <v>9.65</v>
      </c>
      <c r="M866" s="520">
        <v>10.31</v>
      </c>
      <c r="N866" s="507">
        <v>0.10299999999999999</v>
      </c>
      <c r="O866" s="507">
        <v>0.1</v>
      </c>
      <c r="P866" s="507">
        <v>0.112</v>
      </c>
      <c r="Q866" s="78">
        <v>0.44</v>
      </c>
      <c r="R866" s="78">
        <v>0.31740000000000002</v>
      </c>
      <c r="S866" s="69">
        <v>1.4999999999999999E-2</v>
      </c>
      <c r="T866" s="69">
        <v>5.0000000000000001E-3</v>
      </c>
      <c r="U866" s="507">
        <v>0.95</v>
      </c>
      <c r="V866" s="76">
        <v>0</v>
      </c>
      <c r="W866" s="76">
        <v>0</v>
      </c>
      <c r="X866" s="76" t="s">
        <v>147</v>
      </c>
      <c r="Y866" s="519" t="s">
        <v>469</v>
      </c>
    </row>
    <row r="867" spans="1:25" x14ac:dyDescent="0.25">
      <c r="A867" s="75" t="str">
        <f t="shared" si="31"/>
        <v>Exclusiva PF Premier Cofinavit Pago_Fijo_Puntual 25</v>
      </c>
      <c r="B867" s="75" t="str">
        <f t="shared" si="30"/>
        <v>Exclusiva PF Premier Cofinavit Pago_Fijo_Puntual 25 0.106</v>
      </c>
      <c r="C867" s="75" t="s">
        <v>116</v>
      </c>
      <c r="D867" s="75" t="s">
        <v>132</v>
      </c>
      <c r="E867" s="75" t="s">
        <v>143</v>
      </c>
      <c r="F867" s="75"/>
      <c r="G867" s="75" t="s">
        <v>113</v>
      </c>
      <c r="H867" s="75"/>
      <c r="I867" s="75" t="s">
        <v>171</v>
      </c>
      <c r="J867" s="76">
        <v>25</v>
      </c>
      <c r="K867" s="519">
        <v>3</v>
      </c>
      <c r="L867" s="520">
        <v>9.93</v>
      </c>
      <c r="M867" s="520">
        <v>10.59</v>
      </c>
      <c r="N867" s="507">
        <v>0.106</v>
      </c>
      <c r="O867" s="507">
        <v>0.10299999999999999</v>
      </c>
      <c r="P867" s="507">
        <v>0.11799999999999999</v>
      </c>
      <c r="Q867" s="78">
        <v>0.44</v>
      </c>
      <c r="R867" s="78">
        <v>0.31740000000000002</v>
      </c>
      <c r="S867" s="69">
        <v>1.4999999999999999E-2</v>
      </c>
      <c r="T867" s="69">
        <v>5.0000000000000001E-3</v>
      </c>
      <c r="U867" s="507">
        <v>0.95</v>
      </c>
      <c r="V867" s="76">
        <v>0</v>
      </c>
      <c r="W867" s="76">
        <v>0</v>
      </c>
      <c r="X867" s="76"/>
      <c r="Y867" s="519" t="s">
        <v>469</v>
      </c>
    </row>
    <row r="868" spans="1:25" x14ac:dyDescent="0.25">
      <c r="A868" s="75" t="str">
        <f t="shared" si="31"/>
        <v>Exclusiva PF Premier Cofinavit Pago_Fijo_Puntual Si 20</v>
      </c>
      <c r="B868" s="75" t="str">
        <f t="shared" si="30"/>
        <v>Exclusiva PF Premier Cofinavit Pago_Fijo_Puntual Si 20 0.103</v>
      </c>
      <c r="C868" s="75" t="s">
        <v>116</v>
      </c>
      <c r="D868" s="75" t="s">
        <v>132</v>
      </c>
      <c r="E868" s="75" t="s">
        <v>143</v>
      </c>
      <c r="F868" s="75"/>
      <c r="G868" s="75" t="s">
        <v>113</v>
      </c>
      <c r="H868" s="75"/>
      <c r="I868" s="75" t="s">
        <v>171</v>
      </c>
      <c r="J868" s="76">
        <v>20</v>
      </c>
      <c r="K868" s="519" t="s">
        <v>387</v>
      </c>
      <c r="L868" s="520">
        <v>10.16</v>
      </c>
      <c r="M868" s="520">
        <v>10.82</v>
      </c>
      <c r="N868" s="507">
        <v>0.10299999999999999</v>
      </c>
      <c r="O868" s="507">
        <v>0.1</v>
      </c>
      <c r="P868" s="507">
        <v>0.112</v>
      </c>
      <c r="Q868" s="78">
        <v>0.44</v>
      </c>
      <c r="R868" s="78">
        <v>0.31740000000000002</v>
      </c>
      <c r="S868" s="69">
        <v>1.4999999999999999E-2</v>
      </c>
      <c r="T868" s="69">
        <v>5.0000000000000001E-3</v>
      </c>
      <c r="U868" s="507">
        <v>0.95</v>
      </c>
      <c r="V868" s="76">
        <v>0</v>
      </c>
      <c r="W868" s="76">
        <v>0</v>
      </c>
      <c r="X868" s="76" t="s">
        <v>147</v>
      </c>
      <c r="Y868" s="519" t="s">
        <v>469</v>
      </c>
    </row>
    <row r="869" spans="1:25" x14ac:dyDescent="0.25">
      <c r="A869" s="75" t="str">
        <f t="shared" si="31"/>
        <v>Exclusiva PF Premier Cofinavit Pago_Fijo_Puntual 20</v>
      </c>
      <c r="B869" s="75" t="str">
        <f t="shared" si="30"/>
        <v>Exclusiva PF Premier Cofinavit Pago_Fijo_Puntual 20 0.106</v>
      </c>
      <c r="C869" s="75" t="s">
        <v>116</v>
      </c>
      <c r="D869" s="75" t="s">
        <v>132</v>
      </c>
      <c r="E869" s="75" t="s">
        <v>143</v>
      </c>
      <c r="F869" s="75"/>
      <c r="G869" s="75" t="s">
        <v>113</v>
      </c>
      <c r="H869" s="75"/>
      <c r="I869" s="75" t="s">
        <v>171</v>
      </c>
      <c r="J869" s="76">
        <v>20</v>
      </c>
      <c r="K869" s="519">
        <v>3</v>
      </c>
      <c r="L869" s="520">
        <v>10.41</v>
      </c>
      <c r="M869" s="520">
        <v>11.07</v>
      </c>
      <c r="N869" s="507">
        <v>0.106</v>
      </c>
      <c r="O869" s="507">
        <v>0.10299999999999999</v>
      </c>
      <c r="P869" s="507">
        <v>0.11799999999999999</v>
      </c>
      <c r="Q869" s="78">
        <v>0.44</v>
      </c>
      <c r="R869" s="78">
        <v>0.31740000000000002</v>
      </c>
      <c r="S869" s="69">
        <v>1.4999999999999999E-2</v>
      </c>
      <c r="T869" s="69">
        <v>5.0000000000000001E-3</v>
      </c>
      <c r="U869" s="507">
        <v>0.95</v>
      </c>
      <c r="V869" s="76">
        <v>0</v>
      </c>
      <c r="W869" s="76">
        <v>0</v>
      </c>
      <c r="X869" s="76"/>
      <c r="Y869" s="519" t="s">
        <v>469</v>
      </c>
    </row>
    <row r="870" spans="1:25" x14ac:dyDescent="0.25">
      <c r="A870" s="75" t="str">
        <f t="shared" si="31"/>
        <v>Exclusiva PF Premier Cofinavit Pago_Fijo_Puntual Si 15</v>
      </c>
      <c r="B870" s="75" t="str">
        <f t="shared" si="30"/>
        <v>Exclusiva PF Premier Cofinavit Pago_Fijo_Puntual Si 15 0.103</v>
      </c>
      <c r="C870" s="75" t="s">
        <v>116</v>
      </c>
      <c r="D870" s="75" t="s">
        <v>132</v>
      </c>
      <c r="E870" s="75" t="s">
        <v>143</v>
      </c>
      <c r="F870" s="75"/>
      <c r="G870" s="75" t="s">
        <v>113</v>
      </c>
      <c r="H870" s="75"/>
      <c r="I870" s="75" t="s">
        <v>171</v>
      </c>
      <c r="J870" s="76">
        <v>15</v>
      </c>
      <c r="K870" s="519" t="s">
        <v>387</v>
      </c>
      <c r="L870" s="520">
        <v>11.18</v>
      </c>
      <c r="M870" s="520">
        <v>11.84</v>
      </c>
      <c r="N870" s="507">
        <v>0.10299999999999999</v>
      </c>
      <c r="O870" s="507">
        <v>0.1</v>
      </c>
      <c r="P870" s="507">
        <v>0.112</v>
      </c>
      <c r="Q870" s="78">
        <v>0.44</v>
      </c>
      <c r="R870" s="78">
        <v>0.31740000000000002</v>
      </c>
      <c r="S870" s="69">
        <v>1.4999999999999999E-2</v>
      </c>
      <c r="T870" s="69">
        <v>5.0000000000000001E-3</v>
      </c>
      <c r="U870" s="507">
        <v>0.95</v>
      </c>
      <c r="V870" s="76">
        <v>0</v>
      </c>
      <c r="W870" s="76">
        <v>0</v>
      </c>
      <c r="X870" s="76" t="s">
        <v>147</v>
      </c>
      <c r="Y870" s="519" t="s">
        <v>469</v>
      </c>
    </row>
    <row r="871" spans="1:25" x14ac:dyDescent="0.25">
      <c r="A871" s="75" t="str">
        <f t="shared" si="31"/>
        <v>Exclusiva PF Premier Cofinavit Pago_Fijo_Puntual 15</v>
      </c>
      <c r="B871" s="75" t="str">
        <f t="shared" si="30"/>
        <v>Exclusiva PF Premier Cofinavit Pago_Fijo_Puntual 15 0.106</v>
      </c>
      <c r="C871" s="75" t="s">
        <v>116</v>
      </c>
      <c r="D871" s="75" t="s">
        <v>132</v>
      </c>
      <c r="E871" s="75" t="s">
        <v>143</v>
      </c>
      <c r="F871" s="75"/>
      <c r="G871" s="75" t="s">
        <v>113</v>
      </c>
      <c r="H871" s="75"/>
      <c r="I871" s="75" t="s">
        <v>171</v>
      </c>
      <c r="J871" s="76">
        <v>15</v>
      </c>
      <c r="K871" s="519">
        <v>3</v>
      </c>
      <c r="L871" s="520">
        <v>11.39</v>
      </c>
      <c r="M871" s="520">
        <v>12.05</v>
      </c>
      <c r="N871" s="507">
        <v>0.106</v>
      </c>
      <c r="O871" s="507">
        <v>0.10299999999999999</v>
      </c>
      <c r="P871" s="507">
        <v>0.11799999999999999</v>
      </c>
      <c r="Q871" s="78">
        <v>0.44</v>
      </c>
      <c r="R871" s="78">
        <v>0.31740000000000002</v>
      </c>
      <c r="S871" s="69">
        <v>1.4999999999999999E-2</v>
      </c>
      <c r="T871" s="69">
        <v>5.0000000000000001E-3</v>
      </c>
      <c r="U871" s="507">
        <v>0.95</v>
      </c>
      <c r="V871" s="76">
        <v>0</v>
      </c>
      <c r="W871" s="76">
        <v>0</v>
      </c>
      <c r="X871" s="76"/>
      <c r="Y871" s="519" t="s">
        <v>469</v>
      </c>
    </row>
    <row r="872" spans="1:25" x14ac:dyDescent="0.25">
      <c r="A872" s="75" t="str">
        <f t="shared" si="31"/>
        <v>Exclusiva PF Premier Cofinavit Pago_Fijo_Puntual Si 10</v>
      </c>
      <c r="B872" s="75" t="str">
        <f t="shared" si="30"/>
        <v>Exclusiva PF Premier Cofinavit Pago_Fijo_Puntual Si 10 0.103</v>
      </c>
      <c r="C872" s="75" t="s">
        <v>116</v>
      </c>
      <c r="D872" s="75" t="s">
        <v>132</v>
      </c>
      <c r="E872" s="75" t="s">
        <v>143</v>
      </c>
      <c r="F872" s="75"/>
      <c r="G872" s="75" t="s">
        <v>113</v>
      </c>
      <c r="H872" s="75"/>
      <c r="I872" s="75" t="s">
        <v>171</v>
      </c>
      <c r="J872" s="76">
        <v>10</v>
      </c>
      <c r="K872" s="519" t="s">
        <v>387</v>
      </c>
      <c r="L872" s="520">
        <v>13.54</v>
      </c>
      <c r="M872" s="520">
        <v>14.2</v>
      </c>
      <c r="N872" s="507">
        <v>0.10299999999999999</v>
      </c>
      <c r="O872" s="507">
        <v>0.1</v>
      </c>
      <c r="P872" s="507">
        <v>0.112</v>
      </c>
      <c r="Q872" s="78">
        <v>0.44</v>
      </c>
      <c r="R872" s="78">
        <v>0.31740000000000002</v>
      </c>
      <c r="S872" s="69">
        <v>1.4999999999999999E-2</v>
      </c>
      <c r="T872" s="69">
        <v>5.0000000000000001E-3</v>
      </c>
      <c r="U872" s="507">
        <v>0.95</v>
      </c>
      <c r="V872" s="76">
        <v>0</v>
      </c>
      <c r="W872" s="76">
        <v>0</v>
      </c>
      <c r="X872" s="76" t="s">
        <v>147</v>
      </c>
      <c r="Y872" s="519" t="s">
        <v>469</v>
      </c>
    </row>
    <row r="873" spans="1:25" x14ac:dyDescent="0.25">
      <c r="A873" s="75" t="str">
        <f t="shared" si="31"/>
        <v>Exclusiva PF Premier Cofinavit Pago_Fijo_Puntual 10</v>
      </c>
      <c r="B873" s="75" t="str">
        <f t="shared" si="30"/>
        <v>Exclusiva PF Premier Cofinavit Pago_Fijo_Puntual 10 0.106</v>
      </c>
      <c r="C873" s="75" t="s">
        <v>116</v>
      </c>
      <c r="D873" s="75" t="s">
        <v>132</v>
      </c>
      <c r="E873" s="75" t="s">
        <v>143</v>
      </c>
      <c r="F873" s="75"/>
      <c r="G873" s="75" t="s">
        <v>113</v>
      </c>
      <c r="H873" s="75"/>
      <c r="I873" s="75" t="s">
        <v>171</v>
      </c>
      <c r="J873" s="76">
        <v>10</v>
      </c>
      <c r="K873" s="519">
        <v>3</v>
      </c>
      <c r="L873" s="520">
        <v>13.71</v>
      </c>
      <c r="M873" s="520">
        <v>14.37</v>
      </c>
      <c r="N873" s="507">
        <v>0.106</v>
      </c>
      <c r="O873" s="507">
        <v>0.10299999999999999</v>
      </c>
      <c r="P873" s="507">
        <v>0.11799999999999999</v>
      </c>
      <c r="Q873" s="78">
        <v>0.44</v>
      </c>
      <c r="R873" s="78">
        <v>0.31740000000000002</v>
      </c>
      <c r="S873" s="69">
        <v>1.4999999999999999E-2</v>
      </c>
      <c r="T873" s="69">
        <v>5.0000000000000001E-3</v>
      </c>
      <c r="U873" s="507">
        <v>0.95</v>
      </c>
      <c r="V873" s="76">
        <v>0</v>
      </c>
      <c r="W873" s="76">
        <v>0</v>
      </c>
      <c r="X873" s="76"/>
      <c r="Y873" s="519" t="s">
        <v>469</v>
      </c>
    </row>
    <row r="874" spans="1:25" x14ac:dyDescent="0.25">
      <c r="A874" s="75" t="str">
        <f t="shared" si="31"/>
        <v>Exclusiva PF Premier Cofinavit Pago_Fijo_Puntual Si 5</v>
      </c>
      <c r="B874" s="75" t="str">
        <f t="shared" si="30"/>
        <v>Exclusiva PF Premier Cofinavit Pago_Fijo_Puntual Si 5 0.103</v>
      </c>
      <c r="C874" s="75" t="s">
        <v>116</v>
      </c>
      <c r="D874" s="75" t="s">
        <v>132</v>
      </c>
      <c r="E874" s="75" t="s">
        <v>143</v>
      </c>
      <c r="F874" s="75"/>
      <c r="G874" s="75" t="s">
        <v>113</v>
      </c>
      <c r="H874" s="75"/>
      <c r="I874" s="75" t="s">
        <v>171</v>
      </c>
      <c r="J874" s="76">
        <v>5</v>
      </c>
      <c r="K874" s="519" t="s">
        <v>387</v>
      </c>
      <c r="L874" s="520">
        <v>21.44</v>
      </c>
      <c r="M874" s="520">
        <v>22.1</v>
      </c>
      <c r="N874" s="507">
        <v>0.10299999999999999</v>
      </c>
      <c r="O874" s="507">
        <v>0.1</v>
      </c>
      <c r="P874" s="507">
        <v>0.112</v>
      </c>
      <c r="Q874" s="78">
        <v>0.44</v>
      </c>
      <c r="R874" s="78">
        <v>0.31740000000000002</v>
      </c>
      <c r="S874" s="69">
        <v>1.4999999999999999E-2</v>
      </c>
      <c r="T874" s="69">
        <v>5.0000000000000001E-3</v>
      </c>
      <c r="U874" s="507">
        <v>0.95</v>
      </c>
      <c r="V874" s="76">
        <v>0</v>
      </c>
      <c r="W874" s="76">
        <v>0</v>
      </c>
      <c r="X874" s="76" t="s">
        <v>147</v>
      </c>
      <c r="Y874" s="519" t="s">
        <v>469</v>
      </c>
    </row>
    <row r="875" spans="1:25" x14ac:dyDescent="0.25">
      <c r="A875" s="75" t="str">
        <f t="shared" si="31"/>
        <v>Exclusiva PF Premier Cofinavit Pago_Fijo_Puntual 5</v>
      </c>
      <c r="B875" s="75" t="str">
        <f t="shared" si="30"/>
        <v>Exclusiva PF Premier Cofinavit Pago_Fijo_Puntual 5 0.106</v>
      </c>
      <c r="C875" s="75" t="s">
        <v>116</v>
      </c>
      <c r="D875" s="75" t="s">
        <v>132</v>
      </c>
      <c r="E875" s="75" t="s">
        <v>143</v>
      </c>
      <c r="F875" s="75"/>
      <c r="G875" s="75" t="s">
        <v>113</v>
      </c>
      <c r="H875" s="75"/>
      <c r="I875" s="75" t="s">
        <v>171</v>
      </c>
      <c r="J875" s="76">
        <v>5</v>
      </c>
      <c r="K875" s="519">
        <v>3</v>
      </c>
      <c r="L875" s="520">
        <v>21.59</v>
      </c>
      <c r="M875" s="520">
        <v>22.25</v>
      </c>
      <c r="N875" s="507">
        <v>0.106</v>
      </c>
      <c r="O875" s="507">
        <v>0.10299999999999999</v>
      </c>
      <c r="P875" s="507">
        <v>0.11799999999999999</v>
      </c>
      <c r="Q875" s="78">
        <v>0.44</v>
      </c>
      <c r="R875" s="78">
        <v>0.31740000000000002</v>
      </c>
      <c r="S875" s="69">
        <v>1.4999999999999999E-2</v>
      </c>
      <c r="T875" s="69">
        <v>5.0000000000000001E-3</v>
      </c>
      <c r="U875" s="507">
        <v>0.95</v>
      </c>
      <c r="V875" s="76">
        <v>0</v>
      </c>
      <c r="W875" s="76">
        <v>0</v>
      </c>
      <c r="X875" s="76"/>
      <c r="Y875" s="519" t="s">
        <v>469</v>
      </c>
    </row>
    <row r="876" spans="1:25" x14ac:dyDescent="0.25">
      <c r="A876" s="75" t="str">
        <f t="shared" si="31"/>
        <v>Exclusiva PF Premier Cofinavit Pago_Bajo_Puntual Si 25</v>
      </c>
      <c r="B876" s="75" t="str">
        <f t="shared" si="30"/>
        <v>Exclusiva PF Premier Cofinavit Pago_Bajo_Puntual Si 25 0.103</v>
      </c>
      <c r="C876" s="75" t="s">
        <v>116</v>
      </c>
      <c r="D876" s="75" t="s">
        <v>132</v>
      </c>
      <c r="E876" s="75" t="s">
        <v>143</v>
      </c>
      <c r="F876" s="75"/>
      <c r="G876" s="75" t="s">
        <v>113</v>
      </c>
      <c r="H876" s="75"/>
      <c r="I876" s="75" t="s">
        <v>170</v>
      </c>
      <c r="J876" s="523">
        <v>25</v>
      </c>
      <c r="K876" s="519" t="s">
        <v>387</v>
      </c>
      <c r="L876" s="525">
        <v>8.64</v>
      </c>
      <c r="M876" s="525">
        <v>9.3000000000000007</v>
      </c>
      <c r="N876" s="507">
        <v>0.10299999999999999</v>
      </c>
      <c r="O876" s="507">
        <v>0.1</v>
      </c>
      <c r="P876" s="507">
        <v>0.112</v>
      </c>
      <c r="Q876" s="78">
        <v>0.44</v>
      </c>
      <c r="R876" s="78">
        <v>0.31740000000000002</v>
      </c>
      <c r="S876" s="69">
        <v>1.4999999999999999E-2</v>
      </c>
      <c r="T876" s="69">
        <v>5.0000000000000001E-3</v>
      </c>
      <c r="U876" s="507">
        <v>0.95</v>
      </c>
      <c r="V876" s="76">
        <v>0</v>
      </c>
      <c r="W876" s="76">
        <v>0</v>
      </c>
      <c r="X876" s="76" t="s">
        <v>147</v>
      </c>
      <c r="Y876" s="519" t="s">
        <v>469</v>
      </c>
    </row>
    <row r="877" spans="1:25" x14ac:dyDescent="0.25">
      <c r="A877" s="75" t="str">
        <f t="shared" si="31"/>
        <v>Exclusiva PF Premier Cofinavit Pago_Bajo_Puntual 25</v>
      </c>
      <c r="B877" s="75" t="str">
        <f t="shared" si="30"/>
        <v>Exclusiva PF Premier Cofinavit Pago_Bajo_Puntual 25 0.106</v>
      </c>
      <c r="C877" s="75" t="s">
        <v>116</v>
      </c>
      <c r="D877" s="75" t="s">
        <v>132</v>
      </c>
      <c r="E877" s="75" t="s">
        <v>143</v>
      </c>
      <c r="F877" s="75"/>
      <c r="G877" s="75" t="s">
        <v>113</v>
      </c>
      <c r="H877" s="75"/>
      <c r="I877" s="75" t="s">
        <v>170</v>
      </c>
      <c r="J877" s="523">
        <v>25</v>
      </c>
      <c r="K877" s="519">
        <v>3</v>
      </c>
      <c r="L877" s="525">
        <v>8.89</v>
      </c>
      <c r="M877" s="525">
        <v>9.5500000000000007</v>
      </c>
      <c r="N877" s="507">
        <v>0.106</v>
      </c>
      <c r="O877" s="507">
        <v>0.10299999999999999</v>
      </c>
      <c r="P877" s="507">
        <v>0.11799999999999999</v>
      </c>
      <c r="Q877" s="78">
        <v>0.44</v>
      </c>
      <c r="R877" s="78">
        <v>0.31740000000000002</v>
      </c>
      <c r="S877" s="69">
        <v>1.4999999999999999E-2</v>
      </c>
      <c r="T877" s="69">
        <v>5.0000000000000001E-3</v>
      </c>
      <c r="U877" s="507">
        <v>0.95</v>
      </c>
      <c r="V877" s="76">
        <v>0</v>
      </c>
      <c r="W877" s="76">
        <v>0</v>
      </c>
      <c r="X877" s="76"/>
      <c r="Y877" s="519" t="s">
        <v>469</v>
      </c>
    </row>
    <row r="878" spans="1:25" x14ac:dyDescent="0.25">
      <c r="A878" s="75" t="str">
        <f t="shared" si="31"/>
        <v>Exclusiva PF Premier Cofinavit Pago_Bajo_Puntual Si 20</v>
      </c>
      <c r="B878" s="75" t="str">
        <f t="shared" si="30"/>
        <v>Exclusiva PF Premier Cofinavit Pago_Bajo_Puntual Si 20 0.103</v>
      </c>
      <c r="C878" s="75" t="s">
        <v>116</v>
      </c>
      <c r="D878" s="75" t="s">
        <v>132</v>
      </c>
      <c r="E878" s="75" t="s">
        <v>143</v>
      </c>
      <c r="F878" s="75"/>
      <c r="G878" s="75" t="s">
        <v>113</v>
      </c>
      <c r="H878" s="75"/>
      <c r="I878" s="75" t="s">
        <v>170</v>
      </c>
      <c r="J878" s="76">
        <v>20</v>
      </c>
      <c r="K878" s="519" t="s">
        <v>387</v>
      </c>
      <c r="L878" s="520">
        <v>9</v>
      </c>
      <c r="M878" s="520">
        <v>9.66</v>
      </c>
      <c r="N878" s="507">
        <v>0.10299999999999999</v>
      </c>
      <c r="O878" s="507">
        <v>0.1</v>
      </c>
      <c r="P878" s="507">
        <v>0.112</v>
      </c>
      <c r="Q878" s="78">
        <v>0.44</v>
      </c>
      <c r="R878" s="78">
        <v>0.31740000000000002</v>
      </c>
      <c r="S878" s="69">
        <v>1.4999999999999999E-2</v>
      </c>
      <c r="T878" s="69">
        <v>5.0000000000000001E-3</v>
      </c>
      <c r="U878" s="507">
        <v>0.95</v>
      </c>
      <c r="V878" s="76">
        <v>0</v>
      </c>
      <c r="W878" s="76">
        <v>0</v>
      </c>
      <c r="X878" s="76" t="s">
        <v>147</v>
      </c>
      <c r="Y878" s="519" t="s">
        <v>469</v>
      </c>
    </row>
    <row r="879" spans="1:25" x14ac:dyDescent="0.25">
      <c r="A879" s="75" t="str">
        <f t="shared" si="31"/>
        <v>Exclusiva PF Premier Cofinavit Pago_Bajo_Puntual 20</v>
      </c>
      <c r="B879" s="75" t="str">
        <f t="shared" si="30"/>
        <v>Exclusiva PF Premier Cofinavit Pago_Bajo_Puntual 20 0.106</v>
      </c>
      <c r="C879" s="75" t="s">
        <v>116</v>
      </c>
      <c r="D879" s="75" t="s">
        <v>132</v>
      </c>
      <c r="E879" s="75" t="s">
        <v>143</v>
      </c>
      <c r="F879" s="75"/>
      <c r="G879" s="75" t="s">
        <v>113</v>
      </c>
      <c r="H879" s="75"/>
      <c r="I879" s="75" t="s">
        <v>170</v>
      </c>
      <c r="J879" s="76">
        <v>20</v>
      </c>
      <c r="K879" s="519">
        <v>3</v>
      </c>
      <c r="L879" s="520">
        <v>9.24</v>
      </c>
      <c r="M879" s="520">
        <v>9.9</v>
      </c>
      <c r="N879" s="507">
        <v>0.106</v>
      </c>
      <c r="O879" s="507">
        <v>0.10299999999999999</v>
      </c>
      <c r="P879" s="507">
        <v>0.11799999999999999</v>
      </c>
      <c r="Q879" s="78">
        <v>0.44</v>
      </c>
      <c r="R879" s="78">
        <v>0.31740000000000002</v>
      </c>
      <c r="S879" s="69">
        <v>1.4999999999999999E-2</v>
      </c>
      <c r="T879" s="69">
        <v>5.0000000000000001E-3</v>
      </c>
      <c r="U879" s="507">
        <v>0.95</v>
      </c>
      <c r="V879" s="76">
        <v>0</v>
      </c>
      <c r="W879" s="76">
        <v>0</v>
      </c>
      <c r="X879" s="76"/>
      <c r="Y879" s="519" t="s">
        <v>469</v>
      </c>
    </row>
    <row r="880" spans="1:25" x14ac:dyDescent="0.25">
      <c r="A880" s="75" t="str">
        <f t="shared" si="31"/>
        <v>Exclusiva PF Premier Cofinavit Pago_Bajo_Puntual Si 15</v>
      </c>
      <c r="B880" s="75" t="str">
        <f t="shared" si="30"/>
        <v>Exclusiva PF Premier Cofinavit Pago_Bajo_Puntual Si 15 0.103</v>
      </c>
      <c r="C880" s="75" t="s">
        <v>116</v>
      </c>
      <c r="D880" s="75" t="s">
        <v>132</v>
      </c>
      <c r="E880" s="75" t="s">
        <v>143</v>
      </c>
      <c r="F880" s="75"/>
      <c r="G880" s="75" t="s">
        <v>113</v>
      </c>
      <c r="H880" s="75"/>
      <c r="I880" s="75" t="s">
        <v>170</v>
      </c>
      <c r="J880" s="76">
        <v>15</v>
      </c>
      <c r="K880" s="519" t="s">
        <v>387</v>
      </c>
      <c r="L880" s="520">
        <v>10.119999999999999</v>
      </c>
      <c r="M880" s="520">
        <v>10.78</v>
      </c>
      <c r="N880" s="507">
        <v>0.10299999999999999</v>
      </c>
      <c r="O880" s="507">
        <v>0.1</v>
      </c>
      <c r="P880" s="507">
        <v>0.112</v>
      </c>
      <c r="Q880" s="78">
        <v>0.44</v>
      </c>
      <c r="R880" s="78">
        <v>0.31740000000000002</v>
      </c>
      <c r="S880" s="69">
        <v>1.4999999999999999E-2</v>
      </c>
      <c r="T880" s="69">
        <v>5.0000000000000001E-3</v>
      </c>
      <c r="U880" s="507">
        <v>0.95</v>
      </c>
      <c r="V880" s="76">
        <v>0</v>
      </c>
      <c r="W880" s="76">
        <v>0</v>
      </c>
      <c r="X880" s="76" t="s">
        <v>147</v>
      </c>
      <c r="Y880" s="519" t="s">
        <v>469</v>
      </c>
    </row>
    <row r="881" spans="1:25" x14ac:dyDescent="0.25">
      <c r="A881" s="75" t="str">
        <f t="shared" si="31"/>
        <v>Exclusiva PF Premier Cofinavit Pago_Bajo_Puntual 15</v>
      </c>
      <c r="B881" s="75" t="str">
        <f t="shared" si="30"/>
        <v>Exclusiva PF Premier Cofinavit Pago_Bajo_Puntual 15 0.106</v>
      </c>
      <c r="C881" s="75" t="s">
        <v>116</v>
      </c>
      <c r="D881" s="75" t="s">
        <v>132</v>
      </c>
      <c r="E881" s="75" t="s">
        <v>143</v>
      </c>
      <c r="F881" s="75"/>
      <c r="G881" s="75" t="s">
        <v>113</v>
      </c>
      <c r="H881" s="75"/>
      <c r="I881" s="75" t="s">
        <v>170</v>
      </c>
      <c r="J881" s="76">
        <v>15</v>
      </c>
      <c r="K881" s="519">
        <v>3</v>
      </c>
      <c r="L881" s="520">
        <v>10.33</v>
      </c>
      <c r="M881" s="520">
        <v>10.99</v>
      </c>
      <c r="N881" s="507">
        <v>0.106</v>
      </c>
      <c r="O881" s="507">
        <v>0.10299999999999999</v>
      </c>
      <c r="P881" s="507">
        <v>0.11799999999999999</v>
      </c>
      <c r="Q881" s="78">
        <v>0.44</v>
      </c>
      <c r="R881" s="78">
        <v>0.31740000000000002</v>
      </c>
      <c r="S881" s="69">
        <v>1.4999999999999999E-2</v>
      </c>
      <c r="T881" s="69">
        <v>5.0000000000000001E-3</v>
      </c>
      <c r="U881" s="507">
        <v>0.95</v>
      </c>
      <c r="V881" s="76">
        <v>0</v>
      </c>
      <c r="W881" s="76">
        <v>0</v>
      </c>
      <c r="X881" s="76"/>
      <c r="Y881" s="519" t="s">
        <v>469</v>
      </c>
    </row>
    <row r="882" spans="1:25" x14ac:dyDescent="0.25">
      <c r="A882" s="75" t="str">
        <f t="shared" si="31"/>
        <v>Exclusiva PF Premier Cofinavit Pago_Bajo_Puntual Si 10</v>
      </c>
      <c r="B882" s="75" t="str">
        <f t="shared" si="30"/>
        <v>Exclusiva PF Premier Cofinavit Pago_Bajo_Puntual Si 10 0.103</v>
      </c>
      <c r="C882" s="75" t="s">
        <v>116</v>
      </c>
      <c r="D882" s="75" t="s">
        <v>132</v>
      </c>
      <c r="E882" s="75" t="s">
        <v>143</v>
      </c>
      <c r="F882" s="75"/>
      <c r="G882" s="75" t="s">
        <v>113</v>
      </c>
      <c r="H882" s="75"/>
      <c r="I882" s="75" t="s">
        <v>170</v>
      </c>
      <c r="J882" s="76">
        <v>10</v>
      </c>
      <c r="K882" s="519" t="s">
        <v>387</v>
      </c>
      <c r="L882" s="520">
        <v>12.62</v>
      </c>
      <c r="M882" s="520">
        <v>13.28</v>
      </c>
      <c r="N882" s="507">
        <v>0.10299999999999999</v>
      </c>
      <c r="O882" s="507">
        <v>0.1</v>
      </c>
      <c r="P882" s="507">
        <v>0.112</v>
      </c>
      <c r="Q882" s="78">
        <v>0.44</v>
      </c>
      <c r="R882" s="78">
        <v>0.31740000000000002</v>
      </c>
      <c r="S882" s="69">
        <v>1.4999999999999999E-2</v>
      </c>
      <c r="T882" s="69">
        <v>5.0000000000000001E-3</v>
      </c>
      <c r="U882" s="507">
        <v>0.95</v>
      </c>
      <c r="V882" s="76">
        <v>0</v>
      </c>
      <c r="W882" s="76">
        <v>0</v>
      </c>
      <c r="X882" s="76" t="s">
        <v>147</v>
      </c>
      <c r="Y882" s="519" t="s">
        <v>469</v>
      </c>
    </row>
    <row r="883" spans="1:25" x14ac:dyDescent="0.25">
      <c r="A883" s="75" t="str">
        <f t="shared" si="31"/>
        <v>Exclusiva PF Premier Cofinavit Pago_Bajo_Puntual 10</v>
      </c>
      <c r="B883" s="75" t="str">
        <f t="shared" si="30"/>
        <v>Exclusiva PF Premier Cofinavit Pago_Bajo_Puntual 10 0.106</v>
      </c>
      <c r="C883" s="75" t="s">
        <v>116</v>
      </c>
      <c r="D883" s="75" t="s">
        <v>132</v>
      </c>
      <c r="E883" s="75" t="s">
        <v>143</v>
      </c>
      <c r="F883" s="75"/>
      <c r="G883" s="75" t="s">
        <v>113</v>
      </c>
      <c r="H883" s="75"/>
      <c r="I883" s="75" t="s">
        <v>170</v>
      </c>
      <c r="J883" s="76">
        <v>10</v>
      </c>
      <c r="K883" s="519">
        <v>3</v>
      </c>
      <c r="L883" s="520">
        <v>12.78</v>
      </c>
      <c r="M883" s="520">
        <v>13.44</v>
      </c>
      <c r="N883" s="507">
        <v>0.106</v>
      </c>
      <c r="O883" s="507">
        <v>0.10299999999999999</v>
      </c>
      <c r="P883" s="507">
        <v>0.11799999999999999</v>
      </c>
      <c r="Q883" s="78">
        <v>0.44</v>
      </c>
      <c r="R883" s="78">
        <v>0.31740000000000002</v>
      </c>
      <c r="S883" s="69">
        <v>1.4999999999999999E-2</v>
      </c>
      <c r="T883" s="69">
        <v>5.0000000000000001E-3</v>
      </c>
      <c r="U883" s="507">
        <v>0.95</v>
      </c>
      <c r="V883" s="76">
        <v>0</v>
      </c>
      <c r="W883" s="76">
        <v>0</v>
      </c>
      <c r="X883" s="76"/>
      <c r="Y883" s="519" t="s">
        <v>469</v>
      </c>
    </row>
    <row r="884" spans="1:25" x14ac:dyDescent="0.25">
      <c r="A884" s="75" t="str">
        <f t="shared" si="31"/>
        <v>Exclusiva PF Premier Cofinavit Pago_Bajo_Puntual Si 5</v>
      </c>
      <c r="B884" s="75" t="str">
        <f t="shared" si="30"/>
        <v>Exclusiva PF Premier Cofinavit Pago_Bajo_Puntual Si 5 0.103</v>
      </c>
      <c r="C884" s="75" t="s">
        <v>116</v>
      </c>
      <c r="D884" s="75" t="s">
        <v>132</v>
      </c>
      <c r="E884" s="75" t="s">
        <v>143</v>
      </c>
      <c r="F884" s="75"/>
      <c r="G884" s="75" t="s">
        <v>113</v>
      </c>
      <c r="H884" s="75"/>
      <c r="I884" s="75" t="s">
        <v>170</v>
      </c>
      <c r="J884" s="76">
        <v>5</v>
      </c>
      <c r="K884" s="519" t="s">
        <v>387</v>
      </c>
      <c r="L884" s="520">
        <v>20.72</v>
      </c>
      <c r="M884" s="520">
        <v>21.38</v>
      </c>
      <c r="N884" s="507">
        <v>0.10299999999999999</v>
      </c>
      <c r="O884" s="507">
        <v>0.1</v>
      </c>
      <c r="P884" s="507">
        <v>0.112</v>
      </c>
      <c r="Q884" s="78">
        <v>0.44</v>
      </c>
      <c r="R884" s="78">
        <v>0.31740000000000002</v>
      </c>
      <c r="S884" s="69">
        <v>1.4999999999999999E-2</v>
      </c>
      <c r="T884" s="69">
        <v>5.0000000000000001E-3</v>
      </c>
      <c r="U884" s="507">
        <v>0.95</v>
      </c>
      <c r="V884" s="76">
        <v>0</v>
      </c>
      <c r="W884" s="76">
        <v>0</v>
      </c>
      <c r="X884" s="76" t="s">
        <v>147</v>
      </c>
      <c r="Y884" s="519" t="s">
        <v>469</v>
      </c>
    </row>
    <row r="885" spans="1:25" x14ac:dyDescent="0.25">
      <c r="A885" s="75" t="str">
        <f t="shared" si="31"/>
        <v>Exclusiva PF Premier Cofinavit Pago_Bajo_Puntual 5</v>
      </c>
      <c r="B885" s="75" t="str">
        <f t="shared" si="30"/>
        <v>Exclusiva PF Premier Cofinavit Pago_Bajo_Puntual 5 0.106</v>
      </c>
      <c r="C885" s="75" t="s">
        <v>116</v>
      </c>
      <c r="D885" s="75" t="s">
        <v>132</v>
      </c>
      <c r="E885" s="75" t="s">
        <v>143</v>
      </c>
      <c r="F885" s="75"/>
      <c r="G885" s="75" t="s">
        <v>113</v>
      </c>
      <c r="H885" s="75"/>
      <c r="I885" s="75" t="s">
        <v>170</v>
      </c>
      <c r="J885" s="76">
        <v>5</v>
      </c>
      <c r="K885" s="519">
        <v>3</v>
      </c>
      <c r="L885" s="520">
        <v>20.86</v>
      </c>
      <c r="M885" s="520">
        <v>21.52</v>
      </c>
      <c r="N885" s="507">
        <v>0.106</v>
      </c>
      <c r="O885" s="507">
        <v>0.10299999999999999</v>
      </c>
      <c r="P885" s="507">
        <v>0.11799999999999999</v>
      </c>
      <c r="Q885" s="78">
        <v>0.44</v>
      </c>
      <c r="R885" s="78">
        <v>0.31740000000000002</v>
      </c>
      <c r="S885" s="69">
        <v>1.4999999999999999E-2</v>
      </c>
      <c r="T885" s="69">
        <v>5.0000000000000001E-3</v>
      </c>
      <c r="U885" s="507">
        <v>0.95</v>
      </c>
      <c r="V885" s="76">
        <v>0</v>
      </c>
      <c r="W885" s="76">
        <v>0</v>
      </c>
      <c r="X885" s="76"/>
      <c r="Y885" s="519" t="s">
        <v>469</v>
      </c>
    </row>
    <row r="886" spans="1:25" x14ac:dyDescent="0.25">
      <c r="A886" s="75" t="str">
        <f t="shared" si="31"/>
        <v>Exclusiva PF Premier Cofinavit Pago_Fijo_Puntual 25</v>
      </c>
      <c r="B886" s="75" t="str">
        <f t="shared" si="30"/>
        <v>Exclusiva PF Premier Cofinavit Pago_Fijo_Puntual 25 0.0965</v>
      </c>
      <c r="C886" s="75" t="s">
        <v>116</v>
      </c>
      <c r="D886" s="75" t="s">
        <v>132</v>
      </c>
      <c r="E886" s="75" t="s">
        <v>143</v>
      </c>
      <c r="F886" s="75"/>
      <c r="G886" s="75" t="s">
        <v>113</v>
      </c>
      <c r="H886" s="75"/>
      <c r="I886" s="75" t="s">
        <v>171</v>
      </c>
      <c r="J886" s="76">
        <v>25</v>
      </c>
      <c r="K886" s="516" t="s">
        <v>385</v>
      </c>
      <c r="L886" s="517">
        <v>9.11</v>
      </c>
      <c r="M886" s="517">
        <v>9.77</v>
      </c>
      <c r="N886" s="518">
        <v>9.6500000000000002E-2</v>
      </c>
      <c r="O886" s="518">
        <v>9.1999999999999998E-2</v>
      </c>
      <c r="P886" s="518">
        <v>0.10249999999999999</v>
      </c>
      <c r="Q886" s="78">
        <v>0.44</v>
      </c>
      <c r="R886" s="78">
        <v>0.31740000000000002</v>
      </c>
      <c r="S886" s="69">
        <v>1.4999999999999999E-2</v>
      </c>
      <c r="T886" s="69">
        <v>5.0000000000000001E-3</v>
      </c>
      <c r="U886" s="518">
        <v>0.7</v>
      </c>
      <c r="V886" s="76">
        <v>0</v>
      </c>
      <c r="W886" s="76">
        <v>0</v>
      </c>
      <c r="X886" s="76"/>
      <c r="Y886" s="516" t="s">
        <v>470</v>
      </c>
    </row>
    <row r="887" spans="1:25" x14ac:dyDescent="0.25">
      <c r="A887" s="75" t="str">
        <f t="shared" si="31"/>
        <v>Exclusiva PF Premier Cofinavit Pago_Fijo_Puntual 25</v>
      </c>
      <c r="B887" s="75" t="str">
        <f t="shared" si="30"/>
        <v>Exclusiva PF Premier Cofinavit Pago_Fijo_Puntual 25 0.103</v>
      </c>
      <c r="C887" s="75" t="s">
        <v>116</v>
      </c>
      <c r="D887" s="75" t="s">
        <v>132</v>
      </c>
      <c r="E887" s="75" t="s">
        <v>143</v>
      </c>
      <c r="F887" s="75"/>
      <c r="G887" s="75" t="s">
        <v>113</v>
      </c>
      <c r="H887" s="75"/>
      <c r="I887" s="75" t="s">
        <v>171</v>
      </c>
      <c r="J887" s="76">
        <v>25</v>
      </c>
      <c r="K887" s="516" t="s">
        <v>386</v>
      </c>
      <c r="L887" s="517">
        <v>9.65</v>
      </c>
      <c r="M887" s="517">
        <v>10.31</v>
      </c>
      <c r="N887" s="518">
        <v>0.10299999999999999</v>
      </c>
      <c r="O887" s="518">
        <v>0.1</v>
      </c>
      <c r="P887" s="518">
        <v>0.112</v>
      </c>
      <c r="Q887" s="78">
        <v>0.44</v>
      </c>
      <c r="R887" s="78">
        <v>0.31740000000000002</v>
      </c>
      <c r="S887" s="69">
        <v>1.4999999999999999E-2</v>
      </c>
      <c r="T887" s="69">
        <v>5.0000000000000001E-3</v>
      </c>
      <c r="U887" s="518">
        <v>0.7</v>
      </c>
      <c r="V887" s="76">
        <v>0</v>
      </c>
      <c r="W887" s="76">
        <v>0</v>
      </c>
      <c r="X887" s="76"/>
      <c r="Y887" s="516" t="s">
        <v>470</v>
      </c>
    </row>
    <row r="888" spans="1:25" x14ac:dyDescent="0.25">
      <c r="A888" s="75" t="str">
        <f t="shared" si="31"/>
        <v>Exclusiva PF Premier Cofinavit Pago_Fijo_Puntual 20</v>
      </c>
      <c r="B888" s="75" t="str">
        <f t="shared" si="30"/>
        <v>Exclusiva PF Premier Cofinavit Pago_Fijo_Puntual 20 0.0965</v>
      </c>
      <c r="C888" s="75" t="s">
        <v>116</v>
      </c>
      <c r="D888" s="75" t="s">
        <v>132</v>
      </c>
      <c r="E888" s="75" t="s">
        <v>143</v>
      </c>
      <c r="F888" s="75"/>
      <c r="G888" s="75" t="s">
        <v>113</v>
      </c>
      <c r="H888" s="75"/>
      <c r="I888" s="75" t="s">
        <v>171</v>
      </c>
      <c r="J888" s="76">
        <v>20</v>
      </c>
      <c r="K888" s="516" t="s">
        <v>385</v>
      </c>
      <c r="L888" s="517">
        <v>9.66</v>
      </c>
      <c r="M888" s="517">
        <v>10.32</v>
      </c>
      <c r="N888" s="518">
        <v>9.6500000000000002E-2</v>
      </c>
      <c r="O888" s="518">
        <v>9.1999999999999998E-2</v>
      </c>
      <c r="P888" s="518">
        <v>0.10249999999999999</v>
      </c>
      <c r="Q888" s="78">
        <v>0.44</v>
      </c>
      <c r="R888" s="78">
        <v>0.31740000000000002</v>
      </c>
      <c r="S888" s="69">
        <v>1.4999999999999999E-2</v>
      </c>
      <c r="T888" s="69">
        <v>5.0000000000000001E-3</v>
      </c>
      <c r="U888" s="518">
        <v>0.7</v>
      </c>
      <c r="V888" s="76">
        <v>0</v>
      </c>
      <c r="W888" s="76">
        <v>0</v>
      </c>
      <c r="X888" s="76"/>
      <c r="Y888" s="516" t="s">
        <v>470</v>
      </c>
    </row>
    <row r="889" spans="1:25" x14ac:dyDescent="0.25">
      <c r="A889" s="75" t="str">
        <f t="shared" si="31"/>
        <v>Exclusiva PF Premier Cofinavit Pago_Fijo_Puntual 20</v>
      </c>
      <c r="B889" s="75" t="str">
        <f t="shared" si="30"/>
        <v>Exclusiva PF Premier Cofinavit Pago_Fijo_Puntual 20 0.103</v>
      </c>
      <c r="C889" s="75" t="s">
        <v>116</v>
      </c>
      <c r="D889" s="75" t="s">
        <v>132</v>
      </c>
      <c r="E889" s="75" t="s">
        <v>143</v>
      </c>
      <c r="F889" s="75"/>
      <c r="G889" s="75" t="s">
        <v>113</v>
      </c>
      <c r="H889" s="75"/>
      <c r="I889" s="75" t="s">
        <v>171</v>
      </c>
      <c r="J889" s="76">
        <v>20</v>
      </c>
      <c r="K889" s="516" t="s">
        <v>386</v>
      </c>
      <c r="L889" s="517">
        <v>10.16</v>
      </c>
      <c r="M889" s="517">
        <v>10.82</v>
      </c>
      <c r="N889" s="518">
        <v>0.10299999999999999</v>
      </c>
      <c r="O889" s="518">
        <v>0.1</v>
      </c>
      <c r="P889" s="518">
        <v>0.112</v>
      </c>
      <c r="Q889" s="78">
        <v>0.44</v>
      </c>
      <c r="R889" s="78">
        <v>0.31740000000000002</v>
      </c>
      <c r="S889" s="69">
        <v>1.4999999999999999E-2</v>
      </c>
      <c r="T889" s="69">
        <v>5.0000000000000001E-3</v>
      </c>
      <c r="U889" s="518">
        <v>0.7</v>
      </c>
      <c r="V889" s="76">
        <v>0</v>
      </c>
      <c r="W889" s="76">
        <v>0</v>
      </c>
      <c r="X889" s="76"/>
      <c r="Y889" s="516" t="s">
        <v>470</v>
      </c>
    </row>
    <row r="890" spans="1:25" x14ac:dyDescent="0.25">
      <c r="A890" s="75" t="str">
        <f t="shared" si="31"/>
        <v>Exclusiva PF Premier Cofinavit Pago_Fijo_Puntual 15</v>
      </c>
      <c r="B890" s="75" t="str">
        <f t="shared" si="30"/>
        <v>Exclusiva PF Premier Cofinavit Pago_Fijo_Puntual 15 0.0965</v>
      </c>
      <c r="C890" s="75" t="s">
        <v>116</v>
      </c>
      <c r="D890" s="75" t="s">
        <v>132</v>
      </c>
      <c r="E890" s="75" t="s">
        <v>143</v>
      </c>
      <c r="F890" s="75"/>
      <c r="G890" s="75" t="s">
        <v>113</v>
      </c>
      <c r="H890" s="75"/>
      <c r="I890" s="75" t="s">
        <v>171</v>
      </c>
      <c r="J890" s="76">
        <v>15</v>
      </c>
      <c r="K890" s="516" t="s">
        <v>385</v>
      </c>
      <c r="L890" s="517">
        <v>10.73</v>
      </c>
      <c r="M890" s="517">
        <v>11.39</v>
      </c>
      <c r="N890" s="518">
        <v>9.6500000000000002E-2</v>
      </c>
      <c r="O890" s="518">
        <v>9.1999999999999998E-2</v>
      </c>
      <c r="P890" s="518">
        <v>0.10249999999999999</v>
      </c>
      <c r="Q890" s="78">
        <v>0.44</v>
      </c>
      <c r="R890" s="78">
        <v>0.31740000000000002</v>
      </c>
      <c r="S890" s="69">
        <v>1.4999999999999999E-2</v>
      </c>
      <c r="T890" s="69">
        <v>5.0000000000000001E-3</v>
      </c>
      <c r="U890" s="518">
        <v>0.7</v>
      </c>
      <c r="V890" s="76">
        <v>0</v>
      </c>
      <c r="W890" s="76">
        <v>0</v>
      </c>
      <c r="X890" s="76"/>
      <c r="Y890" s="516" t="s">
        <v>470</v>
      </c>
    </row>
    <row r="891" spans="1:25" x14ac:dyDescent="0.25">
      <c r="A891" s="75" t="str">
        <f t="shared" si="31"/>
        <v>Exclusiva PF Premier Cofinavit Pago_Fijo_Puntual 15</v>
      </c>
      <c r="B891" s="75" t="str">
        <f t="shared" si="30"/>
        <v>Exclusiva PF Premier Cofinavit Pago_Fijo_Puntual 15 0.103</v>
      </c>
      <c r="C891" s="75" t="s">
        <v>116</v>
      </c>
      <c r="D891" s="75" t="s">
        <v>132</v>
      </c>
      <c r="E891" s="75" t="s">
        <v>143</v>
      </c>
      <c r="F891" s="75"/>
      <c r="G891" s="75" t="s">
        <v>113</v>
      </c>
      <c r="H891" s="75"/>
      <c r="I891" s="75" t="s">
        <v>171</v>
      </c>
      <c r="J891" s="76">
        <v>15</v>
      </c>
      <c r="K891" s="516" t="s">
        <v>386</v>
      </c>
      <c r="L891" s="517">
        <v>11.18</v>
      </c>
      <c r="M891" s="517">
        <v>11.84</v>
      </c>
      <c r="N891" s="518">
        <v>0.10299999999999999</v>
      </c>
      <c r="O891" s="518">
        <v>0.1</v>
      </c>
      <c r="P891" s="518">
        <v>0.112</v>
      </c>
      <c r="Q891" s="78">
        <v>0.44</v>
      </c>
      <c r="R891" s="78">
        <v>0.31740000000000002</v>
      </c>
      <c r="S891" s="69">
        <v>1.4999999999999999E-2</v>
      </c>
      <c r="T891" s="69">
        <v>5.0000000000000001E-3</v>
      </c>
      <c r="U891" s="518">
        <v>0.7</v>
      </c>
      <c r="V891" s="76">
        <v>0</v>
      </c>
      <c r="W891" s="76">
        <v>0</v>
      </c>
      <c r="X891" s="76"/>
      <c r="Y891" s="516" t="s">
        <v>470</v>
      </c>
    </row>
    <row r="892" spans="1:25" x14ac:dyDescent="0.25">
      <c r="A892" s="75" t="str">
        <f t="shared" si="31"/>
        <v>Exclusiva PF Premier Cofinavit Pago_Fijo_Puntual 10</v>
      </c>
      <c r="B892" s="75" t="str">
        <f t="shared" si="30"/>
        <v>Exclusiva PF Premier Cofinavit Pago_Fijo_Puntual 10 0.0965</v>
      </c>
      <c r="C892" s="75" t="s">
        <v>116</v>
      </c>
      <c r="D892" s="75" t="s">
        <v>132</v>
      </c>
      <c r="E892" s="75" t="s">
        <v>143</v>
      </c>
      <c r="F892" s="75"/>
      <c r="G892" s="75" t="s">
        <v>113</v>
      </c>
      <c r="H892" s="75"/>
      <c r="I892" s="75" t="s">
        <v>171</v>
      </c>
      <c r="J892" s="76">
        <v>10</v>
      </c>
      <c r="K892" s="516" t="s">
        <v>385</v>
      </c>
      <c r="L892" s="517">
        <v>13.16</v>
      </c>
      <c r="M892" s="517">
        <v>13.82</v>
      </c>
      <c r="N892" s="518">
        <v>9.6500000000000002E-2</v>
      </c>
      <c r="O892" s="518">
        <v>9.1999999999999998E-2</v>
      </c>
      <c r="P892" s="518">
        <v>0.10249999999999999</v>
      </c>
      <c r="Q892" s="78">
        <v>0.44</v>
      </c>
      <c r="R892" s="78">
        <v>0.31740000000000002</v>
      </c>
      <c r="S892" s="69">
        <v>1.4999999999999999E-2</v>
      </c>
      <c r="T892" s="69">
        <v>5.0000000000000001E-3</v>
      </c>
      <c r="U892" s="518">
        <v>0.7</v>
      </c>
      <c r="V892" s="76">
        <v>0</v>
      </c>
      <c r="W892" s="76">
        <v>0</v>
      </c>
      <c r="X892" s="76"/>
      <c r="Y892" s="516" t="s">
        <v>470</v>
      </c>
    </row>
    <row r="893" spans="1:25" x14ac:dyDescent="0.25">
      <c r="A893" s="75" t="str">
        <f t="shared" si="31"/>
        <v>Exclusiva PF Premier Cofinavit Pago_Fijo_Puntual 10</v>
      </c>
      <c r="B893" s="75" t="str">
        <f t="shared" si="30"/>
        <v>Exclusiva PF Premier Cofinavit Pago_Fijo_Puntual 10 0.103</v>
      </c>
      <c r="C893" s="75" t="s">
        <v>116</v>
      </c>
      <c r="D893" s="75" t="s">
        <v>132</v>
      </c>
      <c r="E893" s="75" t="s">
        <v>143</v>
      </c>
      <c r="F893" s="75"/>
      <c r="G893" s="75" t="s">
        <v>113</v>
      </c>
      <c r="H893" s="75"/>
      <c r="I893" s="75" t="s">
        <v>171</v>
      </c>
      <c r="J893" s="76">
        <v>10</v>
      </c>
      <c r="K893" s="516" t="s">
        <v>386</v>
      </c>
      <c r="L893" s="517">
        <v>13.54</v>
      </c>
      <c r="M893" s="517">
        <v>14.2</v>
      </c>
      <c r="N893" s="518">
        <v>0.10299999999999999</v>
      </c>
      <c r="O893" s="518">
        <v>0.1</v>
      </c>
      <c r="P893" s="518">
        <v>0.112</v>
      </c>
      <c r="Q893" s="78">
        <v>0.44</v>
      </c>
      <c r="R893" s="78">
        <v>0.31740000000000002</v>
      </c>
      <c r="S893" s="69">
        <v>1.4999999999999999E-2</v>
      </c>
      <c r="T893" s="69">
        <v>5.0000000000000001E-3</v>
      </c>
      <c r="U893" s="518">
        <v>0.7</v>
      </c>
      <c r="V893" s="76">
        <v>0</v>
      </c>
      <c r="W893" s="76">
        <v>0</v>
      </c>
      <c r="X893" s="76"/>
      <c r="Y893" s="516" t="s">
        <v>470</v>
      </c>
    </row>
    <row r="894" spans="1:25" x14ac:dyDescent="0.25">
      <c r="A894" s="75" t="str">
        <f t="shared" si="31"/>
        <v>Exclusiva PF Premier Cofinavit Pago_Fijo_Puntual 5</v>
      </c>
      <c r="B894" s="75" t="str">
        <f t="shared" si="30"/>
        <v>Exclusiva PF Premier Cofinavit Pago_Fijo_Puntual 5 0.0965</v>
      </c>
      <c r="C894" s="75" t="s">
        <v>116</v>
      </c>
      <c r="D894" s="75" t="s">
        <v>132</v>
      </c>
      <c r="E894" s="75" t="s">
        <v>143</v>
      </c>
      <c r="F894" s="75"/>
      <c r="G894" s="75" t="s">
        <v>113</v>
      </c>
      <c r="H894" s="75"/>
      <c r="I894" s="75" t="s">
        <v>171</v>
      </c>
      <c r="J894" s="76">
        <v>5</v>
      </c>
      <c r="K894" s="516" t="s">
        <v>385</v>
      </c>
      <c r="L894" s="517">
        <v>21.12</v>
      </c>
      <c r="M894" s="517">
        <v>21.78</v>
      </c>
      <c r="N894" s="518">
        <v>9.6500000000000002E-2</v>
      </c>
      <c r="O894" s="518">
        <v>9.1999999999999998E-2</v>
      </c>
      <c r="P894" s="518">
        <v>0.10249999999999999</v>
      </c>
      <c r="Q894" s="78">
        <v>0.44</v>
      </c>
      <c r="R894" s="78">
        <v>0.31740000000000002</v>
      </c>
      <c r="S894" s="69">
        <v>1.4999999999999999E-2</v>
      </c>
      <c r="T894" s="69">
        <v>5.0000000000000001E-3</v>
      </c>
      <c r="U894" s="518">
        <v>0.7</v>
      </c>
      <c r="V894" s="76">
        <v>0</v>
      </c>
      <c r="W894" s="76">
        <v>0</v>
      </c>
      <c r="X894" s="76"/>
      <c r="Y894" s="516" t="s">
        <v>470</v>
      </c>
    </row>
    <row r="895" spans="1:25" x14ac:dyDescent="0.25">
      <c r="A895" s="75" t="str">
        <f t="shared" si="31"/>
        <v>Exclusiva PF Premier Cofinavit Pago_Fijo_Puntual 5</v>
      </c>
      <c r="B895" s="75" t="str">
        <f t="shared" si="30"/>
        <v>Exclusiva PF Premier Cofinavit Pago_Fijo_Puntual 5 0.103</v>
      </c>
      <c r="C895" s="75" t="s">
        <v>116</v>
      </c>
      <c r="D895" s="75" t="s">
        <v>132</v>
      </c>
      <c r="E895" s="75" t="s">
        <v>143</v>
      </c>
      <c r="F895" s="75"/>
      <c r="G895" s="75" t="s">
        <v>113</v>
      </c>
      <c r="H895" s="75"/>
      <c r="I895" s="75" t="s">
        <v>171</v>
      </c>
      <c r="J895" s="76">
        <v>5</v>
      </c>
      <c r="K895" s="516" t="s">
        <v>386</v>
      </c>
      <c r="L895" s="517">
        <v>21.44</v>
      </c>
      <c r="M895" s="517">
        <v>22.1</v>
      </c>
      <c r="N895" s="518">
        <v>0.10299999999999999</v>
      </c>
      <c r="O895" s="518">
        <v>0.1</v>
      </c>
      <c r="P895" s="518">
        <v>0.112</v>
      </c>
      <c r="Q895" s="78">
        <v>0.44</v>
      </c>
      <c r="R895" s="78">
        <v>0.31740000000000002</v>
      </c>
      <c r="S895" s="69">
        <v>1.4999999999999999E-2</v>
      </c>
      <c r="T895" s="69">
        <v>5.0000000000000001E-3</v>
      </c>
      <c r="U895" s="518">
        <v>0.7</v>
      </c>
      <c r="V895" s="76">
        <v>0</v>
      </c>
      <c r="W895" s="76">
        <v>0</v>
      </c>
      <c r="X895" s="76"/>
      <c r="Y895" s="516" t="s">
        <v>470</v>
      </c>
    </row>
    <row r="896" spans="1:25" x14ac:dyDescent="0.25">
      <c r="A896" s="75" t="str">
        <f t="shared" si="31"/>
        <v>Exclusiva PF Premier Cofinavit Pago_Bajo_Puntual 25</v>
      </c>
      <c r="B896" s="75" t="str">
        <f t="shared" si="30"/>
        <v>Exclusiva PF Premier Cofinavit Pago_Bajo_Puntual 25 0.0965</v>
      </c>
      <c r="C896" s="75" t="s">
        <v>116</v>
      </c>
      <c r="D896" s="75" t="s">
        <v>132</v>
      </c>
      <c r="E896" s="75" t="s">
        <v>143</v>
      </c>
      <c r="F896" s="75"/>
      <c r="G896" s="75" t="s">
        <v>113</v>
      </c>
      <c r="H896" s="75"/>
      <c r="I896" s="75" t="s">
        <v>170</v>
      </c>
      <c r="J896" s="523">
        <v>25</v>
      </c>
      <c r="K896" s="516" t="s">
        <v>385</v>
      </c>
      <c r="L896" s="517">
        <v>8.1</v>
      </c>
      <c r="M896" s="517">
        <v>8.76</v>
      </c>
      <c r="N896" s="518">
        <v>9.6500000000000002E-2</v>
      </c>
      <c r="O896" s="518">
        <v>9.1999999999999998E-2</v>
      </c>
      <c r="P896" s="518">
        <v>0.10249999999999999</v>
      </c>
      <c r="Q896" s="78">
        <v>0.44</v>
      </c>
      <c r="R896" s="78">
        <v>0.31740000000000002</v>
      </c>
      <c r="S896" s="69">
        <v>1.4999999999999999E-2</v>
      </c>
      <c r="T896" s="69">
        <v>5.0000000000000001E-3</v>
      </c>
      <c r="U896" s="518">
        <v>0.7</v>
      </c>
      <c r="V896" s="76">
        <v>0</v>
      </c>
      <c r="W896" s="76">
        <v>0</v>
      </c>
      <c r="X896" s="76"/>
      <c r="Y896" s="516" t="s">
        <v>470</v>
      </c>
    </row>
    <row r="897" spans="1:25" x14ac:dyDescent="0.25">
      <c r="A897" s="75" t="str">
        <f t="shared" si="31"/>
        <v>Exclusiva PF Premier Cofinavit Pago_Bajo_Puntual 25</v>
      </c>
      <c r="B897" s="75" t="str">
        <f t="shared" si="30"/>
        <v>Exclusiva PF Premier Cofinavit Pago_Bajo_Puntual 25 0.103</v>
      </c>
      <c r="C897" s="75" t="s">
        <v>116</v>
      </c>
      <c r="D897" s="75" t="s">
        <v>132</v>
      </c>
      <c r="E897" s="75" t="s">
        <v>143</v>
      </c>
      <c r="F897" s="75"/>
      <c r="G897" s="75" t="s">
        <v>113</v>
      </c>
      <c r="H897" s="75"/>
      <c r="I897" s="75" t="s">
        <v>170</v>
      </c>
      <c r="J897" s="523">
        <v>25</v>
      </c>
      <c r="K897" s="516" t="s">
        <v>386</v>
      </c>
      <c r="L897" s="517">
        <v>8.64</v>
      </c>
      <c r="M897" s="517">
        <v>9.3000000000000007</v>
      </c>
      <c r="N897" s="518">
        <v>0.10299999999999999</v>
      </c>
      <c r="O897" s="518">
        <v>0.1</v>
      </c>
      <c r="P897" s="518">
        <v>0.112</v>
      </c>
      <c r="Q897" s="78">
        <v>0.44</v>
      </c>
      <c r="R897" s="78">
        <v>0.31740000000000002</v>
      </c>
      <c r="S897" s="69">
        <v>1.4999999999999999E-2</v>
      </c>
      <c r="T897" s="69">
        <v>5.0000000000000001E-3</v>
      </c>
      <c r="U897" s="518">
        <v>0.7</v>
      </c>
      <c r="V897" s="76">
        <v>0</v>
      </c>
      <c r="W897" s="76">
        <v>0</v>
      </c>
      <c r="X897" s="76"/>
      <c r="Y897" s="516" t="s">
        <v>470</v>
      </c>
    </row>
    <row r="898" spans="1:25" x14ac:dyDescent="0.25">
      <c r="A898" s="75" t="str">
        <f t="shared" si="31"/>
        <v>Exclusiva PF Premier Cofinavit Pago_Bajo_Puntual 20</v>
      </c>
      <c r="B898" s="75" t="str">
        <f t="shared" si="30"/>
        <v>Exclusiva PF Premier Cofinavit Pago_Bajo_Puntual 20 0.0965</v>
      </c>
      <c r="C898" s="75" t="s">
        <v>116</v>
      </c>
      <c r="D898" s="75" t="s">
        <v>132</v>
      </c>
      <c r="E898" s="75" t="s">
        <v>143</v>
      </c>
      <c r="F898" s="75"/>
      <c r="G898" s="75" t="s">
        <v>113</v>
      </c>
      <c r="H898" s="75"/>
      <c r="I898" s="75" t="s">
        <v>170</v>
      </c>
      <c r="J898" s="76">
        <v>20</v>
      </c>
      <c r="K898" s="516" t="s">
        <v>385</v>
      </c>
      <c r="L898" s="517">
        <v>8.52</v>
      </c>
      <c r="M898" s="517">
        <v>9.18</v>
      </c>
      <c r="N898" s="518">
        <v>9.6500000000000002E-2</v>
      </c>
      <c r="O898" s="518">
        <v>9.1999999999999998E-2</v>
      </c>
      <c r="P898" s="518">
        <v>0.10249999999999999</v>
      </c>
      <c r="Q898" s="78">
        <v>0.44</v>
      </c>
      <c r="R898" s="78">
        <v>0.31740000000000002</v>
      </c>
      <c r="S898" s="69">
        <v>1.4999999999999999E-2</v>
      </c>
      <c r="T898" s="69">
        <v>5.0000000000000001E-3</v>
      </c>
      <c r="U898" s="518">
        <v>0.7</v>
      </c>
      <c r="V898" s="76">
        <v>0</v>
      </c>
      <c r="W898" s="76">
        <v>0</v>
      </c>
      <c r="X898" s="76"/>
      <c r="Y898" s="516" t="s">
        <v>470</v>
      </c>
    </row>
    <row r="899" spans="1:25" x14ac:dyDescent="0.25">
      <c r="A899" s="75" t="str">
        <f t="shared" si="31"/>
        <v>Exclusiva PF Premier Cofinavit Pago_Bajo_Puntual 20</v>
      </c>
      <c r="B899" s="75" t="str">
        <f t="shared" si="30"/>
        <v>Exclusiva PF Premier Cofinavit Pago_Bajo_Puntual 20 0.103</v>
      </c>
      <c r="C899" s="75" t="s">
        <v>116</v>
      </c>
      <c r="D899" s="75" t="s">
        <v>132</v>
      </c>
      <c r="E899" s="75" t="s">
        <v>143</v>
      </c>
      <c r="F899" s="75"/>
      <c r="G899" s="75" t="s">
        <v>113</v>
      </c>
      <c r="H899" s="75"/>
      <c r="I899" s="75" t="s">
        <v>170</v>
      </c>
      <c r="J899" s="76">
        <v>20</v>
      </c>
      <c r="K899" s="516" t="s">
        <v>386</v>
      </c>
      <c r="L899" s="517">
        <v>9</v>
      </c>
      <c r="M899" s="517">
        <v>9.66</v>
      </c>
      <c r="N899" s="518">
        <v>0.10299999999999999</v>
      </c>
      <c r="O899" s="518">
        <v>0.1</v>
      </c>
      <c r="P899" s="518">
        <v>0.112</v>
      </c>
      <c r="Q899" s="78">
        <v>0.44</v>
      </c>
      <c r="R899" s="78">
        <v>0.31740000000000002</v>
      </c>
      <c r="S899" s="69">
        <v>1.4999999999999999E-2</v>
      </c>
      <c r="T899" s="69">
        <v>5.0000000000000001E-3</v>
      </c>
      <c r="U899" s="518">
        <v>0.7</v>
      </c>
      <c r="V899" s="76">
        <v>0</v>
      </c>
      <c r="W899" s="76">
        <v>0</v>
      </c>
      <c r="X899" s="76"/>
      <c r="Y899" s="516" t="s">
        <v>470</v>
      </c>
    </row>
    <row r="900" spans="1:25" x14ac:dyDescent="0.25">
      <c r="A900" s="75" t="str">
        <f t="shared" si="31"/>
        <v>Exclusiva PF Premier Cofinavit Pago_Bajo_Puntual 15</v>
      </c>
      <c r="B900" s="75" t="str">
        <f t="shared" si="30"/>
        <v>Exclusiva PF Premier Cofinavit Pago_Bajo_Puntual 15 0.0965</v>
      </c>
      <c r="C900" s="75" t="s">
        <v>116</v>
      </c>
      <c r="D900" s="75" t="s">
        <v>132</v>
      </c>
      <c r="E900" s="75" t="s">
        <v>143</v>
      </c>
      <c r="F900" s="75"/>
      <c r="G900" s="75" t="s">
        <v>113</v>
      </c>
      <c r="H900" s="75"/>
      <c r="I900" s="75" t="s">
        <v>170</v>
      </c>
      <c r="J900" s="76">
        <v>15</v>
      </c>
      <c r="K900" s="516" t="s">
        <v>385</v>
      </c>
      <c r="L900" s="517">
        <v>9.6999999999999993</v>
      </c>
      <c r="M900" s="517">
        <v>10.36</v>
      </c>
      <c r="N900" s="518">
        <v>9.6500000000000002E-2</v>
      </c>
      <c r="O900" s="518">
        <v>9.1999999999999998E-2</v>
      </c>
      <c r="P900" s="518">
        <v>0.10249999999999999</v>
      </c>
      <c r="Q900" s="78">
        <v>0.44</v>
      </c>
      <c r="R900" s="78">
        <v>0.31740000000000002</v>
      </c>
      <c r="S900" s="69">
        <v>1.4999999999999999E-2</v>
      </c>
      <c r="T900" s="69">
        <v>5.0000000000000001E-3</v>
      </c>
      <c r="U900" s="518">
        <v>0.7</v>
      </c>
      <c r="V900" s="76">
        <v>0</v>
      </c>
      <c r="W900" s="76">
        <v>0</v>
      </c>
      <c r="X900" s="76"/>
      <c r="Y900" s="516" t="s">
        <v>470</v>
      </c>
    </row>
    <row r="901" spans="1:25" x14ac:dyDescent="0.25">
      <c r="A901" s="75" t="str">
        <f t="shared" si="31"/>
        <v>Exclusiva PF Premier Cofinavit Pago_Bajo_Puntual 15</v>
      </c>
      <c r="B901" s="75" t="str">
        <f t="shared" si="30"/>
        <v>Exclusiva PF Premier Cofinavit Pago_Bajo_Puntual 15 0.103</v>
      </c>
      <c r="C901" s="75" t="s">
        <v>116</v>
      </c>
      <c r="D901" s="75" t="s">
        <v>132</v>
      </c>
      <c r="E901" s="75" t="s">
        <v>143</v>
      </c>
      <c r="F901" s="75"/>
      <c r="G901" s="75" t="s">
        <v>113</v>
      </c>
      <c r="H901" s="75"/>
      <c r="I901" s="75" t="s">
        <v>170</v>
      </c>
      <c r="J901" s="76">
        <v>15</v>
      </c>
      <c r="K901" s="516" t="s">
        <v>386</v>
      </c>
      <c r="L901" s="517">
        <v>10.119999999999999</v>
      </c>
      <c r="M901" s="517">
        <v>10.78</v>
      </c>
      <c r="N901" s="518">
        <v>0.10299999999999999</v>
      </c>
      <c r="O901" s="518">
        <v>0.1</v>
      </c>
      <c r="P901" s="518">
        <v>0.112</v>
      </c>
      <c r="Q901" s="78">
        <v>0.44</v>
      </c>
      <c r="R901" s="78">
        <v>0.31740000000000002</v>
      </c>
      <c r="S901" s="69">
        <v>1.4999999999999999E-2</v>
      </c>
      <c r="T901" s="69">
        <v>5.0000000000000001E-3</v>
      </c>
      <c r="U901" s="518">
        <v>0.7</v>
      </c>
      <c r="V901" s="76">
        <v>0</v>
      </c>
      <c r="W901" s="76">
        <v>0</v>
      </c>
      <c r="X901" s="76"/>
      <c r="Y901" s="516" t="s">
        <v>470</v>
      </c>
    </row>
    <row r="902" spans="1:25" x14ac:dyDescent="0.25">
      <c r="A902" s="75" t="str">
        <f t="shared" si="31"/>
        <v>Exclusiva PF Premier Cofinavit Pago_Bajo_Puntual 10</v>
      </c>
      <c r="B902" s="75" t="str">
        <f t="shared" si="30"/>
        <v>Exclusiva PF Premier Cofinavit Pago_Bajo_Puntual 10 0.0965</v>
      </c>
      <c r="C902" s="75" t="s">
        <v>116</v>
      </c>
      <c r="D902" s="75" t="s">
        <v>132</v>
      </c>
      <c r="E902" s="75" t="s">
        <v>143</v>
      </c>
      <c r="F902" s="75"/>
      <c r="G902" s="75" t="s">
        <v>113</v>
      </c>
      <c r="H902" s="75"/>
      <c r="I902" s="75" t="s">
        <v>170</v>
      </c>
      <c r="J902" s="76">
        <v>10</v>
      </c>
      <c r="K902" s="516" t="s">
        <v>385</v>
      </c>
      <c r="L902" s="517">
        <v>12.25</v>
      </c>
      <c r="M902" s="517">
        <v>12.91</v>
      </c>
      <c r="N902" s="518">
        <v>9.6500000000000002E-2</v>
      </c>
      <c r="O902" s="518">
        <v>9.1999999999999998E-2</v>
      </c>
      <c r="P902" s="518">
        <v>0.10249999999999999</v>
      </c>
      <c r="Q902" s="78">
        <v>0.44</v>
      </c>
      <c r="R902" s="78">
        <v>0.31740000000000002</v>
      </c>
      <c r="S902" s="69">
        <v>1.4999999999999999E-2</v>
      </c>
      <c r="T902" s="69">
        <v>5.0000000000000001E-3</v>
      </c>
      <c r="U902" s="518">
        <v>0.7</v>
      </c>
      <c r="V902" s="76">
        <v>0</v>
      </c>
      <c r="W902" s="76">
        <v>0</v>
      </c>
      <c r="X902" s="76"/>
      <c r="Y902" s="516" t="s">
        <v>470</v>
      </c>
    </row>
    <row r="903" spans="1:25" x14ac:dyDescent="0.25">
      <c r="A903" s="75" t="str">
        <f t="shared" si="31"/>
        <v>Exclusiva PF Premier Cofinavit Pago_Bajo_Puntual 10</v>
      </c>
      <c r="B903" s="75" t="str">
        <f t="shared" si="30"/>
        <v>Exclusiva PF Premier Cofinavit Pago_Bajo_Puntual 10 0.103</v>
      </c>
      <c r="C903" s="75" t="s">
        <v>116</v>
      </c>
      <c r="D903" s="75" t="s">
        <v>132</v>
      </c>
      <c r="E903" s="75" t="s">
        <v>143</v>
      </c>
      <c r="F903" s="75"/>
      <c r="G903" s="75" t="s">
        <v>113</v>
      </c>
      <c r="H903" s="75"/>
      <c r="I903" s="75" t="s">
        <v>170</v>
      </c>
      <c r="J903" s="76">
        <v>10</v>
      </c>
      <c r="K903" s="516" t="s">
        <v>386</v>
      </c>
      <c r="L903" s="517">
        <v>12.62</v>
      </c>
      <c r="M903" s="517">
        <v>13.28</v>
      </c>
      <c r="N903" s="518">
        <v>0.10299999999999999</v>
      </c>
      <c r="O903" s="518">
        <v>0.1</v>
      </c>
      <c r="P903" s="518">
        <v>0.112</v>
      </c>
      <c r="Q903" s="78">
        <v>0.44</v>
      </c>
      <c r="R903" s="78">
        <v>0.31740000000000002</v>
      </c>
      <c r="S903" s="69">
        <v>1.4999999999999999E-2</v>
      </c>
      <c r="T903" s="69">
        <v>5.0000000000000001E-3</v>
      </c>
      <c r="U903" s="518">
        <v>0.7</v>
      </c>
      <c r="V903" s="76">
        <v>0</v>
      </c>
      <c r="W903" s="76">
        <v>0</v>
      </c>
      <c r="X903" s="76"/>
      <c r="Y903" s="516" t="s">
        <v>470</v>
      </c>
    </row>
    <row r="904" spans="1:25" x14ac:dyDescent="0.25">
      <c r="A904" s="75" t="str">
        <f t="shared" si="31"/>
        <v>Exclusiva PF Premier Cofinavit Pago_Bajo_Puntual 5</v>
      </c>
      <c r="B904" s="75" t="str">
        <f t="shared" si="30"/>
        <v>Exclusiva PF Premier Cofinavit Pago_Bajo_Puntual 5 0.0965</v>
      </c>
      <c r="C904" s="75" t="s">
        <v>116</v>
      </c>
      <c r="D904" s="75" t="s">
        <v>132</v>
      </c>
      <c r="E904" s="75" t="s">
        <v>143</v>
      </c>
      <c r="F904" s="75"/>
      <c r="G904" s="75" t="s">
        <v>113</v>
      </c>
      <c r="H904" s="75"/>
      <c r="I904" s="75" t="s">
        <v>170</v>
      </c>
      <c r="J904" s="76">
        <v>5</v>
      </c>
      <c r="K904" s="516" t="s">
        <v>385</v>
      </c>
      <c r="L904" s="517">
        <v>20.399999999999999</v>
      </c>
      <c r="M904" s="517">
        <v>21.06</v>
      </c>
      <c r="N904" s="518">
        <v>9.6500000000000002E-2</v>
      </c>
      <c r="O904" s="518">
        <v>9.1999999999999998E-2</v>
      </c>
      <c r="P904" s="518">
        <v>0.10249999999999999</v>
      </c>
      <c r="Q904" s="78">
        <v>0.44</v>
      </c>
      <c r="R904" s="78">
        <v>0.31740000000000002</v>
      </c>
      <c r="S904" s="69">
        <v>1.4999999999999999E-2</v>
      </c>
      <c r="T904" s="69">
        <v>5.0000000000000001E-3</v>
      </c>
      <c r="U904" s="518">
        <v>0.7</v>
      </c>
      <c r="V904" s="76">
        <v>0</v>
      </c>
      <c r="W904" s="76">
        <v>0</v>
      </c>
      <c r="X904" s="76"/>
      <c r="Y904" s="516" t="s">
        <v>470</v>
      </c>
    </row>
    <row r="905" spans="1:25" x14ac:dyDescent="0.25">
      <c r="A905" s="75" t="str">
        <f t="shared" si="31"/>
        <v>Exclusiva PF Premier Cofinavit Pago_Bajo_Puntual 5</v>
      </c>
      <c r="B905" s="75" t="str">
        <f t="shared" si="30"/>
        <v>Exclusiva PF Premier Cofinavit Pago_Bajo_Puntual 5 0.103</v>
      </c>
      <c r="C905" s="75" t="s">
        <v>116</v>
      </c>
      <c r="D905" s="75" t="s">
        <v>132</v>
      </c>
      <c r="E905" s="75" t="s">
        <v>143</v>
      </c>
      <c r="F905" s="75"/>
      <c r="G905" s="75" t="s">
        <v>113</v>
      </c>
      <c r="H905" s="75"/>
      <c r="I905" s="75" t="s">
        <v>170</v>
      </c>
      <c r="J905" s="76">
        <v>5</v>
      </c>
      <c r="K905" s="516" t="s">
        <v>386</v>
      </c>
      <c r="L905" s="517">
        <v>20.72</v>
      </c>
      <c r="M905" s="517">
        <v>21.38</v>
      </c>
      <c r="N905" s="518">
        <v>0.10299999999999999</v>
      </c>
      <c r="O905" s="518">
        <v>0.1</v>
      </c>
      <c r="P905" s="518">
        <v>0.112</v>
      </c>
      <c r="Q905" s="78">
        <v>0.44</v>
      </c>
      <c r="R905" s="78">
        <v>0.31740000000000002</v>
      </c>
      <c r="S905" s="69">
        <v>1.4999999999999999E-2</v>
      </c>
      <c r="T905" s="69">
        <v>5.0000000000000001E-3</v>
      </c>
      <c r="U905" s="518">
        <v>0.7</v>
      </c>
      <c r="V905" s="76">
        <v>0</v>
      </c>
      <c r="W905" s="76">
        <v>0</v>
      </c>
      <c r="X905" s="76"/>
      <c r="Y905" s="516" t="s">
        <v>470</v>
      </c>
    </row>
    <row r="906" spans="1:25" x14ac:dyDescent="0.25">
      <c r="A906" s="75" t="str">
        <f t="shared" si="31"/>
        <v>Exclusiva PF Premier Mercado_Abierto Pago_Fijo_Puntual Si 25</v>
      </c>
      <c r="B906" s="75" t="str">
        <f t="shared" si="30"/>
        <v>Exclusiva PF Premier Mercado_Abierto Pago_Fijo_Puntual Si 25 0.103</v>
      </c>
      <c r="C906" s="75" t="s">
        <v>116</v>
      </c>
      <c r="D906" s="75" t="s">
        <v>132</v>
      </c>
      <c r="E906" s="75" t="s">
        <v>143</v>
      </c>
      <c r="F906" s="75"/>
      <c r="G906" s="75" t="s">
        <v>396</v>
      </c>
      <c r="H906" s="75"/>
      <c r="I906" s="75" t="s">
        <v>171</v>
      </c>
      <c r="J906" s="76">
        <v>25</v>
      </c>
      <c r="K906" s="519" t="s">
        <v>387</v>
      </c>
      <c r="L906" s="520">
        <v>9.65</v>
      </c>
      <c r="M906" s="520">
        <v>10.31</v>
      </c>
      <c r="N906" s="507">
        <v>0.10299999999999999</v>
      </c>
      <c r="O906" s="507">
        <v>0.1</v>
      </c>
      <c r="P906" s="507">
        <v>0.112</v>
      </c>
      <c r="Q906" s="78">
        <v>0.44</v>
      </c>
      <c r="R906" s="78">
        <v>0.31740000000000002</v>
      </c>
      <c r="S906" s="69">
        <v>2.5000000000000001E-2</v>
      </c>
      <c r="T906" s="69">
        <v>0.01</v>
      </c>
      <c r="U906" s="507">
        <v>0.9</v>
      </c>
      <c r="V906" s="76">
        <v>0</v>
      </c>
      <c r="W906" s="76">
        <v>0</v>
      </c>
      <c r="X906" s="76" t="s">
        <v>147</v>
      </c>
      <c r="Y906" s="519" t="s">
        <v>469</v>
      </c>
    </row>
    <row r="907" spans="1:25" x14ac:dyDescent="0.25">
      <c r="A907" s="75" t="str">
        <f t="shared" si="31"/>
        <v>Exclusiva PF Premier Mercado_Abierto Pago_Fijo_Puntual 25</v>
      </c>
      <c r="B907" s="75" t="str">
        <f t="shared" si="30"/>
        <v>Exclusiva PF Premier Mercado_Abierto Pago_Fijo_Puntual 25 0.106</v>
      </c>
      <c r="C907" s="75" t="s">
        <v>116</v>
      </c>
      <c r="D907" s="75" t="s">
        <v>132</v>
      </c>
      <c r="E907" s="75" t="s">
        <v>143</v>
      </c>
      <c r="F907" s="75"/>
      <c r="G907" s="75" t="s">
        <v>396</v>
      </c>
      <c r="H907" s="75"/>
      <c r="I907" s="75" t="s">
        <v>171</v>
      </c>
      <c r="J907" s="76">
        <v>25</v>
      </c>
      <c r="K907" s="519">
        <v>3</v>
      </c>
      <c r="L907" s="520">
        <v>9.93</v>
      </c>
      <c r="M907" s="520">
        <v>10.59</v>
      </c>
      <c r="N907" s="507">
        <v>0.106</v>
      </c>
      <c r="O907" s="507">
        <v>0.10299999999999999</v>
      </c>
      <c r="P907" s="507">
        <v>0.11799999999999999</v>
      </c>
      <c r="Q907" s="78">
        <v>0.44</v>
      </c>
      <c r="R907" s="78">
        <v>0.31740000000000002</v>
      </c>
      <c r="S907" s="69">
        <v>2.5000000000000001E-2</v>
      </c>
      <c r="T907" s="69">
        <v>0.01</v>
      </c>
      <c r="U907" s="507">
        <v>0.85</v>
      </c>
      <c r="V907" s="76">
        <v>0</v>
      </c>
      <c r="W907" s="76">
        <v>0</v>
      </c>
      <c r="X907" s="76"/>
      <c r="Y907" s="519" t="s">
        <v>469</v>
      </c>
    </row>
    <row r="908" spans="1:25" x14ac:dyDescent="0.25">
      <c r="A908" s="75" t="str">
        <f t="shared" si="31"/>
        <v>Exclusiva PF Premier Mercado_Abierto Pago_Fijo_Puntual Si 20</v>
      </c>
      <c r="B908" s="75" t="str">
        <f t="shared" si="30"/>
        <v>Exclusiva PF Premier Mercado_Abierto Pago_Fijo_Puntual Si 20 0.103</v>
      </c>
      <c r="C908" s="75" t="s">
        <v>116</v>
      </c>
      <c r="D908" s="75" t="s">
        <v>132</v>
      </c>
      <c r="E908" s="75" t="s">
        <v>143</v>
      </c>
      <c r="F908" s="75"/>
      <c r="G908" s="75" t="s">
        <v>396</v>
      </c>
      <c r="H908" s="75"/>
      <c r="I908" s="75" t="s">
        <v>171</v>
      </c>
      <c r="J908" s="76">
        <v>20</v>
      </c>
      <c r="K908" s="519" t="s">
        <v>387</v>
      </c>
      <c r="L908" s="520">
        <v>10.16</v>
      </c>
      <c r="M908" s="520">
        <v>10.82</v>
      </c>
      <c r="N908" s="507">
        <v>0.10299999999999999</v>
      </c>
      <c r="O908" s="507">
        <v>0.1</v>
      </c>
      <c r="P908" s="507">
        <v>0.112</v>
      </c>
      <c r="Q908" s="78">
        <v>0.44</v>
      </c>
      <c r="R908" s="78">
        <v>0.31740000000000002</v>
      </c>
      <c r="S908" s="69">
        <v>2.5000000000000001E-2</v>
      </c>
      <c r="T908" s="69">
        <v>0.01</v>
      </c>
      <c r="U908" s="507">
        <v>0.9</v>
      </c>
      <c r="V908" s="76">
        <v>0</v>
      </c>
      <c r="W908" s="76">
        <v>0</v>
      </c>
      <c r="X908" s="76" t="s">
        <v>147</v>
      </c>
      <c r="Y908" s="519" t="s">
        <v>469</v>
      </c>
    </row>
    <row r="909" spans="1:25" x14ac:dyDescent="0.25">
      <c r="A909" s="75" t="str">
        <f t="shared" si="31"/>
        <v>Exclusiva PF Premier Mercado_Abierto Pago_Fijo_Puntual 20</v>
      </c>
      <c r="B909" s="75" t="str">
        <f t="shared" si="30"/>
        <v>Exclusiva PF Premier Mercado_Abierto Pago_Fijo_Puntual 20 0.106</v>
      </c>
      <c r="C909" s="75" t="s">
        <v>116</v>
      </c>
      <c r="D909" s="75" t="s">
        <v>132</v>
      </c>
      <c r="E909" s="75" t="s">
        <v>143</v>
      </c>
      <c r="F909" s="75"/>
      <c r="G909" s="75" t="s">
        <v>396</v>
      </c>
      <c r="H909" s="75"/>
      <c r="I909" s="75" t="s">
        <v>171</v>
      </c>
      <c r="J909" s="76">
        <v>20</v>
      </c>
      <c r="K909" s="519">
        <v>3</v>
      </c>
      <c r="L909" s="520">
        <v>10.41</v>
      </c>
      <c r="M909" s="520">
        <v>11.07</v>
      </c>
      <c r="N909" s="507">
        <v>0.106</v>
      </c>
      <c r="O909" s="507">
        <v>0.10299999999999999</v>
      </c>
      <c r="P909" s="507">
        <v>0.11799999999999999</v>
      </c>
      <c r="Q909" s="78">
        <v>0.44</v>
      </c>
      <c r="R909" s="78">
        <v>0.31740000000000002</v>
      </c>
      <c r="S909" s="69">
        <v>2.5000000000000001E-2</v>
      </c>
      <c r="T909" s="69">
        <v>0.01</v>
      </c>
      <c r="U909" s="507">
        <v>0.85</v>
      </c>
      <c r="V909" s="76">
        <v>0</v>
      </c>
      <c r="W909" s="76">
        <v>0</v>
      </c>
      <c r="X909" s="76"/>
      <c r="Y909" s="519" t="s">
        <v>469</v>
      </c>
    </row>
    <row r="910" spans="1:25" x14ac:dyDescent="0.25">
      <c r="A910" s="75" t="str">
        <f t="shared" si="31"/>
        <v>Exclusiva PF Premier Mercado_Abierto Pago_Fijo_Puntual Si 15</v>
      </c>
      <c r="B910" s="75" t="str">
        <f t="shared" ref="B910:B963" si="32">CONCATENATE(A910," ",N910)</f>
        <v>Exclusiva PF Premier Mercado_Abierto Pago_Fijo_Puntual Si 15 0.103</v>
      </c>
      <c r="C910" s="75" t="s">
        <v>116</v>
      </c>
      <c r="D910" s="75" t="s">
        <v>132</v>
      </c>
      <c r="E910" s="75" t="s">
        <v>143</v>
      </c>
      <c r="F910" s="75"/>
      <c r="G910" s="75" t="s">
        <v>396</v>
      </c>
      <c r="H910" s="75"/>
      <c r="I910" s="75" t="s">
        <v>171</v>
      </c>
      <c r="J910" s="76">
        <v>15</v>
      </c>
      <c r="K910" s="519" t="s">
        <v>387</v>
      </c>
      <c r="L910" s="520">
        <v>11.18</v>
      </c>
      <c r="M910" s="520">
        <v>11.84</v>
      </c>
      <c r="N910" s="507">
        <v>0.10299999999999999</v>
      </c>
      <c r="O910" s="507">
        <v>0.1</v>
      </c>
      <c r="P910" s="507">
        <v>0.112</v>
      </c>
      <c r="Q910" s="78">
        <v>0.44</v>
      </c>
      <c r="R910" s="78">
        <v>0.31740000000000002</v>
      </c>
      <c r="S910" s="69">
        <v>2.5000000000000001E-2</v>
      </c>
      <c r="T910" s="69">
        <v>0.01</v>
      </c>
      <c r="U910" s="507">
        <v>0.9</v>
      </c>
      <c r="V910" s="76">
        <v>0</v>
      </c>
      <c r="W910" s="76">
        <v>0</v>
      </c>
      <c r="X910" s="76" t="s">
        <v>147</v>
      </c>
      <c r="Y910" s="519" t="s">
        <v>469</v>
      </c>
    </row>
    <row r="911" spans="1:25" x14ac:dyDescent="0.25">
      <c r="A911" s="75" t="str">
        <f t="shared" ref="A911:A964" si="33">TRIM(CONCATENATE(C911," ",D911," ",E911," ",F911," ",G911," ",I911," ",X911," ",J911))</f>
        <v>Exclusiva PF Premier Mercado_Abierto Pago_Fijo_Puntual 15</v>
      </c>
      <c r="B911" s="75" t="str">
        <f t="shared" si="32"/>
        <v>Exclusiva PF Premier Mercado_Abierto Pago_Fijo_Puntual 15 0.106</v>
      </c>
      <c r="C911" s="75" t="s">
        <v>116</v>
      </c>
      <c r="D911" s="75" t="s">
        <v>132</v>
      </c>
      <c r="E911" s="75" t="s">
        <v>143</v>
      </c>
      <c r="F911" s="75"/>
      <c r="G911" s="75" t="s">
        <v>396</v>
      </c>
      <c r="H911" s="75"/>
      <c r="I911" s="75" t="s">
        <v>171</v>
      </c>
      <c r="J911" s="76">
        <v>15</v>
      </c>
      <c r="K911" s="519">
        <v>3</v>
      </c>
      <c r="L911" s="520">
        <v>11.39</v>
      </c>
      <c r="M911" s="520">
        <v>12.05</v>
      </c>
      <c r="N911" s="507">
        <v>0.106</v>
      </c>
      <c r="O911" s="507">
        <v>0.10299999999999999</v>
      </c>
      <c r="P911" s="507">
        <v>0.11799999999999999</v>
      </c>
      <c r="Q911" s="78">
        <v>0.44</v>
      </c>
      <c r="R911" s="78">
        <v>0.31740000000000002</v>
      </c>
      <c r="S911" s="69">
        <v>2.5000000000000001E-2</v>
      </c>
      <c r="T911" s="69">
        <v>0.01</v>
      </c>
      <c r="U911" s="507">
        <v>0.85</v>
      </c>
      <c r="V911" s="76">
        <v>0</v>
      </c>
      <c r="W911" s="76">
        <v>0</v>
      </c>
      <c r="X911" s="76"/>
      <c r="Y911" s="519" t="s">
        <v>469</v>
      </c>
    </row>
    <row r="912" spans="1:25" x14ac:dyDescent="0.25">
      <c r="A912" s="75" t="str">
        <f t="shared" si="33"/>
        <v>Exclusiva PF Premier Mercado_Abierto Pago_Fijo_Puntual Si 10</v>
      </c>
      <c r="B912" s="75" t="str">
        <f t="shared" si="32"/>
        <v>Exclusiva PF Premier Mercado_Abierto Pago_Fijo_Puntual Si 10 0.103</v>
      </c>
      <c r="C912" s="75" t="s">
        <v>116</v>
      </c>
      <c r="D912" s="75" t="s">
        <v>132</v>
      </c>
      <c r="E912" s="75" t="s">
        <v>143</v>
      </c>
      <c r="F912" s="75"/>
      <c r="G912" s="75" t="s">
        <v>396</v>
      </c>
      <c r="H912" s="75"/>
      <c r="I912" s="75" t="s">
        <v>171</v>
      </c>
      <c r="J912" s="76">
        <v>10</v>
      </c>
      <c r="K912" s="519" t="s">
        <v>387</v>
      </c>
      <c r="L912" s="520">
        <v>13.54</v>
      </c>
      <c r="M912" s="520">
        <v>14.2</v>
      </c>
      <c r="N912" s="507">
        <v>0.10299999999999999</v>
      </c>
      <c r="O912" s="507">
        <v>0.1</v>
      </c>
      <c r="P912" s="507">
        <v>0.112</v>
      </c>
      <c r="Q912" s="78">
        <v>0.44</v>
      </c>
      <c r="R912" s="78">
        <v>0.31740000000000002</v>
      </c>
      <c r="S912" s="69">
        <v>2.5000000000000001E-2</v>
      </c>
      <c r="T912" s="69">
        <v>0.01</v>
      </c>
      <c r="U912" s="507">
        <v>0.9</v>
      </c>
      <c r="V912" s="76">
        <v>0</v>
      </c>
      <c r="W912" s="76">
        <v>0</v>
      </c>
      <c r="X912" s="76" t="s">
        <v>147</v>
      </c>
      <c r="Y912" s="519" t="s">
        <v>469</v>
      </c>
    </row>
    <row r="913" spans="1:25" x14ac:dyDescent="0.25">
      <c r="A913" s="75" t="str">
        <f t="shared" si="33"/>
        <v>Exclusiva PF Premier Mercado_Abierto Pago_Fijo_Puntual 10</v>
      </c>
      <c r="B913" s="75" t="str">
        <f t="shared" si="32"/>
        <v>Exclusiva PF Premier Mercado_Abierto Pago_Fijo_Puntual 10 0.106</v>
      </c>
      <c r="C913" s="75" t="s">
        <v>116</v>
      </c>
      <c r="D913" s="75" t="s">
        <v>132</v>
      </c>
      <c r="E913" s="75" t="s">
        <v>143</v>
      </c>
      <c r="F913" s="75"/>
      <c r="G913" s="75" t="s">
        <v>396</v>
      </c>
      <c r="H913" s="75"/>
      <c r="I913" s="75" t="s">
        <v>171</v>
      </c>
      <c r="J913" s="76">
        <v>10</v>
      </c>
      <c r="K913" s="519">
        <v>3</v>
      </c>
      <c r="L913" s="520">
        <v>13.71</v>
      </c>
      <c r="M913" s="520">
        <v>14.37</v>
      </c>
      <c r="N913" s="507">
        <v>0.106</v>
      </c>
      <c r="O913" s="507">
        <v>0.10299999999999999</v>
      </c>
      <c r="P913" s="507">
        <v>0.11799999999999999</v>
      </c>
      <c r="Q913" s="78">
        <v>0.44</v>
      </c>
      <c r="R913" s="78">
        <v>0.31740000000000002</v>
      </c>
      <c r="S913" s="69">
        <v>2.5000000000000001E-2</v>
      </c>
      <c r="T913" s="69">
        <v>0.01</v>
      </c>
      <c r="U913" s="507">
        <v>0.85</v>
      </c>
      <c r="V913" s="76">
        <v>0</v>
      </c>
      <c r="W913" s="76">
        <v>0</v>
      </c>
      <c r="X913" s="76"/>
      <c r="Y913" s="519" t="s">
        <v>469</v>
      </c>
    </row>
    <row r="914" spans="1:25" x14ac:dyDescent="0.25">
      <c r="A914" s="75" t="str">
        <f t="shared" si="33"/>
        <v>Exclusiva PF Premier Mercado_Abierto Pago_Fijo_Puntual Si 5</v>
      </c>
      <c r="B914" s="75" t="str">
        <f t="shared" si="32"/>
        <v>Exclusiva PF Premier Mercado_Abierto Pago_Fijo_Puntual Si 5 0.103</v>
      </c>
      <c r="C914" s="75" t="s">
        <v>116</v>
      </c>
      <c r="D914" s="75" t="s">
        <v>132</v>
      </c>
      <c r="E914" s="75" t="s">
        <v>143</v>
      </c>
      <c r="F914" s="75"/>
      <c r="G914" s="75" t="s">
        <v>396</v>
      </c>
      <c r="H914" s="75"/>
      <c r="I914" s="75" t="s">
        <v>171</v>
      </c>
      <c r="J914" s="76">
        <v>5</v>
      </c>
      <c r="K914" s="519" t="s">
        <v>387</v>
      </c>
      <c r="L914" s="520">
        <v>21.44</v>
      </c>
      <c r="M914" s="520">
        <v>22.1</v>
      </c>
      <c r="N914" s="507">
        <v>0.10299999999999999</v>
      </c>
      <c r="O914" s="507">
        <v>0.1</v>
      </c>
      <c r="P914" s="507">
        <v>0.112</v>
      </c>
      <c r="Q914" s="78">
        <v>0.44</v>
      </c>
      <c r="R914" s="78">
        <v>0.31740000000000002</v>
      </c>
      <c r="S914" s="69">
        <v>2.5000000000000001E-2</v>
      </c>
      <c r="T914" s="69">
        <v>0.01</v>
      </c>
      <c r="U914" s="507">
        <v>0.9</v>
      </c>
      <c r="V914" s="76">
        <v>0</v>
      </c>
      <c r="W914" s="76">
        <v>0</v>
      </c>
      <c r="X914" s="76" t="s">
        <v>147</v>
      </c>
      <c r="Y914" s="519" t="s">
        <v>469</v>
      </c>
    </row>
    <row r="915" spans="1:25" x14ac:dyDescent="0.25">
      <c r="A915" s="75" t="str">
        <f t="shared" si="33"/>
        <v>Exclusiva PF Premier Mercado_Abierto Pago_Fijo_Puntual 5</v>
      </c>
      <c r="B915" s="75" t="str">
        <f t="shared" si="32"/>
        <v>Exclusiva PF Premier Mercado_Abierto Pago_Fijo_Puntual 5 0.106</v>
      </c>
      <c r="C915" s="75" t="s">
        <v>116</v>
      </c>
      <c r="D915" s="75" t="s">
        <v>132</v>
      </c>
      <c r="E915" s="75" t="s">
        <v>143</v>
      </c>
      <c r="F915" s="75"/>
      <c r="G915" s="75" t="s">
        <v>396</v>
      </c>
      <c r="H915" s="75"/>
      <c r="I915" s="75" t="s">
        <v>171</v>
      </c>
      <c r="J915" s="76">
        <v>5</v>
      </c>
      <c r="K915" s="519">
        <v>3</v>
      </c>
      <c r="L915" s="520">
        <v>21.59</v>
      </c>
      <c r="M915" s="520">
        <v>22.25</v>
      </c>
      <c r="N915" s="507">
        <v>0.106</v>
      </c>
      <c r="O915" s="507">
        <v>0.10299999999999999</v>
      </c>
      <c r="P915" s="507">
        <v>0.11799999999999999</v>
      </c>
      <c r="Q915" s="78">
        <v>0.44</v>
      </c>
      <c r="R915" s="78">
        <v>0.31740000000000002</v>
      </c>
      <c r="S915" s="69">
        <v>2.5000000000000001E-2</v>
      </c>
      <c r="T915" s="69">
        <v>0.01</v>
      </c>
      <c r="U915" s="507">
        <v>0.85</v>
      </c>
      <c r="V915" s="76">
        <v>0</v>
      </c>
      <c r="W915" s="76">
        <v>0</v>
      </c>
      <c r="X915" s="76"/>
      <c r="Y915" s="519" t="s">
        <v>469</v>
      </c>
    </row>
    <row r="916" spans="1:25" x14ac:dyDescent="0.25">
      <c r="A916" s="75" t="str">
        <f t="shared" si="33"/>
        <v>Exclusiva PF Premier Mercado_Abierto Pago_Bajo_Puntual Si 25</v>
      </c>
      <c r="B916" s="75" t="str">
        <f t="shared" si="32"/>
        <v>Exclusiva PF Premier Mercado_Abierto Pago_Bajo_Puntual Si 25 0.103</v>
      </c>
      <c r="C916" s="75" t="s">
        <v>116</v>
      </c>
      <c r="D916" s="75" t="s">
        <v>132</v>
      </c>
      <c r="E916" s="75" t="s">
        <v>143</v>
      </c>
      <c r="F916" s="75"/>
      <c r="G916" s="75" t="s">
        <v>396</v>
      </c>
      <c r="H916" s="75"/>
      <c r="I916" s="75" t="s">
        <v>170</v>
      </c>
      <c r="J916" s="523">
        <v>25</v>
      </c>
      <c r="K916" s="519" t="s">
        <v>387</v>
      </c>
      <c r="L916" s="525">
        <v>8.64</v>
      </c>
      <c r="M916" s="525">
        <v>9.3000000000000007</v>
      </c>
      <c r="N916" s="507">
        <v>0.10299999999999999</v>
      </c>
      <c r="O916" s="507">
        <v>0.1</v>
      </c>
      <c r="P916" s="507">
        <v>0.112</v>
      </c>
      <c r="Q916" s="78">
        <v>0.44</v>
      </c>
      <c r="R916" s="78">
        <v>0.31740000000000002</v>
      </c>
      <c r="S916" s="69">
        <v>2.5000000000000001E-2</v>
      </c>
      <c r="T916" s="69">
        <v>0.01</v>
      </c>
      <c r="U916" s="507">
        <v>0.9</v>
      </c>
      <c r="V916" s="76">
        <v>0</v>
      </c>
      <c r="W916" s="76">
        <v>0</v>
      </c>
      <c r="X916" s="76" t="s">
        <v>147</v>
      </c>
      <c r="Y916" s="519" t="s">
        <v>469</v>
      </c>
    </row>
    <row r="917" spans="1:25" x14ac:dyDescent="0.25">
      <c r="A917" s="75" t="str">
        <f t="shared" si="33"/>
        <v>Exclusiva PF Premier Mercado_Abierto Pago_Bajo_Puntual 25</v>
      </c>
      <c r="B917" s="75" t="str">
        <f t="shared" si="32"/>
        <v>Exclusiva PF Premier Mercado_Abierto Pago_Bajo_Puntual 25 0.106</v>
      </c>
      <c r="C917" s="75" t="s">
        <v>116</v>
      </c>
      <c r="D917" s="75" t="s">
        <v>132</v>
      </c>
      <c r="E917" s="75" t="s">
        <v>143</v>
      </c>
      <c r="F917" s="75"/>
      <c r="G917" s="75" t="s">
        <v>396</v>
      </c>
      <c r="H917" s="75"/>
      <c r="I917" s="75" t="s">
        <v>170</v>
      </c>
      <c r="J917" s="523">
        <v>25</v>
      </c>
      <c r="K917" s="519">
        <v>3</v>
      </c>
      <c r="L917" s="525">
        <v>8.89</v>
      </c>
      <c r="M917" s="525">
        <v>9.5500000000000007</v>
      </c>
      <c r="N917" s="507">
        <v>0.106</v>
      </c>
      <c r="O917" s="507">
        <v>0.10299999999999999</v>
      </c>
      <c r="P917" s="507">
        <v>0.11799999999999999</v>
      </c>
      <c r="Q917" s="78">
        <v>0.44</v>
      </c>
      <c r="R917" s="78">
        <v>0.31740000000000002</v>
      </c>
      <c r="S917" s="69">
        <v>2.5000000000000001E-2</v>
      </c>
      <c r="T917" s="69">
        <v>0.01</v>
      </c>
      <c r="U917" s="507">
        <v>0.85</v>
      </c>
      <c r="V917" s="76">
        <v>0</v>
      </c>
      <c r="W917" s="76">
        <v>0</v>
      </c>
      <c r="X917" s="76"/>
      <c r="Y917" s="519" t="s">
        <v>469</v>
      </c>
    </row>
    <row r="918" spans="1:25" x14ac:dyDescent="0.25">
      <c r="A918" s="75" t="str">
        <f t="shared" si="33"/>
        <v>Exclusiva PF Premier Mercado_Abierto Pago_Bajo_Puntual Si 20</v>
      </c>
      <c r="B918" s="75" t="str">
        <f t="shared" si="32"/>
        <v>Exclusiva PF Premier Mercado_Abierto Pago_Bajo_Puntual Si 20 0.103</v>
      </c>
      <c r="C918" s="75" t="s">
        <v>116</v>
      </c>
      <c r="D918" s="75" t="s">
        <v>132</v>
      </c>
      <c r="E918" s="75" t="s">
        <v>143</v>
      </c>
      <c r="F918" s="75"/>
      <c r="G918" s="75" t="s">
        <v>396</v>
      </c>
      <c r="H918" s="75"/>
      <c r="I918" s="75" t="s">
        <v>170</v>
      </c>
      <c r="J918" s="76">
        <v>20</v>
      </c>
      <c r="K918" s="519" t="s">
        <v>387</v>
      </c>
      <c r="L918" s="520">
        <v>9</v>
      </c>
      <c r="M918" s="520">
        <v>9.66</v>
      </c>
      <c r="N918" s="507">
        <v>0.10299999999999999</v>
      </c>
      <c r="O918" s="507">
        <v>0.1</v>
      </c>
      <c r="P918" s="507">
        <v>0.112</v>
      </c>
      <c r="Q918" s="78">
        <v>0.44</v>
      </c>
      <c r="R918" s="78">
        <v>0.31740000000000002</v>
      </c>
      <c r="S918" s="69">
        <v>2.5000000000000001E-2</v>
      </c>
      <c r="T918" s="69">
        <v>0.01</v>
      </c>
      <c r="U918" s="507">
        <v>0.9</v>
      </c>
      <c r="V918" s="76">
        <v>0</v>
      </c>
      <c r="W918" s="76">
        <v>0</v>
      </c>
      <c r="X918" s="76" t="s">
        <v>147</v>
      </c>
      <c r="Y918" s="519" t="s">
        <v>469</v>
      </c>
    </row>
    <row r="919" spans="1:25" x14ac:dyDescent="0.25">
      <c r="A919" s="75" t="str">
        <f t="shared" si="33"/>
        <v>Exclusiva PF Premier Mercado_Abierto Pago_Bajo_Puntual 20</v>
      </c>
      <c r="B919" s="75" t="str">
        <f t="shared" si="32"/>
        <v>Exclusiva PF Premier Mercado_Abierto Pago_Bajo_Puntual 20 0.106</v>
      </c>
      <c r="C919" s="75" t="s">
        <v>116</v>
      </c>
      <c r="D919" s="75" t="s">
        <v>132</v>
      </c>
      <c r="E919" s="75" t="s">
        <v>143</v>
      </c>
      <c r="F919" s="75"/>
      <c r="G919" s="75" t="s">
        <v>396</v>
      </c>
      <c r="H919" s="75"/>
      <c r="I919" s="75" t="s">
        <v>170</v>
      </c>
      <c r="J919" s="76">
        <v>20</v>
      </c>
      <c r="K919" s="519">
        <v>3</v>
      </c>
      <c r="L919" s="520">
        <v>9.24</v>
      </c>
      <c r="M919" s="520">
        <v>9.9</v>
      </c>
      <c r="N919" s="507">
        <v>0.106</v>
      </c>
      <c r="O919" s="507">
        <v>0.10299999999999999</v>
      </c>
      <c r="P919" s="507">
        <v>0.11799999999999999</v>
      </c>
      <c r="Q919" s="78">
        <v>0.44</v>
      </c>
      <c r="R919" s="78">
        <v>0.31740000000000002</v>
      </c>
      <c r="S919" s="69">
        <v>2.5000000000000001E-2</v>
      </c>
      <c r="T919" s="69">
        <v>0.01</v>
      </c>
      <c r="U919" s="507">
        <v>0.85</v>
      </c>
      <c r="V919" s="76">
        <v>0</v>
      </c>
      <c r="W919" s="76">
        <v>0</v>
      </c>
      <c r="X919" s="76"/>
      <c r="Y919" s="519" t="s">
        <v>469</v>
      </c>
    </row>
    <row r="920" spans="1:25" x14ac:dyDescent="0.25">
      <c r="A920" s="75" t="str">
        <f t="shared" si="33"/>
        <v>Exclusiva PF Premier Mercado_Abierto Pago_Bajo_Puntual Si 15</v>
      </c>
      <c r="B920" s="75" t="str">
        <f t="shared" si="32"/>
        <v>Exclusiva PF Premier Mercado_Abierto Pago_Bajo_Puntual Si 15 0.103</v>
      </c>
      <c r="C920" s="75" t="s">
        <v>116</v>
      </c>
      <c r="D920" s="75" t="s">
        <v>132</v>
      </c>
      <c r="E920" s="75" t="s">
        <v>143</v>
      </c>
      <c r="F920" s="75"/>
      <c r="G920" s="75" t="s">
        <v>396</v>
      </c>
      <c r="H920" s="75"/>
      <c r="I920" s="75" t="s">
        <v>170</v>
      </c>
      <c r="J920" s="76">
        <v>15</v>
      </c>
      <c r="K920" s="519" t="s">
        <v>387</v>
      </c>
      <c r="L920" s="520">
        <v>10.119999999999999</v>
      </c>
      <c r="M920" s="520">
        <v>10.78</v>
      </c>
      <c r="N920" s="507">
        <v>0.10299999999999999</v>
      </c>
      <c r="O920" s="507">
        <v>0.1</v>
      </c>
      <c r="P920" s="507">
        <v>0.112</v>
      </c>
      <c r="Q920" s="78">
        <v>0.44</v>
      </c>
      <c r="R920" s="78">
        <v>0.31740000000000002</v>
      </c>
      <c r="S920" s="69">
        <v>2.5000000000000001E-2</v>
      </c>
      <c r="T920" s="69">
        <v>0.01</v>
      </c>
      <c r="U920" s="507">
        <v>0.9</v>
      </c>
      <c r="V920" s="76">
        <v>0</v>
      </c>
      <c r="W920" s="76">
        <v>0</v>
      </c>
      <c r="X920" s="76" t="s">
        <v>147</v>
      </c>
      <c r="Y920" s="519" t="s">
        <v>469</v>
      </c>
    </row>
    <row r="921" spans="1:25" x14ac:dyDescent="0.25">
      <c r="A921" s="75" t="str">
        <f t="shared" si="33"/>
        <v>Exclusiva PF Premier Mercado_Abierto Pago_Bajo_Puntual 15</v>
      </c>
      <c r="B921" s="75" t="str">
        <f t="shared" si="32"/>
        <v>Exclusiva PF Premier Mercado_Abierto Pago_Bajo_Puntual 15 0.106</v>
      </c>
      <c r="C921" s="75" t="s">
        <v>116</v>
      </c>
      <c r="D921" s="75" t="s">
        <v>132</v>
      </c>
      <c r="E921" s="75" t="s">
        <v>143</v>
      </c>
      <c r="F921" s="75"/>
      <c r="G921" s="75" t="s">
        <v>396</v>
      </c>
      <c r="H921" s="75"/>
      <c r="I921" s="75" t="s">
        <v>170</v>
      </c>
      <c r="J921" s="76">
        <v>15</v>
      </c>
      <c r="K921" s="519">
        <v>3</v>
      </c>
      <c r="L921" s="520">
        <v>10.33</v>
      </c>
      <c r="M921" s="520">
        <v>10.99</v>
      </c>
      <c r="N921" s="507">
        <v>0.106</v>
      </c>
      <c r="O921" s="507">
        <v>0.10299999999999999</v>
      </c>
      <c r="P921" s="507">
        <v>0.11799999999999999</v>
      </c>
      <c r="Q921" s="78">
        <v>0.44</v>
      </c>
      <c r="R921" s="78">
        <v>0.31740000000000002</v>
      </c>
      <c r="S921" s="69">
        <v>2.5000000000000001E-2</v>
      </c>
      <c r="T921" s="69">
        <v>0.01</v>
      </c>
      <c r="U921" s="507">
        <v>0.85</v>
      </c>
      <c r="V921" s="76">
        <v>0</v>
      </c>
      <c r="W921" s="76">
        <v>0</v>
      </c>
      <c r="X921" s="76"/>
      <c r="Y921" s="519" t="s">
        <v>469</v>
      </c>
    </row>
    <row r="922" spans="1:25" x14ac:dyDescent="0.25">
      <c r="A922" s="75" t="str">
        <f t="shared" si="33"/>
        <v>Exclusiva PF Premier Mercado_Abierto Pago_Bajo_Puntual Si 10</v>
      </c>
      <c r="B922" s="75" t="str">
        <f t="shared" si="32"/>
        <v>Exclusiva PF Premier Mercado_Abierto Pago_Bajo_Puntual Si 10 0.103</v>
      </c>
      <c r="C922" s="75" t="s">
        <v>116</v>
      </c>
      <c r="D922" s="75" t="s">
        <v>132</v>
      </c>
      <c r="E922" s="75" t="s">
        <v>143</v>
      </c>
      <c r="F922" s="75"/>
      <c r="G922" s="75" t="s">
        <v>396</v>
      </c>
      <c r="H922" s="75"/>
      <c r="I922" s="75" t="s">
        <v>170</v>
      </c>
      <c r="J922" s="76">
        <v>10</v>
      </c>
      <c r="K922" s="519" t="s">
        <v>387</v>
      </c>
      <c r="L922" s="520">
        <v>12.62</v>
      </c>
      <c r="M922" s="520">
        <v>13.28</v>
      </c>
      <c r="N922" s="507">
        <v>0.10299999999999999</v>
      </c>
      <c r="O922" s="507">
        <v>0.1</v>
      </c>
      <c r="P922" s="507">
        <v>0.112</v>
      </c>
      <c r="Q922" s="78">
        <v>0.44</v>
      </c>
      <c r="R922" s="78">
        <v>0.31740000000000002</v>
      </c>
      <c r="S922" s="69">
        <v>2.5000000000000001E-2</v>
      </c>
      <c r="T922" s="69">
        <v>0.01</v>
      </c>
      <c r="U922" s="507">
        <v>0.9</v>
      </c>
      <c r="V922" s="76">
        <v>0</v>
      </c>
      <c r="W922" s="76">
        <v>0</v>
      </c>
      <c r="X922" s="76" t="s">
        <v>147</v>
      </c>
      <c r="Y922" s="519" t="s">
        <v>469</v>
      </c>
    </row>
    <row r="923" spans="1:25" x14ac:dyDescent="0.25">
      <c r="A923" s="75" t="str">
        <f t="shared" si="33"/>
        <v>Exclusiva PF Premier Mercado_Abierto Pago_Bajo_Puntual 10</v>
      </c>
      <c r="B923" s="75" t="str">
        <f t="shared" si="32"/>
        <v>Exclusiva PF Premier Mercado_Abierto Pago_Bajo_Puntual 10 0.106</v>
      </c>
      <c r="C923" s="75" t="s">
        <v>116</v>
      </c>
      <c r="D923" s="75" t="s">
        <v>132</v>
      </c>
      <c r="E923" s="75" t="s">
        <v>143</v>
      </c>
      <c r="F923" s="75"/>
      <c r="G923" s="75" t="s">
        <v>396</v>
      </c>
      <c r="H923" s="75"/>
      <c r="I923" s="75" t="s">
        <v>170</v>
      </c>
      <c r="J923" s="76">
        <v>10</v>
      </c>
      <c r="K923" s="519">
        <v>3</v>
      </c>
      <c r="L923" s="520">
        <v>12.78</v>
      </c>
      <c r="M923" s="520">
        <v>13.44</v>
      </c>
      <c r="N923" s="507">
        <v>0.106</v>
      </c>
      <c r="O923" s="507">
        <v>0.10299999999999999</v>
      </c>
      <c r="P923" s="507">
        <v>0.11799999999999999</v>
      </c>
      <c r="Q923" s="78">
        <v>0.44</v>
      </c>
      <c r="R923" s="78">
        <v>0.31740000000000002</v>
      </c>
      <c r="S923" s="69">
        <v>2.5000000000000001E-2</v>
      </c>
      <c r="T923" s="69">
        <v>0.01</v>
      </c>
      <c r="U923" s="507">
        <v>0.85</v>
      </c>
      <c r="V923" s="76">
        <v>0</v>
      </c>
      <c r="W923" s="76">
        <v>0</v>
      </c>
      <c r="X923" s="76"/>
      <c r="Y923" s="519" t="s">
        <v>469</v>
      </c>
    </row>
    <row r="924" spans="1:25" x14ac:dyDescent="0.25">
      <c r="A924" s="75" t="str">
        <f t="shared" si="33"/>
        <v>Exclusiva PF Premier Mercado_Abierto Pago_Bajo_Puntual Si 5</v>
      </c>
      <c r="B924" s="75" t="str">
        <f t="shared" si="32"/>
        <v>Exclusiva PF Premier Mercado_Abierto Pago_Bajo_Puntual Si 5 0.103</v>
      </c>
      <c r="C924" s="75" t="s">
        <v>116</v>
      </c>
      <c r="D924" s="75" t="s">
        <v>132</v>
      </c>
      <c r="E924" s="75" t="s">
        <v>143</v>
      </c>
      <c r="F924" s="75"/>
      <c r="G924" s="75" t="s">
        <v>396</v>
      </c>
      <c r="H924" s="75"/>
      <c r="I924" s="75" t="s">
        <v>170</v>
      </c>
      <c r="J924" s="76">
        <v>5</v>
      </c>
      <c r="K924" s="519" t="s">
        <v>387</v>
      </c>
      <c r="L924" s="520">
        <v>20.72</v>
      </c>
      <c r="M924" s="520">
        <v>21.38</v>
      </c>
      <c r="N924" s="507">
        <v>0.10299999999999999</v>
      </c>
      <c r="O924" s="507">
        <v>0.1</v>
      </c>
      <c r="P924" s="507">
        <v>0.112</v>
      </c>
      <c r="Q924" s="78">
        <v>0.44</v>
      </c>
      <c r="R924" s="78">
        <v>0.31740000000000002</v>
      </c>
      <c r="S924" s="69">
        <v>2.5000000000000001E-2</v>
      </c>
      <c r="T924" s="69">
        <v>0.01</v>
      </c>
      <c r="U924" s="507">
        <v>0.9</v>
      </c>
      <c r="V924" s="76">
        <v>0</v>
      </c>
      <c r="W924" s="76">
        <v>0</v>
      </c>
      <c r="X924" s="76" t="s">
        <v>147</v>
      </c>
      <c r="Y924" s="519" t="s">
        <v>469</v>
      </c>
    </row>
    <row r="925" spans="1:25" x14ac:dyDescent="0.25">
      <c r="A925" s="75" t="str">
        <f t="shared" si="33"/>
        <v>Exclusiva PF Premier Mercado_Abierto Pago_Bajo_Puntual 5</v>
      </c>
      <c r="B925" s="75" t="str">
        <f t="shared" si="32"/>
        <v>Exclusiva PF Premier Mercado_Abierto Pago_Bajo_Puntual 5 0.106</v>
      </c>
      <c r="C925" s="75" t="s">
        <v>116</v>
      </c>
      <c r="D925" s="75" t="s">
        <v>132</v>
      </c>
      <c r="E925" s="75" t="s">
        <v>143</v>
      </c>
      <c r="F925" s="75"/>
      <c r="G925" s="75" t="s">
        <v>396</v>
      </c>
      <c r="H925" s="75"/>
      <c r="I925" s="75" t="s">
        <v>170</v>
      </c>
      <c r="J925" s="76">
        <v>5</v>
      </c>
      <c r="K925" s="519">
        <v>3</v>
      </c>
      <c r="L925" s="520">
        <v>20.86</v>
      </c>
      <c r="M925" s="520">
        <v>21.52</v>
      </c>
      <c r="N925" s="507">
        <v>0.106</v>
      </c>
      <c r="O925" s="507">
        <v>0.10299999999999999</v>
      </c>
      <c r="P925" s="507">
        <v>0.11799999999999999</v>
      </c>
      <c r="Q925" s="78">
        <v>0.44</v>
      </c>
      <c r="R925" s="78">
        <v>0.31740000000000002</v>
      </c>
      <c r="S925" s="69">
        <v>2.5000000000000001E-2</v>
      </c>
      <c r="T925" s="69">
        <v>0.01</v>
      </c>
      <c r="U925" s="507">
        <v>0.85</v>
      </c>
      <c r="V925" s="76">
        <v>0</v>
      </c>
      <c r="W925" s="76">
        <v>0</v>
      </c>
      <c r="X925" s="76"/>
      <c r="Y925" s="519" t="s">
        <v>469</v>
      </c>
    </row>
    <row r="926" spans="1:25" x14ac:dyDescent="0.25">
      <c r="A926" s="75" t="str">
        <f t="shared" si="33"/>
        <v>Exclusiva PF Premier Mercado_Abierto Pago_Fijo_Puntual 25</v>
      </c>
      <c r="B926" s="75" t="str">
        <f t="shared" si="32"/>
        <v>Exclusiva PF Premier Mercado_Abierto Pago_Fijo_Puntual 25 0.0965</v>
      </c>
      <c r="C926" s="75" t="s">
        <v>116</v>
      </c>
      <c r="D926" s="75" t="s">
        <v>132</v>
      </c>
      <c r="E926" s="75" t="s">
        <v>143</v>
      </c>
      <c r="F926" s="75"/>
      <c r="G926" s="75" t="s">
        <v>396</v>
      </c>
      <c r="H926" s="75"/>
      <c r="I926" s="75" t="s">
        <v>171</v>
      </c>
      <c r="J926" s="76">
        <v>25</v>
      </c>
      <c r="K926" s="516" t="s">
        <v>385</v>
      </c>
      <c r="L926" s="517">
        <v>9.11</v>
      </c>
      <c r="M926" s="517">
        <v>9.77</v>
      </c>
      <c r="N926" s="518">
        <v>9.6500000000000002E-2</v>
      </c>
      <c r="O926" s="518">
        <v>9.1999999999999998E-2</v>
      </c>
      <c r="P926" s="518">
        <v>0.10249999999999999</v>
      </c>
      <c r="Q926" s="78">
        <v>0.44</v>
      </c>
      <c r="R926" s="78">
        <v>0.31740000000000002</v>
      </c>
      <c r="S926" s="69">
        <v>2.5000000000000001E-2</v>
      </c>
      <c r="T926" s="69">
        <v>0.01</v>
      </c>
      <c r="U926" s="518">
        <v>0.7</v>
      </c>
      <c r="V926" s="76">
        <v>0</v>
      </c>
      <c r="W926" s="76">
        <v>0</v>
      </c>
      <c r="X926" s="76"/>
      <c r="Y926" s="516" t="s">
        <v>470</v>
      </c>
    </row>
    <row r="927" spans="1:25" x14ac:dyDescent="0.25">
      <c r="A927" s="75" t="str">
        <f t="shared" si="33"/>
        <v>Exclusiva PF Premier Mercado_Abierto Pago_Fijo_Puntual 25</v>
      </c>
      <c r="B927" s="75" t="str">
        <f t="shared" si="32"/>
        <v>Exclusiva PF Premier Mercado_Abierto Pago_Fijo_Puntual 25 0.103</v>
      </c>
      <c r="C927" s="75" t="s">
        <v>116</v>
      </c>
      <c r="D927" s="75" t="s">
        <v>132</v>
      </c>
      <c r="E927" s="75" t="s">
        <v>143</v>
      </c>
      <c r="F927" s="75"/>
      <c r="G927" s="75" t="s">
        <v>396</v>
      </c>
      <c r="H927" s="75"/>
      <c r="I927" s="75" t="s">
        <v>171</v>
      </c>
      <c r="J927" s="76">
        <v>25</v>
      </c>
      <c r="K927" s="516" t="s">
        <v>386</v>
      </c>
      <c r="L927" s="517">
        <v>9.65</v>
      </c>
      <c r="M927" s="517">
        <v>10.31</v>
      </c>
      <c r="N927" s="518">
        <v>0.10299999999999999</v>
      </c>
      <c r="O927" s="518">
        <v>0.1</v>
      </c>
      <c r="P927" s="518">
        <v>0.112</v>
      </c>
      <c r="Q927" s="78">
        <v>0.44</v>
      </c>
      <c r="R927" s="78">
        <v>0.31740000000000002</v>
      </c>
      <c r="S927" s="69">
        <v>2.5000000000000001E-2</v>
      </c>
      <c r="T927" s="69">
        <v>0.01</v>
      </c>
      <c r="U927" s="518">
        <v>0.7</v>
      </c>
      <c r="V927" s="76">
        <v>0</v>
      </c>
      <c r="W927" s="76">
        <v>0</v>
      </c>
      <c r="X927" s="76"/>
      <c r="Y927" s="516" t="s">
        <v>470</v>
      </c>
    </row>
    <row r="928" spans="1:25" x14ac:dyDescent="0.25">
      <c r="A928" s="75" t="str">
        <f t="shared" si="33"/>
        <v>Exclusiva PF Premier Mercado_Abierto Pago_Fijo_Puntual 20</v>
      </c>
      <c r="B928" s="75" t="str">
        <f t="shared" si="32"/>
        <v>Exclusiva PF Premier Mercado_Abierto Pago_Fijo_Puntual 20 0.0965</v>
      </c>
      <c r="C928" s="75" t="s">
        <v>116</v>
      </c>
      <c r="D928" s="75" t="s">
        <v>132</v>
      </c>
      <c r="E928" s="75" t="s">
        <v>143</v>
      </c>
      <c r="F928" s="75"/>
      <c r="G928" s="75" t="s">
        <v>396</v>
      </c>
      <c r="H928" s="75"/>
      <c r="I928" s="75" t="s">
        <v>171</v>
      </c>
      <c r="J928" s="76">
        <v>20</v>
      </c>
      <c r="K928" s="516" t="s">
        <v>385</v>
      </c>
      <c r="L928" s="517">
        <v>9.66</v>
      </c>
      <c r="M928" s="517">
        <v>10.32</v>
      </c>
      <c r="N928" s="518">
        <v>9.6500000000000002E-2</v>
      </c>
      <c r="O928" s="518">
        <v>9.1999999999999998E-2</v>
      </c>
      <c r="P928" s="518">
        <v>0.10249999999999999</v>
      </c>
      <c r="Q928" s="78">
        <v>0.44</v>
      </c>
      <c r="R928" s="78">
        <v>0.31740000000000002</v>
      </c>
      <c r="S928" s="69">
        <v>2.5000000000000001E-2</v>
      </c>
      <c r="T928" s="69">
        <v>0.01</v>
      </c>
      <c r="U928" s="518">
        <v>0.7</v>
      </c>
      <c r="V928" s="76">
        <v>0</v>
      </c>
      <c r="W928" s="76">
        <v>0</v>
      </c>
      <c r="X928" s="76"/>
      <c r="Y928" s="516" t="s">
        <v>470</v>
      </c>
    </row>
    <row r="929" spans="1:25" x14ac:dyDescent="0.25">
      <c r="A929" s="75" t="str">
        <f t="shared" si="33"/>
        <v>Exclusiva PF Premier Mercado_Abierto Pago_Fijo_Puntual 20</v>
      </c>
      <c r="B929" s="75" t="str">
        <f t="shared" si="32"/>
        <v>Exclusiva PF Premier Mercado_Abierto Pago_Fijo_Puntual 20 0.103</v>
      </c>
      <c r="C929" s="75" t="s">
        <v>116</v>
      </c>
      <c r="D929" s="75" t="s">
        <v>132</v>
      </c>
      <c r="E929" s="75" t="s">
        <v>143</v>
      </c>
      <c r="F929" s="75"/>
      <c r="G929" s="75" t="s">
        <v>396</v>
      </c>
      <c r="H929" s="75"/>
      <c r="I929" s="75" t="s">
        <v>171</v>
      </c>
      <c r="J929" s="76">
        <v>20</v>
      </c>
      <c r="K929" s="516" t="s">
        <v>386</v>
      </c>
      <c r="L929" s="517">
        <v>10.16</v>
      </c>
      <c r="M929" s="517">
        <v>10.82</v>
      </c>
      <c r="N929" s="518">
        <v>0.10299999999999999</v>
      </c>
      <c r="O929" s="518">
        <v>0.1</v>
      </c>
      <c r="P929" s="518">
        <v>0.112</v>
      </c>
      <c r="Q929" s="78">
        <v>0.44</v>
      </c>
      <c r="R929" s="78">
        <v>0.31740000000000002</v>
      </c>
      <c r="S929" s="69">
        <v>2.5000000000000001E-2</v>
      </c>
      <c r="T929" s="69">
        <v>0.01</v>
      </c>
      <c r="U929" s="518">
        <v>0.7</v>
      </c>
      <c r="V929" s="76">
        <v>0</v>
      </c>
      <c r="W929" s="76">
        <v>0</v>
      </c>
      <c r="X929" s="76"/>
      <c r="Y929" s="516" t="s">
        <v>470</v>
      </c>
    </row>
    <row r="930" spans="1:25" x14ac:dyDescent="0.25">
      <c r="A930" s="75" t="str">
        <f t="shared" si="33"/>
        <v>Exclusiva PF Premier Mercado_Abierto Pago_Fijo_Puntual 15</v>
      </c>
      <c r="B930" s="75" t="str">
        <f t="shared" si="32"/>
        <v>Exclusiva PF Premier Mercado_Abierto Pago_Fijo_Puntual 15 0.0965</v>
      </c>
      <c r="C930" s="75" t="s">
        <v>116</v>
      </c>
      <c r="D930" s="75" t="s">
        <v>132</v>
      </c>
      <c r="E930" s="75" t="s">
        <v>143</v>
      </c>
      <c r="F930" s="75"/>
      <c r="G930" s="75" t="s">
        <v>396</v>
      </c>
      <c r="H930" s="75"/>
      <c r="I930" s="75" t="s">
        <v>171</v>
      </c>
      <c r="J930" s="76">
        <v>15</v>
      </c>
      <c r="K930" s="516" t="s">
        <v>385</v>
      </c>
      <c r="L930" s="517">
        <v>10.73</v>
      </c>
      <c r="M930" s="517">
        <v>11.39</v>
      </c>
      <c r="N930" s="518">
        <v>9.6500000000000002E-2</v>
      </c>
      <c r="O930" s="518">
        <v>9.1999999999999998E-2</v>
      </c>
      <c r="P930" s="518">
        <v>0.10249999999999999</v>
      </c>
      <c r="Q930" s="78">
        <v>0.44</v>
      </c>
      <c r="R930" s="78">
        <v>0.31740000000000002</v>
      </c>
      <c r="S930" s="69">
        <v>2.5000000000000001E-2</v>
      </c>
      <c r="T930" s="69">
        <v>0.01</v>
      </c>
      <c r="U930" s="518">
        <v>0.7</v>
      </c>
      <c r="V930" s="76">
        <v>0</v>
      </c>
      <c r="W930" s="76">
        <v>0</v>
      </c>
      <c r="X930" s="76"/>
      <c r="Y930" s="516" t="s">
        <v>470</v>
      </c>
    </row>
    <row r="931" spans="1:25" x14ac:dyDescent="0.25">
      <c r="A931" s="75" t="str">
        <f t="shared" si="33"/>
        <v>Exclusiva PF Premier Mercado_Abierto Pago_Fijo_Puntual 15</v>
      </c>
      <c r="B931" s="75" t="str">
        <f t="shared" si="32"/>
        <v>Exclusiva PF Premier Mercado_Abierto Pago_Fijo_Puntual 15 0.103</v>
      </c>
      <c r="C931" s="75" t="s">
        <v>116</v>
      </c>
      <c r="D931" s="75" t="s">
        <v>132</v>
      </c>
      <c r="E931" s="75" t="s">
        <v>143</v>
      </c>
      <c r="F931" s="75"/>
      <c r="G931" s="75" t="s">
        <v>396</v>
      </c>
      <c r="H931" s="75"/>
      <c r="I931" s="75" t="s">
        <v>171</v>
      </c>
      <c r="J931" s="76">
        <v>15</v>
      </c>
      <c r="K931" s="516" t="s">
        <v>386</v>
      </c>
      <c r="L931" s="517">
        <v>11.18</v>
      </c>
      <c r="M931" s="517">
        <v>11.84</v>
      </c>
      <c r="N931" s="518">
        <v>0.10299999999999999</v>
      </c>
      <c r="O931" s="518">
        <v>0.1</v>
      </c>
      <c r="P931" s="518">
        <v>0.112</v>
      </c>
      <c r="Q931" s="78">
        <v>0.44</v>
      </c>
      <c r="R931" s="78">
        <v>0.31740000000000002</v>
      </c>
      <c r="S931" s="69">
        <v>2.5000000000000001E-2</v>
      </c>
      <c r="T931" s="69">
        <v>0.01</v>
      </c>
      <c r="U931" s="518">
        <v>0.7</v>
      </c>
      <c r="V931" s="76">
        <v>0</v>
      </c>
      <c r="W931" s="76">
        <v>0</v>
      </c>
      <c r="X931" s="76"/>
      <c r="Y931" s="516" t="s">
        <v>470</v>
      </c>
    </row>
    <row r="932" spans="1:25" x14ac:dyDescent="0.25">
      <c r="A932" s="75" t="str">
        <f t="shared" si="33"/>
        <v>Exclusiva PF Premier Mercado_Abierto Pago_Fijo_Puntual 10</v>
      </c>
      <c r="B932" s="75" t="str">
        <f t="shared" si="32"/>
        <v>Exclusiva PF Premier Mercado_Abierto Pago_Fijo_Puntual 10 0.0965</v>
      </c>
      <c r="C932" s="75" t="s">
        <v>116</v>
      </c>
      <c r="D932" s="75" t="s">
        <v>132</v>
      </c>
      <c r="E932" s="75" t="s">
        <v>143</v>
      </c>
      <c r="F932" s="75"/>
      <c r="G932" s="75" t="s">
        <v>396</v>
      </c>
      <c r="H932" s="75"/>
      <c r="I932" s="75" t="s">
        <v>171</v>
      </c>
      <c r="J932" s="76">
        <v>10</v>
      </c>
      <c r="K932" s="516" t="s">
        <v>385</v>
      </c>
      <c r="L932" s="517">
        <v>13.16</v>
      </c>
      <c r="M932" s="517">
        <v>13.82</v>
      </c>
      <c r="N932" s="518">
        <v>9.6500000000000002E-2</v>
      </c>
      <c r="O932" s="518">
        <v>9.1999999999999998E-2</v>
      </c>
      <c r="P932" s="518">
        <v>0.10249999999999999</v>
      </c>
      <c r="Q932" s="78">
        <v>0.44</v>
      </c>
      <c r="R932" s="78">
        <v>0.31740000000000002</v>
      </c>
      <c r="S932" s="69">
        <v>2.5000000000000001E-2</v>
      </c>
      <c r="T932" s="69">
        <v>0.01</v>
      </c>
      <c r="U932" s="518">
        <v>0.7</v>
      </c>
      <c r="V932" s="76">
        <v>0</v>
      </c>
      <c r="W932" s="76">
        <v>0</v>
      </c>
      <c r="X932" s="76"/>
      <c r="Y932" s="516" t="s">
        <v>470</v>
      </c>
    </row>
    <row r="933" spans="1:25" x14ac:dyDescent="0.25">
      <c r="A933" s="75" t="str">
        <f t="shared" si="33"/>
        <v>Exclusiva PF Premier Mercado_Abierto Pago_Fijo_Puntual 10</v>
      </c>
      <c r="B933" s="75" t="str">
        <f t="shared" si="32"/>
        <v>Exclusiva PF Premier Mercado_Abierto Pago_Fijo_Puntual 10 0.103</v>
      </c>
      <c r="C933" s="75" t="s">
        <v>116</v>
      </c>
      <c r="D933" s="75" t="s">
        <v>132</v>
      </c>
      <c r="E933" s="75" t="s">
        <v>143</v>
      </c>
      <c r="F933" s="75"/>
      <c r="G933" s="75" t="s">
        <v>396</v>
      </c>
      <c r="H933" s="75"/>
      <c r="I933" s="75" t="s">
        <v>171</v>
      </c>
      <c r="J933" s="76">
        <v>10</v>
      </c>
      <c r="K933" s="516" t="s">
        <v>386</v>
      </c>
      <c r="L933" s="517">
        <v>13.54</v>
      </c>
      <c r="M933" s="517">
        <v>14.2</v>
      </c>
      <c r="N933" s="518">
        <v>0.10299999999999999</v>
      </c>
      <c r="O933" s="518">
        <v>0.1</v>
      </c>
      <c r="P933" s="518">
        <v>0.112</v>
      </c>
      <c r="Q933" s="78">
        <v>0.44</v>
      </c>
      <c r="R933" s="78">
        <v>0.31740000000000002</v>
      </c>
      <c r="S933" s="69">
        <v>2.5000000000000001E-2</v>
      </c>
      <c r="T933" s="69">
        <v>0.01</v>
      </c>
      <c r="U933" s="518">
        <v>0.7</v>
      </c>
      <c r="V933" s="76">
        <v>0</v>
      </c>
      <c r="W933" s="76">
        <v>0</v>
      </c>
      <c r="X933" s="76"/>
      <c r="Y933" s="516" t="s">
        <v>470</v>
      </c>
    </row>
    <row r="934" spans="1:25" x14ac:dyDescent="0.25">
      <c r="A934" s="75" t="str">
        <f t="shared" si="33"/>
        <v>Exclusiva PF Premier Mercado_Abierto Pago_Fijo_Puntual 5</v>
      </c>
      <c r="B934" s="75" t="str">
        <f t="shared" si="32"/>
        <v>Exclusiva PF Premier Mercado_Abierto Pago_Fijo_Puntual 5 0.0965</v>
      </c>
      <c r="C934" s="75" t="s">
        <v>116</v>
      </c>
      <c r="D934" s="75" t="s">
        <v>132</v>
      </c>
      <c r="E934" s="75" t="s">
        <v>143</v>
      </c>
      <c r="F934" s="75"/>
      <c r="G934" s="75" t="s">
        <v>396</v>
      </c>
      <c r="H934" s="75"/>
      <c r="I934" s="75" t="s">
        <v>171</v>
      </c>
      <c r="J934" s="76">
        <v>5</v>
      </c>
      <c r="K934" s="516" t="s">
        <v>385</v>
      </c>
      <c r="L934" s="517">
        <v>21.12</v>
      </c>
      <c r="M934" s="517">
        <v>21.78</v>
      </c>
      <c r="N934" s="518">
        <v>9.6500000000000002E-2</v>
      </c>
      <c r="O934" s="518">
        <v>9.1999999999999998E-2</v>
      </c>
      <c r="P934" s="518">
        <v>0.10249999999999999</v>
      </c>
      <c r="Q934" s="78">
        <v>0.44</v>
      </c>
      <c r="R934" s="78">
        <v>0.31740000000000002</v>
      </c>
      <c r="S934" s="69">
        <v>2.5000000000000001E-2</v>
      </c>
      <c r="T934" s="69">
        <v>0.01</v>
      </c>
      <c r="U934" s="518">
        <v>0.7</v>
      </c>
      <c r="V934" s="76">
        <v>0</v>
      </c>
      <c r="W934" s="76">
        <v>0</v>
      </c>
      <c r="X934" s="76"/>
      <c r="Y934" s="516" t="s">
        <v>470</v>
      </c>
    </row>
    <row r="935" spans="1:25" x14ac:dyDescent="0.25">
      <c r="A935" s="75" t="str">
        <f t="shared" si="33"/>
        <v>Exclusiva PF Premier Mercado_Abierto Pago_Fijo_Puntual 5</v>
      </c>
      <c r="B935" s="75" t="str">
        <f t="shared" si="32"/>
        <v>Exclusiva PF Premier Mercado_Abierto Pago_Fijo_Puntual 5 0.103</v>
      </c>
      <c r="C935" s="75" t="s">
        <v>116</v>
      </c>
      <c r="D935" s="75" t="s">
        <v>132</v>
      </c>
      <c r="E935" s="75" t="s">
        <v>143</v>
      </c>
      <c r="F935" s="75"/>
      <c r="G935" s="75" t="s">
        <v>396</v>
      </c>
      <c r="H935" s="75"/>
      <c r="I935" s="75" t="s">
        <v>171</v>
      </c>
      <c r="J935" s="76">
        <v>5</v>
      </c>
      <c r="K935" s="516" t="s">
        <v>386</v>
      </c>
      <c r="L935" s="517">
        <v>21.44</v>
      </c>
      <c r="M935" s="517">
        <v>22.1</v>
      </c>
      <c r="N935" s="518">
        <v>0.10299999999999999</v>
      </c>
      <c r="O935" s="518">
        <v>0.1</v>
      </c>
      <c r="P935" s="518">
        <v>0.112</v>
      </c>
      <c r="Q935" s="78">
        <v>0.44</v>
      </c>
      <c r="R935" s="78">
        <v>0.31740000000000002</v>
      </c>
      <c r="S935" s="69">
        <v>2.5000000000000001E-2</v>
      </c>
      <c r="T935" s="69">
        <v>0.01</v>
      </c>
      <c r="U935" s="518">
        <v>0.7</v>
      </c>
      <c r="V935" s="76">
        <v>0</v>
      </c>
      <c r="W935" s="76">
        <v>0</v>
      </c>
      <c r="X935" s="76"/>
      <c r="Y935" s="516" t="s">
        <v>470</v>
      </c>
    </row>
    <row r="936" spans="1:25" x14ac:dyDescent="0.25">
      <c r="A936" s="75" t="str">
        <f t="shared" si="33"/>
        <v>Exclusiva PF Premier Mercado_Abierto Pago_Bajo_Puntual 25</v>
      </c>
      <c r="B936" s="75" t="str">
        <f t="shared" si="32"/>
        <v>Exclusiva PF Premier Mercado_Abierto Pago_Bajo_Puntual 25 0.0965</v>
      </c>
      <c r="C936" s="75" t="s">
        <v>116</v>
      </c>
      <c r="D936" s="75" t="s">
        <v>132</v>
      </c>
      <c r="E936" s="75" t="s">
        <v>143</v>
      </c>
      <c r="F936" s="75"/>
      <c r="G936" s="75" t="s">
        <v>396</v>
      </c>
      <c r="H936" s="75"/>
      <c r="I936" s="75" t="s">
        <v>170</v>
      </c>
      <c r="J936" s="523">
        <v>25</v>
      </c>
      <c r="K936" s="516" t="s">
        <v>385</v>
      </c>
      <c r="L936" s="517">
        <v>8.1</v>
      </c>
      <c r="M936" s="517">
        <v>8.76</v>
      </c>
      <c r="N936" s="518">
        <v>9.6500000000000002E-2</v>
      </c>
      <c r="O936" s="518">
        <v>9.1999999999999998E-2</v>
      </c>
      <c r="P936" s="518">
        <v>0.10249999999999999</v>
      </c>
      <c r="Q936" s="78">
        <v>0.44</v>
      </c>
      <c r="R936" s="78">
        <v>0.31740000000000002</v>
      </c>
      <c r="S936" s="69">
        <v>2.5000000000000001E-2</v>
      </c>
      <c r="T936" s="69">
        <v>0.01</v>
      </c>
      <c r="U936" s="518">
        <v>0.7</v>
      </c>
      <c r="V936" s="76">
        <v>0</v>
      </c>
      <c r="W936" s="76">
        <v>0</v>
      </c>
      <c r="X936" s="76"/>
      <c r="Y936" s="516" t="s">
        <v>470</v>
      </c>
    </row>
    <row r="937" spans="1:25" x14ac:dyDescent="0.25">
      <c r="A937" s="75" t="str">
        <f t="shared" si="33"/>
        <v>Exclusiva PF Premier Mercado_Abierto Pago_Bajo_Puntual 25</v>
      </c>
      <c r="B937" s="75" t="str">
        <f t="shared" si="32"/>
        <v>Exclusiva PF Premier Mercado_Abierto Pago_Bajo_Puntual 25 0.103</v>
      </c>
      <c r="C937" s="75" t="s">
        <v>116</v>
      </c>
      <c r="D937" s="75" t="s">
        <v>132</v>
      </c>
      <c r="E937" s="75" t="s">
        <v>143</v>
      </c>
      <c r="F937" s="75"/>
      <c r="G937" s="75" t="s">
        <v>396</v>
      </c>
      <c r="H937" s="75"/>
      <c r="I937" s="75" t="s">
        <v>170</v>
      </c>
      <c r="J937" s="523">
        <v>25</v>
      </c>
      <c r="K937" s="516" t="s">
        <v>386</v>
      </c>
      <c r="L937" s="517">
        <v>8.64</v>
      </c>
      <c r="M937" s="517">
        <v>9.3000000000000007</v>
      </c>
      <c r="N937" s="518">
        <v>0.10299999999999999</v>
      </c>
      <c r="O937" s="518">
        <v>0.1</v>
      </c>
      <c r="P937" s="518">
        <v>0.112</v>
      </c>
      <c r="Q937" s="78">
        <v>0.44</v>
      </c>
      <c r="R937" s="78">
        <v>0.31740000000000002</v>
      </c>
      <c r="S937" s="69">
        <v>2.5000000000000001E-2</v>
      </c>
      <c r="T937" s="69">
        <v>0.01</v>
      </c>
      <c r="U937" s="518">
        <v>0.7</v>
      </c>
      <c r="V937" s="76">
        <v>0</v>
      </c>
      <c r="W937" s="76">
        <v>0</v>
      </c>
      <c r="X937" s="76"/>
      <c r="Y937" s="516" t="s">
        <v>470</v>
      </c>
    </row>
    <row r="938" spans="1:25" x14ac:dyDescent="0.25">
      <c r="A938" s="75" t="str">
        <f t="shared" si="33"/>
        <v>Exclusiva PF Premier Mercado_Abierto Pago_Bajo_Puntual 20</v>
      </c>
      <c r="B938" s="75" t="str">
        <f t="shared" si="32"/>
        <v>Exclusiva PF Premier Mercado_Abierto Pago_Bajo_Puntual 20 0.0965</v>
      </c>
      <c r="C938" s="75" t="s">
        <v>116</v>
      </c>
      <c r="D938" s="75" t="s">
        <v>132</v>
      </c>
      <c r="E938" s="75" t="s">
        <v>143</v>
      </c>
      <c r="F938" s="75"/>
      <c r="G938" s="75" t="s">
        <v>396</v>
      </c>
      <c r="H938" s="75"/>
      <c r="I938" s="75" t="s">
        <v>170</v>
      </c>
      <c r="J938" s="76">
        <v>20</v>
      </c>
      <c r="K938" s="516" t="s">
        <v>385</v>
      </c>
      <c r="L938" s="517">
        <v>8.52</v>
      </c>
      <c r="M938" s="517">
        <v>9.18</v>
      </c>
      <c r="N938" s="518">
        <v>9.6500000000000002E-2</v>
      </c>
      <c r="O938" s="518">
        <v>9.1999999999999998E-2</v>
      </c>
      <c r="P938" s="518">
        <v>0.10249999999999999</v>
      </c>
      <c r="Q938" s="78">
        <v>0.44</v>
      </c>
      <c r="R938" s="78">
        <v>0.31740000000000002</v>
      </c>
      <c r="S938" s="69">
        <v>2.5000000000000001E-2</v>
      </c>
      <c r="T938" s="69">
        <v>0.01</v>
      </c>
      <c r="U938" s="518">
        <v>0.7</v>
      </c>
      <c r="V938" s="76">
        <v>0</v>
      </c>
      <c r="W938" s="76">
        <v>0</v>
      </c>
      <c r="X938" s="76"/>
      <c r="Y938" s="516" t="s">
        <v>470</v>
      </c>
    </row>
    <row r="939" spans="1:25" x14ac:dyDescent="0.25">
      <c r="A939" s="75" t="str">
        <f t="shared" si="33"/>
        <v>Exclusiva PF Premier Mercado_Abierto Pago_Bajo_Puntual 20</v>
      </c>
      <c r="B939" s="75" t="str">
        <f t="shared" si="32"/>
        <v>Exclusiva PF Premier Mercado_Abierto Pago_Bajo_Puntual 20 0.103</v>
      </c>
      <c r="C939" s="75" t="s">
        <v>116</v>
      </c>
      <c r="D939" s="75" t="s">
        <v>132</v>
      </c>
      <c r="E939" s="75" t="s">
        <v>143</v>
      </c>
      <c r="F939" s="75"/>
      <c r="G939" s="75" t="s">
        <v>396</v>
      </c>
      <c r="H939" s="75"/>
      <c r="I939" s="75" t="s">
        <v>170</v>
      </c>
      <c r="J939" s="76">
        <v>20</v>
      </c>
      <c r="K939" s="516" t="s">
        <v>386</v>
      </c>
      <c r="L939" s="517">
        <v>9</v>
      </c>
      <c r="M939" s="517">
        <v>9.66</v>
      </c>
      <c r="N939" s="518">
        <v>0.10299999999999999</v>
      </c>
      <c r="O939" s="518">
        <v>0.1</v>
      </c>
      <c r="P939" s="518">
        <v>0.112</v>
      </c>
      <c r="Q939" s="78">
        <v>0.44</v>
      </c>
      <c r="R939" s="78">
        <v>0.31740000000000002</v>
      </c>
      <c r="S939" s="69">
        <v>2.5000000000000001E-2</v>
      </c>
      <c r="T939" s="69">
        <v>0.01</v>
      </c>
      <c r="U939" s="518">
        <v>0.7</v>
      </c>
      <c r="V939" s="76">
        <v>0</v>
      </c>
      <c r="W939" s="76">
        <v>0</v>
      </c>
      <c r="X939" s="76"/>
      <c r="Y939" s="516" t="s">
        <v>470</v>
      </c>
    </row>
    <row r="940" spans="1:25" x14ac:dyDescent="0.25">
      <c r="A940" s="75" t="str">
        <f t="shared" si="33"/>
        <v>Exclusiva PF Premier Mercado_Abierto Pago_Bajo_Puntual 15</v>
      </c>
      <c r="B940" s="75" t="str">
        <f t="shared" si="32"/>
        <v>Exclusiva PF Premier Mercado_Abierto Pago_Bajo_Puntual 15 0.0965</v>
      </c>
      <c r="C940" s="75" t="s">
        <v>116</v>
      </c>
      <c r="D940" s="75" t="s">
        <v>132</v>
      </c>
      <c r="E940" s="75" t="s">
        <v>143</v>
      </c>
      <c r="F940" s="75"/>
      <c r="G940" s="75" t="s">
        <v>396</v>
      </c>
      <c r="H940" s="75"/>
      <c r="I940" s="75" t="s">
        <v>170</v>
      </c>
      <c r="J940" s="76">
        <v>15</v>
      </c>
      <c r="K940" s="516" t="s">
        <v>385</v>
      </c>
      <c r="L940" s="517">
        <v>9.6999999999999993</v>
      </c>
      <c r="M940" s="517">
        <v>10.36</v>
      </c>
      <c r="N940" s="518">
        <v>9.6500000000000002E-2</v>
      </c>
      <c r="O940" s="518">
        <v>9.1999999999999998E-2</v>
      </c>
      <c r="P940" s="518">
        <v>0.10249999999999999</v>
      </c>
      <c r="Q940" s="78">
        <v>0.44</v>
      </c>
      <c r="R940" s="78">
        <v>0.31740000000000002</v>
      </c>
      <c r="S940" s="69">
        <v>2.5000000000000001E-2</v>
      </c>
      <c r="T940" s="69">
        <v>0.01</v>
      </c>
      <c r="U940" s="518">
        <v>0.7</v>
      </c>
      <c r="V940" s="76">
        <v>0</v>
      </c>
      <c r="W940" s="76">
        <v>0</v>
      </c>
      <c r="X940" s="76"/>
      <c r="Y940" s="516" t="s">
        <v>470</v>
      </c>
    </row>
    <row r="941" spans="1:25" x14ac:dyDescent="0.25">
      <c r="A941" s="75" t="str">
        <f t="shared" si="33"/>
        <v>Exclusiva PF Premier Mercado_Abierto Pago_Bajo_Puntual 15</v>
      </c>
      <c r="B941" s="75" t="str">
        <f t="shared" si="32"/>
        <v>Exclusiva PF Premier Mercado_Abierto Pago_Bajo_Puntual 15 0.103</v>
      </c>
      <c r="C941" s="75" t="s">
        <v>116</v>
      </c>
      <c r="D941" s="75" t="s">
        <v>132</v>
      </c>
      <c r="E941" s="75" t="s">
        <v>143</v>
      </c>
      <c r="F941" s="75"/>
      <c r="G941" s="75" t="s">
        <v>396</v>
      </c>
      <c r="H941" s="75"/>
      <c r="I941" s="75" t="s">
        <v>170</v>
      </c>
      <c r="J941" s="76">
        <v>15</v>
      </c>
      <c r="K941" s="516" t="s">
        <v>386</v>
      </c>
      <c r="L941" s="517">
        <v>10.119999999999999</v>
      </c>
      <c r="M941" s="517">
        <v>10.78</v>
      </c>
      <c r="N941" s="518">
        <v>0.10299999999999999</v>
      </c>
      <c r="O941" s="518">
        <v>0.1</v>
      </c>
      <c r="P941" s="518">
        <v>0.112</v>
      </c>
      <c r="Q941" s="78">
        <v>0.44</v>
      </c>
      <c r="R941" s="78">
        <v>0.31740000000000002</v>
      </c>
      <c r="S941" s="69">
        <v>2.5000000000000001E-2</v>
      </c>
      <c r="T941" s="69">
        <v>0.01</v>
      </c>
      <c r="U941" s="518">
        <v>0.7</v>
      </c>
      <c r="V941" s="76">
        <v>0</v>
      </c>
      <c r="W941" s="76">
        <v>0</v>
      </c>
      <c r="X941" s="76"/>
      <c r="Y941" s="516" t="s">
        <v>470</v>
      </c>
    </row>
    <row r="942" spans="1:25" x14ac:dyDescent="0.25">
      <c r="A942" s="75" t="str">
        <f t="shared" si="33"/>
        <v>Exclusiva PF Premier Mercado_Abierto Pago_Bajo_Puntual 10</v>
      </c>
      <c r="B942" s="75" t="str">
        <f t="shared" si="32"/>
        <v>Exclusiva PF Premier Mercado_Abierto Pago_Bajo_Puntual 10 0.0965</v>
      </c>
      <c r="C942" s="75" t="s">
        <v>116</v>
      </c>
      <c r="D942" s="75" t="s">
        <v>132</v>
      </c>
      <c r="E942" s="75" t="s">
        <v>143</v>
      </c>
      <c r="F942" s="75"/>
      <c r="G942" s="75" t="s">
        <v>396</v>
      </c>
      <c r="H942" s="75"/>
      <c r="I942" s="75" t="s">
        <v>170</v>
      </c>
      <c r="J942" s="76">
        <v>10</v>
      </c>
      <c r="K942" s="516" t="s">
        <v>385</v>
      </c>
      <c r="L942" s="517">
        <v>12.25</v>
      </c>
      <c r="M942" s="517">
        <v>12.91</v>
      </c>
      <c r="N942" s="518">
        <v>9.6500000000000002E-2</v>
      </c>
      <c r="O942" s="518">
        <v>9.1999999999999998E-2</v>
      </c>
      <c r="P942" s="518">
        <v>0.10249999999999999</v>
      </c>
      <c r="Q942" s="78">
        <v>0.44</v>
      </c>
      <c r="R942" s="78">
        <v>0.31740000000000002</v>
      </c>
      <c r="S942" s="69">
        <v>2.5000000000000001E-2</v>
      </c>
      <c r="T942" s="69">
        <v>0.01</v>
      </c>
      <c r="U942" s="518">
        <v>0.7</v>
      </c>
      <c r="V942" s="76">
        <v>0</v>
      </c>
      <c r="W942" s="76">
        <v>0</v>
      </c>
      <c r="X942" s="76"/>
      <c r="Y942" s="516" t="s">
        <v>470</v>
      </c>
    </row>
    <row r="943" spans="1:25" x14ac:dyDescent="0.25">
      <c r="A943" s="75" t="str">
        <f t="shared" si="33"/>
        <v>Exclusiva PF Premier Mercado_Abierto Pago_Bajo_Puntual 10</v>
      </c>
      <c r="B943" s="75" t="str">
        <f t="shared" si="32"/>
        <v>Exclusiva PF Premier Mercado_Abierto Pago_Bajo_Puntual 10 0.103</v>
      </c>
      <c r="C943" s="75" t="s">
        <v>116</v>
      </c>
      <c r="D943" s="75" t="s">
        <v>132</v>
      </c>
      <c r="E943" s="75" t="s">
        <v>143</v>
      </c>
      <c r="F943" s="75"/>
      <c r="G943" s="75" t="s">
        <v>396</v>
      </c>
      <c r="H943" s="75"/>
      <c r="I943" s="75" t="s">
        <v>170</v>
      </c>
      <c r="J943" s="76">
        <v>10</v>
      </c>
      <c r="K943" s="516" t="s">
        <v>386</v>
      </c>
      <c r="L943" s="517">
        <v>12.62</v>
      </c>
      <c r="M943" s="517">
        <v>13.28</v>
      </c>
      <c r="N943" s="518">
        <v>0.10299999999999999</v>
      </c>
      <c r="O943" s="518">
        <v>0.1</v>
      </c>
      <c r="P943" s="518">
        <v>0.112</v>
      </c>
      <c r="Q943" s="78">
        <v>0.44</v>
      </c>
      <c r="R943" s="78">
        <v>0.31740000000000002</v>
      </c>
      <c r="S943" s="69">
        <v>2.5000000000000001E-2</v>
      </c>
      <c r="T943" s="69">
        <v>0.01</v>
      </c>
      <c r="U943" s="518">
        <v>0.7</v>
      </c>
      <c r="V943" s="76">
        <v>0</v>
      </c>
      <c r="W943" s="76">
        <v>0</v>
      </c>
      <c r="X943" s="76"/>
      <c r="Y943" s="516" t="s">
        <v>470</v>
      </c>
    </row>
    <row r="944" spans="1:25" x14ac:dyDescent="0.25">
      <c r="A944" s="75" t="str">
        <f t="shared" si="33"/>
        <v>Exclusiva PF Premier Mercado_Abierto Pago_Bajo_Puntual 5</v>
      </c>
      <c r="B944" s="75" t="str">
        <f t="shared" si="32"/>
        <v>Exclusiva PF Premier Mercado_Abierto Pago_Bajo_Puntual 5 0.0965</v>
      </c>
      <c r="C944" s="75" t="s">
        <v>116</v>
      </c>
      <c r="D944" s="75" t="s">
        <v>132</v>
      </c>
      <c r="E944" s="75" t="s">
        <v>143</v>
      </c>
      <c r="F944" s="75"/>
      <c r="G944" s="75" t="s">
        <v>396</v>
      </c>
      <c r="H944" s="75"/>
      <c r="I944" s="75" t="s">
        <v>170</v>
      </c>
      <c r="J944" s="76">
        <v>5</v>
      </c>
      <c r="K944" s="516" t="s">
        <v>385</v>
      </c>
      <c r="L944" s="517">
        <v>20.399999999999999</v>
      </c>
      <c r="M944" s="517">
        <v>21.06</v>
      </c>
      <c r="N944" s="518">
        <v>9.6500000000000002E-2</v>
      </c>
      <c r="O944" s="518">
        <v>9.1999999999999998E-2</v>
      </c>
      <c r="P944" s="518">
        <v>0.10249999999999999</v>
      </c>
      <c r="Q944" s="78">
        <v>0.44</v>
      </c>
      <c r="R944" s="78">
        <v>0.31740000000000002</v>
      </c>
      <c r="S944" s="69">
        <v>2.5000000000000001E-2</v>
      </c>
      <c r="T944" s="69">
        <v>0.01</v>
      </c>
      <c r="U944" s="518">
        <v>0.7</v>
      </c>
      <c r="V944" s="76">
        <v>0</v>
      </c>
      <c r="W944" s="76">
        <v>0</v>
      </c>
      <c r="X944" s="76"/>
      <c r="Y944" s="516" t="s">
        <v>470</v>
      </c>
    </row>
    <row r="945" spans="1:25" x14ac:dyDescent="0.25">
      <c r="A945" s="75" t="str">
        <f t="shared" si="33"/>
        <v>Exclusiva PF Premier Mercado_Abierto Pago_Bajo_Puntual 5</v>
      </c>
      <c r="B945" s="75" t="str">
        <f t="shared" si="32"/>
        <v>Exclusiva PF Premier Mercado_Abierto Pago_Bajo_Puntual 5 0.103</v>
      </c>
      <c r="C945" s="75" t="s">
        <v>116</v>
      </c>
      <c r="D945" s="75" t="s">
        <v>132</v>
      </c>
      <c r="E945" s="75" t="s">
        <v>143</v>
      </c>
      <c r="F945" s="75"/>
      <c r="G945" s="75" t="s">
        <v>396</v>
      </c>
      <c r="H945" s="75"/>
      <c r="I945" s="75" t="s">
        <v>170</v>
      </c>
      <c r="J945" s="76">
        <v>5</v>
      </c>
      <c r="K945" s="516" t="s">
        <v>386</v>
      </c>
      <c r="L945" s="517">
        <v>20.72</v>
      </c>
      <c r="M945" s="517">
        <v>21.38</v>
      </c>
      <c r="N945" s="518">
        <v>0.10299999999999999</v>
      </c>
      <c r="O945" s="518">
        <v>0.1</v>
      </c>
      <c r="P945" s="518">
        <v>0.112</v>
      </c>
      <c r="Q945" s="78">
        <v>0.44</v>
      </c>
      <c r="R945" s="78">
        <v>0.31740000000000002</v>
      </c>
      <c r="S945" s="69">
        <v>2.5000000000000001E-2</v>
      </c>
      <c r="T945" s="69">
        <v>0.01</v>
      </c>
      <c r="U945" s="518">
        <v>0.7</v>
      </c>
      <c r="V945" s="76">
        <v>0</v>
      </c>
      <c r="W945" s="76">
        <v>0</v>
      </c>
      <c r="X945" s="76"/>
      <c r="Y945" s="516" t="s">
        <v>470</v>
      </c>
    </row>
    <row r="946" spans="1:25" x14ac:dyDescent="0.25">
      <c r="A946" s="75" t="str">
        <f t="shared" si="33"/>
        <v>Exclusiva PFAE No_Premier Normal Mercado_Abierto Pago_Fijo_Puntual Si 25</v>
      </c>
      <c r="B946" s="75" t="str">
        <f t="shared" si="32"/>
        <v>Exclusiva PFAE No_Premier Normal Mercado_Abierto Pago_Fijo_Puntual Si 25 0.103</v>
      </c>
      <c r="C946" s="75" t="s">
        <v>116</v>
      </c>
      <c r="D946" s="75" t="s">
        <v>168</v>
      </c>
      <c r="E946" s="75" t="s">
        <v>179</v>
      </c>
      <c r="F946" s="75" t="s">
        <v>180</v>
      </c>
      <c r="G946" s="75" t="s">
        <v>396</v>
      </c>
      <c r="H946" s="75"/>
      <c r="I946" s="75" t="s">
        <v>171</v>
      </c>
      <c r="J946" s="76">
        <v>25</v>
      </c>
      <c r="K946" s="519" t="s">
        <v>387</v>
      </c>
      <c r="L946" s="520">
        <v>9.65</v>
      </c>
      <c r="M946" s="520">
        <v>10.31</v>
      </c>
      <c r="N946" s="507">
        <v>0.10299999999999999</v>
      </c>
      <c r="O946" s="507">
        <v>0.1</v>
      </c>
      <c r="P946" s="507">
        <v>0.112</v>
      </c>
      <c r="Q946" s="78">
        <v>0.44</v>
      </c>
      <c r="R946" s="78">
        <v>0.31740000000000002</v>
      </c>
      <c r="S946" s="69">
        <v>2.5000000000000001E-2</v>
      </c>
      <c r="T946" s="69">
        <v>0.01</v>
      </c>
      <c r="U946" s="507">
        <v>0.85</v>
      </c>
      <c r="V946" s="76">
        <v>0</v>
      </c>
      <c r="W946" s="76">
        <v>0</v>
      </c>
      <c r="X946" s="76" t="s">
        <v>147</v>
      </c>
      <c r="Y946" s="519" t="s">
        <v>469</v>
      </c>
    </row>
    <row r="947" spans="1:25" x14ac:dyDescent="0.25">
      <c r="A947" s="75" t="str">
        <f t="shared" si="33"/>
        <v>Exclusiva PFAE No_Premier Normal Mercado_Abierto Pago_Fijo_Puntual Si 20</v>
      </c>
      <c r="B947" s="75" t="str">
        <f t="shared" si="32"/>
        <v>Exclusiva PFAE No_Premier Normal Mercado_Abierto Pago_Fijo_Puntual Si 20 0.103</v>
      </c>
      <c r="C947" s="75" t="s">
        <v>116</v>
      </c>
      <c r="D947" s="75" t="s">
        <v>168</v>
      </c>
      <c r="E947" s="75" t="s">
        <v>179</v>
      </c>
      <c r="F947" s="75" t="s">
        <v>180</v>
      </c>
      <c r="G947" s="75" t="s">
        <v>396</v>
      </c>
      <c r="H947" s="75"/>
      <c r="I947" s="75" t="s">
        <v>171</v>
      </c>
      <c r="J947" s="76">
        <v>20</v>
      </c>
      <c r="K947" s="519" t="s">
        <v>387</v>
      </c>
      <c r="L947" s="520">
        <v>10.16</v>
      </c>
      <c r="M947" s="520">
        <v>10.82</v>
      </c>
      <c r="N947" s="507">
        <v>0.10299999999999999</v>
      </c>
      <c r="O947" s="507">
        <v>0.1</v>
      </c>
      <c r="P947" s="507">
        <v>0.112</v>
      </c>
      <c r="Q947" s="78">
        <v>0.44</v>
      </c>
      <c r="R947" s="78">
        <v>0.31740000000000002</v>
      </c>
      <c r="S947" s="69">
        <v>2.5000000000000001E-2</v>
      </c>
      <c r="T947" s="69">
        <v>0.01</v>
      </c>
      <c r="U947" s="507">
        <v>0.85</v>
      </c>
      <c r="V947" s="76">
        <v>0</v>
      </c>
      <c r="W947" s="76">
        <v>0</v>
      </c>
      <c r="X947" s="76" t="s">
        <v>147</v>
      </c>
      <c r="Y947" s="519" t="s">
        <v>469</v>
      </c>
    </row>
    <row r="948" spans="1:25" x14ac:dyDescent="0.25">
      <c r="A948" s="75" t="str">
        <f t="shared" si="33"/>
        <v>Exclusiva PFAE No_Premier Normal Mercado_Abierto Pago_Fijo_Puntual Si 15</v>
      </c>
      <c r="B948" s="75" t="str">
        <f t="shared" si="32"/>
        <v>Exclusiva PFAE No_Premier Normal Mercado_Abierto Pago_Fijo_Puntual Si 15 0.103</v>
      </c>
      <c r="C948" s="75" t="s">
        <v>116</v>
      </c>
      <c r="D948" s="75" t="s">
        <v>168</v>
      </c>
      <c r="E948" s="75" t="s">
        <v>179</v>
      </c>
      <c r="F948" s="75" t="s">
        <v>180</v>
      </c>
      <c r="G948" s="75" t="s">
        <v>396</v>
      </c>
      <c r="H948" s="75"/>
      <c r="I948" s="75" t="s">
        <v>171</v>
      </c>
      <c r="J948" s="76">
        <v>15</v>
      </c>
      <c r="K948" s="519" t="s">
        <v>387</v>
      </c>
      <c r="L948" s="520">
        <v>11.18</v>
      </c>
      <c r="M948" s="520">
        <v>11.84</v>
      </c>
      <c r="N948" s="507">
        <v>0.10299999999999999</v>
      </c>
      <c r="O948" s="507">
        <v>0.1</v>
      </c>
      <c r="P948" s="507">
        <v>0.112</v>
      </c>
      <c r="Q948" s="78">
        <v>0.44</v>
      </c>
      <c r="R948" s="78">
        <v>0.31740000000000002</v>
      </c>
      <c r="S948" s="69">
        <v>2.5000000000000001E-2</v>
      </c>
      <c r="T948" s="69">
        <v>0.01</v>
      </c>
      <c r="U948" s="507">
        <v>0.85</v>
      </c>
      <c r="V948" s="76">
        <v>0</v>
      </c>
      <c r="W948" s="76">
        <v>0</v>
      </c>
      <c r="X948" s="76" t="s">
        <v>147</v>
      </c>
      <c r="Y948" s="519" t="s">
        <v>469</v>
      </c>
    </row>
    <row r="949" spans="1:25" x14ac:dyDescent="0.25">
      <c r="A949" s="75" t="str">
        <f t="shared" si="33"/>
        <v>Exclusiva PFAE No_Premier Normal Mercado_Abierto Pago_Fijo_Puntual Si 10</v>
      </c>
      <c r="B949" s="75" t="str">
        <f t="shared" si="32"/>
        <v>Exclusiva PFAE No_Premier Normal Mercado_Abierto Pago_Fijo_Puntual Si 10 0.103</v>
      </c>
      <c r="C949" s="75" t="s">
        <v>116</v>
      </c>
      <c r="D949" s="75" t="s">
        <v>168</v>
      </c>
      <c r="E949" s="75" t="s">
        <v>179</v>
      </c>
      <c r="F949" s="75" t="s">
        <v>180</v>
      </c>
      <c r="G949" s="75" t="s">
        <v>396</v>
      </c>
      <c r="H949" s="75"/>
      <c r="I949" s="75" t="s">
        <v>171</v>
      </c>
      <c r="J949" s="76">
        <v>10</v>
      </c>
      <c r="K949" s="519" t="s">
        <v>387</v>
      </c>
      <c r="L949" s="520">
        <v>13.54</v>
      </c>
      <c r="M949" s="520">
        <v>14.2</v>
      </c>
      <c r="N949" s="507">
        <v>0.10299999999999999</v>
      </c>
      <c r="O949" s="507">
        <v>0.1</v>
      </c>
      <c r="P949" s="507">
        <v>0.112</v>
      </c>
      <c r="Q949" s="78">
        <v>0.44</v>
      </c>
      <c r="R949" s="78">
        <v>0.31740000000000002</v>
      </c>
      <c r="S949" s="69">
        <v>2.5000000000000001E-2</v>
      </c>
      <c r="T949" s="69">
        <v>0.01</v>
      </c>
      <c r="U949" s="507">
        <v>0.85</v>
      </c>
      <c r="V949" s="76">
        <v>0</v>
      </c>
      <c r="W949" s="76">
        <v>0</v>
      </c>
      <c r="X949" s="76" t="s">
        <v>147</v>
      </c>
      <c r="Y949" s="519" t="s">
        <v>469</v>
      </c>
    </row>
    <row r="950" spans="1:25" x14ac:dyDescent="0.25">
      <c r="A950" s="75" t="str">
        <f t="shared" si="33"/>
        <v>Exclusiva PFAE No_Premier Normal Mercado_Abierto Pago_Fijo_Puntual Si 5</v>
      </c>
      <c r="B950" s="75" t="str">
        <f t="shared" si="32"/>
        <v>Exclusiva PFAE No_Premier Normal Mercado_Abierto Pago_Fijo_Puntual Si 5 0.103</v>
      </c>
      <c r="C950" s="75" t="s">
        <v>116</v>
      </c>
      <c r="D950" s="75" t="s">
        <v>168</v>
      </c>
      <c r="E950" s="75" t="s">
        <v>179</v>
      </c>
      <c r="F950" s="75" t="s">
        <v>180</v>
      </c>
      <c r="G950" s="75" t="s">
        <v>396</v>
      </c>
      <c r="H950" s="75"/>
      <c r="I950" s="75" t="s">
        <v>171</v>
      </c>
      <c r="J950" s="76">
        <v>5</v>
      </c>
      <c r="K950" s="519" t="s">
        <v>387</v>
      </c>
      <c r="L950" s="520">
        <v>21.44</v>
      </c>
      <c r="M950" s="520">
        <v>22.1</v>
      </c>
      <c r="N950" s="507">
        <v>0.10299999999999999</v>
      </c>
      <c r="O950" s="507">
        <v>0.1</v>
      </c>
      <c r="P950" s="507">
        <v>0.112</v>
      </c>
      <c r="Q950" s="78">
        <v>0.44</v>
      </c>
      <c r="R950" s="78">
        <v>0.31740000000000002</v>
      </c>
      <c r="S950" s="69">
        <v>2.5000000000000001E-2</v>
      </c>
      <c r="T950" s="69">
        <v>0.01</v>
      </c>
      <c r="U950" s="507">
        <v>0.85</v>
      </c>
      <c r="V950" s="76">
        <v>0</v>
      </c>
      <c r="W950" s="76">
        <v>0</v>
      </c>
      <c r="X950" s="76" t="s">
        <v>147</v>
      </c>
      <c r="Y950" s="519" t="s">
        <v>469</v>
      </c>
    </row>
    <row r="951" spans="1:25" x14ac:dyDescent="0.25">
      <c r="A951" s="75" t="str">
        <f t="shared" si="33"/>
        <v>Exclusiva PFAE No_Premier Normal Mercado_Abierto Pago_Bajo_Puntual Si 25</v>
      </c>
      <c r="B951" s="75" t="str">
        <f t="shared" si="32"/>
        <v>Exclusiva PFAE No_Premier Normal Mercado_Abierto Pago_Bajo_Puntual Si 25 0.103</v>
      </c>
      <c r="C951" s="75" t="s">
        <v>116</v>
      </c>
      <c r="D951" s="75" t="s">
        <v>168</v>
      </c>
      <c r="E951" s="75" t="s">
        <v>179</v>
      </c>
      <c r="F951" s="75" t="s">
        <v>180</v>
      </c>
      <c r="G951" s="75" t="s">
        <v>396</v>
      </c>
      <c r="H951" s="75"/>
      <c r="I951" s="75" t="s">
        <v>170</v>
      </c>
      <c r="J951" s="523">
        <v>25</v>
      </c>
      <c r="K951" s="519" t="s">
        <v>387</v>
      </c>
      <c r="L951" s="525">
        <v>8.64</v>
      </c>
      <c r="M951" s="525">
        <v>9.3000000000000007</v>
      </c>
      <c r="N951" s="507">
        <v>0.10299999999999999</v>
      </c>
      <c r="O951" s="507">
        <v>0.1</v>
      </c>
      <c r="P951" s="507">
        <v>0.112</v>
      </c>
      <c r="Q951" s="78">
        <v>0.44</v>
      </c>
      <c r="R951" s="78">
        <v>0.31740000000000002</v>
      </c>
      <c r="S951" s="69">
        <v>2.5000000000000001E-2</v>
      </c>
      <c r="T951" s="69">
        <v>0.01</v>
      </c>
      <c r="U951" s="507">
        <v>0.85</v>
      </c>
      <c r="V951" s="76">
        <v>0</v>
      </c>
      <c r="W951" s="76">
        <v>0</v>
      </c>
      <c r="X951" s="76" t="s">
        <v>147</v>
      </c>
      <c r="Y951" s="519" t="s">
        <v>469</v>
      </c>
    </row>
    <row r="952" spans="1:25" x14ac:dyDescent="0.25">
      <c r="A952" s="75" t="str">
        <f t="shared" si="33"/>
        <v>Exclusiva PFAE No_Premier Normal Mercado_Abierto Pago_Bajo_Puntual Si 20</v>
      </c>
      <c r="B952" s="75" t="str">
        <f t="shared" si="32"/>
        <v>Exclusiva PFAE No_Premier Normal Mercado_Abierto Pago_Bajo_Puntual Si 20 0.103</v>
      </c>
      <c r="C952" s="75" t="s">
        <v>116</v>
      </c>
      <c r="D952" s="75" t="s">
        <v>168</v>
      </c>
      <c r="E952" s="75" t="s">
        <v>179</v>
      </c>
      <c r="F952" s="75" t="s">
        <v>180</v>
      </c>
      <c r="G952" s="75" t="s">
        <v>396</v>
      </c>
      <c r="H952" s="75"/>
      <c r="I952" s="75" t="s">
        <v>170</v>
      </c>
      <c r="J952" s="76">
        <v>20</v>
      </c>
      <c r="K952" s="519" t="s">
        <v>387</v>
      </c>
      <c r="L952" s="520">
        <v>9</v>
      </c>
      <c r="M952" s="520">
        <v>9.66</v>
      </c>
      <c r="N952" s="507">
        <v>0.10299999999999999</v>
      </c>
      <c r="O952" s="507">
        <v>0.1</v>
      </c>
      <c r="P952" s="507">
        <v>0.112</v>
      </c>
      <c r="Q952" s="78">
        <v>0.44</v>
      </c>
      <c r="R952" s="78">
        <v>0.31740000000000002</v>
      </c>
      <c r="S952" s="69">
        <v>2.5000000000000001E-2</v>
      </c>
      <c r="T952" s="69">
        <v>0.01</v>
      </c>
      <c r="U952" s="507">
        <v>0.85</v>
      </c>
      <c r="V952" s="76">
        <v>0</v>
      </c>
      <c r="W952" s="76">
        <v>0</v>
      </c>
      <c r="X952" s="76" t="s">
        <v>147</v>
      </c>
      <c r="Y952" s="519" t="s">
        <v>469</v>
      </c>
    </row>
    <row r="953" spans="1:25" x14ac:dyDescent="0.25">
      <c r="A953" s="75" t="str">
        <f t="shared" si="33"/>
        <v>Exclusiva PFAE No_Premier Normal Mercado_Abierto Pago_Bajo_Puntual Si 15</v>
      </c>
      <c r="B953" s="75" t="str">
        <f t="shared" si="32"/>
        <v>Exclusiva PFAE No_Premier Normal Mercado_Abierto Pago_Bajo_Puntual Si 15 0.103</v>
      </c>
      <c r="C953" s="75" t="s">
        <v>116</v>
      </c>
      <c r="D953" s="75" t="s">
        <v>168</v>
      </c>
      <c r="E953" s="75" t="s">
        <v>179</v>
      </c>
      <c r="F953" s="75" t="s">
        <v>180</v>
      </c>
      <c r="G953" s="75" t="s">
        <v>396</v>
      </c>
      <c r="H953" s="75"/>
      <c r="I953" s="75" t="s">
        <v>170</v>
      </c>
      <c r="J953" s="76">
        <v>15</v>
      </c>
      <c r="K953" s="519" t="s">
        <v>387</v>
      </c>
      <c r="L953" s="520">
        <v>10.119999999999999</v>
      </c>
      <c r="M953" s="520">
        <v>10.78</v>
      </c>
      <c r="N953" s="507">
        <v>0.10299999999999999</v>
      </c>
      <c r="O953" s="507">
        <v>0.1</v>
      </c>
      <c r="P953" s="507">
        <v>0.112</v>
      </c>
      <c r="Q953" s="78">
        <v>0.44</v>
      </c>
      <c r="R953" s="78">
        <v>0.31740000000000002</v>
      </c>
      <c r="S953" s="69">
        <v>2.5000000000000001E-2</v>
      </c>
      <c r="T953" s="69">
        <v>0.01</v>
      </c>
      <c r="U953" s="507">
        <v>0.85</v>
      </c>
      <c r="V953" s="76">
        <v>0</v>
      </c>
      <c r="W953" s="76">
        <v>0</v>
      </c>
      <c r="X953" s="76" t="s">
        <v>147</v>
      </c>
      <c r="Y953" s="519" t="s">
        <v>469</v>
      </c>
    </row>
    <row r="954" spans="1:25" x14ac:dyDescent="0.25">
      <c r="A954" s="75" t="str">
        <f t="shared" si="33"/>
        <v>Exclusiva PFAE No_Premier Normal Mercado_Abierto Pago_Bajo_Puntual Si 10</v>
      </c>
      <c r="B954" s="75" t="str">
        <f t="shared" si="32"/>
        <v>Exclusiva PFAE No_Premier Normal Mercado_Abierto Pago_Bajo_Puntual Si 10 0.103</v>
      </c>
      <c r="C954" s="75" t="s">
        <v>116</v>
      </c>
      <c r="D954" s="75" t="s">
        <v>168</v>
      </c>
      <c r="E954" s="75" t="s">
        <v>179</v>
      </c>
      <c r="F954" s="75" t="s">
        <v>180</v>
      </c>
      <c r="G954" s="75" t="s">
        <v>396</v>
      </c>
      <c r="H954" s="75"/>
      <c r="I954" s="75" t="s">
        <v>170</v>
      </c>
      <c r="J954" s="76">
        <v>10</v>
      </c>
      <c r="K954" s="519" t="s">
        <v>387</v>
      </c>
      <c r="L954" s="520">
        <v>12.62</v>
      </c>
      <c r="M954" s="520">
        <v>13.28</v>
      </c>
      <c r="N954" s="507">
        <v>0.10299999999999999</v>
      </c>
      <c r="O954" s="507">
        <v>0.1</v>
      </c>
      <c r="P954" s="507">
        <v>0.112</v>
      </c>
      <c r="Q954" s="78">
        <v>0.44</v>
      </c>
      <c r="R954" s="78">
        <v>0.31740000000000002</v>
      </c>
      <c r="S954" s="69">
        <v>2.5000000000000001E-2</v>
      </c>
      <c r="T954" s="69">
        <v>0.01</v>
      </c>
      <c r="U954" s="507">
        <v>0.85</v>
      </c>
      <c r="V954" s="76">
        <v>0</v>
      </c>
      <c r="W954" s="76">
        <v>0</v>
      </c>
      <c r="X954" s="76" t="s">
        <v>147</v>
      </c>
      <c r="Y954" s="519" t="s">
        <v>469</v>
      </c>
    </row>
    <row r="955" spans="1:25" x14ac:dyDescent="0.25">
      <c r="A955" s="75" t="str">
        <f t="shared" si="33"/>
        <v>Exclusiva PFAE No_Premier Normal Mercado_Abierto Pago_Bajo_Puntual Si 5</v>
      </c>
      <c r="B955" s="75" t="str">
        <f t="shared" si="32"/>
        <v>Exclusiva PFAE No_Premier Normal Mercado_Abierto Pago_Bajo_Puntual Si 5 0.103</v>
      </c>
      <c r="C955" s="75" t="s">
        <v>116</v>
      </c>
      <c r="D955" s="75" t="s">
        <v>168</v>
      </c>
      <c r="E955" s="75" t="s">
        <v>179</v>
      </c>
      <c r="F955" s="75" t="s">
        <v>180</v>
      </c>
      <c r="G955" s="75" t="s">
        <v>396</v>
      </c>
      <c r="H955" s="75"/>
      <c r="I955" s="75" t="s">
        <v>170</v>
      </c>
      <c r="J955" s="76">
        <v>5</v>
      </c>
      <c r="K955" s="519" t="s">
        <v>387</v>
      </c>
      <c r="L955" s="520">
        <v>20.72</v>
      </c>
      <c r="M955" s="520">
        <v>21.38</v>
      </c>
      <c r="N955" s="507">
        <v>0.10299999999999999</v>
      </c>
      <c r="O955" s="507">
        <v>0.1</v>
      </c>
      <c r="P955" s="507">
        <v>0.112</v>
      </c>
      <c r="Q955" s="78">
        <v>0.44</v>
      </c>
      <c r="R955" s="78">
        <v>0.31740000000000002</v>
      </c>
      <c r="S955" s="69">
        <v>2.5000000000000001E-2</v>
      </c>
      <c r="T955" s="69">
        <v>0.01</v>
      </c>
      <c r="U955" s="507">
        <v>0.85</v>
      </c>
      <c r="V955" s="76">
        <v>0</v>
      </c>
      <c r="W955" s="76">
        <v>0</v>
      </c>
      <c r="X955" s="76" t="s">
        <v>147</v>
      </c>
      <c r="Y955" s="519" t="s">
        <v>469</v>
      </c>
    </row>
    <row r="956" spans="1:25" x14ac:dyDescent="0.25">
      <c r="A956" s="75" t="str">
        <f t="shared" si="33"/>
        <v>Exclusiva PFAE No_Premier Normal Mercado_Abierto Pago_Fijo_Puntual 25</v>
      </c>
      <c r="B956" s="75" t="str">
        <f t="shared" si="32"/>
        <v>Exclusiva PFAE No_Premier Normal Mercado_Abierto Pago_Fijo_Puntual 25 0.0965</v>
      </c>
      <c r="C956" s="75" t="s">
        <v>116</v>
      </c>
      <c r="D956" s="75" t="s">
        <v>168</v>
      </c>
      <c r="E956" s="75" t="s">
        <v>179</v>
      </c>
      <c r="F956" s="75" t="s">
        <v>180</v>
      </c>
      <c r="G956" s="75" t="s">
        <v>396</v>
      </c>
      <c r="H956" s="75"/>
      <c r="I956" s="75" t="s">
        <v>171</v>
      </c>
      <c r="J956" s="76">
        <v>25</v>
      </c>
      <c r="K956" s="516" t="s">
        <v>385</v>
      </c>
      <c r="L956" s="517">
        <v>9.11</v>
      </c>
      <c r="M956" s="517">
        <v>9.77</v>
      </c>
      <c r="N956" s="518">
        <v>9.6500000000000002E-2</v>
      </c>
      <c r="O956" s="518">
        <v>9.1999999999999998E-2</v>
      </c>
      <c r="P956" s="518">
        <v>0.10249999999999999</v>
      </c>
      <c r="Q956" s="78">
        <v>0.44</v>
      </c>
      <c r="R956" s="78">
        <v>0.31740000000000002</v>
      </c>
      <c r="S956" s="69">
        <v>2.5000000000000001E-2</v>
      </c>
      <c r="T956" s="69">
        <v>0.01</v>
      </c>
      <c r="U956" s="518">
        <v>0.7</v>
      </c>
      <c r="V956" s="76">
        <v>0</v>
      </c>
      <c r="W956" s="76">
        <v>0</v>
      </c>
      <c r="X956" s="76"/>
      <c r="Y956" s="516" t="s">
        <v>470</v>
      </c>
    </row>
    <row r="957" spans="1:25" x14ac:dyDescent="0.25">
      <c r="A957" s="75" t="str">
        <f t="shared" si="33"/>
        <v>Exclusiva PFAE No_Premier Normal Mercado_Abierto Pago_Fijo_Puntual 25</v>
      </c>
      <c r="B957" s="75" t="str">
        <f t="shared" si="32"/>
        <v>Exclusiva PFAE No_Premier Normal Mercado_Abierto Pago_Fijo_Puntual 25 0.103</v>
      </c>
      <c r="C957" s="75" t="s">
        <v>116</v>
      </c>
      <c r="D957" s="75" t="s">
        <v>168</v>
      </c>
      <c r="E957" s="75" t="s">
        <v>179</v>
      </c>
      <c r="F957" s="75" t="s">
        <v>180</v>
      </c>
      <c r="G957" s="75" t="s">
        <v>396</v>
      </c>
      <c r="H957" s="75"/>
      <c r="I957" s="75" t="s">
        <v>171</v>
      </c>
      <c r="J957" s="76">
        <v>25</v>
      </c>
      <c r="K957" s="516" t="s">
        <v>386</v>
      </c>
      <c r="L957" s="517">
        <v>9.65</v>
      </c>
      <c r="M957" s="517">
        <v>10.31</v>
      </c>
      <c r="N957" s="518">
        <v>0.10299999999999999</v>
      </c>
      <c r="O957" s="518">
        <v>0.1</v>
      </c>
      <c r="P957" s="518">
        <v>0.112</v>
      </c>
      <c r="Q957" s="78">
        <v>0.44</v>
      </c>
      <c r="R957" s="78">
        <v>0.31740000000000002</v>
      </c>
      <c r="S957" s="69">
        <v>2.5000000000000001E-2</v>
      </c>
      <c r="T957" s="69">
        <v>0.01</v>
      </c>
      <c r="U957" s="518">
        <v>0.7</v>
      </c>
      <c r="V957" s="76">
        <v>0</v>
      </c>
      <c r="W957" s="76">
        <v>0</v>
      </c>
      <c r="X957" s="76"/>
      <c r="Y957" s="516" t="s">
        <v>470</v>
      </c>
    </row>
    <row r="958" spans="1:25" x14ac:dyDescent="0.25">
      <c r="A958" s="75" t="str">
        <f t="shared" si="33"/>
        <v>Exclusiva PFAE No_Premier Normal Mercado_Abierto Pago_Fijo_Puntual 20</v>
      </c>
      <c r="B958" s="75" t="str">
        <f t="shared" si="32"/>
        <v>Exclusiva PFAE No_Premier Normal Mercado_Abierto Pago_Fijo_Puntual 20 0.0965</v>
      </c>
      <c r="C958" s="75" t="s">
        <v>116</v>
      </c>
      <c r="D958" s="75" t="s">
        <v>168</v>
      </c>
      <c r="E958" s="75" t="s">
        <v>179</v>
      </c>
      <c r="F958" s="75" t="s">
        <v>180</v>
      </c>
      <c r="G958" s="75" t="s">
        <v>396</v>
      </c>
      <c r="H958" s="75"/>
      <c r="I958" s="75" t="s">
        <v>171</v>
      </c>
      <c r="J958" s="76">
        <v>20</v>
      </c>
      <c r="K958" s="516" t="s">
        <v>385</v>
      </c>
      <c r="L958" s="517">
        <v>9.66</v>
      </c>
      <c r="M958" s="517">
        <v>10.32</v>
      </c>
      <c r="N958" s="518">
        <v>9.6500000000000002E-2</v>
      </c>
      <c r="O958" s="518">
        <v>9.1999999999999998E-2</v>
      </c>
      <c r="P958" s="518">
        <v>0.10249999999999999</v>
      </c>
      <c r="Q958" s="78">
        <v>0.44</v>
      </c>
      <c r="R958" s="78">
        <v>0.31740000000000002</v>
      </c>
      <c r="S958" s="69">
        <v>2.5000000000000001E-2</v>
      </c>
      <c r="T958" s="69">
        <v>0.01</v>
      </c>
      <c r="U958" s="518">
        <v>0.7</v>
      </c>
      <c r="V958" s="76">
        <v>0</v>
      </c>
      <c r="W958" s="76">
        <v>0</v>
      </c>
      <c r="X958" s="76"/>
      <c r="Y958" s="516" t="s">
        <v>470</v>
      </c>
    </row>
    <row r="959" spans="1:25" x14ac:dyDescent="0.25">
      <c r="A959" s="75" t="str">
        <f t="shared" si="33"/>
        <v>Exclusiva PFAE No_Premier Normal Mercado_Abierto Pago_Fijo_Puntual 20</v>
      </c>
      <c r="B959" s="75" t="str">
        <f t="shared" si="32"/>
        <v>Exclusiva PFAE No_Premier Normal Mercado_Abierto Pago_Fijo_Puntual 20 0.103</v>
      </c>
      <c r="C959" s="75" t="s">
        <v>116</v>
      </c>
      <c r="D959" s="75" t="s">
        <v>168</v>
      </c>
      <c r="E959" s="75" t="s">
        <v>179</v>
      </c>
      <c r="F959" s="75" t="s">
        <v>180</v>
      </c>
      <c r="G959" s="75" t="s">
        <v>396</v>
      </c>
      <c r="H959" s="75"/>
      <c r="I959" s="75" t="s">
        <v>171</v>
      </c>
      <c r="J959" s="76">
        <v>20</v>
      </c>
      <c r="K959" s="516" t="s">
        <v>386</v>
      </c>
      <c r="L959" s="517">
        <v>10.16</v>
      </c>
      <c r="M959" s="517">
        <v>10.82</v>
      </c>
      <c r="N959" s="518">
        <v>0.10299999999999999</v>
      </c>
      <c r="O959" s="518">
        <v>0.1</v>
      </c>
      <c r="P959" s="518">
        <v>0.112</v>
      </c>
      <c r="Q959" s="78">
        <v>0.44</v>
      </c>
      <c r="R959" s="78">
        <v>0.31740000000000002</v>
      </c>
      <c r="S959" s="69">
        <v>2.5000000000000001E-2</v>
      </c>
      <c r="T959" s="69">
        <v>0.01</v>
      </c>
      <c r="U959" s="518">
        <v>0.7</v>
      </c>
      <c r="V959" s="76">
        <v>0</v>
      </c>
      <c r="W959" s="76">
        <v>0</v>
      </c>
      <c r="X959" s="76"/>
      <c r="Y959" s="516" t="s">
        <v>470</v>
      </c>
    </row>
    <row r="960" spans="1:25" x14ac:dyDescent="0.25">
      <c r="A960" s="75" t="str">
        <f t="shared" si="33"/>
        <v>Exclusiva PFAE No_Premier Normal Mercado_Abierto Pago_Fijo_Puntual 15</v>
      </c>
      <c r="B960" s="75" t="str">
        <f t="shared" si="32"/>
        <v>Exclusiva PFAE No_Premier Normal Mercado_Abierto Pago_Fijo_Puntual 15 0.0965</v>
      </c>
      <c r="C960" s="75" t="s">
        <v>116</v>
      </c>
      <c r="D960" s="75" t="s">
        <v>168</v>
      </c>
      <c r="E960" s="75" t="s">
        <v>179</v>
      </c>
      <c r="F960" s="75" t="s">
        <v>180</v>
      </c>
      <c r="G960" s="75" t="s">
        <v>396</v>
      </c>
      <c r="H960" s="75"/>
      <c r="I960" s="75" t="s">
        <v>171</v>
      </c>
      <c r="J960" s="76">
        <v>15</v>
      </c>
      <c r="K960" s="516" t="s">
        <v>385</v>
      </c>
      <c r="L960" s="517">
        <v>10.73</v>
      </c>
      <c r="M960" s="517">
        <v>11.39</v>
      </c>
      <c r="N960" s="518">
        <v>9.6500000000000002E-2</v>
      </c>
      <c r="O960" s="518">
        <v>9.1999999999999998E-2</v>
      </c>
      <c r="P960" s="518">
        <v>0.10249999999999999</v>
      </c>
      <c r="Q960" s="78">
        <v>0.44</v>
      </c>
      <c r="R960" s="78">
        <v>0.31740000000000002</v>
      </c>
      <c r="S960" s="69">
        <v>2.5000000000000001E-2</v>
      </c>
      <c r="T960" s="69">
        <v>0.01</v>
      </c>
      <c r="U960" s="518">
        <v>0.7</v>
      </c>
      <c r="V960" s="76">
        <v>0</v>
      </c>
      <c r="W960" s="76">
        <v>0</v>
      </c>
      <c r="X960" s="76"/>
      <c r="Y960" s="516" t="s">
        <v>470</v>
      </c>
    </row>
    <row r="961" spans="1:25" x14ac:dyDescent="0.25">
      <c r="A961" s="75" t="str">
        <f t="shared" si="33"/>
        <v>Exclusiva PFAE No_Premier Normal Mercado_Abierto Pago_Fijo_Puntual 15</v>
      </c>
      <c r="B961" s="75" t="str">
        <f t="shared" si="32"/>
        <v>Exclusiva PFAE No_Premier Normal Mercado_Abierto Pago_Fijo_Puntual 15 0.103</v>
      </c>
      <c r="C961" s="75" t="s">
        <v>116</v>
      </c>
      <c r="D961" s="75" t="s">
        <v>168</v>
      </c>
      <c r="E961" s="75" t="s">
        <v>179</v>
      </c>
      <c r="F961" s="75" t="s">
        <v>180</v>
      </c>
      <c r="G961" s="75" t="s">
        <v>396</v>
      </c>
      <c r="H961" s="75"/>
      <c r="I961" s="75" t="s">
        <v>171</v>
      </c>
      <c r="J961" s="76">
        <v>15</v>
      </c>
      <c r="K961" s="516" t="s">
        <v>386</v>
      </c>
      <c r="L961" s="517">
        <v>11.18</v>
      </c>
      <c r="M961" s="517">
        <v>11.84</v>
      </c>
      <c r="N961" s="518">
        <v>0.10299999999999999</v>
      </c>
      <c r="O961" s="518">
        <v>0.1</v>
      </c>
      <c r="P961" s="518">
        <v>0.112</v>
      </c>
      <c r="Q961" s="78">
        <v>0.44</v>
      </c>
      <c r="R961" s="78">
        <v>0.31740000000000002</v>
      </c>
      <c r="S961" s="69">
        <v>2.5000000000000001E-2</v>
      </c>
      <c r="T961" s="69">
        <v>0.01</v>
      </c>
      <c r="U961" s="518">
        <v>0.7</v>
      </c>
      <c r="V961" s="76">
        <v>0</v>
      </c>
      <c r="W961" s="76">
        <v>0</v>
      </c>
      <c r="X961" s="76"/>
      <c r="Y961" s="516" t="s">
        <v>470</v>
      </c>
    </row>
    <row r="962" spans="1:25" x14ac:dyDescent="0.25">
      <c r="A962" s="75" t="str">
        <f t="shared" si="33"/>
        <v>Exclusiva PFAE No_Premier Normal Mercado_Abierto Pago_Fijo_Puntual 10</v>
      </c>
      <c r="B962" s="75" t="str">
        <f t="shared" si="32"/>
        <v>Exclusiva PFAE No_Premier Normal Mercado_Abierto Pago_Fijo_Puntual 10 0.0965</v>
      </c>
      <c r="C962" s="75" t="s">
        <v>116</v>
      </c>
      <c r="D962" s="75" t="s">
        <v>168</v>
      </c>
      <c r="E962" s="75" t="s">
        <v>179</v>
      </c>
      <c r="F962" s="75" t="s">
        <v>180</v>
      </c>
      <c r="G962" s="75" t="s">
        <v>396</v>
      </c>
      <c r="H962" s="75"/>
      <c r="I962" s="75" t="s">
        <v>171</v>
      </c>
      <c r="J962" s="76">
        <v>10</v>
      </c>
      <c r="K962" s="516" t="s">
        <v>385</v>
      </c>
      <c r="L962" s="517">
        <v>13.16</v>
      </c>
      <c r="M962" s="517">
        <v>13.82</v>
      </c>
      <c r="N962" s="518">
        <v>9.6500000000000002E-2</v>
      </c>
      <c r="O962" s="518">
        <v>9.1999999999999998E-2</v>
      </c>
      <c r="P962" s="518">
        <v>0.10249999999999999</v>
      </c>
      <c r="Q962" s="78">
        <v>0.44</v>
      </c>
      <c r="R962" s="78">
        <v>0.31740000000000002</v>
      </c>
      <c r="S962" s="69">
        <v>2.5000000000000001E-2</v>
      </c>
      <c r="T962" s="69">
        <v>0.01</v>
      </c>
      <c r="U962" s="518">
        <v>0.7</v>
      </c>
      <c r="V962" s="76">
        <v>0</v>
      </c>
      <c r="W962" s="76">
        <v>0</v>
      </c>
      <c r="X962" s="76"/>
      <c r="Y962" s="516" t="s">
        <v>470</v>
      </c>
    </row>
    <row r="963" spans="1:25" x14ac:dyDescent="0.25">
      <c r="A963" s="75" t="str">
        <f t="shared" si="33"/>
        <v>Exclusiva PFAE No_Premier Normal Mercado_Abierto Pago_Fijo_Puntual 10</v>
      </c>
      <c r="B963" s="75" t="str">
        <f t="shared" si="32"/>
        <v>Exclusiva PFAE No_Premier Normal Mercado_Abierto Pago_Fijo_Puntual 10 0.103</v>
      </c>
      <c r="C963" s="75" t="s">
        <v>116</v>
      </c>
      <c r="D963" s="75" t="s">
        <v>168</v>
      </c>
      <c r="E963" s="75" t="s">
        <v>179</v>
      </c>
      <c r="F963" s="75" t="s">
        <v>180</v>
      </c>
      <c r="G963" s="75" t="s">
        <v>396</v>
      </c>
      <c r="H963" s="75"/>
      <c r="I963" s="75" t="s">
        <v>171</v>
      </c>
      <c r="J963" s="76">
        <v>10</v>
      </c>
      <c r="K963" s="516" t="s">
        <v>386</v>
      </c>
      <c r="L963" s="517">
        <v>13.54</v>
      </c>
      <c r="M963" s="517">
        <v>14.2</v>
      </c>
      <c r="N963" s="518">
        <v>0.10299999999999999</v>
      </c>
      <c r="O963" s="518">
        <v>0.1</v>
      </c>
      <c r="P963" s="518">
        <v>0.112</v>
      </c>
      <c r="Q963" s="78">
        <v>0.44</v>
      </c>
      <c r="R963" s="78">
        <v>0.31740000000000002</v>
      </c>
      <c r="S963" s="69">
        <v>2.5000000000000001E-2</v>
      </c>
      <c r="T963" s="69">
        <v>0.01</v>
      </c>
      <c r="U963" s="518">
        <v>0.7</v>
      </c>
      <c r="V963" s="76">
        <v>0</v>
      </c>
      <c r="W963" s="76">
        <v>0</v>
      </c>
      <c r="X963" s="76"/>
      <c r="Y963" s="516" t="s">
        <v>470</v>
      </c>
    </row>
    <row r="964" spans="1:25" x14ac:dyDescent="0.25">
      <c r="A964" s="75" t="str">
        <f t="shared" si="33"/>
        <v>Exclusiva PFAE No_Premier Normal Mercado_Abierto Pago_Fijo_Puntual 5</v>
      </c>
      <c r="B964" s="75" t="str">
        <f t="shared" ref="B964:B1011" si="34">CONCATENATE(A964," ",N964)</f>
        <v>Exclusiva PFAE No_Premier Normal Mercado_Abierto Pago_Fijo_Puntual 5 0.0965</v>
      </c>
      <c r="C964" s="75" t="s">
        <v>116</v>
      </c>
      <c r="D964" s="75" t="s">
        <v>168</v>
      </c>
      <c r="E964" s="75" t="s">
        <v>179</v>
      </c>
      <c r="F964" s="75" t="s">
        <v>180</v>
      </c>
      <c r="G964" s="75" t="s">
        <v>396</v>
      </c>
      <c r="H964" s="75"/>
      <c r="I964" s="75" t="s">
        <v>171</v>
      </c>
      <c r="J964" s="76">
        <v>5</v>
      </c>
      <c r="K964" s="516" t="s">
        <v>385</v>
      </c>
      <c r="L964" s="517">
        <v>21.12</v>
      </c>
      <c r="M964" s="517">
        <v>21.78</v>
      </c>
      <c r="N964" s="518">
        <v>9.6500000000000002E-2</v>
      </c>
      <c r="O964" s="518">
        <v>9.1999999999999998E-2</v>
      </c>
      <c r="P964" s="518">
        <v>0.10249999999999999</v>
      </c>
      <c r="Q964" s="78">
        <v>0.44</v>
      </c>
      <c r="R964" s="78">
        <v>0.31740000000000002</v>
      </c>
      <c r="S964" s="69">
        <v>2.5000000000000001E-2</v>
      </c>
      <c r="T964" s="69">
        <v>0.01</v>
      </c>
      <c r="U964" s="518">
        <v>0.7</v>
      </c>
      <c r="V964" s="76">
        <v>0</v>
      </c>
      <c r="W964" s="76">
        <v>0</v>
      </c>
      <c r="X964" s="76"/>
      <c r="Y964" s="516" t="s">
        <v>470</v>
      </c>
    </row>
    <row r="965" spans="1:25" x14ac:dyDescent="0.25">
      <c r="A965" s="75" t="str">
        <f t="shared" ref="A965:A1012" si="35">TRIM(CONCATENATE(C965," ",D965," ",E965," ",F965," ",G965," ",I965," ",X965," ",J965))</f>
        <v>Exclusiva PFAE No_Premier Normal Mercado_Abierto Pago_Fijo_Puntual 5</v>
      </c>
      <c r="B965" s="75" t="str">
        <f t="shared" si="34"/>
        <v>Exclusiva PFAE No_Premier Normal Mercado_Abierto Pago_Fijo_Puntual 5 0.103</v>
      </c>
      <c r="C965" s="75" t="s">
        <v>116</v>
      </c>
      <c r="D965" s="75" t="s">
        <v>168</v>
      </c>
      <c r="E965" s="75" t="s">
        <v>179</v>
      </c>
      <c r="F965" s="75" t="s">
        <v>180</v>
      </c>
      <c r="G965" s="75" t="s">
        <v>396</v>
      </c>
      <c r="H965" s="75"/>
      <c r="I965" s="75" t="s">
        <v>171</v>
      </c>
      <c r="J965" s="76">
        <v>5</v>
      </c>
      <c r="K965" s="516" t="s">
        <v>386</v>
      </c>
      <c r="L965" s="517">
        <v>21.44</v>
      </c>
      <c r="M965" s="517">
        <v>22.1</v>
      </c>
      <c r="N965" s="518">
        <v>0.10299999999999999</v>
      </c>
      <c r="O965" s="518">
        <v>0.1</v>
      </c>
      <c r="P965" s="518">
        <v>0.112</v>
      </c>
      <c r="Q965" s="78">
        <v>0.44</v>
      </c>
      <c r="R965" s="78">
        <v>0.31740000000000002</v>
      </c>
      <c r="S965" s="69">
        <v>2.5000000000000001E-2</v>
      </c>
      <c r="T965" s="69">
        <v>0.01</v>
      </c>
      <c r="U965" s="518">
        <v>0.7</v>
      </c>
      <c r="V965" s="76">
        <v>0</v>
      </c>
      <c r="W965" s="76">
        <v>0</v>
      </c>
      <c r="X965" s="76"/>
      <c r="Y965" s="516" t="s">
        <v>470</v>
      </c>
    </row>
    <row r="966" spans="1:25" x14ac:dyDescent="0.25">
      <c r="A966" s="75" t="str">
        <f t="shared" si="35"/>
        <v>Exclusiva PFAE No_Premier Normal Mercado_Abierto Pago_Bajo_Puntual 25</v>
      </c>
      <c r="B966" s="75" t="str">
        <f t="shared" si="34"/>
        <v>Exclusiva PFAE No_Premier Normal Mercado_Abierto Pago_Bajo_Puntual 25 0.0965</v>
      </c>
      <c r="C966" s="75" t="s">
        <v>116</v>
      </c>
      <c r="D966" s="75" t="s">
        <v>168</v>
      </c>
      <c r="E966" s="75" t="s">
        <v>179</v>
      </c>
      <c r="F966" s="75" t="s">
        <v>180</v>
      </c>
      <c r="G966" s="75" t="s">
        <v>396</v>
      </c>
      <c r="H966" s="75"/>
      <c r="I966" s="75" t="s">
        <v>170</v>
      </c>
      <c r="J966" s="523">
        <v>25</v>
      </c>
      <c r="K966" s="516" t="s">
        <v>385</v>
      </c>
      <c r="L966" s="517">
        <v>8.1</v>
      </c>
      <c r="M966" s="517">
        <v>8.76</v>
      </c>
      <c r="N966" s="518">
        <v>9.6500000000000002E-2</v>
      </c>
      <c r="O966" s="518">
        <v>9.1999999999999998E-2</v>
      </c>
      <c r="P966" s="518">
        <v>0.10249999999999999</v>
      </c>
      <c r="Q966" s="78">
        <v>0.44</v>
      </c>
      <c r="R966" s="78">
        <v>0.31740000000000002</v>
      </c>
      <c r="S966" s="69">
        <v>2.5000000000000001E-2</v>
      </c>
      <c r="T966" s="69">
        <v>0.01</v>
      </c>
      <c r="U966" s="518">
        <v>0.7</v>
      </c>
      <c r="V966" s="76">
        <v>0</v>
      </c>
      <c r="W966" s="76">
        <v>0</v>
      </c>
      <c r="X966" s="76"/>
      <c r="Y966" s="516" t="s">
        <v>470</v>
      </c>
    </row>
    <row r="967" spans="1:25" x14ac:dyDescent="0.25">
      <c r="A967" s="75" t="str">
        <f t="shared" si="35"/>
        <v>Exclusiva PFAE No_Premier Normal Mercado_Abierto Pago_Bajo_Puntual 25</v>
      </c>
      <c r="B967" s="75" t="str">
        <f t="shared" si="34"/>
        <v>Exclusiva PFAE No_Premier Normal Mercado_Abierto Pago_Bajo_Puntual 25 0.103</v>
      </c>
      <c r="C967" s="75" t="s">
        <v>116</v>
      </c>
      <c r="D967" s="75" t="s">
        <v>168</v>
      </c>
      <c r="E967" s="75" t="s">
        <v>179</v>
      </c>
      <c r="F967" s="75" t="s">
        <v>180</v>
      </c>
      <c r="G967" s="75" t="s">
        <v>396</v>
      </c>
      <c r="H967" s="75"/>
      <c r="I967" s="75" t="s">
        <v>170</v>
      </c>
      <c r="J967" s="523">
        <v>25</v>
      </c>
      <c r="K967" s="516" t="s">
        <v>386</v>
      </c>
      <c r="L967" s="517">
        <v>8.64</v>
      </c>
      <c r="M967" s="517">
        <v>9.3000000000000007</v>
      </c>
      <c r="N967" s="518">
        <v>0.10299999999999999</v>
      </c>
      <c r="O967" s="518">
        <v>0.1</v>
      </c>
      <c r="P967" s="518">
        <v>0.112</v>
      </c>
      <c r="Q967" s="78">
        <v>0.44</v>
      </c>
      <c r="R967" s="78">
        <v>0.31740000000000002</v>
      </c>
      <c r="S967" s="69">
        <v>2.5000000000000001E-2</v>
      </c>
      <c r="T967" s="69">
        <v>0.01</v>
      </c>
      <c r="U967" s="518">
        <v>0.7</v>
      </c>
      <c r="V967" s="76">
        <v>0</v>
      </c>
      <c r="W967" s="76">
        <v>0</v>
      </c>
      <c r="X967" s="76"/>
      <c r="Y967" s="516" t="s">
        <v>470</v>
      </c>
    </row>
    <row r="968" spans="1:25" x14ac:dyDescent="0.25">
      <c r="A968" s="75" t="str">
        <f t="shared" si="35"/>
        <v>Exclusiva PFAE No_Premier Normal Mercado_Abierto Pago_Bajo_Puntual 20</v>
      </c>
      <c r="B968" s="75" t="str">
        <f t="shared" si="34"/>
        <v>Exclusiva PFAE No_Premier Normal Mercado_Abierto Pago_Bajo_Puntual 20 0.0965</v>
      </c>
      <c r="C968" s="75" t="s">
        <v>116</v>
      </c>
      <c r="D968" s="75" t="s">
        <v>168</v>
      </c>
      <c r="E968" s="75" t="s">
        <v>179</v>
      </c>
      <c r="F968" s="75" t="s">
        <v>180</v>
      </c>
      <c r="G968" s="75" t="s">
        <v>396</v>
      </c>
      <c r="H968" s="75"/>
      <c r="I968" s="75" t="s">
        <v>170</v>
      </c>
      <c r="J968" s="76">
        <v>20</v>
      </c>
      <c r="K968" s="516" t="s">
        <v>385</v>
      </c>
      <c r="L968" s="517">
        <v>8.52</v>
      </c>
      <c r="M968" s="517">
        <v>9.18</v>
      </c>
      <c r="N968" s="518">
        <v>9.6500000000000002E-2</v>
      </c>
      <c r="O968" s="518">
        <v>9.1999999999999998E-2</v>
      </c>
      <c r="P968" s="518">
        <v>0.10249999999999999</v>
      </c>
      <c r="Q968" s="78">
        <v>0.44</v>
      </c>
      <c r="R968" s="78">
        <v>0.31740000000000002</v>
      </c>
      <c r="S968" s="69">
        <v>2.5000000000000001E-2</v>
      </c>
      <c r="T968" s="69">
        <v>0.01</v>
      </c>
      <c r="U968" s="518">
        <v>0.7</v>
      </c>
      <c r="V968" s="76">
        <v>0</v>
      </c>
      <c r="W968" s="76">
        <v>0</v>
      </c>
      <c r="X968" s="76"/>
      <c r="Y968" s="516" t="s">
        <v>470</v>
      </c>
    </row>
    <row r="969" spans="1:25" x14ac:dyDescent="0.25">
      <c r="A969" s="75" t="str">
        <f t="shared" si="35"/>
        <v>Exclusiva PFAE No_Premier Normal Mercado_Abierto Pago_Bajo_Puntual 20</v>
      </c>
      <c r="B969" s="75" t="str">
        <f t="shared" si="34"/>
        <v>Exclusiva PFAE No_Premier Normal Mercado_Abierto Pago_Bajo_Puntual 20 0.103</v>
      </c>
      <c r="C969" s="75" t="s">
        <v>116</v>
      </c>
      <c r="D969" s="75" t="s">
        <v>168</v>
      </c>
      <c r="E969" s="75" t="s">
        <v>179</v>
      </c>
      <c r="F969" s="75" t="s">
        <v>180</v>
      </c>
      <c r="G969" s="75" t="s">
        <v>396</v>
      </c>
      <c r="H969" s="75"/>
      <c r="I969" s="75" t="s">
        <v>170</v>
      </c>
      <c r="J969" s="76">
        <v>20</v>
      </c>
      <c r="K969" s="516" t="s">
        <v>386</v>
      </c>
      <c r="L969" s="517">
        <v>9</v>
      </c>
      <c r="M969" s="517">
        <v>9.66</v>
      </c>
      <c r="N969" s="518">
        <v>0.10299999999999999</v>
      </c>
      <c r="O969" s="518">
        <v>0.1</v>
      </c>
      <c r="P969" s="518">
        <v>0.112</v>
      </c>
      <c r="Q969" s="78">
        <v>0.44</v>
      </c>
      <c r="R969" s="78">
        <v>0.31740000000000002</v>
      </c>
      <c r="S969" s="69">
        <v>2.5000000000000001E-2</v>
      </c>
      <c r="T969" s="69">
        <v>0.01</v>
      </c>
      <c r="U969" s="518">
        <v>0.7</v>
      </c>
      <c r="V969" s="76">
        <v>0</v>
      </c>
      <c r="W969" s="76">
        <v>0</v>
      </c>
      <c r="X969" s="76"/>
      <c r="Y969" s="516" t="s">
        <v>470</v>
      </c>
    </row>
    <row r="970" spans="1:25" x14ac:dyDescent="0.25">
      <c r="A970" s="75" t="str">
        <f t="shared" si="35"/>
        <v>Exclusiva PFAE No_Premier Normal Mercado_Abierto Pago_Bajo_Puntual 15</v>
      </c>
      <c r="B970" s="75" t="str">
        <f t="shared" si="34"/>
        <v>Exclusiva PFAE No_Premier Normal Mercado_Abierto Pago_Bajo_Puntual 15 0.0965</v>
      </c>
      <c r="C970" s="75" t="s">
        <v>116</v>
      </c>
      <c r="D970" s="75" t="s">
        <v>168</v>
      </c>
      <c r="E970" s="75" t="s">
        <v>179</v>
      </c>
      <c r="F970" s="75" t="s">
        <v>180</v>
      </c>
      <c r="G970" s="75" t="s">
        <v>396</v>
      </c>
      <c r="H970" s="75"/>
      <c r="I970" s="75" t="s">
        <v>170</v>
      </c>
      <c r="J970" s="76">
        <v>15</v>
      </c>
      <c r="K970" s="516" t="s">
        <v>385</v>
      </c>
      <c r="L970" s="517">
        <v>9.6999999999999993</v>
      </c>
      <c r="M970" s="517">
        <v>10.36</v>
      </c>
      <c r="N970" s="518">
        <v>9.6500000000000002E-2</v>
      </c>
      <c r="O970" s="518">
        <v>9.1999999999999998E-2</v>
      </c>
      <c r="P970" s="518">
        <v>0.10249999999999999</v>
      </c>
      <c r="Q970" s="78">
        <v>0.44</v>
      </c>
      <c r="R970" s="78">
        <v>0.31740000000000002</v>
      </c>
      <c r="S970" s="69">
        <v>2.5000000000000001E-2</v>
      </c>
      <c r="T970" s="69">
        <v>0.01</v>
      </c>
      <c r="U970" s="518">
        <v>0.7</v>
      </c>
      <c r="V970" s="76">
        <v>0</v>
      </c>
      <c r="W970" s="76">
        <v>0</v>
      </c>
      <c r="X970" s="76"/>
      <c r="Y970" s="516" t="s">
        <v>470</v>
      </c>
    </row>
    <row r="971" spans="1:25" x14ac:dyDescent="0.25">
      <c r="A971" s="75" t="str">
        <f t="shared" si="35"/>
        <v>Exclusiva PFAE No_Premier Normal Mercado_Abierto Pago_Bajo_Puntual 15</v>
      </c>
      <c r="B971" s="75" t="str">
        <f t="shared" si="34"/>
        <v>Exclusiva PFAE No_Premier Normal Mercado_Abierto Pago_Bajo_Puntual 15 0.103</v>
      </c>
      <c r="C971" s="75" t="s">
        <v>116</v>
      </c>
      <c r="D971" s="75" t="s">
        <v>168</v>
      </c>
      <c r="E971" s="75" t="s">
        <v>179</v>
      </c>
      <c r="F971" s="75" t="s">
        <v>180</v>
      </c>
      <c r="G971" s="75" t="s">
        <v>396</v>
      </c>
      <c r="H971" s="75"/>
      <c r="I971" s="75" t="s">
        <v>170</v>
      </c>
      <c r="J971" s="76">
        <v>15</v>
      </c>
      <c r="K971" s="516" t="s">
        <v>386</v>
      </c>
      <c r="L971" s="517">
        <v>10.119999999999999</v>
      </c>
      <c r="M971" s="517">
        <v>10.78</v>
      </c>
      <c r="N971" s="518">
        <v>0.10299999999999999</v>
      </c>
      <c r="O971" s="518">
        <v>0.1</v>
      </c>
      <c r="P971" s="518">
        <v>0.112</v>
      </c>
      <c r="Q971" s="78">
        <v>0.44</v>
      </c>
      <c r="R971" s="78">
        <v>0.31740000000000002</v>
      </c>
      <c r="S971" s="69">
        <v>2.5000000000000001E-2</v>
      </c>
      <c r="T971" s="69">
        <v>0.01</v>
      </c>
      <c r="U971" s="518">
        <v>0.7</v>
      </c>
      <c r="V971" s="76">
        <v>0</v>
      </c>
      <c r="W971" s="76">
        <v>0</v>
      </c>
      <c r="X971" s="76"/>
      <c r="Y971" s="516" t="s">
        <v>470</v>
      </c>
    </row>
    <row r="972" spans="1:25" x14ac:dyDescent="0.25">
      <c r="A972" s="75" t="str">
        <f t="shared" si="35"/>
        <v>Exclusiva PFAE No_Premier Normal Mercado_Abierto Pago_Bajo_Puntual 10</v>
      </c>
      <c r="B972" s="75" t="str">
        <f t="shared" si="34"/>
        <v>Exclusiva PFAE No_Premier Normal Mercado_Abierto Pago_Bajo_Puntual 10 0.0965</v>
      </c>
      <c r="C972" s="75" t="s">
        <v>116</v>
      </c>
      <c r="D972" s="75" t="s">
        <v>168</v>
      </c>
      <c r="E972" s="75" t="s">
        <v>179</v>
      </c>
      <c r="F972" s="75" t="s">
        <v>180</v>
      </c>
      <c r="G972" s="75" t="s">
        <v>396</v>
      </c>
      <c r="H972" s="75"/>
      <c r="I972" s="75" t="s">
        <v>170</v>
      </c>
      <c r="J972" s="76">
        <v>10</v>
      </c>
      <c r="K972" s="516" t="s">
        <v>385</v>
      </c>
      <c r="L972" s="517">
        <v>12.25</v>
      </c>
      <c r="M972" s="517">
        <v>12.91</v>
      </c>
      <c r="N972" s="518">
        <v>9.6500000000000002E-2</v>
      </c>
      <c r="O972" s="518">
        <v>9.1999999999999998E-2</v>
      </c>
      <c r="P972" s="518">
        <v>0.10249999999999999</v>
      </c>
      <c r="Q972" s="78">
        <v>0.44</v>
      </c>
      <c r="R972" s="78">
        <v>0.31740000000000002</v>
      </c>
      <c r="S972" s="69">
        <v>2.5000000000000001E-2</v>
      </c>
      <c r="T972" s="69">
        <v>0.01</v>
      </c>
      <c r="U972" s="518">
        <v>0.7</v>
      </c>
      <c r="V972" s="76">
        <v>0</v>
      </c>
      <c r="W972" s="76">
        <v>0</v>
      </c>
      <c r="X972" s="76"/>
      <c r="Y972" s="516" t="s">
        <v>470</v>
      </c>
    </row>
    <row r="973" spans="1:25" x14ac:dyDescent="0.25">
      <c r="A973" s="75" t="str">
        <f t="shared" si="35"/>
        <v>Exclusiva PFAE No_Premier Normal Mercado_Abierto Pago_Bajo_Puntual 10</v>
      </c>
      <c r="B973" s="75" t="str">
        <f t="shared" si="34"/>
        <v>Exclusiva PFAE No_Premier Normal Mercado_Abierto Pago_Bajo_Puntual 10 0.103</v>
      </c>
      <c r="C973" s="75" t="s">
        <v>116</v>
      </c>
      <c r="D973" s="75" t="s">
        <v>168</v>
      </c>
      <c r="E973" s="75" t="s">
        <v>179</v>
      </c>
      <c r="F973" s="75" t="s">
        <v>180</v>
      </c>
      <c r="G973" s="75" t="s">
        <v>396</v>
      </c>
      <c r="H973" s="75"/>
      <c r="I973" s="75" t="s">
        <v>170</v>
      </c>
      <c r="J973" s="76">
        <v>10</v>
      </c>
      <c r="K973" s="516" t="s">
        <v>386</v>
      </c>
      <c r="L973" s="517">
        <v>12.62</v>
      </c>
      <c r="M973" s="517">
        <v>13.28</v>
      </c>
      <c r="N973" s="518">
        <v>0.10299999999999999</v>
      </c>
      <c r="O973" s="518">
        <v>0.1</v>
      </c>
      <c r="P973" s="518">
        <v>0.112</v>
      </c>
      <c r="Q973" s="78">
        <v>0.44</v>
      </c>
      <c r="R973" s="78">
        <v>0.31740000000000002</v>
      </c>
      <c r="S973" s="69">
        <v>2.5000000000000001E-2</v>
      </c>
      <c r="T973" s="69">
        <v>0.01</v>
      </c>
      <c r="U973" s="518">
        <v>0.7</v>
      </c>
      <c r="V973" s="76">
        <v>0</v>
      </c>
      <c r="W973" s="76">
        <v>0</v>
      </c>
      <c r="X973" s="76"/>
      <c r="Y973" s="516" t="s">
        <v>470</v>
      </c>
    </row>
    <row r="974" spans="1:25" x14ac:dyDescent="0.25">
      <c r="A974" s="75" t="str">
        <f t="shared" si="35"/>
        <v>Exclusiva PFAE No_Premier Normal Mercado_Abierto Pago_Bajo_Puntual 5</v>
      </c>
      <c r="B974" s="75" t="str">
        <f t="shared" si="34"/>
        <v>Exclusiva PFAE No_Premier Normal Mercado_Abierto Pago_Bajo_Puntual 5 0.0965</v>
      </c>
      <c r="C974" s="75" t="s">
        <v>116</v>
      </c>
      <c r="D974" s="75" t="s">
        <v>168</v>
      </c>
      <c r="E974" s="75" t="s">
        <v>179</v>
      </c>
      <c r="F974" s="75" t="s">
        <v>180</v>
      </c>
      <c r="G974" s="75" t="s">
        <v>396</v>
      </c>
      <c r="H974" s="75"/>
      <c r="I974" s="75" t="s">
        <v>170</v>
      </c>
      <c r="J974" s="76">
        <v>5</v>
      </c>
      <c r="K974" s="516" t="s">
        <v>385</v>
      </c>
      <c r="L974" s="517">
        <v>20.399999999999999</v>
      </c>
      <c r="M974" s="517">
        <v>21.06</v>
      </c>
      <c r="N974" s="518">
        <v>9.6500000000000002E-2</v>
      </c>
      <c r="O974" s="518">
        <v>9.1999999999999998E-2</v>
      </c>
      <c r="P974" s="518">
        <v>0.10249999999999999</v>
      </c>
      <c r="Q974" s="78">
        <v>0.44</v>
      </c>
      <c r="R974" s="78">
        <v>0.31740000000000002</v>
      </c>
      <c r="S974" s="69">
        <v>2.5000000000000001E-2</v>
      </c>
      <c r="T974" s="69">
        <v>0.01</v>
      </c>
      <c r="U974" s="518">
        <v>0.7</v>
      </c>
      <c r="V974" s="76">
        <v>0</v>
      </c>
      <c r="W974" s="76">
        <v>0</v>
      </c>
      <c r="X974" s="76"/>
      <c r="Y974" s="516" t="s">
        <v>470</v>
      </c>
    </row>
    <row r="975" spans="1:25" x14ac:dyDescent="0.25">
      <c r="A975" s="75" t="str">
        <f t="shared" si="35"/>
        <v>Exclusiva PFAE No_Premier Normal Mercado_Abierto Pago_Bajo_Puntual 5</v>
      </c>
      <c r="B975" s="75" t="str">
        <f t="shared" si="34"/>
        <v>Exclusiva PFAE No_Premier Normal Mercado_Abierto Pago_Bajo_Puntual 5 0.103</v>
      </c>
      <c r="C975" s="75" t="s">
        <v>116</v>
      </c>
      <c r="D975" s="75" t="s">
        <v>168</v>
      </c>
      <c r="E975" s="75" t="s">
        <v>179</v>
      </c>
      <c r="F975" s="75" t="s">
        <v>180</v>
      </c>
      <c r="G975" s="75" t="s">
        <v>396</v>
      </c>
      <c r="H975" s="75"/>
      <c r="I975" s="75" t="s">
        <v>170</v>
      </c>
      <c r="J975" s="76">
        <v>5</v>
      </c>
      <c r="K975" s="516" t="s">
        <v>386</v>
      </c>
      <c r="L975" s="517">
        <v>20.72</v>
      </c>
      <c r="M975" s="517">
        <v>21.38</v>
      </c>
      <c r="N975" s="518">
        <v>0.10299999999999999</v>
      </c>
      <c r="O975" s="518">
        <v>0.1</v>
      </c>
      <c r="P975" s="518">
        <v>0.112</v>
      </c>
      <c r="Q975" s="78">
        <v>0.44</v>
      </c>
      <c r="R975" s="78">
        <v>0.31740000000000002</v>
      </c>
      <c r="S975" s="69">
        <v>2.5000000000000001E-2</v>
      </c>
      <c r="T975" s="69">
        <v>0.01</v>
      </c>
      <c r="U975" s="518">
        <v>0.7</v>
      </c>
      <c r="V975" s="76">
        <v>0</v>
      </c>
      <c r="W975" s="76">
        <v>0</v>
      </c>
      <c r="X975" s="76"/>
      <c r="Y975" s="516" t="s">
        <v>470</v>
      </c>
    </row>
    <row r="976" spans="1:25" x14ac:dyDescent="0.25">
      <c r="A976" s="75" t="str">
        <f t="shared" si="35"/>
        <v>Exclusiva PFAE Premier Mercado_Abierto Pago_Fijo_Puntual Si 25</v>
      </c>
      <c r="B976" s="75" t="str">
        <f t="shared" si="34"/>
        <v>Exclusiva PFAE Premier Mercado_Abierto Pago_Fijo_Puntual Si 25 0.103</v>
      </c>
      <c r="C976" s="75" t="s">
        <v>116</v>
      </c>
      <c r="D976" s="75" t="s">
        <v>168</v>
      </c>
      <c r="E976" s="75" t="s">
        <v>143</v>
      </c>
      <c r="F976" s="75"/>
      <c r="G976" s="75" t="s">
        <v>396</v>
      </c>
      <c r="H976" s="75"/>
      <c r="I976" s="75" t="s">
        <v>171</v>
      </c>
      <c r="J976" s="76">
        <v>25</v>
      </c>
      <c r="K976" s="519" t="s">
        <v>387</v>
      </c>
      <c r="L976" s="520">
        <v>9.65</v>
      </c>
      <c r="M976" s="520">
        <v>10.31</v>
      </c>
      <c r="N976" s="507">
        <v>0.10299999999999999</v>
      </c>
      <c r="O976" s="507">
        <v>0.1</v>
      </c>
      <c r="P976" s="507">
        <v>0.112</v>
      </c>
      <c r="Q976" s="78">
        <v>0.44</v>
      </c>
      <c r="R976" s="78">
        <v>0.31740000000000002</v>
      </c>
      <c r="S976" s="69">
        <v>2.5000000000000001E-2</v>
      </c>
      <c r="T976" s="69">
        <v>0.01</v>
      </c>
      <c r="U976" s="507">
        <v>0.85</v>
      </c>
      <c r="V976" s="76">
        <v>0</v>
      </c>
      <c r="W976" s="76">
        <v>0</v>
      </c>
      <c r="X976" s="76" t="s">
        <v>147</v>
      </c>
      <c r="Y976" s="519" t="s">
        <v>469</v>
      </c>
    </row>
    <row r="977" spans="1:25" x14ac:dyDescent="0.25">
      <c r="A977" s="75" t="str">
        <f t="shared" si="35"/>
        <v>Exclusiva PFAE Premier Mercado_Abierto Pago_Fijo_Puntual Si 20</v>
      </c>
      <c r="B977" s="75" t="str">
        <f t="shared" si="34"/>
        <v>Exclusiva PFAE Premier Mercado_Abierto Pago_Fijo_Puntual Si 20 0.103</v>
      </c>
      <c r="C977" s="75" t="s">
        <v>116</v>
      </c>
      <c r="D977" s="75" t="s">
        <v>168</v>
      </c>
      <c r="E977" s="75" t="s">
        <v>143</v>
      </c>
      <c r="F977" s="75"/>
      <c r="G977" s="75" t="s">
        <v>396</v>
      </c>
      <c r="H977" s="75"/>
      <c r="I977" s="75" t="s">
        <v>171</v>
      </c>
      <c r="J977" s="76">
        <v>20</v>
      </c>
      <c r="K977" s="519" t="s">
        <v>387</v>
      </c>
      <c r="L977" s="520">
        <v>10.16</v>
      </c>
      <c r="M977" s="520">
        <v>10.82</v>
      </c>
      <c r="N977" s="507">
        <v>0.10299999999999999</v>
      </c>
      <c r="O977" s="507">
        <v>0.1</v>
      </c>
      <c r="P977" s="507">
        <v>0.112</v>
      </c>
      <c r="Q977" s="78">
        <v>0.44</v>
      </c>
      <c r="R977" s="78">
        <v>0.31740000000000002</v>
      </c>
      <c r="S977" s="69">
        <v>2.5000000000000001E-2</v>
      </c>
      <c r="T977" s="69">
        <v>0.01</v>
      </c>
      <c r="U977" s="507">
        <v>0.85</v>
      </c>
      <c r="V977" s="76">
        <v>0</v>
      </c>
      <c r="W977" s="76">
        <v>0</v>
      </c>
      <c r="X977" s="76" t="s">
        <v>147</v>
      </c>
      <c r="Y977" s="519" t="s">
        <v>469</v>
      </c>
    </row>
    <row r="978" spans="1:25" x14ac:dyDescent="0.25">
      <c r="A978" s="75" t="str">
        <f t="shared" si="35"/>
        <v>Exclusiva PFAE Premier Mercado_Abierto Pago_Fijo_Puntual Si 15</v>
      </c>
      <c r="B978" s="75" t="str">
        <f t="shared" si="34"/>
        <v>Exclusiva PFAE Premier Mercado_Abierto Pago_Fijo_Puntual Si 15 0.103</v>
      </c>
      <c r="C978" s="75" t="s">
        <v>116</v>
      </c>
      <c r="D978" s="75" t="s">
        <v>168</v>
      </c>
      <c r="E978" s="75" t="s">
        <v>143</v>
      </c>
      <c r="F978" s="75"/>
      <c r="G978" s="75" t="s">
        <v>396</v>
      </c>
      <c r="H978" s="75"/>
      <c r="I978" s="75" t="s">
        <v>171</v>
      </c>
      <c r="J978" s="76">
        <v>15</v>
      </c>
      <c r="K978" s="519" t="s">
        <v>387</v>
      </c>
      <c r="L978" s="520">
        <v>11.18</v>
      </c>
      <c r="M978" s="520">
        <v>11.84</v>
      </c>
      <c r="N978" s="507">
        <v>0.10299999999999999</v>
      </c>
      <c r="O978" s="507">
        <v>0.1</v>
      </c>
      <c r="P978" s="507">
        <v>0.112</v>
      </c>
      <c r="Q978" s="78">
        <v>0.44</v>
      </c>
      <c r="R978" s="78">
        <v>0.31740000000000002</v>
      </c>
      <c r="S978" s="69">
        <v>2.5000000000000001E-2</v>
      </c>
      <c r="T978" s="69">
        <v>0.01</v>
      </c>
      <c r="U978" s="507">
        <v>0.85</v>
      </c>
      <c r="V978" s="76">
        <v>0</v>
      </c>
      <c r="W978" s="76">
        <v>0</v>
      </c>
      <c r="X978" s="76" t="s">
        <v>147</v>
      </c>
      <c r="Y978" s="519" t="s">
        <v>469</v>
      </c>
    </row>
    <row r="979" spans="1:25" x14ac:dyDescent="0.25">
      <c r="A979" s="75" t="str">
        <f t="shared" si="35"/>
        <v>Exclusiva PFAE Premier Mercado_Abierto Pago_Fijo_Puntual Si 10</v>
      </c>
      <c r="B979" s="75" t="str">
        <f t="shared" si="34"/>
        <v>Exclusiva PFAE Premier Mercado_Abierto Pago_Fijo_Puntual Si 10 0.103</v>
      </c>
      <c r="C979" s="75" t="s">
        <v>116</v>
      </c>
      <c r="D979" s="75" t="s">
        <v>168</v>
      </c>
      <c r="E979" s="75" t="s">
        <v>143</v>
      </c>
      <c r="F979" s="75"/>
      <c r="G979" s="75" t="s">
        <v>396</v>
      </c>
      <c r="H979" s="75"/>
      <c r="I979" s="75" t="s">
        <v>171</v>
      </c>
      <c r="J979" s="76">
        <v>10</v>
      </c>
      <c r="K979" s="519" t="s">
        <v>387</v>
      </c>
      <c r="L979" s="520">
        <v>13.54</v>
      </c>
      <c r="M979" s="520">
        <v>14.2</v>
      </c>
      <c r="N979" s="507">
        <v>0.10299999999999999</v>
      </c>
      <c r="O979" s="507">
        <v>0.1</v>
      </c>
      <c r="P979" s="507">
        <v>0.112</v>
      </c>
      <c r="Q979" s="78">
        <v>0.44</v>
      </c>
      <c r="R979" s="78">
        <v>0.31740000000000002</v>
      </c>
      <c r="S979" s="69">
        <v>2.5000000000000001E-2</v>
      </c>
      <c r="T979" s="69">
        <v>0.01</v>
      </c>
      <c r="U979" s="507">
        <v>0.85</v>
      </c>
      <c r="V979" s="76">
        <v>0</v>
      </c>
      <c r="W979" s="76">
        <v>0</v>
      </c>
      <c r="X979" s="76" t="s">
        <v>147</v>
      </c>
      <c r="Y979" s="519" t="s">
        <v>469</v>
      </c>
    </row>
    <row r="980" spans="1:25" x14ac:dyDescent="0.25">
      <c r="A980" s="75" t="str">
        <f t="shared" si="35"/>
        <v>Exclusiva PFAE Premier Mercado_Abierto Pago_Fijo_Puntual Si 5</v>
      </c>
      <c r="B980" s="75" t="str">
        <f t="shared" si="34"/>
        <v>Exclusiva PFAE Premier Mercado_Abierto Pago_Fijo_Puntual Si 5 0.103</v>
      </c>
      <c r="C980" s="75" t="s">
        <v>116</v>
      </c>
      <c r="D980" s="75" t="s">
        <v>168</v>
      </c>
      <c r="E980" s="75" t="s">
        <v>143</v>
      </c>
      <c r="F980" s="75"/>
      <c r="G980" s="75" t="s">
        <v>396</v>
      </c>
      <c r="H980" s="75"/>
      <c r="I980" s="75" t="s">
        <v>171</v>
      </c>
      <c r="J980" s="76">
        <v>5</v>
      </c>
      <c r="K980" s="519" t="s">
        <v>387</v>
      </c>
      <c r="L980" s="520">
        <v>21.44</v>
      </c>
      <c r="M980" s="520">
        <v>22.1</v>
      </c>
      <c r="N980" s="507">
        <v>0.10299999999999999</v>
      </c>
      <c r="O980" s="507">
        <v>0.1</v>
      </c>
      <c r="P980" s="507">
        <v>0.112</v>
      </c>
      <c r="Q980" s="78">
        <v>0.44</v>
      </c>
      <c r="R980" s="78">
        <v>0.31740000000000002</v>
      </c>
      <c r="S980" s="69">
        <v>2.5000000000000001E-2</v>
      </c>
      <c r="T980" s="69">
        <v>0.01</v>
      </c>
      <c r="U980" s="507">
        <v>0.85</v>
      </c>
      <c r="V980" s="76">
        <v>0</v>
      </c>
      <c r="W980" s="76">
        <v>0</v>
      </c>
      <c r="X980" s="76" t="s">
        <v>147</v>
      </c>
      <c r="Y980" s="519" t="s">
        <v>469</v>
      </c>
    </row>
    <row r="981" spans="1:25" x14ac:dyDescent="0.25">
      <c r="A981" s="75" t="str">
        <f t="shared" si="35"/>
        <v>Exclusiva PFAE Premier Mercado_Abierto Pago_Bajo_Puntual Si 25</v>
      </c>
      <c r="B981" s="75" t="str">
        <f t="shared" si="34"/>
        <v>Exclusiva PFAE Premier Mercado_Abierto Pago_Bajo_Puntual Si 25 0.103</v>
      </c>
      <c r="C981" s="75" t="s">
        <v>116</v>
      </c>
      <c r="D981" s="75" t="s">
        <v>168</v>
      </c>
      <c r="E981" s="75" t="s">
        <v>143</v>
      </c>
      <c r="F981" s="75"/>
      <c r="G981" s="75" t="s">
        <v>396</v>
      </c>
      <c r="H981" s="75"/>
      <c r="I981" s="75" t="s">
        <v>170</v>
      </c>
      <c r="J981" s="523">
        <v>25</v>
      </c>
      <c r="K981" s="519" t="s">
        <v>387</v>
      </c>
      <c r="L981" s="525">
        <v>8.64</v>
      </c>
      <c r="M981" s="525">
        <v>9.3000000000000007</v>
      </c>
      <c r="N981" s="507">
        <v>0.10299999999999999</v>
      </c>
      <c r="O981" s="507">
        <v>0.1</v>
      </c>
      <c r="P981" s="507">
        <v>0.112</v>
      </c>
      <c r="Q981" s="78">
        <v>0.44</v>
      </c>
      <c r="R981" s="78">
        <v>0.31740000000000002</v>
      </c>
      <c r="S981" s="69">
        <v>2.5000000000000001E-2</v>
      </c>
      <c r="T981" s="69">
        <v>0.01</v>
      </c>
      <c r="U981" s="507">
        <v>0.85</v>
      </c>
      <c r="V981" s="76">
        <v>0</v>
      </c>
      <c r="W981" s="76">
        <v>0</v>
      </c>
      <c r="X981" s="76" t="s">
        <v>147</v>
      </c>
      <c r="Y981" s="519" t="s">
        <v>469</v>
      </c>
    </row>
    <row r="982" spans="1:25" x14ac:dyDescent="0.25">
      <c r="A982" s="75" t="str">
        <f t="shared" si="35"/>
        <v>Exclusiva PFAE Premier Mercado_Abierto Pago_Bajo_Puntual Si 20</v>
      </c>
      <c r="B982" s="75" t="str">
        <f t="shared" si="34"/>
        <v>Exclusiva PFAE Premier Mercado_Abierto Pago_Bajo_Puntual Si 20 0.103</v>
      </c>
      <c r="C982" s="75" t="s">
        <v>116</v>
      </c>
      <c r="D982" s="75" t="s">
        <v>168</v>
      </c>
      <c r="E982" s="75" t="s">
        <v>143</v>
      </c>
      <c r="F982" s="75"/>
      <c r="G982" s="75" t="s">
        <v>396</v>
      </c>
      <c r="H982" s="75"/>
      <c r="I982" s="75" t="s">
        <v>170</v>
      </c>
      <c r="J982" s="76">
        <v>20</v>
      </c>
      <c r="K982" s="519" t="s">
        <v>387</v>
      </c>
      <c r="L982" s="520">
        <v>9</v>
      </c>
      <c r="M982" s="520">
        <v>9.66</v>
      </c>
      <c r="N982" s="507">
        <v>0.10299999999999999</v>
      </c>
      <c r="O982" s="507">
        <v>0.1</v>
      </c>
      <c r="P982" s="507">
        <v>0.112</v>
      </c>
      <c r="Q982" s="78">
        <v>0.44</v>
      </c>
      <c r="R982" s="78">
        <v>0.31740000000000002</v>
      </c>
      <c r="S982" s="69">
        <v>2.5000000000000001E-2</v>
      </c>
      <c r="T982" s="69">
        <v>0.01</v>
      </c>
      <c r="U982" s="507">
        <v>0.85</v>
      </c>
      <c r="V982" s="76">
        <v>0</v>
      </c>
      <c r="W982" s="76">
        <v>0</v>
      </c>
      <c r="X982" s="76" t="s">
        <v>147</v>
      </c>
      <c r="Y982" s="519" t="s">
        <v>469</v>
      </c>
    </row>
    <row r="983" spans="1:25" x14ac:dyDescent="0.25">
      <c r="A983" s="75" t="str">
        <f t="shared" si="35"/>
        <v>Exclusiva PFAE Premier Mercado_Abierto Pago_Bajo_Puntual Si 15</v>
      </c>
      <c r="B983" s="75" t="str">
        <f t="shared" si="34"/>
        <v>Exclusiva PFAE Premier Mercado_Abierto Pago_Bajo_Puntual Si 15 0.103</v>
      </c>
      <c r="C983" s="75" t="s">
        <v>116</v>
      </c>
      <c r="D983" s="75" t="s">
        <v>168</v>
      </c>
      <c r="E983" s="75" t="s">
        <v>143</v>
      </c>
      <c r="F983" s="75"/>
      <c r="G983" s="75" t="s">
        <v>396</v>
      </c>
      <c r="H983" s="75"/>
      <c r="I983" s="75" t="s">
        <v>170</v>
      </c>
      <c r="J983" s="76">
        <v>15</v>
      </c>
      <c r="K983" s="519" t="s">
        <v>387</v>
      </c>
      <c r="L983" s="520">
        <v>10.119999999999999</v>
      </c>
      <c r="M983" s="520">
        <v>10.78</v>
      </c>
      <c r="N983" s="507">
        <v>0.10299999999999999</v>
      </c>
      <c r="O983" s="507">
        <v>0.1</v>
      </c>
      <c r="P983" s="507">
        <v>0.112</v>
      </c>
      <c r="Q983" s="78">
        <v>0.44</v>
      </c>
      <c r="R983" s="78">
        <v>0.31740000000000002</v>
      </c>
      <c r="S983" s="69">
        <v>2.5000000000000001E-2</v>
      </c>
      <c r="T983" s="69">
        <v>0.01</v>
      </c>
      <c r="U983" s="507">
        <v>0.85</v>
      </c>
      <c r="V983" s="76">
        <v>0</v>
      </c>
      <c r="W983" s="76">
        <v>0</v>
      </c>
      <c r="X983" s="76" t="s">
        <v>147</v>
      </c>
      <c r="Y983" s="519" t="s">
        <v>469</v>
      </c>
    </row>
    <row r="984" spans="1:25" x14ac:dyDescent="0.25">
      <c r="A984" s="75" t="str">
        <f t="shared" si="35"/>
        <v>Exclusiva PFAE Premier Mercado_Abierto Pago_Bajo_Puntual Si 10</v>
      </c>
      <c r="B984" s="75" t="str">
        <f t="shared" si="34"/>
        <v>Exclusiva PFAE Premier Mercado_Abierto Pago_Bajo_Puntual Si 10 0.103</v>
      </c>
      <c r="C984" s="75" t="s">
        <v>116</v>
      </c>
      <c r="D984" s="75" t="s">
        <v>168</v>
      </c>
      <c r="E984" s="75" t="s">
        <v>143</v>
      </c>
      <c r="F984" s="75"/>
      <c r="G984" s="75" t="s">
        <v>396</v>
      </c>
      <c r="H984" s="75"/>
      <c r="I984" s="75" t="s">
        <v>170</v>
      </c>
      <c r="J984" s="76">
        <v>10</v>
      </c>
      <c r="K984" s="519" t="s">
        <v>387</v>
      </c>
      <c r="L984" s="520">
        <v>12.62</v>
      </c>
      <c r="M984" s="520">
        <v>13.28</v>
      </c>
      <c r="N984" s="507">
        <v>0.10299999999999999</v>
      </c>
      <c r="O984" s="507">
        <v>0.1</v>
      </c>
      <c r="P984" s="507">
        <v>0.112</v>
      </c>
      <c r="Q984" s="78">
        <v>0.44</v>
      </c>
      <c r="R984" s="78">
        <v>0.31740000000000002</v>
      </c>
      <c r="S984" s="69">
        <v>2.5000000000000001E-2</v>
      </c>
      <c r="T984" s="69">
        <v>0.01</v>
      </c>
      <c r="U984" s="507">
        <v>0.85</v>
      </c>
      <c r="V984" s="76">
        <v>0</v>
      </c>
      <c r="W984" s="76">
        <v>0</v>
      </c>
      <c r="X984" s="76" t="s">
        <v>147</v>
      </c>
      <c r="Y984" s="519" t="s">
        <v>469</v>
      </c>
    </row>
    <row r="985" spans="1:25" x14ac:dyDescent="0.25">
      <c r="A985" s="75" t="str">
        <f t="shared" si="35"/>
        <v>Exclusiva PFAE Premier Mercado_Abierto Pago_Bajo_Puntual Si 5</v>
      </c>
      <c r="B985" s="75" t="str">
        <f t="shared" si="34"/>
        <v>Exclusiva PFAE Premier Mercado_Abierto Pago_Bajo_Puntual Si 5 0.103</v>
      </c>
      <c r="C985" s="75" t="s">
        <v>116</v>
      </c>
      <c r="D985" s="75" t="s">
        <v>168</v>
      </c>
      <c r="E985" s="75" t="s">
        <v>143</v>
      </c>
      <c r="F985" s="75"/>
      <c r="G985" s="75" t="s">
        <v>396</v>
      </c>
      <c r="H985" s="75"/>
      <c r="I985" s="75" t="s">
        <v>170</v>
      </c>
      <c r="J985" s="76">
        <v>5</v>
      </c>
      <c r="K985" s="519" t="s">
        <v>387</v>
      </c>
      <c r="L985" s="520">
        <v>20.72</v>
      </c>
      <c r="M985" s="520">
        <v>21.38</v>
      </c>
      <c r="N985" s="507">
        <v>0.10299999999999999</v>
      </c>
      <c r="O985" s="507">
        <v>0.1</v>
      </c>
      <c r="P985" s="507">
        <v>0.112</v>
      </c>
      <c r="Q985" s="78">
        <v>0.44</v>
      </c>
      <c r="R985" s="78">
        <v>0.31740000000000002</v>
      </c>
      <c r="S985" s="69">
        <v>2.5000000000000001E-2</v>
      </c>
      <c r="T985" s="69">
        <v>0.01</v>
      </c>
      <c r="U985" s="507">
        <v>0.85</v>
      </c>
      <c r="V985" s="76">
        <v>0</v>
      </c>
      <c r="W985" s="76">
        <v>0</v>
      </c>
      <c r="X985" s="76" t="s">
        <v>147</v>
      </c>
      <c r="Y985" s="519" t="s">
        <v>469</v>
      </c>
    </row>
    <row r="986" spans="1:25" x14ac:dyDescent="0.25">
      <c r="A986" s="75" t="str">
        <f t="shared" si="35"/>
        <v>Exclusiva PFAE Premier Mercado_Abierto Pago_Fijo_Puntual 25</v>
      </c>
      <c r="B986" s="75" t="str">
        <f t="shared" si="34"/>
        <v>Exclusiva PFAE Premier Mercado_Abierto Pago_Fijo_Puntual 25 0.0965</v>
      </c>
      <c r="C986" s="75" t="s">
        <v>116</v>
      </c>
      <c r="D986" s="75" t="s">
        <v>168</v>
      </c>
      <c r="E986" s="75" t="s">
        <v>143</v>
      </c>
      <c r="F986" s="75"/>
      <c r="G986" s="75" t="s">
        <v>396</v>
      </c>
      <c r="H986" s="75"/>
      <c r="I986" s="75" t="s">
        <v>171</v>
      </c>
      <c r="J986" s="76">
        <v>25</v>
      </c>
      <c r="K986" s="516" t="s">
        <v>385</v>
      </c>
      <c r="L986" s="517">
        <v>9.11</v>
      </c>
      <c r="M986" s="517">
        <v>9.77</v>
      </c>
      <c r="N986" s="518">
        <v>9.6500000000000002E-2</v>
      </c>
      <c r="O986" s="518">
        <v>9.1999999999999998E-2</v>
      </c>
      <c r="P986" s="518">
        <v>0.10249999999999999</v>
      </c>
      <c r="Q986" s="78">
        <v>0.44</v>
      </c>
      <c r="R986" s="78">
        <v>0.31740000000000002</v>
      </c>
      <c r="S986" s="69">
        <v>2.5000000000000001E-2</v>
      </c>
      <c r="T986" s="69">
        <v>0.01</v>
      </c>
      <c r="U986" s="518">
        <v>0.7</v>
      </c>
      <c r="V986" s="76">
        <v>0</v>
      </c>
      <c r="W986" s="76">
        <v>0</v>
      </c>
      <c r="X986" s="76"/>
      <c r="Y986" s="516" t="s">
        <v>470</v>
      </c>
    </row>
    <row r="987" spans="1:25" x14ac:dyDescent="0.25">
      <c r="A987" s="75" t="str">
        <f t="shared" si="35"/>
        <v>Exclusiva PFAE Premier Mercado_Abierto Pago_Fijo_Puntual 25</v>
      </c>
      <c r="B987" s="75" t="str">
        <f t="shared" si="34"/>
        <v>Exclusiva PFAE Premier Mercado_Abierto Pago_Fijo_Puntual 25 0.103</v>
      </c>
      <c r="C987" s="75" t="s">
        <v>116</v>
      </c>
      <c r="D987" s="75" t="s">
        <v>168</v>
      </c>
      <c r="E987" s="75" t="s">
        <v>143</v>
      </c>
      <c r="F987" s="75"/>
      <c r="G987" s="75" t="s">
        <v>396</v>
      </c>
      <c r="H987" s="75"/>
      <c r="I987" s="75" t="s">
        <v>171</v>
      </c>
      <c r="J987" s="76">
        <v>25</v>
      </c>
      <c r="K987" s="516" t="s">
        <v>386</v>
      </c>
      <c r="L987" s="517">
        <v>9.65</v>
      </c>
      <c r="M987" s="517">
        <v>10.31</v>
      </c>
      <c r="N987" s="518">
        <v>0.10299999999999999</v>
      </c>
      <c r="O987" s="518">
        <v>0.1</v>
      </c>
      <c r="P987" s="518">
        <v>0.112</v>
      </c>
      <c r="Q987" s="78">
        <v>0.44</v>
      </c>
      <c r="R987" s="78">
        <v>0.31740000000000002</v>
      </c>
      <c r="S987" s="69">
        <v>2.5000000000000001E-2</v>
      </c>
      <c r="T987" s="69">
        <v>0.01</v>
      </c>
      <c r="U987" s="518">
        <v>0.7</v>
      </c>
      <c r="V987" s="76">
        <v>0</v>
      </c>
      <c r="W987" s="76">
        <v>0</v>
      </c>
      <c r="X987" s="76"/>
      <c r="Y987" s="516" t="s">
        <v>470</v>
      </c>
    </row>
    <row r="988" spans="1:25" x14ac:dyDescent="0.25">
      <c r="A988" s="75" t="str">
        <f t="shared" si="35"/>
        <v>Exclusiva PFAE Premier Mercado_Abierto Pago_Fijo_Puntual 20</v>
      </c>
      <c r="B988" s="75" t="str">
        <f t="shared" si="34"/>
        <v>Exclusiva PFAE Premier Mercado_Abierto Pago_Fijo_Puntual 20 0.0965</v>
      </c>
      <c r="C988" s="75" t="s">
        <v>116</v>
      </c>
      <c r="D988" s="75" t="s">
        <v>168</v>
      </c>
      <c r="E988" s="75" t="s">
        <v>143</v>
      </c>
      <c r="F988" s="75"/>
      <c r="G988" s="75" t="s">
        <v>396</v>
      </c>
      <c r="H988" s="75"/>
      <c r="I988" s="75" t="s">
        <v>171</v>
      </c>
      <c r="J988" s="76">
        <v>20</v>
      </c>
      <c r="K988" s="516" t="s">
        <v>385</v>
      </c>
      <c r="L988" s="517">
        <v>9.66</v>
      </c>
      <c r="M988" s="517">
        <v>10.32</v>
      </c>
      <c r="N988" s="518">
        <v>9.6500000000000002E-2</v>
      </c>
      <c r="O988" s="518">
        <v>9.1999999999999998E-2</v>
      </c>
      <c r="P988" s="518">
        <v>0.10249999999999999</v>
      </c>
      <c r="Q988" s="78">
        <v>0.44</v>
      </c>
      <c r="R988" s="78">
        <v>0.31740000000000002</v>
      </c>
      <c r="S988" s="69">
        <v>2.5000000000000001E-2</v>
      </c>
      <c r="T988" s="69">
        <v>0.01</v>
      </c>
      <c r="U988" s="518">
        <v>0.7</v>
      </c>
      <c r="V988" s="76">
        <v>0</v>
      </c>
      <c r="W988" s="76">
        <v>0</v>
      </c>
      <c r="X988" s="76"/>
      <c r="Y988" s="516" t="s">
        <v>470</v>
      </c>
    </row>
    <row r="989" spans="1:25" x14ac:dyDescent="0.25">
      <c r="A989" s="75" t="str">
        <f t="shared" si="35"/>
        <v>Exclusiva PFAE Premier Mercado_Abierto Pago_Fijo_Puntual 20</v>
      </c>
      <c r="B989" s="75" t="str">
        <f t="shared" si="34"/>
        <v>Exclusiva PFAE Premier Mercado_Abierto Pago_Fijo_Puntual 20 0.103</v>
      </c>
      <c r="C989" s="75" t="s">
        <v>116</v>
      </c>
      <c r="D989" s="75" t="s">
        <v>168</v>
      </c>
      <c r="E989" s="75" t="s">
        <v>143</v>
      </c>
      <c r="F989" s="75"/>
      <c r="G989" s="75" t="s">
        <v>396</v>
      </c>
      <c r="H989" s="75"/>
      <c r="I989" s="75" t="s">
        <v>171</v>
      </c>
      <c r="J989" s="76">
        <v>20</v>
      </c>
      <c r="K989" s="516" t="s">
        <v>386</v>
      </c>
      <c r="L989" s="517">
        <v>10.16</v>
      </c>
      <c r="M989" s="517">
        <v>10.82</v>
      </c>
      <c r="N989" s="518">
        <v>0.10299999999999999</v>
      </c>
      <c r="O989" s="518">
        <v>0.1</v>
      </c>
      <c r="P989" s="518">
        <v>0.112</v>
      </c>
      <c r="Q989" s="78">
        <v>0.44</v>
      </c>
      <c r="R989" s="78">
        <v>0.31740000000000002</v>
      </c>
      <c r="S989" s="69">
        <v>2.5000000000000001E-2</v>
      </c>
      <c r="T989" s="69">
        <v>0.01</v>
      </c>
      <c r="U989" s="518">
        <v>0.7</v>
      </c>
      <c r="V989" s="76">
        <v>0</v>
      </c>
      <c r="W989" s="76">
        <v>0</v>
      </c>
      <c r="X989" s="76"/>
      <c r="Y989" s="516" t="s">
        <v>470</v>
      </c>
    </row>
    <row r="990" spans="1:25" x14ac:dyDescent="0.25">
      <c r="A990" s="75" t="str">
        <f t="shared" si="35"/>
        <v>Exclusiva PFAE Premier Mercado_Abierto Pago_Fijo_Puntual 15</v>
      </c>
      <c r="B990" s="75" t="str">
        <f t="shared" si="34"/>
        <v>Exclusiva PFAE Premier Mercado_Abierto Pago_Fijo_Puntual 15 0.0965</v>
      </c>
      <c r="C990" s="75" t="s">
        <v>116</v>
      </c>
      <c r="D990" s="75" t="s">
        <v>168</v>
      </c>
      <c r="E990" s="75" t="s">
        <v>143</v>
      </c>
      <c r="F990" s="75"/>
      <c r="G990" s="75" t="s">
        <v>396</v>
      </c>
      <c r="H990" s="75"/>
      <c r="I990" s="75" t="s">
        <v>171</v>
      </c>
      <c r="J990" s="76">
        <v>15</v>
      </c>
      <c r="K990" s="516" t="s">
        <v>385</v>
      </c>
      <c r="L990" s="517">
        <v>10.73</v>
      </c>
      <c r="M990" s="517">
        <v>11.39</v>
      </c>
      <c r="N990" s="518">
        <v>9.6500000000000002E-2</v>
      </c>
      <c r="O990" s="518">
        <v>9.1999999999999998E-2</v>
      </c>
      <c r="P990" s="518">
        <v>0.10249999999999999</v>
      </c>
      <c r="Q990" s="78">
        <v>0.44</v>
      </c>
      <c r="R990" s="78">
        <v>0.31740000000000002</v>
      </c>
      <c r="S990" s="69">
        <v>2.5000000000000001E-2</v>
      </c>
      <c r="T990" s="69">
        <v>0.01</v>
      </c>
      <c r="U990" s="518">
        <v>0.7</v>
      </c>
      <c r="V990" s="76">
        <v>0</v>
      </c>
      <c r="W990" s="76">
        <v>0</v>
      </c>
      <c r="X990" s="76"/>
      <c r="Y990" s="516" t="s">
        <v>470</v>
      </c>
    </row>
    <row r="991" spans="1:25" x14ac:dyDescent="0.25">
      <c r="A991" s="75" t="str">
        <f t="shared" si="35"/>
        <v>Exclusiva PFAE Premier Mercado_Abierto Pago_Fijo_Puntual 15</v>
      </c>
      <c r="B991" s="75" t="str">
        <f t="shared" si="34"/>
        <v>Exclusiva PFAE Premier Mercado_Abierto Pago_Fijo_Puntual 15 0.103</v>
      </c>
      <c r="C991" s="75" t="s">
        <v>116</v>
      </c>
      <c r="D991" s="75" t="s">
        <v>168</v>
      </c>
      <c r="E991" s="75" t="s">
        <v>143</v>
      </c>
      <c r="F991" s="75"/>
      <c r="G991" s="75" t="s">
        <v>396</v>
      </c>
      <c r="H991" s="75"/>
      <c r="I991" s="75" t="s">
        <v>171</v>
      </c>
      <c r="J991" s="76">
        <v>15</v>
      </c>
      <c r="K991" s="516" t="s">
        <v>386</v>
      </c>
      <c r="L991" s="517">
        <v>11.18</v>
      </c>
      <c r="M991" s="517">
        <v>11.84</v>
      </c>
      <c r="N991" s="518">
        <v>0.10299999999999999</v>
      </c>
      <c r="O991" s="518">
        <v>0.1</v>
      </c>
      <c r="P991" s="518">
        <v>0.112</v>
      </c>
      <c r="Q991" s="78">
        <v>0.44</v>
      </c>
      <c r="R991" s="78">
        <v>0.31740000000000002</v>
      </c>
      <c r="S991" s="69">
        <v>2.5000000000000001E-2</v>
      </c>
      <c r="T991" s="69">
        <v>0.01</v>
      </c>
      <c r="U991" s="518">
        <v>0.7</v>
      </c>
      <c r="V991" s="76">
        <v>0</v>
      </c>
      <c r="W991" s="76">
        <v>0</v>
      </c>
      <c r="X991" s="76"/>
      <c r="Y991" s="516" t="s">
        <v>470</v>
      </c>
    </row>
    <row r="992" spans="1:25" x14ac:dyDescent="0.25">
      <c r="A992" s="75" t="str">
        <f t="shared" si="35"/>
        <v>Exclusiva PFAE Premier Mercado_Abierto Pago_Fijo_Puntual 10</v>
      </c>
      <c r="B992" s="75" t="str">
        <f t="shared" si="34"/>
        <v>Exclusiva PFAE Premier Mercado_Abierto Pago_Fijo_Puntual 10 0.0965</v>
      </c>
      <c r="C992" s="75" t="s">
        <v>116</v>
      </c>
      <c r="D992" s="75" t="s">
        <v>168</v>
      </c>
      <c r="E992" s="75" t="s">
        <v>143</v>
      </c>
      <c r="F992" s="75"/>
      <c r="G992" s="75" t="s">
        <v>396</v>
      </c>
      <c r="H992" s="75"/>
      <c r="I992" s="75" t="s">
        <v>171</v>
      </c>
      <c r="J992" s="76">
        <v>10</v>
      </c>
      <c r="K992" s="516" t="s">
        <v>385</v>
      </c>
      <c r="L992" s="517">
        <v>13.16</v>
      </c>
      <c r="M992" s="517">
        <v>13.82</v>
      </c>
      <c r="N992" s="518">
        <v>9.6500000000000002E-2</v>
      </c>
      <c r="O992" s="518">
        <v>9.1999999999999998E-2</v>
      </c>
      <c r="P992" s="518">
        <v>0.10249999999999999</v>
      </c>
      <c r="Q992" s="78">
        <v>0.44</v>
      </c>
      <c r="R992" s="78">
        <v>0.31740000000000002</v>
      </c>
      <c r="S992" s="69">
        <v>2.5000000000000001E-2</v>
      </c>
      <c r="T992" s="69">
        <v>0.01</v>
      </c>
      <c r="U992" s="518">
        <v>0.7</v>
      </c>
      <c r="V992" s="76">
        <v>0</v>
      </c>
      <c r="W992" s="76">
        <v>0</v>
      </c>
      <c r="X992" s="76"/>
      <c r="Y992" s="516" t="s">
        <v>470</v>
      </c>
    </row>
    <row r="993" spans="1:25" x14ac:dyDescent="0.25">
      <c r="A993" s="75" t="str">
        <f t="shared" si="35"/>
        <v>Exclusiva PFAE Premier Mercado_Abierto Pago_Fijo_Puntual 10</v>
      </c>
      <c r="B993" s="75" t="str">
        <f t="shared" si="34"/>
        <v>Exclusiva PFAE Premier Mercado_Abierto Pago_Fijo_Puntual 10 0.103</v>
      </c>
      <c r="C993" s="75" t="s">
        <v>116</v>
      </c>
      <c r="D993" s="75" t="s">
        <v>168</v>
      </c>
      <c r="E993" s="75" t="s">
        <v>143</v>
      </c>
      <c r="F993" s="75"/>
      <c r="G993" s="75" t="s">
        <v>396</v>
      </c>
      <c r="H993" s="75"/>
      <c r="I993" s="75" t="s">
        <v>171</v>
      </c>
      <c r="J993" s="76">
        <v>10</v>
      </c>
      <c r="K993" s="516" t="s">
        <v>386</v>
      </c>
      <c r="L993" s="517">
        <v>13.54</v>
      </c>
      <c r="M993" s="517">
        <v>14.2</v>
      </c>
      <c r="N993" s="518">
        <v>0.10299999999999999</v>
      </c>
      <c r="O993" s="518">
        <v>0.1</v>
      </c>
      <c r="P993" s="518">
        <v>0.112</v>
      </c>
      <c r="Q993" s="78">
        <v>0.44</v>
      </c>
      <c r="R993" s="78">
        <v>0.31740000000000002</v>
      </c>
      <c r="S993" s="69">
        <v>2.5000000000000001E-2</v>
      </c>
      <c r="T993" s="69">
        <v>0.01</v>
      </c>
      <c r="U993" s="518">
        <v>0.7</v>
      </c>
      <c r="V993" s="76">
        <v>0</v>
      </c>
      <c r="W993" s="76">
        <v>0</v>
      </c>
      <c r="X993" s="76"/>
      <c r="Y993" s="516" t="s">
        <v>470</v>
      </c>
    </row>
    <row r="994" spans="1:25" x14ac:dyDescent="0.25">
      <c r="A994" s="75" t="str">
        <f t="shared" si="35"/>
        <v>Exclusiva PFAE Premier Mercado_Abierto Pago_Fijo_Puntual 5</v>
      </c>
      <c r="B994" s="75" t="str">
        <f t="shared" si="34"/>
        <v>Exclusiva PFAE Premier Mercado_Abierto Pago_Fijo_Puntual 5 0.0965</v>
      </c>
      <c r="C994" s="75" t="s">
        <v>116</v>
      </c>
      <c r="D994" s="75" t="s">
        <v>168</v>
      </c>
      <c r="E994" s="75" t="s">
        <v>143</v>
      </c>
      <c r="F994" s="75"/>
      <c r="G994" s="75" t="s">
        <v>396</v>
      </c>
      <c r="H994" s="75"/>
      <c r="I994" s="75" t="s">
        <v>171</v>
      </c>
      <c r="J994" s="76">
        <v>5</v>
      </c>
      <c r="K994" s="516" t="s">
        <v>385</v>
      </c>
      <c r="L994" s="517">
        <v>21.12</v>
      </c>
      <c r="M994" s="517">
        <v>21.78</v>
      </c>
      <c r="N994" s="518">
        <v>9.6500000000000002E-2</v>
      </c>
      <c r="O994" s="518">
        <v>9.1999999999999998E-2</v>
      </c>
      <c r="P994" s="518">
        <v>0.10249999999999999</v>
      </c>
      <c r="Q994" s="78">
        <v>0.44</v>
      </c>
      <c r="R994" s="78">
        <v>0.31740000000000002</v>
      </c>
      <c r="S994" s="69">
        <v>2.5000000000000001E-2</v>
      </c>
      <c r="T994" s="69">
        <v>0.01</v>
      </c>
      <c r="U994" s="518">
        <v>0.7</v>
      </c>
      <c r="V994" s="76">
        <v>0</v>
      </c>
      <c r="W994" s="76">
        <v>0</v>
      </c>
      <c r="X994" s="76"/>
      <c r="Y994" s="516" t="s">
        <v>470</v>
      </c>
    </row>
    <row r="995" spans="1:25" x14ac:dyDescent="0.25">
      <c r="A995" s="75" t="str">
        <f t="shared" si="35"/>
        <v>Exclusiva PFAE Premier Mercado_Abierto Pago_Fijo_Puntual 5</v>
      </c>
      <c r="B995" s="75" t="str">
        <f t="shared" si="34"/>
        <v>Exclusiva PFAE Premier Mercado_Abierto Pago_Fijo_Puntual 5 0.103</v>
      </c>
      <c r="C995" s="75" t="s">
        <v>116</v>
      </c>
      <c r="D995" s="75" t="s">
        <v>168</v>
      </c>
      <c r="E995" s="75" t="s">
        <v>143</v>
      </c>
      <c r="F995" s="75"/>
      <c r="G995" s="75" t="s">
        <v>396</v>
      </c>
      <c r="H995" s="75"/>
      <c r="I995" s="75" t="s">
        <v>171</v>
      </c>
      <c r="J995" s="76">
        <v>5</v>
      </c>
      <c r="K995" s="516" t="s">
        <v>386</v>
      </c>
      <c r="L995" s="517">
        <v>21.44</v>
      </c>
      <c r="M995" s="517">
        <v>22.1</v>
      </c>
      <c r="N995" s="518">
        <v>0.10299999999999999</v>
      </c>
      <c r="O995" s="518">
        <v>0.1</v>
      </c>
      <c r="P995" s="518">
        <v>0.112</v>
      </c>
      <c r="Q995" s="78">
        <v>0.44</v>
      </c>
      <c r="R995" s="78">
        <v>0.31740000000000002</v>
      </c>
      <c r="S995" s="69">
        <v>2.5000000000000001E-2</v>
      </c>
      <c r="T995" s="69">
        <v>0.01</v>
      </c>
      <c r="U995" s="518">
        <v>0.7</v>
      </c>
      <c r="V995" s="76">
        <v>0</v>
      </c>
      <c r="W995" s="76">
        <v>0</v>
      </c>
      <c r="X995" s="76"/>
      <c r="Y995" s="516" t="s">
        <v>470</v>
      </c>
    </row>
    <row r="996" spans="1:25" x14ac:dyDescent="0.25">
      <c r="A996" s="75" t="str">
        <f t="shared" si="35"/>
        <v>Exclusiva PFAE Premier Mercado_Abierto Pago_Bajo_Puntual 25</v>
      </c>
      <c r="B996" s="75" t="str">
        <f t="shared" si="34"/>
        <v>Exclusiva PFAE Premier Mercado_Abierto Pago_Bajo_Puntual 25 0.0965</v>
      </c>
      <c r="C996" s="75" t="s">
        <v>116</v>
      </c>
      <c r="D996" s="75" t="s">
        <v>168</v>
      </c>
      <c r="E996" s="75" t="s">
        <v>143</v>
      </c>
      <c r="F996" s="75"/>
      <c r="G996" s="75" t="s">
        <v>396</v>
      </c>
      <c r="H996" s="75"/>
      <c r="I996" s="75" t="s">
        <v>170</v>
      </c>
      <c r="J996" s="523">
        <v>25</v>
      </c>
      <c r="K996" s="516" t="s">
        <v>385</v>
      </c>
      <c r="L996" s="517">
        <v>8.1</v>
      </c>
      <c r="M996" s="517">
        <v>8.76</v>
      </c>
      <c r="N996" s="518">
        <v>9.6500000000000002E-2</v>
      </c>
      <c r="O996" s="518">
        <v>9.1999999999999998E-2</v>
      </c>
      <c r="P996" s="518">
        <v>0.10249999999999999</v>
      </c>
      <c r="Q996" s="78">
        <v>0.44</v>
      </c>
      <c r="R996" s="78">
        <v>0.31740000000000002</v>
      </c>
      <c r="S996" s="69">
        <v>2.5000000000000001E-2</v>
      </c>
      <c r="T996" s="69">
        <v>0.01</v>
      </c>
      <c r="U996" s="518">
        <v>0.7</v>
      </c>
      <c r="V996" s="76">
        <v>0</v>
      </c>
      <c r="W996" s="76">
        <v>0</v>
      </c>
      <c r="X996" s="76"/>
      <c r="Y996" s="516" t="s">
        <v>470</v>
      </c>
    </row>
    <row r="997" spans="1:25" x14ac:dyDescent="0.25">
      <c r="A997" s="75" t="str">
        <f t="shared" si="35"/>
        <v>Exclusiva PFAE Premier Mercado_Abierto Pago_Bajo_Puntual 25</v>
      </c>
      <c r="B997" s="75" t="str">
        <f t="shared" si="34"/>
        <v>Exclusiva PFAE Premier Mercado_Abierto Pago_Bajo_Puntual 25 0.103</v>
      </c>
      <c r="C997" s="75" t="s">
        <v>116</v>
      </c>
      <c r="D997" s="75" t="s">
        <v>168</v>
      </c>
      <c r="E997" s="75" t="s">
        <v>143</v>
      </c>
      <c r="F997" s="75"/>
      <c r="G997" s="75" t="s">
        <v>396</v>
      </c>
      <c r="H997" s="75"/>
      <c r="I997" s="75" t="s">
        <v>170</v>
      </c>
      <c r="J997" s="523">
        <v>25</v>
      </c>
      <c r="K997" s="516" t="s">
        <v>386</v>
      </c>
      <c r="L997" s="517">
        <v>8.64</v>
      </c>
      <c r="M997" s="517">
        <v>9.3000000000000007</v>
      </c>
      <c r="N997" s="518">
        <v>0.10299999999999999</v>
      </c>
      <c r="O997" s="518">
        <v>0.1</v>
      </c>
      <c r="P997" s="518">
        <v>0.112</v>
      </c>
      <c r="Q997" s="78">
        <v>0.44</v>
      </c>
      <c r="R997" s="78">
        <v>0.31740000000000002</v>
      </c>
      <c r="S997" s="69">
        <v>2.5000000000000001E-2</v>
      </c>
      <c r="T997" s="69">
        <v>0.01</v>
      </c>
      <c r="U997" s="518">
        <v>0.7</v>
      </c>
      <c r="V997" s="76">
        <v>0</v>
      </c>
      <c r="W997" s="76">
        <v>0</v>
      </c>
      <c r="X997" s="76"/>
      <c r="Y997" s="516" t="s">
        <v>470</v>
      </c>
    </row>
    <row r="998" spans="1:25" x14ac:dyDescent="0.25">
      <c r="A998" s="75" t="str">
        <f t="shared" si="35"/>
        <v>Exclusiva PFAE Premier Mercado_Abierto Pago_Bajo_Puntual 20</v>
      </c>
      <c r="B998" s="75" t="str">
        <f t="shared" si="34"/>
        <v>Exclusiva PFAE Premier Mercado_Abierto Pago_Bajo_Puntual 20 0.0965</v>
      </c>
      <c r="C998" s="75" t="s">
        <v>116</v>
      </c>
      <c r="D998" s="75" t="s">
        <v>168</v>
      </c>
      <c r="E998" s="75" t="s">
        <v>143</v>
      </c>
      <c r="F998" s="75"/>
      <c r="G998" s="75" t="s">
        <v>396</v>
      </c>
      <c r="H998" s="75"/>
      <c r="I998" s="75" t="s">
        <v>170</v>
      </c>
      <c r="J998" s="76">
        <v>20</v>
      </c>
      <c r="K998" s="516" t="s">
        <v>385</v>
      </c>
      <c r="L998" s="517">
        <v>8.52</v>
      </c>
      <c r="M998" s="517">
        <v>9.18</v>
      </c>
      <c r="N998" s="518">
        <v>9.6500000000000002E-2</v>
      </c>
      <c r="O998" s="518">
        <v>9.1999999999999998E-2</v>
      </c>
      <c r="P998" s="518">
        <v>0.10249999999999999</v>
      </c>
      <c r="Q998" s="78">
        <v>0.44</v>
      </c>
      <c r="R998" s="78">
        <v>0.31740000000000002</v>
      </c>
      <c r="S998" s="69">
        <v>2.5000000000000001E-2</v>
      </c>
      <c r="T998" s="69">
        <v>0.01</v>
      </c>
      <c r="U998" s="518">
        <v>0.7</v>
      </c>
      <c r="V998" s="76">
        <v>0</v>
      </c>
      <c r="W998" s="76">
        <v>0</v>
      </c>
      <c r="X998" s="76"/>
      <c r="Y998" s="516" t="s">
        <v>470</v>
      </c>
    </row>
    <row r="999" spans="1:25" x14ac:dyDescent="0.25">
      <c r="A999" s="75" t="str">
        <f t="shared" si="35"/>
        <v>Exclusiva PFAE Premier Mercado_Abierto Pago_Bajo_Puntual 20</v>
      </c>
      <c r="B999" s="75" t="str">
        <f t="shared" si="34"/>
        <v>Exclusiva PFAE Premier Mercado_Abierto Pago_Bajo_Puntual 20 0.103</v>
      </c>
      <c r="C999" s="75" t="s">
        <v>116</v>
      </c>
      <c r="D999" s="75" t="s">
        <v>168</v>
      </c>
      <c r="E999" s="75" t="s">
        <v>143</v>
      </c>
      <c r="F999" s="75"/>
      <c r="G999" s="75" t="s">
        <v>396</v>
      </c>
      <c r="H999" s="75"/>
      <c r="I999" s="75" t="s">
        <v>170</v>
      </c>
      <c r="J999" s="76">
        <v>20</v>
      </c>
      <c r="K999" s="516" t="s">
        <v>386</v>
      </c>
      <c r="L999" s="517">
        <v>9</v>
      </c>
      <c r="M999" s="517">
        <v>9.66</v>
      </c>
      <c r="N999" s="518">
        <v>0.10299999999999999</v>
      </c>
      <c r="O999" s="518">
        <v>0.1</v>
      </c>
      <c r="P999" s="518">
        <v>0.112</v>
      </c>
      <c r="Q999" s="78">
        <v>0.44</v>
      </c>
      <c r="R999" s="78">
        <v>0.31740000000000002</v>
      </c>
      <c r="S999" s="69">
        <v>2.5000000000000001E-2</v>
      </c>
      <c r="T999" s="69">
        <v>0.01</v>
      </c>
      <c r="U999" s="518">
        <v>0.7</v>
      </c>
      <c r="V999" s="76">
        <v>0</v>
      </c>
      <c r="W999" s="76">
        <v>0</v>
      </c>
      <c r="X999" s="76"/>
      <c r="Y999" s="516" t="s">
        <v>470</v>
      </c>
    </row>
    <row r="1000" spans="1:25" x14ac:dyDescent="0.25">
      <c r="A1000" s="75" t="str">
        <f t="shared" si="35"/>
        <v>Exclusiva PFAE Premier Mercado_Abierto Pago_Bajo_Puntual 15</v>
      </c>
      <c r="B1000" s="75" t="str">
        <f t="shared" si="34"/>
        <v>Exclusiva PFAE Premier Mercado_Abierto Pago_Bajo_Puntual 15 0.0965</v>
      </c>
      <c r="C1000" s="75" t="s">
        <v>116</v>
      </c>
      <c r="D1000" s="75" t="s">
        <v>168</v>
      </c>
      <c r="E1000" s="75" t="s">
        <v>143</v>
      </c>
      <c r="F1000" s="75"/>
      <c r="G1000" s="75" t="s">
        <v>396</v>
      </c>
      <c r="H1000" s="75"/>
      <c r="I1000" s="75" t="s">
        <v>170</v>
      </c>
      <c r="J1000" s="76">
        <v>15</v>
      </c>
      <c r="K1000" s="516" t="s">
        <v>385</v>
      </c>
      <c r="L1000" s="517">
        <v>9.6999999999999993</v>
      </c>
      <c r="M1000" s="517">
        <v>10.36</v>
      </c>
      <c r="N1000" s="518">
        <v>9.6500000000000002E-2</v>
      </c>
      <c r="O1000" s="518">
        <v>9.1999999999999998E-2</v>
      </c>
      <c r="P1000" s="518">
        <v>0.10249999999999999</v>
      </c>
      <c r="Q1000" s="78">
        <v>0.44</v>
      </c>
      <c r="R1000" s="78">
        <v>0.31740000000000002</v>
      </c>
      <c r="S1000" s="69">
        <v>2.5000000000000001E-2</v>
      </c>
      <c r="T1000" s="69">
        <v>0.01</v>
      </c>
      <c r="U1000" s="518">
        <v>0.7</v>
      </c>
      <c r="V1000" s="76">
        <v>0</v>
      </c>
      <c r="W1000" s="76">
        <v>0</v>
      </c>
      <c r="X1000" s="76"/>
      <c r="Y1000" s="516" t="s">
        <v>470</v>
      </c>
    </row>
    <row r="1001" spans="1:25" x14ac:dyDescent="0.25">
      <c r="A1001" s="75" t="str">
        <f t="shared" si="35"/>
        <v>Exclusiva PFAE Premier Mercado_Abierto Pago_Bajo_Puntual 15</v>
      </c>
      <c r="B1001" s="75" t="str">
        <f t="shared" si="34"/>
        <v>Exclusiva PFAE Premier Mercado_Abierto Pago_Bajo_Puntual 15 0.103</v>
      </c>
      <c r="C1001" s="75" t="s">
        <v>116</v>
      </c>
      <c r="D1001" s="75" t="s">
        <v>168</v>
      </c>
      <c r="E1001" s="75" t="s">
        <v>143</v>
      </c>
      <c r="F1001" s="75"/>
      <c r="G1001" s="75" t="s">
        <v>396</v>
      </c>
      <c r="H1001" s="75"/>
      <c r="I1001" s="75" t="s">
        <v>170</v>
      </c>
      <c r="J1001" s="76">
        <v>15</v>
      </c>
      <c r="K1001" s="516" t="s">
        <v>386</v>
      </c>
      <c r="L1001" s="517">
        <v>10.119999999999999</v>
      </c>
      <c r="M1001" s="517">
        <v>10.78</v>
      </c>
      <c r="N1001" s="518">
        <v>0.10299999999999999</v>
      </c>
      <c r="O1001" s="518">
        <v>0.1</v>
      </c>
      <c r="P1001" s="518">
        <v>0.112</v>
      </c>
      <c r="Q1001" s="78">
        <v>0.44</v>
      </c>
      <c r="R1001" s="78">
        <v>0.31740000000000002</v>
      </c>
      <c r="S1001" s="69">
        <v>2.5000000000000001E-2</v>
      </c>
      <c r="T1001" s="69">
        <v>0.01</v>
      </c>
      <c r="U1001" s="518">
        <v>0.7</v>
      </c>
      <c r="V1001" s="76">
        <v>0</v>
      </c>
      <c r="W1001" s="76">
        <v>0</v>
      </c>
      <c r="X1001" s="76"/>
      <c r="Y1001" s="516" t="s">
        <v>470</v>
      </c>
    </row>
    <row r="1002" spans="1:25" x14ac:dyDescent="0.25">
      <c r="A1002" s="75" t="str">
        <f t="shared" si="35"/>
        <v>Exclusiva PFAE Premier Mercado_Abierto Pago_Bajo_Puntual 10</v>
      </c>
      <c r="B1002" s="75" t="str">
        <f t="shared" si="34"/>
        <v>Exclusiva PFAE Premier Mercado_Abierto Pago_Bajo_Puntual 10 0.0965</v>
      </c>
      <c r="C1002" s="75" t="s">
        <v>116</v>
      </c>
      <c r="D1002" s="75" t="s">
        <v>168</v>
      </c>
      <c r="E1002" s="75" t="s">
        <v>143</v>
      </c>
      <c r="F1002" s="75"/>
      <c r="G1002" s="75" t="s">
        <v>396</v>
      </c>
      <c r="H1002" s="75"/>
      <c r="I1002" s="75" t="s">
        <v>170</v>
      </c>
      <c r="J1002" s="76">
        <v>10</v>
      </c>
      <c r="K1002" s="516" t="s">
        <v>385</v>
      </c>
      <c r="L1002" s="517">
        <v>12.25</v>
      </c>
      <c r="M1002" s="517">
        <v>12.91</v>
      </c>
      <c r="N1002" s="518">
        <v>9.6500000000000002E-2</v>
      </c>
      <c r="O1002" s="518">
        <v>9.1999999999999998E-2</v>
      </c>
      <c r="P1002" s="518">
        <v>0.10249999999999999</v>
      </c>
      <c r="Q1002" s="78">
        <v>0.44</v>
      </c>
      <c r="R1002" s="78">
        <v>0.31740000000000002</v>
      </c>
      <c r="S1002" s="69">
        <v>2.5000000000000001E-2</v>
      </c>
      <c r="T1002" s="69">
        <v>0.01</v>
      </c>
      <c r="U1002" s="518">
        <v>0.7</v>
      </c>
      <c r="V1002" s="76">
        <v>0</v>
      </c>
      <c r="W1002" s="76">
        <v>0</v>
      </c>
      <c r="X1002" s="76"/>
      <c r="Y1002" s="516" t="s">
        <v>470</v>
      </c>
    </row>
    <row r="1003" spans="1:25" x14ac:dyDescent="0.25">
      <c r="A1003" s="75" t="str">
        <f t="shared" si="35"/>
        <v>Exclusiva PFAE Premier Mercado_Abierto Pago_Bajo_Puntual 10</v>
      </c>
      <c r="B1003" s="75" t="str">
        <f t="shared" si="34"/>
        <v>Exclusiva PFAE Premier Mercado_Abierto Pago_Bajo_Puntual 10 0.103</v>
      </c>
      <c r="C1003" s="75" t="s">
        <v>116</v>
      </c>
      <c r="D1003" s="75" t="s">
        <v>168</v>
      </c>
      <c r="E1003" s="75" t="s">
        <v>143</v>
      </c>
      <c r="F1003" s="75"/>
      <c r="G1003" s="75" t="s">
        <v>396</v>
      </c>
      <c r="H1003" s="75"/>
      <c r="I1003" s="75" t="s">
        <v>170</v>
      </c>
      <c r="J1003" s="76">
        <v>10</v>
      </c>
      <c r="K1003" s="516" t="s">
        <v>386</v>
      </c>
      <c r="L1003" s="517">
        <v>12.62</v>
      </c>
      <c r="M1003" s="517">
        <v>13.28</v>
      </c>
      <c r="N1003" s="518">
        <v>0.10299999999999999</v>
      </c>
      <c r="O1003" s="518">
        <v>0.1</v>
      </c>
      <c r="P1003" s="518">
        <v>0.112</v>
      </c>
      <c r="Q1003" s="78">
        <v>0.44</v>
      </c>
      <c r="R1003" s="78">
        <v>0.31740000000000002</v>
      </c>
      <c r="S1003" s="69">
        <v>2.5000000000000001E-2</v>
      </c>
      <c r="T1003" s="69">
        <v>0.01</v>
      </c>
      <c r="U1003" s="518">
        <v>0.7</v>
      </c>
      <c r="V1003" s="76">
        <v>0</v>
      </c>
      <c r="W1003" s="76">
        <v>0</v>
      </c>
      <c r="X1003" s="76"/>
      <c r="Y1003" s="516" t="s">
        <v>470</v>
      </c>
    </row>
    <row r="1004" spans="1:25" x14ac:dyDescent="0.25">
      <c r="A1004" s="75" t="str">
        <f t="shared" si="35"/>
        <v>Exclusiva PFAE Premier Mercado_Abierto Pago_Bajo_Puntual 5</v>
      </c>
      <c r="B1004" s="75" t="str">
        <f t="shared" si="34"/>
        <v>Exclusiva PFAE Premier Mercado_Abierto Pago_Bajo_Puntual 5 0.0965</v>
      </c>
      <c r="C1004" s="75" t="s">
        <v>116</v>
      </c>
      <c r="D1004" s="75" t="s">
        <v>168</v>
      </c>
      <c r="E1004" s="75" t="s">
        <v>143</v>
      </c>
      <c r="F1004" s="75"/>
      <c r="G1004" s="75" t="s">
        <v>396</v>
      </c>
      <c r="H1004" s="75"/>
      <c r="I1004" s="75" t="s">
        <v>170</v>
      </c>
      <c r="J1004" s="76">
        <v>5</v>
      </c>
      <c r="K1004" s="516" t="s">
        <v>385</v>
      </c>
      <c r="L1004" s="517">
        <v>20.399999999999999</v>
      </c>
      <c r="M1004" s="517">
        <v>21.06</v>
      </c>
      <c r="N1004" s="518">
        <v>9.6500000000000002E-2</v>
      </c>
      <c r="O1004" s="518">
        <v>9.1999999999999998E-2</v>
      </c>
      <c r="P1004" s="518">
        <v>0.10249999999999999</v>
      </c>
      <c r="Q1004" s="78">
        <v>0.44</v>
      </c>
      <c r="R1004" s="78">
        <v>0.31740000000000002</v>
      </c>
      <c r="S1004" s="69">
        <v>2.5000000000000001E-2</v>
      </c>
      <c r="T1004" s="69">
        <v>0.01</v>
      </c>
      <c r="U1004" s="518">
        <v>0.7</v>
      </c>
      <c r="V1004" s="76">
        <v>0</v>
      </c>
      <c r="W1004" s="76">
        <v>0</v>
      </c>
      <c r="X1004" s="76"/>
      <c r="Y1004" s="516" t="s">
        <v>470</v>
      </c>
    </row>
    <row r="1005" spans="1:25" x14ac:dyDescent="0.25">
      <c r="A1005" s="75" t="str">
        <f t="shared" si="35"/>
        <v>Exclusiva PFAE Premier Mercado_Abierto Pago_Bajo_Puntual 5</v>
      </c>
      <c r="B1005" s="75" t="str">
        <f t="shared" si="34"/>
        <v>Exclusiva PFAE Premier Mercado_Abierto Pago_Bajo_Puntual 5 0.103</v>
      </c>
      <c r="C1005" s="75" t="s">
        <v>116</v>
      </c>
      <c r="D1005" s="75" t="s">
        <v>168</v>
      </c>
      <c r="E1005" s="75" t="s">
        <v>143</v>
      </c>
      <c r="F1005" s="75"/>
      <c r="G1005" s="75" t="s">
        <v>396</v>
      </c>
      <c r="H1005" s="75"/>
      <c r="I1005" s="75" t="s">
        <v>170</v>
      </c>
      <c r="J1005" s="76">
        <v>5</v>
      </c>
      <c r="K1005" s="516" t="s">
        <v>386</v>
      </c>
      <c r="L1005" s="517">
        <v>20.72</v>
      </c>
      <c r="M1005" s="517">
        <v>21.38</v>
      </c>
      <c r="N1005" s="518">
        <v>0.10299999999999999</v>
      </c>
      <c r="O1005" s="518">
        <v>0.1</v>
      </c>
      <c r="P1005" s="518">
        <v>0.112</v>
      </c>
      <c r="Q1005" s="78">
        <v>0.44</v>
      </c>
      <c r="R1005" s="78">
        <v>0.31740000000000002</v>
      </c>
      <c r="S1005" s="69">
        <v>2.5000000000000001E-2</v>
      </c>
      <c r="T1005" s="69">
        <v>0.01</v>
      </c>
      <c r="U1005" s="518">
        <v>0.7</v>
      </c>
      <c r="V1005" s="76">
        <v>0</v>
      </c>
      <c r="W1005" s="76">
        <v>0</v>
      </c>
      <c r="X1005" s="76"/>
      <c r="Y1005" s="516" t="s">
        <v>470</v>
      </c>
    </row>
    <row r="1006" spans="1:25" x14ac:dyDescent="0.25">
      <c r="A1006" s="75" t="str">
        <f t="shared" si="35"/>
        <v>Exclusiva PROF No_Premier Normal Mercado_Abierto Pago_Fijo_Puntual Si 25</v>
      </c>
      <c r="B1006" s="75" t="str">
        <f t="shared" si="34"/>
        <v>Exclusiva PROF No_Premier Normal Mercado_Abierto Pago_Fijo_Puntual Si 25 0.103</v>
      </c>
      <c r="C1006" s="75" t="s">
        <v>116</v>
      </c>
      <c r="D1006" s="75" t="s">
        <v>169</v>
      </c>
      <c r="E1006" s="75" t="s">
        <v>179</v>
      </c>
      <c r="F1006" s="75" t="s">
        <v>180</v>
      </c>
      <c r="G1006" s="75" t="s">
        <v>396</v>
      </c>
      <c r="H1006" s="75"/>
      <c r="I1006" s="75" t="s">
        <v>171</v>
      </c>
      <c r="J1006" s="76">
        <v>25</v>
      </c>
      <c r="K1006" s="519" t="s">
        <v>387</v>
      </c>
      <c r="L1006" s="520">
        <v>9.65</v>
      </c>
      <c r="M1006" s="520">
        <v>10.31</v>
      </c>
      <c r="N1006" s="507">
        <v>0.10299999999999999</v>
      </c>
      <c r="O1006" s="507">
        <v>0.1</v>
      </c>
      <c r="P1006" s="507">
        <v>0.112</v>
      </c>
      <c r="Q1006" s="78">
        <v>0.44</v>
      </c>
      <c r="R1006" s="78">
        <v>0.31740000000000002</v>
      </c>
      <c r="S1006" s="69">
        <v>2.5000000000000001E-2</v>
      </c>
      <c r="T1006" s="69">
        <v>0.01</v>
      </c>
      <c r="U1006" s="507">
        <v>0.85</v>
      </c>
      <c r="V1006" s="76">
        <v>0</v>
      </c>
      <c r="W1006" s="76">
        <v>0</v>
      </c>
      <c r="X1006" s="76" t="s">
        <v>147</v>
      </c>
      <c r="Y1006" s="519" t="s">
        <v>469</v>
      </c>
    </row>
    <row r="1007" spans="1:25" x14ac:dyDescent="0.25">
      <c r="A1007" s="75" t="str">
        <f t="shared" si="35"/>
        <v>Exclusiva PROF No_Premier Normal Mercado_Abierto Pago_Fijo_Puntual Si 20</v>
      </c>
      <c r="B1007" s="75" t="str">
        <f t="shared" si="34"/>
        <v>Exclusiva PROF No_Premier Normal Mercado_Abierto Pago_Fijo_Puntual Si 20 0.103</v>
      </c>
      <c r="C1007" s="75" t="s">
        <v>116</v>
      </c>
      <c r="D1007" s="75" t="s">
        <v>169</v>
      </c>
      <c r="E1007" s="75" t="s">
        <v>179</v>
      </c>
      <c r="F1007" s="75" t="s">
        <v>180</v>
      </c>
      <c r="G1007" s="75" t="s">
        <v>396</v>
      </c>
      <c r="H1007" s="75"/>
      <c r="I1007" s="75" t="s">
        <v>171</v>
      </c>
      <c r="J1007" s="76">
        <v>20</v>
      </c>
      <c r="K1007" s="519" t="s">
        <v>387</v>
      </c>
      <c r="L1007" s="520">
        <v>10.16</v>
      </c>
      <c r="M1007" s="520">
        <v>10.82</v>
      </c>
      <c r="N1007" s="507">
        <v>0.10299999999999999</v>
      </c>
      <c r="O1007" s="507">
        <v>0.1</v>
      </c>
      <c r="P1007" s="507">
        <v>0.112</v>
      </c>
      <c r="Q1007" s="78">
        <v>0.44</v>
      </c>
      <c r="R1007" s="78">
        <v>0.31740000000000002</v>
      </c>
      <c r="S1007" s="69">
        <v>2.5000000000000001E-2</v>
      </c>
      <c r="T1007" s="69">
        <v>0.01</v>
      </c>
      <c r="U1007" s="507">
        <v>0.85</v>
      </c>
      <c r="V1007" s="76">
        <v>0</v>
      </c>
      <c r="W1007" s="76">
        <v>0</v>
      </c>
      <c r="X1007" s="76" t="s">
        <v>147</v>
      </c>
      <c r="Y1007" s="519" t="s">
        <v>469</v>
      </c>
    </row>
    <row r="1008" spans="1:25" x14ac:dyDescent="0.25">
      <c r="A1008" s="75" t="str">
        <f t="shared" si="35"/>
        <v>Exclusiva PROF No_Premier Normal Mercado_Abierto Pago_Fijo_Puntual Si 15</v>
      </c>
      <c r="B1008" s="75" t="str">
        <f t="shared" si="34"/>
        <v>Exclusiva PROF No_Premier Normal Mercado_Abierto Pago_Fijo_Puntual Si 15 0.103</v>
      </c>
      <c r="C1008" s="75" t="s">
        <v>116</v>
      </c>
      <c r="D1008" s="75" t="s">
        <v>169</v>
      </c>
      <c r="E1008" s="75" t="s">
        <v>179</v>
      </c>
      <c r="F1008" s="75" t="s">
        <v>180</v>
      </c>
      <c r="G1008" s="75" t="s">
        <v>396</v>
      </c>
      <c r="H1008" s="75"/>
      <c r="I1008" s="75" t="s">
        <v>171</v>
      </c>
      <c r="J1008" s="76">
        <v>15</v>
      </c>
      <c r="K1008" s="519" t="s">
        <v>387</v>
      </c>
      <c r="L1008" s="520">
        <v>11.18</v>
      </c>
      <c r="M1008" s="520">
        <v>11.84</v>
      </c>
      <c r="N1008" s="507">
        <v>0.10299999999999999</v>
      </c>
      <c r="O1008" s="507">
        <v>0.1</v>
      </c>
      <c r="P1008" s="507">
        <v>0.112</v>
      </c>
      <c r="Q1008" s="78">
        <v>0.44</v>
      </c>
      <c r="R1008" s="78">
        <v>0.31740000000000002</v>
      </c>
      <c r="S1008" s="69">
        <v>2.5000000000000001E-2</v>
      </c>
      <c r="T1008" s="69">
        <v>0.01</v>
      </c>
      <c r="U1008" s="507">
        <v>0.85</v>
      </c>
      <c r="V1008" s="76">
        <v>0</v>
      </c>
      <c r="W1008" s="76">
        <v>0</v>
      </c>
      <c r="X1008" s="76" t="s">
        <v>147</v>
      </c>
      <c r="Y1008" s="519" t="s">
        <v>469</v>
      </c>
    </row>
    <row r="1009" spans="1:25" x14ac:dyDescent="0.25">
      <c r="A1009" s="75" t="str">
        <f t="shared" si="35"/>
        <v>Exclusiva PROF No_Premier Normal Mercado_Abierto Pago_Fijo_Puntual Si 10</v>
      </c>
      <c r="B1009" s="75" t="str">
        <f t="shared" si="34"/>
        <v>Exclusiva PROF No_Premier Normal Mercado_Abierto Pago_Fijo_Puntual Si 10 0.103</v>
      </c>
      <c r="C1009" s="75" t="s">
        <v>116</v>
      </c>
      <c r="D1009" s="75" t="s">
        <v>169</v>
      </c>
      <c r="E1009" s="75" t="s">
        <v>179</v>
      </c>
      <c r="F1009" s="75" t="s">
        <v>180</v>
      </c>
      <c r="G1009" s="75" t="s">
        <v>396</v>
      </c>
      <c r="H1009" s="75"/>
      <c r="I1009" s="75" t="s">
        <v>171</v>
      </c>
      <c r="J1009" s="76">
        <v>10</v>
      </c>
      <c r="K1009" s="519" t="s">
        <v>387</v>
      </c>
      <c r="L1009" s="520">
        <v>13.54</v>
      </c>
      <c r="M1009" s="520">
        <v>14.2</v>
      </c>
      <c r="N1009" s="507">
        <v>0.10299999999999999</v>
      </c>
      <c r="O1009" s="507">
        <v>0.1</v>
      </c>
      <c r="P1009" s="507">
        <v>0.112</v>
      </c>
      <c r="Q1009" s="78">
        <v>0.44</v>
      </c>
      <c r="R1009" s="78">
        <v>0.31740000000000002</v>
      </c>
      <c r="S1009" s="69">
        <v>2.5000000000000001E-2</v>
      </c>
      <c r="T1009" s="69">
        <v>0.01</v>
      </c>
      <c r="U1009" s="507">
        <v>0.85</v>
      </c>
      <c r="V1009" s="76">
        <v>0</v>
      </c>
      <c r="W1009" s="76">
        <v>0</v>
      </c>
      <c r="X1009" s="76" t="s">
        <v>147</v>
      </c>
      <c r="Y1009" s="519" t="s">
        <v>469</v>
      </c>
    </row>
    <row r="1010" spans="1:25" x14ac:dyDescent="0.25">
      <c r="A1010" s="75" t="str">
        <f t="shared" si="35"/>
        <v>Exclusiva PROF No_Premier Normal Mercado_Abierto Pago_Fijo_Puntual Si 5</v>
      </c>
      <c r="B1010" s="75" t="str">
        <f t="shared" si="34"/>
        <v>Exclusiva PROF No_Premier Normal Mercado_Abierto Pago_Fijo_Puntual Si 5 0.103</v>
      </c>
      <c r="C1010" s="75" t="s">
        <v>116</v>
      </c>
      <c r="D1010" s="75" t="s">
        <v>169</v>
      </c>
      <c r="E1010" s="75" t="s">
        <v>179</v>
      </c>
      <c r="F1010" s="75" t="s">
        <v>180</v>
      </c>
      <c r="G1010" s="75" t="s">
        <v>396</v>
      </c>
      <c r="H1010" s="75"/>
      <c r="I1010" s="75" t="s">
        <v>171</v>
      </c>
      <c r="J1010" s="76">
        <v>5</v>
      </c>
      <c r="K1010" s="519" t="s">
        <v>387</v>
      </c>
      <c r="L1010" s="520">
        <v>21.44</v>
      </c>
      <c r="M1010" s="520">
        <v>22.1</v>
      </c>
      <c r="N1010" s="507">
        <v>0.10299999999999999</v>
      </c>
      <c r="O1010" s="507">
        <v>0.1</v>
      </c>
      <c r="P1010" s="507">
        <v>0.112</v>
      </c>
      <c r="Q1010" s="78">
        <v>0.44</v>
      </c>
      <c r="R1010" s="78">
        <v>0.31740000000000002</v>
      </c>
      <c r="S1010" s="69">
        <v>2.5000000000000001E-2</v>
      </c>
      <c r="T1010" s="69">
        <v>0.01</v>
      </c>
      <c r="U1010" s="507">
        <v>0.85</v>
      </c>
      <c r="V1010" s="76">
        <v>0</v>
      </c>
      <c r="W1010" s="76">
        <v>0</v>
      </c>
      <c r="X1010" s="76" t="s">
        <v>147</v>
      </c>
      <c r="Y1010" s="519" t="s">
        <v>469</v>
      </c>
    </row>
    <row r="1011" spans="1:25" x14ac:dyDescent="0.25">
      <c r="A1011" s="75" t="str">
        <f t="shared" si="35"/>
        <v>Exclusiva PROF No_Premier Normal Mercado_Abierto Pago_Bajo_Puntual Si 25</v>
      </c>
      <c r="B1011" s="75" t="str">
        <f t="shared" si="34"/>
        <v>Exclusiva PROF No_Premier Normal Mercado_Abierto Pago_Bajo_Puntual Si 25 0.103</v>
      </c>
      <c r="C1011" s="75" t="s">
        <v>116</v>
      </c>
      <c r="D1011" s="75" t="s">
        <v>169</v>
      </c>
      <c r="E1011" s="75" t="s">
        <v>179</v>
      </c>
      <c r="F1011" s="75" t="s">
        <v>180</v>
      </c>
      <c r="G1011" s="75" t="s">
        <v>396</v>
      </c>
      <c r="H1011" s="75"/>
      <c r="I1011" s="75" t="s">
        <v>170</v>
      </c>
      <c r="J1011" s="523">
        <v>25</v>
      </c>
      <c r="K1011" s="519" t="s">
        <v>387</v>
      </c>
      <c r="L1011" s="525">
        <v>8.64</v>
      </c>
      <c r="M1011" s="525">
        <v>9.3000000000000007</v>
      </c>
      <c r="N1011" s="507">
        <v>0.10299999999999999</v>
      </c>
      <c r="O1011" s="507">
        <v>0.1</v>
      </c>
      <c r="P1011" s="507">
        <v>0.112</v>
      </c>
      <c r="Q1011" s="78">
        <v>0.44</v>
      </c>
      <c r="R1011" s="78">
        <v>0.31740000000000002</v>
      </c>
      <c r="S1011" s="69">
        <v>2.5000000000000001E-2</v>
      </c>
      <c r="T1011" s="69">
        <v>0.01</v>
      </c>
      <c r="U1011" s="507">
        <v>0.85</v>
      </c>
      <c r="V1011" s="76">
        <v>0</v>
      </c>
      <c r="W1011" s="76">
        <v>0</v>
      </c>
      <c r="X1011" s="76" t="s">
        <v>147</v>
      </c>
      <c r="Y1011" s="519" t="s">
        <v>469</v>
      </c>
    </row>
    <row r="1012" spans="1:25" x14ac:dyDescent="0.25">
      <c r="A1012" s="75" t="str">
        <f t="shared" si="35"/>
        <v>Exclusiva PROF No_Premier Normal Mercado_Abierto Pago_Bajo_Puntual Si 20</v>
      </c>
      <c r="B1012" s="75" t="str">
        <f t="shared" ref="B1012:B1061" si="36">CONCATENATE(A1012," ",N1012)</f>
        <v>Exclusiva PROF No_Premier Normal Mercado_Abierto Pago_Bajo_Puntual Si 20 0.103</v>
      </c>
      <c r="C1012" s="75" t="s">
        <v>116</v>
      </c>
      <c r="D1012" s="75" t="s">
        <v>169</v>
      </c>
      <c r="E1012" s="75" t="s">
        <v>179</v>
      </c>
      <c r="F1012" s="75" t="s">
        <v>180</v>
      </c>
      <c r="G1012" s="75" t="s">
        <v>396</v>
      </c>
      <c r="H1012" s="75"/>
      <c r="I1012" s="75" t="s">
        <v>170</v>
      </c>
      <c r="J1012" s="76">
        <v>20</v>
      </c>
      <c r="K1012" s="519" t="s">
        <v>387</v>
      </c>
      <c r="L1012" s="520">
        <v>9</v>
      </c>
      <c r="M1012" s="520">
        <v>9.66</v>
      </c>
      <c r="N1012" s="507">
        <v>0.10299999999999999</v>
      </c>
      <c r="O1012" s="507">
        <v>0.1</v>
      </c>
      <c r="P1012" s="507">
        <v>0.112</v>
      </c>
      <c r="Q1012" s="78">
        <v>0.44</v>
      </c>
      <c r="R1012" s="78">
        <v>0.31740000000000002</v>
      </c>
      <c r="S1012" s="69">
        <v>2.5000000000000001E-2</v>
      </c>
      <c r="T1012" s="69">
        <v>0.01</v>
      </c>
      <c r="U1012" s="507">
        <v>0.85</v>
      </c>
      <c r="V1012" s="76">
        <v>0</v>
      </c>
      <c r="W1012" s="76">
        <v>0</v>
      </c>
      <c r="X1012" s="76" t="s">
        <v>147</v>
      </c>
      <c r="Y1012" s="519" t="s">
        <v>469</v>
      </c>
    </row>
    <row r="1013" spans="1:25" x14ac:dyDescent="0.25">
      <c r="A1013" s="75" t="str">
        <f t="shared" ref="A1013:A1062" si="37">TRIM(CONCATENATE(C1013," ",D1013," ",E1013," ",F1013," ",G1013," ",I1013," ",X1013," ",J1013))</f>
        <v>Exclusiva PROF No_Premier Normal Mercado_Abierto Pago_Bajo_Puntual Si 15</v>
      </c>
      <c r="B1013" s="75" t="str">
        <f t="shared" si="36"/>
        <v>Exclusiva PROF No_Premier Normal Mercado_Abierto Pago_Bajo_Puntual Si 15 0.103</v>
      </c>
      <c r="C1013" s="75" t="s">
        <v>116</v>
      </c>
      <c r="D1013" s="75" t="s">
        <v>169</v>
      </c>
      <c r="E1013" s="75" t="s">
        <v>179</v>
      </c>
      <c r="F1013" s="75" t="s">
        <v>180</v>
      </c>
      <c r="G1013" s="75" t="s">
        <v>396</v>
      </c>
      <c r="H1013" s="75"/>
      <c r="I1013" s="75" t="s">
        <v>170</v>
      </c>
      <c r="J1013" s="76">
        <v>15</v>
      </c>
      <c r="K1013" s="519" t="s">
        <v>387</v>
      </c>
      <c r="L1013" s="520">
        <v>10.119999999999999</v>
      </c>
      <c r="M1013" s="520">
        <v>10.78</v>
      </c>
      <c r="N1013" s="507">
        <v>0.10299999999999999</v>
      </c>
      <c r="O1013" s="507">
        <v>0.1</v>
      </c>
      <c r="P1013" s="507">
        <v>0.112</v>
      </c>
      <c r="Q1013" s="78">
        <v>0.44</v>
      </c>
      <c r="R1013" s="78">
        <v>0.31740000000000002</v>
      </c>
      <c r="S1013" s="69">
        <v>2.5000000000000001E-2</v>
      </c>
      <c r="T1013" s="69">
        <v>0.01</v>
      </c>
      <c r="U1013" s="507">
        <v>0.85</v>
      </c>
      <c r="V1013" s="76">
        <v>0</v>
      </c>
      <c r="W1013" s="76">
        <v>0</v>
      </c>
      <c r="X1013" s="76" t="s">
        <v>147</v>
      </c>
      <c r="Y1013" s="519" t="s">
        <v>469</v>
      </c>
    </row>
    <row r="1014" spans="1:25" x14ac:dyDescent="0.25">
      <c r="A1014" s="75" t="str">
        <f t="shared" si="37"/>
        <v>Exclusiva PROF No_Premier Normal Mercado_Abierto Pago_Bajo_Puntual Si 10</v>
      </c>
      <c r="B1014" s="75" t="str">
        <f t="shared" si="36"/>
        <v>Exclusiva PROF No_Premier Normal Mercado_Abierto Pago_Bajo_Puntual Si 10 0.103</v>
      </c>
      <c r="C1014" s="75" t="s">
        <v>116</v>
      </c>
      <c r="D1014" s="75" t="s">
        <v>169</v>
      </c>
      <c r="E1014" s="75" t="s">
        <v>179</v>
      </c>
      <c r="F1014" s="75" t="s">
        <v>180</v>
      </c>
      <c r="G1014" s="75" t="s">
        <v>396</v>
      </c>
      <c r="H1014" s="75"/>
      <c r="I1014" s="75" t="s">
        <v>170</v>
      </c>
      <c r="J1014" s="76">
        <v>10</v>
      </c>
      <c r="K1014" s="519" t="s">
        <v>387</v>
      </c>
      <c r="L1014" s="520">
        <v>12.62</v>
      </c>
      <c r="M1014" s="520">
        <v>13.28</v>
      </c>
      <c r="N1014" s="507">
        <v>0.10299999999999999</v>
      </c>
      <c r="O1014" s="507">
        <v>0.1</v>
      </c>
      <c r="P1014" s="507">
        <v>0.112</v>
      </c>
      <c r="Q1014" s="78">
        <v>0.44</v>
      </c>
      <c r="R1014" s="78">
        <v>0.31740000000000002</v>
      </c>
      <c r="S1014" s="69">
        <v>2.5000000000000001E-2</v>
      </c>
      <c r="T1014" s="69">
        <v>0.01</v>
      </c>
      <c r="U1014" s="507">
        <v>0.85</v>
      </c>
      <c r="V1014" s="76">
        <v>0</v>
      </c>
      <c r="W1014" s="76">
        <v>0</v>
      </c>
      <c r="X1014" s="76" t="s">
        <v>147</v>
      </c>
      <c r="Y1014" s="519" t="s">
        <v>469</v>
      </c>
    </row>
    <row r="1015" spans="1:25" x14ac:dyDescent="0.25">
      <c r="A1015" s="75" t="str">
        <f t="shared" si="37"/>
        <v>Exclusiva PROF No_Premier Normal Mercado_Abierto Pago_Bajo_Puntual Si 5</v>
      </c>
      <c r="B1015" s="75" t="str">
        <f t="shared" si="36"/>
        <v>Exclusiva PROF No_Premier Normal Mercado_Abierto Pago_Bajo_Puntual Si 5 0.103</v>
      </c>
      <c r="C1015" s="75" t="s">
        <v>116</v>
      </c>
      <c r="D1015" s="75" t="s">
        <v>169</v>
      </c>
      <c r="E1015" s="75" t="s">
        <v>179</v>
      </c>
      <c r="F1015" s="75" t="s">
        <v>180</v>
      </c>
      <c r="G1015" s="75" t="s">
        <v>396</v>
      </c>
      <c r="H1015" s="75"/>
      <c r="I1015" s="75" t="s">
        <v>170</v>
      </c>
      <c r="J1015" s="76">
        <v>5</v>
      </c>
      <c r="K1015" s="519" t="s">
        <v>387</v>
      </c>
      <c r="L1015" s="520">
        <v>20.72</v>
      </c>
      <c r="M1015" s="520">
        <v>21.38</v>
      </c>
      <c r="N1015" s="507">
        <v>0.10299999999999999</v>
      </c>
      <c r="O1015" s="507">
        <v>0.1</v>
      </c>
      <c r="P1015" s="507">
        <v>0.112</v>
      </c>
      <c r="Q1015" s="78">
        <v>0.44</v>
      </c>
      <c r="R1015" s="78">
        <v>0.31740000000000002</v>
      </c>
      <c r="S1015" s="69">
        <v>2.5000000000000001E-2</v>
      </c>
      <c r="T1015" s="69">
        <v>0.01</v>
      </c>
      <c r="U1015" s="507">
        <v>0.85</v>
      </c>
      <c r="V1015" s="76">
        <v>0</v>
      </c>
      <c r="W1015" s="76">
        <v>0</v>
      </c>
      <c r="X1015" s="76" t="s">
        <v>147</v>
      </c>
      <c r="Y1015" s="519" t="s">
        <v>469</v>
      </c>
    </row>
    <row r="1016" spans="1:25" x14ac:dyDescent="0.25">
      <c r="A1016" s="75" t="str">
        <f t="shared" si="37"/>
        <v>Exclusiva PROF No_Premier Normal Mercado_Abierto Pago_Fijo_Puntual 25</v>
      </c>
      <c r="B1016" s="75" t="str">
        <f t="shared" si="36"/>
        <v>Exclusiva PROF No_Premier Normal Mercado_Abierto Pago_Fijo_Puntual 25 0.0965</v>
      </c>
      <c r="C1016" s="75" t="s">
        <v>116</v>
      </c>
      <c r="D1016" s="75" t="s">
        <v>169</v>
      </c>
      <c r="E1016" s="75" t="s">
        <v>179</v>
      </c>
      <c r="F1016" s="75" t="s">
        <v>180</v>
      </c>
      <c r="G1016" s="75" t="s">
        <v>396</v>
      </c>
      <c r="H1016" s="75"/>
      <c r="I1016" s="75" t="s">
        <v>171</v>
      </c>
      <c r="J1016" s="76">
        <v>25</v>
      </c>
      <c r="K1016" s="516" t="s">
        <v>385</v>
      </c>
      <c r="L1016" s="517">
        <v>9.11</v>
      </c>
      <c r="M1016" s="517">
        <v>9.77</v>
      </c>
      <c r="N1016" s="518">
        <v>9.6500000000000002E-2</v>
      </c>
      <c r="O1016" s="518">
        <v>9.1999999999999998E-2</v>
      </c>
      <c r="P1016" s="518">
        <v>0.10249999999999999</v>
      </c>
      <c r="Q1016" s="78">
        <v>0.44</v>
      </c>
      <c r="R1016" s="78">
        <v>0.31740000000000002</v>
      </c>
      <c r="S1016" s="69">
        <v>2.5000000000000001E-2</v>
      </c>
      <c r="T1016" s="69">
        <v>0.01</v>
      </c>
      <c r="U1016" s="518">
        <v>0.7</v>
      </c>
      <c r="V1016" s="76">
        <v>0</v>
      </c>
      <c r="W1016" s="76">
        <v>0</v>
      </c>
      <c r="X1016" s="76"/>
      <c r="Y1016" s="516" t="s">
        <v>470</v>
      </c>
    </row>
    <row r="1017" spans="1:25" x14ac:dyDescent="0.25">
      <c r="A1017" s="75" t="str">
        <f t="shared" si="37"/>
        <v>Exclusiva PROF No_Premier Normal Mercado_Abierto Pago_Fijo_Puntual 25</v>
      </c>
      <c r="B1017" s="75" t="str">
        <f t="shared" si="36"/>
        <v>Exclusiva PROF No_Premier Normal Mercado_Abierto Pago_Fijo_Puntual 25 0.103</v>
      </c>
      <c r="C1017" s="75" t="s">
        <v>116</v>
      </c>
      <c r="D1017" s="75" t="s">
        <v>169</v>
      </c>
      <c r="E1017" s="75" t="s">
        <v>179</v>
      </c>
      <c r="F1017" s="75" t="s">
        <v>180</v>
      </c>
      <c r="G1017" s="75" t="s">
        <v>396</v>
      </c>
      <c r="H1017" s="75"/>
      <c r="I1017" s="75" t="s">
        <v>171</v>
      </c>
      <c r="J1017" s="76">
        <v>25</v>
      </c>
      <c r="K1017" s="516" t="s">
        <v>386</v>
      </c>
      <c r="L1017" s="517">
        <v>9.65</v>
      </c>
      <c r="M1017" s="517">
        <v>10.31</v>
      </c>
      <c r="N1017" s="518">
        <v>0.10299999999999999</v>
      </c>
      <c r="O1017" s="518">
        <v>0.1</v>
      </c>
      <c r="P1017" s="518">
        <v>0.112</v>
      </c>
      <c r="Q1017" s="78">
        <v>0.44</v>
      </c>
      <c r="R1017" s="78">
        <v>0.31740000000000002</v>
      </c>
      <c r="S1017" s="69">
        <v>2.5000000000000001E-2</v>
      </c>
      <c r="T1017" s="69">
        <v>0.01</v>
      </c>
      <c r="U1017" s="518">
        <v>0.7</v>
      </c>
      <c r="V1017" s="76">
        <v>0</v>
      </c>
      <c r="W1017" s="76">
        <v>0</v>
      </c>
      <c r="X1017" s="76"/>
      <c r="Y1017" s="516" t="s">
        <v>470</v>
      </c>
    </row>
    <row r="1018" spans="1:25" x14ac:dyDescent="0.25">
      <c r="A1018" s="75" t="str">
        <f t="shared" si="37"/>
        <v>Exclusiva PROF No_Premier Normal Mercado_Abierto Pago_Fijo_Puntual 20</v>
      </c>
      <c r="B1018" s="75" t="str">
        <f t="shared" si="36"/>
        <v>Exclusiva PROF No_Premier Normal Mercado_Abierto Pago_Fijo_Puntual 20 0.0965</v>
      </c>
      <c r="C1018" s="75" t="s">
        <v>116</v>
      </c>
      <c r="D1018" s="75" t="s">
        <v>169</v>
      </c>
      <c r="E1018" s="75" t="s">
        <v>179</v>
      </c>
      <c r="F1018" s="75" t="s">
        <v>180</v>
      </c>
      <c r="G1018" s="75" t="s">
        <v>396</v>
      </c>
      <c r="H1018" s="75"/>
      <c r="I1018" s="75" t="s">
        <v>171</v>
      </c>
      <c r="J1018" s="76">
        <v>20</v>
      </c>
      <c r="K1018" s="516" t="s">
        <v>385</v>
      </c>
      <c r="L1018" s="517">
        <v>9.66</v>
      </c>
      <c r="M1018" s="517">
        <v>10.32</v>
      </c>
      <c r="N1018" s="518">
        <v>9.6500000000000002E-2</v>
      </c>
      <c r="O1018" s="518">
        <v>9.1999999999999998E-2</v>
      </c>
      <c r="P1018" s="518">
        <v>0.10249999999999999</v>
      </c>
      <c r="Q1018" s="78">
        <v>0.44</v>
      </c>
      <c r="R1018" s="78">
        <v>0.31740000000000002</v>
      </c>
      <c r="S1018" s="69">
        <v>2.5000000000000001E-2</v>
      </c>
      <c r="T1018" s="69">
        <v>0.01</v>
      </c>
      <c r="U1018" s="518">
        <v>0.7</v>
      </c>
      <c r="V1018" s="76">
        <v>0</v>
      </c>
      <c r="W1018" s="76">
        <v>0</v>
      </c>
      <c r="X1018" s="76"/>
      <c r="Y1018" s="516" t="s">
        <v>470</v>
      </c>
    </row>
    <row r="1019" spans="1:25" x14ac:dyDescent="0.25">
      <c r="A1019" s="75" t="str">
        <f t="shared" si="37"/>
        <v>Exclusiva PROF No_Premier Normal Mercado_Abierto Pago_Fijo_Puntual 20</v>
      </c>
      <c r="B1019" s="75" t="str">
        <f t="shared" si="36"/>
        <v>Exclusiva PROF No_Premier Normal Mercado_Abierto Pago_Fijo_Puntual 20 0.103</v>
      </c>
      <c r="C1019" s="75" t="s">
        <v>116</v>
      </c>
      <c r="D1019" s="75" t="s">
        <v>169</v>
      </c>
      <c r="E1019" s="75" t="s">
        <v>179</v>
      </c>
      <c r="F1019" s="75" t="s">
        <v>180</v>
      </c>
      <c r="G1019" s="75" t="s">
        <v>396</v>
      </c>
      <c r="H1019" s="75"/>
      <c r="I1019" s="75" t="s">
        <v>171</v>
      </c>
      <c r="J1019" s="76">
        <v>20</v>
      </c>
      <c r="K1019" s="516" t="s">
        <v>386</v>
      </c>
      <c r="L1019" s="517">
        <v>10.16</v>
      </c>
      <c r="M1019" s="517">
        <v>10.82</v>
      </c>
      <c r="N1019" s="518">
        <v>0.10299999999999999</v>
      </c>
      <c r="O1019" s="518">
        <v>0.1</v>
      </c>
      <c r="P1019" s="518">
        <v>0.112</v>
      </c>
      <c r="Q1019" s="78">
        <v>0.44</v>
      </c>
      <c r="R1019" s="78">
        <v>0.31740000000000002</v>
      </c>
      <c r="S1019" s="69">
        <v>2.5000000000000001E-2</v>
      </c>
      <c r="T1019" s="69">
        <v>0.01</v>
      </c>
      <c r="U1019" s="518">
        <v>0.7</v>
      </c>
      <c r="V1019" s="76">
        <v>0</v>
      </c>
      <c r="W1019" s="76">
        <v>0</v>
      </c>
      <c r="X1019" s="76"/>
      <c r="Y1019" s="516" t="s">
        <v>470</v>
      </c>
    </row>
    <row r="1020" spans="1:25" x14ac:dyDescent="0.25">
      <c r="A1020" s="75" t="str">
        <f t="shared" si="37"/>
        <v>Exclusiva PROF No_Premier Normal Mercado_Abierto Pago_Fijo_Puntual 15</v>
      </c>
      <c r="B1020" s="75" t="str">
        <f t="shared" si="36"/>
        <v>Exclusiva PROF No_Premier Normal Mercado_Abierto Pago_Fijo_Puntual 15 0.0965</v>
      </c>
      <c r="C1020" s="75" t="s">
        <v>116</v>
      </c>
      <c r="D1020" s="75" t="s">
        <v>169</v>
      </c>
      <c r="E1020" s="75" t="s">
        <v>179</v>
      </c>
      <c r="F1020" s="75" t="s">
        <v>180</v>
      </c>
      <c r="G1020" s="75" t="s">
        <v>396</v>
      </c>
      <c r="H1020" s="75"/>
      <c r="I1020" s="75" t="s">
        <v>171</v>
      </c>
      <c r="J1020" s="76">
        <v>15</v>
      </c>
      <c r="K1020" s="516" t="s">
        <v>385</v>
      </c>
      <c r="L1020" s="517">
        <v>10.73</v>
      </c>
      <c r="M1020" s="517">
        <v>11.39</v>
      </c>
      <c r="N1020" s="518">
        <v>9.6500000000000002E-2</v>
      </c>
      <c r="O1020" s="518">
        <v>9.1999999999999998E-2</v>
      </c>
      <c r="P1020" s="518">
        <v>0.10249999999999999</v>
      </c>
      <c r="Q1020" s="78">
        <v>0.44</v>
      </c>
      <c r="R1020" s="78">
        <v>0.31740000000000002</v>
      </c>
      <c r="S1020" s="69">
        <v>2.5000000000000001E-2</v>
      </c>
      <c r="T1020" s="69">
        <v>0.01</v>
      </c>
      <c r="U1020" s="518">
        <v>0.7</v>
      </c>
      <c r="V1020" s="76">
        <v>0</v>
      </c>
      <c r="W1020" s="76">
        <v>0</v>
      </c>
      <c r="X1020" s="76"/>
      <c r="Y1020" s="516" t="s">
        <v>470</v>
      </c>
    </row>
    <row r="1021" spans="1:25" x14ac:dyDescent="0.25">
      <c r="A1021" s="75" t="str">
        <f t="shared" si="37"/>
        <v>Exclusiva PROF No_Premier Normal Mercado_Abierto Pago_Fijo_Puntual 15</v>
      </c>
      <c r="B1021" s="75" t="str">
        <f t="shared" si="36"/>
        <v>Exclusiva PROF No_Premier Normal Mercado_Abierto Pago_Fijo_Puntual 15 0.103</v>
      </c>
      <c r="C1021" s="75" t="s">
        <v>116</v>
      </c>
      <c r="D1021" s="75" t="s">
        <v>169</v>
      </c>
      <c r="E1021" s="75" t="s">
        <v>179</v>
      </c>
      <c r="F1021" s="75" t="s">
        <v>180</v>
      </c>
      <c r="G1021" s="75" t="s">
        <v>396</v>
      </c>
      <c r="H1021" s="75"/>
      <c r="I1021" s="75" t="s">
        <v>171</v>
      </c>
      <c r="J1021" s="76">
        <v>15</v>
      </c>
      <c r="K1021" s="516" t="s">
        <v>386</v>
      </c>
      <c r="L1021" s="517">
        <v>11.18</v>
      </c>
      <c r="M1021" s="517">
        <v>11.84</v>
      </c>
      <c r="N1021" s="518">
        <v>0.10299999999999999</v>
      </c>
      <c r="O1021" s="518">
        <v>0.1</v>
      </c>
      <c r="P1021" s="518">
        <v>0.112</v>
      </c>
      <c r="Q1021" s="78">
        <v>0.44</v>
      </c>
      <c r="R1021" s="78">
        <v>0.31740000000000002</v>
      </c>
      <c r="S1021" s="69">
        <v>2.5000000000000001E-2</v>
      </c>
      <c r="T1021" s="69">
        <v>0.01</v>
      </c>
      <c r="U1021" s="518">
        <v>0.7</v>
      </c>
      <c r="V1021" s="76">
        <v>0</v>
      </c>
      <c r="W1021" s="76">
        <v>0</v>
      </c>
      <c r="X1021" s="76"/>
      <c r="Y1021" s="516" t="s">
        <v>470</v>
      </c>
    </row>
    <row r="1022" spans="1:25" x14ac:dyDescent="0.25">
      <c r="A1022" s="75" t="str">
        <f t="shared" si="37"/>
        <v>Exclusiva PROF No_Premier Normal Mercado_Abierto Pago_Fijo_Puntual 10</v>
      </c>
      <c r="B1022" s="75" t="str">
        <f t="shared" si="36"/>
        <v>Exclusiva PROF No_Premier Normal Mercado_Abierto Pago_Fijo_Puntual 10 0.0965</v>
      </c>
      <c r="C1022" s="75" t="s">
        <v>116</v>
      </c>
      <c r="D1022" s="75" t="s">
        <v>169</v>
      </c>
      <c r="E1022" s="75" t="s">
        <v>179</v>
      </c>
      <c r="F1022" s="75" t="s">
        <v>180</v>
      </c>
      <c r="G1022" s="75" t="s">
        <v>396</v>
      </c>
      <c r="H1022" s="75"/>
      <c r="I1022" s="75" t="s">
        <v>171</v>
      </c>
      <c r="J1022" s="76">
        <v>10</v>
      </c>
      <c r="K1022" s="516" t="s">
        <v>385</v>
      </c>
      <c r="L1022" s="517">
        <v>13.16</v>
      </c>
      <c r="M1022" s="517">
        <v>13.82</v>
      </c>
      <c r="N1022" s="518">
        <v>9.6500000000000002E-2</v>
      </c>
      <c r="O1022" s="518">
        <v>9.1999999999999998E-2</v>
      </c>
      <c r="P1022" s="518">
        <v>0.10249999999999999</v>
      </c>
      <c r="Q1022" s="78">
        <v>0.44</v>
      </c>
      <c r="R1022" s="78">
        <v>0.31740000000000002</v>
      </c>
      <c r="S1022" s="69">
        <v>2.5000000000000001E-2</v>
      </c>
      <c r="T1022" s="69">
        <v>0.01</v>
      </c>
      <c r="U1022" s="518">
        <v>0.7</v>
      </c>
      <c r="V1022" s="76">
        <v>0</v>
      </c>
      <c r="W1022" s="76">
        <v>0</v>
      </c>
      <c r="X1022" s="76"/>
      <c r="Y1022" s="516" t="s">
        <v>470</v>
      </c>
    </row>
    <row r="1023" spans="1:25" x14ac:dyDescent="0.25">
      <c r="A1023" s="75" t="str">
        <f t="shared" si="37"/>
        <v>Exclusiva PROF No_Premier Normal Mercado_Abierto Pago_Fijo_Puntual 10</v>
      </c>
      <c r="B1023" s="75" t="str">
        <f t="shared" si="36"/>
        <v>Exclusiva PROF No_Premier Normal Mercado_Abierto Pago_Fijo_Puntual 10 0.103</v>
      </c>
      <c r="C1023" s="75" t="s">
        <v>116</v>
      </c>
      <c r="D1023" s="75" t="s">
        <v>169</v>
      </c>
      <c r="E1023" s="75" t="s">
        <v>179</v>
      </c>
      <c r="F1023" s="75" t="s">
        <v>180</v>
      </c>
      <c r="G1023" s="75" t="s">
        <v>396</v>
      </c>
      <c r="H1023" s="75"/>
      <c r="I1023" s="75" t="s">
        <v>171</v>
      </c>
      <c r="J1023" s="76">
        <v>10</v>
      </c>
      <c r="K1023" s="516" t="s">
        <v>386</v>
      </c>
      <c r="L1023" s="517">
        <v>13.54</v>
      </c>
      <c r="M1023" s="517">
        <v>14.2</v>
      </c>
      <c r="N1023" s="518">
        <v>0.10299999999999999</v>
      </c>
      <c r="O1023" s="518">
        <v>0.1</v>
      </c>
      <c r="P1023" s="518">
        <v>0.112</v>
      </c>
      <c r="Q1023" s="78">
        <v>0.44</v>
      </c>
      <c r="R1023" s="78">
        <v>0.31740000000000002</v>
      </c>
      <c r="S1023" s="69">
        <v>2.5000000000000001E-2</v>
      </c>
      <c r="T1023" s="69">
        <v>0.01</v>
      </c>
      <c r="U1023" s="518">
        <v>0.7</v>
      </c>
      <c r="V1023" s="76">
        <v>0</v>
      </c>
      <c r="W1023" s="76">
        <v>0</v>
      </c>
      <c r="X1023" s="76"/>
      <c r="Y1023" s="516" t="s">
        <v>470</v>
      </c>
    </row>
    <row r="1024" spans="1:25" x14ac:dyDescent="0.25">
      <c r="A1024" s="75" t="str">
        <f t="shared" si="37"/>
        <v>Exclusiva PROF No_Premier Normal Mercado_Abierto Pago_Fijo_Puntual 5</v>
      </c>
      <c r="B1024" s="75" t="str">
        <f t="shared" si="36"/>
        <v>Exclusiva PROF No_Premier Normal Mercado_Abierto Pago_Fijo_Puntual 5 0.0965</v>
      </c>
      <c r="C1024" s="75" t="s">
        <v>116</v>
      </c>
      <c r="D1024" s="75" t="s">
        <v>169</v>
      </c>
      <c r="E1024" s="75" t="s">
        <v>179</v>
      </c>
      <c r="F1024" s="75" t="s">
        <v>180</v>
      </c>
      <c r="G1024" s="75" t="s">
        <v>396</v>
      </c>
      <c r="H1024" s="75"/>
      <c r="I1024" s="75" t="s">
        <v>171</v>
      </c>
      <c r="J1024" s="76">
        <v>5</v>
      </c>
      <c r="K1024" s="516" t="s">
        <v>385</v>
      </c>
      <c r="L1024" s="517">
        <v>21.12</v>
      </c>
      <c r="M1024" s="517">
        <v>21.78</v>
      </c>
      <c r="N1024" s="518">
        <v>9.6500000000000002E-2</v>
      </c>
      <c r="O1024" s="518">
        <v>9.1999999999999998E-2</v>
      </c>
      <c r="P1024" s="518">
        <v>0.10249999999999999</v>
      </c>
      <c r="Q1024" s="78">
        <v>0.44</v>
      </c>
      <c r="R1024" s="78">
        <v>0.31740000000000002</v>
      </c>
      <c r="S1024" s="69">
        <v>2.5000000000000001E-2</v>
      </c>
      <c r="T1024" s="69">
        <v>0.01</v>
      </c>
      <c r="U1024" s="518">
        <v>0.7</v>
      </c>
      <c r="V1024" s="76">
        <v>0</v>
      </c>
      <c r="W1024" s="76">
        <v>0</v>
      </c>
      <c r="X1024" s="76"/>
      <c r="Y1024" s="516" t="s">
        <v>470</v>
      </c>
    </row>
    <row r="1025" spans="1:25" x14ac:dyDescent="0.25">
      <c r="A1025" s="75" t="str">
        <f t="shared" si="37"/>
        <v>Exclusiva PROF No_Premier Normal Mercado_Abierto Pago_Fijo_Puntual 5</v>
      </c>
      <c r="B1025" s="75" t="str">
        <f t="shared" si="36"/>
        <v>Exclusiva PROF No_Premier Normal Mercado_Abierto Pago_Fijo_Puntual 5 0.103</v>
      </c>
      <c r="C1025" s="75" t="s">
        <v>116</v>
      </c>
      <c r="D1025" s="75" t="s">
        <v>169</v>
      </c>
      <c r="E1025" s="75" t="s">
        <v>179</v>
      </c>
      <c r="F1025" s="75" t="s">
        <v>180</v>
      </c>
      <c r="G1025" s="75" t="s">
        <v>396</v>
      </c>
      <c r="H1025" s="75"/>
      <c r="I1025" s="75" t="s">
        <v>171</v>
      </c>
      <c r="J1025" s="76">
        <v>5</v>
      </c>
      <c r="K1025" s="516" t="s">
        <v>386</v>
      </c>
      <c r="L1025" s="517">
        <v>21.44</v>
      </c>
      <c r="M1025" s="517">
        <v>22.1</v>
      </c>
      <c r="N1025" s="518">
        <v>0.10299999999999999</v>
      </c>
      <c r="O1025" s="518">
        <v>0.1</v>
      </c>
      <c r="P1025" s="518">
        <v>0.112</v>
      </c>
      <c r="Q1025" s="78">
        <v>0.44</v>
      </c>
      <c r="R1025" s="78">
        <v>0.31740000000000002</v>
      </c>
      <c r="S1025" s="69">
        <v>2.5000000000000001E-2</v>
      </c>
      <c r="T1025" s="69">
        <v>0.01</v>
      </c>
      <c r="U1025" s="518">
        <v>0.7</v>
      </c>
      <c r="V1025" s="76">
        <v>0</v>
      </c>
      <c r="W1025" s="76">
        <v>0</v>
      </c>
      <c r="X1025" s="76"/>
      <c r="Y1025" s="516" t="s">
        <v>470</v>
      </c>
    </row>
    <row r="1026" spans="1:25" x14ac:dyDescent="0.25">
      <c r="A1026" s="75" t="str">
        <f t="shared" si="37"/>
        <v>Exclusiva PROF No_Premier Normal Mercado_Abierto Pago_Bajo_Puntual 25</v>
      </c>
      <c r="B1026" s="75" t="str">
        <f t="shared" si="36"/>
        <v>Exclusiva PROF No_Premier Normal Mercado_Abierto Pago_Bajo_Puntual 25 0.0965</v>
      </c>
      <c r="C1026" s="75" t="s">
        <v>116</v>
      </c>
      <c r="D1026" s="75" t="s">
        <v>169</v>
      </c>
      <c r="E1026" s="75" t="s">
        <v>179</v>
      </c>
      <c r="F1026" s="75" t="s">
        <v>180</v>
      </c>
      <c r="G1026" s="75" t="s">
        <v>396</v>
      </c>
      <c r="H1026" s="75"/>
      <c r="I1026" s="75" t="s">
        <v>170</v>
      </c>
      <c r="J1026" s="523">
        <v>25</v>
      </c>
      <c r="K1026" s="516" t="s">
        <v>385</v>
      </c>
      <c r="L1026" s="517">
        <v>8.1</v>
      </c>
      <c r="M1026" s="517">
        <v>8.76</v>
      </c>
      <c r="N1026" s="518">
        <v>9.6500000000000002E-2</v>
      </c>
      <c r="O1026" s="518">
        <v>9.1999999999999998E-2</v>
      </c>
      <c r="P1026" s="518">
        <v>0.10249999999999999</v>
      </c>
      <c r="Q1026" s="78">
        <v>0.44</v>
      </c>
      <c r="R1026" s="78">
        <v>0.31740000000000002</v>
      </c>
      <c r="S1026" s="69">
        <v>2.5000000000000001E-2</v>
      </c>
      <c r="T1026" s="69">
        <v>0.01</v>
      </c>
      <c r="U1026" s="518">
        <v>0.7</v>
      </c>
      <c r="V1026" s="76">
        <v>0</v>
      </c>
      <c r="W1026" s="76">
        <v>0</v>
      </c>
      <c r="X1026" s="76"/>
      <c r="Y1026" s="516" t="s">
        <v>470</v>
      </c>
    </row>
    <row r="1027" spans="1:25" x14ac:dyDescent="0.25">
      <c r="A1027" s="75" t="str">
        <f t="shared" si="37"/>
        <v>Exclusiva PROF No_Premier Normal Mercado_Abierto Pago_Bajo_Puntual 25</v>
      </c>
      <c r="B1027" s="75" t="str">
        <f t="shared" si="36"/>
        <v>Exclusiva PROF No_Premier Normal Mercado_Abierto Pago_Bajo_Puntual 25 0.103</v>
      </c>
      <c r="C1027" s="75" t="s">
        <v>116</v>
      </c>
      <c r="D1027" s="75" t="s">
        <v>169</v>
      </c>
      <c r="E1027" s="75" t="s">
        <v>179</v>
      </c>
      <c r="F1027" s="75" t="s">
        <v>180</v>
      </c>
      <c r="G1027" s="75" t="s">
        <v>396</v>
      </c>
      <c r="H1027" s="75"/>
      <c r="I1027" s="75" t="s">
        <v>170</v>
      </c>
      <c r="J1027" s="523">
        <v>25</v>
      </c>
      <c r="K1027" s="516" t="s">
        <v>386</v>
      </c>
      <c r="L1027" s="517">
        <v>8.64</v>
      </c>
      <c r="M1027" s="517">
        <v>9.3000000000000007</v>
      </c>
      <c r="N1027" s="518">
        <v>0.10299999999999999</v>
      </c>
      <c r="O1027" s="518">
        <v>0.1</v>
      </c>
      <c r="P1027" s="518">
        <v>0.112</v>
      </c>
      <c r="Q1027" s="78">
        <v>0.44</v>
      </c>
      <c r="R1027" s="78">
        <v>0.31740000000000002</v>
      </c>
      <c r="S1027" s="69">
        <v>2.5000000000000001E-2</v>
      </c>
      <c r="T1027" s="69">
        <v>0.01</v>
      </c>
      <c r="U1027" s="518">
        <v>0.7</v>
      </c>
      <c r="V1027" s="76">
        <v>0</v>
      </c>
      <c r="W1027" s="76">
        <v>0</v>
      </c>
      <c r="X1027" s="76"/>
      <c r="Y1027" s="516" t="s">
        <v>470</v>
      </c>
    </row>
    <row r="1028" spans="1:25" x14ac:dyDescent="0.25">
      <c r="A1028" s="75" t="str">
        <f t="shared" si="37"/>
        <v>Exclusiva PROF No_Premier Normal Mercado_Abierto Pago_Bajo_Puntual 20</v>
      </c>
      <c r="B1028" s="75" t="str">
        <f t="shared" si="36"/>
        <v>Exclusiva PROF No_Premier Normal Mercado_Abierto Pago_Bajo_Puntual 20 0.0965</v>
      </c>
      <c r="C1028" s="75" t="s">
        <v>116</v>
      </c>
      <c r="D1028" s="75" t="s">
        <v>169</v>
      </c>
      <c r="E1028" s="75" t="s">
        <v>179</v>
      </c>
      <c r="F1028" s="75" t="s">
        <v>180</v>
      </c>
      <c r="G1028" s="75" t="s">
        <v>396</v>
      </c>
      <c r="H1028" s="75"/>
      <c r="I1028" s="75" t="s">
        <v>170</v>
      </c>
      <c r="J1028" s="76">
        <v>20</v>
      </c>
      <c r="K1028" s="516" t="s">
        <v>385</v>
      </c>
      <c r="L1028" s="517">
        <v>8.52</v>
      </c>
      <c r="M1028" s="517">
        <v>9.18</v>
      </c>
      <c r="N1028" s="518">
        <v>9.6500000000000002E-2</v>
      </c>
      <c r="O1028" s="518">
        <v>9.1999999999999998E-2</v>
      </c>
      <c r="P1028" s="518">
        <v>0.10249999999999999</v>
      </c>
      <c r="Q1028" s="78">
        <v>0.44</v>
      </c>
      <c r="R1028" s="78">
        <v>0.31740000000000002</v>
      </c>
      <c r="S1028" s="69">
        <v>2.5000000000000001E-2</v>
      </c>
      <c r="T1028" s="69">
        <v>0.01</v>
      </c>
      <c r="U1028" s="518">
        <v>0.7</v>
      </c>
      <c r="V1028" s="76">
        <v>0</v>
      </c>
      <c r="W1028" s="76">
        <v>0</v>
      </c>
      <c r="X1028" s="76"/>
      <c r="Y1028" s="516" t="s">
        <v>470</v>
      </c>
    </row>
    <row r="1029" spans="1:25" x14ac:dyDescent="0.25">
      <c r="A1029" s="75" t="str">
        <f t="shared" si="37"/>
        <v>Exclusiva PROF No_Premier Normal Mercado_Abierto Pago_Bajo_Puntual 20</v>
      </c>
      <c r="B1029" s="75" t="str">
        <f t="shared" si="36"/>
        <v>Exclusiva PROF No_Premier Normal Mercado_Abierto Pago_Bajo_Puntual 20 0.103</v>
      </c>
      <c r="C1029" s="75" t="s">
        <v>116</v>
      </c>
      <c r="D1029" s="75" t="s">
        <v>169</v>
      </c>
      <c r="E1029" s="75" t="s">
        <v>179</v>
      </c>
      <c r="F1029" s="75" t="s">
        <v>180</v>
      </c>
      <c r="G1029" s="75" t="s">
        <v>396</v>
      </c>
      <c r="H1029" s="75"/>
      <c r="I1029" s="75" t="s">
        <v>170</v>
      </c>
      <c r="J1029" s="76">
        <v>20</v>
      </c>
      <c r="K1029" s="516" t="s">
        <v>386</v>
      </c>
      <c r="L1029" s="517">
        <v>9</v>
      </c>
      <c r="M1029" s="517">
        <v>9.66</v>
      </c>
      <c r="N1029" s="518">
        <v>0.10299999999999999</v>
      </c>
      <c r="O1029" s="518">
        <v>0.1</v>
      </c>
      <c r="P1029" s="518">
        <v>0.112</v>
      </c>
      <c r="Q1029" s="78">
        <v>0.44</v>
      </c>
      <c r="R1029" s="78">
        <v>0.31740000000000002</v>
      </c>
      <c r="S1029" s="69">
        <v>2.5000000000000001E-2</v>
      </c>
      <c r="T1029" s="69">
        <v>0.01</v>
      </c>
      <c r="U1029" s="518">
        <v>0.7</v>
      </c>
      <c r="V1029" s="76">
        <v>0</v>
      </c>
      <c r="W1029" s="76">
        <v>0</v>
      </c>
      <c r="X1029" s="76"/>
      <c r="Y1029" s="516" t="s">
        <v>470</v>
      </c>
    </row>
    <row r="1030" spans="1:25" x14ac:dyDescent="0.25">
      <c r="A1030" s="75" t="str">
        <f t="shared" si="37"/>
        <v>Exclusiva PROF No_Premier Normal Mercado_Abierto Pago_Bajo_Puntual 15</v>
      </c>
      <c r="B1030" s="75" t="str">
        <f t="shared" si="36"/>
        <v>Exclusiva PROF No_Premier Normal Mercado_Abierto Pago_Bajo_Puntual 15 0.0965</v>
      </c>
      <c r="C1030" s="75" t="s">
        <v>116</v>
      </c>
      <c r="D1030" s="75" t="s">
        <v>169</v>
      </c>
      <c r="E1030" s="75" t="s">
        <v>179</v>
      </c>
      <c r="F1030" s="75" t="s">
        <v>180</v>
      </c>
      <c r="G1030" s="75" t="s">
        <v>396</v>
      </c>
      <c r="H1030" s="75"/>
      <c r="I1030" s="75" t="s">
        <v>170</v>
      </c>
      <c r="J1030" s="76">
        <v>15</v>
      </c>
      <c r="K1030" s="516" t="s">
        <v>385</v>
      </c>
      <c r="L1030" s="517">
        <v>9.6999999999999993</v>
      </c>
      <c r="M1030" s="517">
        <v>10.36</v>
      </c>
      <c r="N1030" s="518">
        <v>9.6500000000000002E-2</v>
      </c>
      <c r="O1030" s="518">
        <v>9.1999999999999998E-2</v>
      </c>
      <c r="P1030" s="518">
        <v>0.10249999999999999</v>
      </c>
      <c r="Q1030" s="78">
        <v>0.44</v>
      </c>
      <c r="R1030" s="78">
        <v>0.31740000000000002</v>
      </c>
      <c r="S1030" s="69">
        <v>2.5000000000000001E-2</v>
      </c>
      <c r="T1030" s="69">
        <v>0.01</v>
      </c>
      <c r="U1030" s="518">
        <v>0.7</v>
      </c>
      <c r="V1030" s="76">
        <v>0</v>
      </c>
      <c r="W1030" s="76">
        <v>0</v>
      </c>
      <c r="X1030" s="76"/>
      <c r="Y1030" s="516" t="s">
        <v>470</v>
      </c>
    </row>
    <row r="1031" spans="1:25" x14ac:dyDescent="0.25">
      <c r="A1031" s="75" t="str">
        <f t="shared" si="37"/>
        <v>Exclusiva PROF No_Premier Normal Mercado_Abierto Pago_Bajo_Puntual 15</v>
      </c>
      <c r="B1031" s="75" t="str">
        <f t="shared" si="36"/>
        <v>Exclusiva PROF No_Premier Normal Mercado_Abierto Pago_Bajo_Puntual 15 0.103</v>
      </c>
      <c r="C1031" s="75" t="s">
        <v>116</v>
      </c>
      <c r="D1031" s="75" t="s">
        <v>169</v>
      </c>
      <c r="E1031" s="75" t="s">
        <v>179</v>
      </c>
      <c r="F1031" s="75" t="s">
        <v>180</v>
      </c>
      <c r="G1031" s="75" t="s">
        <v>396</v>
      </c>
      <c r="H1031" s="75"/>
      <c r="I1031" s="75" t="s">
        <v>170</v>
      </c>
      <c r="J1031" s="76">
        <v>15</v>
      </c>
      <c r="K1031" s="516" t="s">
        <v>386</v>
      </c>
      <c r="L1031" s="517">
        <v>10.119999999999999</v>
      </c>
      <c r="M1031" s="517">
        <v>10.78</v>
      </c>
      <c r="N1031" s="518">
        <v>0.10299999999999999</v>
      </c>
      <c r="O1031" s="518">
        <v>0.1</v>
      </c>
      <c r="P1031" s="518">
        <v>0.112</v>
      </c>
      <c r="Q1031" s="78">
        <v>0.44</v>
      </c>
      <c r="R1031" s="78">
        <v>0.31740000000000002</v>
      </c>
      <c r="S1031" s="69">
        <v>2.5000000000000001E-2</v>
      </c>
      <c r="T1031" s="69">
        <v>0.01</v>
      </c>
      <c r="U1031" s="518">
        <v>0.7</v>
      </c>
      <c r="V1031" s="76">
        <v>0</v>
      </c>
      <c r="W1031" s="76">
        <v>0</v>
      </c>
      <c r="X1031" s="76"/>
      <c r="Y1031" s="516" t="s">
        <v>470</v>
      </c>
    </row>
    <row r="1032" spans="1:25" x14ac:dyDescent="0.25">
      <c r="A1032" s="75" t="str">
        <f t="shared" si="37"/>
        <v>Exclusiva PROF No_Premier Normal Mercado_Abierto Pago_Bajo_Puntual 10</v>
      </c>
      <c r="B1032" s="75" t="str">
        <f t="shared" si="36"/>
        <v>Exclusiva PROF No_Premier Normal Mercado_Abierto Pago_Bajo_Puntual 10 0.0965</v>
      </c>
      <c r="C1032" s="75" t="s">
        <v>116</v>
      </c>
      <c r="D1032" s="75" t="s">
        <v>169</v>
      </c>
      <c r="E1032" s="75" t="s">
        <v>179</v>
      </c>
      <c r="F1032" s="75" t="s">
        <v>180</v>
      </c>
      <c r="G1032" s="75" t="s">
        <v>396</v>
      </c>
      <c r="H1032" s="75"/>
      <c r="I1032" s="75" t="s">
        <v>170</v>
      </c>
      <c r="J1032" s="76">
        <v>10</v>
      </c>
      <c r="K1032" s="516" t="s">
        <v>385</v>
      </c>
      <c r="L1032" s="517">
        <v>12.25</v>
      </c>
      <c r="M1032" s="517">
        <v>12.91</v>
      </c>
      <c r="N1032" s="518">
        <v>9.6500000000000002E-2</v>
      </c>
      <c r="O1032" s="518">
        <v>9.1999999999999998E-2</v>
      </c>
      <c r="P1032" s="518">
        <v>0.10249999999999999</v>
      </c>
      <c r="Q1032" s="78">
        <v>0.44</v>
      </c>
      <c r="R1032" s="78">
        <v>0.31740000000000002</v>
      </c>
      <c r="S1032" s="69">
        <v>2.5000000000000001E-2</v>
      </c>
      <c r="T1032" s="69">
        <v>0.01</v>
      </c>
      <c r="U1032" s="518">
        <v>0.7</v>
      </c>
      <c r="V1032" s="76">
        <v>0</v>
      </c>
      <c r="W1032" s="76">
        <v>0</v>
      </c>
      <c r="X1032" s="76"/>
      <c r="Y1032" s="516" t="s">
        <v>470</v>
      </c>
    </row>
    <row r="1033" spans="1:25" x14ac:dyDescent="0.25">
      <c r="A1033" s="75" t="str">
        <f t="shared" si="37"/>
        <v>Exclusiva PROF No_Premier Normal Mercado_Abierto Pago_Bajo_Puntual 10</v>
      </c>
      <c r="B1033" s="75" t="str">
        <f t="shared" si="36"/>
        <v>Exclusiva PROF No_Premier Normal Mercado_Abierto Pago_Bajo_Puntual 10 0.103</v>
      </c>
      <c r="C1033" s="75" t="s">
        <v>116</v>
      </c>
      <c r="D1033" s="75" t="s">
        <v>169</v>
      </c>
      <c r="E1033" s="75" t="s">
        <v>179</v>
      </c>
      <c r="F1033" s="75" t="s">
        <v>180</v>
      </c>
      <c r="G1033" s="75" t="s">
        <v>396</v>
      </c>
      <c r="H1033" s="75"/>
      <c r="I1033" s="75" t="s">
        <v>170</v>
      </c>
      <c r="J1033" s="76">
        <v>10</v>
      </c>
      <c r="K1033" s="516" t="s">
        <v>386</v>
      </c>
      <c r="L1033" s="517">
        <v>12.62</v>
      </c>
      <c r="M1033" s="517">
        <v>13.28</v>
      </c>
      <c r="N1033" s="518">
        <v>0.10299999999999999</v>
      </c>
      <c r="O1033" s="518">
        <v>0.1</v>
      </c>
      <c r="P1033" s="518">
        <v>0.112</v>
      </c>
      <c r="Q1033" s="78">
        <v>0.44</v>
      </c>
      <c r="R1033" s="78">
        <v>0.31740000000000002</v>
      </c>
      <c r="S1033" s="69">
        <v>2.5000000000000001E-2</v>
      </c>
      <c r="T1033" s="69">
        <v>0.01</v>
      </c>
      <c r="U1033" s="518">
        <v>0.7</v>
      </c>
      <c r="V1033" s="76">
        <v>0</v>
      </c>
      <c r="W1033" s="76">
        <v>0</v>
      </c>
      <c r="X1033" s="76"/>
      <c r="Y1033" s="516" t="s">
        <v>470</v>
      </c>
    </row>
    <row r="1034" spans="1:25" x14ac:dyDescent="0.25">
      <c r="A1034" s="75" t="str">
        <f t="shared" si="37"/>
        <v>Exclusiva PROF No_Premier Normal Mercado_Abierto Pago_Bajo_Puntual 5</v>
      </c>
      <c r="B1034" s="75" t="str">
        <f t="shared" si="36"/>
        <v>Exclusiva PROF No_Premier Normal Mercado_Abierto Pago_Bajo_Puntual 5 0.0965</v>
      </c>
      <c r="C1034" s="75" t="s">
        <v>116</v>
      </c>
      <c r="D1034" s="75" t="s">
        <v>169</v>
      </c>
      <c r="E1034" s="75" t="s">
        <v>179</v>
      </c>
      <c r="F1034" s="75" t="s">
        <v>180</v>
      </c>
      <c r="G1034" s="75" t="s">
        <v>396</v>
      </c>
      <c r="H1034" s="75"/>
      <c r="I1034" s="75" t="s">
        <v>170</v>
      </c>
      <c r="J1034" s="76">
        <v>5</v>
      </c>
      <c r="K1034" s="516" t="s">
        <v>385</v>
      </c>
      <c r="L1034" s="517">
        <v>20.399999999999999</v>
      </c>
      <c r="M1034" s="517">
        <v>21.06</v>
      </c>
      <c r="N1034" s="518">
        <v>9.6500000000000002E-2</v>
      </c>
      <c r="O1034" s="518">
        <v>9.1999999999999998E-2</v>
      </c>
      <c r="P1034" s="518">
        <v>0.10249999999999999</v>
      </c>
      <c r="Q1034" s="78">
        <v>0.44</v>
      </c>
      <c r="R1034" s="78">
        <v>0.31740000000000002</v>
      </c>
      <c r="S1034" s="69">
        <v>2.5000000000000001E-2</v>
      </c>
      <c r="T1034" s="69">
        <v>0.01</v>
      </c>
      <c r="U1034" s="518">
        <v>0.7</v>
      </c>
      <c r="V1034" s="76">
        <v>0</v>
      </c>
      <c r="W1034" s="76">
        <v>0</v>
      </c>
      <c r="X1034" s="76"/>
      <c r="Y1034" s="516" t="s">
        <v>470</v>
      </c>
    </row>
    <row r="1035" spans="1:25" x14ac:dyDescent="0.25">
      <c r="A1035" s="75" t="str">
        <f t="shared" si="37"/>
        <v>Exclusiva PROF No_Premier Normal Mercado_Abierto Pago_Bajo_Puntual 5</v>
      </c>
      <c r="B1035" s="75" t="str">
        <f t="shared" si="36"/>
        <v>Exclusiva PROF No_Premier Normal Mercado_Abierto Pago_Bajo_Puntual 5 0.103</v>
      </c>
      <c r="C1035" s="75" t="s">
        <v>116</v>
      </c>
      <c r="D1035" s="75" t="s">
        <v>169</v>
      </c>
      <c r="E1035" s="75" t="s">
        <v>179</v>
      </c>
      <c r="F1035" s="75" t="s">
        <v>180</v>
      </c>
      <c r="G1035" s="75" t="s">
        <v>396</v>
      </c>
      <c r="H1035" s="75"/>
      <c r="I1035" s="75" t="s">
        <v>170</v>
      </c>
      <c r="J1035" s="76">
        <v>5</v>
      </c>
      <c r="K1035" s="516" t="s">
        <v>386</v>
      </c>
      <c r="L1035" s="517">
        <v>20.72</v>
      </c>
      <c r="M1035" s="517">
        <v>21.38</v>
      </c>
      <c r="N1035" s="518">
        <v>0.10299999999999999</v>
      </c>
      <c r="O1035" s="518">
        <v>0.1</v>
      </c>
      <c r="P1035" s="518">
        <v>0.112</v>
      </c>
      <c r="Q1035" s="78">
        <v>0.44</v>
      </c>
      <c r="R1035" s="78">
        <v>0.31740000000000002</v>
      </c>
      <c r="S1035" s="69">
        <v>2.5000000000000001E-2</v>
      </c>
      <c r="T1035" s="69">
        <v>0.01</v>
      </c>
      <c r="U1035" s="518">
        <v>0.7</v>
      </c>
      <c r="V1035" s="76">
        <v>0</v>
      </c>
      <c r="W1035" s="76">
        <v>0</v>
      </c>
      <c r="X1035" s="76"/>
      <c r="Y1035" s="516" t="s">
        <v>470</v>
      </c>
    </row>
    <row r="1036" spans="1:25" x14ac:dyDescent="0.25">
      <c r="A1036" s="75" t="str">
        <f t="shared" si="37"/>
        <v>Exclusiva PROF Premier Mercado_Abierto Pago_Fijo_Puntual Si 25</v>
      </c>
      <c r="B1036" s="75" t="str">
        <f t="shared" si="36"/>
        <v>Exclusiva PROF Premier Mercado_Abierto Pago_Fijo_Puntual Si 25 0.103</v>
      </c>
      <c r="C1036" s="75" t="s">
        <v>116</v>
      </c>
      <c r="D1036" s="75" t="s">
        <v>169</v>
      </c>
      <c r="E1036" s="75" t="s">
        <v>143</v>
      </c>
      <c r="F1036" s="75"/>
      <c r="G1036" s="75" t="s">
        <v>396</v>
      </c>
      <c r="H1036" s="75"/>
      <c r="I1036" s="75" t="s">
        <v>171</v>
      </c>
      <c r="J1036" s="76">
        <v>25</v>
      </c>
      <c r="K1036" s="519" t="s">
        <v>387</v>
      </c>
      <c r="L1036" s="520">
        <v>9.65</v>
      </c>
      <c r="M1036" s="520">
        <v>10.31</v>
      </c>
      <c r="N1036" s="507">
        <v>0.10299999999999999</v>
      </c>
      <c r="O1036" s="507">
        <v>0.1</v>
      </c>
      <c r="P1036" s="507">
        <v>0.112</v>
      </c>
      <c r="Q1036" s="78">
        <v>0.44</v>
      </c>
      <c r="R1036" s="78">
        <v>0.31740000000000002</v>
      </c>
      <c r="S1036" s="69">
        <v>2.5000000000000001E-2</v>
      </c>
      <c r="T1036" s="69">
        <v>0.01</v>
      </c>
      <c r="U1036" s="507">
        <v>0.85</v>
      </c>
      <c r="V1036" s="76">
        <v>0</v>
      </c>
      <c r="W1036" s="76">
        <v>0</v>
      </c>
      <c r="X1036" s="76" t="s">
        <v>147</v>
      </c>
      <c r="Y1036" s="519" t="s">
        <v>469</v>
      </c>
    </row>
    <row r="1037" spans="1:25" x14ac:dyDescent="0.25">
      <c r="A1037" s="75" t="str">
        <f t="shared" si="37"/>
        <v>Exclusiva PROF Premier Mercado_Abierto Pago_Fijo_Puntual Si 20</v>
      </c>
      <c r="B1037" s="75" t="str">
        <f t="shared" si="36"/>
        <v>Exclusiva PROF Premier Mercado_Abierto Pago_Fijo_Puntual Si 20 0.103</v>
      </c>
      <c r="C1037" s="75" t="s">
        <v>116</v>
      </c>
      <c r="D1037" s="75" t="s">
        <v>169</v>
      </c>
      <c r="E1037" s="75" t="s">
        <v>143</v>
      </c>
      <c r="F1037" s="75"/>
      <c r="G1037" s="75" t="s">
        <v>396</v>
      </c>
      <c r="H1037" s="75"/>
      <c r="I1037" s="75" t="s">
        <v>171</v>
      </c>
      <c r="J1037" s="76">
        <v>20</v>
      </c>
      <c r="K1037" s="519" t="s">
        <v>387</v>
      </c>
      <c r="L1037" s="520">
        <v>10.16</v>
      </c>
      <c r="M1037" s="520">
        <v>10.82</v>
      </c>
      <c r="N1037" s="507">
        <v>0.10299999999999999</v>
      </c>
      <c r="O1037" s="507">
        <v>0.1</v>
      </c>
      <c r="P1037" s="507">
        <v>0.112</v>
      </c>
      <c r="Q1037" s="78">
        <v>0.44</v>
      </c>
      <c r="R1037" s="78">
        <v>0.31740000000000002</v>
      </c>
      <c r="S1037" s="69">
        <v>2.5000000000000001E-2</v>
      </c>
      <c r="T1037" s="69">
        <v>0.01</v>
      </c>
      <c r="U1037" s="507">
        <v>0.85</v>
      </c>
      <c r="V1037" s="76">
        <v>0</v>
      </c>
      <c r="W1037" s="76">
        <v>0</v>
      </c>
      <c r="X1037" s="76" t="s">
        <v>147</v>
      </c>
      <c r="Y1037" s="519" t="s">
        <v>469</v>
      </c>
    </row>
    <row r="1038" spans="1:25" x14ac:dyDescent="0.25">
      <c r="A1038" s="75" t="str">
        <f t="shared" si="37"/>
        <v>Exclusiva PROF Premier Mercado_Abierto Pago_Fijo_Puntual Si 15</v>
      </c>
      <c r="B1038" s="75" t="str">
        <f t="shared" si="36"/>
        <v>Exclusiva PROF Premier Mercado_Abierto Pago_Fijo_Puntual Si 15 0.103</v>
      </c>
      <c r="C1038" s="75" t="s">
        <v>116</v>
      </c>
      <c r="D1038" s="75" t="s">
        <v>169</v>
      </c>
      <c r="E1038" s="75" t="s">
        <v>143</v>
      </c>
      <c r="F1038" s="75"/>
      <c r="G1038" s="75" t="s">
        <v>396</v>
      </c>
      <c r="H1038" s="75"/>
      <c r="I1038" s="75" t="s">
        <v>171</v>
      </c>
      <c r="J1038" s="76">
        <v>15</v>
      </c>
      <c r="K1038" s="519" t="s">
        <v>387</v>
      </c>
      <c r="L1038" s="520">
        <v>11.18</v>
      </c>
      <c r="M1038" s="520">
        <v>11.84</v>
      </c>
      <c r="N1038" s="507">
        <v>0.10299999999999999</v>
      </c>
      <c r="O1038" s="507">
        <v>0.1</v>
      </c>
      <c r="P1038" s="507">
        <v>0.112</v>
      </c>
      <c r="Q1038" s="78">
        <v>0.44</v>
      </c>
      <c r="R1038" s="78">
        <v>0.31740000000000002</v>
      </c>
      <c r="S1038" s="69">
        <v>2.5000000000000001E-2</v>
      </c>
      <c r="T1038" s="69">
        <v>0.01</v>
      </c>
      <c r="U1038" s="507">
        <v>0.85</v>
      </c>
      <c r="V1038" s="76">
        <v>0</v>
      </c>
      <c r="W1038" s="76">
        <v>0</v>
      </c>
      <c r="X1038" s="76" t="s">
        <v>147</v>
      </c>
      <c r="Y1038" s="519" t="s">
        <v>469</v>
      </c>
    </row>
    <row r="1039" spans="1:25" x14ac:dyDescent="0.25">
      <c r="A1039" s="75" t="str">
        <f t="shared" si="37"/>
        <v>Exclusiva PROF Premier Mercado_Abierto Pago_Fijo_Puntual Si 10</v>
      </c>
      <c r="B1039" s="75" t="str">
        <f t="shared" si="36"/>
        <v>Exclusiva PROF Premier Mercado_Abierto Pago_Fijo_Puntual Si 10 0.103</v>
      </c>
      <c r="C1039" s="75" t="s">
        <v>116</v>
      </c>
      <c r="D1039" s="75" t="s">
        <v>169</v>
      </c>
      <c r="E1039" s="75" t="s">
        <v>143</v>
      </c>
      <c r="F1039" s="75"/>
      <c r="G1039" s="75" t="s">
        <v>396</v>
      </c>
      <c r="H1039" s="75"/>
      <c r="I1039" s="75" t="s">
        <v>171</v>
      </c>
      <c r="J1039" s="76">
        <v>10</v>
      </c>
      <c r="K1039" s="519" t="s">
        <v>387</v>
      </c>
      <c r="L1039" s="520">
        <v>13.54</v>
      </c>
      <c r="M1039" s="520">
        <v>14.2</v>
      </c>
      <c r="N1039" s="507">
        <v>0.10299999999999999</v>
      </c>
      <c r="O1039" s="507">
        <v>0.1</v>
      </c>
      <c r="P1039" s="507">
        <v>0.112</v>
      </c>
      <c r="Q1039" s="78">
        <v>0.44</v>
      </c>
      <c r="R1039" s="78">
        <v>0.31740000000000002</v>
      </c>
      <c r="S1039" s="69">
        <v>2.5000000000000001E-2</v>
      </c>
      <c r="T1039" s="69">
        <v>0.01</v>
      </c>
      <c r="U1039" s="507">
        <v>0.85</v>
      </c>
      <c r="V1039" s="76">
        <v>0</v>
      </c>
      <c r="W1039" s="76">
        <v>0</v>
      </c>
      <c r="X1039" s="76" t="s">
        <v>147</v>
      </c>
      <c r="Y1039" s="519" t="s">
        <v>469</v>
      </c>
    </row>
    <row r="1040" spans="1:25" x14ac:dyDescent="0.25">
      <c r="A1040" s="75" t="str">
        <f t="shared" si="37"/>
        <v>Exclusiva PROF Premier Mercado_Abierto Pago_Fijo_Puntual Si 5</v>
      </c>
      <c r="B1040" s="75" t="str">
        <f t="shared" si="36"/>
        <v>Exclusiva PROF Premier Mercado_Abierto Pago_Fijo_Puntual Si 5 0.103</v>
      </c>
      <c r="C1040" s="75" t="s">
        <v>116</v>
      </c>
      <c r="D1040" s="75" t="s">
        <v>169</v>
      </c>
      <c r="E1040" s="75" t="s">
        <v>143</v>
      </c>
      <c r="F1040" s="75"/>
      <c r="G1040" s="75" t="s">
        <v>396</v>
      </c>
      <c r="H1040" s="75"/>
      <c r="I1040" s="75" t="s">
        <v>171</v>
      </c>
      <c r="J1040" s="76">
        <v>5</v>
      </c>
      <c r="K1040" s="519" t="s">
        <v>387</v>
      </c>
      <c r="L1040" s="520">
        <v>21.44</v>
      </c>
      <c r="M1040" s="520">
        <v>22.1</v>
      </c>
      <c r="N1040" s="507">
        <v>0.10299999999999999</v>
      </c>
      <c r="O1040" s="507">
        <v>0.1</v>
      </c>
      <c r="P1040" s="507">
        <v>0.112</v>
      </c>
      <c r="Q1040" s="78">
        <v>0.44</v>
      </c>
      <c r="R1040" s="78">
        <v>0.31740000000000002</v>
      </c>
      <c r="S1040" s="69">
        <v>2.5000000000000001E-2</v>
      </c>
      <c r="T1040" s="69">
        <v>0.01</v>
      </c>
      <c r="U1040" s="507">
        <v>0.85</v>
      </c>
      <c r="V1040" s="76">
        <v>0</v>
      </c>
      <c r="W1040" s="76">
        <v>0</v>
      </c>
      <c r="X1040" s="76" t="s">
        <v>147</v>
      </c>
      <c r="Y1040" s="519" t="s">
        <v>469</v>
      </c>
    </row>
    <row r="1041" spans="1:25" x14ac:dyDescent="0.25">
      <c r="A1041" s="75" t="str">
        <f t="shared" si="37"/>
        <v>Exclusiva PROF Premier Mercado_Abierto Pago_Bajo_Puntual Si 25</v>
      </c>
      <c r="B1041" s="75" t="str">
        <f t="shared" si="36"/>
        <v>Exclusiva PROF Premier Mercado_Abierto Pago_Bajo_Puntual Si 25 0.103</v>
      </c>
      <c r="C1041" s="75" t="s">
        <v>116</v>
      </c>
      <c r="D1041" s="75" t="s">
        <v>169</v>
      </c>
      <c r="E1041" s="75" t="s">
        <v>143</v>
      </c>
      <c r="F1041" s="75"/>
      <c r="G1041" s="75" t="s">
        <v>396</v>
      </c>
      <c r="H1041" s="75"/>
      <c r="I1041" s="75" t="s">
        <v>170</v>
      </c>
      <c r="J1041" s="523">
        <v>25</v>
      </c>
      <c r="K1041" s="519" t="s">
        <v>387</v>
      </c>
      <c r="L1041" s="525">
        <v>8.64</v>
      </c>
      <c r="M1041" s="525">
        <v>9.3000000000000007</v>
      </c>
      <c r="N1041" s="507">
        <v>0.10299999999999999</v>
      </c>
      <c r="O1041" s="507">
        <v>0.1</v>
      </c>
      <c r="P1041" s="507">
        <v>0.112</v>
      </c>
      <c r="Q1041" s="78">
        <v>0.44</v>
      </c>
      <c r="R1041" s="78">
        <v>0.31740000000000002</v>
      </c>
      <c r="S1041" s="69">
        <v>2.5000000000000001E-2</v>
      </c>
      <c r="T1041" s="69">
        <v>0.01</v>
      </c>
      <c r="U1041" s="507">
        <v>0.85</v>
      </c>
      <c r="V1041" s="76">
        <v>0</v>
      </c>
      <c r="W1041" s="76">
        <v>0</v>
      </c>
      <c r="X1041" s="76" t="s">
        <v>147</v>
      </c>
      <c r="Y1041" s="519" t="s">
        <v>469</v>
      </c>
    </row>
    <row r="1042" spans="1:25" x14ac:dyDescent="0.25">
      <c r="A1042" s="75" t="str">
        <f t="shared" si="37"/>
        <v>Exclusiva PROF Premier Mercado_Abierto Pago_Bajo_Puntual Si 20</v>
      </c>
      <c r="B1042" s="75" t="str">
        <f t="shared" si="36"/>
        <v>Exclusiva PROF Premier Mercado_Abierto Pago_Bajo_Puntual Si 20 0.103</v>
      </c>
      <c r="C1042" s="75" t="s">
        <v>116</v>
      </c>
      <c r="D1042" s="75" t="s">
        <v>169</v>
      </c>
      <c r="E1042" s="75" t="s">
        <v>143</v>
      </c>
      <c r="F1042" s="75"/>
      <c r="G1042" s="75" t="s">
        <v>396</v>
      </c>
      <c r="H1042" s="75"/>
      <c r="I1042" s="75" t="s">
        <v>170</v>
      </c>
      <c r="J1042" s="76">
        <v>20</v>
      </c>
      <c r="K1042" s="519" t="s">
        <v>387</v>
      </c>
      <c r="L1042" s="520">
        <v>9</v>
      </c>
      <c r="M1042" s="520">
        <v>9.66</v>
      </c>
      <c r="N1042" s="507">
        <v>0.10299999999999999</v>
      </c>
      <c r="O1042" s="507">
        <v>0.1</v>
      </c>
      <c r="P1042" s="507">
        <v>0.112</v>
      </c>
      <c r="Q1042" s="78">
        <v>0.44</v>
      </c>
      <c r="R1042" s="78">
        <v>0.31740000000000002</v>
      </c>
      <c r="S1042" s="69">
        <v>2.5000000000000001E-2</v>
      </c>
      <c r="T1042" s="69">
        <v>0.01</v>
      </c>
      <c r="U1042" s="507">
        <v>0.85</v>
      </c>
      <c r="V1042" s="76">
        <v>0</v>
      </c>
      <c r="W1042" s="76">
        <v>0</v>
      </c>
      <c r="X1042" s="76" t="s">
        <v>147</v>
      </c>
      <c r="Y1042" s="519" t="s">
        <v>469</v>
      </c>
    </row>
    <row r="1043" spans="1:25" x14ac:dyDescent="0.25">
      <c r="A1043" s="75" t="str">
        <f t="shared" si="37"/>
        <v>Exclusiva PROF Premier Mercado_Abierto Pago_Bajo_Puntual Si 15</v>
      </c>
      <c r="B1043" s="75" t="str">
        <f t="shared" si="36"/>
        <v>Exclusiva PROF Premier Mercado_Abierto Pago_Bajo_Puntual Si 15 0.103</v>
      </c>
      <c r="C1043" s="75" t="s">
        <v>116</v>
      </c>
      <c r="D1043" s="75" t="s">
        <v>169</v>
      </c>
      <c r="E1043" s="75" t="s">
        <v>143</v>
      </c>
      <c r="F1043" s="75"/>
      <c r="G1043" s="75" t="s">
        <v>396</v>
      </c>
      <c r="H1043" s="75"/>
      <c r="I1043" s="75" t="s">
        <v>170</v>
      </c>
      <c r="J1043" s="76">
        <v>15</v>
      </c>
      <c r="K1043" s="519" t="s">
        <v>387</v>
      </c>
      <c r="L1043" s="520">
        <v>10.119999999999999</v>
      </c>
      <c r="M1043" s="520">
        <v>10.78</v>
      </c>
      <c r="N1043" s="507">
        <v>0.10299999999999999</v>
      </c>
      <c r="O1043" s="507">
        <v>0.1</v>
      </c>
      <c r="P1043" s="507">
        <v>0.112</v>
      </c>
      <c r="Q1043" s="78">
        <v>0.44</v>
      </c>
      <c r="R1043" s="78">
        <v>0.31740000000000002</v>
      </c>
      <c r="S1043" s="69">
        <v>2.5000000000000001E-2</v>
      </c>
      <c r="T1043" s="69">
        <v>0.01</v>
      </c>
      <c r="U1043" s="507">
        <v>0.85</v>
      </c>
      <c r="V1043" s="76">
        <v>0</v>
      </c>
      <c r="W1043" s="76">
        <v>0</v>
      </c>
      <c r="X1043" s="76" t="s">
        <v>147</v>
      </c>
      <c r="Y1043" s="519" t="s">
        <v>469</v>
      </c>
    </row>
    <row r="1044" spans="1:25" x14ac:dyDescent="0.25">
      <c r="A1044" s="75" t="str">
        <f t="shared" si="37"/>
        <v>Exclusiva PROF Premier Mercado_Abierto Pago_Bajo_Puntual Si 10</v>
      </c>
      <c r="B1044" s="75" t="str">
        <f t="shared" si="36"/>
        <v>Exclusiva PROF Premier Mercado_Abierto Pago_Bajo_Puntual Si 10 0.103</v>
      </c>
      <c r="C1044" s="75" t="s">
        <v>116</v>
      </c>
      <c r="D1044" s="75" t="s">
        <v>169</v>
      </c>
      <c r="E1044" s="75" t="s">
        <v>143</v>
      </c>
      <c r="F1044" s="75"/>
      <c r="G1044" s="75" t="s">
        <v>396</v>
      </c>
      <c r="H1044" s="75"/>
      <c r="I1044" s="75" t="s">
        <v>170</v>
      </c>
      <c r="J1044" s="76">
        <v>10</v>
      </c>
      <c r="K1044" s="519" t="s">
        <v>387</v>
      </c>
      <c r="L1044" s="520">
        <v>12.62</v>
      </c>
      <c r="M1044" s="520">
        <v>13.28</v>
      </c>
      <c r="N1044" s="507">
        <v>0.10299999999999999</v>
      </c>
      <c r="O1044" s="507">
        <v>0.1</v>
      </c>
      <c r="P1044" s="507">
        <v>0.112</v>
      </c>
      <c r="Q1044" s="78">
        <v>0.44</v>
      </c>
      <c r="R1044" s="78">
        <v>0.31740000000000002</v>
      </c>
      <c r="S1044" s="69">
        <v>2.5000000000000001E-2</v>
      </c>
      <c r="T1044" s="69">
        <v>0.01</v>
      </c>
      <c r="U1044" s="507">
        <v>0.85</v>
      </c>
      <c r="V1044" s="76">
        <v>0</v>
      </c>
      <c r="W1044" s="76">
        <v>0</v>
      </c>
      <c r="X1044" s="76" t="s">
        <v>147</v>
      </c>
      <c r="Y1044" s="519" t="s">
        <v>469</v>
      </c>
    </row>
    <row r="1045" spans="1:25" x14ac:dyDescent="0.25">
      <c r="A1045" s="75" t="str">
        <f t="shared" si="37"/>
        <v>Exclusiva PROF Premier Mercado_Abierto Pago_Bajo_Puntual Si 5</v>
      </c>
      <c r="B1045" s="75" t="str">
        <f t="shared" si="36"/>
        <v>Exclusiva PROF Premier Mercado_Abierto Pago_Bajo_Puntual Si 5 0.103</v>
      </c>
      <c r="C1045" s="75" t="s">
        <v>116</v>
      </c>
      <c r="D1045" s="75" t="s">
        <v>169</v>
      </c>
      <c r="E1045" s="75" t="s">
        <v>143</v>
      </c>
      <c r="F1045" s="75"/>
      <c r="G1045" s="75" t="s">
        <v>396</v>
      </c>
      <c r="H1045" s="75"/>
      <c r="I1045" s="75" t="s">
        <v>170</v>
      </c>
      <c r="J1045" s="76">
        <v>5</v>
      </c>
      <c r="K1045" s="519" t="s">
        <v>387</v>
      </c>
      <c r="L1045" s="520">
        <v>20.72</v>
      </c>
      <c r="M1045" s="520">
        <v>21.38</v>
      </c>
      <c r="N1045" s="507">
        <v>0.10299999999999999</v>
      </c>
      <c r="O1045" s="507">
        <v>0.1</v>
      </c>
      <c r="P1045" s="507">
        <v>0.112</v>
      </c>
      <c r="Q1045" s="78">
        <v>0.44</v>
      </c>
      <c r="R1045" s="78">
        <v>0.31740000000000002</v>
      </c>
      <c r="S1045" s="69">
        <v>2.5000000000000001E-2</v>
      </c>
      <c r="T1045" s="69">
        <v>0.01</v>
      </c>
      <c r="U1045" s="507">
        <v>0.85</v>
      </c>
      <c r="V1045" s="76">
        <v>0</v>
      </c>
      <c r="W1045" s="76">
        <v>0</v>
      </c>
      <c r="X1045" s="76" t="s">
        <v>147</v>
      </c>
      <c r="Y1045" s="519" t="s">
        <v>469</v>
      </c>
    </row>
    <row r="1046" spans="1:25" x14ac:dyDescent="0.25">
      <c r="A1046" s="75" t="str">
        <f t="shared" si="37"/>
        <v>Exclusiva PROF Premier Mercado_Abierto Pago_Fijo_Puntual 25</v>
      </c>
      <c r="B1046" s="75" t="str">
        <f t="shared" si="36"/>
        <v>Exclusiva PROF Premier Mercado_Abierto Pago_Fijo_Puntual 25 0.0965</v>
      </c>
      <c r="C1046" s="75" t="s">
        <v>116</v>
      </c>
      <c r="D1046" s="75" t="s">
        <v>169</v>
      </c>
      <c r="E1046" s="75" t="s">
        <v>143</v>
      </c>
      <c r="F1046" s="75"/>
      <c r="G1046" s="75" t="s">
        <v>396</v>
      </c>
      <c r="H1046" s="75"/>
      <c r="I1046" s="75" t="s">
        <v>171</v>
      </c>
      <c r="J1046" s="76">
        <v>25</v>
      </c>
      <c r="K1046" s="516" t="s">
        <v>385</v>
      </c>
      <c r="L1046" s="517">
        <v>9.11</v>
      </c>
      <c r="M1046" s="517">
        <v>9.77</v>
      </c>
      <c r="N1046" s="518">
        <v>9.6500000000000002E-2</v>
      </c>
      <c r="O1046" s="518">
        <v>9.1999999999999998E-2</v>
      </c>
      <c r="P1046" s="518">
        <v>0.10249999999999999</v>
      </c>
      <c r="Q1046" s="78">
        <v>0.44</v>
      </c>
      <c r="R1046" s="78">
        <v>0.31740000000000002</v>
      </c>
      <c r="S1046" s="69">
        <v>2.5000000000000001E-2</v>
      </c>
      <c r="T1046" s="69">
        <v>0.01</v>
      </c>
      <c r="U1046" s="518">
        <v>0.7</v>
      </c>
      <c r="V1046" s="76">
        <v>0</v>
      </c>
      <c r="W1046" s="76">
        <v>0</v>
      </c>
      <c r="X1046" s="76"/>
      <c r="Y1046" s="516" t="s">
        <v>470</v>
      </c>
    </row>
    <row r="1047" spans="1:25" x14ac:dyDescent="0.25">
      <c r="A1047" s="75" t="str">
        <f t="shared" si="37"/>
        <v>Exclusiva PROF Premier Mercado_Abierto Pago_Fijo_Puntual 25</v>
      </c>
      <c r="B1047" s="75" t="str">
        <f t="shared" si="36"/>
        <v>Exclusiva PROF Premier Mercado_Abierto Pago_Fijo_Puntual 25 0.103</v>
      </c>
      <c r="C1047" s="75" t="s">
        <v>116</v>
      </c>
      <c r="D1047" s="75" t="s">
        <v>169</v>
      </c>
      <c r="E1047" s="75" t="s">
        <v>143</v>
      </c>
      <c r="F1047" s="75"/>
      <c r="G1047" s="75" t="s">
        <v>396</v>
      </c>
      <c r="H1047" s="75"/>
      <c r="I1047" s="75" t="s">
        <v>171</v>
      </c>
      <c r="J1047" s="76">
        <v>25</v>
      </c>
      <c r="K1047" s="516" t="s">
        <v>386</v>
      </c>
      <c r="L1047" s="517">
        <v>9.65</v>
      </c>
      <c r="M1047" s="517">
        <v>10.31</v>
      </c>
      <c r="N1047" s="518">
        <v>0.10299999999999999</v>
      </c>
      <c r="O1047" s="518">
        <v>0.1</v>
      </c>
      <c r="P1047" s="518">
        <v>0.112</v>
      </c>
      <c r="Q1047" s="78">
        <v>0.44</v>
      </c>
      <c r="R1047" s="78">
        <v>0.31740000000000002</v>
      </c>
      <c r="S1047" s="69">
        <v>2.5000000000000001E-2</v>
      </c>
      <c r="T1047" s="69">
        <v>0.01</v>
      </c>
      <c r="U1047" s="518">
        <v>0.7</v>
      </c>
      <c r="V1047" s="76">
        <v>0</v>
      </c>
      <c r="W1047" s="76">
        <v>0</v>
      </c>
      <c r="X1047" s="76"/>
      <c r="Y1047" s="516" t="s">
        <v>470</v>
      </c>
    </row>
    <row r="1048" spans="1:25" x14ac:dyDescent="0.25">
      <c r="A1048" s="75" t="str">
        <f t="shared" si="37"/>
        <v>Exclusiva PROF Premier Mercado_Abierto Pago_Fijo_Puntual 20</v>
      </c>
      <c r="B1048" s="75" t="str">
        <f t="shared" si="36"/>
        <v>Exclusiva PROF Premier Mercado_Abierto Pago_Fijo_Puntual 20 0.0965</v>
      </c>
      <c r="C1048" s="75" t="s">
        <v>116</v>
      </c>
      <c r="D1048" s="75" t="s">
        <v>169</v>
      </c>
      <c r="E1048" s="75" t="s">
        <v>143</v>
      </c>
      <c r="F1048" s="75"/>
      <c r="G1048" s="75" t="s">
        <v>396</v>
      </c>
      <c r="H1048" s="75"/>
      <c r="I1048" s="75" t="s">
        <v>171</v>
      </c>
      <c r="J1048" s="76">
        <v>20</v>
      </c>
      <c r="K1048" s="516" t="s">
        <v>385</v>
      </c>
      <c r="L1048" s="517">
        <v>9.66</v>
      </c>
      <c r="M1048" s="517">
        <v>10.32</v>
      </c>
      <c r="N1048" s="518">
        <v>9.6500000000000002E-2</v>
      </c>
      <c r="O1048" s="518">
        <v>9.1999999999999998E-2</v>
      </c>
      <c r="P1048" s="518">
        <v>0.10249999999999999</v>
      </c>
      <c r="Q1048" s="78">
        <v>0.44</v>
      </c>
      <c r="R1048" s="78">
        <v>0.31740000000000002</v>
      </c>
      <c r="S1048" s="69">
        <v>2.5000000000000001E-2</v>
      </c>
      <c r="T1048" s="69">
        <v>0.01</v>
      </c>
      <c r="U1048" s="518">
        <v>0.7</v>
      </c>
      <c r="V1048" s="76">
        <v>0</v>
      </c>
      <c r="W1048" s="76">
        <v>0</v>
      </c>
      <c r="X1048" s="76"/>
      <c r="Y1048" s="516" t="s">
        <v>470</v>
      </c>
    </row>
    <row r="1049" spans="1:25" x14ac:dyDescent="0.25">
      <c r="A1049" s="75" t="str">
        <f t="shared" si="37"/>
        <v>Exclusiva PROF Premier Mercado_Abierto Pago_Fijo_Puntual 20</v>
      </c>
      <c r="B1049" s="75" t="str">
        <f t="shared" si="36"/>
        <v>Exclusiva PROF Premier Mercado_Abierto Pago_Fijo_Puntual 20 0.103</v>
      </c>
      <c r="C1049" s="75" t="s">
        <v>116</v>
      </c>
      <c r="D1049" s="75" t="s">
        <v>169</v>
      </c>
      <c r="E1049" s="75" t="s">
        <v>143</v>
      </c>
      <c r="F1049" s="75"/>
      <c r="G1049" s="75" t="s">
        <v>396</v>
      </c>
      <c r="H1049" s="75"/>
      <c r="I1049" s="75" t="s">
        <v>171</v>
      </c>
      <c r="J1049" s="76">
        <v>20</v>
      </c>
      <c r="K1049" s="516" t="s">
        <v>386</v>
      </c>
      <c r="L1049" s="517">
        <v>10.16</v>
      </c>
      <c r="M1049" s="517">
        <v>10.82</v>
      </c>
      <c r="N1049" s="518">
        <v>0.10299999999999999</v>
      </c>
      <c r="O1049" s="518">
        <v>0.1</v>
      </c>
      <c r="P1049" s="518">
        <v>0.112</v>
      </c>
      <c r="Q1049" s="78">
        <v>0.44</v>
      </c>
      <c r="R1049" s="78">
        <v>0.31740000000000002</v>
      </c>
      <c r="S1049" s="69">
        <v>2.5000000000000001E-2</v>
      </c>
      <c r="T1049" s="69">
        <v>0.01</v>
      </c>
      <c r="U1049" s="518">
        <v>0.7</v>
      </c>
      <c r="V1049" s="76">
        <v>0</v>
      </c>
      <c r="W1049" s="76">
        <v>0</v>
      </c>
      <c r="X1049" s="76"/>
      <c r="Y1049" s="516" t="s">
        <v>470</v>
      </c>
    </row>
    <row r="1050" spans="1:25" x14ac:dyDescent="0.25">
      <c r="A1050" s="75" t="str">
        <f t="shared" si="37"/>
        <v>Exclusiva PROF Premier Mercado_Abierto Pago_Fijo_Puntual 15</v>
      </c>
      <c r="B1050" s="75" t="str">
        <f t="shared" si="36"/>
        <v>Exclusiva PROF Premier Mercado_Abierto Pago_Fijo_Puntual 15 0.0965</v>
      </c>
      <c r="C1050" s="75" t="s">
        <v>116</v>
      </c>
      <c r="D1050" s="75" t="s">
        <v>169</v>
      </c>
      <c r="E1050" s="75" t="s">
        <v>143</v>
      </c>
      <c r="F1050" s="75"/>
      <c r="G1050" s="75" t="s">
        <v>396</v>
      </c>
      <c r="H1050" s="75"/>
      <c r="I1050" s="75" t="s">
        <v>171</v>
      </c>
      <c r="J1050" s="76">
        <v>15</v>
      </c>
      <c r="K1050" s="516" t="s">
        <v>385</v>
      </c>
      <c r="L1050" s="517">
        <v>10.73</v>
      </c>
      <c r="M1050" s="517">
        <v>11.39</v>
      </c>
      <c r="N1050" s="518">
        <v>9.6500000000000002E-2</v>
      </c>
      <c r="O1050" s="518">
        <v>9.1999999999999998E-2</v>
      </c>
      <c r="P1050" s="518">
        <v>0.10249999999999999</v>
      </c>
      <c r="Q1050" s="78">
        <v>0.44</v>
      </c>
      <c r="R1050" s="78">
        <v>0.31740000000000002</v>
      </c>
      <c r="S1050" s="69">
        <v>2.5000000000000001E-2</v>
      </c>
      <c r="T1050" s="69">
        <v>0.01</v>
      </c>
      <c r="U1050" s="518">
        <v>0.7</v>
      </c>
      <c r="V1050" s="76">
        <v>0</v>
      </c>
      <c r="W1050" s="76">
        <v>0</v>
      </c>
      <c r="X1050" s="76"/>
      <c r="Y1050" s="516" t="s">
        <v>470</v>
      </c>
    </row>
    <row r="1051" spans="1:25" x14ac:dyDescent="0.25">
      <c r="A1051" s="75" t="str">
        <f t="shared" si="37"/>
        <v>Exclusiva PROF Premier Mercado_Abierto Pago_Fijo_Puntual 15</v>
      </c>
      <c r="B1051" s="75" t="str">
        <f t="shared" si="36"/>
        <v>Exclusiva PROF Premier Mercado_Abierto Pago_Fijo_Puntual 15 0.103</v>
      </c>
      <c r="C1051" s="75" t="s">
        <v>116</v>
      </c>
      <c r="D1051" s="75" t="s">
        <v>169</v>
      </c>
      <c r="E1051" s="75" t="s">
        <v>143</v>
      </c>
      <c r="F1051" s="75"/>
      <c r="G1051" s="75" t="s">
        <v>396</v>
      </c>
      <c r="H1051" s="75"/>
      <c r="I1051" s="75" t="s">
        <v>171</v>
      </c>
      <c r="J1051" s="76">
        <v>15</v>
      </c>
      <c r="K1051" s="516" t="s">
        <v>386</v>
      </c>
      <c r="L1051" s="517">
        <v>11.18</v>
      </c>
      <c r="M1051" s="517">
        <v>11.84</v>
      </c>
      <c r="N1051" s="518">
        <v>0.10299999999999999</v>
      </c>
      <c r="O1051" s="518">
        <v>0.1</v>
      </c>
      <c r="P1051" s="518">
        <v>0.112</v>
      </c>
      <c r="Q1051" s="78">
        <v>0.44</v>
      </c>
      <c r="R1051" s="78">
        <v>0.31740000000000002</v>
      </c>
      <c r="S1051" s="69">
        <v>2.5000000000000001E-2</v>
      </c>
      <c r="T1051" s="69">
        <v>0.01</v>
      </c>
      <c r="U1051" s="518">
        <v>0.7</v>
      </c>
      <c r="V1051" s="76">
        <v>0</v>
      </c>
      <c r="W1051" s="76">
        <v>0</v>
      </c>
      <c r="X1051" s="76"/>
      <c r="Y1051" s="516" t="s">
        <v>470</v>
      </c>
    </row>
    <row r="1052" spans="1:25" x14ac:dyDescent="0.25">
      <c r="A1052" s="75" t="str">
        <f t="shared" si="37"/>
        <v>Exclusiva PROF Premier Mercado_Abierto Pago_Fijo_Puntual 10</v>
      </c>
      <c r="B1052" s="75" t="str">
        <f t="shared" si="36"/>
        <v>Exclusiva PROF Premier Mercado_Abierto Pago_Fijo_Puntual 10 0.0965</v>
      </c>
      <c r="C1052" s="75" t="s">
        <v>116</v>
      </c>
      <c r="D1052" s="75" t="s">
        <v>169</v>
      </c>
      <c r="E1052" s="75" t="s">
        <v>143</v>
      </c>
      <c r="F1052" s="75"/>
      <c r="G1052" s="75" t="s">
        <v>396</v>
      </c>
      <c r="H1052" s="75"/>
      <c r="I1052" s="75" t="s">
        <v>171</v>
      </c>
      <c r="J1052" s="76">
        <v>10</v>
      </c>
      <c r="K1052" s="516" t="s">
        <v>385</v>
      </c>
      <c r="L1052" s="517">
        <v>13.16</v>
      </c>
      <c r="M1052" s="517">
        <v>13.82</v>
      </c>
      <c r="N1052" s="518">
        <v>9.6500000000000002E-2</v>
      </c>
      <c r="O1052" s="518">
        <v>9.1999999999999998E-2</v>
      </c>
      <c r="P1052" s="518">
        <v>0.10249999999999999</v>
      </c>
      <c r="Q1052" s="78">
        <v>0.44</v>
      </c>
      <c r="R1052" s="78">
        <v>0.31740000000000002</v>
      </c>
      <c r="S1052" s="69">
        <v>2.5000000000000001E-2</v>
      </c>
      <c r="T1052" s="69">
        <v>0.01</v>
      </c>
      <c r="U1052" s="518">
        <v>0.7</v>
      </c>
      <c r="V1052" s="76">
        <v>0</v>
      </c>
      <c r="W1052" s="76">
        <v>0</v>
      </c>
      <c r="X1052" s="76"/>
      <c r="Y1052" s="516" t="s">
        <v>470</v>
      </c>
    </row>
    <row r="1053" spans="1:25" x14ac:dyDescent="0.25">
      <c r="A1053" s="75" t="str">
        <f t="shared" si="37"/>
        <v>Exclusiva PROF Premier Mercado_Abierto Pago_Fijo_Puntual 10</v>
      </c>
      <c r="B1053" s="75" t="str">
        <f t="shared" si="36"/>
        <v>Exclusiva PROF Premier Mercado_Abierto Pago_Fijo_Puntual 10 0.103</v>
      </c>
      <c r="C1053" s="75" t="s">
        <v>116</v>
      </c>
      <c r="D1053" s="75" t="s">
        <v>169</v>
      </c>
      <c r="E1053" s="75" t="s">
        <v>143</v>
      </c>
      <c r="F1053" s="75"/>
      <c r="G1053" s="75" t="s">
        <v>396</v>
      </c>
      <c r="H1053" s="75"/>
      <c r="I1053" s="75" t="s">
        <v>171</v>
      </c>
      <c r="J1053" s="76">
        <v>10</v>
      </c>
      <c r="K1053" s="516" t="s">
        <v>386</v>
      </c>
      <c r="L1053" s="517">
        <v>13.54</v>
      </c>
      <c r="M1053" s="517">
        <v>14.2</v>
      </c>
      <c r="N1053" s="518">
        <v>0.10299999999999999</v>
      </c>
      <c r="O1053" s="518">
        <v>0.1</v>
      </c>
      <c r="P1053" s="518">
        <v>0.112</v>
      </c>
      <c r="Q1053" s="78">
        <v>0.44</v>
      </c>
      <c r="R1053" s="78">
        <v>0.31740000000000002</v>
      </c>
      <c r="S1053" s="69">
        <v>2.5000000000000001E-2</v>
      </c>
      <c r="T1053" s="69">
        <v>0.01</v>
      </c>
      <c r="U1053" s="518">
        <v>0.7</v>
      </c>
      <c r="V1053" s="76">
        <v>0</v>
      </c>
      <c r="W1053" s="76">
        <v>0</v>
      </c>
      <c r="X1053" s="76"/>
      <c r="Y1053" s="516" t="s">
        <v>470</v>
      </c>
    </row>
    <row r="1054" spans="1:25" x14ac:dyDescent="0.25">
      <c r="A1054" s="75" t="str">
        <f t="shared" si="37"/>
        <v>Exclusiva PROF Premier Mercado_Abierto Pago_Fijo_Puntual 5</v>
      </c>
      <c r="B1054" s="75" t="str">
        <f t="shared" si="36"/>
        <v>Exclusiva PROF Premier Mercado_Abierto Pago_Fijo_Puntual 5 0.0965</v>
      </c>
      <c r="C1054" s="75" t="s">
        <v>116</v>
      </c>
      <c r="D1054" s="75" t="s">
        <v>169</v>
      </c>
      <c r="E1054" s="75" t="s">
        <v>143</v>
      </c>
      <c r="F1054" s="75"/>
      <c r="G1054" s="75" t="s">
        <v>396</v>
      </c>
      <c r="H1054" s="75"/>
      <c r="I1054" s="75" t="s">
        <v>171</v>
      </c>
      <c r="J1054" s="76">
        <v>5</v>
      </c>
      <c r="K1054" s="516" t="s">
        <v>385</v>
      </c>
      <c r="L1054" s="517">
        <v>21.12</v>
      </c>
      <c r="M1054" s="517">
        <v>21.78</v>
      </c>
      <c r="N1054" s="518">
        <v>9.6500000000000002E-2</v>
      </c>
      <c r="O1054" s="518">
        <v>9.1999999999999998E-2</v>
      </c>
      <c r="P1054" s="518">
        <v>0.10249999999999999</v>
      </c>
      <c r="Q1054" s="78">
        <v>0.44</v>
      </c>
      <c r="R1054" s="78">
        <v>0.31740000000000002</v>
      </c>
      <c r="S1054" s="69">
        <v>2.5000000000000001E-2</v>
      </c>
      <c r="T1054" s="69">
        <v>0.01</v>
      </c>
      <c r="U1054" s="518">
        <v>0.7</v>
      </c>
      <c r="V1054" s="76">
        <v>0</v>
      </c>
      <c r="W1054" s="76">
        <v>0</v>
      </c>
      <c r="X1054" s="76"/>
      <c r="Y1054" s="516" t="s">
        <v>470</v>
      </c>
    </row>
    <row r="1055" spans="1:25" x14ac:dyDescent="0.25">
      <c r="A1055" s="75" t="str">
        <f t="shared" si="37"/>
        <v>Exclusiva PROF Premier Mercado_Abierto Pago_Fijo_Puntual 5</v>
      </c>
      <c r="B1055" s="75" t="str">
        <f t="shared" si="36"/>
        <v>Exclusiva PROF Premier Mercado_Abierto Pago_Fijo_Puntual 5 0.103</v>
      </c>
      <c r="C1055" s="75" t="s">
        <v>116</v>
      </c>
      <c r="D1055" s="75" t="s">
        <v>169</v>
      </c>
      <c r="E1055" s="75" t="s">
        <v>143</v>
      </c>
      <c r="F1055" s="75"/>
      <c r="G1055" s="75" t="s">
        <v>396</v>
      </c>
      <c r="H1055" s="75"/>
      <c r="I1055" s="75" t="s">
        <v>171</v>
      </c>
      <c r="J1055" s="76">
        <v>5</v>
      </c>
      <c r="K1055" s="516" t="s">
        <v>386</v>
      </c>
      <c r="L1055" s="517">
        <v>21.44</v>
      </c>
      <c r="M1055" s="517">
        <v>22.1</v>
      </c>
      <c r="N1055" s="518">
        <v>0.10299999999999999</v>
      </c>
      <c r="O1055" s="518">
        <v>0.1</v>
      </c>
      <c r="P1055" s="518">
        <v>0.112</v>
      </c>
      <c r="Q1055" s="78">
        <v>0.44</v>
      </c>
      <c r="R1055" s="78">
        <v>0.31740000000000002</v>
      </c>
      <c r="S1055" s="69">
        <v>2.5000000000000001E-2</v>
      </c>
      <c r="T1055" s="69">
        <v>0.01</v>
      </c>
      <c r="U1055" s="518">
        <v>0.7</v>
      </c>
      <c r="V1055" s="76">
        <v>0</v>
      </c>
      <c r="W1055" s="76">
        <v>0</v>
      </c>
      <c r="X1055" s="76"/>
      <c r="Y1055" s="516" t="s">
        <v>470</v>
      </c>
    </row>
    <row r="1056" spans="1:25" x14ac:dyDescent="0.25">
      <c r="A1056" s="75" t="str">
        <f t="shared" si="37"/>
        <v>Exclusiva PROF Premier Mercado_Abierto Pago_Bajo_Puntual 25</v>
      </c>
      <c r="B1056" s="75" t="str">
        <f t="shared" si="36"/>
        <v>Exclusiva PROF Premier Mercado_Abierto Pago_Bajo_Puntual 25 0.0965</v>
      </c>
      <c r="C1056" s="75" t="s">
        <v>116</v>
      </c>
      <c r="D1056" s="75" t="s">
        <v>169</v>
      </c>
      <c r="E1056" s="75" t="s">
        <v>143</v>
      </c>
      <c r="F1056" s="75"/>
      <c r="G1056" s="75" t="s">
        <v>396</v>
      </c>
      <c r="H1056" s="75"/>
      <c r="I1056" s="75" t="s">
        <v>170</v>
      </c>
      <c r="J1056" s="523">
        <v>25</v>
      </c>
      <c r="K1056" s="516" t="s">
        <v>385</v>
      </c>
      <c r="L1056" s="517">
        <v>8.1</v>
      </c>
      <c r="M1056" s="517">
        <v>8.76</v>
      </c>
      <c r="N1056" s="518">
        <v>9.6500000000000002E-2</v>
      </c>
      <c r="O1056" s="518">
        <v>9.1999999999999998E-2</v>
      </c>
      <c r="P1056" s="518">
        <v>0.10249999999999999</v>
      </c>
      <c r="Q1056" s="78">
        <v>0.44</v>
      </c>
      <c r="R1056" s="78">
        <v>0.31740000000000002</v>
      </c>
      <c r="S1056" s="69">
        <v>2.5000000000000001E-2</v>
      </c>
      <c r="T1056" s="69">
        <v>0.01</v>
      </c>
      <c r="U1056" s="518">
        <v>0.7</v>
      </c>
      <c r="V1056" s="76">
        <v>0</v>
      </c>
      <c r="W1056" s="76">
        <v>0</v>
      </c>
      <c r="X1056" s="76"/>
      <c r="Y1056" s="516" t="s">
        <v>470</v>
      </c>
    </row>
    <row r="1057" spans="1:25" x14ac:dyDescent="0.25">
      <c r="A1057" s="75" t="str">
        <f t="shared" si="37"/>
        <v>Exclusiva PROF Premier Mercado_Abierto Pago_Bajo_Puntual 25</v>
      </c>
      <c r="B1057" s="75" t="str">
        <f t="shared" si="36"/>
        <v>Exclusiva PROF Premier Mercado_Abierto Pago_Bajo_Puntual 25 0.103</v>
      </c>
      <c r="C1057" s="75" t="s">
        <v>116</v>
      </c>
      <c r="D1057" s="75" t="s">
        <v>169</v>
      </c>
      <c r="E1057" s="75" t="s">
        <v>143</v>
      </c>
      <c r="F1057" s="75"/>
      <c r="G1057" s="75" t="s">
        <v>396</v>
      </c>
      <c r="H1057" s="75"/>
      <c r="I1057" s="75" t="s">
        <v>170</v>
      </c>
      <c r="J1057" s="523">
        <v>25</v>
      </c>
      <c r="K1057" s="516" t="s">
        <v>386</v>
      </c>
      <c r="L1057" s="517">
        <v>8.64</v>
      </c>
      <c r="M1057" s="517">
        <v>9.3000000000000007</v>
      </c>
      <c r="N1057" s="518">
        <v>0.10299999999999999</v>
      </c>
      <c r="O1057" s="518">
        <v>0.1</v>
      </c>
      <c r="P1057" s="518">
        <v>0.112</v>
      </c>
      <c r="Q1057" s="78">
        <v>0.44</v>
      </c>
      <c r="R1057" s="78">
        <v>0.31740000000000002</v>
      </c>
      <c r="S1057" s="69">
        <v>2.5000000000000001E-2</v>
      </c>
      <c r="T1057" s="69">
        <v>0.01</v>
      </c>
      <c r="U1057" s="518">
        <v>0.7</v>
      </c>
      <c r="V1057" s="76">
        <v>0</v>
      </c>
      <c r="W1057" s="76">
        <v>0</v>
      </c>
      <c r="X1057" s="76"/>
      <c r="Y1057" s="516" t="s">
        <v>470</v>
      </c>
    </row>
    <row r="1058" spans="1:25" x14ac:dyDescent="0.25">
      <c r="A1058" s="75" t="str">
        <f t="shared" si="37"/>
        <v>Exclusiva PROF Premier Mercado_Abierto Pago_Bajo_Puntual 20</v>
      </c>
      <c r="B1058" s="75" t="str">
        <f t="shared" si="36"/>
        <v>Exclusiva PROF Premier Mercado_Abierto Pago_Bajo_Puntual 20 0.0965</v>
      </c>
      <c r="C1058" s="75" t="s">
        <v>116</v>
      </c>
      <c r="D1058" s="75" t="s">
        <v>169</v>
      </c>
      <c r="E1058" s="75" t="s">
        <v>143</v>
      </c>
      <c r="F1058" s="75"/>
      <c r="G1058" s="75" t="s">
        <v>396</v>
      </c>
      <c r="H1058" s="75"/>
      <c r="I1058" s="75" t="s">
        <v>170</v>
      </c>
      <c r="J1058" s="76">
        <v>20</v>
      </c>
      <c r="K1058" s="516" t="s">
        <v>385</v>
      </c>
      <c r="L1058" s="517">
        <v>8.52</v>
      </c>
      <c r="M1058" s="517">
        <v>9.18</v>
      </c>
      <c r="N1058" s="518">
        <v>9.6500000000000002E-2</v>
      </c>
      <c r="O1058" s="518">
        <v>9.1999999999999998E-2</v>
      </c>
      <c r="P1058" s="518">
        <v>0.10249999999999999</v>
      </c>
      <c r="Q1058" s="78">
        <v>0.44</v>
      </c>
      <c r="R1058" s="78">
        <v>0.31740000000000002</v>
      </c>
      <c r="S1058" s="69">
        <v>2.5000000000000001E-2</v>
      </c>
      <c r="T1058" s="69">
        <v>0.01</v>
      </c>
      <c r="U1058" s="518">
        <v>0.7</v>
      </c>
      <c r="V1058" s="76">
        <v>0</v>
      </c>
      <c r="W1058" s="76">
        <v>0</v>
      </c>
      <c r="X1058" s="76"/>
      <c r="Y1058" s="516" t="s">
        <v>470</v>
      </c>
    </row>
    <row r="1059" spans="1:25" x14ac:dyDescent="0.25">
      <c r="A1059" s="75" t="str">
        <f t="shared" si="37"/>
        <v>Exclusiva PROF Premier Mercado_Abierto Pago_Bajo_Puntual 20</v>
      </c>
      <c r="B1059" s="75" t="str">
        <f t="shared" si="36"/>
        <v>Exclusiva PROF Premier Mercado_Abierto Pago_Bajo_Puntual 20 0.103</v>
      </c>
      <c r="C1059" s="75" t="s">
        <v>116</v>
      </c>
      <c r="D1059" s="75" t="s">
        <v>169</v>
      </c>
      <c r="E1059" s="75" t="s">
        <v>143</v>
      </c>
      <c r="F1059" s="75"/>
      <c r="G1059" s="75" t="s">
        <v>396</v>
      </c>
      <c r="H1059" s="75"/>
      <c r="I1059" s="75" t="s">
        <v>170</v>
      </c>
      <c r="J1059" s="76">
        <v>20</v>
      </c>
      <c r="K1059" s="516" t="s">
        <v>386</v>
      </c>
      <c r="L1059" s="517">
        <v>9</v>
      </c>
      <c r="M1059" s="517">
        <v>9.66</v>
      </c>
      <c r="N1059" s="518">
        <v>0.10299999999999999</v>
      </c>
      <c r="O1059" s="518">
        <v>0.1</v>
      </c>
      <c r="P1059" s="518">
        <v>0.112</v>
      </c>
      <c r="Q1059" s="78">
        <v>0.44</v>
      </c>
      <c r="R1059" s="78">
        <v>0.31740000000000002</v>
      </c>
      <c r="S1059" s="69">
        <v>2.5000000000000001E-2</v>
      </c>
      <c r="T1059" s="69">
        <v>0.01</v>
      </c>
      <c r="U1059" s="518">
        <v>0.7</v>
      </c>
      <c r="V1059" s="76">
        <v>0</v>
      </c>
      <c r="W1059" s="76">
        <v>0</v>
      </c>
      <c r="X1059" s="76"/>
      <c r="Y1059" s="516" t="s">
        <v>470</v>
      </c>
    </row>
    <row r="1060" spans="1:25" x14ac:dyDescent="0.25">
      <c r="A1060" s="75" t="str">
        <f t="shared" si="37"/>
        <v>Exclusiva PROF Premier Mercado_Abierto Pago_Bajo_Puntual 15</v>
      </c>
      <c r="B1060" s="75" t="str">
        <f t="shared" si="36"/>
        <v>Exclusiva PROF Premier Mercado_Abierto Pago_Bajo_Puntual 15 0.0965</v>
      </c>
      <c r="C1060" s="75" t="s">
        <v>116</v>
      </c>
      <c r="D1060" s="75" t="s">
        <v>169</v>
      </c>
      <c r="E1060" s="75" t="s">
        <v>143</v>
      </c>
      <c r="F1060" s="75"/>
      <c r="G1060" s="75" t="s">
        <v>396</v>
      </c>
      <c r="H1060" s="75"/>
      <c r="I1060" s="75" t="s">
        <v>170</v>
      </c>
      <c r="J1060" s="76">
        <v>15</v>
      </c>
      <c r="K1060" s="516" t="s">
        <v>385</v>
      </c>
      <c r="L1060" s="517">
        <v>9.6999999999999993</v>
      </c>
      <c r="M1060" s="517">
        <v>10.36</v>
      </c>
      <c r="N1060" s="518">
        <v>9.6500000000000002E-2</v>
      </c>
      <c r="O1060" s="518">
        <v>9.1999999999999998E-2</v>
      </c>
      <c r="P1060" s="518">
        <v>0.10249999999999999</v>
      </c>
      <c r="Q1060" s="78">
        <v>0.44</v>
      </c>
      <c r="R1060" s="78">
        <v>0.31740000000000002</v>
      </c>
      <c r="S1060" s="69">
        <v>2.5000000000000001E-2</v>
      </c>
      <c r="T1060" s="69">
        <v>0.01</v>
      </c>
      <c r="U1060" s="518">
        <v>0.7</v>
      </c>
      <c r="V1060" s="76">
        <v>0</v>
      </c>
      <c r="W1060" s="76">
        <v>0</v>
      </c>
      <c r="X1060" s="76"/>
      <c r="Y1060" s="516" t="s">
        <v>470</v>
      </c>
    </row>
    <row r="1061" spans="1:25" x14ac:dyDescent="0.25">
      <c r="A1061" s="75" t="str">
        <f t="shared" si="37"/>
        <v>Exclusiva PROF Premier Mercado_Abierto Pago_Bajo_Puntual 15</v>
      </c>
      <c r="B1061" s="75" t="str">
        <f t="shared" si="36"/>
        <v>Exclusiva PROF Premier Mercado_Abierto Pago_Bajo_Puntual 15 0.103</v>
      </c>
      <c r="C1061" s="75" t="s">
        <v>116</v>
      </c>
      <c r="D1061" s="75" t="s">
        <v>169</v>
      </c>
      <c r="E1061" s="75" t="s">
        <v>143</v>
      </c>
      <c r="F1061" s="75"/>
      <c r="G1061" s="75" t="s">
        <v>396</v>
      </c>
      <c r="H1061" s="75"/>
      <c r="I1061" s="75" t="s">
        <v>170</v>
      </c>
      <c r="J1061" s="76">
        <v>15</v>
      </c>
      <c r="K1061" s="516" t="s">
        <v>386</v>
      </c>
      <c r="L1061" s="517">
        <v>10.119999999999999</v>
      </c>
      <c r="M1061" s="517">
        <v>10.78</v>
      </c>
      <c r="N1061" s="518">
        <v>0.10299999999999999</v>
      </c>
      <c r="O1061" s="518">
        <v>0.1</v>
      </c>
      <c r="P1061" s="518">
        <v>0.112</v>
      </c>
      <c r="Q1061" s="78">
        <v>0.44</v>
      </c>
      <c r="R1061" s="78">
        <v>0.31740000000000002</v>
      </c>
      <c r="S1061" s="69">
        <v>2.5000000000000001E-2</v>
      </c>
      <c r="T1061" s="69">
        <v>0.01</v>
      </c>
      <c r="U1061" s="518">
        <v>0.7</v>
      </c>
      <c r="V1061" s="76">
        <v>0</v>
      </c>
      <c r="W1061" s="76">
        <v>0</v>
      </c>
      <c r="X1061" s="76"/>
      <c r="Y1061" s="516" t="s">
        <v>470</v>
      </c>
    </row>
    <row r="1062" spans="1:25" x14ac:dyDescent="0.25">
      <c r="A1062" s="75" t="str">
        <f t="shared" si="37"/>
        <v>Exclusiva PROF Premier Mercado_Abierto Pago_Bajo_Puntual 10</v>
      </c>
      <c r="B1062" s="75" t="str">
        <f t="shared" ref="B1062:B1125" si="38">CONCATENATE(A1062," ",N1062)</f>
        <v>Exclusiva PROF Premier Mercado_Abierto Pago_Bajo_Puntual 10 0.0965</v>
      </c>
      <c r="C1062" s="75" t="s">
        <v>116</v>
      </c>
      <c r="D1062" s="75" t="s">
        <v>169</v>
      </c>
      <c r="E1062" s="75" t="s">
        <v>143</v>
      </c>
      <c r="F1062" s="75"/>
      <c r="G1062" s="75" t="s">
        <v>396</v>
      </c>
      <c r="H1062" s="75"/>
      <c r="I1062" s="75" t="s">
        <v>170</v>
      </c>
      <c r="J1062" s="76">
        <v>10</v>
      </c>
      <c r="K1062" s="516" t="s">
        <v>385</v>
      </c>
      <c r="L1062" s="517">
        <v>12.25</v>
      </c>
      <c r="M1062" s="517">
        <v>12.91</v>
      </c>
      <c r="N1062" s="518">
        <v>9.6500000000000002E-2</v>
      </c>
      <c r="O1062" s="518">
        <v>9.1999999999999998E-2</v>
      </c>
      <c r="P1062" s="518">
        <v>0.10249999999999999</v>
      </c>
      <c r="Q1062" s="78">
        <v>0.44</v>
      </c>
      <c r="R1062" s="78">
        <v>0.31740000000000002</v>
      </c>
      <c r="S1062" s="69">
        <v>2.5000000000000001E-2</v>
      </c>
      <c r="T1062" s="69">
        <v>0.01</v>
      </c>
      <c r="U1062" s="518">
        <v>0.7</v>
      </c>
      <c r="V1062" s="76">
        <v>0</v>
      </c>
      <c r="W1062" s="76">
        <v>0</v>
      </c>
      <c r="X1062" s="76"/>
      <c r="Y1062" s="516" t="s">
        <v>470</v>
      </c>
    </row>
    <row r="1063" spans="1:25" x14ac:dyDescent="0.25">
      <c r="A1063" s="75" t="str">
        <f t="shared" ref="A1063:A1126" si="39">TRIM(CONCATENATE(C1063," ",D1063," ",E1063," ",F1063," ",G1063," ",I1063," ",X1063," ",J1063))</f>
        <v>Exclusiva PROF Premier Mercado_Abierto Pago_Bajo_Puntual 10</v>
      </c>
      <c r="B1063" s="75" t="str">
        <f t="shared" si="38"/>
        <v>Exclusiva PROF Premier Mercado_Abierto Pago_Bajo_Puntual 10 0.103</v>
      </c>
      <c r="C1063" s="75" t="s">
        <v>116</v>
      </c>
      <c r="D1063" s="75" t="s">
        <v>169</v>
      </c>
      <c r="E1063" s="75" t="s">
        <v>143</v>
      </c>
      <c r="F1063" s="75"/>
      <c r="G1063" s="75" t="s">
        <v>396</v>
      </c>
      <c r="H1063" s="75"/>
      <c r="I1063" s="75" t="s">
        <v>170</v>
      </c>
      <c r="J1063" s="76">
        <v>10</v>
      </c>
      <c r="K1063" s="516" t="s">
        <v>386</v>
      </c>
      <c r="L1063" s="517">
        <v>12.62</v>
      </c>
      <c r="M1063" s="517">
        <v>13.28</v>
      </c>
      <c r="N1063" s="518">
        <v>0.10299999999999999</v>
      </c>
      <c r="O1063" s="518">
        <v>0.1</v>
      </c>
      <c r="P1063" s="518">
        <v>0.112</v>
      </c>
      <c r="Q1063" s="78">
        <v>0.44</v>
      </c>
      <c r="R1063" s="78">
        <v>0.31740000000000002</v>
      </c>
      <c r="S1063" s="69">
        <v>2.5000000000000001E-2</v>
      </c>
      <c r="T1063" s="69">
        <v>0.01</v>
      </c>
      <c r="U1063" s="518">
        <v>0.7</v>
      </c>
      <c r="V1063" s="76">
        <v>0</v>
      </c>
      <c r="W1063" s="76">
        <v>0</v>
      </c>
      <c r="X1063" s="76"/>
      <c r="Y1063" s="516" t="s">
        <v>470</v>
      </c>
    </row>
    <row r="1064" spans="1:25" x14ac:dyDescent="0.25">
      <c r="A1064" s="75" t="str">
        <f t="shared" si="39"/>
        <v>Exclusiva PROF Premier Mercado_Abierto Pago_Bajo_Puntual 5</v>
      </c>
      <c r="B1064" s="75" t="str">
        <f t="shared" si="38"/>
        <v>Exclusiva PROF Premier Mercado_Abierto Pago_Bajo_Puntual 5 0.0965</v>
      </c>
      <c r="C1064" s="75" t="s">
        <v>116</v>
      </c>
      <c r="D1064" s="75" t="s">
        <v>169</v>
      </c>
      <c r="E1064" s="75" t="s">
        <v>143</v>
      </c>
      <c r="F1064" s="75"/>
      <c r="G1064" s="75" t="s">
        <v>396</v>
      </c>
      <c r="H1064" s="75"/>
      <c r="I1064" s="75" t="s">
        <v>170</v>
      </c>
      <c r="J1064" s="76">
        <v>5</v>
      </c>
      <c r="K1064" s="516" t="s">
        <v>385</v>
      </c>
      <c r="L1064" s="517">
        <v>20.399999999999999</v>
      </c>
      <c r="M1064" s="517">
        <v>21.06</v>
      </c>
      <c r="N1064" s="518">
        <v>9.6500000000000002E-2</v>
      </c>
      <c r="O1064" s="518">
        <v>9.1999999999999998E-2</v>
      </c>
      <c r="P1064" s="518">
        <v>0.10249999999999999</v>
      </c>
      <c r="Q1064" s="78">
        <v>0.44</v>
      </c>
      <c r="R1064" s="78">
        <v>0.31740000000000002</v>
      </c>
      <c r="S1064" s="69">
        <v>2.5000000000000001E-2</v>
      </c>
      <c r="T1064" s="69">
        <v>0.01</v>
      </c>
      <c r="U1064" s="518">
        <v>0.7</v>
      </c>
      <c r="V1064" s="76">
        <v>0</v>
      </c>
      <c r="W1064" s="76">
        <v>0</v>
      </c>
      <c r="X1064" s="76"/>
      <c r="Y1064" s="516" t="s">
        <v>470</v>
      </c>
    </row>
    <row r="1065" spans="1:25" x14ac:dyDescent="0.25">
      <c r="A1065" s="75" t="str">
        <f t="shared" si="39"/>
        <v>Exclusiva PROF Premier Mercado_Abierto Pago_Bajo_Puntual 5</v>
      </c>
      <c r="B1065" s="75" t="str">
        <f t="shared" si="38"/>
        <v>Exclusiva PROF Premier Mercado_Abierto Pago_Bajo_Puntual 5 0.103</v>
      </c>
      <c r="C1065" s="75" t="s">
        <v>116</v>
      </c>
      <c r="D1065" s="75" t="s">
        <v>169</v>
      </c>
      <c r="E1065" s="75" t="s">
        <v>143</v>
      </c>
      <c r="F1065" s="75"/>
      <c r="G1065" s="75" t="s">
        <v>396</v>
      </c>
      <c r="H1065" s="75"/>
      <c r="I1065" s="75" t="s">
        <v>170</v>
      </c>
      <c r="J1065" s="76">
        <v>5</v>
      </c>
      <c r="K1065" s="516" t="s">
        <v>386</v>
      </c>
      <c r="L1065" s="517">
        <v>20.72</v>
      </c>
      <c r="M1065" s="517">
        <v>21.38</v>
      </c>
      <c r="N1065" s="518">
        <v>0.10299999999999999</v>
      </c>
      <c r="O1065" s="518">
        <v>0.1</v>
      </c>
      <c r="P1065" s="518">
        <v>0.112</v>
      </c>
      <c r="Q1065" s="78">
        <v>0.44</v>
      </c>
      <c r="R1065" s="78">
        <v>0.31740000000000002</v>
      </c>
      <c r="S1065" s="69">
        <v>2.5000000000000001E-2</v>
      </c>
      <c r="T1065" s="69">
        <v>0.01</v>
      </c>
      <c r="U1065" s="518">
        <v>0.7</v>
      </c>
      <c r="V1065" s="76">
        <v>0</v>
      </c>
      <c r="W1065" s="76">
        <v>0</v>
      </c>
      <c r="X1065" s="76"/>
      <c r="Y1065" s="516" t="s">
        <v>470</v>
      </c>
    </row>
    <row r="1066" spans="1:25" x14ac:dyDescent="0.25">
      <c r="A1066" s="75" t="str">
        <f t="shared" si="39"/>
        <v>Liquidez PF No_Premier Normal Pago_Fijo_Puntual 15</v>
      </c>
      <c r="B1066" s="75" t="str">
        <f t="shared" si="38"/>
        <v>Liquidez PF No_Premier Normal Pago_Fijo_Puntual 15 0.12</v>
      </c>
      <c r="C1066" s="75" t="s">
        <v>115</v>
      </c>
      <c r="D1066" s="75" t="s">
        <v>132</v>
      </c>
      <c r="E1066" s="75" t="s">
        <v>179</v>
      </c>
      <c r="F1066" s="75" t="s">
        <v>180</v>
      </c>
      <c r="G1066" s="75"/>
      <c r="H1066" s="75"/>
      <c r="I1066" s="75" t="s">
        <v>171</v>
      </c>
      <c r="J1066" s="76">
        <v>15</v>
      </c>
      <c r="K1066" s="519" t="s">
        <v>387</v>
      </c>
      <c r="L1066" s="520">
        <v>12.24</v>
      </c>
      <c r="M1066" s="520">
        <v>13.85</v>
      </c>
      <c r="N1066" s="507">
        <v>0.12</v>
      </c>
      <c r="O1066" s="507">
        <v>0.11700000000000001</v>
      </c>
      <c r="P1066" s="507">
        <v>0.129</v>
      </c>
      <c r="Q1066" s="78">
        <v>0.44</v>
      </c>
      <c r="R1066" s="78">
        <v>0.31740000000000002</v>
      </c>
      <c r="S1066" s="69">
        <v>2.5000000000000001E-2</v>
      </c>
      <c r="T1066" s="69">
        <v>0.01</v>
      </c>
      <c r="U1066" s="507">
        <v>0.75</v>
      </c>
      <c r="V1066" s="76">
        <v>0</v>
      </c>
      <c r="W1066" s="76">
        <v>250</v>
      </c>
      <c r="X1066" s="76"/>
      <c r="Y1066" s="76"/>
    </row>
    <row r="1067" spans="1:25" x14ac:dyDescent="0.25">
      <c r="A1067" s="75" t="str">
        <f t="shared" si="39"/>
        <v>Liquidez PF No_Premier Normal Pago_Fijo_Puntual 15</v>
      </c>
      <c r="B1067" s="75" t="str">
        <f t="shared" si="38"/>
        <v>Liquidez PF No_Premier Normal Pago_Fijo_Puntual 15 0.12</v>
      </c>
      <c r="C1067" s="75" t="s">
        <v>115</v>
      </c>
      <c r="D1067" s="75" t="s">
        <v>132</v>
      </c>
      <c r="E1067" s="75" t="s">
        <v>179</v>
      </c>
      <c r="F1067" s="75" t="s">
        <v>180</v>
      </c>
      <c r="G1067" s="75"/>
      <c r="H1067" s="75"/>
      <c r="I1067" s="75" t="s">
        <v>171</v>
      </c>
      <c r="J1067" s="76">
        <v>15</v>
      </c>
      <c r="K1067" s="519">
        <v>3</v>
      </c>
      <c r="L1067" s="520">
        <v>12.24</v>
      </c>
      <c r="M1067" s="520">
        <v>13.85</v>
      </c>
      <c r="N1067" s="507">
        <v>0.12</v>
      </c>
      <c r="O1067" s="507">
        <v>0.11700000000000001</v>
      </c>
      <c r="P1067" s="507">
        <v>0.129</v>
      </c>
      <c r="Q1067" s="78">
        <v>0.44</v>
      </c>
      <c r="R1067" s="78">
        <v>0.31740000000000002</v>
      </c>
      <c r="S1067" s="69">
        <v>2.5000000000000001E-2</v>
      </c>
      <c r="T1067" s="69">
        <v>0.01</v>
      </c>
      <c r="U1067" s="507">
        <v>0.7</v>
      </c>
      <c r="V1067" s="76">
        <v>0</v>
      </c>
      <c r="W1067" s="76">
        <v>250</v>
      </c>
      <c r="X1067" s="76"/>
      <c r="Y1067" s="76"/>
    </row>
    <row r="1068" spans="1:25" x14ac:dyDescent="0.25">
      <c r="A1068" s="75" t="str">
        <f t="shared" si="39"/>
        <v>Liquidez PF No_Premier Normal Pago_Fijo_Puntual 10</v>
      </c>
      <c r="B1068" s="75" t="str">
        <f t="shared" si="38"/>
        <v>Liquidez PF No_Premier Normal Pago_Fijo_Puntual 10 0.12</v>
      </c>
      <c r="C1068" s="75" t="s">
        <v>115</v>
      </c>
      <c r="D1068" s="75" t="s">
        <v>132</v>
      </c>
      <c r="E1068" s="75" t="s">
        <v>179</v>
      </c>
      <c r="F1068" s="75" t="s">
        <v>180</v>
      </c>
      <c r="G1068" s="75"/>
      <c r="H1068" s="75"/>
      <c r="I1068" s="75" t="s">
        <v>171</v>
      </c>
      <c r="J1068" s="76">
        <v>10</v>
      </c>
      <c r="K1068" s="519" t="s">
        <v>387</v>
      </c>
      <c r="L1068" s="520">
        <v>14.49</v>
      </c>
      <c r="M1068" s="520">
        <v>16.100000000000001</v>
      </c>
      <c r="N1068" s="507">
        <v>0.12</v>
      </c>
      <c r="O1068" s="507">
        <v>0.11700000000000001</v>
      </c>
      <c r="P1068" s="507">
        <v>0.129</v>
      </c>
      <c r="Q1068" s="78">
        <v>0.44</v>
      </c>
      <c r="R1068" s="78">
        <v>0.31740000000000002</v>
      </c>
      <c r="S1068" s="69">
        <v>2.5000000000000001E-2</v>
      </c>
      <c r="T1068" s="69">
        <v>0.01</v>
      </c>
      <c r="U1068" s="507">
        <v>0.75</v>
      </c>
      <c r="V1068" s="76">
        <v>0</v>
      </c>
      <c r="W1068" s="76">
        <v>250</v>
      </c>
      <c r="X1068" s="76"/>
      <c r="Y1068" s="76"/>
    </row>
    <row r="1069" spans="1:25" x14ac:dyDescent="0.25">
      <c r="A1069" s="75" t="str">
        <f t="shared" si="39"/>
        <v>Liquidez PF No_Premier Normal Pago_Fijo_Puntual 10</v>
      </c>
      <c r="B1069" s="75" t="str">
        <f t="shared" si="38"/>
        <v>Liquidez PF No_Premier Normal Pago_Fijo_Puntual 10 0.12</v>
      </c>
      <c r="C1069" s="75" t="s">
        <v>115</v>
      </c>
      <c r="D1069" s="75" t="s">
        <v>132</v>
      </c>
      <c r="E1069" s="75" t="s">
        <v>179</v>
      </c>
      <c r="F1069" s="75" t="s">
        <v>180</v>
      </c>
      <c r="G1069" s="75"/>
      <c r="H1069" s="75"/>
      <c r="I1069" s="75" t="s">
        <v>171</v>
      </c>
      <c r="J1069" s="76">
        <v>10</v>
      </c>
      <c r="K1069" s="519">
        <v>3</v>
      </c>
      <c r="L1069" s="520">
        <v>14.49</v>
      </c>
      <c r="M1069" s="520">
        <v>16.100000000000001</v>
      </c>
      <c r="N1069" s="507">
        <v>0.12</v>
      </c>
      <c r="O1069" s="507">
        <v>0.11700000000000001</v>
      </c>
      <c r="P1069" s="507">
        <v>0.129</v>
      </c>
      <c r="Q1069" s="78">
        <v>0.44</v>
      </c>
      <c r="R1069" s="78">
        <v>0.31740000000000002</v>
      </c>
      <c r="S1069" s="69">
        <v>2.5000000000000001E-2</v>
      </c>
      <c r="T1069" s="69">
        <v>0.01</v>
      </c>
      <c r="U1069" s="507">
        <v>0.7</v>
      </c>
      <c r="V1069" s="76">
        <v>0</v>
      </c>
      <c r="W1069" s="76">
        <v>250</v>
      </c>
      <c r="X1069" s="76"/>
      <c r="Y1069" s="76"/>
    </row>
    <row r="1070" spans="1:25" x14ac:dyDescent="0.25">
      <c r="A1070" s="75" t="str">
        <f t="shared" si="39"/>
        <v>Liquidez PF No_Premier Normal Pago_Fijo_Puntual 5</v>
      </c>
      <c r="B1070" s="75" t="str">
        <f t="shared" si="38"/>
        <v>Liquidez PF No_Premier Normal Pago_Fijo_Puntual 5 0.12</v>
      </c>
      <c r="C1070" s="75" t="s">
        <v>115</v>
      </c>
      <c r="D1070" s="75" t="s">
        <v>132</v>
      </c>
      <c r="E1070" s="75" t="s">
        <v>179</v>
      </c>
      <c r="F1070" s="75" t="s">
        <v>180</v>
      </c>
      <c r="G1070" s="75"/>
      <c r="H1070" s="75"/>
      <c r="I1070" s="75" t="s">
        <v>171</v>
      </c>
      <c r="J1070" s="76">
        <v>5</v>
      </c>
      <c r="K1070" s="519" t="s">
        <v>387</v>
      </c>
      <c r="L1070" s="520">
        <v>22.28</v>
      </c>
      <c r="M1070" s="520">
        <v>23.89</v>
      </c>
      <c r="N1070" s="507">
        <v>0.12</v>
      </c>
      <c r="O1070" s="507">
        <v>0.11700000000000001</v>
      </c>
      <c r="P1070" s="507">
        <v>0.129</v>
      </c>
      <c r="Q1070" s="78">
        <v>0.44</v>
      </c>
      <c r="R1070" s="78">
        <v>0.31740000000000002</v>
      </c>
      <c r="S1070" s="69">
        <v>2.5000000000000001E-2</v>
      </c>
      <c r="T1070" s="69">
        <v>0.01</v>
      </c>
      <c r="U1070" s="507">
        <v>0.75</v>
      </c>
      <c r="V1070" s="76">
        <v>0</v>
      </c>
      <c r="W1070" s="76">
        <v>250</v>
      </c>
      <c r="X1070" s="76"/>
      <c r="Y1070" s="76"/>
    </row>
    <row r="1071" spans="1:25" x14ac:dyDescent="0.25">
      <c r="A1071" s="75" t="str">
        <f t="shared" si="39"/>
        <v>Liquidez PF No_Premier Normal Pago_Fijo_Puntual 5</v>
      </c>
      <c r="B1071" s="75" t="str">
        <f t="shared" si="38"/>
        <v>Liquidez PF No_Premier Normal Pago_Fijo_Puntual 5 0.12</v>
      </c>
      <c r="C1071" s="75" t="s">
        <v>115</v>
      </c>
      <c r="D1071" s="75" t="s">
        <v>132</v>
      </c>
      <c r="E1071" s="75" t="s">
        <v>179</v>
      </c>
      <c r="F1071" s="75" t="s">
        <v>180</v>
      </c>
      <c r="G1071" s="75"/>
      <c r="H1071" s="75"/>
      <c r="I1071" s="75" t="s">
        <v>171</v>
      </c>
      <c r="J1071" s="76">
        <v>5</v>
      </c>
      <c r="K1071" s="519">
        <v>3</v>
      </c>
      <c r="L1071" s="520">
        <v>22.28</v>
      </c>
      <c r="M1071" s="520">
        <v>23.89</v>
      </c>
      <c r="N1071" s="507">
        <v>0.12</v>
      </c>
      <c r="O1071" s="507">
        <v>0.11700000000000001</v>
      </c>
      <c r="P1071" s="507">
        <v>0.129</v>
      </c>
      <c r="Q1071" s="78">
        <v>0.44</v>
      </c>
      <c r="R1071" s="78">
        <v>0.31740000000000002</v>
      </c>
      <c r="S1071" s="69">
        <v>2.5000000000000001E-2</v>
      </c>
      <c r="T1071" s="69">
        <v>0.01</v>
      </c>
      <c r="U1071" s="507">
        <v>0.7</v>
      </c>
      <c r="V1071" s="76">
        <v>0</v>
      </c>
      <c r="W1071" s="76">
        <v>250</v>
      </c>
      <c r="X1071" s="76"/>
      <c r="Y1071" s="76"/>
    </row>
    <row r="1072" spans="1:25" x14ac:dyDescent="0.25">
      <c r="A1072" s="75" t="str">
        <f t="shared" si="39"/>
        <v>Liquidez PF No_Premier Poder Judicial Pago_Fijo_Puntual 15</v>
      </c>
      <c r="B1072" s="75" t="str">
        <f t="shared" si="38"/>
        <v>Liquidez PF No_Premier Poder Judicial Pago_Fijo_Puntual 15 0.12</v>
      </c>
      <c r="C1072" s="75" t="s">
        <v>115</v>
      </c>
      <c r="D1072" s="75" t="s">
        <v>132</v>
      </c>
      <c r="E1072" s="75" t="s">
        <v>179</v>
      </c>
      <c r="F1072" s="75" t="s">
        <v>176</v>
      </c>
      <c r="G1072" s="75"/>
      <c r="H1072" s="75"/>
      <c r="I1072" s="75" t="s">
        <v>171</v>
      </c>
      <c r="J1072" s="76">
        <v>15</v>
      </c>
      <c r="K1072" s="519" t="s">
        <v>387</v>
      </c>
      <c r="L1072" s="520">
        <v>12.24</v>
      </c>
      <c r="M1072" s="520">
        <v>13.85</v>
      </c>
      <c r="N1072" s="507">
        <v>0.12</v>
      </c>
      <c r="O1072" s="507">
        <v>0.11700000000000001</v>
      </c>
      <c r="P1072" s="507">
        <v>0.129</v>
      </c>
      <c r="Q1072" s="78">
        <v>0.44</v>
      </c>
      <c r="R1072" s="78">
        <v>0.31740000000000002</v>
      </c>
      <c r="S1072" s="69">
        <v>2.5000000000000001E-2</v>
      </c>
      <c r="T1072" s="69">
        <v>0.01</v>
      </c>
      <c r="U1072" s="507">
        <v>0.75</v>
      </c>
      <c r="V1072" s="76">
        <v>0</v>
      </c>
      <c r="W1072" s="76">
        <v>250</v>
      </c>
      <c r="X1072" s="76"/>
      <c r="Y1072" s="76"/>
    </row>
    <row r="1073" spans="1:25" x14ac:dyDescent="0.25">
      <c r="A1073" s="75" t="str">
        <f t="shared" si="39"/>
        <v>Liquidez PF No_Premier Poder Judicial Pago_Fijo_Puntual 15</v>
      </c>
      <c r="B1073" s="75" t="str">
        <f t="shared" si="38"/>
        <v>Liquidez PF No_Premier Poder Judicial Pago_Fijo_Puntual 15 0.12</v>
      </c>
      <c r="C1073" s="75" t="s">
        <v>115</v>
      </c>
      <c r="D1073" s="75" t="s">
        <v>132</v>
      </c>
      <c r="E1073" s="75" t="s">
        <v>179</v>
      </c>
      <c r="F1073" s="75" t="s">
        <v>176</v>
      </c>
      <c r="G1073" s="75"/>
      <c r="H1073" s="75"/>
      <c r="I1073" s="75" t="s">
        <v>171</v>
      </c>
      <c r="J1073" s="76">
        <v>15</v>
      </c>
      <c r="K1073" s="519">
        <v>3</v>
      </c>
      <c r="L1073" s="520">
        <v>12.24</v>
      </c>
      <c r="M1073" s="520">
        <v>13.85</v>
      </c>
      <c r="N1073" s="507">
        <v>0.12</v>
      </c>
      <c r="O1073" s="507">
        <v>0.11700000000000001</v>
      </c>
      <c r="P1073" s="507">
        <v>0.129</v>
      </c>
      <c r="Q1073" s="78">
        <v>0.44</v>
      </c>
      <c r="R1073" s="78">
        <v>0.31740000000000002</v>
      </c>
      <c r="S1073" s="69">
        <v>2.5000000000000001E-2</v>
      </c>
      <c r="T1073" s="69">
        <v>0.01</v>
      </c>
      <c r="U1073" s="507">
        <v>0.7</v>
      </c>
      <c r="V1073" s="76">
        <v>0</v>
      </c>
      <c r="W1073" s="76">
        <v>250</v>
      </c>
      <c r="X1073" s="76"/>
      <c r="Y1073" s="76"/>
    </row>
    <row r="1074" spans="1:25" x14ac:dyDescent="0.25">
      <c r="A1074" s="75" t="str">
        <f t="shared" si="39"/>
        <v>Liquidez PF No_Premier Poder Judicial Pago_Fijo_Puntual 10</v>
      </c>
      <c r="B1074" s="75" t="str">
        <f t="shared" si="38"/>
        <v>Liquidez PF No_Premier Poder Judicial Pago_Fijo_Puntual 10 0.12</v>
      </c>
      <c r="C1074" s="75" t="s">
        <v>115</v>
      </c>
      <c r="D1074" s="75" t="s">
        <v>132</v>
      </c>
      <c r="E1074" s="75" t="s">
        <v>179</v>
      </c>
      <c r="F1074" s="75" t="s">
        <v>176</v>
      </c>
      <c r="G1074" s="75"/>
      <c r="H1074" s="75"/>
      <c r="I1074" s="75" t="s">
        <v>171</v>
      </c>
      <c r="J1074" s="76">
        <v>10</v>
      </c>
      <c r="K1074" s="519" t="s">
        <v>387</v>
      </c>
      <c r="L1074" s="520">
        <v>14.49</v>
      </c>
      <c r="M1074" s="520">
        <v>16.100000000000001</v>
      </c>
      <c r="N1074" s="507">
        <v>0.12</v>
      </c>
      <c r="O1074" s="507">
        <v>0.11700000000000001</v>
      </c>
      <c r="P1074" s="507">
        <v>0.129</v>
      </c>
      <c r="Q1074" s="78">
        <v>0.44</v>
      </c>
      <c r="R1074" s="78">
        <v>0.31740000000000002</v>
      </c>
      <c r="S1074" s="69">
        <v>2.5000000000000001E-2</v>
      </c>
      <c r="T1074" s="69">
        <v>0.01</v>
      </c>
      <c r="U1074" s="507">
        <v>0.75</v>
      </c>
      <c r="V1074" s="76">
        <v>0</v>
      </c>
      <c r="W1074" s="76">
        <v>250</v>
      </c>
      <c r="X1074" s="76"/>
      <c r="Y1074" s="76"/>
    </row>
    <row r="1075" spans="1:25" x14ac:dyDescent="0.25">
      <c r="A1075" s="75" t="str">
        <f t="shared" si="39"/>
        <v>Liquidez PF No_Premier Poder Judicial Pago_Fijo_Puntual 10</v>
      </c>
      <c r="B1075" s="75" t="str">
        <f t="shared" si="38"/>
        <v>Liquidez PF No_Premier Poder Judicial Pago_Fijo_Puntual 10 0.12</v>
      </c>
      <c r="C1075" s="75" t="s">
        <v>115</v>
      </c>
      <c r="D1075" s="75" t="s">
        <v>132</v>
      </c>
      <c r="E1075" s="75" t="s">
        <v>179</v>
      </c>
      <c r="F1075" s="75" t="s">
        <v>176</v>
      </c>
      <c r="G1075" s="75"/>
      <c r="H1075" s="75"/>
      <c r="I1075" s="75" t="s">
        <v>171</v>
      </c>
      <c r="J1075" s="76">
        <v>10</v>
      </c>
      <c r="K1075" s="519">
        <v>3</v>
      </c>
      <c r="L1075" s="520">
        <v>14.49</v>
      </c>
      <c r="M1075" s="520">
        <v>16.100000000000001</v>
      </c>
      <c r="N1075" s="507">
        <v>0.12</v>
      </c>
      <c r="O1075" s="507">
        <v>0.11700000000000001</v>
      </c>
      <c r="P1075" s="507">
        <v>0.129</v>
      </c>
      <c r="Q1075" s="78">
        <v>0.44</v>
      </c>
      <c r="R1075" s="78">
        <v>0.31740000000000002</v>
      </c>
      <c r="S1075" s="69">
        <v>2.5000000000000001E-2</v>
      </c>
      <c r="T1075" s="69">
        <v>0.01</v>
      </c>
      <c r="U1075" s="507">
        <v>0.7</v>
      </c>
      <c r="V1075" s="76">
        <v>0</v>
      </c>
      <c r="W1075" s="76">
        <v>250</v>
      </c>
      <c r="X1075" s="76"/>
      <c r="Y1075" s="76"/>
    </row>
    <row r="1076" spans="1:25" x14ac:dyDescent="0.25">
      <c r="A1076" s="75" t="str">
        <f t="shared" si="39"/>
        <v>Liquidez PF No_Premier Poder Judicial Pago_Fijo_Puntual 5</v>
      </c>
      <c r="B1076" s="75" t="str">
        <f t="shared" si="38"/>
        <v>Liquidez PF No_Premier Poder Judicial Pago_Fijo_Puntual 5 0.12</v>
      </c>
      <c r="C1076" s="75" t="s">
        <v>115</v>
      </c>
      <c r="D1076" s="75" t="s">
        <v>132</v>
      </c>
      <c r="E1076" s="75" t="s">
        <v>179</v>
      </c>
      <c r="F1076" s="75" t="s">
        <v>176</v>
      </c>
      <c r="G1076" s="75"/>
      <c r="H1076" s="75"/>
      <c r="I1076" s="75" t="s">
        <v>171</v>
      </c>
      <c r="J1076" s="76">
        <v>5</v>
      </c>
      <c r="K1076" s="519" t="s">
        <v>387</v>
      </c>
      <c r="L1076" s="520">
        <v>22.28</v>
      </c>
      <c r="M1076" s="520">
        <v>23.89</v>
      </c>
      <c r="N1076" s="507">
        <v>0.12</v>
      </c>
      <c r="O1076" s="507">
        <v>0.11700000000000001</v>
      </c>
      <c r="P1076" s="507">
        <v>0.129</v>
      </c>
      <c r="Q1076" s="78">
        <v>0.44</v>
      </c>
      <c r="R1076" s="78">
        <v>0.31740000000000002</v>
      </c>
      <c r="S1076" s="69">
        <v>2.5000000000000001E-2</v>
      </c>
      <c r="T1076" s="69">
        <v>0.01</v>
      </c>
      <c r="U1076" s="507">
        <v>0.75</v>
      </c>
      <c r="V1076" s="76">
        <v>0</v>
      </c>
      <c r="W1076" s="76">
        <v>250</v>
      </c>
      <c r="X1076" s="76"/>
      <c r="Y1076" s="76"/>
    </row>
    <row r="1077" spans="1:25" x14ac:dyDescent="0.25">
      <c r="A1077" s="75" t="str">
        <f t="shared" si="39"/>
        <v>Liquidez PF No_Premier Poder Judicial Pago_Fijo_Puntual 5</v>
      </c>
      <c r="B1077" s="75" t="str">
        <f t="shared" si="38"/>
        <v>Liquidez PF No_Premier Poder Judicial Pago_Fijo_Puntual 5 0.12</v>
      </c>
      <c r="C1077" s="75" t="s">
        <v>115</v>
      </c>
      <c r="D1077" s="75" t="s">
        <v>132</v>
      </c>
      <c r="E1077" s="75" t="s">
        <v>179</v>
      </c>
      <c r="F1077" s="75" t="s">
        <v>176</v>
      </c>
      <c r="G1077" s="75"/>
      <c r="H1077" s="75"/>
      <c r="I1077" s="75" t="s">
        <v>171</v>
      </c>
      <c r="J1077" s="76">
        <v>5</v>
      </c>
      <c r="K1077" s="519">
        <v>3</v>
      </c>
      <c r="L1077" s="520">
        <v>22.28</v>
      </c>
      <c r="M1077" s="520">
        <v>23.89</v>
      </c>
      <c r="N1077" s="507">
        <v>0.12</v>
      </c>
      <c r="O1077" s="507">
        <v>0.11700000000000001</v>
      </c>
      <c r="P1077" s="507">
        <v>0.129</v>
      </c>
      <c r="Q1077" s="78">
        <v>0.44</v>
      </c>
      <c r="R1077" s="78">
        <v>0.31740000000000002</v>
      </c>
      <c r="S1077" s="69">
        <v>2.5000000000000001E-2</v>
      </c>
      <c r="T1077" s="69">
        <v>0.01</v>
      </c>
      <c r="U1077" s="507">
        <v>0.7</v>
      </c>
      <c r="V1077" s="76">
        <v>0</v>
      </c>
      <c r="W1077" s="76">
        <v>250</v>
      </c>
      <c r="X1077" s="76"/>
      <c r="Y1077" s="76"/>
    </row>
    <row r="1078" spans="1:25" x14ac:dyDescent="0.25">
      <c r="A1078" s="75" t="str">
        <f t="shared" si="39"/>
        <v>Liquidez PF Premier Pago_Fijo_Puntual 15</v>
      </c>
      <c r="B1078" s="75" t="str">
        <f t="shared" si="38"/>
        <v>Liquidez PF Premier Pago_Fijo_Puntual 15 0.12</v>
      </c>
      <c r="C1078" s="75" t="s">
        <v>115</v>
      </c>
      <c r="D1078" s="75" t="s">
        <v>132</v>
      </c>
      <c r="E1078" s="75" t="s">
        <v>143</v>
      </c>
      <c r="F1078" s="75"/>
      <c r="G1078" s="75"/>
      <c r="H1078" s="75"/>
      <c r="I1078" s="75" t="s">
        <v>171</v>
      </c>
      <c r="J1078" s="76">
        <v>15</v>
      </c>
      <c r="K1078" s="519" t="s">
        <v>387</v>
      </c>
      <c r="L1078" s="520">
        <v>12.24</v>
      </c>
      <c r="M1078" s="520">
        <v>13.85</v>
      </c>
      <c r="N1078" s="507">
        <v>0.12</v>
      </c>
      <c r="O1078" s="507">
        <v>0.11700000000000001</v>
      </c>
      <c r="P1078" s="507">
        <v>0.129</v>
      </c>
      <c r="Q1078" s="78">
        <v>0.44</v>
      </c>
      <c r="R1078" s="78">
        <v>0.31740000000000002</v>
      </c>
      <c r="S1078" s="69">
        <v>2.5000000000000001E-2</v>
      </c>
      <c r="T1078" s="69">
        <v>0.01</v>
      </c>
      <c r="U1078" s="507">
        <v>0.75</v>
      </c>
      <c r="V1078" s="76">
        <v>0</v>
      </c>
      <c r="W1078" s="76">
        <v>250</v>
      </c>
      <c r="X1078" s="76"/>
      <c r="Y1078" s="76"/>
    </row>
    <row r="1079" spans="1:25" x14ac:dyDescent="0.25">
      <c r="A1079" s="75" t="str">
        <f t="shared" si="39"/>
        <v>Liquidez PF Premier Pago_Fijo_Puntual 15</v>
      </c>
      <c r="B1079" s="75" t="str">
        <f t="shared" si="38"/>
        <v>Liquidez PF Premier Pago_Fijo_Puntual 15 0.12</v>
      </c>
      <c r="C1079" s="75" t="s">
        <v>115</v>
      </c>
      <c r="D1079" s="75" t="s">
        <v>132</v>
      </c>
      <c r="E1079" s="75" t="s">
        <v>143</v>
      </c>
      <c r="F1079" s="75"/>
      <c r="G1079" s="75"/>
      <c r="H1079" s="75"/>
      <c r="I1079" s="75" t="s">
        <v>171</v>
      </c>
      <c r="J1079" s="76">
        <v>15</v>
      </c>
      <c r="K1079" s="519">
        <v>3</v>
      </c>
      <c r="L1079" s="520">
        <v>12.24</v>
      </c>
      <c r="M1079" s="520">
        <v>13.85</v>
      </c>
      <c r="N1079" s="507">
        <v>0.12</v>
      </c>
      <c r="O1079" s="507">
        <v>0.11700000000000001</v>
      </c>
      <c r="P1079" s="507">
        <v>0.129</v>
      </c>
      <c r="Q1079" s="78">
        <v>0.44</v>
      </c>
      <c r="R1079" s="78">
        <v>0.31740000000000002</v>
      </c>
      <c r="S1079" s="69">
        <v>2.5000000000000001E-2</v>
      </c>
      <c r="T1079" s="69">
        <v>0.01</v>
      </c>
      <c r="U1079" s="507">
        <v>0.7</v>
      </c>
      <c r="V1079" s="76">
        <v>0</v>
      </c>
      <c r="W1079" s="76">
        <v>250</v>
      </c>
      <c r="X1079" s="76"/>
      <c r="Y1079" s="76"/>
    </row>
    <row r="1080" spans="1:25" x14ac:dyDescent="0.25">
      <c r="A1080" s="75" t="str">
        <f t="shared" si="39"/>
        <v>Liquidez PF Premier Pago_Fijo_Puntual 10</v>
      </c>
      <c r="B1080" s="75" t="str">
        <f t="shared" si="38"/>
        <v>Liquidez PF Premier Pago_Fijo_Puntual 10 0.12</v>
      </c>
      <c r="C1080" s="75" t="s">
        <v>115</v>
      </c>
      <c r="D1080" s="75" t="s">
        <v>132</v>
      </c>
      <c r="E1080" s="75" t="s">
        <v>143</v>
      </c>
      <c r="F1080" s="75"/>
      <c r="G1080" s="75"/>
      <c r="H1080" s="75"/>
      <c r="I1080" s="75" t="s">
        <v>171</v>
      </c>
      <c r="J1080" s="76">
        <v>10</v>
      </c>
      <c r="K1080" s="519" t="s">
        <v>387</v>
      </c>
      <c r="L1080" s="520">
        <v>14.49</v>
      </c>
      <c r="M1080" s="520">
        <v>16.100000000000001</v>
      </c>
      <c r="N1080" s="507">
        <v>0.12</v>
      </c>
      <c r="O1080" s="507">
        <v>0.11700000000000001</v>
      </c>
      <c r="P1080" s="507">
        <v>0.129</v>
      </c>
      <c r="Q1080" s="78">
        <v>0.44</v>
      </c>
      <c r="R1080" s="78">
        <v>0.31740000000000002</v>
      </c>
      <c r="S1080" s="69">
        <v>2.5000000000000001E-2</v>
      </c>
      <c r="T1080" s="69">
        <v>0.01</v>
      </c>
      <c r="U1080" s="507">
        <v>0.75</v>
      </c>
      <c r="V1080" s="76">
        <v>0</v>
      </c>
      <c r="W1080" s="76">
        <v>250</v>
      </c>
      <c r="X1080" s="76"/>
      <c r="Y1080" s="76"/>
    </row>
    <row r="1081" spans="1:25" x14ac:dyDescent="0.25">
      <c r="A1081" s="75" t="str">
        <f t="shared" si="39"/>
        <v>Liquidez PF Premier Pago_Fijo_Puntual 10</v>
      </c>
      <c r="B1081" s="75" t="str">
        <f t="shared" si="38"/>
        <v>Liquidez PF Premier Pago_Fijo_Puntual 10 0.12</v>
      </c>
      <c r="C1081" s="75" t="s">
        <v>115</v>
      </c>
      <c r="D1081" s="75" t="s">
        <v>132</v>
      </c>
      <c r="E1081" s="75" t="s">
        <v>143</v>
      </c>
      <c r="F1081" s="75"/>
      <c r="G1081" s="75"/>
      <c r="H1081" s="75"/>
      <c r="I1081" s="75" t="s">
        <v>171</v>
      </c>
      <c r="J1081" s="76">
        <v>10</v>
      </c>
      <c r="K1081" s="519">
        <v>3</v>
      </c>
      <c r="L1081" s="520">
        <v>14.49</v>
      </c>
      <c r="M1081" s="520">
        <v>16.100000000000001</v>
      </c>
      <c r="N1081" s="507">
        <v>0.12</v>
      </c>
      <c r="O1081" s="507">
        <v>0.11700000000000001</v>
      </c>
      <c r="P1081" s="507">
        <v>0.129</v>
      </c>
      <c r="Q1081" s="78">
        <v>0.44</v>
      </c>
      <c r="R1081" s="78">
        <v>0.31740000000000002</v>
      </c>
      <c r="S1081" s="69">
        <v>2.5000000000000001E-2</v>
      </c>
      <c r="T1081" s="69">
        <v>0.01</v>
      </c>
      <c r="U1081" s="507">
        <v>0.7</v>
      </c>
      <c r="V1081" s="76">
        <v>0</v>
      </c>
      <c r="W1081" s="76">
        <v>250</v>
      </c>
      <c r="X1081" s="76"/>
      <c r="Y1081" s="76"/>
    </row>
    <row r="1082" spans="1:25" x14ac:dyDescent="0.25">
      <c r="A1082" s="75" t="str">
        <f t="shared" si="39"/>
        <v>Liquidez PF Premier Pago_Fijo_Puntual 5</v>
      </c>
      <c r="B1082" s="75" t="str">
        <f t="shared" si="38"/>
        <v>Liquidez PF Premier Pago_Fijo_Puntual 5 0.12</v>
      </c>
      <c r="C1082" s="75" t="s">
        <v>115</v>
      </c>
      <c r="D1082" s="75" t="s">
        <v>132</v>
      </c>
      <c r="E1082" s="75" t="s">
        <v>143</v>
      </c>
      <c r="F1082" s="75"/>
      <c r="G1082" s="75"/>
      <c r="H1082" s="75"/>
      <c r="I1082" s="75" t="s">
        <v>171</v>
      </c>
      <c r="J1082" s="76">
        <v>5</v>
      </c>
      <c r="K1082" s="519" t="s">
        <v>387</v>
      </c>
      <c r="L1082" s="520">
        <v>22.28</v>
      </c>
      <c r="M1082" s="520">
        <v>23.89</v>
      </c>
      <c r="N1082" s="507">
        <v>0.12</v>
      </c>
      <c r="O1082" s="507">
        <v>0.11700000000000001</v>
      </c>
      <c r="P1082" s="507">
        <v>0.129</v>
      </c>
      <c r="Q1082" s="78">
        <v>0.44</v>
      </c>
      <c r="R1082" s="78">
        <v>0.31740000000000002</v>
      </c>
      <c r="S1082" s="69">
        <v>2.5000000000000001E-2</v>
      </c>
      <c r="T1082" s="69">
        <v>0.01</v>
      </c>
      <c r="U1082" s="507">
        <v>0.75</v>
      </c>
      <c r="V1082" s="76">
        <v>0</v>
      </c>
      <c r="W1082" s="76">
        <v>250</v>
      </c>
      <c r="X1082" s="76"/>
      <c r="Y1082" s="76"/>
    </row>
    <row r="1083" spans="1:25" x14ac:dyDescent="0.25">
      <c r="A1083" s="75" t="str">
        <f t="shared" si="39"/>
        <v>Liquidez PF Premier Pago_Fijo_Puntual 5</v>
      </c>
      <c r="B1083" s="75" t="str">
        <f t="shared" si="38"/>
        <v>Liquidez PF Premier Pago_Fijo_Puntual 5 0.12</v>
      </c>
      <c r="C1083" s="75" t="s">
        <v>115</v>
      </c>
      <c r="D1083" s="75" t="s">
        <v>132</v>
      </c>
      <c r="E1083" s="75" t="s">
        <v>143</v>
      </c>
      <c r="F1083" s="75"/>
      <c r="G1083" s="75"/>
      <c r="H1083" s="75"/>
      <c r="I1083" s="75" t="s">
        <v>171</v>
      </c>
      <c r="J1083" s="76">
        <v>5</v>
      </c>
      <c r="K1083" s="519">
        <v>3</v>
      </c>
      <c r="L1083" s="520">
        <v>22.28</v>
      </c>
      <c r="M1083" s="520">
        <v>23.89</v>
      </c>
      <c r="N1083" s="507">
        <v>0.12</v>
      </c>
      <c r="O1083" s="507">
        <v>0.11700000000000001</v>
      </c>
      <c r="P1083" s="507">
        <v>0.129</v>
      </c>
      <c r="Q1083" s="78">
        <v>0.44</v>
      </c>
      <c r="R1083" s="78">
        <v>0.31740000000000002</v>
      </c>
      <c r="S1083" s="69">
        <v>2.5000000000000001E-2</v>
      </c>
      <c r="T1083" s="69">
        <v>0.01</v>
      </c>
      <c r="U1083" s="507">
        <v>0.7</v>
      </c>
      <c r="V1083" s="76">
        <v>0</v>
      </c>
      <c r="W1083" s="76">
        <v>250</v>
      </c>
      <c r="X1083" s="76"/>
      <c r="Y1083" s="76"/>
    </row>
    <row r="1084" spans="1:25" x14ac:dyDescent="0.25">
      <c r="A1084" s="75" t="str">
        <f t="shared" si="39"/>
        <v>Liquidez PFAE No_Premier Normal Pago_Fijo_Puntual 15</v>
      </c>
      <c r="B1084" s="75" t="str">
        <f t="shared" si="38"/>
        <v>Liquidez PFAE No_Premier Normal Pago_Fijo_Puntual 15 0.12</v>
      </c>
      <c r="C1084" s="75" t="s">
        <v>115</v>
      </c>
      <c r="D1084" s="75" t="s">
        <v>168</v>
      </c>
      <c r="E1084" s="75" t="s">
        <v>179</v>
      </c>
      <c r="F1084" s="75" t="s">
        <v>180</v>
      </c>
      <c r="G1084" s="75"/>
      <c r="H1084" s="75"/>
      <c r="I1084" s="75" t="s">
        <v>171</v>
      </c>
      <c r="J1084" s="76">
        <v>15</v>
      </c>
      <c r="K1084" s="519" t="s">
        <v>387</v>
      </c>
      <c r="L1084" s="520">
        <v>12.24</v>
      </c>
      <c r="M1084" s="520">
        <v>13.85</v>
      </c>
      <c r="N1084" s="507">
        <v>0.12</v>
      </c>
      <c r="O1084" s="507">
        <v>0.11700000000000001</v>
      </c>
      <c r="P1084" s="507">
        <v>0.129</v>
      </c>
      <c r="Q1084" s="78">
        <v>0.44</v>
      </c>
      <c r="R1084" s="78">
        <v>0.31740000000000002</v>
      </c>
      <c r="S1084" s="69">
        <v>2.5000000000000001E-2</v>
      </c>
      <c r="T1084" s="69">
        <v>0.01</v>
      </c>
      <c r="U1084" s="507">
        <v>0.75</v>
      </c>
      <c r="V1084" s="76">
        <v>0</v>
      </c>
      <c r="W1084" s="76">
        <v>250</v>
      </c>
      <c r="X1084" s="76"/>
      <c r="Y1084" s="76"/>
    </row>
    <row r="1085" spans="1:25" x14ac:dyDescent="0.25">
      <c r="A1085" s="75" t="str">
        <f t="shared" si="39"/>
        <v>Liquidez PFAE No_Premier Normal Pago_Fijo_Puntual 15</v>
      </c>
      <c r="B1085" s="75" t="str">
        <f t="shared" si="38"/>
        <v>Liquidez PFAE No_Premier Normal Pago_Fijo_Puntual 15 0.12</v>
      </c>
      <c r="C1085" s="75" t="s">
        <v>115</v>
      </c>
      <c r="D1085" s="75" t="s">
        <v>168</v>
      </c>
      <c r="E1085" s="75" t="s">
        <v>179</v>
      </c>
      <c r="F1085" s="75" t="s">
        <v>180</v>
      </c>
      <c r="G1085" s="75"/>
      <c r="H1085" s="75"/>
      <c r="I1085" s="75" t="s">
        <v>171</v>
      </c>
      <c r="J1085" s="76">
        <v>15</v>
      </c>
      <c r="K1085" s="519">
        <v>3</v>
      </c>
      <c r="L1085" s="520">
        <v>12.24</v>
      </c>
      <c r="M1085" s="520">
        <v>13.85</v>
      </c>
      <c r="N1085" s="507">
        <v>0.12</v>
      </c>
      <c r="O1085" s="507">
        <v>0.11700000000000001</v>
      </c>
      <c r="P1085" s="507">
        <v>0.129</v>
      </c>
      <c r="Q1085" s="78">
        <v>0.44</v>
      </c>
      <c r="R1085" s="78">
        <v>0.31740000000000002</v>
      </c>
      <c r="S1085" s="69">
        <v>2.5000000000000001E-2</v>
      </c>
      <c r="T1085" s="69">
        <v>0.01</v>
      </c>
      <c r="U1085" s="507">
        <v>0.7</v>
      </c>
      <c r="V1085" s="76">
        <v>0</v>
      </c>
      <c r="W1085" s="76">
        <v>250</v>
      </c>
      <c r="X1085" s="76"/>
      <c r="Y1085" s="76"/>
    </row>
    <row r="1086" spans="1:25" x14ac:dyDescent="0.25">
      <c r="A1086" s="75" t="str">
        <f t="shared" si="39"/>
        <v>Liquidez PFAE No_Premier Normal Pago_Fijo_Puntual 10</v>
      </c>
      <c r="B1086" s="75" t="str">
        <f t="shared" si="38"/>
        <v>Liquidez PFAE No_Premier Normal Pago_Fijo_Puntual 10 0.12</v>
      </c>
      <c r="C1086" s="75" t="s">
        <v>115</v>
      </c>
      <c r="D1086" s="75" t="s">
        <v>168</v>
      </c>
      <c r="E1086" s="75" t="s">
        <v>179</v>
      </c>
      <c r="F1086" s="75" t="s">
        <v>180</v>
      </c>
      <c r="G1086" s="75"/>
      <c r="H1086" s="75"/>
      <c r="I1086" s="75" t="s">
        <v>171</v>
      </c>
      <c r="J1086" s="76">
        <v>10</v>
      </c>
      <c r="K1086" s="519" t="s">
        <v>387</v>
      </c>
      <c r="L1086" s="520">
        <v>14.49</v>
      </c>
      <c r="M1086" s="520">
        <v>16.100000000000001</v>
      </c>
      <c r="N1086" s="507">
        <v>0.12</v>
      </c>
      <c r="O1086" s="507">
        <v>0.11700000000000001</v>
      </c>
      <c r="P1086" s="507">
        <v>0.129</v>
      </c>
      <c r="Q1086" s="78">
        <v>0.44</v>
      </c>
      <c r="R1086" s="78">
        <v>0.31740000000000002</v>
      </c>
      <c r="S1086" s="69">
        <v>2.5000000000000001E-2</v>
      </c>
      <c r="T1086" s="69">
        <v>0.01</v>
      </c>
      <c r="U1086" s="507">
        <v>0.75</v>
      </c>
      <c r="V1086" s="76">
        <v>0</v>
      </c>
      <c r="W1086" s="76">
        <v>250</v>
      </c>
      <c r="X1086" s="76"/>
      <c r="Y1086" s="76"/>
    </row>
    <row r="1087" spans="1:25" x14ac:dyDescent="0.25">
      <c r="A1087" s="75" t="str">
        <f t="shared" si="39"/>
        <v>Liquidez PFAE No_Premier Normal Pago_Fijo_Puntual 10</v>
      </c>
      <c r="B1087" s="75" t="str">
        <f t="shared" si="38"/>
        <v>Liquidez PFAE No_Premier Normal Pago_Fijo_Puntual 10 0.12</v>
      </c>
      <c r="C1087" s="75" t="s">
        <v>115</v>
      </c>
      <c r="D1087" s="75" t="s">
        <v>168</v>
      </c>
      <c r="E1087" s="75" t="s">
        <v>179</v>
      </c>
      <c r="F1087" s="75" t="s">
        <v>180</v>
      </c>
      <c r="G1087" s="75"/>
      <c r="H1087" s="75"/>
      <c r="I1087" s="75" t="s">
        <v>171</v>
      </c>
      <c r="J1087" s="76">
        <v>10</v>
      </c>
      <c r="K1087" s="519">
        <v>3</v>
      </c>
      <c r="L1087" s="520">
        <v>14.49</v>
      </c>
      <c r="M1087" s="520">
        <v>16.100000000000001</v>
      </c>
      <c r="N1087" s="507">
        <v>0.12</v>
      </c>
      <c r="O1087" s="507">
        <v>0.11700000000000001</v>
      </c>
      <c r="P1087" s="507">
        <v>0.129</v>
      </c>
      <c r="Q1087" s="78">
        <v>0.44</v>
      </c>
      <c r="R1087" s="78">
        <v>0.31740000000000002</v>
      </c>
      <c r="S1087" s="69">
        <v>2.5000000000000001E-2</v>
      </c>
      <c r="T1087" s="69">
        <v>0.01</v>
      </c>
      <c r="U1087" s="507">
        <v>0.7</v>
      </c>
      <c r="V1087" s="76">
        <v>0</v>
      </c>
      <c r="W1087" s="76">
        <v>250</v>
      </c>
      <c r="X1087" s="76"/>
      <c r="Y1087" s="76"/>
    </row>
    <row r="1088" spans="1:25" x14ac:dyDescent="0.25">
      <c r="A1088" s="75" t="str">
        <f t="shared" si="39"/>
        <v>Liquidez PFAE No_Premier Normal Pago_Fijo_Puntual 5</v>
      </c>
      <c r="B1088" s="75" t="str">
        <f t="shared" si="38"/>
        <v>Liquidez PFAE No_Premier Normal Pago_Fijo_Puntual 5 0.12</v>
      </c>
      <c r="C1088" s="75" t="s">
        <v>115</v>
      </c>
      <c r="D1088" s="75" t="s">
        <v>168</v>
      </c>
      <c r="E1088" s="75" t="s">
        <v>179</v>
      </c>
      <c r="F1088" s="75" t="s">
        <v>180</v>
      </c>
      <c r="G1088" s="75"/>
      <c r="H1088" s="75"/>
      <c r="I1088" s="75" t="s">
        <v>171</v>
      </c>
      <c r="J1088" s="76">
        <v>5</v>
      </c>
      <c r="K1088" s="519" t="s">
        <v>387</v>
      </c>
      <c r="L1088" s="520">
        <v>22.28</v>
      </c>
      <c r="M1088" s="520">
        <v>23.89</v>
      </c>
      <c r="N1088" s="507">
        <v>0.12</v>
      </c>
      <c r="O1088" s="507">
        <v>0.11700000000000001</v>
      </c>
      <c r="P1088" s="507">
        <v>0.129</v>
      </c>
      <c r="Q1088" s="78">
        <v>0.44</v>
      </c>
      <c r="R1088" s="78">
        <v>0.31740000000000002</v>
      </c>
      <c r="S1088" s="69">
        <v>2.5000000000000001E-2</v>
      </c>
      <c r="T1088" s="69">
        <v>0.01</v>
      </c>
      <c r="U1088" s="507">
        <v>0.75</v>
      </c>
      <c r="V1088" s="76">
        <v>0</v>
      </c>
      <c r="W1088" s="76">
        <v>250</v>
      </c>
      <c r="X1088" s="76"/>
      <c r="Y1088" s="76"/>
    </row>
    <row r="1089" spans="1:25" x14ac:dyDescent="0.25">
      <c r="A1089" s="75" t="str">
        <f t="shared" si="39"/>
        <v>Liquidez PFAE No_Premier Normal Pago_Fijo_Puntual 5</v>
      </c>
      <c r="B1089" s="75" t="str">
        <f t="shared" si="38"/>
        <v>Liquidez PFAE No_Premier Normal Pago_Fijo_Puntual 5 0.12</v>
      </c>
      <c r="C1089" s="75" t="s">
        <v>115</v>
      </c>
      <c r="D1089" s="75" t="s">
        <v>168</v>
      </c>
      <c r="E1089" s="75" t="s">
        <v>179</v>
      </c>
      <c r="F1089" s="75" t="s">
        <v>180</v>
      </c>
      <c r="G1089" s="75"/>
      <c r="H1089" s="75"/>
      <c r="I1089" s="75" t="s">
        <v>171</v>
      </c>
      <c r="J1089" s="76">
        <v>5</v>
      </c>
      <c r="K1089" s="519">
        <v>3</v>
      </c>
      <c r="L1089" s="520">
        <v>22.28</v>
      </c>
      <c r="M1089" s="520">
        <v>23.89</v>
      </c>
      <c r="N1089" s="507">
        <v>0.12</v>
      </c>
      <c r="O1089" s="507">
        <v>0.11700000000000001</v>
      </c>
      <c r="P1089" s="507">
        <v>0.129</v>
      </c>
      <c r="Q1089" s="78">
        <v>0.44</v>
      </c>
      <c r="R1089" s="78">
        <v>0.31740000000000002</v>
      </c>
      <c r="S1089" s="69">
        <v>2.5000000000000001E-2</v>
      </c>
      <c r="T1089" s="69">
        <v>0.01</v>
      </c>
      <c r="U1089" s="507">
        <v>0.7</v>
      </c>
      <c r="V1089" s="76">
        <v>0</v>
      </c>
      <c r="W1089" s="76">
        <v>250</v>
      </c>
      <c r="X1089" s="76"/>
      <c r="Y1089" s="76"/>
    </row>
    <row r="1090" spans="1:25" x14ac:dyDescent="0.25">
      <c r="A1090" s="75" t="str">
        <f t="shared" si="39"/>
        <v>Liquidez PROF No_Premier Normal Pago_Fijo_Puntual 15</v>
      </c>
      <c r="B1090" s="75" t="str">
        <f t="shared" si="38"/>
        <v>Liquidez PROF No_Premier Normal Pago_Fijo_Puntual 15 0.12</v>
      </c>
      <c r="C1090" s="75" t="s">
        <v>115</v>
      </c>
      <c r="D1090" s="75" t="s">
        <v>169</v>
      </c>
      <c r="E1090" s="75" t="s">
        <v>179</v>
      </c>
      <c r="F1090" s="75" t="s">
        <v>180</v>
      </c>
      <c r="G1090" s="75"/>
      <c r="H1090" s="75"/>
      <c r="I1090" s="75" t="s">
        <v>171</v>
      </c>
      <c r="J1090" s="76">
        <v>15</v>
      </c>
      <c r="K1090" s="519" t="s">
        <v>387</v>
      </c>
      <c r="L1090" s="520">
        <v>12.24</v>
      </c>
      <c r="M1090" s="520">
        <v>13.85</v>
      </c>
      <c r="N1090" s="507">
        <v>0.12</v>
      </c>
      <c r="O1090" s="507">
        <v>0.11700000000000001</v>
      </c>
      <c r="P1090" s="507">
        <v>0.129</v>
      </c>
      <c r="Q1090" s="78">
        <v>0.44</v>
      </c>
      <c r="R1090" s="78">
        <v>0.31740000000000002</v>
      </c>
      <c r="S1090" s="69">
        <v>2.5000000000000001E-2</v>
      </c>
      <c r="T1090" s="69">
        <v>0.01</v>
      </c>
      <c r="U1090" s="507">
        <v>0.75</v>
      </c>
      <c r="V1090" s="76">
        <v>0</v>
      </c>
      <c r="W1090" s="76">
        <v>250</v>
      </c>
      <c r="X1090" s="76"/>
      <c r="Y1090" s="76"/>
    </row>
    <row r="1091" spans="1:25" x14ac:dyDescent="0.25">
      <c r="A1091" s="75" t="str">
        <f t="shared" si="39"/>
        <v>Liquidez PROF No_Premier Normal Pago_Fijo_Puntual 15</v>
      </c>
      <c r="B1091" s="75" t="str">
        <f t="shared" si="38"/>
        <v>Liquidez PROF No_Premier Normal Pago_Fijo_Puntual 15 0.12</v>
      </c>
      <c r="C1091" s="75" t="s">
        <v>115</v>
      </c>
      <c r="D1091" s="75" t="s">
        <v>169</v>
      </c>
      <c r="E1091" s="75" t="s">
        <v>179</v>
      </c>
      <c r="F1091" s="75" t="s">
        <v>180</v>
      </c>
      <c r="G1091" s="75"/>
      <c r="H1091" s="75"/>
      <c r="I1091" s="75" t="s">
        <v>171</v>
      </c>
      <c r="J1091" s="76">
        <v>15</v>
      </c>
      <c r="K1091" s="519">
        <v>3</v>
      </c>
      <c r="L1091" s="520">
        <v>12.24</v>
      </c>
      <c r="M1091" s="520">
        <v>13.85</v>
      </c>
      <c r="N1091" s="507">
        <v>0.12</v>
      </c>
      <c r="O1091" s="507">
        <v>0.11700000000000001</v>
      </c>
      <c r="P1091" s="507">
        <v>0.129</v>
      </c>
      <c r="Q1091" s="78">
        <v>0.44</v>
      </c>
      <c r="R1091" s="78">
        <v>0.31740000000000002</v>
      </c>
      <c r="S1091" s="69">
        <v>2.5000000000000001E-2</v>
      </c>
      <c r="T1091" s="69">
        <v>0.01</v>
      </c>
      <c r="U1091" s="507">
        <v>0.7</v>
      </c>
      <c r="V1091" s="76">
        <v>0</v>
      </c>
      <c r="W1091" s="76">
        <v>250</v>
      </c>
      <c r="X1091" s="76"/>
      <c r="Y1091" s="76"/>
    </row>
    <row r="1092" spans="1:25" x14ac:dyDescent="0.25">
      <c r="A1092" s="75" t="str">
        <f t="shared" si="39"/>
        <v>Liquidez PROF No_Premier Normal Pago_Fijo_Puntual 10</v>
      </c>
      <c r="B1092" s="75" t="str">
        <f t="shared" si="38"/>
        <v>Liquidez PROF No_Premier Normal Pago_Fijo_Puntual 10 0.12</v>
      </c>
      <c r="C1092" s="75" t="s">
        <v>115</v>
      </c>
      <c r="D1092" s="75" t="s">
        <v>169</v>
      </c>
      <c r="E1092" s="75" t="s">
        <v>179</v>
      </c>
      <c r="F1092" s="75" t="s">
        <v>180</v>
      </c>
      <c r="G1092" s="75"/>
      <c r="H1092" s="75"/>
      <c r="I1092" s="75" t="s">
        <v>171</v>
      </c>
      <c r="J1092" s="76">
        <v>10</v>
      </c>
      <c r="K1092" s="519" t="s">
        <v>387</v>
      </c>
      <c r="L1092" s="520">
        <v>14.49</v>
      </c>
      <c r="M1092" s="520">
        <v>16.100000000000001</v>
      </c>
      <c r="N1092" s="507">
        <v>0.12</v>
      </c>
      <c r="O1092" s="507">
        <v>0.11700000000000001</v>
      </c>
      <c r="P1092" s="507">
        <v>0.129</v>
      </c>
      <c r="Q1092" s="78">
        <v>0.44</v>
      </c>
      <c r="R1092" s="78">
        <v>0.31740000000000002</v>
      </c>
      <c r="S1092" s="69">
        <v>2.5000000000000001E-2</v>
      </c>
      <c r="T1092" s="69">
        <v>0.01</v>
      </c>
      <c r="U1092" s="507">
        <v>0.75</v>
      </c>
      <c r="V1092" s="76">
        <v>0</v>
      </c>
      <c r="W1092" s="76">
        <v>250</v>
      </c>
      <c r="X1092" s="76"/>
      <c r="Y1092" s="76"/>
    </row>
    <row r="1093" spans="1:25" x14ac:dyDescent="0.25">
      <c r="A1093" s="75" t="str">
        <f t="shared" si="39"/>
        <v>Liquidez PROF No_Premier Normal Pago_Fijo_Puntual 10</v>
      </c>
      <c r="B1093" s="75" t="str">
        <f t="shared" si="38"/>
        <v>Liquidez PROF No_Premier Normal Pago_Fijo_Puntual 10 0.12</v>
      </c>
      <c r="C1093" s="75" t="s">
        <v>115</v>
      </c>
      <c r="D1093" s="75" t="s">
        <v>169</v>
      </c>
      <c r="E1093" s="75" t="s">
        <v>179</v>
      </c>
      <c r="F1093" s="75" t="s">
        <v>180</v>
      </c>
      <c r="G1093" s="75"/>
      <c r="H1093" s="75"/>
      <c r="I1093" s="75" t="s">
        <v>171</v>
      </c>
      <c r="J1093" s="76">
        <v>10</v>
      </c>
      <c r="K1093" s="519">
        <v>3</v>
      </c>
      <c r="L1093" s="520">
        <v>14.49</v>
      </c>
      <c r="M1093" s="520">
        <v>16.100000000000001</v>
      </c>
      <c r="N1093" s="507">
        <v>0.12</v>
      </c>
      <c r="O1093" s="507">
        <v>0.11700000000000001</v>
      </c>
      <c r="P1093" s="507">
        <v>0.129</v>
      </c>
      <c r="Q1093" s="78">
        <v>0.44</v>
      </c>
      <c r="R1093" s="78">
        <v>0.31740000000000002</v>
      </c>
      <c r="S1093" s="69">
        <v>2.5000000000000001E-2</v>
      </c>
      <c r="T1093" s="69">
        <v>0.01</v>
      </c>
      <c r="U1093" s="507">
        <v>0.7</v>
      </c>
      <c r="V1093" s="76">
        <v>0</v>
      </c>
      <c r="W1093" s="76">
        <v>250</v>
      </c>
      <c r="X1093" s="76"/>
      <c r="Y1093" s="76"/>
    </row>
    <row r="1094" spans="1:25" x14ac:dyDescent="0.25">
      <c r="A1094" s="75" t="str">
        <f t="shared" si="39"/>
        <v>Liquidez PROF No_Premier Normal Pago_Fijo_Puntual 5</v>
      </c>
      <c r="B1094" s="75" t="str">
        <f t="shared" si="38"/>
        <v>Liquidez PROF No_Premier Normal Pago_Fijo_Puntual 5 0.12</v>
      </c>
      <c r="C1094" s="75" t="s">
        <v>115</v>
      </c>
      <c r="D1094" s="75" t="s">
        <v>169</v>
      </c>
      <c r="E1094" s="75" t="s">
        <v>179</v>
      </c>
      <c r="F1094" s="75" t="s">
        <v>180</v>
      </c>
      <c r="G1094" s="75"/>
      <c r="H1094" s="75"/>
      <c r="I1094" s="75" t="s">
        <v>171</v>
      </c>
      <c r="J1094" s="76">
        <v>5</v>
      </c>
      <c r="K1094" s="519" t="s">
        <v>387</v>
      </c>
      <c r="L1094" s="520">
        <v>22.28</v>
      </c>
      <c r="M1094" s="520">
        <v>23.89</v>
      </c>
      <c r="N1094" s="507">
        <v>0.12</v>
      </c>
      <c r="O1094" s="507">
        <v>0.11700000000000001</v>
      </c>
      <c r="P1094" s="507">
        <v>0.129</v>
      </c>
      <c r="Q1094" s="78">
        <v>0.44</v>
      </c>
      <c r="R1094" s="78">
        <v>0.31740000000000002</v>
      </c>
      <c r="S1094" s="69">
        <v>2.5000000000000001E-2</v>
      </c>
      <c r="T1094" s="69">
        <v>0.01</v>
      </c>
      <c r="U1094" s="507">
        <v>0.75</v>
      </c>
      <c r="V1094" s="76">
        <v>0</v>
      </c>
      <c r="W1094" s="76">
        <v>250</v>
      </c>
      <c r="X1094" s="76"/>
      <c r="Y1094" s="76"/>
    </row>
    <row r="1095" spans="1:25" x14ac:dyDescent="0.25">
      <c r="A1095" s="75" t="str">
        <f t="shared" si="39"/>
        <v>Liquidez PROF No_Premier Normal Pago_Fijo_Puntual 5</v>
      </c>
      <c r="B1095" s="75" t="str">
        <f t="shared" si="38"/>
        <v>Liquidez PROF No_Premier Normal Pago_Fijo_Puntual 5 0.12</v>
      </c>
      <c r="C1095" s="75" t="s">
        <v>115</v>
      </c>
      <c r="D1095" s="75" t="s">
        <v>169</v>
      </c>
      <c r="E1095" s="75" t="s">
        <v>179</v>
      </c>
      <c r="F1095" s="75" t="s">
        <v>180</v>
      </c>
      <c r="G1095" s="75"/>
      <c r="H1095" s="75"/>
      <c r="I1095" s="75" t="s">
        <v>171</v>
      </c>
      <c r="J1095" s="76">
        <v>5</v>
      </c>
      <c r="K1095" s="519">
        <v>3</v>
      </c>
      <c r="L1095" s="520">
        <v>22.28</v>
      </c>
      <c r="M1095" s="520">
        <v>23.89</v>
      </c>
      <c r="N1095" s="507">
        <v>0.12</v>
      </c>
      <c r="O1095" s="507">
        <v>0.11700000000000001</v>
      </c>
      <c r="P1095" s="507">
        <v>0.129</v>
      </c>
      <c r="Q1095" s="78">
        <v>0.44</v>
      </c>
      <c r="R1095" s="78">
        <v>0.31740000000000002</v>
      </c>
      <c r="S1095" s="69">
        <v>2.5000000000000001E-2</v>
      </c>
      <c r="T1095" s="69">
        <v>0.01</v>
      </c>
      <c r="U1095" s="507">
        <v>0.7</v>
      </c>
      <c r="V1095" s="76">
        <v>0</v>
      </c>
      <c r="W1095" s="76">
        <v>250</v>
      </c>
      <c r="X1095" s="76"/>
      <c r="Y1095" s="76"/>
    </row>
    <row r="1096" spans="1:25" x14ac:dyDescent="0.25">
      <c r="A1096" s="75" t="str">
        <f t="shared" si="39"/>
        <v>Liquidez PFAE Premier Pago_Fijo_Puntual 15</v>
      </c>
      <c r="B1096" s="75" t="str">
        <f t="shared" si="38"/>
        <v>Liquidez PFAE Premier Pago_Fijo_Puntual 15 0.12</v>
      </c>
      <c r="C1096" s="75" t="s">
        <v>115</v>
      </c>
      <c r="D1096" s="75" t="s">
        <v>168</v>
      </c>
      <c r="E1096" s="75" t="s">
        <v>143</v>
      </c>
      <c r="F1096" s="75"/>
      <c r="G1096" s="75"/>
      <c r="H1096" s="75"/>
      <c r="I1096" s="75" t="s">
        <v>171</v>
      </c>
      <c r="J1096" s="76">
        <v>15</v>
      </c>
      <c r="K1096" s="519" t="s">
        <v>387</v>
      </c>
      <c r="L1096" s="520">
        <v>12.24</v>
      </c>
      <c r="M1096" s="520">
        <v>13.85</v>
      </c>
      <c r="N1096" s="507">
        <v>0.12</v>
      </c>
      <c r="O1096" s="507">
        <v>0.11700000000000001</v>
      </c>
      <c r="P1096" s="507">
        <v>0.129</v>
      </c>
      <c r="Q1096" s="78">
        <v>0.44</v>
      </c>
      <c r="R1096" s="78">
        <v>0.31740000000000002</v>
      </c>
      <c r="S1096" s="69">
        <v>2.5000000000000001E-2</v>
      </c>
      <c r="T1096" s="69">
        <v>0.01</v>
      </c>
      <c r="U1096" s="507">
        <v>0.75</v>
      </c>
      <c r="V1096" s="76">
        <v>0</v>
      </c>
      <c r="W1096" s="76">
        <v>250</v>
      </c>
      <c r="X1096" s="76"/>
      <c r="Y1096" s="76"/>
    </row>
    <row r="1097" spans="1:25" x14ac:dyDescent="0.25">
      <c r="A1097" s="75" t="str">
        <f t="shared" si="39"/>
        <v>Liquidez PFAE Premier Pago_Fijo_Puntual 15</v>
      </c>
      <c r="B1097" s="75" t="str">
        <f t="shared" si="38"/>
        <v>Liquidez PFAE Premier Pago_Fijo_Puntual 15 0.12</v>
      </c>
      <c r="C1097" s="75" t="s">
        <v>115</v>
      </c>
      <c r="D1097" s="75" t="s">
        <v>168</v>
      </c>
      <c r="E1097" s="75" t="s">
        <v>143</v>
      </c>
      <c r="F1097" s="75"/>
      <c r="G1097" s="75"/>
      <c r="H1097" s="75"/>
      <c r="I1097" s="75" t="s">
        <v>171</v>
      </c>
      <c r="J1097" s="76">
        <v>15</v>
      </c>
      <c r="K1097" s="519">
        <v>3</v>
      </c>
      <c r="L1097" s="520">
        <v>12.24</v>
      </c>
      <c r="M1097" s="520">
        <v>13.85</v>
      </c>
      <c r="N1097" s="507">
        <v>0.12</v>
      </c>
      <c r="O1097" s="507">
        <v>0.11700000000000001</v>
      </c>
      <c r="P1097" s="507">
        <v>0.129</v>
      </c>
      <c r="Q1097" s="78">
        <v>0.44</v>
      </c>
      <c r="R1097" s="78">
        <v>0.31740000000000002</v>
      </c>
      <c r="S1097" s="69">
        <v>2.5000000000000001E-2</v>
      </c>
      <c r="T1097" s="69">
        <v>0.01</v>
      </c>
      <c r="U1097" s="507">
        <v>0.7</v>
      </c>
      <c r="V1097" s="76">
        <v>0</v>
      </c>
      <c r="W1097" s="76">
        <v>250</v>
      </c>
      <c r="X1097" s="76"/>
      <c r="Y1097" s="76"/>
    </row>
    <row r="1098" spans="1:25" x14ac:dyDescent="0.25">
      <c r="A1098" s="75" t="str">
        <f t="shared" si="39"/>
        <v>Liquidez PFAE Premier Pago_Fijo_Puntual 10</v>
      </c>
      <c r="B1098" s="75" t="str">
        <f t="shared" si="38"/>
        <v>Liquidez PFAE Premier Pago_Fijo_Puntual 10 0.12</v>
      </c>
      <c r="C1098" s="75" t="s">
        <v>115</v>
      </c>
      <c r="D1098" s="75" t="s">
        <v>168</v>
      </c>
      <c r="E1098" s="75" t="s">
        <v>143</v>
      </c>
      <c r="F1098" s="75"/>
      <c r="G1098" s="75"/>
      <c r="H1098" s="75"/>
      <c r="I1098" s="75" t="s">
        <v>171</v>
      </c>
      <c r="J1098" s="76">
        <v>10</v>
      </c>
      <c r="K1098" s="519" t="s">
        <v>387</v>
      </c>
      <c r="L1098" s="520">
        <v>14.49</v>
      </c>
      <c r="M1098" s="520">
        <v>16.100000000000001</v>
      </c>
      <c r="N1098" s="507">
        <v>0.12</v>
      </c>
      <c r="O1098" s="507">
        <v>0.11700000000000001</v>
      </c>
      <c r="P1098" s="507">
        <v>0.129</v>
      </c>
      <c r="Q1098" s="78">
        <v>0.44</v>
      </c>
      <c r="R1098" s="78">
        <v>0.31740000000000002</v>
      </c>
      <c r="S1098" s="69">
        <v>2.5000000000000001E-2</v>
      </c>
      <c r="T1098" s="69">
        <v>0.01</v>
      </c>
      <c r="U1098" s="507">
        <v>0.75</v>
      </c>
      <c r="V1098" s="76">
        <v>0</v>
      </c>
      <c r="W1098" s="76">
        <v>250</v>
      </c>
      <c r="X1098" s="76"/>
      <c r="Y1098" s="76"/>
    </row>
    <row r="1099" spans="1:25" x14ac:dyDescent="0.25">
      <c r="A1099" s="75" t="str">
        <f t="shared" si="39"/>
        <v>Liquidez PFAE Premier Pago_Fijo_Puntual 10</v>
      </c>
      <c r="B1099" s="75" t="str">
        <f t="shared" si="38"/>
        <v>Liquidez PFAE Premier Pago_Fijo_Puntual 10 0.12</v>
      </c>
      <c r="C1099" s="75" t="s">
        <v>115</v>
      </c>
      <c r="D1099" s="75" t="s">
        <v>168</v>
      </c>
      <c r="E1099" s="75" t="s">
        <v>143</v>
      </c>
      <c r="F1099" s="75"/>
      <c r="G1099" s="75"/>
      <c r="H1099" s="75"/>
      <c r="I1099" s="75" t="s">
        <v>171</v>
      </c>
      <c r="J1099" s="76">
        <v>10</v>
      </c>
      <c r="K1099" s="519">
        <v>3</v>
      </c>
      <c r="L1099" s="520">
        <v>14.49</v>
      </c>
      <c r="M1099" s="520">
        <v>16.100000000000001</v>
      </c>
      <c r="N1099" s="507">
        <v>0.12</v>
      </c>
      <c r="O1099" s="507">
        <v>0.11700000000000001</v>
      </c>
      <c r="P1099" s="507">
        <v>0.129</v>
      </c>
      <c r="Q1099" s="78">
        <v>0.44</v>
      </c>
      <c r="R1099" s="78">
        <v>0.31740000000000002</v>
      </c>
      <c r="S1099" s="69">
        <v>2.5000000000000001E-2</v>
      </c>
      <c r="T1099" s="69">
        <v>0.01</v>
      </c>
      <c r="U1099" s="507">
        <v>0.7</v>
      </c>
      <c r="V1099" s="76">
        <v>0</v>
      </c>
      <c r="W1099" s="76">
        <v>250</v>
      </c>
      <c r="X1099" s="76"/>
      <c r="Y1099" s="76"/>
    </row>
    <row r="1100" spans="1:25" x14ac:dyDescent="0.25">
      <c r="A1100" s="75" t="str">
        <f t="shared" si="39"/>
        <v>Liquidez PFAE Premier Pago_Fijo_Puntual 5</v>
      </c>
      <c r="B1100" s="75" t="str">
        <f t="shared" si="38"/>
        <v>Liquidez PFAE Premier Pago_Fijo_Puntual 5 0.12</v>
      </c>
      <c r="C1100" s="75" t="s">
        <v>115</v>
      </c>
      <c r="D1100" s="75" t="s">
        <v>168</v>
      </c>
      <c r="E1100" s="75" t="s">
        <v>143</v>
      </c>
      <c r="F1100" s="75"/>
      <c r="G1100" s="75"/>
      <c r="H1100" s="75"/>
      <c r="I1100" s="75" t="s">
        <v>171</v>
      </c>
      <c r="J1100" s="76">
        <v>5</v>
      </c>
      <c r="K1100" s="519" t="s">
        <v>387</v>
      </c>
      <c r="L1100" s="520">
        <v>22.28</v>
      </c>
      <c r="M1100" s="520">
        <v>23.89</v>
      </c>
      <c r="N1100" s="507">
        <v>0.12</v>
      </c>
      <c r="O1100" s="507">
        <v>0.11700000000000001</v>
      </c>
      <c r="P1100" s="507">
        <v>0.129</v>
      </c>
      <c r="Q1100" s="78">
        <v>0.44</v>
      </c>
      <c r="R1100" s="78">
        <v>0.31740000000000002</v>
      </c>
      <c r="S1100" s="69">
        <v>2.5000000000000001E-2</v>
      </c>
      <c r="T1100" s="69">
        <v>0.01</v>
      </c>
      <c r="U1100" s="507">
        <v>0.75</v>
      </c>
      <c r="V1100" s="76">
        <v>0</v>
      </c>
      <c r="W1100" s="76">
        <v>250</v>
      </c>
      <c r="X1100" s="76"/>
      <c r="Y1100" s="76"/>
    </row>
    <row r="1101" spans="1:25" x14ac:dyDescent="0.25">
      <c r="A1101" s="75" t="str">
        <f t="shared" si="39"/>
        <v>Liquidez PFAE Premier Pago_Fijo_Puntual 5</v>
      </c>
      <c r="B1101" s="75" t="str">
        <f t="shared" si="38"/>
        <v>Liquidez PFAE Premier Pago_Fijo_Puntual 5 0.12</v>
      </c>
      <c r="C1101" s="75" t="s">
        <v>115</v>
      </c>
      <c r="D1101" s="75" t="s">
        <v>168</v>
      </c>
      <c r="E1101" s="75" t="s">
        <v>143</v>
      </c>
      <c r="F1101" s="75"/>
      <c r="G1101" s="75"/>
      <c r="H1101" s="75"/>
      <c r="I1101" s="75" t="s">
        <v>171</v>
      </c>
      <c r="J1101" s="76">
        <v>5</v>
      </c>
      <c r="K1101" s="519">
        <v>3</v>
      </c>
      <c r="L1101" s="520">
        <v>22.28</v>
      </c>
      <c r="M1101" s="520">
        <v>23.89</v>
      </c>
      <c r="N1101" s="507">
        <v>0.12</v>
      </c>
      <c r="O1101" s="507">
        <v>0.11700000000000001</v>
      </c>
      <c r="P1101" s="507">
        <v>0.129</v>
      </c>
      <c r="Q1101" s="78">
        <v>0.44</v>
      </c>
      <c r="R1101" s="78">
        <v>0.31740000000000002</v>
      </c>
      <c r="S1101" s="69">
        <v>2.5000000000000001E-2</v>
      </c>
      <c r="T1101" s="69">
        <v>0.01</v>
      </c>
      <c r="U1101" s="507">
        <v>0.7</v>
      </c>
      <c r="V1101" s="76">
        <v>0</v>
      </c>
      <c r="W1101" s="76">
        <v>250</v>
      </c>
      <c r="X1101" s="76"/>
      <c r="Y1101" s="76"/>
    </row>
    <row r="1102" spans="1:25" x14ac:dyDescent="0.25">
      <c r="A1102" s="75" t="str">
        <f t="shared" si="39"/>
        <v>Liquidez PROF Premier Pago_Fijo_Puntual 15</v>
      </c>
      <c r="B1102" s="75" t="str">
        <f t="shared" si="38"/>
        <v>Liquidez PROF Premier Pago_Fijo_Puntual 15 0.12</v>
      </c>
      <c r="C1102" s="75" t="s">
        <v>115</v>
      </c>
      <c r="D1102" s="75" t="s">
        <v>169</v>
      </c>
      <c r="E1102" s="75" t="s">
        <v>143</v>
      </c>
      <c r="F1102" s="75"/>
      <c r="G1102" s="75"/>
      <c r="H1102" s="75"/>
      <c r="I1102" s="75" t="s">
        <v>171</v>
      </c>
      <c r="J1102" s="76">
        <v>15</v>
      </c>
      <c r="K1102" s="519" t="s">
        <v>387</v>
      </c>
      <c r="L1102" s="520">
        <v>12.24</v>
      </c>
      <c r="M1102" s="520">
        <v>13.85</v>
      </c>
      <c r="N1102" s="507">
        <v>0.12</v>
      </c>
      <c r="O1102" s="507">
        <v>0.11700000000000001</v>
      </c>
      <c r="P1102" s="507">
        <v>0.129</v>
      </c>
      <c r="Q1102" s="78">
        <v>0.44</v>
      </c>
      <c r="R1102" s="78">
        <v>0.31740000000000002</v>
      </c>
      <c r="S1102" s="69">
        <v>2.5000000000000001E-2</v>
      </c>
      <c r="T1102" s="69">
        <v>0.01</v>
      </c>
      <c r="U1102" s="507">
        <v>0.75</v>
      </c>
      <c r="V1102" s="76">
        <v>0</v>
      </c>
      <c r="W1102" s="76">
        <v>250</v>
      </c>
      <c r="X1102" s="76"/>
      <c r="Y1102" s="76"/>
    </row>
    <row r="1103" spans="1:25" x14ac:dyDescent="0.25">
      <c r="A1103" s="75" t="str">
        <f t="shared" si="39"/>
        <v>Liquidez PROF Premier Pago_Fijo_Puntual 15</v>
      </c>
      <c r="B1103" s="75" t="str">
        <f t="shared" si="38"/>
        <v>Liquidez PROF Premier Pago_Fijo_Puntual 15 0.12</v>
      </c>
      <c r="C1103" s="75" t="s">
        <v>115</v>
      </c>
      <c r="D1103" s="75" t="s">
        <v>169</v>
      </c>
      <c r="E1103" s="75" t="s">
        <v>143</v>
      </c>
      <c r="F1103" s="75"/>
      <c r="G1103" s="75"/>
      <c r="H1103" s="75"/>
      <c r="I1103" s="75" t="s">
        <v>171</v>
      </c>
      <c r="J1103" s="76">
        <v>15</v>
      </c>
      <c r="K1103" s="519">
        <v>3</v>
      </c>
      <c r="L1103" s="520">
        <v>12.24</v>
      </c>
      <c r="M1103" s="520">
        <v>13.85</v>
      </c>
      <c r="N1103" s="507">
        <v>0.12</v>
      </c>
      <c r="O1103" s="507">
        <v>0.11700000000000001</v>
      </c>
      <c r="P1103" s="507">
        <v>0.129</v>
      </c>
      <c r="Q1103" s="78">
        <v>0.44</v>
      </c>
      <c r="R1103" s="78">
        <v>0.31740000000000002</v>
      </c>
      <c r="S1103" s="69">
        <v>2.5000000000000001E-2</v>
      </c>
      <c r="T1103" s="69">
        <v>0.01</v>
      </c>
      <c r="U1103" s="507">
        <v>0.7</v>
      </c>
      <c r="V1103" s="76">
        <v>0</v>
      </c>
      <c r="W1103" s="76">
        <v>250</v>
      </c>
      <c r="X1103" s="76"/>
      <c r="Y1103" s="76"/>
    </row>
    <row r="1104" spans="1:25" x14ac:dyDescent="0.25">
      <c r="A1104" s="75" t="str">
        <f t="shared" si="39"/>
        <v>Liquidez PROF Premier Pago_Fijo_Puntual 10</v>
      </c>
      <c r="B1104" s="75" t="str">
        <f t="shared" si="38"/>
        <v>Liquidez PROF Premier Pago_Fijo_Puntual 10 0.12</v>
      </c>
      <c r="C1104" s="75" t="s">
        <v>115</v>
      </c>
      <c r="D1104" s="75" t="s">
        <v>169</v>
      </c>
      <c r="E1104" s="75" t="s">
        <v>143</v>
      </c>
      <c r="F1104" s="75"/>
      <c r="G1104" s="75"/>
      <c r="H1104" s="75"/>
      <c r="I1104" s="75" t="s">
        <v>171</v>
      </c>
      <c r="J1104" s="76">
        <v>10</v>
      </c>
      <c r="K1104" s="519" t="s">
        <v>387</v>
      </c>
      <c r="L1104" s="520">
        <v>14.49</v>
      </c>
      <c r="M1104" s="520">
        <v>16.100000000000001</v>
      </c>
      <c r="N1104" s="507">
        <v>0.12</v>
      </c>
      <c r="O1104" s="507">
        <v>0.11700000000000001</v>
      </c>
      <c r="P1104" s="507">
        <v>0.129</v>
      </c>
      <c r="Q1104" s="78">
        <v>0.44</v>
      </c>
      <c r="R1104" s="78">
        <v>0.31740000000000002</v>
      </c>
      <c r="S1104" s="69">
        <v>2.5000000000000001E-2</v>
      </c>
      <c r="T1104" s="69">
        <v>0.01</v>
      </c>
      <c r="U1104" s="507">
        <v>0.75</v>
      </c>
      <c r="V1104" s="76">
        <v>0</v>
      </c>
      <c r="W1104" s="76">
        <v>250</v>
      </c>
      <c r="X1104" s="76"/>
      <c r="Y1104" s="76"/>
    </row>
    <row r="1105" spans="1:25" x14ac:dyDescent="0.25">
      <c r="A1105" s="75" t="str">
        <f t="shared" si="39"/>
        <v>Liquidez PROF Premier Pago_Fijo_Puntual 10</v>
      </c>
      <c r="B1105" s="75" t="str">
        <f t="shared" si="38"/>
        <v>Liquidez PROF Premier Pago_Fijo_Puntual 10 0.12</v>
      </c>
      <c r="C1105" s="75" t="s">
        <v>115</v>
      </c>
      <c r="D1105" s="75" t="s">
        <v>169</v>
      </c>
      <c r="E1105" s="75" t="s">
        <v>143</v>
      </c>
      <c r="F1105" s="75"/>
      <c r="G1105" s="75"/>
      <c r="H1105" s="75"/>
      <c r="I1105" s="75" t="s">
        <v>171</v>
      </c>
      <c r="J1105" s="76">
        <v>10</v>
      </c>
      <c r="K1105" s="519">
        <v>3</v>
      </c>
      <c r="L1105" s="520">
        <v>14.49</v>
      </c>
      <c r="M1105" s="520">
        <v>16.100000000000001</v>
      </c>
      <c r="N1105" s="507">
        <v>0.12</v>
      </c>
      <c r="O1105" s="507">
        <v>0.11700000000000001</v>
      </c>
      <c r="P1105" s="507">
        <v>0.129</v>
      </c>
      <c r="Q1105" s="78">
        <v>0.44</v>
      </c>
      <c r="R1105" s="78">
        <v>0.31740000000000002</v>
      </c>
      <c r="S1105" s="69">
        <v>2.5000000000000001E-2</v>
      </c>
      <c r="T1105" s="69">
        <v>0.01</v>
      </c>
      <c r="U1105" s="507">
        <v>0.7</v>
      </c>
      <c r="V1105" s="76">
        <v>0</v>
      </c>
      <c r="W1105" s="76">
        <v>250</v>
      </c>
      <c r="X1105" s="76"/>
      <c r="Y1105" s="76"/>
    </row>
    <row r="1106" spans="1:25" x14ac:dyDescent="0.25">
      <c r="A1106" s="75" t="str">
        <f t="shared" si="39"/>
        <v>Liquidez PROF Premier Pago_Fijo_Puntual 5</v>
      </c>
      <c r="B1106" s="75" t="str">
        <f t="shared" si="38"/>
        <v>Liquidez PROF Premier Pago_Fijo_Puntual 5 0.12</v>
      </c>
      <c r="C1106" s="75" t="s">
        <v>115</v>
      </c>
      <c r="D1106" s="75" t="s">
        <v>169</v>
      </c>
      <c r="E1106" s="75" t="s">
        <v>143</v>
      </c>
      <c r="F1106" s="75"/>
      <c r="G1106" s="75"/>
      <c r="H1106" s="75"/>
      <c r="I1106" s="75" t="s">
        <v>171</v>
      </c>
      <c r="J1106" s="76">
        <v>5</v>
      </c>
      <c r="K1106" s="519" t="s">
        <v>387</v>
      </c>
      <c r="L1106" s="520">
        <v>22.28</v>
      </c>
      <c r="M1106" s="520">
        <v>23.89</v>
      </c>
      <c r="N1106" s="507">
        <v>0.12</v>
      </c>
      <c r="O1106" s="507">
        <v>0.11700000000000001</v>
      </c>
      <c r="P1106" s="507">
        <v>0.129</v>
      </c>
      <c r="Q1106" s="78">
        <v>0.44</v>
      </c>
      <c r="R1106" s="78">
        <v>0.31740000000000002</v>
      </c>
      <c r="S1106" s="69">
        <v>2.5000000000000001E-2</v>
      </c>
      <c r="T1106" s="69">
        <v>0.01</v>
      </c>
      <c r="U1106" s="507">
        <v>0.75</v>
      </c>
      <c r="V1106" s="76">
        <v>0</v>
      </c>
      <c r="W1106" s="76">
        <v>250</v>
      </c>
      <c r="X1106" s="76"/>
      <c r="Y1106" s="76"/>
    </row>
    <row r="1107" spans="1:25" x14ac:dyDescent="0.25">
      <c r="A1107" s="75" t="str">
        <f t="shared" si="39"/>
        <v>Liquidez PROF Premier Pago_Fijo_Puntual 5</v>
      </c>
      <c r="B1107" s="75" t="str">
        <f t="shared" si="38"/>
        <v>Liquidez PROF Premier Pago_Fijo_Puntual 5 0.12</v>
      </c>
      <c r="C1107" s="75" t="s">
        <v>115</v>
      </c>
      <c r="D1107" s="75" t="s">
        <v>169</v>
      </c>
      <c r="E1107" s="75" t="s">
        <v>143</v>
      </c>
      <c r="F1107" s="75"/>
      <c r="G1107" s="75"/>
      <c r="H1107" s="75"/>
      <c r="I1107" s="75" t="s">
        <v>171</v>
      </c>
      <c r="J1107" s="76">
        <v>5</v>
      </c>
      <c r="K1107" s="519">
        <v>3</v>
      </c>
      <c r="L1107" s="520">
        <v>22.28</v>
      </c>
      <c r="M1107" s="520">
        <v>23.89</v>
      </c>
      <c r="N1107" s="507">
        <v>0.12</v>
      </c>
      <c r="O1107" s="507">
        <v>0.11700000000000001</v>
      </c>
      <c r="P1107" s="507">
        <v>0.129</v>
      </c>
      <c r="Q1107" s="78">
        <v>0.44</v>
      </c>
      <c r="R1107" s="78">
        <v>0.31740000000000002</v>
      </c>
      <c r="S1107" s="69">
        <v>2.5000000000000001E-2</v>
      </c>
      <c r="T1107" s="69">
        <v>0.01</v>
      </c>
      <c r="U1107" s="507">
        <v>0.7</v>
      </c>
      <c r="V1107" s="76">
        <v>0</v>
      </c>
      <c r="W1107" s="76">
        <v>250</v>
      </c>
      <c r="X1107" s="76"/>
      <c r="Y1107" s="76"/>
    </row>
    <row r="1108" spans="1:25" x14ac:dyDescent="0.25">
      <c r="A1108" s="75" t="str">
        <f t="shared" si="39"/>
        <v>Pago_de_Hipoteca PF No_Premier GSC Pago_Fijo_Puntual Si 20</v>
      </c>
      <c r="B1108" s="75" t="str">
        <f t="shared" si="38"/>
        <v>Pago_de_Hipoteca PF No_Premier GSC Pago_Fijo_Puntual Si 20 0.101</v>
      </c>
      <c r="C1108" s="75" t="s">
        <v>173</v>
      </c>
      <c r="D1108" s="75" t="s">
        <v>132</v>
      </c>
      <c r="E1108" s="75" t="s">
        <v>179</v>
      </c>
      <c r="F1108" s="75" t="s">
        <v>172</v>
      </c>
      <c r="G1108" s="75"/>
      <c r="H1108" s="75"/>
      <c r="I1108" s="75" t="s">
        <v>171</v>
      </c>
      <c r="J1108" s="76">
        <v>20</v>
      </c>
      <c r="K1108" s="519" t="s">
        <v>387</v>
      </c>
      <c r="L1108" s="520">
        <v>10.02</v>
      </c>
      <c r="M1108" s="520">
        <v>10.68</v>
      </c>
      <c r="N1108" s="507">
        <v>0.10100000000000001</v>
      </c>
      <c r="O1108" s="507">
        <v>9.8000000000000004E-2</v>
      </c>
      <c r="P1108" s="507">
        <v>0.11</v>
      </c>
      <c r="Q1108" s="78">
        <v>0.44</v>
      </c>
      <c r="R1108" s="78">
        <v>0.31740000000000002</v>
      </c>
      <c r="S1108" s="69">
        <v>0</v>
      </c>
      <c r="T1108" s="69">
        <v>0</v>
      </c>
      <c r="U1108" s="507">
        <v>0.85</v>
      </c>
      <c r="V1108" s="76">
        <v>0</v>
      </c>
      <c r="W1108" s="76">
        <v>0</v>
      </c>
      <c r="X1108" s="76" t="s">
        <v>147</v>
      </c>
      <c r="Y1108" s="519" t="s">
        <v>469</v>
      </c>
    </row>
    <row r="1109" spans="1:25" x14ac:dyDescent="0.25">
      <c r="A1109" s="75" t="str">
        <f t="shared" si="39"/>
        <v>Pago_de_Hipoteca PF No_Premier GSC Pago_Fijo_Puntual 20</v>
      </c>
      <c r="B1109" s="75" t="str">
        <f t="shared" si="38"/>
        <v>Pago_de_Hipoteca PF No_Premier GSC Pago_Fijo_Puntual 20 0.104</v>
      </c>
      <c r="C1109" s="75" t="s">
        <v>173</v>
      </c>
      <c r="D1109" s="75" t="s">
        <v>132</v>
      </c>
      <c r="E1109" s="75" t="s">
        <v>179</v>
      </c>
      <c r="F1109" s="75" t="s">
        <v>172</v>
      </c>
      <c r="G1109" s="75"/>
      <c r="H1109" s="75"/>
      <c r="I1109" s="75" t="s">
        <v>171</v>
      </c>
      <c r="J1109" s="76">
        <v>20</v>
      </c>
      <c r="K1109" s="519">
        <v>3</v>
      </c>
      <c r="L1109" s="520">
        <v>10.27</v>
      </c>
      <c r="M1109" s="520">
        <v>10.93</v>
      </c>
      <c r="N1109" s="507">
        <v>0.104</v>
      </c>
      <c r="O1109" s="507">
        <v>0.10100000000000001</v>
      </c>
      <c r="P1109" s="507">
        <v>0.11600000000000001</v>
      </c>
      <c r="Q1109" s="78">
        <v>0.44</v>
      </c>
      <c r="R1109" s="78">
        <v>0.31740000000000002</v>
      </c>
      <c r="S1109" s="69">
        <v>0</v>
      </c>
      <c r="T1109" s="69">
        <v>0</v>
      </c>
      <c r="U1109" s="507">
        <v>0.85</v>
      </c>
      <c r="V1109" s="76">
        <v>0</v>
      </c>
      <c r="W1109" s="76">
        <v>0</v>
      </c>
      <c r="X1109" s="76"/>
      <c r="Y1109" s="519" t="s">
        <v>469</v>
      </c>
    </row>
    <row r="1110" spans="1:25" x14ac:dyDescent="0.25">
      <c r="A1110" s="75" t="str">
        <f t="shared" si="39"/>
        <v>Pago_de_Hipoteca PF No_Premier GSC Pago_Fijo_Puntual Si 15</v>
      </c>
      <c r="B1110" s="75" t="str">
        <f t="shared" si="38"/>
        <v>Pago_de_Hipoteca PF No_Premier GSC Pago_Fijo_Puntual Si 15 0.101</v>
      </c>
      <c r="C1110" s="75" t="s">
        <v>173</v>
      </c>
      <c r="D1110" s="75" t="s">
        <v>132</v>
      </c>
      <c r="E1110" s="75" t="s">
        <v>179</v>
      </c>
      <c r="F1110" s="75" t="s">
        <v>172</v>
      </c>
      <c r="G1110" s="75"/>
      <c r="H1110" s="75"/>
      <c r="I1110" s="75" t="s">
        <v>171</v>
      </c>
      <c r="J1110" s="76">
        <v>15</v>
      </c>
      <c r="K1110" s="519" t="s">
        <v>387</v>
      </c>
      <c r="L1110" s="520">
        <v>11.05</v>
      </c>
      <c r="M1110" s="520">
        <v>11.71</v>
      </c>
      <c r="N1110" s="507">
        <v>0.10100000000000001</v>
      </c>
      <c r="O1110" s="507">
        <v>9.8000000000000004E-2</v>
      </c>
      <c r="P1110" s="507">
        <v>0.11</v>
      </c>
      <c r="Q1110" s="78">
        <v>0.44</v>
      </c>
      <c r="R1110" s="78">
        <v>0.31740000000000002</v>
      </c>
      <c r="S1110" s="69">
        <v>0</v>
      </c>
      <c r="T1110" s="69">
        <v>0</v>
      </c>
      <c r="U1110" s="507">
        <v>0.85</v>
      </c>
      <c r="V1110" s="76">
        <v>0</v>
      </c>
      <c r="W1110" s="76">
        <v>0</v>
      </c>
      <c r="X1110" s="76" t="s">
        <v>147</v>
      </c>
      <c r="Y1110" s="519" t="s">
        <v>469</v>
      </c>
    </row>
    <row r="1111" spans="1:25" x14ac:dyDescent="0.25">
      <c r="A1111" s="75" t="str">
        <f t="shared" si="39"/>
        <v>Pago_de_Hipoteca PF No_Premier GSC Pago_Fijo_Puntual 15</v>
      </c>
      <c r="B1111" s="75" t="str">
        <f t="shared" si="38"/>
        <v>Pago_de_Hipoteca PF No_Premier GSC Pago_Fijo_Puntual 15 0.104</v>
      </c>
      <c r="C1111" s="75" t="s">
        <v>173</v>
      </c>
      <c r="D1111" s="75" t="s">
        <v>132</v>
      </c>
      <c r="E1111" s="75" t="s">
        <v>179</v>
      </c>
      <c r="F1111" s="75" t="s">
        <v>172</v>
      </c>
      <c r="G1111" s="75"/>
      <c r="H1111" s="75"/>
      <c r="I1111" s="75" t="s">
        <v>171</v>
      </c>
      <c r="J1111" s="76">
        <v>15</v>
      </c>
      <c r="K1111" s="519">
        <v>3</v>
      </c>
      <c r="L1111" s="520">
        <v>11.26</v>
      </c>
      <c r="M1111" s="520">
        <v>11.92</v>
      </c>
      <c r="N1111" s="507">
        <v>0.104</v>
      </c>
      <c r="O1111" s="507">
        <v>0.10100000000000001</v>
      </c>
      <c r="P1111" s="507">
        <v>0.11600000000000001</v>
      </c>
      <c r="Q1111" s="78">
        <v>0.44</v>
      </c>
      <c r="R1111" s="78">
        <v>0.31740000000000002</v>
      </c>
      <c r="S1111" s="69">
        <v>0</v>
      </c>
      <c r="T1111" s="69">
        <v>0</v>
      </c>
      <c r="U1111" s="507">
        <v>0.85</v>
      </c>
      <c r="V1111" s="76">
        <v>0</v>
      </c>
      <c r="W1111" s="76">
        <v>0</v>
      </c>
      <c r="X1111" s="76"/>
      <c r="Y1111" s="519" t="s">
        <v>469</v>
      </c>
    </row>
    <row r="1112" spans="1:25" x14ac:dyDescent="0.25">
      <c r="A1112" s="75" t="str">
        <f t="shared" si="39"/>
        <v>Pago_de_Hipoteca PF No_Premier GSC Pago_Fijo_Puntual Si 10</v>
      </c>
      <c r="B1112" s="75" t="str">
        <f t="shared" si="38"/>
        <v>Pago_de_Hipoteca PF No_Premier GSC Pago_Fijo_Puntual Si 10 0.101</v>
      </c>
      <c r="C1112" s="75" t="s">
        <v>173</v>
      </c>
      <c r="D1112" s="75" t="s">
        <v>132</v>
      </c>
      <c r="E1112" s="75" t="s">
        <v>179</v>
      </c>
      <c r="F1112" s="75" t="s">
        <v>172</v>
      </c>
      <c r="G1112" s="75"/>
      <c r="H1112" s="75"/>
      <c r="I1112" s="75" t="s">
        <v>171</v>
      </c>
      <c r="J1112" s="76">
        <v>10</v>
      </c>
      <c r="K1112" s="519" t="s">
        <v>387</v>
      </c>
      <c r="L1112" s="520">
        <v>13.42</v>
      </c>
      <c r="M1112" s="520">
        <v>14.08</v>
      </c>
      <c r="N1112" s="507">
        <v>0.10100000000000001</v>
      </c>
      <c r="O1112" s="507">
        <v>9.8000000000000004E-2</v>
      </c>
      <c r="P1112" s="507">
        <v>0.11</v>
      </c>
      <c r="Q1112" s="78">
        <v>0.44</v>
      </c>
      <c r="R1112" s="78">
        <v>0.31740000000000002</v>
      </c>
      <c r="S1112" s="69">
        <v>0</v>
      </c>
      <c r="T1112" s="69">
        <v>0</v>
      </c>
      <c r="U1112" s="507">
        <v>0.85</v>
      </c>
      <c r="V1112" s="76">
        <v>0</v>
      </c>
      <c r="W1112" s="76">
        <v>0</v>
      </c>
      <c r="X1112" s="76" t="s">
        <v>147</v>
      </c>
      <c r="Y1112" s="519" t="s">
        <v>469</v>
      </c>
    </row>
    <row r="1113" spans="1:25" x14ac:dyDescent="0.25">
      <c r="A1113" s="75" t="str">
        <f t="shared" si="39"/>
        <v>Pago_de_Hipoteca PF No_Premier GSC Pago_Fijo_Puntual 10</v>
      </c>
      <c r="B1113" s="75" t="str">
        <f t="shared" si="38"/>
        <v>Pago_de_Hipoteca PF No_Premier GSC Pago_Fijo_Puntual 10 0.104</v>
      </c>
      <c r="C1113" s="75" t="s">
        <v>173</v>
      </c>
      <c r="D1113" s="75" t="s">
        <v>132</v>
      </c>
      <c r="E1113" s="75" t="s">
        <v>179</v>
      </c>
      <c r="F1113" s="75" t="s">
        <v>172</v>
      </c>
      <c r="G1113" s="75"/>
      <c r="H1113" s="75"/>
      <c r="I1113" s="75" t="s">
        <v>171</v>
      </c>
      <c r="J1113" s="76">
        <v>10</v>
      </c>
      <c r="K1113" s="519">
        <v>3</v>
      </c>
      <c r="L1113" s="520">
        <v>13.59</v>
      </c>
      <c r="M1113" s="520">
        <v>14.25</v>
      </c>
      <c r="N1113" s="507">
        <v>0.104</v>
      </c>
      <c r="O1113" s="507">
        <v>0.10100000000000001</v>
      </c>
      <c r="P1113" s="507">
        <v>0.11600000000000001</v>
      </c>
      <c r="Q1113" s="78">
        <v>0.44</v>
      </c>
      <c r="R1113" s="78">
        <v>0.31740000000000002</v>
      </c>
      <c r="S1113" s="69">
        <v>0</v>
      </c>
      <c r="T1113" s="69">
        <v>0</v>
      </c>
      <c r="U1113" s="507">
        <v>0.85</v>
      </c>
      <c r="V1113" s="76">
        <v>0</v>
      </c>
      <c r="W1113" s="76">
        <v>0</v>
      </c>
      <c r="X1113" s="76"/>
      <c r="Y1113" s="519" t="s">
        <v>469</v>
      </c>
    </row>
    <row r="1114" spans="1:25" x14ac:dyDescent="0.25">
      <c r="A1114" s="75" t="str">
        <f t="shared" si="39"/>
        <v>Pago_de_Hipoteca PF No_Premier GSC Pago_Fijo_Puntual Si 5</v>
      </c>
      <c r="B1114" s="75" t="str">
        <f t="shared" si="38"/>
        <v>Pago_de_Hipoteca PF No_Premier GSC Pago_Fijo_Puntual Si 5 0.101</v>
      </c>
      <c r="C1114" s="75" t="s">
        <v>173</v>
      </c>
      <c r="D1114" s="75" t="s">
        <v>132</v>
      </c>
      <c r="E1114" s="75" t="s">
        <v>179</v>
      </c>
      <c r="F1114" s="75" t="s">
        <v>172</v>
      </c>
      <c r="G1114" s="75"/>
      <c r="H1114" s="75"/>
      <c r="I1114" s="75" t="s">
        <v>171</v>
      </c>
      <c r="J1114" s="76">
        <v>5</v>
      </c>
      <c r="K1114" s="519" t="s">
        <v>387</v>
      </c>
      <c r="L1114" s="520">
        <v>21.34</v>
      </c>
      <c r="M1114" s="520">
        <v>22</v>
      </c>
      <c r="N1114" s="507">
        <v>0.10100000000000001</v>
      </c>
      <c r="O1114" s="507">
        <v>9.8000000000000004E-2</v>
      </c>
      <c r="P1114" s="507">
        <v>0.11</v>
      </c>
      <c r="Q1114" s="78">
        <v>0.44</v>
      </c>
      <c r="R1114" s="78">
        <v>0.31740000000000002</v>
      </c>
      <c r="S1114" s="69">
        <v>0</v>
      </c>
      <c r="T1114" s="69">
        <v>0</v>
      </c>
      <c r="U1114" s="507">
        <v>0.85</v>
      </c>
      <c r="V1114" s="76">
        <v>0</v>
      </c>
      <c r="W1114" s="76">
        <v>0</v>
      </c>
      <c r="X1114" s="76" t="s">
        <v>147</v>
      </c>
      <c r="Y1114" s="519" t="s">
        <v>469</v>
      </c>
    </row>
    <row r="1115" spans="1:25" x14ac:dyDescent="0.25">
      <c r="A1115" s="75" t="str">
        <f t="shared" si="39"/>
        <v>Pago_de_Hipoteca PF No_Premier GSC Pago_Fijo_Puntual 5</v>
      </c>
      <c r="B1115" s="75" t="str">
        <f t="shared" si="38"/>
        <v>Pago_de_Hipoteca PF No_Premier GSC Pago_Fijo_Puntual 5 0.104</v>
      </c>
      <c r="C1115" s="75" t="s">
        <v>173</v>
      </c>
      <c r="D1115" s="75" t="s">
        <v>132</v>
      </c>
      <c r="E1115" s="75" t="s">
        <v>179</v>
      </c>
      <c r="F1115" s="75" t="s">
        <v>172</v>
      </c>
      <c r="G1115" s="75"/>
      <c r="H1115" s="75"/>
      <c r="I1115" s="75" t="s">
        <v>171</v>
      </c>
      <c r="J1115" s="76">
        <v>5</v>
      </c>
      <c r="K1115" s="519">
        <v>3</v>
      </c>
      <c r="L1115" s="520">
        <v>21.49</v>
      </c>
      <c r="M1115" s="520">
        <v>22.15</v>
      </c>
      <c r="N1115" s="507">
        <v>0.104</v>
      </c>
      <c r="O1115" s="507">
        <v>0.10100000000000001</v>
      </c>
      <c r="P1115" s="507">
        <v>0.11600000000000001</v>
      </c>
      <c r="Q1115" s="78">
        <v>0.44</v>
      </c>
      <c r="R1115" s="78">
        <v>0.31740000000000002</v>
      </c>
      <c r="S1115" s="69">
        <v>0</v>
      </c>
      <c r="T1115" s="69">
        <v>0</v>
      </c>
      <c r="U1115" s="507">
        <v>0.85</v>
      </c>
      <c r="V1115" s="76">
        <v>0</v>
      </c>
      <c r="W1115" s="76">
        <v>0</v>
      </c>
      <c r="X1115" s="76"/>
      <c r="Y1115" s="519" t="s">
        <v>469</v>
      </c>
    </row>
    <row r="1116" spans="1:25" x14ac:dyDescent="0.25">
      <c r="A1116" s="75" t="str">
        <f t="shared" si="39"/>
        <v>Pago_de_Hipoteca PF No_Premier GSC Pago_Fijo_Puntual 20</v>
      </c>
      <c r="B1116" s="75" t="str">
        <f t="shared" si="38"/>
        <v>Pago_de_Hipoteca PF No_Premier GSC Pago_Fijo_Puntual 20 0.0945</v>
      </c>
      <c r="C1116" s="75" t="s">
        <v>173</v>
      </c>
      <c r="D1116" s="75" t="s">
        <v>132</v>
      </c>
      <c r="E1116" s="75" t="s">
        <v>179</v>
      </c>
      <c r="F1116" s="75" t="s">
        <v>172</v>
      </c>
      <c r="G1116" s="75"/>
      <c r="H1116" s="75"/>
      <c r="I1116" s="75" t="s">
        <v>171</v>
      </c>
      <c r="J1116" s="76">
        <v>20</v>
      </c>
      <c r="K1116" s="516" t="s">
        <v>385</v>
      </c>
      <c r="L1116" s="517">
        <v>9.5299999999999994</v>
      </c>
      <c r="M1116" s="517">
        <v>10.19</v>
      </c>
      <c r="N1116" s="518">
        <v>9.4500000000000001E-2</v>
      </c>
      <c r="O1116" s="518">
        <v>0.09</v>
      </c>
      <c r="P1116" s="518">
        <v>0.10050000000000001</v>
      </c>
      <c r="Q1116" s="78">
        <v>0.44</v>
      </c>
      <c r="R1116" s="78">
        <v>0.31740000000000002</v>
      </c>
      <c r="S1116" s="69">
        <v>0</v>
      </c>
      <c r="T1116" s="69">
        <v>0</v>
      </c>
      <c r="U1116" s="518">
        <v>0.7</v>
      </c>
      <c r="V1116" s="76">
        <v>0</v>
      </c>
      <c r="W1116" s="76">
        <v>0</v>
      </c>
      <c r="X1116" s="76"/>
      <c r="Y1116" s="516" t="s">
        <v>470</v>
      </c>
    </row>
    <row r="1117" spans="1:25" x14ac:dyDescent="0.25">
      <c r="A1117" s="75" t="str">
        <f t="shared" si="39"/>
        <v>Pago_de_Hipoteca PF No_Premier GSC Pago_Fijo_Puntual 20</v>
      </c>
      <c r="B1117" s="75" t="str">
        <f t="shared" si="38"/>
        <v>Pago_de_Hipoteca PF No_Premier GSC Pago_Fijo_Puntual 20 0.101</v>
      </c>
      <c r="C1117" s="75" t="s">
        <v>173</v>
      </c>
      <c r="D1117" s="75" t="s">
        <v>132</v>
      </c>
      <c r="E1117" s="75" t="s">
        <v>179</v>
      </c>
      <c r="F1117" s="75" t="s">
        <v>172</v>
      </c>
      <c r="G1117" s="75"/>
      <c r="H1117" s="75"/>
      <c r="I1117" s="75" t="s">
        <v>171</v>
      </c>
      <c r="J1117" s="76">
        <v>20</v>
      </c>
      <c r="K1117" s="516" t="s">
        <v>386</v>
      </c>
      <c r="L1117" s="517">
        <v>10.02</v>
      </c>
      <c r="M1117" s="517">
        <v>10.68</v>
      </c>
      <c r="N1117" s="518">
        <v>0.10100000000000001</v>
      </c>
      <c r="O1117" s="518">
        <v>9.8000000000000004E-2</v>
      </c>
      <c r="P1117" s="518">
        <v>0.11</v>
      </c>
      <c r="Q1117" s="78">
        <v>0.44</v>
      </c>
      <c r="R1117" s="78">
        <v>0.31740000000000002</v>
      </c>
      <c r="S1117" s="69">
        <v>0</v>
      </c>
      <c r="T1117" s="69">
        <v>0</v>
      </c>
      <c r="U1117" s="518">
        <v>0.7</v>
      </c>
      <c r="V1117" s="76">
        <v>0</v>
      </c>
      <c r="W1117" s="76">
        <v>0</v>
      </c>
      <c r="X1117" s="76"/>
      <c r="Y1117" s="516" t="s">
        <v>470</v>
      </c>
    </row>
    <row r="1118" spans="1:25" x14ac:dyDescent="0.25">
      <c r="A1118" s="75" t="str">
        <f t="shared" si="39"/>
        <v>Pago_de_Hipoteca PF No_Premier GSC Pago_Fijo_Puntual 15</v>
      </c>
      <c r="B1118" s="75" t="str">
        <f t="shared" si="38"/>
        <v>Pago_de_Hipoteca PF No_Premier GSC Pago_Fijo_Puntual 15 0.0945</v>
      </c>
      <c r="C1118" s="75" t="s">
        <v>173</v>
      </c>
      <c r="D1118" s="75" t="s">
        <v>132</v>
      </c>
      <c r="E1118" s="75" t="s">
        <v>179</v>
      </c>
      <c r="F1118" s="75" t="s">
        <v>172</v>
      </c>
      <c r="G1118" s="75"/>
      <c r="H1118" s="75"/>
      <c r="I1118" s="75" t="s">
        <v>171</v>
      </c>
      <c r="J1118" s="76">
        <v>15</v>
      </c>
      <c r="K1118" s="516" t="s">
        <v>385</v>
      </c>
      <c r="L1118" s="517">
        <v>10.61</v>
      </c>
      <c r="M1118" s="517">
        <v>11.27</v>
      </c>
      <c r="N1118" s="518">
        <v>9.4500000000000001E-2</v>
      </c>
      <c r="O1118" s="518">
        <v>0.09</v>
      </c>
      <c r="P1118" s="518">
        <v>0.10050000000000001</v>
      </c>
      <c r="Q1118" s="78">
        <v>0.44</v>
      </c>
      <c r="R1118" s="78">
        <v>0.31740000000000002</v>
      </c>
      <c r="S1118" s="69">
        <v>0</v>
      </c>
      <c r="T1118" s="69">
        <v>0</v>
      </c>
      <c r="U1118" s="518">
        <v>0.7</v>
      </c>
      <c r="V1118" s="76">
        <v>0</v>
      </c>
      <c r="W1118" s="76">
        <v>0</v>
      </c>
      <c r="X1118" s="76"/>
      <c r="Y1118" s="516" t="s">
        <v>470</v>
      </c>
    </row>
    <row r="1119" spans="1:25" x14ac:dyDescent="0.25">
      <c r="A1119" s="75" t="str">
        <f t="shared" si="39"/>
        <v>Pago_de_Hipoteca PF No_Premier GSC Pago_Fijo_Puntual 15</v>
      </c>
      <c r="B1119" s="75" t="str">
        <f t="shared" si="38"/>
        <v>Pago_de_Hipoteca PF No_Premier GSC Pago_Fijo_Puntual 15 0.101</v>
      </c>
      <c r="C1119" s="75" t="s">
        <v>173</v>
      </c>
      <c r="D1119" s="75" t="s">
        <v>132</v>
      </c>
      <c r="E1119" s="75" t="s">
        <v>179</v>
      </c>
      <c r="F1119" s="75" t="s">
        <v>172</v>
      </c>
      <c r="G1119" s="75"/>
      <c r="H1119" s="75"/>
      <c r="I1119" s="75" t="s">
        <v>171</v>
      </c>
      <c r="J1119" s="76">
        <v>15</v>
      </c>
      <c r="K1119" s="516" t="s">
        <v>386</v>
      </c>
      <c r="L1119" s="517">
        <v>11.05</v>
      </c>
      <c r="M1119" s="517">
        <v>11.71</v>
      </c>
      <c r="N1119" s="518">
        <v>0.10100000000000001</v>
      </c>
      <c r="O1119" s="518">
        <v>9.8000000000000004E-2</v>
      </c>
      <c r="P1119" s="518">
        <v>0.11</v>
      </c>
      <c r="Q1119" s="78">
        <v>0.44</v>
      </c>
      <c r="R1119" s="78">
        <v>0.31740000000000002</v>
      </c>
      <c r="S1119" s="69">
        <v>0</v>
      </c>
      <c r="T1119" s="69">
        <v>0</v>
      </c>
      <c r="U1119" s="518">
        <v>0.7</v>
      </c>
      <c r="V1119" s="76">
        <v>0</v>
      </c>
      <c r="W1119" s="76">
        <v>0</v>
      </c>
      <c r="X1119" s="76"/>
      <c r="Y1119" s="516" t="s">
        <v>470</v>
      </c>
    </row>
    <row r="1120" spans="1:25" x14ac:dyDescent="0.25">
      <c r="A1120" s="75" t="str">
        <f t="shared" si="39"/>
        <v>Pago_de_Hipoteca PF No_Premier GSC Pago_Fijo_Puntual 10</v>
      </c>
      <c r="B1120" s="75" t="str">
        <f t="shared" si="38"/>
        <v>Pago_de_Hipoteca PF No_Premier GSC Pago_Fijo_Puntual 10 0.0945</v>
      </c>
      <c r="C1120" s="75" t="s">
        <v>173</v>
      </c>
      <c r="D1120" s="75" t="s">
        <v>132</v>
      </c>
      <c r="E1120" s="75" t="s">
        <v>179</v>
      </c>
      <c r="F1120" s="75" t="s">
        <v>172</v>
      </c>
      <c r="G1120" s="75"/>
      <c r="H1120" s="75"/>
      <c r="I1120" s="75" t="s">
        <v>171</v>
      </c>
      <c r="J1120" s="76">
        <v>10</v>
      </c>
      <c r="K1120" s="516" t="s">
        <v>385</v>
      </c>
      <c r="L1120" s="517">
        <v>13.05</v>
      </c>
      <c r="M1120" s="517">
        <v>13.71</v>
      </c>
      <c r="N1120" s="518">
        <v>9.4500000000000001E-2</v>
      </c>
      <c r="O1120" s="518">
        <v>0.09</v>
      </c>
      <c r="P1120" s="518">
        <v>0.10050000000000001</v>
      </c>
      <c r="Q1120" s="78">
        <v>0.44</v>
      </c>
      <c r="R1120" s="78">
        <v>0.31740000000000002</v>
      </c>
      <c r="S1120" s="69">
        <v>0</v>
      </c>
      <c r="T1120" s="69">
        <v>0</v>
      </c>
      <c r="U1120" s="518">
        <v>0.7</v>
      </c>
      <c r="V1120" s="76">
        <v>0</v>
      </c>
      <c r="W1120" s="76">
        <v>0</v>
      </c>
      <c r="X1120" s="76"/>
      <c r="Y1120" s="516" t="s">
        <v>470</v>
      </c>
    </row>
    <row r="1121" spans="1:25" x14ac:dyDescent="0.25">
      <c r="A1121" s="75" t="str">
        <f t="shared" si="39"/>
        <v>Pago_de_Hipoteca PF No_Premier GSC Pago_Fijo_Puntual 10</v>
      </c>
      <c r="B1121" s="75" t="str">
        <f t="shared" si="38"/>
        <v>Pago_de_Hipoteca PF No_Premier GSC Pago_Fijo_Puntual 10 0.101</v>
      </c>
      <c r="C1121" s="75" t="s">
        <v>173</v>
      </c>
      <c r="D1121" s="75" t="s">
        <v>132</v>
      </c>
      <c r="E1121" s="75" t="s">
        <v>179</v>
      </c>
      <c r="F1121" s="75" t="s">
        <v>172</v>
      </c>
      <c r="G1121" s="75"/>
      <c r="H1121" s="75"/>
      <c r="I1121" s="75" t="s">
        <v>171</v>
      </c>
      <c r="J1121" s="76">
        <v>10</v>
      </c>
      <c r="K1121" s="516" t="s">
        <v>386</v>
      </c>
      <c r="L1121" s="517">
        <v>13.42</v>
      </c>
      <c r="M1121" s="517">
        <v>14.08</v>
      </c>
      <c r="N1121" s="518">
        <v>0.10100000000000001</v>
      </c>
      <c r="O1121" s="518">
        <v>9.8000000000000004E-2</v>
      </c>
      <c r="P1121" s="518">
        <v>0.11</v>
      </c>
      <c r="Q1121" s="78">
        <v>0.44</v>
      </c>
      <c r="R1121" s="78">
        <v>0.31740000000000002</v>
      </c>
      <c r="S1121" s="69">
        <v>0</v>
      </c>
      <c r="T1121" s="69">
        <v>0</v>
      </c>
      <c r="U1121" s="518">
        <v>0.7</v>
      </c>
      <c r="V1121" s="76">
        <v>0</v>
      </c>
      <c r="W1121" s="76">
        <v>0</v>
      </c>
      <c r="X1121" s="76"/>
      <c r="Y1121" s="516" t="s">
        <v>470</v>
      </c>
    </row>
    <row r="1122" spans="1:25" x14ac:dyDescent="0.25">
      <c r="A1122" s="75" t="str">
        <f t="shared" si="39"/>
        <v>Pago_de_Hipoteca PF No_Premier GSC Pago_Fijo_Puntual 5</v>
      </c>
      <c r="B1122" s="75" t="str">
        <f t="shared" si="38"/>
        <v>Pago_de_Hipoteca PF No_Premier GSC Pago_Fijo_Puntual 5 0.0945</v>
      </c>
      <c r="C1122" s="75" t="s">
        <v>173</v>
      </c>
      <c r="D1122" s="75" t="s">
        <v>132</v>
      </c>
      <c r="E1122" s="75" t="s">
        <v>179</v>
      </c>
      <c r="F1122" s="75" t="s">
        <v>172</v>
      </c>
      <c r="G1122" s="75"/>
      <c r="H1122" s="75"/>
      <c r="I1122" s="75" t="s">
        <v>171</v>
      </c>
      <c r="J1122" s="76">
        <v>5</v>
      </c>
      <c r="K1122" s="516" t="s">
        <v>385</v>
      </c>
      <c r="L1122" s="517">
        <v>21.02</v>
      </c>
      <c r="M1122" s="517">
        <v>21.68</v>
      </c>
      <c r="N1122" s="518">
        <v>9.4500000000000001E-2</v>
      </c>
      <c r="O1122" s="518">
        <v>0.09</v>
      </c>
      <c r="P1122" s="518">
        <v>0.10050000000000001</v>
      </c>
      <c r="Q1122" s="78">
        <v>0.44</v>
      </c>
      <c r="R1122" s="78">
        <v>0.31740000000000002</v>
      </c>
      <c r="S1122" s="69">
        <v>0</v>
      </c>
      <c r="T1122" s="69">
        <v>0</v>
      </c>
      <c r="U1122" s="518">
        <v>0.7</v>
      </c>
      <c r="V1122" s="76">
        <v>0</v>
      </c>
      <c r="W1122" s="76">
        <v>0</v>
      </c>
      <c r="X1122" s="76"/>
      <c r="Y1122" s="516" t="s">
        <v>470</v>
      </c>
    </row>
    <row r="1123" spans="1:25" x14ac:dyDescent="0.25">
      <c r="A1123" s="75" t="str">
        <f t="shared" si="39"/>
        <v>Pago_de_Hipoteca PF No_Premier GSC Pago_Fijo_Puntual 5</v>
      </c>
      <c r="B1123" s="75" t="str">
        <f t="shared" si="38"/>
        <v>Pago_de_Hipoteca PF No_Premier GSC Pago_Fijo_Puntual 5 0.101</v>
      </c>
      <c r="C1123" s="75" t="s">
        <v>173</v>
      </c>
      <c r="D1123" s="75" t="s">
        <v>132</v>
      </c>
      <c r="E1123" s="75" t="s">
        <v>179</v>
      </c>
      <c r="F1123" s="75" t="s">
        <v>172</v>
      </c>
      <c r="G1123" s="75"/>
      <c r="H1123" s="75"/>
      <c r="I1123" s="75" t="s">
        <v>171</v>
      </c>
      <c r="J1123" s="76">
        <v>5</v>
      </c>
      <c r="K1123" s="516" t="s">
        <v>386</v>
      </c>
      <c r="L1123" s="517">
        <v>21.34</v>
      </c>
      <c r="M1123" s="517">
        <v>22</v>
      </c>
      <c r="N1123" s="518">
        <v>0.10100000000000001</v>
      </c>
      <c r="O1123" s="518">
        <v>9.8000000000000004E-2</v>
      </c>
      <c r="P1123" s="518">
        <v>0.11</v>
      </c>
      <c r="Q1123" s="78">
        <v>0.44</v>
      </c>
      <c r="R1123" s="78">
        <v>0.31740000000000002</v>
      </c>
      <c r="S1123" s="69">
        <v>0</v>
      </c>
      <c r="T1123" s="69">
        <v>0</v>
      </c>
      <c r="U1123" s="518">
        <v>0.7</v>
      </c>
      <c r="V1123" s="76">
        <v>0</v>
      </c>
      <c r="W1123" s="76">
        <v>0</v>
      </c>
      <c r="X1123" s="76"/>
      <c r="Y1123" s="516" t="s">
        <v>470</v>
      </c>
    </row>
    <row r="1124" spans="1:25" x14ac:dyDescent="0.25">
      <c r="A1124" s="75" t="str">
        <f t="shared" si="39"/>
        <v>Pago_de_Hipoteca PF No_Premier Nómina Pago_Fijo_Puntual Si 20</v>
      </c>
      <c r="B1124" s="75" t="str">
        <f t="shared" si="38"/>
        <v>Pago_de_Hipoteca PF No_Premier Nómina Pago_Fijo_Puntual Si 20 0.103</v>
      </c>
      <c r="C1124" s="75" t="s">
        <v>173</v>
      </c>
      <c r="D1124" s="75" t="s">
        <v>132</v>
      </c>
      <c r="E1124" s="75" t="s">
        <v>179</v>
      </c>
      <c r="F1124" s="75" t="s">
        <v>181</v>
      </c>
      <c r="G1124" s="75"/>
      <c r="H1124" s="75"/>
      <c r="I1124" s="75" t="s">
        <v>171</v>
      </c>
      <c r="J1124" s="76">
        <v>20</v>
      </c>
      <c r="K1124" s="519" t="s">
        <v>387</v>
      </c>
      <c r="L1124" s="520">
        <v>10.16</v>
      </c>
      <c r="M1124" s="520">
        <v>10.82</v>
      </c>
      <c r="N1124" s="507">
        <v>0.10299999999999999</v>
      </c>
      <c r="O1124" s="507">
        <v>0.1</v>
      </c>
      <c r="P1124" s="507">
        <v>0.112</v>
      </c>
      <c r="Q1124" s="78">
        <v>0.44</v>
      </c>
      <c r="R1124" s="78">
        <v>0.31740000000000002</v>
      </c>
      <c r="S1124" s="69">
        <v>0</v>
      </c>
      <c r="T1124" s="69">
        <v>0</v>
      </c>
      <c r="U1124" s="507">
        <v>0.85</v>
      </c>
      <c r="V1124" s="76">
        <v>0</v>
      </c>
      <c r="W1124" s="76">
        <v>0</v>
      </c>
      <c r="X1124" s="76" t="s">
        <v>147</v>
      </c>
      <c r="Y1124" s="519" t="s">
        <v>469</v>
      </c>
    </row>
    <row r="1125" spans="1:25" x14ac:dyDescent="0.25">
      <c r="A1125" s="75" t="str">
        <f t="shared" si="39"/>
        <v>Pago_de_Hipoteca PF No_Premier Nómina Pago_Fijo_Puntual 20</v>
      </c>
      <c r="B1125" s="75" t="str">
        <f t="shared" si="38"/>
        <v>Pago_de_Hipoteca PF No_Premier Nómina Pago_Fijo_Puntual 20 0.106</v>
      </c>
      <c r="C1125" s="75" t="s">
        <v>173</v>
      </c>
      <c r="D1125" s="75" t="s">
        <v>132</v>
      </c>
      <c r="E1125" s="75" t="s">
        <v>179</v>
      </c>
      <c r="F1125" s="75" t="s">
        <v>181</v>
      </c>
      <c r="G1125" s="75"/>
      <c r="H1125" s="75"/>
      <c r="I1125" s="75" t="s">
        <v>171</v>
      </c>
      <c r="J1125" s="76">
        <v>20</v>
      </c>
      <c r="K1125" s="519">
        <v>3</v>
      </c>
      <c r="L1125" s="520">
        <v>10.4</v>
      </c>
      <c r="M1125" s="520">
        <v>11.06</v>
      </c>
      <c r="N1125" s="507">
        <v>0.106</v>
      </c>
      <c r="O1125" s="507">
        <v>0.10299999999999999</v>
      </c>
      <c r="P1125" s="507">
        <v>0.11799999999999999</v>
      </c>
      <c r="Q1125" s="78">
        <v>0.44</v>
      </c>
      <c r="R1125" s="78">
        <v>0.31740000000000002</v>
      </c>
      <c r="S1125" s="69">
        <v>0</v>
      </c>
      <c r="T1125" s="69">
        <v>0</v>
      </c>
      <c r="U1125" s="507">
        <v>0.85</v>
      </c>
      <c r="V1125" s="76">
        <v>0</v>
      </c>
      <c r="W1125" s="76">
        <v>0</v>
      </c>
      <c r="X1125" s="76"/>
      <c r="Y1125" s="519" t="s">
        <v>469</v>
      </c>
    </row>
    <row r="1126" spans="1:25" x14ac:dyDescent="0.25">
      <c r="A1126" s="75" t="str">
        <f t="shared" si="39"/>
        <v>Pago_de_Hipoteca PF No_Premier Nómina Pago_Fijo_Puntual Si 19</v>
      </c>
      <c r="B1126" s="75" t="str">
        <f t="shared" ref="B1126:B1189" si="40">CONCATENATE(A1126," ",N1126)</f>
        <v>Pago_de_Hipoteca PF No_Premier Nómina Pago_Fijo_Puntual Si 19 0.103</v>
      </c>
      <c r="C1126" s="75" t="s">
        <v>173</v>
      </c>
      <c r="D1126" s="75" t="s">
        <v>132</v>
      </c>
      <c r="E1126" s="75" t="s">
        <v>179</v>
      </c>
      <c r="F1126" s="75" t="s">
        <v>181</v>
      </c>
      <c r="G1126" s="75"/>
      <c r="H1126" s="75"/>
      <c r="I1126" s="75" t="s">
        <v>171</v>
      </c>
      <c r="J1126" s="76">
        <v>19</v>
      </c>
      <c r="K1126" s="519" t="s">
        <v>387</v>
      </c>
      <c r="L1126" s="520">
        <v>10.3</v>
      </c>
      <c r="M1126" s="520">
        <v>10.96</v>
      </c>
      <c r="N1126" s="507">
        <v>0.10299999999999999</v>
      </c>
      <c r="O1126" s="507">
        <v>0.1</v>
      </c>
      <c r="P1126" s="507">
        <v>0.112</v>
      </c>
      <c r="Q1126" s="78">
        <v>0.44</v>
      </c>
      <c r="R1126" s="78">
        <v>0.31740000000000002</v>
      </c>
      <c r="S1126" s="69">
        <v>0</v>
      </c>
      <c r="T1126" s="69">
        <v>0</v>
      </c>
      <c r="U1126" s="507">
        <v>0.85</v>
      </c>
      <c r="V1126" s="76">
        <v>0</v>
      </c>
      <c r="W1126" s="76">
        <v>0</v>
      </c>
      <c r="X1126" s="76" t="s">
        <v>147</v>
      </c>
      <c r="Y1126" s="519" t="s">
        <v>469</v>
      </c>
    </row>
    <row r="1127" spans="1:25" x14ac:dyDescent="0.25">
      <c r="A1127" s="75" t="str">
        <f t="shared" ref="A1127:A1190" si="41">TRIM(CONCATENATE(C1127," ",D1127," ",E1127," ",F1127," ",G1127," ",I1127," ",X1127," ",J1127))</f>
        <v>Pago_de_Hipoteca PF No_Premier Nómina Pago_Fijo_Puntual 19</v>
      </c>
      <c r="B1127" s="75" t="str">
        <f t="shared" si="40"/>
        <v>Pago_de_Hipoteca PF No_Premier Nómina Pago_Fijo_Puntual 19 0.106</v>
      </c>
      <c r="C1127" s="75" t="s">
        <v>173</v>
      </c>
      <c r="D1127" s="75" t="s">
        <v>132</v>
      </c>
      <c r="E1127" s="75" t="s">
        <v>179</v>
      </c>
      <c r="F1127" s="75" t="s">
        <v>181</v>
      </c>
      <c r="G1127" s="75"/>
      <c r="H1127" s="75"/>
      <c r="I1127" s="75" t="s">
        <v>171</v>
      </c>
      <c r="J1127" s="76">
        <v>19</v>
      </c>
      <c r="K1127" s="519">
        <v>3</v>
      </c>
      <c r="L1127" s="520">
        <v>10.54</v>
      </c>
      <c r="M1127" s="520">
        <v>11.2</v>
      </c>
      <c r="N1127" s="507">
        <v>0.106</v>
      </c>
      <c r="O1127" s="507">
        <v>0.10299999999999999</v>
      </c>
      <c r="P1127" s="507">
        <v>0.11799999999999999</v>
      </c>
      <c r="Q1127" s="78">
        <v>0.44</v>
      </c>
      <c r="R1127" s="78">
        <v>0.31740000000000002</v>
      </c>
      <c r="S1127" s="69">
        <v>0</v>
      </c>
      <c r="T1127" s="69">
        <v>0</v>
      </c>
      <c r="U1127" s="507">
        <v>0.85</v>
      </c>
      <c r="V1127" s="76">
        <v>0</v>
      </c>
      <c r="W1127" s="76">
        <v>0</v>
      </c>
      <c r="X1127" s="76"/>
      <c r="Y1127" s="519" t="s">
        <v>469</v>
      </c>
    </row>
    <row r="1128" spans="1:25" x14ac:dyDescent="0.25">
      <c r="A1128" s="75" t="str">
        <f t="shared" si="41"/>
        <v>Pago_de_Hipoteca PF No_Premier Nómina Pago_Fijo_Puntual Si 18</v>
      </c>
      <c r="B1128" s="75" t="str">
        <f t="shared" si="40"/>
        <v>Pago_de_Hipoteca PF No_Premier Nómina Pago_Fijo_Puntual Si 18 0.103</v>
      </c>
      <c r="C1128" s="75" t="s">
        <v>173</v>
      </c>
      <c r="D1128" s="75" t="s">
        <v>132</v>
      </c>
      <c r="E1128" s="75" t="s">
        <v>179</v>
      </c>
      <c r="F1128" s="75" t="s">
        <v>181</v>
      </c>
      <c r="G1128" s="75"/>
      <c r="H1128" s="75"/>
      <c r="I1128" s="75" t="s">
        <v>171</v>
      </c>
      <c r="J1128" s="76">
        <v>18</v>
      </c>
      <c r="K1128" s="519" t="s">
        <v>387</v>
      </c>
      <c r="L1128" s="520">
        <v>10.47</v>
      </c>
      <c r="M1128" s="520">
        <v>11.13</v>
      </c>
      <c r="N1128" s="507">
        <v>0.10299999999999999</v>
      </c>
      <c r="O1128" s="507">
        <v>0.1</v>
      </c>
      <c r="P1128" s="507">
        <v>0.112</v>
      </c>
      <c r="Q1128" s="78">
        <v>0.44</v>
      </c>
      <c r="R1128" s="78">
        <v>0.31740000000000002</v>
      </c>
      <c r="S1128" s="69">
        <v>0</v>
      </c>
      <c r="T1128" s="69">
        <v>0</v>
      </c>
      <c r="U1128" s="507">
        <v>0.85</v>
      </c>
      <c r="V1128" s="76">
        <v>0</v>
      </c>
      <c r="W1128" s="76">
        <v>0</v>
      </c>
      <c r="X1128" s="76" t="s">
        <v>147</v>
      </c>
      <c r="Y1128" s="519" t="s">
        <v>469</v>
      </c>
    </row>
    <row r="1129" spans="1:25" x14ac:dyDescent="0.25">
      <c r="A1129" s="75" t="str">
        <f t="shared" si="41"/>
        <v>Pago_de_Hipoteca PF No_Premier Nómina Pago_Fijo_Puntual 18</v>
      </c>
      <c r="B1129" s="75" t="str">
        <f t="shared" si="40"/>
        <v>Pago_de_Hipoteca PF No_Premier Nómina Pago_Fijo_Puntual 18 0.106</v>
      </c>
      <c r="C1129" s="75" t="s">
        <v>173</v>
      </c>
      <c r="D1129" s="75" t="s">
        <v>132</v>
      </c>
      <c r="E1129" s="75" t="s">
        <v>179</v>
      </c>
      <c r="F1129" s="75" t="s">
        <v>181</v>
      </c>
      <c r="G1129" s="75"/>
      <c r="H1129" s="75"/>
      <c r="I1129" s="75" t="s">
        <v>171</v>
      </c>
      <c r="J1129" s="76">
        <v>18</v>
      </c>
      <c r="K1129" s="519">
        <v>3</v>
      </c>
      <c r="L1129" s="520">
        <v>10.71</v>
      </c>
      <c r="M1129" s="520">
        <v>11.37</v>
      </c>
      <c r="N1129" s="507">
        <v>0.106</v>
      </c>
      <c r="O1129" s="507">
        <v>0.10299999999999999</v>
      </c>
      <c r="P1129" s="507">
        <v>0.11799999999999999</v>
      </c>
      <c r="Q1129" s="78">
        <v>0.44</v>
      </c>
      <c r="R1129" s="78">
        <v>0.31740000000000002</v>
      </c>
      <c r="S1129" s="69">
        <v>0</v>
      </c>
      <c r="T1129" s="69">
        <v>0</v>
      </c>
      <c r="U1129" s="507">
        <v>0.85</v>
      </c>
      <c r="V1129" s="76">
        <v>0</v>
      </c>
      <c r="W1129" s="76">
        <v>0</v>
      </c>
      <c r="X1129" s="76"/>
      <c r="Y1129" s="519" t="s">
        <v>469</v>
      </c>
    </row>
    <row r="1130" spans="1:25" x14ac:dyDescent="0.25">
      <c r="A1130" s="75" t="str">
        <f t="shared" si="41"/>
        <v>Pago_de_Hipoteca PF No_Premier Nómina Pago_Fijo_Puntual Si 17</v>
      </c>
      <c r="B1130" s="75" t="str">
        <f t="shared" si="40"/>
        <v>Pago_de_Hipoteca PF No_Premier Nómina Pago_Fijo_Puntual Si 17 0.103</v>
      </c>
      <c r="C1130" s="75" t="s">
        <v>173</v>
      </c>
      <c r="D1130" s="75" t="s">
        <v>132</v>
      </c>
      <c r="E1130" s="75" t="s">
        <v>179</v>
      </c>
      <c r="F1130" s="75" t="s">
        <v>181</v>
      </c>
      <c r="G1130" s="75"/>
      <c r="H1130" s="75"/>
      <c r="I1130" s="75" t="s">
        <v>171</v>
      </c>
      <c r="J1130" s="76">
        <v>17</v>
      </c>
      <c r="K1130" s="519" t="s">
        <v>387</v>
      </c>
      <c r="L1130" s="520">
        <v>10.67</v>
      </c>
      <c r="M1130" s="520">
        <v>11.33</v>
      </c>
      <c r="N1130" s="507">
        <v>0.10299999999999999</v>
      </c>
      <c r="O1130" s="507">
        <v>0.1</v>
      </c>
      <c r="P1130" s="507">
        <v>0.112</v>
      </c>
      <c r="Q1130" s="78">
        <v>0.44</v>
      </c>
      <c r="R1130" s="78">
        <v>0.31740000000000002</v>
      </c>
      <c r="S1130" s="69">
        <v>0</v>
      </c>
      <c r="T1130" s="69">
        <v>0</v>
      </c>
      <c r="U1130" s="507">
        <v>0.85</v>
      </c>
      <c r="V1130" s="76">
        <v>0</v>
      </c>
      <c r="W1130" s="76">
        <v>0</v>
      </c>
      <c r="X1130" s="76" t="s">
        <v>147</v>
      </c>
      <c r="Y1130" s="519" t="s">
        <v>469</v>
      </c>
    </row>
    <row r="1131" spans="1:25" x14ac:dyDescent="0.25">
      <c r="A1131" s="75" t="str">
        <f t="shared" si="41"/>
        <v>Pago_de_Hipoteca PF No_Premier Nómina Pago_Fijo_Puntual 17</v>
      </c>
      <c r="B1131" s="75" t="str">
        <f t="shared" si="40"/>
        <v>Pago_de_Hipoteca PF No_Premier Nómina Pago_Fijo_Puntual 17 0.106</v>
      </c>
      <c r="C1131" s="75" t="s">
        <v>173</v>
      </c>
      <c r="D1131" s="75" t="s">
        <v>132</v>
      </c>
      <c r="E1131" s="75" t="s">
        <v>179</v>
      </c>
      <c r="F1131" s="75" t="s">
        <v>181</v>
      </c>
      <c r="G1131" s="75"/>
      <c r="H1131" s="75"/>
      <c r="I1131" s="75" t="s">
        <v>171</v>
      </c>
      <c r="J1131" s="76">
        <v>17</v>
      </c>
      <c r="K1131" s="519">
        <v>3</v>
      </c>
      <c r="L1131" s="520">
        <v>10.9</v>
      </c>
      <c r="M1131" s="520">
        <v>11.56</v>
      </c>
      <c r="N1131" s="507">
        <v>0.106</v>
      </c>
      <c r="O1131" s="507">
        <v>0.10299999999999999</v>
      </c>
      <c r="P1131" s="507">
        <v>0.11799999999999999</v>
      </c>
      <c r="Q1131" s="78">
        <v>0.44</v>
      </c>
      <c r="R1131" s="78">
        <v>0.31740000000000002</v>
      </c>
      <c r="S1131" s="69">
        <v>0</v>
      </c>
      <c r="T1131" s="69">
        <v>0</v>
      </c>
      <c r="U1131" s="507">
        <v>0.85</v>
      </c>
      <c r="V1131" s="76">
        <v>0</v>
      </c>
      <c r="W1131" s="76">
        <v>0</v>
      </c>
      <c r="X1131" s="76"/>
      <c r="Y1131" s="519" t="s">
        <v>469</v>
      </c>
    </row>
    <row r="1132" spans="1:25" x14ac:dyDescent="0.25">
      <c r="A1132" s="75" t="str">
        <f t="shared" si="41"/>
        <v>Pago_de_Hipoteca PF No_Premier Nómina Pago_Fijo_Puntual Si 16</v>
      </c>
      <c r="B1132" s="75" t="str">
        <f t="shared" si="40"/>
        <v>Pago_de_Hipoteca PF No_Premier Nómina Pago_Fijo_Puntual Si 16 0.103</v>
      </c>
      <c r="C1132" s="75" t="s">
        <v>173</v>
      </c>
      <c r="D1132" s="75" t="s">
        <v>132</v>
      </c>
      <c r="E1132" s="75" t="s">
        <v>179</v>
      </c>
      <c r="F1132" s="75" t="s">
        <v>181</v>
      </c>
      <c r="G1132" s="75"/>
      <c r="H1132" s="75"/>
      <c r="I1132" s="75" t="s">
        <v>171</v>
      </c>
      <c r="J1132" s="76">
        <v>16</v>
      </c>
      <c r="K1132" s="519" t="s">
        <v>387</v>
      </c>
      <c r="L1132" s="520">
        <v>10.9</v>
      </c>
      <c r="M1132" s="520">
        <v>11.56</v>
      </c>
      <c r="N1132" s="507">
        <v>0.10299999999999999</v>
      </c>
      <c r="O1132" s="507">
        <v>0.1</v>
      </c>
      <c r="P1132" s="507">
        <v>0.112</v>
      </c>
      <c r="Q1132" s="78">
        <v>0.44</v>
      </c>
      <c r="R1132" s="78">
        <v>0.31740000000000002</v>
      </c>
      <c r="S1132" s="69">
        <v>0</v>
      </c>
      <c r="T1132" s="69">
        <v>0</v>
      </c>
      <c r="U1132" s="507">
        <v>0.85</v>
      </c>
      <c r="V1132" s="76">
        <v>0</v>
      </c>
      <c r="W1132" s="76">
        <v>0</v>
      </c>
      <c r="X1132" s="76" t="s">
        <v>147</v>
      </c>
      <c r="Y1132" s="519" t="s">
        <v>469</v>
      </c>
    </row>
    <row r="1133" spans="1:25" x14ac:dyDescent="0.25">
      <c r="A1133" s="75" t="str">
        <f t="shared" si="41"/>
        <v>Pago_de_Hipoteca PF No_Premier Nómina Pago_Fijo_Puntual 16</v>
      </c>
      <c r="B1133" s="75" t="str">
        <f t="shared" si="40"/>
        <v>Pago_de_Hipoteca PF No_Premier Nómina Pago_Fijo_Puntual 16 0.106</v>
      </c>
      <c r="C1133" s="75" t="s">
        <v>173</v>
      </c>
      <c r="D1133" s="75" t="s">
        <v>132</v>
      </c>
      <c r="E1133" s="75" t="s">
        <v>179</v>
      </c>
      <c r="F1133" s="75" t="s">
        <v>181</v>
      </c>
      <c r="G1133" s="75"/>
      <c r="H1133" s="75"/>
      <c r="I1133" s="75" t="s">
        <v>171</v>
      </c>
      <c r="J1133" s="76">
        <v>16</v>
      </c>
      <c r="K1133" s="519">
        <v>3</v>
      </c>
      <c r="L1133" s="520">
        <v>11.12</v>
      </c>
      <c r="M1133" s="520">
        <v>11.78</v>
      </c>
      <c r="N1133" s="507">
        <v>0.106</v>
      </c>
      <c r="O1133" s="507">
        <v>0.10299999999999999</v>
      </c>
      <c r="P1133" s="507">
        <v>0.11799999999999999</v>
      </c>
      <c r="Q1133" s="78">
        <v>0.44</v>
      </c>
      <c r="R1133" s="78">
        <v>0.31740000000000002</v>
      </c>
      <c r="S1133" s="69">
        <v>0</v>
      </c>
      <c r="T1133" s="69">
        <v>0</v>
      </c>
      <c r="U1133" s="507">
        <v>0.85</v>
      </c>
      <c r="V1133" s="76">
        <v>0</v>
      </c>
      <c r="W1133" s="76">
        <v>0</v>
      </c>
      <c r="X1133" s="76"/>
      <c r="Y1133" s="519" t="s">
        <v>469</v>
      </c>
    </row>
    <row r="1134" spans="1:25" x14ac:dyDescent="0.25">
      <c r="A1134" s="75" t="str">
        <f t="shared" si="41"/>
        <v>Pago_de_Hipoteca PF No_Premier Nómina Pago_Fijo_Puntual Si 15</v>
      </c>
      <c r="B1134" s="75" t="str">
        <f t="shared" si="40"/>
        <v>Pago_de_Hipoteca PF No_Premier Nómina Pago_Fijo_Puntual Si 15 0.103</v>
      </c>
      <c r="C1134" s="75" t="s">
        <v>173</v>
      </c>
      <c r="D1134" s="75" t="s">
        <v>132</v>
      </c>
      <c r="E1134" s="75" t="s">
        <v>179</v>
      </c>
      <c r="F1134" s="75" t="s">
        <v>181</v>
      </c>
      <c r="G1134" s="75"/>
      <c r="H1134" s="75"/>
      <c r="I1134" s="75" t="s">
        <v>171</v>
      </c>
      <c r="J1134" s="76">
        <v>15</v>
      </c>
      <c r="K1134" s="519" t="s">
        <v>387</v>
      </c>
      <c r="L1134" s="520">
        <v>11.18</v>
      </c>
      <c r="M1134" s="520">
        <v>11.84</v>
      </c>
      <c r="N1134" s="507">
        <v>0.10299999999999999</v>
      </c>
      <c r="O1134" s="507">
        <v>0.1</v>
      </c>
      <c r="P1134" s="507">
        <v>0.112</v>
      </c>
      <c r="Q1134" s="78">
        <v>0.44</v>
      </c>
      <c r="R1134" s="78">
        <v>0.31740000000000002</v>
      </c>
      <c r="S1134" s="69">
        <v>0</v>
      </c>
      <c r="T1134" s="69">
        <v>0</v>
      </c>
      <c r="U1134" s="507">
        <v>0.85</v>
      </c>
      <c r="V1134" s="76">
        <v>0</v>
      </c>
      <c r="W1134" s="76">
        <v>0</v>
      </c>
      <c r="X1134" s="76" t="s">
        <v>147</v>
      </c>
      <c r="Y1134" s="519" t="s">
        <v>469</v>
      </c>
    </row>
    <row r="1135" spans="1:25" x14ac:dyDescent="0.25">
      <c r="A1135" s="75" t="str">
        <f t="shared" si="41"/>
        <v>Pago_de_Hipoteca PF No_Premier Nómina Pago_Fijo_Puntual 15</v>
      </c>
      <c r="B1135" s="75" t="str">
        <f t="shared" si="40"/>
        <v>Pago_de_Hipoteca PF No_Premier Nómina Pago_Fijo_Puntual 15 0.106</v>
      </c>
      <c r="C1135" s="75" t="s">
        <v>173</v>
      </c>
      <c r="D1135" s="75" t="s">
        <v>132</v>
      </c>
      <c r="E1135" s="75" t="s">
        <v>179</v>
      </c>
      <c r="F1135" s="75" t="s">
        <v>181</v>
      </c>
      <c r="G1135" s="75"/>
      <c r="H1135" s="75"/>
      <c r="I1135" s="75" t="s">
        <v>171</v>
      </c>
      <c r="J1135" s="76">
        <v>15</v>
      </c>
      <c r="K1135" s="519">
        <v>3</v>
      </c>
      <c r="L1135" s="520">
        <v>11.38</v>
      </c>
      <c r="M1135" s="520">
        <v>12.04</v>
      </c>
      <c r="N1135" s="507">
        <v>0.106</v>
      </c>
      <c r="O1135" s="507">
        <v>0.10299999999999999</v>
      </c>
      <c r="P1135" s="507">
        <v>0.11799999999999999</v>
      </c>
      <c r="Q1135" s="78">
        <v>0.44</v>
      </c>
      <c r="R1135" s="78">
        <v>0.31740000000000002</v>
      </c>
      <c r="S1135" s="69">
        <v>0</v>
      </c>
      <c r="T1135" s="69">
        <v>0</v>
      </c>
      <c r="U1135" s="507">
        <v>0.85</v>
      </c>
      <c r="V1135" s="76">
        <v>0</v>
      </c>
      <c r="W1135" s="76">
        <v>0</v>
      </c>
      <c r="X1135" s="76"/>
      <c r="Y1135" s="519" t="s">
        <v>469</v>
      </c>
    </row>
    <row r="1136" spans="1:25" x14ac:dyDescent="0.25">
      <c r="A1136" s="75" t="str">
        <f t="shared" si="41"/>
        <v>Pago_de_Hipoteca PF No_Premier Nómina Pago_Fijo_Puntual Si 14</v>
      </c>
      <c r="B1136" s="75" t="str">
        <f t="shared" si="40"/>
        <v>Pago_de_Hipoteca PF No_Premier Nómina Pago_Fijo_Puntual Si 14 0.103</v>
      </c>
      <c r="C1136" s="75" t="s">
        <v>173</v>
      </c>
      <c r="D1136" s="75" t="s">
        <v>132</v>
      </c>
      <c r="E1136" s="75" t="s">
        <v>179</v>
      </c>
      <c r="F1136" s="75" t="s">
        <v>181</v>
      </c>
      <c r="G1136" s="75"/>
      <c r="H1136" s="75"/>
      <c r="I1136" s="75" t="s">
        <v>171</v>
      </c>
      <c r="J1136" s="76">
        <v>14</v>
      </c>
      <c r="K1136" s="519" t="s">
        <v>387</v>
      </c>
      <c r="L1136" s="520">
        <v>11.49</v>
      </c>
      <c r="M1136" s="520">
        <v>12.15</v>
      </c>
      <c r="N1136" s="507">
        <v>0.10299999999999999</v>
      </c>
      <c r="O1136" s="507">
        <v>0.1</v>
      </c>
      <c r="P1136" s="507">
        <v>0.112</v>
      </c>
      <c r="Q1136" s="78">
        <v>0.44</v>
      </c>
      <c r="R1136" s="78">
        <v>0.31740000000000002</v>
      </c>
      <c r="S1136" s="69">
        <v>0</v>
      </c>
      <c r="T1136" s="69">
        <v>0</v>
      </c>
      <c r="U1136" s="507">
        <v>0.85</v>
      </c>
      <c r="V1136" s="76">
        <v>0</v>
      </c>
      <c r="W1136" s="76">
        <v>0</v>
      </c>
      <c r="X1136" s="76" t="s">
        <v>147</v>
      </c>
      <c r="Y1136" s="519" t="s">
        <v>469</v>
      </c>
    </row>
    <row r="1137" spans="1:25" x14ac:dyDescent="0.25">
      <c r="A1137" s="75" t="str">
        <f t="shared" si="41"/>
        <v>Pago_de_Hipoteca PF No_Premier Nómina Pago_Fijo_Puntual 14</v>
      </c>
      <c r="B1137" s="75" t="str">
        <f t="shared" si="40"/>
        <v>Pago_de_Hipoteca PF No_Premier Nómina Pago_Fijo_Puntual 14 0.106</v>
      </c>
      <c r="C1137" s="75" t="s">
        <v>173</v>
      </c>
      <c r="D1137" s="75" t="s">
        <v>132</v>
      </c>
      <c r="E1137" s="75" t="s">
        <v>179</v>
      </c>
      <c r="F1137" s="75" t="s">
        <v>181</v>
      </c>
      <c r="G1137" s="75"/>
      <c r="H1137" s="75"/>
      <c r="I1137" s="75" t="s">
        <v>171</v>
      </c>
      <c r="J1137" s="76">
        <v>14</v>
      </c>
      <c r="K1137" s="519">
        <v>3</v>
      </c>
      <c r="L1137" s="520">
        <v>11.69</v>
      </c>
      <c r="M1137" s="520">
        <v>12.35</v>
      </c>
      <c r="N1137" s="507">
        <v>0.106</v>
      </c>
      <c r="O1137" s="507">
        <v>0.10299999999999999</v>
      </c>
      <c r="P1137" s="507">
        <v>0.11799999999999999</v>
      </c>
      <c r="Q1137" s="78">
        <v>0.44</v>
      </c>
      <c r="R1137" s="78">
        <v>0.31740000000000002</v>
      </c>
      <c r="S1137" s="69">
        <v>0</v>
      </c>
      <c r="T1137" s="69">
        <v>0</v>
      </c>
      <c r="U1137" s="507">
        <v>0.85</v>
      </c>
      <c r="V1137" s="76">
        <v>0</v>
      </c>
      <c r="W1137" s="76">
        <v>0</v>
      </c>
      <c r="X1137" s="76"/>
      <c r="Y1137" s="519" t="s">
        <v>469</v>
      </c>
    </row>
    <row r="1138" spans="1:25" x14ac:dyDescent="0.25">
      <c r="A1138" s="75" t="str">
        <f t="shared" si="41"/>
        <v>Pago_de_Hipoteca PF No_Premier Nómina Pago_Fijo_Puntual Si 13</v>
      </c>
      <c r="B1138" s="75" t="str">
        <f t="shared" si="40"/>
        <v>Pago_de_Hipoteca PF No_Premier Nómina Pago_Fijo_Puntual Si 13 0.103</v>
      </c>
      <c r="C1138" s="75" t="s">
        <v>173</v>
      </c>
      <c r="D1138" s="75" t="s">
        <v>132</v>
      </c>
      <c r="E1138" s="75" t="s">
        <v>179</v>
      </c>
      <c r="F1138" s="75" t="s">
        <v>181</v>
      </c>
      <c r="G1138" s="75"/>
      <c r="H1138" s="75"/>
      <c r="I1138" s="75" t="s">
        <v>171</v>
      </c>
      <c r="J1138" s="76">
        <v>13</v>
      </c>
      <c r="K1138" s="519" t="s">
        <v>387</v>
      </c>
      <c r="L1138" s="520">
        <v>11.86</v>
      </c>
      <c r="M1138" s="520">
        <v>12.52</v>
      </c>
      <c r="N1138" s="507">
        <v>0.10299999999999999</v>
      </c>
      <c r="O1138" s="507">
        <v>0.1</v>
      </c>
      <c r="P1138" s="507">
        <v>0.112</v>
      </c>
      <c r="Q1138" s="78">
        <v>0.44</v>
      </c>
      <c r="R1138" s="78">
        <v>0.31740000000000002</v>
      </c>
      <c r="S1138" s="69">
        <v>0</v>
      </c>
      <c r="T1138" s="69">
        <v>0</v>
      </c>
      <c r="U1138" s="507">
        <v>0.85</v>
      </c>
      <c r="V1138" s="76">
        <v>0</v>
      </c>
      <c r="W1138" s="76">
        <v>0</v>
      </c>
      <c r="X1138" s="76" t="s">
        <v>147</v>
      </c>
      <c r="Y1138" s="519" t="s">
        <v>469</v>
      </c>
    </row>
    <row r="1139" spans="1:25" x14ac:dyDescent="0.25">
      <c r="A1139" s="75" t="str">
        <f t="shared" si="41"/>
        <v>Pago_de_Hipoteca PF No_Premier Nómina Pago_Fijo_Puntual 13</v>
      </c>
      <c r="B1139" s="75" t="str">
        <f t="shared" si="40"/>
        <v>Pago_de_Hipoteca PF No_Premier Nómina Pago_Fijo_Puntual 13 0.106</v>
      </c>
      <c r="C1139" s="75" t="s">
        <v>173</v>
      </c>
      <c r="D1139" s="75" t="s">
        <v>132</v>
      </c>
      <c r="E1139" s="75" t="s">
        <v>179</v>
      </c>
      <c r="F1139" s="75" t="s">
        <v>181</v>
      </c>
      <c r="G1139" s="75"/>
      <c r="H1139" s="75"/>
      <c r="I1139" s="75" t="s">
        <v>171</v>
      </c>
      <c r="J1139" s="76">
        <v>13</v>
      </c>
      <c r="K1139" s="519">
        <v>3</v>
      </c>
      <c r="L1139" s="520">
        <v>12.06</v>
      </c>
      <c r="M1139" s="520">
        <v>12.72</v>
      </c>
      <c r="N1139" s="507">
        <v>0.106</v>
      </c>
      <c r="O1139" s="507">
        <v>0.10299999999999999</v>
      </c>
      <c r="P1139" s="507">
        <v>0.11799999999999999</v>
      </c>
      <c r="Q1139" s="78">
        <v>0.44</v>
      </c>
      <c r="R1139" s="78">
        <v>0.31740000000000002</v>
      </c>
      <c r="S1139" s="69">
        <v>0</v>
      </c>
      <c r="T1139" s="69">
        <v>0</v>
      </c>
      <c r="U1139" s="507">
        <v>0.85</v>
      </c>
      <c r="V1139" s="76">
        <v>0</v>
      </c>
      <c r="W1139" s="76">
        <v>0</v>
      </c>
      <c r="X1139" s="76"/>
      <c r="Y1139" s="519" t="s">
        <v>469</v>
      </c>
    </row>
    <row r="1140" spans="1:25" x14ac:dyDescent="0.25">
      <c r="A1140" s="75" t="str">
        <f t="shared" si="41"/>
        <v>Pago_de_Hipoteca PF No_Premier Nómina Pago_Fijo_Puntual Si 12</v>
      </c>
      <c r="B1140" s="75" t="str">
        <f t="shared" si="40"/>
        <v>Pago_de_Hipoteca PF No_Premier Nómina Pago_Fijo_Puntual Si 12 0.103</v>
      </c>
      <c r="C1140" s="75" t="s">
        <v>173</v>
      </c>
      <c r="D1140" s="75" t="s">
        <v>132</v>
      </c>
      <c r="E1140" s="75" t="s">
        <v>179</v>
      </c>
      <c r="F1140" s="75" t="s">
        <v>181</v>
      </c>
      <c r="G1140" s="75"/>
      <c r="H1140" s="75"/>
      <c r="I1140" s="75" t="s">
        <v>171</v>
      </c>
      <c r="J1140" s="76">
        <v>12</v>
      </c>
      <c r="K1140" s="519" t="s">
        <v>387</v>
      </c>
      <c r="L1140" s="520">
        <v>12.31</v>
      </c>
      <c r="M1140" s="520">
        <v>12.97</v>
      </c>
      <c r="N1140" s="507">
        <v>0.10299999999999999</v>
      </c>
      <c r="O1140" s="507">
        <v>0.1</v>
      </c>
      <c r="P1140" s="507">
        <v>0.112</v>
      </c>
      <c r="Q1140" s="78">
        <v>0.44</v>
      </c>
      <c r="R1140" s="78">
        <v>0.31740000000000002</v>
      </c>
      <c r="S1140" s="69">
        <v>0</v>
      </c>
      <c r="T1140" s="69">
        <v>0</v>
      </c>
      <c r="U1140" s="507">
        <v>0.85</v>
      </c>
      <c r="V1140" s="76">
        <v>0</v>
      </c>
      <c r="W1140" s="76">
        <v>0</v>
      </c>
      <c r="X1140" s="76" t="s">
        <v>147</v>
      </c>
      <c r="Y1140" s="519" t="s">
        <v>469</v>
      </c>
    </row>
    <row r="1141" spans="1:25" x14ac:dyDescent="0.25">
      <c r="A1141" s="75" t="str">
        <f t="shared" si="41"/>
        <v>Pago_de_Hipoteca PF No_Premier Nómina Pago_Fijo_Puntual 12</v>
      </c>
      <c r="B1141" s="75" t="str">
        <f t="shared" si="40"/>
        <v>Pago_de_Hipoteca PF No_Premier Nómina Pago_Fijo_Puntual 12 0.106</v>
      </c>
      <c r="C1141" s="75" t="s">
        <v>173</v>
      </c>
      <c r="D1141" s="75" t="s">
        <v>132</v>
      </c>
      <c r="E1141" s="75" t="s">
        <v>179</v>
      </c>
      <c r="F1141" s="75" t="s">
        <v>181</v>
      </c>
      <c r="G1141" s="75"/>
      <c r="H1141" s="75"/>
      <c r="I1141" s="75" t="s">
        <v>171</v>
      </c>
      <c r="J1141" s="76">
        <v>12</v>
      </c>
      <c r="K1141" s="519">
        <v>3</v>
      </c>
      <c r="L1141" s="520">
        <v>12.5</v>
      </c>
      <c r="M1141" s="520">
        <v>13.16</v>
      </c>
      <c r="N1141" s="507">
        <v>0.106</v>
      </c>
      <c r="O1141" s="507">
        <v>0.10299999999999999</v>
      </c>
      <c r="P1141" s="507">
        <v>0.11799999999999999</v>
      </c>
      <c r="Q1141" s="78">
        <v>0.44</v>
      </c>
      <c r="R1141" s="78">
        <v>0.31740000000000002</v>
      </c>
      <c r="S1141" s="69">
        <v>0</v>
      </c>
      <c r="T1141" s="69">
        <v>0</v>
      </c>
      <c r="U1141" s="507">
        <v>0.85</v>
      </c>
      <c r="V1141" s="76">
        <v>0</v>
      </c>
      <c r="W1141" s="76">
        <v>0</v>
      </c>
      <c r="X1141" s="76"/>
      <c r="Y1141" s="519" t="s">
        <v>469</v>
      </c>
    </row>
    <row r="1142" spans="1:25" x14ac:dyDescent="0.25">
      <c r="A1142" s="75" t="str">
        <f t="shared" si="41"/>
        <v>Pago_de_Hipoteca PF No_Premier Nómina Pago_Fijo_Puntual Si 11</v>
      </c>
      <c r="B1142" s="75" t="str">
        <f t="shared" si="40"/>
        <v>Pago_de_Hipoteca PF No_Premier Nómina Pago_Fijo_Puntual Si 11 0.103</v>
      </c>
      <c r="C1142" s="75" t="s">
        <v>173</v>
      </c>
      <c r="D1142" s="75" t="s">
        <v>132</v>
      </c>
      <c r="E1142" s="75" t="s">
        <v>179</v>
      </c>
      <c r="F1142" s="75" t="s">
        <v>181</v>
      </c>
      <c r="G1142" s="75"/>
      <c r="H1142" s="75"/>
      <c r="I1142" s="75" t="s">
        <v>171</v>
      </c>
      <c r="J1142" s="76">
        <v>11</v>
      </c>
      <c r="K1142" s="519" t="s">
        <v>387</v>
      </c>
      <c r="L1142" s="520">
        <v>12.86</v>
      </c>
      <c r="M1142" s="520">
        <v>13.52</v>
      </c>
      <c r="N1142" s="507">
        <v>0.10299999999999999</v>
      </c>
      <c r="O1142" s="507">
        <v>0.1</v>
      </c>
      <c r="P1142" s="507">
        <v>0.112</v>
      </c>
      <c r="Q1142" s="78">
        <v>0.44</v>
      </c>
      <c r="R1142" s="78">
        <v>0.31740000000000002</v>
      </c>
      <c r="S1142" s="69">
        <v>0</v>
      </c>
      <c r="T1142" s="69">
        <v>0</v>
      </c>
      <c r="U1142" s="507">
        <v>0.85</v>
      </c>
      <c r="V1142" s="76">
        <v>0</v>
      </c>
      <c r="W1142" s="76">
        <v>0</v>
      </c>
      <c r="X1142" s="76" t="s">
        <v>147</v>
      </c>
      <c r="Y1142" s="519" t="s">
        <v>469</v>
      </c>
    </row>
    <row r="1143" spans="1:25" x14ac:dyDescent="0.25">
      <c r="A1143" s="75" t="str">
        <f t="shared" si="41"/>
        <v>Pago_de_Hipoteca PF No_Premier Nómina Pago_Fijo_Puntual 11</v>
      </c>
      <c r="B1143" s="75" t="str">
        <f t="shared" si="40"/>
        <v>Pago_de_Hipoteca PF No_Premier Nómina Pago_Fijo_Puntual 11 0.106</v>
      </c>
      <c r="C1143" s="75" t="s">
        <v>173</v>
      </c>
      <c r="D1143" s="75" t="s">
        <v>132</v>
      </c>
      <c r="E1143" s="75" t="s">
        <v>179</v>
      </c>
      <c r="F1143" s="75" t="s">
        <v>181</v>
      </c>
      <c r="G1143" s="75"/>
      <c r="H1143" s="75"/>
      <c r="I1143" s="75" t="s">
        <v>171</v>
      </c>
      <c r="J1143" s="76">
        <v>11</v>
      </c>
      <c r="K1143" s="519">
        <v>3</v>
      </c>
      <c r="L1143" s="520">
        <v>13.04</v>
      </c>
      <c r="M1143" s="520">
        <v>13.7</v>
      </c>
      <c r="N1143" s="507">
        <v>0.106</v>
      </c>
      <c r="O1143" s="507">
        <v>0.10299999999999999</v>
      </c>
      <c r="P1143" s="507">
        <v>0.11799999999999999</v>
      </c>
      <c r="Q1143" s="78">
        <v>0.44</v>
      </c>
      <c r="R1143" s="78">
        <v>0.31740000000000002</v>
      </c>
      <c r="S1143" s="69">
        <v>0</v>
      </c>
      <c r="T1143" s="69">
        <v>0</v>
      </c>
      <c r="U1143" s="507">
        <v>0.85</v>
      </c>
      <c r="V1143" s="76">
        <v>0</v>
      </c>
      <c r="W1143" s="76">
        <v>0</v>
      </c>
      <c r="X1143" s="76"/>
      <c r="Y1143" s="519" t="s">
        <v>469</v>
      </c>
    </row>
    <row r="1144" spans="1:25" x14ac:dyDescent="0.25">
      <c r="A1144" s="75" t="str">
        <f t="shared" si="41"/>
        <v>Pago_de_Hipoteca PF No_Premier Nómina Pago_Fijo_Puntual Si 10</v>
      </c>
      <c r="B1144" s="75" t="str">
        <f t="shared" si="40"/>
        <v>Pago_de_Hipoteca PF No_Premier Nómina Pago_Fijo_Puntual Si 10 0.103</v>
      </c>
      <c r="C1144" s="75" t="s">
        <v>173</v>
      </c>
      <c r="D1144" s="75" t="s">
        <v>132</v>
      </c>
      <c r="E1144" s="75" t="s">
        <v>179</v>
      </c>
      <c r="F1144" s="75" t="s">
        <v>181</v>
      </c>
      <c r="G1144" s="75"/>
      <c r="H1144" s="75"/>
      <c r="I1144" s="75" t="s">
        <v>171</v>
      </c>
      <c r="J1144" s="76">
        <v>10</v>
      </c>
      <c r="K1144" s="519" t="s">
        <v>387</v>
      </c>
      <c r="L1144" s="520">
        <v>13.54</v>
      </c>
      <c r="M1144" s="520">
        <v>14.2</v>
      </c>
      <c r="N1144" s="507">
        <v>0.10299999999999999</v>
      </c>
      <c r="O1144" s="507">
        <v>0.1</v>
      </c>
      <c r="P1144" s="507">
        <v>0.112</v>
      </c>
      <c r="Q1144" s="78">
        <v>0.44</v>
      </c>
      <c r="R1144" s="78">
        <v>0.31740000000000002</v>
      </c>
      <c r="S1144" s="69">
        <v>0</v>
      </c>
      <c r="T1144" s="69">
        <v>0</v>
      </c>
      <c r="U1144" s="507">
        <v>0.85</v>
      </c>
      <c r="V1144" s="76">
        <v>0</v>
      </c>
      <c r="W1144" s="76">
        <v>0</v>
      </c>
      <c r="X1144" s="76" t="s">
        <v>147</v>
      </c>
      <c r="Y1144" s="519" t="s">
        <v>469</v>
      </c>
    </row>
    <row r="1145" spans="1:25" x14ac:dyDescent="0.25">
      <c r="A1145" s="75" t="str">
        <f t="shared" si="41"/>
        <v>Pago_de_Hipoteca PF No_Premier Nómina Pago_Fijo_Puntual 10</v>
      </c>
      <c r="B1145" s="75" t="str">
        <f t="shared" si="40"/>
        <v>Pago_de_Hipoteca PF No_Premier Nómina Pago_Fijo_Puntual 10 0.106</v>
      </c>
      <c r="C1145" s="75" t="s">
        <v>173</v>
      </c>
      <c r="D1145" s="75" t="s">
        <v>132</v>
      </c>
      <c r="E1145" s="75" t="s">
        <v>179</v>
      </c>
      <c r="F1145" s="75" t="s">
        <v>181</v>
      </c>
      <c r="G1145" s="75"/>
      <c r="H1145" s="75"/>
      <c r="I1145" s="75" t="s">
        <v>171</v>
      </c>
      <c r="J1145" s="76">
        <v>10</v>
      </c>
      <c r="K1145" s="519">
        <v>3</v>
      </c>
      <c r="L1145" s="520">
        <v>13.7</v>
      </c>
      <c r="M1145" s="520">
        <v>14.36</v>
      </c>
      <c r="N1145" s="507">
        <v>0.106</v>
      </c>
      <c r="O1145" s="507">
        <v>0.10299999999999999</v>
      </c>
      <c r="P1145" s="507">
        <v>0.11799999999999999</v>
      </c>
      <c r="Q1145" s="78">
        <v>0.44</v>
      </c>
      <c r="R1145" s="78">
        <v>0.31740000000000002</v>
      </c>
      <c r="S1145" s="69">
        <v>0</v>
      </c>
      <c r="T1145" s="69">
        <v>0</v>
      </c>
      <c r="U1145" s="507">
        <v>0.85</v>
      </c>
      <c r="V1145" s="76">
        <v>0</v>
      </c>
      <c r="W1145" s="76">
        <v>0</v>
      </c>
      <c r="X1145" s="76"/>
      <c r="Y1145" s="519" t="s">
        <v>469</v>
      </c>
    </row>
    <row r="1146" spans="1:25" x14ac:dyDescent="0.25">
      <c r="A1146" s="75" t="str">
        <f t="shared" si="41"/>
        <v>Pago_de_Hipoteca PF No_Premier Nómina Pago_Fijo_Puntual Si 9</v>
      </c>
      <c r="B1146" s="75" t="str">
        <f t="shared" si="40"/>
        <v>Pago_de_Hipoteca PF No_Premier Nómina Pago_Fijo_Puntual Si 9 0.103</v>
      </c>
      <c r="C1146" s="75" t="s">
        <v>173</v>
      </c>
      <c r="D1146" s="75" t="s">
        <v>132</v>
      </c>
      <c r="E1146" s="75" t="s">
        <v>179</v>
      </c>
      <c r="F1146" s="75" t="s">
        <v>181</v>
      </c>
      <c r="G1146" s="75"/>
      <c r="H1146" s="75"/>
      <c r="I1146" s="75" t="s">
        <v>171</v>
      </c>
      <c r="J1146" s="76">
        <v>9</v>
      </c>
      <c r="K1146" s="519" t="s">
        <v>387</v>
      </c>
      <c r="L1146" s="521">
        <v>14.37</v>
      </c>
      <c r="M1146" s="521">
        <v>15.03</v>
      </c>
      <c r="N1146" s="507">
        <v>0.10299999999999999</v>
      </c>
      <c r="O1146" s="507">
        <v>0.1</v>
      </c>
      <c r="P1146" s="507">
        <v>0.112</v>
      </c>
      <c r="Q1146" s="78">
        <v>0.44</v>
      </c>
      <c r="R1146" s="78">
        <v>0.31740000000000002</v>
      </c>
      <c r="S1146" s="69">
        <v>0</v>
      </c>
      <c r="T1146" s="69">
        <v>0</v>
      </c>
      <c r="U1146" s="507">
        <v>0.85</v>
      </c>
      <c r="V1146" s="76">
        <v>0</v>
      </c>
      <c r="W1146" s="76">
        <v>0</v>
      </c>
      <c r="X1146" s="76" t="s">
        <v>147</v>
      </c>
      <c r="Y1146" s="519" t="s">
        <v>469</v>
      </c>
    </row>
    <row r="1147" spans="1:25" x14ac:dyDescent="0.25">
      <c r="A1147" s="75" t="str">
        <f t="shared" si="41"/>
        <v>Pago_de_Hipoteca PF No_Premier Nómina Pago_Fijo_Puntual 9</v>
      </c>
      <c r="B1147" s="75" t="str">
        <f t="shared" si="40"/>
        <v>Pago_de_Hipoteca PF No_Premier Nómina Pago_Fijo_Puntual 9 0.106</v>
      </c>
      <c r="C1147" s="75" t="s">
        <v>173</v>
      </c>
      <c r="D1147" s="75" t="s">
        <v>132</v>
      </c>
      <c r="E1147" s="75" t="s">
        <v>179</v>
      </c>
      <c r="F1147" s="75" t="s">
        <v>181</v>
      </c>
      <c r="G1147" s="75"/>
      <c r="H1147" s="75"/>
      <c r="I1147" s="75" t="s">
        <v>171</v>
      </c>
      <c r="J1147" s="76">
        <v>9</v>
      </c>
      <c r="K1147" s="519">
        <v>3</v>
      </c>
      <c r="L1147" s="521">
        <v>14.53</v>
      </c>
      <c r="M1147" s="521">
        <v>15.19</v>
      </c>
      <c r="N1147" s="507">
        <v>0.106</v>
      </c>
      <c r="O1147" s="507">
        <v>0.10299999999999999</v>
      </c>
      <c r="P1147" s="507">
        <v>0.11799999999999999</v>
      </c>
      <c r="Q1147" s="78">
        <v>0.44</v>
      </c>
      <c r="R1147" s="78">
        <v>0.31740000000000002</v>
      </c>
      <c r="S1147" s="69">
        <v>0</v>
      </c>
      <c r="T1147" s="69">
        <v>0</v>
      </c>
      <c r="U1147" s="507">
        <v>0.85</v>
      </c>
      <c r="V1147" s="76">
        <v>0</v>
      </c>
      <c r="W1147" s="76">
        <v>0</v>
      </c>
      <c r="X1147" s="76"/>
      <c r="Y1147" s="519" t="s">
        <v>469</v>
      </c>
    </row>
    <row r="1148" spans="1:25" x14ac:dyDescent="0.25">
      <c r="A1148" s="75" t="str">
        <f t="shared" si="41"/>
        <v>Pago_de_Hipoteca PF No_Premier Nómina Pago_Fijo_Puntual Si 8</v>
      </c>
      <c r="B1148" s="75" t="str">
        <f t="shared" si="40"/>
        <v>Pago_de_Hipoteca PF No_Premier Nómina Pago_Fijo_Puntual Si 8 0.103</v>
      </c>
      <c r="C1148" s="75" t="s">
        <v>173</v>
      </c>
      <c r="D1148" s="75" t="s">
        <v>132</v>
      </c>
      <c r="E1148" s="75" t="s">
        <v>179</v>
      </c>
      <c r="F1148" s="75" t="s">
        <v>181</v>
      </c>
      <c r="G1148" s="75"/>
      <c r="H1148" s="75"/>
      <c r="I1148" s="75" t="s">
        <v>171</v>
      </c>
      <c r="J1148" s="76">
        <v>8</v>
      </c>
      <c r="K1148" s="519" t="s">
        <v>387</v>
      </c>
      <c r="L1148" s="520">
        <v>15.44</v>
      </c>
      <c r="M1148" s="520">
        <v>16.100000000000001</v>
      </c>
      <c r="N1148" s="507">
        <v>0.10299999999999999</v>
      </c>
      <c r="O1148" s="507">
        <v>0.1</v>
      </c>
      <c r="P1148" s="507">
        <v>0.112</v>
      </c>
      <c r="Q1148" s="78">
        <v>0.44</v>
      </c>
      <c r="R1148" s="78">
        <v>0.31740000000000002</v>
      </c>
      <c r="S1148" s="69">
        <v>0</v>
      </c>
      <c r="T1148" s="69">
        <v>0</v>
      </c>
      <c r="U1148" s="507">
        <v>0.85</v>
      </c>
      <c r="V1148" s="76">
        <v>0</v>
      </c>
      <c r="W1148" s="76">
        <v>0</v>
      </c>
      <c r="X1148" s="76" t="s">
        <v>147</v>
      </c>
      <c r="Y1148" s="519" t="s">
        <v>469</v>
      </c>
    </row>
    <row r="1149" spans="1:25" x14ac:dyDescent="0.25">
      <c r="A1149" s="75" t="str">
        <f t="shared" si="41"/>
        <v>Pago_de_Hipoteca PF No_Premier Nómina Pago_Fijo_Puntual 8</v>
      </c>
      <c r="B1149" s="75" t="str">
        <f t="shared" si="40"/>
        <v>Pago_de_Hipoteca PF No_Premier Nómina Pago_Fijo_Puntual 8 0.106</v>
      </c>
      <c r="C1149" s="75" t="s">
        <v>173</v>
      </c>
      <c r="D1149" s="75" t="s">
        <v>132</v>
      </c>
      <c r="E1149" s="75" t="s">
        <v>179</v>
      </c>
      <c r="F1149" s="75" t="s">
        <v>181</v>
      </c>
      <c r="G1149" s="75"/>
      <c r="H1149" s="75"/>
      <c r="I1149" s="75" t="s">
        <v>171</v>
      </c>
      <c r="J1149" s="76">
        <v>8</v>
      </c>
      <c r="K1149" s="519">
        <v>3</v>
      </c>
      <c r="L1149" s="520">
        <v>15.6</v>
      </c>
      <c r="M1149" s="520">
        <v>16.260000000000002</v>
      </c>
      <c r="N1149" s="507">
        <v>0.106</v>
      </c>
      <c r="O1149" s="507">
        <v>0.10299999999999999</v>
      </c>
      <c r="P1149" s="507">
        <v>0.11799999999999999</v>
      </c>
      <c r="Q1149" s="78">
        <v>0.44</v>
      </c>
      <c r="R1149" s="78">
        <v>0.31740000000000002</v>
      </c>
      <c r="S1149" s="69">
        <v>0</v>
      </c>
      <c r="T1149" s="69">
        <v>0</v>
      </c>
      <c r="U1149" s="507">
        <v>0.85</v>
      </c>
      <c r="V1149" s="76">
        <v>0</v>
      </c>
      <c r="W1149" s="76">
        <v>0</v>
      </c>
      <c r="X1149" s="76"/>
      <c r="Y1149" s="519" t="s">
        <v>469</v>
      </c>
    </row>
    <row r="1150" spans="1:25" x14ac:dyDescent="0.25">
      <c r="A1150" s="75" t="str">
        <f t="shared" si="41"/>
        <v>Pago_de_Hipoteca PF No_Premier Nómina Pago_Fijo_Puntual Si 7</v>
      </c>
      <c r="B1150" s="75" t="str">
        <f t="shared" si="40"/>
        <v>Pago_de_Hipoteca PF No_Premier Nómina Pago_Fijo_Puntual Si 7 0.103</v>
      </c>
      <c r="C1150" s="75" t="s">
        <v>173</v>
      </c>
      <c r="D1150" s="75" t="s">
        <v>132</v>
      </c>
      <c r="E1150" s="75" t="s">
        <v>179</v>
      </c>
      <c r="F1150" s="75" t="s">
        <v>181</v>
      </c>
      <c r="G1150" s="75"/>
      <c r="H1150" s="75"/>
      <c r="I1150" s="75" t="s">
        <v>171</v>
      </c>
      <c r="J1150" s="76">
        <v>7</v>
      </c>
      <c r="K1150" s="519" t="s">
        <v>387</v>
      </c>
      <c r="L1150" s="520">
        <v>16.84</v>
      </c>
      <c r="M1150" s="520">
        <v>17.5</v>
      </c>
      <c r="N1150" s="507">
        <v>0.10299999999999999</v>
      </c>
      <c r="O1150" s="507">
        <v>0.1</v>
      </c>
      <c r="P1150" s="507">
        <v>0.112</v>
      </c>
      <c r="Q1150" s="78">
        <v>0.44</v>
      </c>
      <c r="R1150" s="78">
        <v>0.31740000000000002</v>
      </c>
      <c r="S1150" s="69">
        <v>0</v>
      </c>
      <c r="T1150" s="69">
        <v>0</v>
      </c>
      <c r="U1150" s="507">
        <v>0.85</v>
      </c>
      <c r="V1150" s="76">
        <v>0</v>
      </c>
      <c r="W1150" s="76">
        <v>0</v>
      </c>
      <c r="X1150" s="76" t="s">
        <v>147</v>
      </c>
      <c r="Y1150" s="519" t="s">
        <v>469</v>
      </c>
    </row>
    <row r="1151" spans="1:25" x14ac:dyDescent="0.25">
      <c r="A1151" s="75" t="str">
        <f t="shared" si="41"/>
        <v>Pago_de_Hipoteca PF No_Premier Nómina Pago_Fijo_Puntual 7</v>
      </c>
      <c r="B1151" s="75" t="str">
        <f t="shared" si="40"/>
        <v>Pago_de_Hipoteca PF No_Premier Nómina Pago_Fijo_Puntual 7 0.106</v>
      </c>
      <c r="C1151" s="75" t="s">
        <v>173</v>
      </c>
      <c r="D1151" s="75" t="s">
        <v>132</v>
      </c>
      <c r="E1151" s="75" t="s">
        <v>179</v>
      </c>
      <c r="F1151" s="75" t="s">
        <v>181</v>
      </c>
      <c r="G1151" s="75"/>
      <c r="H1151" s="75"/>
      <c r="I1151" s="75" t="s">
        <v>171</v>
      </c>
      <c r="J1151" s="76">
        <v>7</v>
      </c>
      <c r="K1151" s="519">
        <v>3</v>
      </c>
      <c r="L1151" s="520">
        <v>17</v>
      </c>
      <c r="M1151" s="520">
        <v>17.66</v>
      </c>
      <c r="N1151" s="507">
        <v>0.106</v>
      </c>
      <c r="O1151" s="507">
        <v>0.10299999999999999</v>
      </c>
      <c r="P1151" s="507">
        <v>0.11799999999999999</v>
      </c>
      <c r="Q1151" s="78">
        <v>0.44</v>
      </c>
      <c r="R1151" s="78">
        <v>0.31740000000000002</v>
      </c>
      <c r="S1151" s="69">
        <v>0</v>
      </c>
      <c r="T1151" s="69">
        <v>0</v>
      </c>
      <c r="U1151" s="507">
        <v>0.85</v>
      </c>
      <c r="V1151" s="76">
        <v>0</v>
      </c>
      <c r="W1151" s="76">
        <v>0</v>
      </c>
      <c r="X1151" s="76"/>
      <c r="Y1151" s="519" t="s">
        <v>469</v>
      </c>
    </row>
    <row r="1152" spans="1:25" x14ac:dyDescent="0.25">
      <c r="A1152" s="75" t="str">
        <f t="shared" si="41"/>
        <v>Pago_de_Hipoteca PF No_Premier Nómina Pago_Fijo_Puntual Si 6</v>
      </c>
      <c r="B1152" s="75" t="str">
        <f t="shared" si="40"/>
        <v>Pago_de_Hipoteca PF No_Premier Nómina Pago_Fijo_Puntual Si 6 0.103</v>
      </c>
      <c r="C1152" s="75" t="s">
        <v>173</v>
      </c>
      <c r="D1152" s="75" t="s">
        <v>132</v>
      </c>
      <c r="E1152" s="75" t="s">
        <v>179</v>
      </c>
      <c r="F1152" s="75" t="s">
        <v>181</v>
      </c>
      <c r="G1152" s="75"/>
      <c r="H1152" s="75"/>
      <c r="I1152" s="75" t="s">
        <v>171</v>
      </c>
      <c r="J1152" s="76">
        <v>6</v>
      </c>
      <c r="K1152" s="519" t="s">
        <v>387</v>
      </c>
      <c r="L1152" s="520">
        <v>18.739999999999998</v>
      </c>
      <c r="M1152" s="520">
        <v>19.399999999999999</v>
      </c>
      <c r="N1152" s="507">
        <v>0.10299999999999999</v>
      </c>
      <c r="O1152" s="507">
        <v>0.1</v>
      </c>
      <c r="P1152" s="507">
        <v>0.112</v>
      </c>
      <c r="Q1152" s="78">
        <v>0.44</v>
      </c>
      <c r="R1152" s="78">
        <v>0.31740000000000002</v>
      </c>
      <c r="S1152" s="69">
        <v>0</v>
      </c>
      <c r="T1152" s="69">
        <v>0</v>
      </c>
      <c r="U1152" s="507">
        <v>0.85</v>
      </c>
      <c r="V1152" s="76">
        <v>0</v>
      </c>
      <c r="W1152" s="76">
        <v>0</v>
      </c>
      <c r="X1152" s="76" t="s">
        <v>147</v>
      </c>
      <c r="Y1152" s="519" t="s">
        <v>469</v>
      </c>
    </row>
    <row r="1153" spans="1:25" x14ac:dyDescent="0.25">
      <c r="A1153" s="75" t="str">
        <f t="shared" si="41"/>
        <v>Pago_de_Hipoteca PF No_Premier Nómina Pago_Fijo_Puntual 6</v>
      </c>
      <c r="B1153" s="75" t="str">
        <f t="shared" si="40"/>
        <v>Pago_de_Hipoteca PF No_Premier Nómina Pago_Fijo_Puntual 6 0.106</v>
      </c>
      <c r="C1153" s="75" t="s">
        <v>173</v>
      </c>
      <c r="D1153" s="75" t="s">
        <v>132</v>
      </c>
      <c r="E1153" s="75" t="s">
        <v>179</v>
      </c>
      <c r="F1153" s="75" t="s">
        <v>181</v>
      </c>
      <c r="G1153" s="75"/>
      <c r="H1153" s="75"/>
      <c r="I1153" s="75" t="s">
        <v>171</v>
      </c>
      <c r="J1153" s="76">
        <v>6</v>
      </c>
      <c r="K1153" s="519">
        <v>3</v>
      </c>
      <c r="L1153" s="520">
        <v>18.89</v>
      </c>
      <c r="M1153" s="520">
        <v>19.55</v>
      </c>
      <c r="N1153" s="507">
        <v>0.106</v>
      </c>
      <c r="O1153" s="507">
        <v>0.10299999999999999</v>
      </c>
      <c r="P1153" s="507">
        <v>0.11799999999999999</v>
      </c>
      <c r="Q1153" s="78">
        <v>0.44</v>
      </c>
      <c r="R1153" s="78">
        <v>0.31740000000000002</v>
      </c>
      <c r="S1153" s="69">
        <v>0</v>
      </c>
      <c r="T1153" s="69">
        <v>0</v>
      </c>
      <c r="U1153" s="507">
        <v>0.85</v>
      </c>
      <c r="V1153" s="76">
        <v>0</v>
      </c>
      <c r="W1153" s="76">
        <v>0</v>
      </c>
      <c r="X1153" s="76"/>
      <c r="Y1153" s="519" t="s">
        <v>469</v>
      </c>
    </row>
    <row r="1154" spans="1:25" x14ac:dyDescent="0.25">
      <c r="A1154" s="75" t="str">
        <f t="shared" si="41"/>
        <v>Pago_de_Hipoteca PF No_Premier Nómina Pago_Fijo_Puntual Si 5</v>
      </c>
      <c r="B1154" s="75" t="str">
        <f t="shared" si="40"/>
        <v>Pago_de_Hipoteca PF No_Premier Nómina Pago_Fijo_Puntual Si 5 0.103</v>
      </c>
      <c r="C1154" s="75" t="s">
        <v>173</v>
      </c>
      <c r="D1154" s="75" t="s">
        <v>132</v>
      </c>
      <c r="E1154" s="75" t="s">
        <v>179</v>
      </c>
      <c r="F1154" s="75" t="s">
        <v>181</v>
      </c>
      <c r="G1154" s="75"/>
      <c r="H1154" s="75"/>
      <c r="I1154" s="75" t="s">
        <v>171</v>
      </c>
      <c r="J1154" s="76">
        <v>5</v>
      </c>
      <c r="K1154" s="519" t="s">
        <v>387</v>
      </c>
      <c r="L1154" s="520">
        <v>21.44</v>
      </c>
      <c r="M1154" s="520">
        <v>22.1</v>
      </c>
      <c r="N1154" s="507">
        <v>0.10299999999999999</v>
      </c>
      <c r="O1154" s="507">
        <v>0.1</v>
      </c>
      <c r="P1154" s="507">
        <v>0.112</v>
      </c>
      <c r="Q1154" s="78">
        <v>0.44</v>
      </c>
      <c r="R1154" s="78">
        <v>0.31740000000000002</v>
      </c>
      <c r="S1154" s="69">
        <v>0</v>
      </c>
      <c r="T1154" s="69">
        <v>0</v>
      </c>
      <c r="U1154" s="507">
        <v>0.85</v>
      </c>
      <c r="V1154" s="76">
        <v>0</v>
      </c>
      <c r="W1154" s="76">
        <v>0</v>
      </c>
      <c r="X1154" s="76" t="s">
        <v>147</v>
      </c>
      <c r="Y1154" s="519" t="s">
        <v>469</v>
      </c>
    </row>
    <row r="1155" spans="1:25" x14ac:dyDescent="0.25">
      <c r="A1155" s="75" t="str">
        <f t="shared" si="41"/>
        <v>Pago_de_Hipoteca PF No_Premier Nómina Pago_Fijo_Puntual 5</v>
      </c>
      <c r="B1155" s="75" t="str">
        <f t="shared" si="40"/>
        <v>Pago_de_Hipoteca PF No_Premier Nómina Pago_Fijo_Puntual 5 0.106</v>
      </c>
      <c r="C1155" s="75" t="s">
        <v>173</v>
      </c>
      <c r="D1155" s="75" t="s">
        <v>132</v>
      </c>
      <c r="E1155" s="75" t="s">
        <v>179</v>
      </c>
      <c r="F1155" s="75" t="s">
        <v>181</v>
      </c>
      <c r="G1155" s="75"/>
      <c r="H1155" s="75"/>
      <c r="I1155" s="75" t="s">
        <v>171</v>
      </c>
      <c r="J1155" s="76">
        <v>5</v>
      </c>
      <c r="K1155" s="519">
        <v>3</v>
      </c>
      <c r="L1155" s="520">
        <v>21.58</v>
      </c>
      <c r="M1155" s="520">
        <v>22.24</v>
      </c>
      <c r="N1155" s="507">
        <v>0.106</v>
      </c>
      <c r="O1155" s="507">
        <v>0.10299999999999999</v>
      </c>
      <c r="P1155" s="507">
        <v>0.11799999999999999</v>
      </c>
      <c r="Q1155" s="78">
        <v>0.44</v>
      </c>
      <c r="R1155" s="78">
        <v>0.31740000000000002</v>
      </c>
      <c r="S1155" s="69">
        <v>0</v>
      </c>
      <c r="T1155" s="69">
        <v>0</v>
      </c>
      <c r="U1155" s="507">
        <v>0.85</v>
      </c>
      <c r="V1155" s="76">
        <v>0</v>
      </c>
      <c r="W1155" s="76">
        <v>0</v>
      </c>
      <c r="X1155" s="76"/>
      <c r="Y1155" s="519" t="s">
        <v>469</v>
      </c>
    </row>
    <row r="1156" spans="1:25" x14ac:dyDescent="0.25">
      <c r="A1156" s="75" t="str">
        <f t="shared" si="41"/>
        <v>Pago_de_Hipoteca PF No_Premier Nómina Pago_Bajo_Puntual Si 20</v>
      </c>
      <c r="B1156" s="75" t="str">
        <f t="shared" si="40"/>
        <v>Pago_de_Hipoteca PF No_Premier Nómina Pago_Bajo_Puntual Si 20 0.103</v>
      </c>
      <c r="C1156" s="75" t="s">
        <v>173</v>
      </c>
      <c r="D1156" s="75" t="s">
        <v>132</v>
      </c>
      <c r="E1156" s="75" t="s">
        <v>179</v>
      </c>
      <c r="F1156" s="75" t="s">
        <v>181</v>
      </c>
      <c r="G1156" s="75"/>
      <c r="H1156" s="75"/>
      <c r="I1156" s="75" t="s">
        <v>170</v>
      </c>
      <c r="J1156" s="76">
        <v>20</v>
      </c>
      <c r="K1156" s="519" t="s">
        <v>387</v>
      </c>
      <c r="L1156" s="520">
        <v>9</v>
      </c>
      <c r="M1156" s="520">
        <v>9.66</v>
      </c>
      <c r="N1156" s="507">
        <v>0.10299999999999999</v>
      </c>
      <c r="O1156" s="507">
        <v>0.1</v>
      </c>
      <c r="P1156" s="507">
        <v>0.112</v>
      </c>
      <c r="Q1156" s="78">
        <v>0.44</v>
      </c>
      <c r="R1156" s="78">
        <v>0.31740000000000002</v>
      </c>
      <c r="S1156" s="69">
        <v>0</v>
      </c>
      <c r="T1156" s="69">
        <v>0</v>
      </c>
      <c r="U1156" s="507">
        <v>0.85</v>
      </c>
      <c r="V1156" s="76">
        <v>0</v>
      </c>
      <c r="W1156" s="76">
        <v>0</v>
      </c>
      <c r="X1156" s="76" t="s">
        <v>147</v>
      </c>
      <c r="Y1156" s="519" t="s">
        <v>469</v>
      </c>
    </row>
    <row r="1157" spans="1:25" x14ac:dyDescent="0.25">
      <c r="A1157" s="75" t="str">
        <f t="shared" si="41"/>
        <v>Pago_de_Hipoteca PF No_Premier Nómina Pago_Bajo_Puntual 20</v>
      </c>
      <c r="B1157" s="75" t="str">
        <f t="shared" si="40"/>
        <v>Pago_de_Hipoteca PF No_Premier Nómina Pago_Bajo_Puntual 20 0.106</v>
      </c>
      <c r="C1157" s="75" t="s">
        <v>173</v>
      </c>
      <c r="D1157" s="75" t="s">
        <v>132</v>
      </c>
      <c r="E1157" s="75" t="s">
        <v>179</v>
      </c>
      <c r="F1157" s="75" t="s">
        <v>181</v>
      </c>
      <c r="G1157" s="75"/>
      <c r="H1157" s="75"/>
      <c r="I1157" s="75" t="s">
        <v>170</v>
      </c>
      <c r="J1157" s="76">
        <v>20</v>
      </c>
      <c r="K1157" s="519">
        <v>3</v>
      </c>
      <c r="L1157" s="520">
        <v>9.24</v>
      </c>
      <c r="M1157" s="520">
        <v>9.9</v>
      </c>
      <c r="N1157" s="507">
        <v>0.106</v>
      </c>
      <c r="O1157" s="507">
        <v>0.10299999999999999</v>
      </c>
      <c r="P1157" s="507">
        <v>0.11799999999999999</v>
      </c>
      <c r="Q1157" s="78">
        <v>0.44</v>
      </c>
      <c r="R1157" s="78">
        <v>0.31740000000000002</v>
      </c>
      <c r="S1157" s="69">
        <v>0</v>
      </c>
      <c r="T1157" s="69">
        <v>0</v>
      </c>
      <c r="U1157" s="507">
        <v>0.85</v>
      </c>
      <c r="V1157" s="76">
        <v>0</v>
      </c>
      <c r="W1157" s="76">
        <v>0</v>
      </c>
      <c r="X1157" s="76"/>
      <c r="Y1157" s="519" t="s">
        <v>469</v>
      </c>
    </row>
    <row r="1158" spans="1:25" x14ac:dyDescent="0.25">
      <c r="A1158" s="75" t="str">
        <f t="shared" si="41"/>
        <v>Pago_de_Hipoteca PF No_Premier Nómina Pago_Bajo_Puntual Si 19</v>
      </c>
      <c r="B1158" s="75" t="str">
        <f t="shared" si="40"/>
        <v>Pago_de_Hipoteca PF No_Premier Nómina Pago_Bajo_Puntual Si 19 0.103</v>
      </c>
      <c r="C1158" s="75" t="s">
        <v>173</v>
      </c>
      <c r="D1158" s="75" t="s">
        <v>132</v>
      </c>
      <c r="E1158" s="75" t="s">
        <v>179</v>
      </c>
      <c r="F1158" s="75" t="s">
        <v>181</v>
      </c>
      <c r="G1158" s="75"/>
      <c r="H1158" s="75"/>
      <c r="I1158" s="75" t="s">
        <v>170</v>
      </c>
      <c r="J1158" s="76">
        <v>19</v>
      </c>
      <c r="K1158" s="519" t="s">
        <v>387</v>
      </c>
      <c r="L1158" s="520">
        <v>9.17</v>
      </c>
      <c r="M1158" s="520">
        <v>9.83</v>
      </c>
      <c r="N1158" s="507">
        <v>0.10299999999999999</v>
      </c>
      <c r="O1158" s="507">
        <v>0.1</v>
      </c>
      <c r="P1158" s="507">
        <v>0.112</v>
      </c>
      <c r="Q1158" s="78">
        <v>0.44</v>
      </c>
      <c r="R1158" s="78">
        <v>0.31740000000000002</v>
      </c>
      <c r="S1158" s="69">
        <v>0</v>
      </c>
      <c r="T1158" s="69">
        <v>0</v>
      </c>
      <c r="U1158" s="507">
        <v>0.85</v>
      </c>
      <c r="V1158" s="76">
        <v>0</v>
      </c>
      <c r="W1158" s="76">
        <v>0</v>
      </c>
      <c r="X1158" s="76" t="s">
        <v>147</v>
      </c>
      <c r="Y1158" s="519" t="s">
        <v>469</v>
      </c>
    </row>
    <row r="1159" spans="1:25" x14ac:dyDescent="0.25">
      <c r="A1159" s="75" t="str">
        <f t="shared" si="41"/>
        <v>Pago_de_Hipoteca PF No_Premier Nómina Pago_Bajo_Puntual 19</v>
      </c>
      <c r="B1159" s="75" t="str">
        <f t="shared" si="40"/>
        <v>Pago_de_Hipoteca PF No_Premier Nómina Pago_Bajo_Puntual 19 0.106</v>
      </c>
      <c r="C1159" s="75" t="s">
        <v>173</v>
      </c>
      <c r="D1159" s="75" t="s">
        <v>132</v>
      </c>
      <c r="E1159" s="75" t="s">
        <v>179</v>
      </c>
      <c r="F1159" s="75" t="s">
        <v>181</v>
      </c>
      <c r="G1159" s="75"/>
      <c r="H1159" s="75"/>
      <c r="I1159" s="75" t="s">
        <v>170</v>
      </c>
      <c r="J1159" s="76">
        <v>19</v>
      </c>
      <c r="K1159" s="519">
        <v>3</v>
      </c>
      <c r="L1159" s="520">
        <v>9.4</v>
      </c>
      <c r="M1159" s="520">
        <v>10.06</v>
      </c>
      <c r="N1159" s="507">
        <v>0.106</v>
      </c>
      <c r="O1159" s="507">
        <v>0.10299999999999999</v>
      </c>
      <c r="P1159" s="507">
        <v>0.11799999999999999</v>
      </c>
      <c r="Q1159" s="78">
        <v>0.44</v>
      </c>
      <c r="R1159" s="78">
        <v>0.31740000000000002</v>
      </c>
      <c r="S1159" s="69">
        <v>0</v>
      </c>
      <c r="T1159" s="69">
        <v>0</v>
      </c>
      <c r="U1159" s="507">
        <v>0.85</v>
      </c>
      <c r="V1159" s="76">
        <v>0</v>
      </c>
      <c r="W1159" s="76">
        <v>0</v>
      </c>
      <c r="X1159" s="76"/>
      <c r="Y1159" s="519" t="s">
        <v>469</v>
      </c>
    </row>
    <row r="1160" spans="1:25" x14ac:dyDescent="0.25">
      <c r="A1160" s="75" t="str">
        <f t="shared" si="41"/>
        <v>Pago_de_Hipoteca PF No_Premier Nómina Pago_Bajo_Puntual Si 18</v>
      </c>
      <c r="B1160" s="75" t="str">
        <f t="shared" si="40"/>
        <v>Pago_de_Hipoteca PF No_Premier Nómina Pago_Bajo_Puntual Si 18 0.103</v>
      </c>
      <c r="C1160" s="75" t="s">
        <v>173</v>
      </c>
      <c r="D1160" s="75" t="s">
        <v>132</v>
      </c>
      <c r="E1160" s="75" t="s">
        <v>179</v>
      </c>
      <c r="F1160" s="75" t="s">
        <v>181</v>
      </c>
      <c r="G1160" s="75"/>
      <c r="H1160" s="75"/>
      <c r="I1160" s="75" t="s">
        <v>170</v>
      </c>
      <c r="J1160" s="76">
        <v>18</v>
      </c>
      <c r="K1160" s="519" t="s">
        <v>387</v>
      </c>
      <c r="L1160" s="520">
        <v>9.36</v>
      </c>
      <c r="M1160" s="520">
        <v>10.02</v>
      </c>
      <c r="N1160" s="507">
        <v>0.10299999999999999</v>
      </c>
      <c r="O1160" s="507">
        <v>0.1</v>
      </c>
      <c r="P1160" s="507">
        <v>0.112</v>
      </c>
      <c r="Q1160" s="78">
        <v>0.44</v>
      </c>
      <c r="R1160" s="78">
        <v>0.31740000000000002</v>
      </c>
      <c r="S1160" s="69">
        <v>0</v>
      </c>
      <c r="T1160" s="69">
        <v>0</v>
      </c>
      <c r="U1160" s="507">
        <v>0.85</v>
      </c>
      <c r="V1160" s="76">
        <v>0</v>
      </c>
      <c r="W1160" s="76">
        <v>0</v>
      </c>
      <c r="X1160" s="76" t="s">
        <v>147</v>
      </c>
      <c r="Y1160" s="519" t="s">
        <v>469</v>
      </c>
    </row>
    <row r="1161" spans="1:25" x14ac:dyDescent="0.25">
      <c r="A1161" s="75" t="str">
        <f t="shared" si="41"/>
        <v>Pago_de_Hipoteca PF No_Premier Nómina Pago_Bajo_Puntual 18</v>
      </c>
      <c r="B1161" s="75" t="str">
        <f t="shared" si="40"/>
        <v>Pago_de_Hipoteca PF No_Premier Nómina Pago_Bajo_Puntual 18 0.106</v>
      </c>
      <c r="C1161" s="75" t="s">
        <v>173</v>
      </c>
      <c r="D1161" s="75" t="s">
        <v>132</v>
      </c>
      <c r="E1161" s="75" t="s">
        <v>179</v>
      </c>
      <c r="F1161" s="75" t="s">
        <v>181</v>
      </c>
      <c r="G1161" s="75"/>
      <c r="H1161" s="75"/>
      <c r="I1161" s="75" t="s">
        <v>170</v>
      </c>
      <c r="J1161" s="76">
        <v>18</v>
      </c>
      <c r="K1161" s="519">
        <v>3</v>
      </c>
      <c r="L1161" s="520">
        <v>9.59</v>
      </c>
      <c r="M1161" s="520">
        <v>10.25</v>
      </c>
      <c r="N1161" s="507">
        <v>0.106</v>
      </c>
      <c r="O1161" s="507">
        <v>0.10299999999999999</v>
      </c>
      <c r="P1161" s="507">
        <v>0.11799999999999999</v>
      </c>
      <c r="Q1161" s="78">
        <v>0.44</v>
      </c>
      <c r="R1161" s="78">
        <v>0.31740000000000002</v>
      </c>
      <c r="S1161" s="69">
        <v>0</v>
      </c>
      <c r="T1161" s="69">
        <v>0</v>
      </c>
      <c r="U1161" s="507">
        <v>0.85</v>
      </c>
      <c r="V1161" s="76">
        <v>0</v>
      </c>
      <c r="W1161" s="76">
        <v>0</v>
      </c>
      <c r="X1161" s="76"/>
      <c r="Y1161" s="519" t="s">
        <v>469</v>
      </c>
    </row>
    <row r="1162" spans="1:25" x14ac:dyDescent="0.25">
      <c r="A1162" s="75" t="str">
        <f t="shared" si="41"/>
        <v>Pago_de_Hipoteca PF No_Premier Nómina Pago_Bajo_Puntual Si 17</v>
      </c>
      <c r="B1162" s="75" t="str">
        <f t="shared" si="40"/>
        <v>Pago_de_Hipoteca PF No_Premier Nómina Pago_Bajo_Puntual Si 17 0.103</v>
      </c>
      <c r="C1162" s="75" t="s">
        <v>173</v>
      </c>
      <c r="D1162" s="75" t="s">
        <v>132</v>
      </c>
      <c r="E1162" s="75" t="s">
        <v>179</v>
      </c>
      <c r="F1162" s="75" t="s">
        <v>181</v>
      </c>
      <c r="G1162" s="75"/>
      <c r="H1162" s="75"/>
      <c r="I1162" s="75" t="s">
        <v>170</v>
      </c>
      <c r="J1162" s="76">
        <v>17</v>
      </c>
      <c r="K1162" s="519" t="s">
        <v>387</v>
      </c>
      <c r="L1162" s="520">
        <v>9.58</v>
      </c>
      <c r="M1162" s="520">
        <v>10.24</v>
      </c>
      <c r="N1162" s="507">
        <v>0.10299999999999999</v>
      </c>
      <c r="O1162" s="507">
        <v>0.1</v>
      </c>
      <c r="P1162" s="507">
        <v>0.112</v>
      </c>
      <c r="Q1162" s="78">
        <v>0.44</v>
      </c>
      <c r="R1162" s="78">
        <v>0.31740000000000002</v>
      </c>
      <c r="S1162" s="69">
        <v>0</v>
      </c>
      <c r="T1162" s="69">
        <v>0</v>
      </c>
      <c r="U1162" s="507">
        <v>0.85</v>
      </c>
      <c r="V1162" s="76">
        <v>0</v>
      </c>
      <c r="W1162" s="76">
        <v>0</v>
      </c>
      <c r="X1162" s="76" t="s">
        <v>147</v>
      </c>
      <c r="Y1162" s="519" t="s">
        <v>469</v>
      </c>
    </row>
    <row r="1163" spans="1:25" x14ac:dyDescent="0.25">
      <c r="A1163" s="75" t="str">
        <f t="shared" si="41"/>
        <v>Pago_de_Hipoteca PF No_Premier Nómina Pago_Bajo_Puntual 17</v>
      </c>
      <c r="B1163" s="75" t="str">
        <f t="shared" si="40"/>
        <v>Pago_de_Hipoteca PF No_Premier Nómina Pago_Bajo_Puntual 17 0.106</v>
      </c>
      <c r="C1163" s="75" t="s">
        <v>173</v>
      </c>
      <c r="D1163" s="75" t="s">
        <v>132</v>
      </c>
      <c r="E1163" s="75" t="s">
        <v>179</v>
      </c>
      <c r="F1163" s="75" t="s">
        <v>181</v>
      </c>
      <c r="G1163" s="75"/>
      <c r="H1163" s="75"/>
      <c r="I1163" s="75" t="s">
        <v>170</v>
      </c>
      <c r="J1163" s="76">
        <v>17</v>
      </c>
      <c r="K1163" s="519">
        <v>3</v>
      </c>
      <c r="L1163" s="520">
        <v>9.8000000000000007</v>
      </c>
      <c r="M1163" s="520">
        <v>10.46</v>
      </c>
      <c r="N1163" s="507">
        <v>0.106</v>
      </c>
      <c r="O1163" s="507">
        <v>0.10299999999999999</v>
      </c>
      <c r="P1163" s="507">
        <v>0.11799999999999999</v>
      </c>
      <c r="Q1163" s="78">
        <v>0.44</v>
      </c>
      <c r="R1163" s="78">
        <v>0.31740000000000002</v>
      </c>
      <c r="S1163" s="69">
        <v>0</v>
      </c>
      <c r="T1163" s="69">
        <v>0</v>
      </c>
      <c r="U1163" s="507">
        <v>0.85</v>
      </c>
      <c r="V1163" s="76">
        <v>0</v>
      </c>
      <c r="W1163" s="76">
        <v>0</v>
      </c>
      <c r="X1163" s="76"/>
      <c r="Y1163" s="519" t="s">
        <v>469</v>
      </c>
    </row>
    <row r="1164" spans="1:25" x14ac:dyDescent="0.25">
      <c r="A1164" s="75" t="str">
        <f t="shared" si="41"/>
        <v>Pago_de_Hipoteca PF No_Premier Nómina Pago_Bajo_Puntual Si 16</v>
      </c>
      <c r="B1164" s="75" t="str">
        <f t="shared" si="40"/>
        <v>Pago_de_Hipoteca PF No_Premier Nómina Pago_Bajo_Puntual Si 16 0.103</v>
      </c>
      <c r="C1164" s="75" t="s">
        <v>173</v>
      </c>
      <c r="D1164" s="75" t="s">
        <v>132</v>
      </c>
      <c r="E1164" s="75" t="s">
        <v>179</v>
      </c>
      <c r="F1164" s="75" t="s">
        <v>181</v>
      </c>
      <c r="G1164" s="75"/>
      <c r="H1164" s="75"/>
      <c r="I1164" s="75" t="s">
        <v>170</v>
      </c>
      <c r="J1164" s="76">
        <v>16</v>
      </c>
      <c r="K1164" s="519" t="s">
        <v>387</v>
      </c>
      <c r="L1164" s="520">
        <v>9.83</v>
      </c>
      <c r="M1164" s="520">
        <v>10.49</v>
      </c>
      <c r="N1164" s="507">
        <v>0.10299999999999999</v>
      </c>
      <c r="O1164" s="507">
        <v>0.1</v>
      </c>
      <c r="P1164" s="507">
        <v>0.112</v>
      </c>
      <c r="Q1164" s="78">
        <v>0.44</v>
      </c>
      <c r="R1164" s="78">
        <v>0.31740000000000002</v>
      </c>
      <c r="S1164" s="69">
        <v>0</v>
      </c>
      <c r="T1164" s="69">
        <v>0</v>
      </c>
      <c r="U1164" s="507">
        <v>0.85</v>
      </c>
      <c r="V1164" s="76">
        <v>0</v>
      </c>
      <c r="W1164" s="76">
        <v>0</v>
      </c>
      <c r="X1164" s="76" t="s">
        <v>147</v>
      </c>
      <c r="Y1164" s="519" t="s">
        <v>469</v>
      </c>
    </row>
    <row r="1165" spans="1:25" x14ac:dyDescent="0.25">
      <c r="A1165" s="75" t="str">
        <f t="shared" si="41"/>
        <v>Pago_de_Hipoteca PF No_Premier Nómina Pago_Bajo_Puntual 16</v>
      </c>
      <c r="B1165" s="75" t="str">
        <f t="shared" si="40"/>
        <v>Pago_de_Hipoteca PF No_Premier Nómina Pago_Bajo_Puntual 16 0.106</v>
      </c>
      <c r="C1165" s="75" t="s">
        <v>173</v>
      </c>
      <c r="D1165" s="75" t="s">
        <v>132</v>
      </c>
      <c r="E1165" s="75" t="s">
        <v>179</v>
      </c>
      <c r="F1165" s="75" t="s">
        <v>181</v>
      </c>
      <c r="G1165" s="75"/>
      <c r="H1165" s="75"/>
      <c r="I1165" s="75" t="s">
        <v>170</v>
      </c>
      <c r="J1165" s="76">
        <v>16</v>
      </c>
      <c r="K1165" s="519">
        <v>3</v>
      </c>
      <c r="L1165" s="520">
        <v>10.039999999999999</v>
      </c>
      <c r="M1165" s="520">
        <v>10.7</v>
      </c>
      <c r="N1165" s="507">
        <v>0.106</v>
      </c>
      <c r="O1165" s="507">
        <v>0.10299999999999999</v>
      </c>
      <c r="P1165" s="507">
        <v>0.11799999999999999</v>
      </c>
      <c r="Q1165" s="78">
        <v>0.44</v>
      </c>
      <c r="R1165" s="78">
        <v>0.31740000000000002</v>
      </c>
      <c r="S1165" s="69">
        <v>0</v>
      </c>
      <c r="T1165" s="69">
        <v>0</v>
      </c>
      <c r="U1165" s="507">
        <v>0.85</v>
      </c>
      <c r="V1165" s="76">
        <v>0</v>
      </c>
      <c r="W1165" s="76">
        <v>0</v>
      </c>
      <c r="X1165" s="76"/>
      <c r="Y1165" s="519" t="s">
        <v>469</v>
      </c>
    </row>
    <row r="1166" spans="1:25" x14ac:dyDescent="0.25">
      <c r="A1166" s="75" t="str">
        <f t="shared" si="41"/>
        <v>Pago_de_Hipoteca PF No_Premier Nómina Pago_Bajo_Puntual Si 15</v>
      </c>
      <c r="B1166" s="75" t="str">
        <f t="shared" si="40"/>
        <v>Pago_de_Hipoteca PF No_Premier Nómina Pago_Bajo_Puntual Si 15 0.103</v>
      </c>
      <c r="C1166" s="75" t="s">
        <v>173</v>
      </c>
      <c r="D1166" s="75" t="s">
        <v>132</v>
      </c>
      <c r="E1166" s="75" t="s">
        <v>179</v>
      </c>
      <c r="F1166" s="75" t="s">
        <v>181</v>
      </c>
      <c r="G1166" s="75"/>
      <c r="H1166" s="75"/>
      <c r="I1166" s="75" t="s">
        <v>170</v>
      </c>
      <c r="J1166" s="76">
        <v>15</v>
      </c>
      <c r="K1166" s="519" t="s">
        <v>387</v>
      </c>
      <c r="L1166" s="520">
        <v>10.119999999999999</v>
      </c>
      <c r="M1166" s="520">
        <v>10.78</v>
      </c>
      <c r="N1166" s="507">
        <v>0.10299999999999999</v>
      </c>
      <c r="O1166" s="507">
        <v>0.1</v>
      </c>
      <c r="P1166" s="507">
        <v>0.112</v>
      </c>
      <c r="Q1166" s="78">
        <v>0.44</v>
      </c>
      <c r="R1166" s="78">
        <v>0.31740000000000002</v>
      </c>
      <c r="S1166" s="69">
        <v>0</v>
      </c>
      <c r="T1166" s="69">
        <v>0</v>
      </c>
      <c r="U1166" s="507">
        <v>0.85</v>
      </c>
      <c r="V1166" s="76">
        <v>0</v>
      </c>
      <c r="W1166" s="76">
        <v>0</v>
      </c>
      <c r="X1166" s="76" t="s">
        <v>147</v>
      </c>
      <c r="Y1166" s="519" t="s">
        <v>469</v>
      </c>
    </row>
    <row r="1167" spans="1:25" x14ac:dyDescent="0.25">
      <c r="A1167" s="75" t="str">
        <f t="shared" si="41"/>
        <v>Pago_de_Hipoteca PF No_Premier Nómina Pago_Bajo_Puntual 15</v>
      </c>
      <c r="B1167" s="75" t="str">
        <f t="shared" si="40"/>
        <v>Pago_de_Hipoteca PF No_Premier Nómina Pago_Bajo_Puntual 15 0.106</v>
      </c>
      <c r="C1167" s="75" t="s">
        <v>173</v>
      </c>
      <c r="D1167" s="75" t="s">
        <v>132</v>
      </c>
      <c r="E1167" s="75" t="s">
        <v>179</v>
      </c>
      <c r="F1167" s="75" t="s">
        <v>181</v>
      </c>
      <c r="G1167" s="75"/>
      <c r="H1167" s="75"/>
      <c r="I1167" s="75" t="s">
        <v>170</v>
      </c>
      <c r="J1167" s="76">
        <v>15</v>
      </c>
      <c r="K1167" s="519">
        <v>3</v>
      </c>
      <c r="L1167" s="520">
        <v>10.33</v>
      </c>
      <c r="M1167" s="520">
        <v>10.99</v>
      </c>
      <c r="N1167" s="507">
        <v>0.106</v>
      </c>
      <c r="O1167" s="507">
        <v>0.10299999999999999</v>
      </c>
      <c r="P1167" s="507">
        <v>0.11799999999999999</v>
      </c>
      <c r="Q1167" s="78">
        <v>0.44</v>
      </c>
      <c r="R1167" s="78">
        <v>0.31740000000000002</v>
      </c>
      <c r="S1167" s="69">
        <v>0</v>
      </c>
      <c r="T1167" s="69">
        <v>0</v>
      </c>
      <c r="U1167" s="507">
        <v>0.85</v>
      </c>
      <c r="V1167" s="76">
        <v>0</v>
      </c>
      <c r="W1167" s="76">
        <v>0</v>
      </c>
      <c r="X1167" s="76"/>
      <c r="Y1167" s="519" t="s">
        <v>469</v>
      </c>
    </row>
    <row r="1168" spans="1:25" x14ac:dyDescent="0.25">
      <c r="A1168" s="75" t="str">
        <f t="shared" si="41"/>
        <v>Pago_de_Hipoteca PF No_Premier Nómina Pago_Bajo_Puntual Si 14</v>
      </c>
      <c r="B1168" s="75" t="str">
        <f t="shared" si="40"/>
        <v>Pago_de_Hipoteca PF No_Premier Nómina Pago_Bajo_Puntual Si 14 0.103</v>
      </c>
      <c r="C1168" s="75" t="s">
        <v>173</v>
      </c>
      <c r="D1168" s="75" t="s">
        <v>132</v>
      </c>
      <c r="E1168" s="75" t="s">
        <v>179</v>
      </c>
      <c r="F1168" s="75" t="s">
        <v>181</v>
      </c>
      <c r="G1168" s="75"/>
      <c r="H1168" s="75"/>
      <c r="I1168" s="75" t="s">
        <v>170</v>
      </c>
      <c r="J1168" s="76">
        <v>14</v>
      </c>
      <c r="K1168" s="519" t="s">
        <v>387</v>
      </c>
      <c r="L1168" s="520">
        <v>10.46</v>
      </c>
      <c r="M1168" s="520">
        <v>11.12</v>
      </c>
      <c r="N1168" s="507">
        <v>0.10299999999999999</v>
      </c>
      <c r="O1168" s="507">
        <v>0.1</v>
      </c>
      <c r="P1168" s="507">
        <v>0.112</v>
      </c>
      <c r="Q1168" s="78">
        <v>0.44</v>
      </c>
      <c r="R1168" s="78">
        <v>0.31740000000000002</v>
      </c>
      <c r="S1168" s="69">
        <v>0</v>
      </c>
      <c r="T1168" s="69">
        <v>0</v>
      </c>
      <c r="U1168" s="507">
        <v>0.85</v>
      </c>
      <c r="V1168" s="76">
        <v>0</v>
      </c>
      <c r="W1168" s="76">
        <v>0</v>
      </c>
      <c r="X1168" s="76" t="s">
        <v>147</v>
      </c>
      <c r="Y1168" s="519" t="s">
        <v>469</v>
      </c>
    </row>
    <row r="1169" spans="1:25" x14ac:dyDescent="0.25">
      <c r="A1169" s="75" t="str">
        <f t="shared" si="41"/>
        <v>Pago_de_Hipoteca PF No_Premier Nómina Pago_Bajo_Puntual 14</v>
      </c>
      <c r="B1169" s="75" t="str">
        <f t="shared" si="40"/>
        <v>Pago_de_Hipoteca PF No_Premier Nómina Pago_Bajo_Puntual 14 0.106</v>
      </c>
      <c r="C1169" s="75" t="s">
        <v>173</v>
      </c>
      <c r="D1169" s="75" t="s">
        <v>132</v>
      </c>
      <c r="E1169" s="75" t="s">
        <v>179</v>
      </c>
      <c r="F1169" s="75" t="s">
        <v>181</v>
      </c>
      <c r="G1169" s="75"/>
      <c r="H1169" s="75"/>
      <c r="I1169" s="75" t="s">
        <v>170</v>
      </c>
      <c r="J1169" s="76">
        <v>14</v>
      </c>
      <c r="K1169" s="519">
        <v>3</v>
      </c>
      <c r="L1169" s="520">
        <v>10.66</v>
      </c>
      <c r="M1169" s="520">
        <v>11.32</v>
      </c>
      <c r="N1169" s="507">
        <v>0.106</v>
      </c>
      <c r="O1169" s="507">
        <v>0.10299999999999999</v>
      </c>
      <c r="P1169" s="507">
        <v>0.11799999999999999</v>
      </c>
      <c r="Q1169" s="78">
        <v>0.44</v>
      </c>
      <c r="R1169" s="78">
        <v>0.31740000000000002</v>
      </c>
      <c r="S1169" s="69">
        <v>0</v>
      </c>
      <c r="T1169" s="69">
        <v>0</v>
      </c>
      <c r="U1169" s="507">
        <v>0.85</v>
      </c>
      <c r="V1169" s="76">
        <v>0</v>
      </c>
      <c r="W1169" s="76">
        <v>0</v>
      </c>
      <c r="X1169" s="76"/>
      <c r="Y1169" s="519" t="s">
        <v>469</v>
      </c>
    </row>
    <row r="1170" spans="1:25" x14ac:dyDescent="0.25">
      <c r="A1170" s="75" t="str">
        <f t="shared" si="41"/>
        <v>Pago_de_Hipoteca PF No_Premier Nómina Pago_Bajo_Puntual Si 13</v>
      </c>
      <c r="B1170" s="75" t="str">
        <f t="shared" si="40"/>
        <v>Pago_de_Hipoteca PF No_Premier Nómina Pago_Bajo_Puntual Si 13 0.103</v>
      </c>
      <c r="C1170" s="75" t="s">
        <v>173</v>
      </c>
      <c r="D1170" s="75" t="s">
        <v>132</v>
      </c>
      <c r="E1170" s="75" t="s">
        <v>179</v>
      </c>
      <c r="F1170" s="75" t="s">
        <v>181</v>
      </c>
      <c r="G1170" s="75"/>
      <c r="H1170" s="75"/>
      <c r="I1170" s="75" t="s">
        <v>170</v>
      </c>
      <c r="J1170" s="76">
        <v>13</v>
      </c>
      <c r="K1170" s="519" t="s">
        <v>387</v>
      </c>
      <c r="L1170" s="520">
        <v>10.86</v>
      </c>
      <c r="M1170" s="520">
        <v>11.52</v>
      </c>
      <c r="N1170" s="507">
        <v>0.10299999999999999</v>
      </c>
      <c r="O1170" s="507">
        <v>0.1</v>
      </c>
      <c r="P1170" s="507">
        <v>0.112</v>
      </c>
      <c r="Q1170" s="78">
        <v>0.44</v>
      </c>
      <c r="R1170" s="78">
        <v>0.31740000000000002</v>
      </c>
      <c r="S1170" s="69">
        <v>0</v>
      </c>
      <c r="T1170" s="69">
        <v>0</v>
      </c>
      <c r="U1170" s="507">
        <v>0.85</v>
      </c>
      <c r="V1170" s="76">
        <v>0</v>
      </c>
      <c r="W1170" s="76">
        <v>0</v>
      </c>
      <c r="X1170" s="76" t="s">
        <v>147</v>
      </c>
      <c r="Y1170" s="519" t="s">
        <v>469</v>
      </c>
    </row>
    <row r="1171" spans="1:25" x14ac:dyDescent="0.25">
      <c r="A1171" s="75" t="str">
        <f t="shared" si="41"/>
        <v>Pago_de_Hipoteca PF No_Premier Nómina Pago_Bajo_Puntual 13</v>
      </c>
      <c r="B1171" s="75" t="str">
        <f t="shared" si="40"/>
        <v>Pago_de_Hipoteca PF No_Premier Nómina Pago_Bajo_Puntual 13 0.106</v>
      </c>
      <c r="C1171" s="75" t="s">
        <v>173</v>
      </c>
      <c r="D1171" s="75" t="s">
        <v>132</v>
      </c>
      <c r="E1171" s="75" t="s">
        <v>179</v>
      </c>
      <c r="F1171" s="75" t="s">
        <v>181</v>
      </c>
      <c r="G1171" s="75"/>
      <c r="H1171" s="75"/>
      <c r="I1171" s="75" t="s">
        <v>170</v>
      </c>
      <c r="J1171" s="76">
        <v>13</v>
      </c>
      <c r="K1171" s="519">
        <v>3</v>
      </c>
      <c r="L1171" s="520">
        <v>11.05</v>
      </c>
      <c r="M1171" s="520">
        <v>11.71</v>
      </c>
      <c r="N1171" s="507">
        <v>0.106</v>
      </c>
      <c r="O1171" s="507">
        <v>0.10299999999999999</v>
      </c>
      <c r="P1171" s="507">
        <v>0.11799999999999999</v>
      </c>
      <c r="Q1171" s="78">
        <v>0.44</v>
      </c>
      <c r="R1171" s="78">
        <v>0.31740000000000002</v>
      </c>
      <c r="S1171" s="69">
        <v>0</v>
      </c>
      <c r="T1171" s="69">
        <v>0</v>
      </c>
      <c r="U1171" s="507">
        <v>0.85</v>
      </c>
      <c r="V1171" s="76">
        <v>0</v>
      </c>
      <c r="W1171" s="76">
        <v>0</v>
      </c>
      <c r="X1171" s="76"/>
      <c r="Y1171" s="519" t="s">
        <v>469</v>
      </c>
    </row>
    <row r="1172" spans="1:25" x14ac:dyDescent="0.25">
      <c r="A1172" s="75" t="str">
        <f t="shared" si="41"/>
        <v>Pago_de_Hipoteca PF No_Premier Nómina Pago_Bajo_Puntual Si 12</v>
      </c>
      <c r="B1172" s="75" t="str">
        <f t="shared" si="40"/>
        <v>Pago_de_Hipoteca PF No_Premier Nómina Pago_Bajo_Puntual Si 12 0.103</v>
      </c>
      <c r="C1172" s="75" t="s">
        <v>173</v>
      </c>
      <c r="D1172" s="75" t="s">
        <v>132</v>
      </c>
      <c r="E1172" s="75" t="s">
        <v>179</v>
      </c>
      <c r="F1172" s="75" t="s">
        <v>181</v>
      </c>
      <c r="G1172" s="75"/>
      <c r="H1172" s="75"/>
      <c r="I1172" s="75" t="s">
        <v>170</v>
      </c>
      <c r="J1172" s="76">
        <v>12</v>
      </c>
      <c r="K1172" s="519" t="s">
        <v>387</v>
      </c>
      <c r="L1172" s="520">
        <v>11.34</v>
      </c>
      <c r="M1172" s="520">
        <v>12</v>
      </c>
      <c r="N1172" s="507">
        <v>0.10299999999999999</v>
      </c>
      <c r="O1172" s="507">
        <v>0.1</v>
      </c>
      <c r="P1172" s="507">
        <v>0.112</v>
      </c>
      <c r="Q1172" s="78">
        <v>0.44</v>
      </c>
      <c r="R1172" s="78">
        <v>0.31740000000000002</v>
      </c>
      <c r="S1172" s="69">
        <v>0</v>
      </c>
      <c r="T1172" s="69">
        <v>0</v>
      </c>
      <c r="U1172" s="507">
        <v>0.85</v>
      </c>
      <c r="V1172" s="76">
        <v>0</v>
      </c>
      <c r="W1172" s="76">
        <v>0</v>
      </c>
      <c r="X1172" s="76" t="s">
        <v>147</v>
      </c>
      <c r="Y1172" s="519" t="s">
        <v>469</v>
      </c>
    </row>
    <row r="1173" spans="1:25" x14ac:dyDescent="0.25">
      <c r="A1173" s="75" t="str">
        <f t="shared" si="41"/>
        <v>Pago_de_Hipoteca PF No_Premier Nómina Pago_Bajo_Puntual 12</v>
      </c>
      <c r="B1173" s="75" t="str">
        <f t="shared" si="40"/>
        <v>Pago_de_Hipoteca PF No_Premier Nómina Pago_Bajo_Puntual 12 0.106</v>
      </c>
      <c r="C1173" s="75" t="s">
        <v>173</v>
      </c>
      <c r="D1173" s="75" t="s">
        <v>132</v>
      </c>
      <c r="E1173" s="75" t="s">
        <v>179</v>
      </c>
      <c r="F1173" s="75" t="s">
        <v>181</v>
      </c>
      <c r="G1173" s="75"/>
      <c r="H1173" s="75"/>
      <c r="I1173" s="75" t="s">
        <v>170</v>
      </c>
      <c r="J1173" s="76">
        <v>12</v>
      </c>
      <c r="K1173" s="519">
        <v>3</v>
      </c>
      <c r="L1173" s="520">
        <v>11.52</v>
      </c>
      <c r="M1173" s="520">
        <v>12.18</v>
      </c>
      <c r="N1173" s="507">
        <v>0.106</v>
      </c>
      <c r="O1173" s="507">
        <v>0.10299999999999999</v>
      </c>
      <c r="P1173" s="507">
        <v>0.11799999999999999</v>
      </c>
      <c r="Q1173" s="78">
        <v>0.44</v>
      </c>
      <c r="R1173" s="78">
        <v>0.31740000000000002</v>
      </c>
      <c r="S1173" s="69">
        <v>0</v>
      </c>
      <c r="T1173" s="69">
        <v>0</v>
      </c>
      <c r="U1173" s="507">
        <v>0.85</v>
      </c>
      <c r="V1173" s="76">
        <v>0</v>
      </c>
      <c r="W1173" s="76">
        <v>0</v>
      </c>
      <c r="X1173" s="76"/>
      <c r="Y1173" s="519" t="s">
        <v>469</v>
      </c>
    </row>
    <row r="1174" spans="1:25" x14ac:dyDescent="0.25">
      <c r="A1174" s="75" t="str">
        <f t="shared" si="41"/>
        <v>Pago_de_Hipoteca PF No_Premier Nómina Pago_Bajo_Puntual Si 11</v>
      </c>
      <c r="B1174" s="75" t="str">
        <f t="shared" si="40"/>
        <v>Pago_de_Hipoteca PF No_Premier Nómina Pago_Bajo_Puntual Si 11 0.103</v>
      </c>
      <c r="C1174" s="75" t="s">
        <v>173</v>
      </c>
      <c r="D1174" s="75" t="s">
        <v>132</v>
      </c>
      <c r="E1174" s="75" t="s">
        <v>179</v>
      </c>
      <c r="F1174" s="75" t="s">
        <v>181</v>
      </c>
      <c r="G1174" s="75"/>
      <c r="H1174" s="75"/>
      <c r="I1174" s="75" t="s">
        <v>170</v>
      </c>
      <c r="J1174" s="76">
        <v>11</v>
      </c>
      <c r="K1174" s="519" t="s">
        <v>387</v>
      </c>
      <c r="L1174" s="520">
        <v>11.92</v>
      </c>
      <c r="M1174" s="520">
        <v>12.58</v>
      </c>
      <c r="N1174" s="507">
        <v>0.10299999999999999</v>
      </c>
      <c r="O1174" s="507">
        <v>0.1</v>
      </c>
      <c r="P1174" s="507">
        <v>0.112</v>
      </c>
      <c r="Q1174" s="78">
        <v>0.44</v>
      </c>
      <c r="R1174" s="78">
        <v>0.31740000000000002</v>
      </c>
      <c r="S1174" s="69">
        <v>0</v>
      </c>
      <c r="T1174" s="69">
        <v>0</v>
      </c>
      <c r="U1174" s="507">
        <v>0.85</v>
      </c>
      <c r="V1174" s="76">
        <v>0</v>
      </c>
      <c r="W1174" s="76">
        <v>0</v>
      </c>
      <c r="X1174" s="76" t="s">
        <v>147</v>
      </c>
      <c r="Y1174" s="519" t="s">
        <v>469</v>
      </c>
    </row>
    <row r="1175" spans="1:25" x14ac:dyDescent="0.25">
      <c r="A1175" s="75" t="str">
        <f t="shared" si="41"/>
        <v>Pago_de_Hipoteca PF No_Premier Nómina Pago_Bajo_Puntual 11</v>
      </c>
      <c r="B1175" s="75" t="str">
        <f t="shared" si="40"/>
        <v>Pago_de_Hipoteca PF No_Premier Nómina Pago_Bajo_Puntual 11 0.106</v>
      </c>
      <c r="C1175" s="75" t="s">
        <v>173</v>
      </c>
      <c r="D1175" s="75" t="s">
        <v>132</v>
      </c>
      <c r="E1175" s="75" t="s">
        <v>179</v>
      </c>
      <c r="F1175" s="75" t="s">
        <v>181</v>
      </c>
      <c r="G1175" s="75"/>
      <c r="H1175" s="75"/>
      <c r="I1175" s="75" t="s">
        <v>170</v>
      </c>
      <c r="J1175" s="76">
        <v>11</v>
      </c>
      <c r="K1175" s="519">
        <v>3</v>
      </c>
      <c r="L1175" s="520">
        <v>12.09</v>
      </c>
      <c r="M1175" s="520">
        <v>12.75</v>
      </c>
      <c r="N1175" s="507">
        <v>0.106</v>
      </c>
      <c r="O1175" s="507">
        <v>0.10299999999999999</v>
      </c>
      <c r="P1175" s="507">
        <v>0.11799999999999999</v>
      </c>
      <c r="Q1175" s="78">
        <v>0.44</v>
      </c>
      <c r="R1175" s="78">
        <v>0.31740000000000002</v>
      </c>
      <c r="S1175" s="69">
        <v>0</v>
      </c>
      <c r="T1175" s="69">
        <v>0</v>
      </c>
      <c r="U1175" s="507">
        <v>0.85</v>
      </c>
      <c r="V1175" s="76">
        <v>0</v>
      </c>
      <c r="W1175" s="76">
        <v>0</v>
      </c>
      <c r="X1175" s="76"/>
      <c r="Y1175" s="519" t="s">
        <v>469</v>
      </c>
    </row>
    <row r="1176" spans="1:25" x14ac:dyDescent="0.25">
      <c r="A1176" s="75" t="str">
        <f t="shared" si="41"/>
        <v>Pago_de_Hipoteca PF No_Premier Nómina Pago_Bajo_Puntual Si 10</v>
      </c>
      <c r="B1176" s="75" t="str">
        <f t="shared" si="40"/>
        <v>Pago_de_Hipoteca PF No_Premier Nómina Pago_Bajo_Puntual Si 10 0.103</v>
      </c>
      <c r="C1176" s="75" t="s">
        <v>173</v>
      </c>
      <c r="D1176" s="75" t="s">
        <v>132</v>
      </c>
      <c r="E1176" s="75" t="s">
        <v>179</v>
      </c>
      <c r="F1176" s="75" t="s">
        <v>181</v>
      </c>
      <c r="G1176" s="75"/>
      <c r="H1176" s="75"/>
      <c r="I1176" s="75" t="s">
        <v>170</v>
      </c>
      <c r="J1176" s="76">
        <v>10</v>
      </c>
      <c r="K1176" s="519" t="s">
        <v>387</v>
      </c>
      <c r="L1176" s="520">
        <v>12.62</v>
      </c>
      <c r="M1176" s="520">
        <v>13.28</v>
      </c>
      <c r="N1176" s="507">
        <v>0.10299999999999999</v>
      </c>
      <c r="O1176" s="507">
        <v>0.1</v>
      </c>
      <c r="P1176" s="507">
        <v>0.112</v>
      </c>
      <c r="Q1176" s="78">
        <v>0.44</v>
      </c>
      <c r="R1176" s="78">
        <v>0.31740000000000002</v>
      </c>
      <c r="S1176" s="69">
        <v>0</v>
      </c>
      <c r="T1176" s="69">
        <v>0</v>
      </c>
      <c r="U1176" s="507">
        <v>0.85</v>
      </c>
      <c r="V1176" s="76">
        <v>0</v>
      </c>
      <c r="W1176" s="76">
        <v>0</v>
      </c>
      <c r="X1176" s="76" t="s">
        <v>147</v>
      </c>
      <c r="Y1176" s="519" t="s">
        <v>469</v>
      </c>
    </row>
    <row r="1177" spans="1:25" x14ac:dyDescent="0.25">
      <c r="A1177" s="75" t="str">
        <f t="shared" si="41"/>
        <v>Pago_de_Hipoteca PF No_Premier Nómina Pago_Bajo_Puntual 10</v>
      </c>
      <c r="B1177" s="75" t="str">
        <f t="shared" si="40"/>
        <v>Pago_de_Hipoteca PF No_Premier Nómina Pago_Bajo_Puntual 10 0.106</v>
      </c>
      <c r="C1177" s="75" t="s">
        <v>173</v>
      </c>
      <c r="D1177" s="75" t="s">
        <v>132</v>
      </c>
      <c r="E1177" s="75" t="s">
        <v>179</v>
      </c>
      <c r="F1177" s="75" t="s">
        <v>181</v>
      </c>
      <c r="G1177" s="75"/>
      <c r="H1177" s="75"/>
      <c r="I1177" s="75" t="s">
        <v>170</v>
      </c>
      <c r="J1177" s="76">
        <v>10</v>
      </c>
      <c r="K1177" s="519">
        <v>3</v>
      </c>
      <c r="L1177" s="520">
        <v>12.78</v>
      </c>
      <c r="M1177" s="520">
        <v>13.44</v>
      </c>
      <c r="N1177" s="507">
        <v>0.106</v>
      </c>
      <c r="O1177" s="507">
        <v>0.10299999999999999</v>
      </c>
      <c r="P1177" s="507">
        <v>0.11799999999999999</v>
      </c>
      <c r="Q1177" s="78">
        <v>0.44</v>
      </c>
      <c r="R1177" s="78">
        <v>0.31740000000000002</v>
      </c>
      <c r="S1177" s="69">
        <v>0</v>
      </c>
      <c r="T1177" s="69">
        <v>0</v>
      </c>
      <c r="U1177" s="507">
        <v>0.85</v>
      </c>
      <c r="V1177" s="76">
        <v>0</v>
      </c>
      <c r="W1177" s="76">
        <v>0</v>
      </c>
      <c r="X1177" s="76"/>
      <c r="Y1177" s="519" t="s">
        <v>469</v>
      </c>
    </row>
    <row r="1178" spans="1:25" x14ac:dyDescent="0.25">
      <c r="A1178" s="75" t="str">
        <f t="shared" si="41"/>
        <v>Pago_de_Hipoteca PF No_Premier Nómina Pago_Bajo_Puntual Si 9</v>
      </c>
      <c r="B1178" s="75" t="str">
        <f t="shared" si="40"/>
        <v>Pago_de_Hipoteca PF No_Premier Nómina Pago_Bajo_Puntual Si 9 0.103</v>
      </c>
      <c r="C1178" s="75" t="s">
        <v>173</v>
      </c>
      <c r="D1178" s="75" t="s">
        <v>132</v>
      </c>
      <c r="E1178" s="75" t="s">
        <v>179</v>
      </c>
      <c r="F1178" s="75" t="s">
        <v>181</v>
      </c>
      <c r="G1178" s="75"/>
      <c r="H1178" s="75"/>
      <c r="I1178" s="75" t="s">
        <v>170</v>
      </c>
      <c r="J1178" s="76">
        <v>9</v>
      </c>
      <c r="K1178" s="519" t="s">
        <v>387</v>
      </c>
      <c r="L1178" s="520">
        <v>13.49</v>
      </c>
      <c r="M1178" s="520">
        <v>14.15</v>
      </c>
      <c r="N1178" s="507">
        <v>0.10299999999999999</v>
      </c>
      <c r="O1178" s="507">
        <v>0.1</v>
      </c>
      <c r="P1178" s="507">
        <v>0.112</v>
      </c>
      <c r="Q1178" s="78">
        <v>0.44</v>
      </c>
      <c r="R1178" s="78">
        <v>0.31740000000000002</v>
      </c>
      <c r="S1178" s="69">
        <v>0</v>
      </c>
      <c r="T1178" s="69">
        <v>0</v>
      </c>
      <c r="U1178" s="507">
        <v>0.85</v>
      </c>
      <c r="V1178" s="76">
        <v>0</v>
      </c>
      <c r="W1178" s="76">
        <v>0</v>
      </c>
      <c r="X1178" s="76" t="s">
        <v>147</v>
      </c>
      <c r="Y1178" s="519" t="s">
        <v>469</v>
      </c>
    </row>
    <row r="1179" spans="1:25" x14ac:dyDescent="0.25">
      <c r="A1179" s="75" t="str">
        <f t="shared" si="41"/>
        <v>Pago_de_Hipoteca PF No_Premier Nómina Pago_Bajo_Puntual 9</v>
      </c>
      <c r="B1179" s="75" t="str">
        <f t="shared" si="40"/>
        <v>Pago_de_Hipoteca PF No_Premier Nómina Pago_Bajo_Puntual 9 0.106</v>
      </c>
      <c r="C1179" s="75" t="s">
        <v>173</v>
      </c>
      <c r="D1179" s="75" t="s">
        <v>132</v>
      </c>
      <c r="E1179" s="75" t="s">
        <v>179</v>
      </c>
      <c r="F1179" s="75" t="s">
        <v>181</v>
      </c>
      <c r="G1179" s="75"/>
      <c r="H1179" s="75"/>
      <c r="I1179" s="75" t="s">
        <v>170</v>
      </c>
      <c r="J1179" s="76">
        <v>9</v>
      </c>
      <c r="K1179" s="519">
        <v>3</v>
      </c>
      <c r="L1179" s="520">
        <v>13.65</v>
      </c>
      <c r="M1179" s="520">
        <v>14.31</v>
      </c>
      <c r="N1179" s="507">
        <v>0.106</v>
      </c>
      <c r="O1179" s="507">
        <v>0.10299999999999999</v>
      </c>
      <c r="P1179" s="507">
        <v>0.11799999999999999</v>
      </c>
      <c r="Q1179" s="78">
        <v>0.44</v>
      </c>
      <c r="R1179" s="78">
        <v>0.31740000000000002</v>
      </c>
      <c r="S1179" s="69">
        <v>0</v>
      </c>
      <c r="T1179" s="69">
        <v>0</v>
      </c>
      <c r="U1179" s="507">
        <v>0.85</v>
      </c>
      <c r="V1179" s="76">
        <v>0</v>
      </c>
      <c r="W1179" s="76">
        <v>0</v>
      </c>
      <c r="X1179" s="76"/>
      <c r="Y1179" s="519" t="s">
        <v>469</v>
      </c>
    </row>
    <row r="1180" spans="1:25" x14ac:dyDescent="0.25">
      <c r="A1180" s="75" t="str">
        <f t="shared" si="41"/>
        <v>Pago_de_Hipoteca PF No_Premier Nómina Pago_Bajo_Puntual Si 8</v>
      </c>
      <c r="B1180" s="75" t="str">
        <f t="shared" si="40"/>
        <v>Pago_de_Hipoteca PF No_Premier Nómina Pago_Bajo_Puntual Si 8 0.103</v>
      </c>
      <c r="C1180" s="75" t="s">
        <v>173</v>
      </c>
      <c r="D1180" s="75" t="s">
        <v>132</v>
      </c>
      <c r="E1180" s="75" t="s">
        <v>179</v>
      </c>
      <c r="F1180" s="75" t="s">
        <v>181</v>
      </c>
      <c r="G1180" s="75"/>
      <c r="H1180" s="75"/>
      <c r="I1180" s="75" t="s">
        <v>170</v>
      </c>
      <c r="J1180" s="76">
        <v>8</v>
      </c>
      <c r="K1180" s="519" t="s">
        <v>387</v>
      </c>
      <c r="L1180" s="520">
        <v>14.59</v>
      </c>
      <c r="M1180" s="520">
        <v>15.25</v>
      </c>
      <c r="N1180" s="507">
        <v>0.10299999999999999</v>
      </c>
      <c r="O1180" s="507">
        <v>0.1</v>
      </c>
      <c r="P1180" s="507">
        <v>0.112</v>
      </c>
      <c r="Q1180" s="78">
        <v>0.44</v>
      </c>
      <c r="R1180" s="78">
        <v>0.31740000000000002</v>
      </c>
      <c r="S1180" s="69">
        <v>0</v>
      </c>
      <c r="T1180" s="69">
        <v>0</v>
      </c>
      <c r="U1180" s="507">
        <v>0.85</v>
      </c>
      <c r="V1180" s="76">
        <v>0</v>
      </c>
      <c r="W1180" s="76">
        <v>0</v>
      </c>
      <c r="X1180" s="76" t="s">
        <v>147</v>
      </c>
      <c r="Y1180" s="519" t="s">
        <v>469</v>
      </c>
    </row>
    <row r="1181" spans="1:25" x14ac:dyDescent="0.25">
      <c r="A1181" s="75" t="str">
        <f t="shared" si="41"/>
        <v>Pago_de_Hipoteca PF No_Premier Nómina Pago_Bajo_Puntual 8</v>
      </c>
      <c r="B1181" s="75" t="str">
        <f t="shared" si="40"/>
        <v>Pago_de_Hipoteca PF No_Premier Nómina Pago_Bajo_Puntual 8 0.106</v>
      </c>
      <c r="C1181" s="75" t="s">
        <v>173</v>
      </c>
      <c r="D1181" s="75" t="s">
        <v>132</v>
      </c>
      <c r="E1181" s="75" t="s">
        <v>179</v>
      </c>
      <c r="F1181" s="75" t="s">
        <v>181</v>
      </c>
      <c r="G1181" s="75"/>
      <c r="H1181" s="75"/>
      <c r="I1181" s="75" t="s">
        <v>170</v>
      </c>
      <c r="J1181" s="76">
        <v>8</v>
      </c>
      <c r="K1181" s="519">
        <v>3</v>
      </c>
      <c r="L1181" s="520">
        <v>14.74</v>
      </c>
      <c r="M1181" s="520">
        <v>15.4</v>
      </c>
      <c r="N1181" s="507">
        <v>0.106</v>
      </c>
      <c r="O1181" s="507">
        <v>0.10299999999999999</v>
      </c>
      <c r="P1181" s="507">
        <v>0.11799999999999999</v>
      </c>
      <c r="Q1181" s="78">
        <v>0.44</v>
      </c>
      <c r="R1181" s="78">
        <v>0.31740000000000002</v>
      </c>
      <c r="S1181" s="69">
        <v>0</v>
      </c>
      <c r="T1181" s="69">
        <v>0</v>
      </c>
      <c r="U1181" s="507">
        <v>0.85</v>
      </c>
      <c r="V1181" s="76">
        <v>0</v>
      </c>
      <c r="W1181" s="76">
        <v>0</v>
      </c>
      <c r="X1181" s="76"/>
      <c r="Y1181" s="519" t="s">
        <v>469</v>
      </c>
    </row>
    <row r="1182" spans="1:25" x14ac:dyDescent="0.25">
      <c r="A1182" s="75" t="str">
        <f t="shared" si="41"/>
        <v>Pago_de_Hipoteca PF No_Premier Nómina Pago_Bajo_Puntual Si 7</v>
      </c>
      <c r="B1182" s="75" t="str">
        <f t="shared" si="40"/>
        <v>Pago_de_Hipoteca PF No_Premier Nómina Pago_Bajo_Puntual Si 7 0.103</v>
      </c>
      <c r="C1182" s="75" t="s">
        <v>173</v>
      </c>
      <c r="D1182" s="75" t="s">
        <v>132</v>
      </c>
      <c r="E1182" s="75" t="s">
        <v>179</v>
      </c>
      <c r="F1182" s="75" t="s">
        <v>181</v>
      </c>
      <c r="G1182" s="75"/>
      <c r="H1182" s="75"/>
      <c r="I1182" s="75" t="s">
        <v>170</v>
      </c>
      <c r="J1182" s="76">
        <v>7</v>
      </c>
      <c r="K1182" s="519" t="s">
        <v>387</v>
      </c>
      <c r="L1182" s="520">
        <v>16.03</v>
      </c>
      <c r="M1182" s="520">
        <v>16.690000000000001</v>
      </c>
      <c r="N1182" s="507">
        <v>0.10299999999999999</v>
      </c>
      <c r="O1182" s="507">
        <v>0.1</v>
      </c>
      <c r="P1182" s="507">
        <v>0.112</v>
      </c>
      <c r="Q1182" s="78">
        <v>0.44</v>
      </c>
      <c r="R1182" s="78">
        <v>0.31740000000000002</v>
      </c>
      <c r="S1182" s="69">
        <v>0</v>
      </c>
      <c r="T1182" s="69">
        <v>0</v>
      </c>
      <c r="U1182" s="507">
        <v>0.85</v>
      </c>
      <c r="V1182" s="76">
        <v>0</v>
      </c>
      <c r="W1182" s="76">
        <v>0</v>
      </c>
      <c r="X1182" s="76" t="s">
        <v>147</v>
      </c>
      <c r="Y1182" s="519" t="s">
        <v>469</v>
      </c>
    </row>
    <row r="1183" spans="1:25" x14ac:dyDescent="0.25">
      <c r="A1183" s="75" t="str">
        <f t="shared" si="41"/>
        <v>Pago_de_Hipoteca PF No_Premier Nómina Pago_Bajo_Puntual 7</v>
      </c>
      <c r="B1183" s="75" t="str">
        <f t="shared" si="40"/>
        <v>Pago_de_Hipoteca PF No_Premier Nómina Pago_Bajo_Puntual 7 0.106</v>
      </c>
      <c r="C1183" s="75" t="s">
        <v>173</v>
      </c>
      <c r="D1183" s="75" t="s">
        <v>132</v>
      </c>
      <c r="E1183" s="75" t="s">
        <v>179</v>
      </c>
      <c r="F1183" s="75" t="s">
        <v>181</v>
      </c>
      <c r="G1183" s="75"/>
      <c r="H1183" s="75"/>
      <c r="I1183" s="75" t="s">
        <v>170</v>
      </c>
      <c r="J1183" s="76">
        <v>7</v>
      </c>
      <c r="K1183" s="519">
        <v>3</v>
      </c>
      <c r="L1183" s="520">
        <v>16.18</v>
      </c>
      <c r="M1183" s="520">
        <v>16.84</v>
      </c>
      <c r="N1183" s="507">
        <v>0.106</v>
      </c>
      <c r="O1183" s="507">
        <v>0.10299999999999999</v>
      </c>
      <c r="P1183" s="507">
        <v>0.11799999999999999</v>
      </c>
      <c r="Q1183" s="78">
        <v>0.44</v>
      </c>
      <c r="R1183" s="78">
        <v>0.31740000000000002</v>
      </c>
      <c r="S1183" s="69">
        <v>0</v>
      </c>
      <c r="T1183" s="69">
        <v>0</v>
      </c>
      <c r="U1183" s="507">
        <v>0.85</v>
      </c>
      <c r="V1183" s="76">
        <v>0</v>
      </c>
      <c r="W1183" s="76">
        <v>0</v>
      </c>
      <c r="X1183" s="76"/>
      <c r="Y1183" s="519" t="s">
        <v>469</v>
      </c>
    </row>
    <row r="1184" spans="1:25" x14ac:dyDescent="0.25">
      <c r="A1184" s="75" t="str">
        <f t="shared" si="41"/>
        <v>Pago_de_Hipoteca PF No_Premier Nómina Pago_Bajo_Puntual Si 6</v>
      </c>
      <c r="B1184" s="75" t="str">
        <f t="shared" si="40"/>
        <v>Pago_de_Hipoteca PF No_Premier Nómina Pago_Bajo_Puntual Si 6 0.103</v>
      </c>
      <c r="C1184" s="75" t="s">
        <v>173</v>
      </c>
      <c r="D1184" s="75" t="s">
        <v>132</v>
      </c>
      <c r="E1184" s="75" t="s">
        <v>179</v>
      </c>
      <c r="F1184" s="75" t="s">
        <v>181</v>
      </c>
      <c r="G1184" s="75"/>
      <c r="H1184" s="75"/>
      <c r="I1184" s="75" t="s">
        <v>170</v>
      </c>
      <c r="J1184" s="76">
        <v>6</v>
      </c>
      <c r="K1184" s="519" t="s">
        <v>387</v>
      </c>
      <c r="L1184" s="520">
        <v>17.97</v>
      </c>
      <c r="M1184" s="520">
        <v>18.63</v>
      </c>
      <c r="N1184" s="507">
        <v>0.10299999999999999</v>
      </c>
      <c r="O1184" s="507">
        <v>0.1</v>
      </c>
      <c r="P1184" s="507">
        <v>0.112</v>
      </c>
      <c r="Q1184" s="78">
        <v>0.44</v>
      </c>
      <c r="R1184" s="78">
        <v>0.31740000000000002</v>
      </c>
      <c r="S1184" s="69">
        <v>0</v>
      </c>
      <c r="T1184" s="69">
        <v>0</v>
      </c>
      <c r="U1184" s="507">
        <v>0.85</v>
      </c>
      <c r="V1184" s="76">
        <v>0</v>
      </c>
      <c r="W1184" s="76">
        <v>0</v>
      </c>
      <c r="X1184" s="76" t="s">
        <v>147</v>
      </c>
      <c r="Y1184" s="519" t="s">
        <v>469</v>
      </c>
    </row>
    <row r="1185" spans="1:25" x14ac:dyDescent="0.25">
      <c r="A1185" s="75" t="str">
        <f t="shared" si="41"/>
        <v>Pago_de_Hipoteca PF No_Premier Nómina Pago_Bajo_Puntual 6</v>
      </c>
      <c r="B1185" s="75" t="str">
        <f t="shared" si="40"/>
        <v>Pago_de_Hipoteca PF No_Premier Nómina Pago_Bajo_Puntual 6 0.106</v>
      </c>
      <c r="C1185" s="75" t="s">
        <v>173</v>
      </c>
      <c r="D1185" s="75" t="s">
        <v>132</v>
      </c>
      <c r="E1185" s="75" t="s">
        <v>179</v>
      </c>
      <c r="F1185" s="75" t="s">
        <v>181</v>
      </c>
      <c r="G1185" s="75"/>
      <c r="H1185" s="75"/>
      <c r="I1185" s="75" t="s">
        <v>170</v>
      </c>
      <c r="J1185" s="76">
        <v>6</v>
      </c>
      <c r="K1185" s="519">
        <v>3</v>
      </c>
      <c r="L1185" s="520">
        <v>18.12</v>
      </c>
      <c r="M1185" s="520">
        <v>18.78</v>
      </c>
      <c r="N1185" s="507">
        <v>0.106</v>
      </c>
      <c r="O1185" s="507">
        <v>0.10299999999999999</v>
      </c>
      <c r="P1185" s="507">
        <v>0.11799999999999999</v>
      </c>
      <c r="Q1185" s="78">
        <v>0.44</v>
      </c>
      <c r="R1185" s="78">
        <v>0.31740000000000002</v>
      </c>
      <c r="S1185" s="69">
        <v>0</v>
      </c>
      <c r="T1185" s="69">
        <v>0</v>
      </c>
      <c r="U1185" s="507">
        <v>0.85</v>
      </c>
      <c r="V1185" s="76">
        <v>0</v>
      </c>
      <c r="W1185" s="76">
        <v>0</v>
      </c>
      <c r="X1185" s="76"/>
      <c r="Y1185" s="519" t="s">
        <v>469</v>
      </c>
    </row>
    <row r="1186" spans="1:25" x14ac:dyDescent="0.25">
      <c r="A1186" s="75" t="str">
        <f t="shared" si="41"/>
        <v>Pago_de_Hipoteca PF No_Premier Nómina Pago_Bajo_Puntual Si 5</v>
      </c>
      <c r="B1186" s="75" t="str">
        <f t="shared" si="40"/>
        <v>Pago_de_Hipoteca PF No_Premier Nómina Pago_Bajo_Puntual Si 5 0.103</v>
      </c>
      <c r="C1186" s="75" t="s">
        <v>173</v>
      </c>
      <c r="D1186" s="75" t="s">
        <v>132</v>
      </c>
      <c r="E1186" s="75" t="s">
        <v>179</v>
      </c>
      <c r="F1186" s="75" t="s">
        <v>181</v>
      </c>
      <c r="G1186" s="75"/>
      <c r="H1186" s="75"/>
      <c r="I1186" s="75" t="s">
        <v>170</v>
      </c>
      <c r="J1186" s="76">
        <v>5</v>
      </c>
      <c r="K1186" s="519" t="s">
        <v>387</v>
      </c>
      <c r="L1186" s="520">
        <v>20.72</v>
      </c>
      <c r="M1186" s="520">
        <v>21.38</v>
      </c>
      <c r="N1186" s="507">
        <v>0.10299999999999999</v>
      </c>
      <c r="O1186" s="507">
        <v>0.1</v>
      </c>
      <c r="P1186" s="507">
        <v>0.112</v>
      </c>
      <c r="Q1186" s="78">
        <v>0.44</v>
      </c>
      <c r="R1186" s="78">
        <v>0.31740000000000002</v>
      </c>
      <c r="S1186" s="69">
        <v>0</v>
      </c>
      <c r="T1186" s="69">
        <v>0</v>
      </c>
      <c r="U1186" s="507">
        <v>0.85</v>
      </c>
      <c r="V1186" s="76">
        <v>0</v>
      </c>
      <c r="W1186" s="76">
        <v>0</v>
      </c>
      <c r="X1186" s="76" t="s">
        <v>147</v>
      </c>
      <c r="Y1186" s="519" t="s">
        <v>469</v>
      </c>
    </row>
    <row r="1187" spans="1:25" x14ac:dyDescent="0.25">
      <c r="A1187" s="75" t="str">
        <f t="shared" si="41"/>
        <v>Pago_de_Hipoteca PF No_Premier Nómina Pago_Bajo_Puntual 5</v>
      </c>
      <c r="B1187" s="75" t="str">
        <f t="shared" si="40"/>
        <v>Pago_de_Hipoteca PF No_Premier Nómina Pago_Bajo_Puntual 5 0.106</v>
      </c>
      <c r="C1187" s="75" t="s">
        <v>173</v>
      </c>
      <c r="D1187" s="75" t="s">
        <v>132</v>
      </c>
      <c r="E1187" s="75" t="s">
        <v>179</v>
      </c>
      <c r="F1187" s="75" t="s">
        <v>181</v>
      </c>
      <c r="G1187" s="75"/>
      <c r="H1187" s="75"/>
      <c r="I1187" s="75" t="s">
        <v>170</v>
      </c>
      <c r="J1187" s="76">
        <v>5</v>
      </c>
      <c r="K1187" s="519">
        <v>3</v>
      </c>
      <c r="L1187" s="520">
        <v>20.86</v>
      </c>
      <c r="M1187" s="520">
        <v>21.52</v>
      </c>
      <c r="N1187" s="507">
        <v>0.106</v>
      </c>
      <c r="O1187" s="507">
        <v>0.10299999999999999</v>
      </c>
      <c r="P1187" s="507">
        <v>0.11799999999999999</v>
      </c>
      <c r="Q1187" s="78">
        <v>0.44</v>
      </c>
      <c r="R1187" s="78">
        <v>0.31740000000000002</v>
      </c>
      <c r="S1187" s="69">
        <v>0</v>
      </c>
      <c r="T1187" s="69">
        <v>0</v>
      </c>
      <c r="U1187" s="507">
        <v>0.85</v>
      </c>
      <c r="V1187" s="76">
        <v>0</v>
      </c>
      <c r="W1187" s="76">
        <v>0</v>
      </c>
      <c r="X1187" s="76"/>
      <c r="Y1187" s="519" t="s">
        <v>469</v>
      </c>
    </row>
    <row r="1188" spans="1:25" x14ac:dyDescent="0.25">
      <c r="A1188" s="75" t="str">
        <f t="shared" si="41"/>
        <v>Pago_de_Hipoteca PF No_Premier Nómina Pago_Fijo_Puntual 20</v>
      </c>
      <c r="B1188" s="75" t="str">
        <f t="shared" si="40"/>
        <v>Pago_de_Hipoteca PF No_Premier Nómina Pago_Fijo_Puntual 20 0.0965</v>
      </c>
      <c r="C1188" s="75" t="s">
        <v>173</v>
      </c>
      <c r="D1188" s="75" t="s">
        <v>132</v>
      </c>
      <c r="E1188" s="75" t="s">
        <v>179</v>
      </c>
      <c r="F1188" s="75" t="s">
        <v>181</v>
      </c>
      <c r="G1188" s="75"/>
      <c r="H1188" s="75"/>
      <c r="I1188" s="75" t="s">
        <v>171</v>
      </c>
      <c r="J1188" s="76">
        <v>20</v>
      </c>
      <c r="K1188" s="516" t="s">
        <v>385</v>
      </c>
      <c r="L1188" s="517">
        <v>9.66</v>
      </c>
      <c r="M1188" s="517">
        <v>10.32</v>
      </c>
      <c r="N1188" s="518">
        <v>9.6500000000000002E-2</v>
      </c>
      <c r="O1188" s="518">
        <v>9.1999999999999998E-2</v>
      </c>
      <c r="P1188" s="518">
        <v>0.10249999999999999</v>
      </c>
      <c r="Q1188" s="78">
        <v>0.44</v>
      </c>
      <c r="R1188" s="78">
        <v>0.31740000000000002</v>
      </c>
      <c r="S1188" s="69">
        <v>0</v>
      </c>
      <c r="T1188" s="69">
        <v>0</v>
      </c>
      <c r="U1188" s="518">
        <v>0.7</v>
      </c>
      <c r="V1188" s="76">
        <v>0</v>
      </c>
      <c r="W1188" s="76">
        <v>0</v>
      </c>
      <c r="X1188" s="76"/>
      <c r="Y1188" s="516" t="s">
        <v>470</v>
      </c>
    </row>
    <row r="1189" spans="1:25" x14ac:dyDescent="0.25">
      <c r="A1189" s="75" t="str">
        <f t="shared" si="41"/>
        <v>Pago_de_Hipoteca PF No_Premier Nómina Pago_Fijo_Puntual 20</v>
      </c>
      <c r="B1189" s="75" t="str">
        <f t="shared" si="40"/>
        <v>Pago_de_Hipoteca PF No_Premier Nómina Pago_Fijo_Puntual 20 0.103</v>
      </c>
      <c r="C1189" s="75" t="s">
        <v>173</v>
      </c>
      <c r="D1189" s="75" t="s">
        <v>132</v>
      </c>
      <c r="E1189" s="75" t="s">
        <v>179</v>
      </c>
      <c r="F1189" s="75" t="s">
        <v>181</v>
      </c>
      <c r="G1189" s="75"/>
      <c r="H1189" s="75"/>
      <c r="I1189" s="75" t="s">
        <v>171</v>
      </c>
      <c r="J1189" s="76">
        <v>20</v>
      </c>
      <c r="K1189" s="516" t="s">
        <v>386</v>
      </c>
      <c r="L1189" s="517">
        <v>10.16</v>
      </c>
      <c r="M1189" s="517">
        <v>10.82</v>
      </c>
      <c r="N1189" s="518">
        <v>0.10299999999999999</v>
      </c>
      <c r="O1189" s="518">
        <v>0.1</v>
      </c>
      <c r="P1189" s="518">
        <v>0.112</v>
      </c>
      <c r="Q1189" s="78">
        <v>0.44</v>
      </c>
      <c r="R1189" s="78">
        <v>0.31740000000000002</v>
      </c>
      <c r="S1189" s="69">
        <v>0</v>
      </c>
      <c r="T1189" s="69">
        <v>0</v>
      </c>
      <c r="U1189" s="518">
        <v>0.7</v>
      </c>
      <c r="V1189" s="76">
        <v>0</v>
      </c>
      <c r="W1189" s="76">
        <v>0</v>
      </c>
      <c r="X1189" s="76"/>
      <c r="Y1189" s="516" t="s">
        <v>470</v>
      </c>
    </row>
    <row r="1190" spans="1:25" x14ac:dyDescent="0.25">
      <c r="A1190" s="75" t="str">
        <f t="shared" si="41"/>
        <v>Pago_de_Hipoteca PF No_Premier Nómina Pago_Fijo_Puntual 19</v>
      </c>
      <c r="B1190" s="75" t="str">
        <f t="shared" ref="B1190:B1253" si="42">CONCATENATE(A1190," ",N1190)</f>
        <v>Pago_de_Hipoteca PF No_Premier Nómina Pago_Fijo_Puntual 19 0.0965</v>
      </c>
      <c r="C1190" s="75" t="s">
        <v>173</v>
      </c>
      <c r="D1190" s="75" t="s">
        <v>132</v>
      </c>
      <c r="E1190" s="75" t="s">
        <v>179</v>
      </c>
      <c r="F1190" s="75" t="s">
        <v>181</v>
      </c>
      <c r="G1190" s="75"/>
      <c r="H1190" s="75"/>
      <c r="I1190" s="75" t="s">
        <v>171</v>
      </c>
      <c r="J1190" s="76">
        <v>19</v>
      </c>
      <c r="K1190" s="516" t="s">
        <v>385</v>
      </c>
      <c r="L1190" s="517">
        <v>9.82</v>
      </c>
      <c r="M1190" s="517">
        <v>10.48</v>
      </c>
      <c r="N1190" s="518">
        <v>9.6500000000000002E-2</v>
      </c>
      <c r="O1190" s="518">
        <v>9.1999999999999998E-2</v>
      </c>
      <c r="P1190" s="518">
        <v>0.10249999999999999</v>
      </c>
      <c r="Q1190" s="78">
        <v>0.44</v>
      </c>
      <c r="R1190" s="78">
        <v>0.31740000000000002</v>
      </c>
      <c r="S1190" s="69">
        <v>0</v>
      </c>
      <c r="T1190" s="69">
        <v>0</v>
      </c>
      <c r="U1190" s="518">
        <v>0.7</v>
      </c>
      <c r="V1190" s="76">
        <v>0</v>
      </c>
      <c r="W1190" s="76">
        <v>0</v>
      </c>
      <c r="X1190" s="76"/>
      <c r="Y1190" s="516" t="s">
        <v>470</v>
      </c>
    </row>
    <row r="1191" spans="1:25" x14ac:dyDescent="0.25">
      <c r="A1191" s="75" t="str">
        <f t="shared" ref="A1191:A1254" si="43">TRIM(CONCATENATE(C1191," ",D1191," ",E1191," ",F1191," ",G1191," ",I1191," ",X1191," ",J1191))</f>
        <v>Pago_de_Hipoteca PF No_Premier Nómina Pago_Fijo_Puntual 19</v>
      </c>
      <c r="B1191" s="75" t="str">
        <f t="shared" si="42"/>
        <v>Pago_de_Hipoteca PF No_Premier Nómina Pago_Fijo_Puntual 19 0.103</v>
      </c>
      <c r="C1191" s="75" t="s">
        <v>173</v>
      </c>
      <c r="D1191" s="75" t="s">
        <v>132</v>
      </c>
      <c r="E1191" s="75" t="s">
        <v>179</v>
      </c>
      <c r="F1191" s="75" t="s">
        <v>181</v>
      </c>
      <c r="G1191" s="75"/>
      <c r="H1191" s="75"/>
      <c r="I1191" s="75" t="s">
        <v>171</v>
      </c>
      <c r="J1191" s="76">
        <v>19</v>
      </c>
      <c r="K1191" s="516" t="s">
        <v>386</v>
      </c>
      <c r="L1191" s="517">
        <v>10.3</v>
      </c>
      <c r="M1191" s="517">
        <v>10.96</v>
      </c>
      <c r="N1191" s="518">
        <v>0.10299999999999999</v>
      </c>
      <c r="O1191" s="518">
        <v>0.1</v>
      </c>
      <c r="P1191" s="518">
        <v>0.112</v>
      </c>
      <c r="Q1191" s="78">
        <v>0.44</v>
      </c>
      <c r="R1191" s="78">
        <v>0.31740000000000002</v>
      </c>
      <c r="S1191" s="69">
        <v>0</v>
      </c>
      <c r="T1191" s="69">
        <v>0</v>
      </c>
      <c r="U1191" s="518">
        <v>0.7</v>
      </c>
      <c r="V1191" s="76">
        <v>0</v>
      </c>
      <c r="W1191" s="76">
        <v>0</v>
      </c>
      <c r="X1191" s="76"/>
      <c r="Y1191" s="516" t="s">
        <v>470</v>
      </c>
    </row>
    <row r="1192" spans="1:25" x14ac:dyDescent="0.25">
      <c r="A1192" s="75" t="str">
        <f t="shared" si="43"/>
        <v>Pago_de_Hipoteca PF No_Premier Nómina Pago_Fijo_Puntual 18</v>
      </c>
      <c r="B1192" s="75" t="str">
        <f t="shared" si="42"/>
        <v>Pago_de_Hipoteca PF No_Premier Nómina Pago_Fijo_Puntual 18 0.0965</v>
      </c>
      <c r="C1192" s="75" t="s">
        <v>173</v>
      </c>
      <c r="D1192" s="75" t="s">
        <v>132</v>
      </c>
      <c r="E1192" s="75" t="s">
        <v>179</v>
      </c>
      <c r="F1192" s="75" t="s">
        <v>181</v>
      </c>
      <c r="G1192" s="75"/>
      <c r="H1192" s="75"/>
      <c r="I1192" s="75" t="s">
        <v>171</v>
      </c>
      <c r="J1192" s="76">
        <v>18</v>
      </c>
      <c r="K1192" s="516" t="s">
        <v>385</v>
      </c>
      <c r="L1192" s="517">
        <v>10</v>
      </c>
      <c r="M1192" s="517">
        <v>10.66</v>
      </c>
      <c r="N1192" s="518">
        <v>9.6500000000000002E-2</v>
      </c>
      <c r="O1192" s="518">
        <v>9.1999999999999998E-2</v>
      </c>
      <c r="P1192" s="518">
        <v>0.10249999999999999</v>
      </c>
      <c r="Q1192" s="78">
        <v>0.44</v>
      </c>
      <c r="R1192" s="78">
        <v>0.31740000000000002</v>
      </c>
      <c r="S1192" s="69">
        <v>0</v>
      </c>
      <c r="T1192" s="69">
        <v>0</v>
      </c>
      <c r="U1192" s="518">
        <v>0.7</v>
      </c>
      <c r="V1192" s="76">
        <v>0</v>
      </c>
      <c r="W1192" s="76">
        <v>0</v>
      </c>
      <c r="X1192" s="76"/>
      <c r="Y1192" s="516" t="s">
        <v>470</v>
      </c>
    </row>
    <row r="1193" spans="1:25" x14ac:dyDescent="0.25">
      <c r="A1193" s="75" t="str">
        <f t="shared" si="43"/>
        <v>Pago_de_Hipoteca PF No_Premier Nómina Pago_Fijo_Puntual 18</v>
      </c>
      <c r="B1193" s="75" t="str">
        <f t="shared" si="42"/>
        <v>Pago_de_Hipoteca PF No_Premier Nómina Pago_Fijo_Puntual 18 0.103</v>
      </c>
      <c r="C1193" s="75" t="s">
        <v>173</v>
      </c>
      <c r="D1193" s="75" t="s">
        <v>132</v>
      </c>
      <c r="E1193" s="75" t="s">
        <v>179</v>
      </c>
      <c r="F1193" s="75" t="s">
        <v>181</v>
      </c>
      <c r="G1193" s="75"/>
      <c r="H1193" s="75"/>
      <c r="I1193" s="75" t="s">
        <v>171</v>
      </c>
      <c r="J1193" s="76">
        <v>18</v>
      </c>
      <c r="K1193" s="516" t="s">
        <v>386</v>
      </c>
      <c r="L1193" s="517">
        <v>10.47</v>
      </c>
      <c r="M1193" s="517">
        <v>11.13</v>
      </c>
      <c r="N1193" s="518">
        <v>0.10299999999999999</v>
      </c>
      <c r="O1193" s="518">
        <v>0.1</v>
      </c>
      <c r="P1193" s="518">
        <v>0.112</v>
      </c>
      <c r="Q1193" s="78">
        <v>0.44</v>
      </c>
      <c r="R1193" s="78">
        <v>0.31740000000000002</v>
      </c>
      <c r="S1193" s="69">
        <v>0</v>
      </c>
      <c r="T1193" s="69">
        <v>0</v>
      </c>
      <c r="U1193" s="518">
        <v>0.7</v>
      </c>
      <c r="V1193" s="76">
        <v>0</v>
      </c>
      <c r="W1193" s="76">
        <v>0</v>
      </c>
      <c r="X1193" s="76"/>
      <c r="Y1193" s="516" t="s">
        <v>470</v>
      </c>
    </row>
    <row r="1194" spans="1:25" x14ac:dyDescent="0.25">
      <c r="A1194" s="75" t="str">
        <f t="shared" si="43"/>
        <v>Pago_de_Hipoteca PF No_Premier Nómina Pago_Fijo_Puntual 17</v>
      </c>
      <c r="B1194" s="75" t="str">
        <f t="shared" si="42"/>
        <v>Pago_de_Hipoteca PF No_Premier Nómina Pago_Fijo_Puntual 17 0.0965</v>
      </c>
      <c r="C1194" s="75" t="s">
        <v>173</v>
      </c>
      <c r="D1194" s="75" t="s">
        <v>132</v>
      </c>
      <c r="E1194" s="75" t="s">
        <v>179</v>
      </c>
      <c r="F1194" s="75" t="s">
        <v>181</v>
      </c>
      <c r="G1194" s="75"/>
      <c r="H1194" s="75"/>
      <c r="I1194" s="75" t="s">
        <v>171</v>
      </c>
      <c r="J1194" s="76">
        <v>17</v>
      </c>
      <c r="K1194" s="516" t="s">
        <v>385</v>
      </c>
      <c r="L1194" s="517">
        <v>10.210000000000001</v>
      </c>
      <c r="M1194" s="517">
        <v>10.87</v>
      </c>
      <c r="N1194" s="518">
        <v>9.6500000000000002E-2</v>
      </c>
      <c r="O1194" s="518">
        <v>9.1999999999999998E-2</v>
      </c>
      <c r="P1194" s="518">
        <v>0.10249999999999999</v>
      </c>
      <c r="Q1194" s="78">
        <v>0.44</v>
      </c>
      <c r="R1194" s="78">
        <v>0.31740000000000002</v>
      </c>
      <c r="S1194" s="69">
        <v>0</v>
      </c>
      <c r="T1194" s="69">
        <v>0</v>
      </c>
      <c r="U1194" s="518">
        <v>0.7</v>
      </c>
      <c r="V1194" s="76">
        <v>0</v>
      </c>
      <c r="W1194" s="76">
        <v>0</v>
      </c>
      <c r="X1194" s="76"/>
      <c r="Y1194" s="516" t="s">
        <v>470</v>
      </c>
    </row>
    <row r="1195" spans="1:25" x14ac:dyDescent="0.25">
      <c r="A1195" s="75" t="str">
        <f t="shared" si="43"/>
        <v>Pago_de_Hipoteca PF No_Premier Nómina Pago_Fijo_Puntual 17</v>
      </c>
      <c r="B1195" s="75" t="str">
        <f t="shared" si="42"/>
        <v>Pago_de_Hipoteca PF No_Premier Nómina Pago_Fijo_Puntual 17 0.103</v>
      </c>
      <c r="C1195" s="75" t="s">
        <v>173</v>
      </c>
      <c r="D1195" s="75" t="s">
        <v>132</v>
      </c>
      <c r="E1195" s="75" t="s">
        <v>179</v>
      </c>
      <c r="F1195" s="75" t="s">
        <v>181</v>
      </c>
      <c r="G1195" s="75"/>
      <c r="H1195" s="75"/>
      <c r="I1195" s="75" t="s">
        <v>171</v>
      </c>
      <c r="J1195" s="76">
        <v>17</v>
      </c>
      <c r="K1195" s="516" t="s">
        <v>386</v>
      </c>
      <c r="L1195" s="517">
        <v>10.67</v>
      </c>
      <c r="M1195" s="517">
        <v>11.33</v>
      </c>
      <c r="N1195" s="518">
        <v>0.10299999999999999</v>
      </c>
      <c r="O1195" s="518">
        <v>0.1</v>
      </c>
      <c r="P1195" s="518">
        <v>0.112</v>
      </c>
      <c r="Q1195" s="78">
        <v>0.44</v>
      </c>
      <c r="R1195" s="78">
        <v>0.31740000000000002</v>
      </c>
      <c r="S1195" s="69">
        <v>0</v>
      </c>
      <c r="T1195" s="69">
        <v>0</v>
      </c>
      <c r="U1195" s="518">
        <v>0.7</v>
      </c>
      <c r="V1195" s="76">
        <v>0</v>
      </c>
      <c r="W1195" s="76">
        <v>0</v>
      </c>
      <c r="X1195" s="76"/>
      <c r="Y1195" s="516" t="s">
        <v>470</v>
      </c>
    </row>
    <row r="1196" spans="1:25" x14ac:dyDescent="0.25">
      <c r="A1196" s="75" t="str">
        <f t="shared" si="43"/>
        <v>Pago_de_Hipoteca PF No_Premier Nómina Pago_Fijo_Puntual 16</v>
      </c>
      <c r="B1196" s="75" t="str">
        <f t="shared" si="42"/>
        <v>Pago_de_Hipoteca PF No_Premier Nómina Pago_Fijo_Puntual 16 0.0965</v>
      </c>
      <c r="C1196" s="75" t="s">
        <v>173</v>
      </c>
      <c r="D1196" s="75" t="s">
        <v>132</v>
      </c>
      <c r="E1196" s="75" t="s">
        <v>179</v>
      </c>
      <c r="F1196" s="75" t="s">
        <v>181</v>
      </c>
      <c r="G1196" s="75"/>
      <c r="H1196" s="75"/>
      <c r="I1196" s="75" t="s">
        <v>171</v>
      </c>
      <c r="J1196" s="76">
        <v>16</v>
      </c>
      <c r="K1196" s="516" t="s">
        <v>385</v>
      </c>
      <c r="L1196" s="517">
        <v>10.45</v>
      </c>
      <c r="M1196" s="517">
        <v>11.11</v>
      </c>
      <c r="N1196" s="518">
        <v>9.6500000000000002E-2</v>
      </c>
      <c r="O1196" s="518">
        <v>9.1999999999999998E-2</v>
      </c>
      <c r="P1196" s="518">
        <v>0.10249999999999999</v>
      </c>
      <c r="Q1196" s="78">
        <v>0.44</v>
      </c>
      <c r="R1196" s="78">
        <v>0.31740000000000002</v>
      </c>
      <c r="S1196" s="69">
        <v>0</v>
      </c>
      <c r="T1196" s="69">
        <v>0</v>
      </c>
      <c r="U1196" s="518">
        <v>0.7</v>
      </c>
      <c r="V1196" s="76">
        <v>0</v>
      </c>
      <c r="W1196" s="76">
        <v>0</v>
      </c>
      <c r="X1196" s="76"/>
      <c r="Y1196" s="516" t="s">
        <v>470</v>
      </c>
    </row>
    <row r="1197" spans="1:25" x14ac:dyDescent="0.25">
      <c r="A1197" s="75" t="str">
        <f t="shared" si="43"/>
        <v>Pago_de_Hipoteca PF No_Premier Nómina Pago_Fijo_Puntual 16</v>
      </c>
      <c r="B1197" s="75" t="str">
        <f t="shared" si="42"/>
        <v>Pago_de_Hipoteca PF No_Premier Nómina Pago_Fijo_Puntual 16 0.103</v>
      </c>
      <c r="C1197" s="75" t="s">
        <v>173</v>
      </c>
      <c r="D1197" s="75" t="s">
        <v>132</v>
      </c>
      <c r="E1197" s="75" t="s">
        <v>179</v>
      </c>
      <c r="F1197" s="75" t="s">
        <v>181</v>
      </c>
      <c r="G1197" s="75"/>
      <c r="H1197" s="75"/>
      <c r="I1197" s="75" t="s">
        <v>171</v>
      </c>
      <c r="J1197" s="76">
        <v>16</v>
      </c>
      <c r="K1197" s="516" t="s">
        <v>386</v>
      </c>
      <c r="L1197" s="517">
        <v>10.9</v>
      </c>
      <c r="M1197" s="517">
        <v>11.56</v>
      </c>
      <c r="N1197" s="518">
        <v>0.10299999999999999</v>
      </c>
      <c r="O1197" s="518">
        <v>0.1</v>
      </c>
      <c r="P1197" s="518">
        <v>0.112</v>
      </c>
      <c r="Q1197" s="78">
        <v>0.44</v>
      </c>
      <c r="R1197" s="78">
        <v>0.31740000000000002</v>
      </c>
      <c r="S1197" s="69">
        <v>0</v>
      </c>
      <c r="T1197" s="69">
        <v>0</v>
      </c>
      <c r="U1197" s="518">
        <v>0.7</v>
      </c>
      <c r="V1197" s="76">
        <v>0</v>
      </c>
      <c r="W1197" s="76">
        <v>0</v>
      </c>
      <c r="X1197" s="76"/>
      <c r="Y1197" s="516" t="s">
        <v>470</v>
      </c>
    </row>
    <row r="1198" spans="1:25" x14ac:dyDescent="0.25">
      <c r="A1198" s="75" t="str">
        <f t="shared" si="43"/>
        <v>Pago_de_Hipoteca PF No_Premier Nómina Pago_Fijo_Puntual 15</v>
      </c>
      <c r="B1198" s="75" t="str">
        <f t="shared" si="42"/>
        <v>Pago_de_Hipoteca PF No_Premier Nómina Pago_Fijo_Puntual 15 0.0965</v>
      </c>
      <c r="C1198" s="75" t="s">
        <v>173</v>
      </c>
      <c r="D1198" s="75" t="s">
        <v>132</v>
      </c>
      <c r="E1198" s="75" t="s">
        <v>179</v>
      </c>
      <c r="F1198" s="75" t="s">
        <v>181</v>
      </c>
      <c r="G1198" s="75"/>
      <c r="H1198" s="75"/>
      <c r="I1198" s="75" t="s">
        <v>171</v>
      </c>
      <c r="J1198" s="76">
        <v>15</v>
      </c>
      <c r="K1198" s="516" t="s">
        <v>385</v>
      </c>
      <c r="L1198" s="517">
        <v>10.73</v>
      </c>
      <c r="M1198" s="517">
        <v>11.39</v>
      </c>
      <c r="N1198" s="518">
        <v>9.6500000000000002E-2</v>
      </c>
      <c r="O1198" s="518">
        <v>9.1999999999999998E-2</v>
      </c>
      <c r="P1198" s="518">
        <v>0.10249999999999999</v>
      </c>
      <c r="Q1198" s="78">
        <v>0.44</v>
      </c>
      <c r="R1198" s="78">
        <v>0.31740000000000002</v>
      </c>
      <c r="S1198" s="69">
        <v>0</v>
      </c>
      <c r="T1198" s="69">
        <v>0</v>
      </c>
      <c r="U1198" s="518">
        <v>0.7</v>
      </c>
      <c r="V1198" s="76">
        <v>0</v>
      </c>
      <c r="W1198" s="76">
        <v>0</v>
      </c>
      <c r="X1198" s="76"/>
      <c r="Y1198" s="516" t="s">
        <v>470</v>
      </c>
    </row>
    <row r="1199" spans="1:25" x14ac:dyDescent="0.25">
      <c r="A1199" s="75" t="str">
        <f t="shared" si="43"/>
        <v>Pago_de_Hipoteca PF No_Premier Nómina Pago_Fijo_Puntual 15</v>
      </c>
      <c r="B1199" s="75" t="str">
        <f t="shared" si="42"/>
        <v>Pago_de_Hipoteca PF No_Premier Nómina Pago_Fijo_Puntual 15 0.103</v>
      </c>
      <c r="C1199" s="75" t="s">
        <v>173</v>
      </c>
      <c r="D1199" s="75" t="s">
        <v>132</v>
      </c>
      <c r="E1199" s="75" t="s">
        <v>179</v>
      </c>
      <c r="F1199" s="75" t="s">
        <v>181</v>
      </c>
      <c r="G1199" s="75"/>
      <c r="H1199" s="75"/>
      <c r="I1199" s="75" t="s">
        <v>171</v>
      </c>
      <c r="J1199" s="76">
        <v>15</v>
      </c>
      <c r="K1199" s="516" t="s">
        <v>386</v>
      </c>
      <c r="L1199" s="517">
        <v>11.18</v>
      </c>
      <c r="M1199" s="517">
        <v>11.84</v>
      </c>
      <c r="N1199" s="518">
        <v>0.10299999999999999</v>
      </c>
      <c r="O1199" s="518">
        <v>0.1</v>
      </c>
      <c r="P1199" s="518">
        <v>0.112</v>
      </c>
      <c r="Q1199" s="78">
        <v>0.44</v>
      </c>
      <c r="R1199" s="78">
        <v>0.31740000000000002</v>
      </c>
      <c r="S1199" s="69">
        <v>0</v>
      </c>
      <c r="T1199" s="69">
        <v>0</v>
      </c>
      <c r="U1199" s="518">
        <v>0.7</v>
      </c>
      <c r="V1199" s="76">
        <v>0</v>
      </c>
      <c r="W1199" s="76">
        <v>0</v>
      </c>
      <c r="X1199" s="76"/>
      <c r="Y1199" s="516" t="s">
        <v>470</v>
      </c>
    </row>
    <row r="1200" spans="1:25" x14ac:dyDescent="0.25">
      <c r="A1200" s="75" t="str">
        <f t="shared" si="43"/>
        <v>Pago_de_Hipoteca PF No_Premier Nómina Pago_Fijo_Puntual 14</v>
      </c>
      <c r="B1200" s="75" t="str">
        <f t="shared" si="42"/>
        <v>Pago_de_Hipoteca PF No_Premier Nómina Pago_Fijo_Puntual 14 0.0965</v>
      </c>
      <c r="C1200" s="75" t="s">
        <v>173</v>
      </c>
      <c r="D1200" s="75" t="s">
        <v>132</v>
      </c>
      <c r="E1200" s="75" t="s">
        <v>179</v>
      </c>
      <c r="F1200" s="75" t="s">
        <v>181</v>
      </c>
      <c r="G1200" s="75"/>
      <c r="H1200" s="75"/>
      <c r="I1200" s="75" t="s">
        <v>171</v>
      </c>
      <c r="J1200" s="76">
        <v>14</v>
      </c>
      <c r="K1200" s="516" t="s">
        <v>385</v>
      </c>
      <c r="L1200" s="517">
        <v>11.06</v>
      </c>
      <c r="M1200" s="517">
        <v>11.72</v>
      </c>
      <c r="N1200" s="518">
        <v>9.6500000000000002E-2</v>
      </c>
      <c r="O1200" s="518">
        <v>9.1999999999999998E-2</v>
      </c>
      <c r="P1200" s="518">
        <v>0.10249999999999999</v>
      </c>
      <c r="Q1200" s="78">
        <v>0.44</v>
      </c>
      <c r="R1200" s="78">
        <v>0.31740000000000002</v>
      </c>
      <c r="S1200" s="69">
        <v>0</v>
      </c>
      <c r="T1200" s="69">
        <v>0</v>
      </c>
      <c r="U1200" s="518">
        <v>0.7</v>
      </c>
      <c r="V1200" s="76">
        <v>0</v>
      </c>
      <c r="W1200" s="76">
        <v>0</v>
      </c>
      <c r="X1200" s="76"/>
      <c r="Y1200" s="516" t="s">
        <v>470</v>
      </c>
    </row>
    <row r="1201" spans="1:25" x14ac:dyDescent="0.25">
      <c r="A1201" s="75" t="str">
        <f t="shared" si="43"/>
        <v>Pago_de_Hipoteca PF No_Premier Nómina Pago_Fijo_Puntual 14</v>
      </c>
      <c r="B1201" s="75" t="str">
        <f t="shared" si="42"/>
        <v>Pago_de_Hipoteca PF No_Premier Nómina Pago_Fijo_Puntual 14 0.103</v>
      </c>
      <c r="C1201" s="75" t="s">
        <v>173</v>
      </c>
      <c r="D1201" s="75" t="s">
        <v>132</v>
      </c>
      <c r="E1201" s="75" t="s">
        <v>179</v>
      </c>
      <c r="F1201" s="75" t="s">
        <v>181</v>
      </c>
      <c r="G1201" s="75"/>
      <c r="H1201" s="75"/>
      <c r="I1201" s="75" t="s">
        <v>171</v>
      </c>
      <c r="J1201" s="76">
        <v>14</v>
      </c>
      <c r="K1201" s="516" t="s">
        <v>386</v>
      </c>
      <c r="L1201" s="517">
        <v>11.49</v>
      </c>
      <c r="M1201" s="517">
        <v>12.15</v>
      </c>
      <c r="N1201" s="518">
        <v>0.10299999999999999</v>
      </c>
      <c r="O1201" s="518">
        <v>0.1</v>
      </c>
      <c r="P1201" s="518">
        <v>0.112</v>
      </c>
      <c r="Q1201" s="78">
        <v>0.44</v>
      </c>
      <c r="R1201" s="78">
        <v>0.31740000000000002</v>
      </c>
      <c r="S1201" s="69">
        <v>0</v>
      </c>
      <c r="T1201" s="69">
        <v>0</v>
      </c>
      <c r="U1201" s="518">
        <v>0.7</v>
      </c>
      <c r="V1201" s="76">
        <v>0</v>
      </c>
      <c r="W1201" s="76">
        <v>0</v>
      </c>
      <c r="X1201" s="76"/>
      <c r="Y1201" s="516" t="s">
        <v>470</v>
      </c>
    </row>
    <row r="1202" spans="1:25" x14ac:dyDescent="0.25">
      <c r="A1202" s="75" t="str">
        <f t="shared" si="43"/>
        <v>Pago_de_Hipoteca PF No_Premier Nómina Pago_Fijo_Puntual 13</v>
      </c>
      <c r="B1202" s="75" t="str">
        <f t="shared" si="42"/>
        <v>Pago_de_Hipoteca PF No_Premier Nómina Pago_Fijo_Puntual 13 0.0965</v>
      </c>
      <c r="C1202" s="75" t="s">
        <v>173</v>
      </c>
      <c r="D1202" s="75" t="s">
        <v>132</v>
      </c>
      <c r="E1202" s="75" t="s">
        <v>179</v>
      </c>
      <c r="F1202" s="75" t="s">
        <v>181</v>
      </c>
      <c r="G1202" s="75"/>
      <c r="H1202" s="75"/>
      <c r="I1202" s="75" t="s">
        <v>171</v>
      </c>
      <c r="J1202" s="76">
        <v>13</v>
      </c>
      <c r="K1202" s="516" t="s">
        <v>385</v>
      </c>
      <c r="L1202" s="517">
        <v>11.45</v>
      </c>
      <c r="M1202" s="517">
        <v>12.11</v>
      </c>
      <c r="N1202" s="518">
        <v>9.6500000000000002E-2</v>
      </c>
      <c r="O1202" s="518">
        <v>9.1999999999999998E-2</v>
      </c>
      <c r="P1202" s="518">
        <v>0.10249999999999999</v>
      </c>
      <c r="Q1202" s="78">
        <v>0.44</v>
      </c>
      <c r="R1202" s="78">
        <v>0.31740000000000002</v>
      </c>
      <c r="S1202" s="69">
        <v>0</v>
      </c>
      <c r="T1202" s="69">
        <v>0</v>
      </c>
      <c r="U1202" s="518">
        <v>0.7</v>
      </c>
      <c r="V1202" s="76">
        <v>0</v>
      </c>
      <c r="W1202" s="76">
        <v>0</v>
      </c>
      <c r="X1202" s="76"/>
      <c r="Y1202" s="516" t="s">
        <v>470</v>
      </c>
    </row>
    <row r="1203" spans="1:25" x14ac:dyDescent="0.25">
      <c r="A1203" s="75" t="str">
        <f t="shared" si="43"/>
        <v>Pago_de_Hipoteca PF No_Premier Nómina Pago_Fijo_Puntual 13</v>
      </c>
      <c r="B1203" s="75" t="str">
        <f t="shared" si="42"/>
        <v>Pago_de_Hipoteca PF No_Premier Nómina Pago_Fijo_Puntual 13 0.103</v>
      </c>
      <c r="C1203" s="75" t="s">
        <v>173</v>
      </c>
      <c r="D1203" s="75" t="s">
        <v>132</v>
      </c>
      <c r="E1203" s="75" t="s">
        <v>179</v>
      </c>
      <c r="F1203" s="75" t="s">
        <v>181</v>
      </c>
      <c r="G1203" s="75"/>
      <c r="H1203" s="75"/>
      <c r="I1203" s="75" t="s">
        <v>171</v>
      </c>
      <c r="J1203" s="76">
        <v>13</v>
      </c>
      <c r="K1203" s="516" t="s">
        <v>386</v>
      </c>
      <c r="L1203" s="517">
        <v>11.86</v>
      </c>
      <c r="M1203" s="517">
        <v>12.52</v>
      </c>
      <c r="N1203" s="518">
        <v>0.10299999999999999</v>
      </c>
      <c r="O1203" s="518">
        <v>0.1</v>
      </c>
      <c r="P1203" s="518">
        <v>0.112</v>
      </c>
      <c r="Q1203" s="78">
        <v>0.44</v>
      </c>
      <c r="R1203" s="78">
        <v>0.31740000000000002</v>
      </c>
      <c r="S1203" s="69">
        <v>0</v>
      </c>
      <c r="T1203" s="69">
        <v>0</v>
      </c>
      <c r="U1203" s="518">
        <v>0.7</v>
      </c>
      <c r="V1203" s="76">
        <v>0</v>
      </c>
      <c r="W1203" s="76">
        <v>0</v>
      </c>
      <c r="X1203" s="76"/>
      <c r="Y1203" s="516" t="s">
        <v>470</v>
      </c>
    </row>
    <row r="1204" spans="1:25" x14ac:dyDescent="0.25">
      <c r="A1204" s="75" t="str">
        <f t="shared" si="43"/>
        <v>Pago_de_Hipoteca PF No_Premier Nómina Pago_Fijo_Puntual 12</v>
      </c>
      <c r="B1204" s="75" t="str">
        <f t="shared" si="42"/>
        <v>Pago_de_Hipoteca PF No_Premier Nómina Pago_Fijo_Puntual 12 0.0965</v>
      </c>
      <c r="C1204" s="75" t="s">
        <v>173</v>
      </c>
      <c r="D1204" s="75" t="s">
        <v>132</v>
      </c>
      <c r="E1204" s="75" t="s">
        <v>179</v>
      </c>
      <c r="F1204" s="75" t="s">
        <v>181</v>
      </c>
      <c r="G1204" s="75"/>
      <c r="H1204" s="75"/>
      <c r="I1204" s="75" t="s">
        <v>171</v>
      </c>
      <c r="J1204" s="76">
        <v>12</v>
      </c>
      <c r="K1204" s="516" t="s">
        <v>385</v>
      </c>
      <c r="L1204" s="517">
        <v>11.91</v>
      </c>
      <c r="M1204" s="517">
        <v>12.57</v>
      </c>
      <c r="N1204" s="518">
        <v>9.6500000000000002E-2</v>
      </c>
      <c r="O1204" s="518">
        <v>9.1999999999999998E-2</v>
      </c>
      <c r="P1204" s="518">
        <v>0.10249999999999999</v>
      </c>
      <c r="Q1204" s="78">
        <v>0.44</v>
      </c>
      <c r="R1204" s="78">
        <v>0.31740000000000002</v>
      </c>
      <c r="S1204" s="69">
        <v>0</v>
      </c>
      <c r="T1204" s="69">
        <v>0</v>
      </c>
      <c r="U1204" s="518">
        <v>0.7</v>
      </c>
      <c r="V1204" s="76">
        <v>0</v>
      </c>
      <c r="W1204" s="76">
        <v>0</v>
      </c>
      <c r="X1204" s="76"/>
      <c r="Y1204" s="516" t="s">
        <v>470</v>
      </c>
    </row>
    <row r="1205" spans="1:25" x14ac:dyDescent="0.25">
      <c r="A1205" s="75" t="str">
        <f t="shared" si="43"/>
        <v>Pago_de_Hipoteca PF No_Premier Nómina Pago_Fijo_Puntual 12</v>
      </c>
      <c r="B1205" s="75" t="str">
        <f t="shared" si="42"/>
        <v>Pago_de_Hipoteca PF No_Premier Nómina Pago_Fijo_Puntual 12 0.103</v>
      </c>
      <c r="C1205" s="75" t="s">
        <v>173</v>
      </c>
      <c r="D1205" s="75" t="s">
        <v>132</v>
      </c>
      <c r="E1205" s="75" t="s">
        <v>179</v>
      </c>
      <c r="F1205" s="75" t="s">
        <v>181</v>
      </c>
      <c r="G1205" s="75"/>
      <c r="H1205" s="75"/>
      <c r="I1205" s="75" t="s">
        <v>171</v>
      </c>
      <c r="J1205" s="76">
        <v>12</v>
      </c>
      <c r="K1205" s="516" t="s">
        <v>386</v>
      </c>
      <c r="L1205" s="517">
        <v>12.31</v>
      </c>
      <c r="M1205" s="517">
        <v>12.97</v>
      </c>
      <c r="N1205" s="518">
        <v>0.10299999999999999</v>
      </c>
      <c r="O1205" s="518">
        <v>0.1</v>
      </c>
      <c r="P1205" s="518">
        <v>0.112</v>
      </c>
      <c r="Q1205" s="78">
        <v>0.44</v>
      </c>
      <c r="R1205" s="78">
        <v>0.31740000000000002</v>
      </c>
      <c r="S1205" s="69">
        <v>0</v>
      </c>
      <c r="T1205" s="69">
        <v>0</v>
      </c>
      <c r="U1205" s="518">
        <v>0.7</v>
      </c>
      <c r="V1205" s="76">
        <v>0</v>
      </c>
      <c r="W1205" s="76">
        <v>0</v>
      </c>
      <c r="X1205" s="76"/>
      <c r="Y1205" s="516" t="s">
        <v>470</v>
      </c>
    </row>
    <row r="1206" spans="1:25" x14ac:dyDescent="0.25">
      <c r="A1206" s="75" t="str">
        <f t="shared" si="43"/>
        <v>Pago_de_Hipoteca PF No_Premier Nómina Pago_Fijo_Puntual 11</v>
      </c>
      <c r="B1206" s="75" t="str">
        <f t="shared" si="42"/>
        <v>Pago_de_Hipoteca PF No_Premier Nómina Pago_Fijo_Puntual 11 0.0965</v>
      </c>
      <c r="C1206" s="75" t="s">
        <v>173</v>
      </c>
      <c r="D1206" s="75" t="s">
        <v>132</v>
      </c>
      <c r="E1206" s="75" t="s">
        <v>179</v>
      </c>
      <c r="F1206" s="75" t="s">
        <v>181</v>
      </c>
      <c r="G1206" s="75"/>
      <c r="H1206" s="75"/>
      <c r="I1206" s="75" t="s">
        <v>171</v>
      </c>
      <c r="J1206" s="76">
        <v>11</v>
      </c>
      <c r="K1206" s="516" t="s">
        <v>385</v>
      </c>
      <c r="L1206" s="517">
        <v>12.47</v>
      </c>
      <c r="M1206" s="517">
        <v>13.13</v>
      </c>
      <c r="N1206" s="518">
        <v>9.6500000000000002E-2</v>
      </c>
      <c r="O1206" s="518">
        <v>9.1999999999999998E-2</v>
      </c>
      <c r="P1206" s="518">
        <v>0.10249999999999999</v>
      </c>
      <c r="Q1206" s="78">
        <v>0.44</v>
      </c>
      <c r="R1206" s="78">
        <v>0.31740000000000002</v>
      </c>
      <c r="S1206" s="69">
        <v>0</v>
      </c>
      <c r="T1206" s="69">
        <v>0</v>
      </c>
      <c r="U1206" s="518">
        <v>0.7</v>
      </c>
      <c r="V1206" s="76">
        <v>0</v>
      </c>
      <c r="W1206" s="76">
        <v>0</v>
      </c>
      <c r="X1206" s="76"/>
      <c r="Y1206" s="516" t="s">
        <v>470</v>
      </c>
    </row>
    <row r="1207" spans="1:25" x14ac:dyDescent="0.25">
      <c r="A1207" s="75" t="str">
        <f t="shared" si="43"/>
        <v>Pago_de_Hipoteca PF No_Premier Nómina Pago_Fijo_Puntual 11</v>
      </c>
      <c r="B1207" s="75" t="str">
        <f t="shared" si="42"/>
        <v>Pago_de_Hipoteca PF No_Premier Nómina Pago_Fijo_Puntual 11 0.103</v>
      </c>
      <c r="C1207" s="75" t="s">
        <v>173</v>
      </c>
      <c r="D1207" s="75" t="s">
        <v>132</v>
      </c>
      <c r="E1207" s="75" t="s">
        <v>179</v>
      </c>
      <c r="F1207" s="75" t="s">
        <v>181</v>
      </c>
      <c r="G1207" s="75"/>
      <c r="H1207" s="75"/>
      <c r="I1207" s="75" t="s">
        <v>171</v>
      </c>
      <c r="J1207" s="76">
        <v>11</v>
      </c>
      <c r="K1207" s="516" t="s">
        <v>386</v>
      </c>
      <c r="L1207" s="517">
        <v>12.86</v>
      </c>
      <c r="M1207" s="517">
        <v>13.52</v>
      </c>
      <c r="N1207" s="518">
        <v>0.10299999999999999</v>
      </c>
      <c r="O1207" s="518">
        <v>0.1</v>
      </c>
      <c r="P1207" s="518">
        <v>0.112</v>
      </c>
      <c r="Q1207" s="78">
        <v>0.44</v>
      </c>
      <c r="R1207" s="78">
        <v>0.31740000000000002</v>
      </c>
      <c r="S1207" s="69">
        <v>0</v>
      </c>
      <c r="T1207" s="69">
        <v>0</v>
      </c>
      <c r="U1207" s="518">
        <v>0.7</v>
      </c>
      <c r="V1207" s="76">
        <v>0</v>
      </c>
      <c r="W1207" s="76">
        <v>0</v>
      </c>
      <c r="X1207" s="76"/>
      <c r="Y1207" s="516" t="s">
        <v>470</v>
      </c>
    </row>
    <row r="1208" spans="1:25" x14ac:dyDescent="0.25">
      <c r="A1208" s="75" t="str">
        <f t="shared" si="43"/>
        <v>Pago_de_Hipoteca PF No_Premier Nómina Pago_Fijo_Puntual 10</v>
      </c>
      <c r="B1208" s="75" t="str">
        <f t="shared" si="42"/>
        <v>Pago_de_Hipoteca PF No_Premier Nómina Pago_Fijo_Puntual 10 0.0965</v>
      </c>
      <c r="C1208" s="75" t="s">
        <v>173</v>
      </c>
      <c r="D1208" s="75" t="s">
        <v>132</v>
      </c>
      <c r="E1208" s="75" t="s">
        <v>179</v>
      </c>
      <c r="F1208" s="75" t="s">
        <v>181</v>
      </c>
      <c r="G1208" s="75"/>
      <c r="H1208" s="75"/>
      <c r="I1208" s="75" t="s">
        <v>171</v>
      </c>
      <c r="J1208" s="76">
        <v>10</v>
      </c>
      <c r="K1208" s="516" t="s">
        <v>385</v>
      </c>
      <c r="L1208" s="517">
        <v>13.16</v>
      </c>
      <c r="M1208" s="517">
        <v>13.82</v>
      </c>
      <c r="N1208" s="518">
        <v>9.6500000000000002E-2</v>
      </c>
      <c r="O1208" s="518">
        <v>9.1999999999999998E-2</v>
      </c>
      <c r="P1208" s="518">
        <v>0.10249999999999999</v>
      </c>
      <c r="Q1208" s="78">
        <v>0.44</v>
      </c>
      <c r="R1208" s="78">
        <v>0.31740000000000002</v>
      </c>
      <c r="S1208" s="69">
        <v>0</v>
      </c>
      <c r="T1208" s="69">
        <v>0</v>
      </c>
      <c r="U1208" s="518">
        <v>0.7</v>
      </c>
      <c r="V1208" s="76">
        <v>0</v>
      </c>
      <c r="W1208" s="76">
        <v>0</v>
      </c>
      <c r="X1208" s="76"/>
      <c r="Y1208" s="516" t="s">
        <v>470</v>
      </c>
    </row>
    <row r="1209" spans="1:25" x14ac:dyDescent="0.25">
      <c r="A1209" s="75" t="str">
        <f t="shared" si="43"/>
        <v>Pago_de_Hipoteca PF No_Premier Nómina Pago_Fijo_Puntual 10</v>
      </c>
      <c r="B1209" s="75" t="str">
        <f t="shared" si="42"/>
        <v>Pago_de_Hipoteca PF No_Premier Nómina Pago_Fijo_Puntual 10 0.103</v>
      </c>
      <c r="C1209" s="75" t="s">
        <v>173</v>
      </c>
      <c r="D1209" s="75" t="s">
        <v>132</v>
      </c>
      <c r="E1209" s="75" t="s">
        <v>179</v>
      </c>
      <c r="F1209" s="75" t="s">
        <v>181</v>
      </c>
      <c r="G1209" s="75"/>
      <c r="H1209" s="75"/>
      <c r="I1209" s="75" t="s">
        <v>171</v>
      </c>
      <c r="J1209" s="76">
        <v>10</v>
      </c>
      <c r="K1209" s="516" t="s">
        <v>386</v>
      </c>
      <c r="L1209" s="517">
        <v>13.54</v>
      </c>
      <c r="M1209" s="517">
        <v>14.2</v>
      </c>
      <c r="N1209" s="518">
        <v>0.10299999999999999</v>
      </c>
      <c r="O1209" s="518">
        <v>0.1</v>
      </c>
      <c r="P1209" s="518">
        <v>0.112</v>
      </c>
      <c r="Q1209" s="78">
        <v>0.44</v>
      </c>
      <c r="R1209" s="78">
        <v>0.31740000000000002</v>
      </c>
      <c r="S1209" s="69">
        <v>0</v>
      </c>
      <c r="T1209" s="69">
        <v>0</v>
      </c>
      <c r="U1209" s="518">
        <v>0.7</v>
      </c>
      <c r="V1209" s="76">
        <v>0</v>
      </c>
      <c r="W1209" s="76">
        <v>0</v>
      </c>
      <c r="X1209" s="76"/>
      <c r="Y1209" s="516" t="s">
        <v>470</v>
      </c>
    </row>
    <row r="1210" spans="1:25" x14ac:dyDescent="0.25">
      <c r="A1210" s="75" t="str">
        <f t="shared" si="43"/>
        <v>Pago_de_Hipoteca PF No_Premier Nómina Pago_Fijo_Puntual 9</v>
      </c>
      <c r="B1210" s="75" t="str">
        <f t="shared" si="42"/>
        <v>Pago_de_Hipoteca PF No_Premier Nómina Pago_Fijo_Puntual 9 0.0965</v>
      </c>
      <c r="C1210" s="75" t="s">
        <v>173</v>
      </c>
      <c r="D1210" s="75" t="s">
        <v>132</v>
      </c>
      <c r="E1210" s="75" t="s">
        <v>179</v>
      </c>
      <c r="F1210" s="75" t="s">
        <v>181</v>
      </c>
      <c r="G1210" s="75"/>
      <c r="H1210" s="75"/>
      <c r="I1210" s="75" t="s">
        <v>171</v>
      </c>
      <c r="J1210" s="76">
        <v>9</v>
      </c>
      <c r="K1210" s="516" t="s">
        <v>385</v>
      </c>
      <c r="L1210" s="517">
        <v>14.01</v>
      </c>
      <c r="M1210" s="517">
        <v>14.67</v>
      </c>
      <c r="N1210" s="518">
        <v>9.6500000000000002E-2</v>
      </c>
      <c r="O1210" s="518">
        <v>9.1999999999999998E-2</v>
      </c>
      <c r="P1210" s="518">
        <v>0.10249999999999999</v>
      </c>
      <c r="Q1210" s="78">
        <v>0.44</v>
      </c>
      <c r="R1210" s="78">
        <v>0.31740000000000002</v>
      </c>
      <c r="S1210" s="69">
        <v>0</v>
      </c>
      <c r="T1210" s="69">
        <v>0</v>
      </c>
      <c r="U1210" s="518">
        <v>0.7</v>
      </c>
      <c r="V1210" s="76">
        <v>0</v>
      </c>
      <c r="W1210" s="76">
        <v>0</v>
      </c>
      <c r="X1210" s="76"/>
      <c r="Y1210" s="516" t="s">
        <v>470</v>
      </c>
    </row>
    <row r="1211" spans="1:25" x14ac:dyDescent="0.25">
      <c r="A1211" s="75" t="str">
        <f t="shared" si="43"/>
        <v>Pago_de_Hipoteca PF No_Premier Nómina Pago_Fijo_Puntual 9</v>
      </c>
      <c r="B1211" s="75" t="str">
        <f t="shared" si="42"/>
        <v>Pago_de_Hipoteca PF No_Premier Nómina Pago_Fijo_Puntual 9 0.103</v>
      </c>
      <c r="C1211" s="75" t="s">
        <v>173</v>
      </c>
      <c r="D1211" s="75" t="s">
        <v>132</v>
      </c>
      <c r="E1211" s="75" t="s">
        <v>179</v>
      </c>
      <c r="F1211" s="75" t="s">
        <v>181</v>
      </c>
      <c r="G1211" s="75"/>
      <c r="H1211" s="75"/>
      <c r="I1211" s="75" t="s">
        <v>171</v>
      </c>
      <c r="J1211" s="76">
        <v>9</v>
      </c>
      <c r="K1211" s="516" t="s">
        <v>386</v>
      </c>
      <c r="L1211" s="517">
        <v>14.37</v>
      </c>
      <c r="M1211" s="517">
        <v>15.03</v>
      </c>
      <c r="N1211" s="518">
        <v>0.10299999999999999</v>
      </c>
      <c r="O1211" s="518">
        <v>0.1</v>
      </c>
      <c r="P1211" s="518">
        <v>0.112</v>
      </c>
      <c r="Q1211" s="78">
        <v>0.44</v>
      </c>
      <c r="R1211" s="78">
        <v>0.31740000000000002</v>
      </c>
      <c r="S1211" s="69">
        <v>0</v>
      </c>
      <c r="T1211" s="69">
        <v>0</v>
      </c>
      <c r="U1211" s="518">
        <v>0.7</v>
      </c>
      <c r="V1211" s="76">
        <v>0</v>
      </c>
      <c r="W1211" s="76">
        <v>0</v>
      </c>
      <c r="X1211" s="76"/>
      <c r="Y1211" s="516" t="s">
        <v>470</v>
      </c>
    </row>
    <row r="1212" spans="1:25" x14ac:dyDescent="0.25">
      <c r="A1212" s="75" t="str">
        <f t="shared" si="43"/>
        <v>Pago_de_Hipoteca PF No_Premier Nómina Pago_Fijo_Puntual 8</v>
      </c>
      <c r="B1212" s="75" t="str">
        <f t="shared" si="42"/>
        <v>Pago_de_Hipoteca PF No_Premier Nómina Pago_Fijo_Puntual 8 0.0965</v>
      </c>
      <c r="C1212" s="75" t="s">
        <v>173</v>
      </c>
      <c r="D1212" s="75" t="s">
        <v>132</v>
      </c>
      <c r="E1212" s="75" t="s">
        <v>179</v>
      </c>
      <c r="F1212" s="75" t="s">
        <v>181</v>
      </c>
      <c r="G1212" s="75"/>
      <c r="H1212" s="75"/>
      <c r="I1212" s="75" t="s">
        <v>171</v>
      </c>
      <c r="J1212" s="76">
        <v>8</v>
      </c>
      <c r="K1212" s="516" t="s">
        <v>385</v>
      </c>
      <c r="L1212" s="517">
        <v>15.09</v>
      </c>
      <c r="M1212" s="517">
        <v>15.75</v>
      </c>
      <c r="N1212" s="518">
        <v>9.6500000000000002E-2</v>
      </c>
      <c r="O1212" s="518">
        <v>9.1999999999999998E-2</v>
      </c>
      <c r="P1212" s="518">
        <v>0.10249999999999999</v>
      </c>
      <c r="Q1212" s="78">
        <v>0.44</v>
      </c>
      <c r="R1212" s="78">
        <v>0.31740000000000002</v>
      </c>
      <c r="S1212" s="69">
        <v>0</v>
      </c>
      <c r="T1212" s="69">
        <v>0</v>
      </c>
      <c r="U1212" s="518">
        <v>0.7</v>
      </c>
      <c r="V1212" s="76">
        <v>0</v>
      </c>
      <c r="W1212" s="76">
        <v>0</v>
      </c>
      <c r="X1212" s="76"/>
      <c r="Y1212" s="516" t="s">
        <v>470</v>
      </c>
    </row>
    <row r="1213" spans="1:25" x14ac:dyDescent="0.25">
      <c r="A1213" s="75" t="str">
        <f t="shared" si="43"/>
        <v>Pago_de_Hipoteca PF No_Premier Nómina Pago_Fijo_Puntual 8</v>
      </c>
      <c r="B1213" s="75" t="str">
        <f t="shared" si="42"/>
        <v>Pago_de_Hipoteca PF No_Premier Nómina Pago_Fijo_Puntual 8 0.103</v>
      </c>
      <c r="C1213" s="75" t="s">
        <v>173</v>
      </c>
      <c r="D1213" s="75" t="s">
        <v>132</v>
      </c>
      <c r="E1213" s="75" t="s">
        <v>179</v>
      </c>
      <c r="F1213" s="75" t="s">
        <v>181</v>
      </c>
      <c r="G1213" s="75"/>
      <c r="H1213" s="75"/>
      <c r="I1213" s="75" t="s">
        <v>171</v>
      </c>
      <c r="J1213" s="76">
        <v>8</v>
      </c>
      <c r="K1213" s="516" t="s">
        <v>386</v>
      </c>
      <c r="L1213" s="517">
        <v>15.44</v>
      </c>
      <c r="M1213" s="517">
        <v>16.100000000000001</v>
      </c>
      <c r="N1213" s="518">
        <v>0.10299999999999999</v>
      </c>
      <c r="O1213" s="518">
        <v>0.1</v>
      </c>
      <c r="P1213" s="518">
        <v>0.112</v>
      </c>
      <c r="Q1213" s="78">
        <v>0.44</v>
      </c>
      <c r="R1213" s="78">
        <v>0.31740000000000002</v>
      </c>
      <c r="S1213" s="69">
        <v>0</v>
      </c>
      <c r="T1213" s="69">
        <v>0</v>
      </c>
      <c r="U1213" s="518">
        <v>0.7</v>
      </c>
      <c r="V1213" s="76">
        <v>0</v>
      </c>
      <c r="W1213" s="76">
        <v>0</v>
      </c>
      <c r="X1213" s="76"/>
      <c r="Y1213" s="516" t="s">
        <v>470</v>
      </c>
    </row>
    <row r="1214" spans="1:25" x14ac:dyDescent="0.25">
      <c r="A1214" s="75" t="str">
        <f t="shared" si="43"/>
        <v>Pago_de_Hipoteca PF No_Premier Nómina Pago_Fijo_Puntual 7</v>
      </c>
      <c r="B1214" s="75" t="str">
        <f t="shared" si="42"/>
        <v>Pago_de_Hipoteca PF No_Premier Nómina Pago_Fijo_Puntual 7 0.0965</v>
      </c>
      <c r="C1214" s="75" t="s">
        <v>173</v>
      </c>
      <c r="D1214" s="75" t="s">
        <v>132</v>
      </c>
      <c r="E1214" s="75" t="s">
        <v>179</v>
      </c>
      <c r="F1214" s="75" t="s">
        <v>181</v>
      </c>
      <c r="G1214" s="75"/>
      <c r="H1214" s="75"/>
      <c r="I1214" s="75" t="s">
        <v>171</v>
      </c>
      <c r="J1214" s="76">
        <v>7</v>
      </c>
      <c r="K1214" s="516" t="s">
        <v>385</v>
      </c>
      <c r="L1214" s="517">
        <v>16.5</v>
      </c>
      <c r="M1214" s="517">
        <v>17.16</v>
      </c>
      <c r="N1214" s="518">
        <v>9.6500000000000002E-2</v>
      </c>
      <c r="O1214" s="518">
        <v>9.1999999999999998E-2</v>
      </c>
      <c r="P1214" s="518">
        <v>0.10249999999999999</v>
      </c>
      <c r="Q1214" s="78">
        <v>0.44</v>
      </c>
      <c r="R1214" s="78">
        <v>0.31740000000000002</v>
      </c>
      <c r="S1214" s="69">
        <v>0</v>
      </c>
      <c r="T1214" s="69">
        <v>0</v>
      </c>
      <c r="U1214" s="518">
        <v>0.7</v>
      </c>
      <c r="V1214" s="76">
        <v>0</v>
      </c>
      <c r="W1214" s="76">
        <v>0</v>
      </c>
      <c r="X1214" s="76"/>
      <c r="Y1214" s="516" t="s">
        <v>470</v>
      </c>
    </row>
    <row r="1215" spans="1:25" x14ac:dyDescent="0.25">
      <c r="A1215" s="75" t="str">
        <f t="shared" si="43"/>
        <v>Pago_de_Hipoteca PF No_Premier Nómina Pago_Fijo_Puntual 7</v>
      </c>
      <c r="B1215" s="75" t="str">
        <f t="shared" si="42"/>
        <v>Pago_de_Hipoteca PF No_Premier Nómina Pago_Fijo_Puntual 7 0.103</v>
      </c>
      <c r="C1215" s="75" t="s">
        <v>173</v>
      </c>
      <c r="D1215" s="75" t="s">
        <v>132</v>
      </c>
      <c r="E1215" s="75" t="s">
        <v>179</v>
      </c>
      <c r="F1215" s="75" t="s">
        <v>181</v>
      </c>
      <c r="G1215" s="75"/>
      <c r="H1215" s="75"/>
      <c r="I1215" s="75" t="s">
        <v>171</v>
      </c>
      <c r="J1215" s="76">
        <v>7</v>
      </c>
      <c r="K1215" s="516" t="s">
        <v>386</v>
      </c>
      <c r="L1215" s="517">
        <v>16.84</v>
      </c>
      <c r="M1215" s="517">
        <v>17.5</v>
      </c>
      <c r="N1215" s="518">
        <v>0.10299999999999999</v>
      </c>
      <c r="O1215" s="518">
        <v>0.1</v>
      </c>
      <c r="P1215" s="518">
        <v>0.112</v>
      </c>
      <c r="Q1215" s="78">
        <v>0.44</v>
      </c>
      <c r="R1215" s="78">
        <v>0.31740000000000002</v>
      </c>
      <c r="S1215" s="69">
        <v>0</v>
      </c>
      <c r="T1215" s="69">
        <v>0</v>
      </c>
      <c r="U1215" s="518">
        <v>0.7</v>
      </c>
      <c r="V1215" s="76">
        <v>0</v>
      </c>
      <c r="W1215" s="76">
        <v>0</v>
      </c>
      <c r="X1215" s="76"/>
      <c r="Y1215" s="516" t="s">
        <v>470</v>
      </c>
    </row>
    <row r="1216" spans="1:25" x14ac:dyDescent="0.25">
      <c r="A1216" s="75" t="str">
        <f t="shared" si="43"/>
        <v>Pago_de_Hipoteca PF No_Premier Nómina Pago_Fijo_Puntual 6</v>
      </c>
      <c r="B1216" s="75" t="str">
        <f t="shared" si="42"/>
        <v>Pago_de_Hipoteca PF No_Premier Nómina Pago_Fijo_Puntual 6 0.0965</v>
      </c>
      <c r="C1216" s="75" t="s">
        <v>173</v>
      </c>
      <c r="D1216" s="75" t="s">
        <v>132</v>
      </c>
      <c r="E1216" s="75" t="s">
        <v>179</v>
      </c>
      <c r="F1216" s="75" t="s">
        <v>181</v>
      </c>
      <c r="G1216" s="75"/>
      <c r="H1216" s="75"/>
      <c r="I1216" s="75" t="s">
        <v>171</v>
      </c>
      <c r="J1216" s="76">
        <v>6</v>
      </c>
      <c r="K1216" s="516" t="s">
        <v>385</v>
      </c>
      <c r="L1216" s="517">
        <v>18.41</v>
      </c>
      <c r="M1216" s="517">
        <v>19.07</v>
      </c>
      <c r="N1216" s="518">
        <v>9.6500000000000002E-2</v>
      </c>
      <c r="O1216" s="518">
        <v>9.1999999999999998E-2</v>
      </c>
      <c r="P1216" s="518">
        <v>0.10249999999999999</v>
      </c>
      <c r="Q1216" s="78">
        <v>0.44</v>
      </c>
      <c r="R1216" s="78">
        <v>0.31740000000000002</v>
      </c>
      <c r="S1216" s="69">
        <v>0</v>
      </c>
      <c r="T1216" s="69">
        <v>0</v>
      </c>
      <c r="U1216" s="518">
        <v>0.7</v>
      </c>
      <c r="V1216" s="76">
        <v>0</v>
      </c>
      <c r="W1216" s="76">
        <v>0</v>
      </c>
      <c r="X1216" s="76"/>
      <c r="Y1216" s="516" t="s">
        <v>470</v>
      </c>
    </row>
    <row r="1217" spans="1:25" x14ac:dyDescent="0.25">
      <c r="A1217" s="75" t="str">
        <f t="shared" si="43"/>
        <v>Pago_de_Hipoteca PF No_Premier Nómina Pago_Fijo_Puntual 6</v>
      </c>
      <c r="B1217" s="75" t="str">
        <f t="shared" si="42"/>
        <v>Pago_de_Hipoteca PF No_Premier Nómina Pago_Fijo_Puntual 6 0.103</v>
      </c>
      <c r="C1217" s="75" t="s">
        <v>173</v>
      </c>
      <c r="D1217" s="75" t="s">
        <v>132</v>
      </c>
      <c r="E1217" s="75" t="s">
        <v>179</v>
      </c>
      <c r="F1217" s="75" t="s">
        <v>181</v>
      </c>
      <c r="G1217" s="75"/>
      <c r="H1217" s="75"/>
      <c r="I1217" s="75" t="s">
        <v>171</v>
      </c>
      <c r="J1217" s="76">
        <v>6</v>
      </c>
      <c r="K1217" s="516" t="s">
        <v>386</v>
      </c>
      <c r="L1217" s="517">
        <v>18.739999999999998</v>
      </c>
      <c r="M1217" s="517">
        <v>19.399999999999999</v>
      </c>
      <c r="N1217" s="518">
        <v>0.10299999999999999</v>
      </c>
      <c r="O1217" s="518">
        <v>0.1</v>
      </c>
      <c r="P1217" s="518">
        <v>0.112</v>
      </c>
      <c r="Q1217" s="78">
        <v>0.44</v>
      </c>
      <c r="R1217" s="78">
        <v>0.31740000000000002</v>
      </c>
      <c r="S1217" s="69">
        <v>0</v>
      </c>
      <c r="T1217" s="69">
        <v>0</v>
      </c>
      <c r="U1217" s="518">
        <v>0.7</v>
      </c>
      <c r="V1217" s="76">
        <v>0</v>
      </c>
      <c r="W1217" s="76">
        <v>0</v>
      </c>
      <c r="X1217" s="76"/>
      <c r="Y1217" s="516" t="s">
        <v>470</v>
      </c>
    </row>
    <row r="1218" spans="1:25" x14ac:dyDescent="0.25">
      <c r="A1218" s="75" t="str">
        <f t="shared" si="43"/>
        <v>Pago_de_Hipoteca PF No_Premier Nómina Pago_Fijo_Puntual 5</v>
      </c>
      <c r="B1218" s="75" t="str">
        <f t="shared" si="42"/>
        <v>Pago_de_Hipoteca PF No_Premier Nómina Pago_Fijo_Puntual 5 0.0965</v>
      </c>
      <c r="C1218" s="75" t="s">
        <v>173</v>
      </c>
      <c r="D1218" s="75" t="s">
        <v>132</v>
      </c>
      <c r="E1218" s="75" t="s">
        <v>179</v>
      </c>
      <c r="F1218" s="75" t="s">
        <v>181</v>
      </c>
      <c r="G1218" s="75"/>
      <c r="H1218" s="75"/>
      <c r="I1218" s="75" t="s">
        <v>171</v>
      </c>
      <c r="J1218" s="76">
        <v>5</v>
      </c>
      <c r="K1218" s="516" t="s">
        <v>385</v>
      </c>
      <c r="L1218" s="517">
        <v>21.12</v>
      </c>
      <c r="M1218" s="517">
        <v>21.78</v>
      </c>
      <c r="N1218" s="518">
        <v>9.6500000000000002E-2</v>
      </c>
      <c r="O1218" s="518">
        <v>9.1999999999999998E-2</v>
      </c>
      <c r="P1218" s="518">
        <v>0.10249999999999999</v>
      </c>
      <c r="Q1218" s="78">
        <v>0.44</v>
      </c>
      <c r="R1218" s="78">
        <v>0.31740000000000002</v>
      </c>
      <c r="S1218" s="69">
        <v>0</v>
      </c>
      <c r="T1218" s="69">
        <v>0</v>
      </c>
      <c r="U1218" s="518">
        <v>0.7</v>
      </c>
      <c r="V1218" s="76">
        <v>0</v>
      </c>
      <c r="W1218" s="76">
        <v>0</v>
      </c>
      <c r="X1218" s="76"/>
      <c r="Y1218" s="516" t="s">
        <v>470</v>
      </c>
    </row>
    <row r="1219" spans="1:25" x14ac:dyDescent="0.25">
      <c r="A1219" s="75" t="str">
        <f t="shared" si="43"/>
        <v>Pago_de_Hipoteca PF No_Premier Nómina Pago_Fijo_Puntual 5</v>
      </c>
      <c r="B1219" s="75" t="str">
        <f t="shared" si="42"/>
        <v>Pago_de_Hipoteca PF No_Premier Nómina Pago_Fijo_Puntual 5 0.103</v>
      </c>
      <c r="C1219" s="75" t="s">
        <v>173</v>
      </c>
      <c r="D1219" s="75" t="s">
        <v>132</v>
      </c>
      <c r="E1219" s="75" t="s">
        <v>179</v>
      </c>
      <c r="F1219" s="75" t="s">
        <v>181</v>
      </c>
      <c r="G1219" s="75"/>
      <c r="H1219" s="75"/>
      <c r="I1219" s="75" t="s">
        <v>171</v>
      </c>
      <c r="J1219" s="76">
        <v>5</v>
      </c>
      <c r="K1219" s="516" t="s">
        <v>386</v>
      </c>
      <c r="L1219" s="517">
        <v>21.44</v>
      </c>
      <c r="M1219" s="517">
        <v>22.1</v>
      </c>
      <c r="N1219" s="518">
        <v>0.10299999999999999</v>
      </c>
      <c r="O1219" s="518">
        <v>0.1</v>
      </c>
      <c r="P1219" s="518">
        <v>0.112</v>
      </c>
      <c r="Q1219" s="78">
        <v>0.44</v>
      </c>
      <c r="R1219" s="78">
        <v>0.31740000000000002</v>
      </c>
      <c r="S1219" s="69">
        <v>0</v>
      </c>
      <c r="T1219" s="69">
        <v>0</v>
      </c>
      <c r="U1219" s="518">
        <v>0.7</v>
      </c>
      <c r="V1219" s="76">
        <v>0</v>
      </c>
      <c r="W1219" s="76">
        <v>0</v>
      </c>
      <c r="X1219" s="76"/>
      <c r="Y1219" s="516" t="s">
        <v>470</v>
      </c>
    </row>
    <row r="1220" spans="1:25" x14ac:dyDescent="0.25">
      <c r="A1220" s="75" t="str">
        <f t="shared" si="43"/>
        <v>Pago_de_Hipoteca PF No_Premier Nómina Pago_Bajo_Puntual 20</v>
      </c>
      <c r="B1220" s="75" t="str">
        <f t="shared" si="42"/>
        <v>Pago_de_Hipoteca PF No_Premier Nómina Pago_Bajo_Puntual 20 0.0965</v>
      </c>
      <c r="C1220" s="75" t="s">
        <v>173</v>
      </c>
      <c r="D1220" s="75" t="s">
        <v>132</v>
      </c>
      <c r="E1220" s="75" t="s">
        <v>179</v>
      </c>
      <c r="F1220" s="75" t="s">
        <v>181</v>
      </c>
      <c r="G1220" s="75"/>
      <c r="H1220" s="75"/>
      <c r="I1220" s="75" t="s">
        <v>170</v>
      </c>
      <c r="J1220" s="76">
        <v>20</v>
      </c>
      <c r="K1220" s="516" t="s">
        <v>385</v>
      </c>
      <c r="L1220" s="517">
        <v>8.52</v>
      </c>
      <c r="M1220" s="517">
        <v>9.18</v>
      </c>
      <c r="N1220" s="518">
        <v>9.6500000000000002E-2</v>
      </c>
      <c r="O1220" s="518">
        <v>9.1999999999999998E-2</v>
      </c>
      <c r="P1220" s="518">
        <v>0.10249999999999999</v>
      </c>
      <c r="Q1220" s="78">
        <v>0.44</v>
      </c>
      <c r="R1220" s="78">
        <v>0.31740000000000002</v>
      </c>
      <c r="S1220" s="69">
        <v>0</v>
      </c>
      <c r="T1220" s="69">
        <v>0</v>
      </c>
      <c r="U1220" s="518">
        <v>0.7</v>
      </c>
      <c r="V1220" s="76">
        <v>0</v>
      </c>
      <c r="W1220" s="76">
        <v>0</v>
      </c>
      <c r="X1220" s="76"/>
      <c r="Y1220" s="516" t="s">
        <v>470</v>
      </c>
    </row>
    <row r="1221" spans="1:25" x14ac:dyDescent="0.25">
      <c r="A1221" s="75" t="str">
        <f t="shared" si="43"/>
        <v>Pago_de_Hipoteca PF No_Premier Nómina Pago_Bajo_Puntual 20</v>
      </c>
      <c r="B1221" s="75" t="str">
        <f t="shared" si="42"/>
        <v>Pago_de_Hipoteca PF No_Premier Nómina Pago_Bajo_Puntual 20 0.103</v>
      </c>
      <c r="C1221" s="75" t="s">
        <v>173</v>
      </c>
      <c r="D1221" s="75" t="s">
        <v>132</v>
      </c>
      <c r="E1221" s="75" t="s">
        <v>179</v>
      </c>
      <c r="F1221" s="75" t="s">
        <v>181</v>
      </c>
      <c r="G1221" s="75"/>
      <c r="H1221" s="75"/>
      <c r="I1221" s="75" t="s">
        <v>170</v>
      </c>
      <c r="J1221" s="76">
        <v>20</v>
      </c>
      <c r="K1221" s="516" t="s">
        <v>386</v>
      </c>
      <c r="L1221" s="517">
        <v>9</v>
      </c>
      <c r="M1221" s="517">
        <v>9.66</v>
      </c>
      <c r="N1221" s="518">
        <v>0.10299999999999999</v>
      </c>
      <c r="O1221" s="518">
        <v>0.1</v>
      </c>
      <c r="P1221" s="518">
        <v>0.112</v>
      </c>
      <c r="Q1221" s="78">
        <v>0.44</v>
      </c>
      <c r="R1221" s="78">
        <v>0.31740000000000002</v>
      </c>
      <c r="S1221" s="69">
        <v>0</v>
      </c>
      <c r="T1221" s="69">
        <v>0</v>
      </c>
      <c r="U1221" s="518">
        <v>0.7</v>
      </c>
      <c r="V1221" s="76">
        <v>0</v>
      </c>
      <c r="W1221" s="76">
        <v>0</v>
      </c>
      <c r="X1221" s="76"/>
      <c r="Y1221" s="516" t="s">
        <v>470</v>
      </c>
    </row>
    <row r="1222" spans="1:25" x14ac:dyDescent="0.25">
      <c r="A1222" s="75" t="str">
        <f t="shared" si="43"/>
        <v>Pago_de_Hipoteca PF No_Premier Nómina Pago_Bajo_Puntual 19</v>
      </c>
      <c r="B1222" s="75" t="str">
        <f t="shared" si="42"/>
        <v>Pago_de_Hipoteca PF No_Premier Nómina Pago_Bajo_Puntual 19 0.0965</v>
      </c>
      <c r="C1222" s="75" t="s">
        <v>173</v>
      </c>
      <c r="D1222" s="75" t="s">
        <v>132</v>
      </c>
      <c r="E1222" s="75" t="s">
        <v>179</v>
      </c>
      <c r="F1222" s="75" t="s">
        <v>181</v>
      </c>
      <c r="G1222" s="75"/>
      <c r="H1222" s="75"/>
      <c r="I1222" s="75" t="s">
        <v>170</v>
      </c>
      <c r="J1222" s="76">
        <v>19</v>
      </c>
      <c r="K1222" s="516" t="s">
        <v>385</v>
      </c>
      <c r="L1222" s="517">
        <v>8.6999999999999993</v>
      </c>
      <c r="M1222" s="517">
        <v>9.36</v>
      </c>
      <c r="N1222" s="518">
        <v>9.6500000000000002E-2</v>
      </c>
      <c r="O1222" s="518">
        <v>9.1999999999999998E-2</v>
      </c>
      <c r="P1222" s="518">
        <v>0.10249999999999999</v>
      </c>
      <c r="Q1222" s="78">
        <v>0.44</v>
      </c>
      <c r="R1222" s="78">
        <v>0.31740000000000002</v>
      </c>
      <c r="S1222" s="69">
        <v>0</v>
      </c>
      <c r="T1222" s="69">
        <v>0</v>
      </c>
      <c r="U1222" s="518">
        <v>0.7</v>
      </c>
      <c r="V1222" s="76">
        <v>0</v>
      </c>
      <c r="W1222" s="76">
        <v>0</v>
      </c>
      <c r="X1222" s="76"/>
      <c r="Y1222" s="516" t="s">
        <v>470</v>
      </c>
    </row>
    <row r="1223" spans="1:25" x14ac:dyDescent="0.25">
      <c r="A1223" s="75" t="str">
        <f t="shared" si="43"/>
        <v>Pago_de_Hipoteca PF No_Premier Nómina Pago_Bajo_Puntual 19</v>
      </c>
      <c r="B1223" s="75" t="str">
        <f t="shared" si="42"/>
        <v>Pago_de_Hipoteca PF No_Premier Nómina Pago_Bajo_Puntual 19 0.103</v>
      </c>
      <c r="C1223" s="75" t="s">
        <v>173</v>
      </c>
      <c r="D1223" s="75" t="s">
        <v>132</v>
      </c>
      <c r="E1223" s="75" t="s">
        <v>179</v>
      </c>
      <c r="F1223" s="75" t="s">
        <v>181</v>
      </c>
      <c r="G1223" s="75"/>
      <c r="H1223" s="75"/>
      <c r="I1223" s="75" t="s">
        <v>170</v>
      </c>
      <c r="J1223" s="76">
        <v>19</v>
      </c>
      <c r="K1223" s="516" t="s">
        <v>386</v>
      </c>
      <c r="L1223" s="517">
        <v>9.17</v>
      </c>
      <c r="M1223" s="517">
        <v>9.83</v>
      </c>
      <c r="N1223" s="518">
        <v>0.10299999999999999</v>
      </c>
      <c r="O1223" s="518">
        <v>0.1</v>
      </c>
      <c r="P1223" s="518">
        <v>0.112</v>
      </c>
      <c r="Q1223" s="78">
        <v>0.44</v>
      </c>
      <c r="R1223" s="78">
        <v>0.31740000000000002</v>
      </c>
      <c r="S1223" s="69">
        <v>0</v>
      </c>
      <c r="T1223" s="69">
        <v>0</v>
      </c>
      <c r="U1223" s="518">
        <v>0.7</v>
      </c>
      <c r="V1223" s="76">
        <v>0</v>
      </c>
      <c r="W1223" s="76">
        <v>0</v>
      </c>
      <c r="X1223" s="76"/>
      <c r="Y1223" s="516" t="s">
        <v>470</v>
      </c>
    </row>
    <row r="1224" spans="1:25" x14ac:dyDescent="0.25">
      <c r="A1224" s="75" t="str">
        <f t="shared" si="43"/>
        <v>Pago_de_Hipoteca PF No_Premier Nómina Pago_Bajo_Puntual 18</v>
      </c>
      <c r="B1224" s="75" t="str">
        <f t="shared" si="42"/>
        <v>Pago_de_Hipoteca PF No_Premier Nómina Pago_Bajo_Puntual 18 0.0965</v>
      </c>
      <c r="C1224" s="75" t="s">
        <v>173</v>
      </c>
      <c r="D1224" s="75" t="s">
        <v>132</v>
      </c>
      <c r="E1224" s="75" t="s">
        <v>179</v>
      </c>
      <c r="F1224" s="75" t="s">
        <v>181</v>
      </c>
      <c r="G1224" s="75"/>
      <c r="H1224" s="75"/>
      <c r="I1224" s="75" t="s">
        <v>170</v>
      </c>
      <c r="J1224" s="76">
        <v>18</v>
      </c>
      <c r="K1224" s="516" t="s">
        <v>385</v>
      </c>
      <c r="L1224" s="517">
        <v>8.9</v>
      </c>
      <c r="M1224" s="517">
        <v>9.56</v>
      </c>
      <c r="N1224" s="518">
        <v>9.6500000000000002E-2</v>
      </c>
      <c r="O1224" s="518">
        <v>9.1999999999999998E-2</v>
      </c>
      <c r="P1224" s="518">
        <v>0.10249999999999999</v>
      </c>
      <c r="Q1224" s="78">
        <v>0.44</v>
      </c>
      <c r="R1224" s="78">
        <v>0.31740000000000002</v>
      </c>
      <c r="S1224" s="69">
        <v>0</v>
      </c>
      <c r="T1224" s="69">
        <v>0</v>
      </c>
      <c r="U1224" s="518">
        <v>0.7</v>
      </c>
      <c r="V1224" s="76">
        <v>0</v>
      </c>
      <c r="W1224" s="76">
        <v>0</v>
      </c>
      <c r="X1224" s="76"/>
      <c r="Y1224" s="516" t="s">
        <v>470</v>
      </c>
    </row>
    <row r="1225" spans="1:25" x14ac:dyDescent="0.25">
      <c r="A1225" s="75" t="str">
        <f t="shared" si="43"/>
        <v>Pago_de_Hipoteca PF No_Premier Nómina Pago_Bajo_Puntual 18</v>
      </c>
      <c r="B1225" s="75" t="str">
        <f t="shared" si="42"/>
        <v>Pago_de_Hipoteca PF No_Premier Nómina Pago_Bajo_Puntual 18 0.103</v>
      </c>
      <c r="C1225" s="75" t="s">
        <v>173</v>
      </c>
      <c r="D1225" s="75" t="s">
        <v>132</v>
      </c>
      <c r="E1225" s="75" t="s">
        <v>179</v>
      </c>
      <c r="F1225" s="75" t="s">
        <v>181</v>
      </c>
      <c r="G1225" s="75"/>
      <c r="H1225" s="75"/>
      <c r="I1225" s="75" t="s">
        <v>170</v>
      </c>
      <c r="J1225" s="76">
        <v>18</v>
      </c>
      <c r="K1225" s="516" t="s">
        <v>386</v>
      </c>
      <c r="L1225" s="517">
        <v>9.36</v>
      </c>
      <c r="M1225" s="517">
        <v>10.02</v>
      </c>
      <c r="N1225" s="518">
        <v>0.10299999999999999</v>
      </c>
      <c r="O1225" s="518">
        <v>0.1</v>
      </c>
      <c r="P1225" s="518">
        <v>0.112</v>
      </c>
      <c r="Q1225" s="78">
        <v>0.44</v>
      </c>
      <c r="R1225" s="78">
        <v>0.31740000000000002</v>
      </c>
      <c r="S1225" s="69">
        <v>0</v>
      </c>
      <c r="T1225" s="69">
        <v>0</v>
      </c>
      <c r="U1225" s="518">
        <v>0.7</v>
      </c>
      <c r="V1225" s="76">
        <v>0</v>
      </c>
      <c r="W1225" s="76">
        <v>0</v>
      </c>
      <c r="X1225" s="76"/>
      <c r="Y1225" s="516" t="s">
        <v>470</v>
      </c>
    </row>
    <row r="1226" spans="1:25" x14ac:dyDescent="0.25">
      <c r="A1226" s="75" t="str">
        <f t="shared" si="43"/>
        <v>Pago_de_Hipoteca PF No_Premier Nómina Pago_Bajo_Puntual 17</v>
      </c>
      <c r="B1226" s="75" t="str">
        <f t="shared" si="42"/>
        <v>Pago_de_Hipoteca PF No_Premier Nómina Pago_Bajo_Puntual 17 0.0965</v>
      </c>
      <c r="C1226" s="75" t="s">
        <v>173</v>
      </c>
      <c r="D1226" s="75" t="s">
        <v>132</v>
      </c>
      <c r="E1226" s="75" t="s">
        <v>179</v>
      </c>
      <c r="F1226" s="75" t="s">
        <v>181</v>
      </c>
      <c r="G1226" s="75"/>
      <c r="H1226" s="75"/>
      <c r="I1226" s="75" t="s">
        <v>170</v>
      </c>
      <c r="J1226" s="76">
        <v>17</v>
      </c>
      <c r="K1226" s="516" t="s">
        <v>385</v>
      </c>
      <c r="L1226" s="517">
        <v>9.1300000000000008</v>
      </c>
      <c r="M1226" s="517">
        <v>9.7899999999999991</v>
      </c>
      <c r="N1226" s="518">
        <v>9.6500000000000002E-2</v>
      </c>
      <c r="O1226" s="518">
        <v>9.1999999999999998E-2</v>
      </c>
      <c r="P1226" s="518">
        <v>0.10249999999999999</v>
      </c>
      <c r="Q1226" s="78">
        <v>0.44</v>
      </c>
      <c r="R1226" s="78">
        <v>0.31740000000000002</v>
      </c>
      <c r="S1226" s="69">
        <v>0</v>
      </c>
      <c r="T1226" s="69">
        <v>0</v>
      </c>
      <c r="U1226" s="518">
        <v>0.7</v>
      </c>
      <c r="V1226" s="76">
        <v>0</v>
      </c>
      <c r="W1226" s="76">
        <v>0</v>
      </c>
      <c r="X1226" s="76"/>
      <c r="Y1226" s="516" t="s">
        <v>470</v>
      </c>
    </row>
    <row r="1227" spans="1:25" x14ac:dyDescent="0.25">
      <c r="A1227" s="75" t="str">
        <f t="shared" si="43"/>
        <v>Pago_de_Hipoteca PF No_Premier Nómina Pago_Bajo_Puntual 17</v>
      </c>
      <c r="B1227" s="75" t="str">
        <f t="shared" si="42"/>
        <v>Pago_de_Hipoteca PF No_Premier Nómina Pago_Bajo_Puntual 17 0.103</v>
      </c>
      <c r="C1227" s="75" t="s">
        <v>173</v>
      </c>
      <c r="D1227" s="75" t="s">
        <v>132</v>
      </c>
      <c r="E1227" s="75" t="s">
        <v>179</v>
      </c>
      <c r="F1227" s="75" t="s">
        <v>181</v>
      </c>
      <c r="G1227" s="75"/>
      <c r="H1227" s="75"/>
      <c r="I1227" s="75" t="s">
        <v>170</v>
      </c>
      <c r="J1227" s="76">
        <v>17</v>
      </c>
      <c r="K1227" s="516" t="s">
        <v>386</v>
      </c>
      <c r="L1227" s="517">
        <v>9.58</v>
      </c>
      <c r="M1227" s="517">
        <v>10.24</v>
      </c>
      <c r="N1227" s="518">
        <v>0.10299999999999999</v>
      </c>
      <c r="O1227" s="518">
        <v>0.1</v>
      </c>
      <c r="P1227" s="518">
        <v>0.112</v>
      </c>
      <c r="Q1227" s="78">
        <v>0.44</v>
      </c>
      <c r="R1227" s="78">
        <v>0.31740000000000002</v>
      </c>
      <c r="S1227" s="69">
        <v>0</v>
      </c>
      <c r="T1227" s="69">
        <v>0</v>
      </c>
      <c r="U1227" s="518">
        <v>0.7</v>
      </c>
      <c r="V1227" s="76">
        <v>0</v>
      </c>
      <c r="W1227" s="76">
        <v>0</v>
      </c>
      <c r="X1227" s="76"/>
      <c r="Y1227" s="516" t="s">
        <v>470</v>
      </c>
    </row>
    <row r="1228" spans="1:25" x14ac:dyDescent="0.25">
      <c r="A1228" s="75" t="str">
        <f t="shared" si="43"/>
        <v>Pago_de_Hipoteca PF No_Premier Nómina Pago_Bajo_Puntual 16</v>
      </c>
      <c r="B1228" s="75" t="str">
        <f t="shared" si="42"/>
        <v>Pago_de_Hipoteca PF No_Premier Nómina Pago_Bajo_Puntual 16 0.0965</v>
      </c>
      <c r="C1228" s="75" t="s">
        <v>173</v>
      </c>
      <c r="D1228" s="75" t="s">
        <v>132</v>
      </c>
      <c r="E1228" s="75" t="s">
        <v>179</v>
      </c>
      <c r="F1228" s="75" t="s">
        <v>181</v>
      </c>
      <c r="G1228" s="75"/>
      <c r="H1228" s="75"/>
      <c r="I1228" s="75" t="s">
        <v>170</v>
      </c>
      <c r="J1228" s="76">
        <v>16</v>
      </c>
      <c r="K1228" s="516" t="s">
        <v>385</v>
      </c>
      <c r="L1228" s="517">
        <v>9.39</v>
      </c>
      <c r="M1228" s="517">
        <v>10.050000000000001</v>
      </c>
      <c r="N1228" s="518">
        <v>9.6500000000000002E-2</v>
      </c>
      <c r="O1228" s="518">
        <v>9.1999999999999998E-2</v>
      </c>
      <c r="P1228" s="518">
        <v>0.10249999999999999</v>
      </c>
      <c r="Q1228" s="78">
        <v>0.44</v>
      </c>
      <c r="R1228" s="78">
        <v>0.31740000000000002</v>
      </c>
      <c r="S1228" s="69">
        <v>0</v>
      </c>
      <c r="T1228" s="69">
        <v>0</v>
      </c>
      <c r="U1228" s="518">
        <v>0.7</v>
      </c>
      <c r="V1228" s="76">
        <v>0</v>
      </c>
      <c r="W1228" s="76">
        <v>0</v>
      </c>
      <c r="X1228" s="76"/>
      <c r="Y1228" s="516" t="s">
        <v>470</v>
      </c>
    </row>
    <row r="1229" spans="1:25" x14ac:dyDescent="0.25">
      <c r="A1229" s="75" t="str">
        <f t="shared" si="43"/>
        <v>Pago_de_Hipoteca PF No_Premier Nómina Pago_Bajo_Puntual 16</v>
      </c>
      <c r="B1229" s="75" t="str">
        <f t="shared" si="42"/>
        <v>Pago_de_Hipoteca PF No_Premier Nómina Pago_Bajo_Puntual 16 0.103</v>
      </c>
      <c r="C1229" s="75" t="s">
        <v>173</v>
      </c>
      <c r="D1229" s="75" t="s">
        <v>132</v>
      </c>
      <c r="E1229" s="75" t="s">
        <v>179</v>
      </c>
      <c r="F1229" s="75" t="s">
        <v>181</v>
      </c>
      <c r="G1229" s="75"/>
      <c r="H1229" s="75"/>
      <c r="I1229" s="75" t="s">
        <v>170</v>
      </c>
      <c r="J1229" s="76">
        <v>16</v>
      </c>
      <c r="K1229" s="516" t="s">
        <v>386</v>
      </c>
      <c r="L1229" s="517">
        <v>9.83</v>
      </c>
      <c r="M1229" s="517">
        <v>10.49</v>
      </c>
      <c r="N1229" s="518">
        <v>0.10299999999999999</v>
      </c>
      <c r="O1229" s="518">
        <v>0.1</v>
      </c>
      <c r="P1229" s="518">
        <v>0.112</v>
      </c>
      <c r="Q1229" s="78">
        <v>0.44</v>
      </c>
      <c r="R1229" s="78">
        <v>0.31740000000000002</v>
      </c>
      <c r="S1229" s="69">
        <v>0</v>
      </c>
      <c r="T1229" s="69">
        <v>0</v>
      </c>
      <c r="U1229" s="518">
        <v>0.7</v>
      </c>
      <c r="V1229" s="76">
        <v>0</v>
      </c>
      <c r="W1229" s="76">
        <v>0</v>
      </c>
      <c r="X1229" s="76"/>
      <c r="Y1229" s="516" t="s">
        <v>470</v>
      </c>
    </row>
    <row r="1230" spans="1:25" x14ac:dyDescent="0.25">
      <c r="A1230" s="75" t="str">
        <f t="shared" si="43"/>
        <v>Pago_de_Hipoteca PF No_Premier Nómina Pago_Bajo_Puntual 15</v>
      </c>
      <c r="B1230" s="75" t="str">
        <f t="shared" si="42"/>
        <v>Pago_de_Hipoteca PF No_Premier Nómina Pago_Bajo_Puntual 15 0.0965</v>
      </c>
      <c r="C1230" s="75" t="s">
        <v>173</v>
      </c>
      <c r="D1230" s="75" t="s">
        <v>132</v>
      </c>
      <c r="E1230" s="75" t="s">
        <v>179</v>
      </c>
      <c r="F1230" s="75" t="s">
        <v>181</v>
      </c>
      <c r="G1230" s="75"/>
      <c r="H1230" s="75"/>
      <c r="I1230" s="75" t="s">
        <v>170</v>
      </c>
      <c r="J1230" s="76">
        <v>15</v>
      </c>
      <c r="K1230" s="516" t="s">
        <v>385</v>
      </c>
      <c r="L1230" s="517">
        <v>9.6999999999999993</v>
      </c>
      <c r="M1230" s="517">
        <v>10.36</v>
      </c>
      <c r="N1230" s="518">
        <v>9.6500000000000002E-2</v>
      </c>
      <c r="O1230" s="518">
        <v>9.1999999999999998E-2</v>
      </c>
      <c r="P1230" s="518">
        <v>0.10249999999999999</v>
      </c>
      <c r="Q1230" s="78">
        <v>0.44</v>
      </c>
      <c r="R1230" s="78">
        <v>0.31740000000000002</v>
      </c>
      <c r="S1230" s="69">
        <v>0</v>
      </c>
      <c r="T1230" s="69">
        <v>0</v>
      </c>
      <c r="U1230" s="518">
        <v>0.7</v>
      </c>
      <c r="V1230" s="76">
        <v>0</v>
      </c>
      <c r="W1230" s="76">
        <v>0</v>
      </c>
      <c r="X1230" s="76"/>
      <c r="Y1230" s="516" t="s">
        <v>470</v>
      </c>
    </row>
    <row r="1231" spans="1:25" x14ac:dyDescent="0.25">
      <c r="A1231" s="75" t="str">
        <f t="shared" si="43"/>
        <v>Pago_de_Hipoteca PF No_Premier Nómina Pago_Bajo_Puntual 15</v>
      </c>
      <c r="B1231" s="75" t="str">
        <f t="shared" si="42"/>
        <v>Pago_de_Hipoteca PF No_Premier Nómina Pago_Bajo_Puntual 15 0.103</v>
      </c>
      <c r="C1231" s="75" t="s">
        <v>173</v>
      </c>
      <c r="D1231" s="75" t="s">
        <v>132</v>
      </c>
      <c r="E1231" s="75" t="s">
        <v>179</v>
      </c>
      <c r="F1231" s="75" t="s">
        <v>181</v>
      </c>
      <c r="G1231" s="75"/>
      <c r="H1231" s="75"/>
      <c r="I1231" s="75" t="s">
        <v>170</v>
      </c>
      <c r="J1231" s="76">
        <v>15</v>
      </c>
      <c r="K1231" s="516" t="s">
        <v>386</v>
      </c>
      <c r="L1231" s="517">
        <v>10.119999999999999</v>
      </c>
      <c r="M1231" s="517">
        <v>10.78</v>
      </c>
      <c r="N1231" s="518">
        <v>0.10299999999999999</v>
      </c>
      <c r="O1231" s="518">
        <v>0.1</v>
      </c>
      <c r="P1231" s="518">
        <v>0.112</v>
      </c>
      <c r="Q1231" s="78">
        <v>0.44</v>
      </c>
      <c r="R1231" s="78">
        <v>0.31740000000000002</v>
      </c>
      <c r="S1231" s="69">
        <v>0</v>
      </c>
      <c r="T1231" s="69">
        <v>0</v>
      </c>
      <c r="U1231" s="518">
        <v>0.7</v>
      </c>
      <c r="V1231" s="76">
        <v>0</v>
      </c>
      <c r="W1231" s="76">
        <v>0</v>
      </c>
      <c r="X1231" s="76"/>
      <c r="Y1231" s="516" t="s">
        <v>470</v>
      </c>
    </row>
    <row r="1232" spans="1:25" x14ac:dyDescent="0.25">
      <c r="A1232" s="75" t="str">
        <f t="shared" si="43"/>
        <v>Pago_de_Hipoteca PF No_Premier Nómina Pago_Bajo_Puntual 14</v>
      </c>
      <c r="B1232" s="75" t="str">
        <f t="shared" si="42"/>
        <v>Pago_de_Hipoteca PF No_Premier Nómina Pago_Bajo_Puntual 14 0.0965</v>
      </c>
      <c r="C1232" s="75" t="s">
        <v>173</v>
      </c>
      <c r="D1232" s="75" t="s">
        <v>132</v>
      </c>
      <c r="E1232" s="75" t="s">
        <v>179</v>
      </c>
      <c r="F1232" s="75" t="s">
        <v>181</v>
      </c>
      <c r="G1232" s="75"/>
      <c r="H1232" s="75"/>
      <c r="I1232" s="75" t="s">
        <v>170</v>
      </c>
      <c r="J1232" s="76">
        <v>14</v>
      </c>
      <c r="K1232" s="516" t="s">
        <v>385</v>
      </c>
      <c r="L1232" s="517">
        <v>10.050000000000001</v>
      </c>
      <c r="M1232" s="517">
        <v>10.71</v>
      </c>
      <c r="N1232" s="518">
        <v>9.6500000000000002E-2</v>
      </c>
      <c r="O1232" s="518">
        <v>9.1999999999999998E-2</v>
      </c>
      <c r="P1232" s="518">
        <v>0.10249999999999999</v>
      </c>
      <c r="Q1232" s="78">
        <v>0.44</v>
      </c>
      <c r="R1232" s="78">
        <v>0.31740000000000002</v>
      </c>
      <c r="S1232" s="69">
        <v>0</v>
      </c>
      <c r="T1232" s="69">
        <v>0</v>
      </c>
      <c r="U1232" s="518">
        <v>0.7</v>
      </c>
      <c r="V1232" s="76">
        <v>0</v>
      </c>
      <c r="W1232" s="76">
        <v>0</v>
      </c>
      <c r="X1232" s="76"/>
      <c r="Y1232" s="516" t="s">
        <v>470</v>
      </c>
    </row>
    <row r="1233" spans="1:25" x14ac:dyDescent="0.25">
      <c r="A1233" s="75" t="str">
        <f t="shared" si="43"/>
        <v>Pago_de_Hipoteca PF No_Premier Nómina Pago_Bajo_Puntual 14</v>
      </c>
      <c r="B1233" s="75" t="str">
        <f t="shared" si="42"/>
        <v>Pago_de_Hipoteca PF No_Premier Nómina Pago_Bajo_Puntual 14 0.103</v>
      </c>
      <c r="C1233" s="75" t="s">
        <v>173</v>
      </c>
      <c r="D1233" s="75" t="s">
        <v>132</v>
      </c>
      <c r="E1233" s="75" t="s">
        <v>179</v>
      </c>
      <c r="F1233" s="75" t="s">
        <v>181</v>
      </c>
      <c r="G1233" s="75"/>
      <c r="H1233" s="75"/>
      <c r="I1233" s="75" t="s">
        <v>170</v>
      </c>
      <c r="J1233" s="76">
        <v>14</v>
      </c>
      <c r="K1233" s="516" t="s">
        <v>386</v>
      </c>
      <c r="L1233" s="517">
        <v>10.46</v>
      </c>
      <c r="M1233" s="517">
        <v>11.12</v>
      </c>
      <c r="N1233" s="518">
        <v>0.10299999999999999</v>
      </c>
      <c r="O1233" s="518">
        <v>0.1</v>
      </c>
      <c r="P1233" s="518">
        <v>0.112</v>
      </c>
      <c r="Q1233" s="78">
        <v>0.44</v>
      </c>
      <c r="R1233" s="78">
        <v>0.31740000000000002</v>
      </c>
      <c r="S1233" s="69">
        <v>0</v>
      </c>
      <c r="T1233" s="69">
        <v>0</v>
      </c>
      <c r="U1233" s="518">
        <v>0.7</v>
      </c>
      <c r="V1233" s="76">
        <v>0</v>
      </c>
      <c r="W1233" s="76">
        <v>0</v>
      </c>
      <c r="X1233" s="76"/>
      <c r="Y1233" s="516" t="s">
        <v>470</v>
      </c>
    </row>
    <row r="1234" spans="1:25" x14ac:dyDescent="0.25">
      <c r="A1234" s="75" t="str">
        <f t="shared" si="43"/>
        <v>Pago_de_Hipoteca PF No_Premier Nómina Pago_Bajo_Puntual 13</v>
      </c>
      <c r="B1234" s="75" t="str">
        <f t="shared" si="42"/>
        <v>Pago_de_Hipoteca PF No_Premier Nómina Pago_Bajo_Puntual 13 0.0965</v>
      </c>
      <c r="C1234" s="75" t="s">
        <v>173</v>
      </c>
      <c r="D1234" s="75" t="s">
        <v>132</v>
      </c>
      <c r="E1234" s="75" t="s">
        <v>179</v>
      </c>
      <c r="F1234" s="75" t="s">
        <v>181</v>
      </c>
      <c r="G1234" s="75"/>
      <c r="H1234" s="75"/>
      <c r="I1234" s="75" t="s">
        <v>170</v>
      </c>
      <c r="J1234" s="76">
        <v>13</v>
      </c>
      <c r="K1234" s="516" t="s">
        <v>385</v>
      </c>
      <c r="L1234" s="517">
        <v>10.46</v>
      </c>
      <c r="M1234" s="517">
        <v>11.12</v>
      </c>
      <c r="N1234" s="518">
        <v>9.6500000000000002E-2</v>
      </c>
      <c r="O1234" s="518">
        <v>9.1999999999999998E-2</v>
      </c>
      <c r="P1234" s="518">
        <v>0.10249999999999999</v>
      </c>
      <c r="Q1234" s="78">
        <v>0.44</v>
      </c>
      <c r="R1234" s="78">
        <v>0.31740000000000002</v>
      </c>
      <c r="S1234" s="69">
        <v>0</v>
      </c>
      <c r="T1234" s="69">
        <v>0</v>
      </c>
      <c r="U1234" s="518">
        <v>0.7</v>
      </c>
      <c r="V1234" s="76">
        <v>0</v>
      </c>
      <c r="W1234" s="76">
        <v>0</v>
      </c>
      <c r="X1234" s="76"/>
      <c r="Y1234" s="516" t="s">
        <v>470</v>
      </c>
    </row>
    <row r="1235" spans="1:25" x14ac:dyDescent="0.25">
      <c r="A1235" s="75" t="str">
        <f t="shared" si="43"/>
        <v>Pago_de_Hipoteca PF No_Premier Nómina Pago_Bajo_Puntual 13</v>
      </c>
      <c r="B1235" s="75" t="str">
        <f t="shared" si="42"/>
        <v>Pago_de_Hipoteca PF No_Premier Nómina Pago_Bajo_Puntual 13 0.103</v>
      </c>
      <c r="C1235" s="75" t="s">
        <v>173</v>
      </c>
      <c r="D1235" s="75" t="s">
        <v>132</v>
      </c>
      <c r="E1235" s="75" t="s">
        <v>179</v>
      </c>
      <c r="F1235" s="75" t="s">
        <v>181</v>
      </c>
      <c r="G1235" s="75"/>
      <c r="H1235" s="75"/>
      <c r="I1235" s="75" t="s">
        <v>170</v>
      </c>
      <c r="J1235" s="76">
        <v>13</v>
      </c>
      <c r="K1235" s="516" t="s">
        <v>386</v>
      </c>
      <c r="L1235" s="517">
        <v>10.86</v>
      </c>
      <c r="M1235" s="517">
        <v>11.52</v>
      </c>
      <c r="N1235" s="518">
        <v>0.10299999999999999</v>
      </c>
      <c r="O1235" s="518">
        <v>0.1</v>
      </c>
      <c r="P1235" s="518">
        <v>0.112</v>
      </c>
      <c r="Q1235" s="78">
        <v>0.44</v>
      </c>
      <c r="R1235" s="78">
        <v>0.31740000000000002</v>
      </c>
      <c r="S1235" s="69">
        <v>0</v>
      </c>
      <c r="T1235" s="69">
        <v>0</v>
      </c>
      <c r="U1235" s="518">
        <v>0.7</v>
      </c>
      <c r="V1235" s="76">
        <v>0</v>
      </c>
      <c r="W1235" s="76">
        <v>0</v>
      </c>
      <c r="X1235" s="76"/>
      <c r="Y1235" s="516" t="s">
        <v>470</v>
      </c>
    </row>
    <row r="1236" spans="1:25" x14ac:dyDescent="0.25">
      <c r="A1236" s="75" t="str">
        <f t="shared" si="43"/>
        <v>Pago_de_Hipoteca PF No_Premier Nómina Pago_Bajo_Puntual 12</v>
      </c>
      <c r="B1236" s="75" t="str">
        <f t="shared" si="42"/>
        <v>Pago_de_Hipoteca PF No_Premier Nómina Pago_Bajo_Puntual 12 0.0965</v>
      </c>
      <c r="C1236" s="75" t="s">
        <v>173</v>
      </c>
      <c r="D1236" s="75" t="s">
        <v>132</v>
      </c>
      <c r="E1236" s="75" t="s">
        <v>179</v>
      </c>
      <c r="F1236" s="75" t="s">
        <v>181</v>
      </c>
      <c r="G1236" s="75"/>
      <c r="H1236" s="75"/>
      <c r="I1236" s="75" t="s">
        <v>170</v>
      </c>
      <c r="J1236" s="76">
        <v>12</v>
      </c>
      <c r="K1236" s="516" t="s">
        <v>385</v>
      </c>
      <c r="L1236" s="517">
        <v>10.95</v>
      </c>
      <c r="M1236" s="517">
        <v>11.61</v>
      </c>
      <c r="N1236" s="518">
        <v>9.6500000000000002E-2</v>
      </c>
      <c r="O1236" s="518">
        <v>9.1999999999999998E-2</v>
      </c>
      <c r="P1236" s="518">
        <v>0.10249999999999999</v>
      </c>
      <c r="Q1236" s="78">
        <v>0.44</v>
      </c>
      <c r="R1236" s="78">
        <v>0.31740000000000002</v>
      </c>
      <c r="S1236" s="69">
        <v>0</v>
      </c>
      <c r="T1236" s="69">
        <v>0</v>
      </c>
      <c r="U1236" s="518">
        <v>0.7</v>
      </c>
      <c r="V1236" s="76">
        <v>0</v>
      </c>
      <c r="W1236" s="76">
        <v>0</v>
      </c>
      <c r="X1236" s="76"/>
      <c r="Y1236" s="516" t="s">
        <v>470</v>
      </c>
    </row>
    <row r="1237" spans="1:25" x14ac:dyDescent="0.25">
      <c r="A1237" s="75" t="str">
        <f t="shared" si="43"/>
        <v>Pago_de_Hipoteca PF No_Premier Nómina Pago_Bajo_Puntual 12</v>
      </c>
      <c r="B1237" s="75" t="str">
        <f t="shared" si="42"/>
        <v>Pago_de_Hipoteca PF No_Premier Nómina Pago_Bajo_Puntual 12 0.103</v>
      </c>
      <c r="C1237" s="75" t="s">
        <v>173</v>
      </c>
      <c r="D1237" s="75" t="s">
        <v>132</v>
      </c>
      <c r="E1237" s="75" t="s">
        <v>179</v>
      </c>
      <c r="F1237" s="75" t="s">
        <v>181</v>
      </c>
      <c r="G1237" s="75"/>
      <c r="H1237" s="75"/>
      <c r="I1237" s="75" t="s">
        <v>170</v>
      </c>
      <c r="J1237" s="76">
        <v>12</v>
      </c>
      <c r="K1237" s="516" t="s">
        <v>386</v>
      </c>
      <c r="L1237" s="517">
        <v>11.34</v>
      </c>
      <c r="M1237" s="517">
        <v>12</v>
      </c>
      <c r="N1237" s="518">
        <v>0.10299999999999999</v>
      </c>
      <c r="O1237" s="518">
        <v>0.1</v>
      </c>
      <c r="P1237" s="518">
        <v>0.112</v>
      </c>
      <c r="Q1237" s="78">
        <v>0.44</v>
      </c>
      <c r="R1237" s="78">
        <v>0.31740000000000002</v>
      </c>
      <c r="S1237" s="69">
        <v>0</v>
      </c>
      <c r="T1237" s="69">
        <v>0</v>
      </c>
      <c r="U1237" s="518">
        <v>0.7</v>
      </c>
      <c r="V1237" s="76">
        <v>0</v>
      </c>
      <c r="W1237" s="76">
        <v>0</v>
      </c>
      <c r="X1237" s="76"/>
      <c r="Y1237" s="516" t="s">
        <v>470</v>
      </c>
    </row>
    <row r="1238" spans="1:25" x14ac:dyDescent="0.25">
      <c r="A1238" s="75" t="str">
        <f t="shared" si="43"/>
        <v>Pago_de_Hipoteca PF No_Premier Nómina Pago_Bajo_Puntual 11</v>
      </c>
      <c r="B1238" s="75" t="str">
        <f t="shared" si="42"/>
        <v>Pago_de_Hipoteca PF No_Premier Nómina Pago_Bajo_Puntual 11 0.0965</v>
      </c>
      <c r="C1238" s="75" t="s">
        <v>173</v>
      </c>
      <c r="D1238" s="75" t="s">
        <v>132</v>
      </c>
      <c r="E1238" s="75" t="s">
        <v>179</v>
      </c>
      <c r="F1238" s="75" t="s">
        <v>181</v>
      </c>
      <c r="G1238" s="75"/>
      <c r="H1238" s="75"/>
      <c r="I1238" s="75" t="s">
        <v>170</v>
      </c>
      <c r="J1238" s="76">
        <v>11</v>
      </c>
      <c r="K1238" s="516" t="s">
        <v>385</v>
      </c>
      <c r="L1238" s="517">
        <v>11.54</v>
      </c>
      <c r="M1238" s="517">
        <v>12.2</v>
      </c>
      <c r="N1238" s="518">
        <v>9.6500000000000002E-2</v>
      </c>
      <c r="O1238" s="518">
        <v>9.1999999999999998E-2</v>
      </c>
      <c r="P1238" s="518">
        <v>0.10249999999999999</v>
      </c>
      <c r="Q1238" s="78">
        <v>0.44</v>
      </c>
      <c r="R1238" s="78">
        <v>0.31740000000000002</v>
      </c>
      <c r="S1238" s="69">
        <v>0</v>
      </c>
      <c r="T1238" s="69">
        <v>0</v>
      </c>
      <c r="U1238" s="518">
        <v>0.7</v>
      </c>
      <c r="V1238" s="76">
        <v>0</v>
      </c>
      <c r="W1238" s="76">
        <v>0</v>
      </c>
      <c r="X1238" s="76"/>
      <c r="Y1238" s="516" t="s">
        <v>470</v>
      </c>
    </row>
    <row r="1239" spans="1:25" x14ac:dyDescent="0.25">
      <c r="A1239" s="75" t="str">
        <f t="shared" si="43"/>
        <v>Pago_de_Hipoteca PF No_Premier Nómina Pago_Bajo_Puntual 11</v>
      </c>
      <c r="B1239" s="75" t="str">
        <f t="shared" si="42"/>
        <v>Pago_de_Hipoteca PF No_Premier Nómina Pago_Bajo_Puntual 11 0.103</v>
      </c>
      <c r="C1239" s="75" t="s">
        <v>173</v>
      </c>
      <c r="D1239" s="75" t="s">
        <v>132</v>
      </c>
      <c r="E1239" s="75" t="s">
        <v>179</v>
      </c>
      <c r="F1239" s="75" t="s">
        <v>181</v>
      </c>
      <c r="G1239" s="75"/>
      <c r="H1239" s="75"/>
      <c r="I1239" s="75" t="s">
        <v>170</v>
      </c>
      <c r="J1239" s="76">
        <v>11</v>
      </c>
      <c r="K1239" s="516" t="s">
        <v>386</v>
      </c>
      <c r="L1239" s="517">
        <v>11.92</v>
      </c>
      <c r="M1239" s="517">
        <v>12.58</v>
      </c>
      <c r="N1239" s="518">
        <v>0.10299999999999999</v>
      </c>
      <c r="O1239" s="518">
        <v>0.1</v>
      </c>
      <c r="P1239" s="518">
        <v>0.112</v>
      </c>
      <c r="Q1239" s="78">
        <v>0.44</v>
      </c>
      <c r="R1239" s="78">
        <v>0.31740000000000002</v>
      </c>
      <c r="S1239" s="69">
        <v>0</v>
      </c>
      <c r="T1239" s="69">
        <v>0</v>
      </c>
      <c r="U1239" s="518">
        <v>0.7</v>
      </c>
      <c r="V1239" s="76">
        <v>0</v>
      </c>
      <c r="W1239" s="76">
        <v>0</v>
      </c>
      <c r="X1239" s="76"/>
      <c r="Y1239" s="516" t="s">
        <v>470</v>
      </c>
    </row>
    <row r="1240" spans="1:25" x14ac:dyDescent="0.25">
      <c r="A1240" s="75" t="str">
        <f t="shared" si="43"/>
        <v>Pago_de_Hipoteca PF No_Premier Nómina Pago_Bajo_Puntual 10</v>
      </c>
      <c r="B1240" s="75" t="str">
        <f t="shared" si="42"/>
        <v>Pago_de_Hipoteca PF No_Premier Nómina Pago_Bajo_Puntual 10 0.0965</v>
      </c>
      <c r="C1240" s="75" t="s">
        <v>173</v>
      </c>
      <c r="D1240" s="75" t="s">
        <v>132</v>
      </c>
      <c r="E1240" s="75" t="s">
        <v>179</v>
      </c>
      <c r="F1240" s="75" t="s">
        <v>181</v>
      </c>
      <c r="G1240" s="75"/>
      <c r="H1240" s="75"/>
      <c r="I1240" s="75" t="s">
        <v>170</v>
      </c>
      <c r="J1240" s="76">
        <v>10</v>
      </c>
      <c r="K1240" s="516" t="s">
        <v>385</v>
      </c>
      <c r="L1240" s="517">
        <v>12.25</v>
      </c>
      <c r="M1240" s="517">
        <v>12.91</v>
      </c>
      <c r="N1240" s="518">
        <v>9.6500000000000002E-2</v>
      </c>
      <c r="O1240" s="518">
        <v>9.1999999999999998E-2</v>
      </c>
      <c r="P1240" s="518">
        <v>0.10249999999999999</v>
      </c>
      <c r="Q1240" s="78">
        <v>0.44</v>
      </c>
      <c r="R1240" s="78">
        <v>0.31740000000000002</v>
      </c>
      <c r="S1240" s="69">
        <v>0</v>
      </c>
      <c r="T1240" s="69">
        <v>0</v>
      </c>
      <c r="U1240" s="518">
        <v>0.7</v>
      </c>
      <c r="V1240" s="76">
        <v>0</v>
      </c>
      <c r="W1240" s="76">
        <v>0</v>
      </c>
      <c r="X1240" s="76"/>
      <c r="Y1240" s="516" t="s">
        <v>470</v>
      </c>
    </row>
    <row r="1241" spans="1:25" x14ac:dyDescent="0.25">
      <c r="A1241" s="75" t="str">
        <f t="shared" si="43"/>
        <v>Pago_de_Hipoteca PF No_Premier Nómina Pago_Bajo_Puntual 10</v>
      </c>
      <c r="B1241" s="75" t="str">
        <f t="shared" si="42"/>
        <v>Pago_de_Hipoteca PF No_Premier Nómina Pago_Bajo_Puntual 10 0.103</v>
      </c>
      <c r="C1241" s="75" t="s">
        <v>173</v>
      </c>
      <c r="D1241" s="75" t="s">
        <v>132</v>
      </c>
      <c r="E1241" s="75" t="s">
        <v>179</v>
      </c>
      <c r="F1241" s="75" t="s">
        <v>181</v>
      </c>
      <c r="G1241" s="75"/>
      <c r="H1241" s="75"/>
      <c r="I1241" s="75" t="s">
        <v>170</v>
      </c>
      <c r="J1241" s="76">
        <v>10</v>
      </c>
      <c r="K1241" s="516" t="s">
        <v>386</v>
      </c>
      <c r="L1241" s="517">
        <v>12.62</v>
      </c>
      <c r="M1241" s="517">
        <v>13.28</v>
      </c>
      <c r="N1241" s="518">
        <v>0.10299999999999999</v>
      </c>
      <c r="O1241" s="518">
        <v>0.1</v>
      </c>
      <c r="P1241" s="518">
        <v>0.112</v>
      </c>
      <c r="Q1241" s="78">
        <v>0.44</v>
      </c>
      <c r="R1241" s="78">
        <v>0.31740000000000002</v>
      </c>
      <c r="S1241" s="69">
        <v>0</v>
      </c>
      <c r="T1241" s="69">
        <v>0</v>
      </c>
      <c r="U1241" s="518">
        <v>0.7</v>
      </c>
      <c r="V1241" s="76">
        <v>0</v>
      </c>
      <c r="W1241" s="76">
        <v>0</v>
      </c>
      <c r="X1241" s="76"/>
      <c r="Y1241" s="516" t="s">
        <v>470</v>
      </c>
    </row>
    <row r="1242" spans="1:25" x14ac:dyDescent="0.25">
      <c r="A1242" s="75" t="str">
        <f t="shared" si="43"/>
        <v>Pago_de_Hipoteca PF No_Premier Nómina Pago_Bajo_Puntual 9</v>
      </c>
      <c r="B1242" s="75" t="str">
        <f t="shared" si="42"/>
        <v>Pago_de_Hipoteca PF No_Premier Nómina Pago_Bajo_Puntual 9 0.0965</v>
      </c>
      <c r="C1242" s="75" t="s">
        <v>173</v>
      </c>
      <c r="D1242" s="75" t="s">
        <v>132</v>
      </c>
      <c r="E1242" s="75" t="s">
        <v>179</v>
      </c>
      <c r="F1242" s="75" t="s">
        <v>181</v>
      </c>
      <c r="G1242" s="75"/>
      <c r="H1242" s="75"/>
      <c r="I1242" s="75" t="s">
        <v>170</v>
      </c>
      <c r="J1242" s="76">
        <v>9</v>
      </c>
      <c r="K1242" s="516" t="s">
        <v>385</v>
      </c>
      <c r="L1242" s="517">
        <v>13.13</v>
      </c>
      <c r="M1242" s="517">
        <v>13.79</v>
      </c>
      <c r="N1242" s="518">
        <v>9.6500000000000002E-2</v>
      </c>
      <c r="O1242" s="518">
        <v>9.1999999999999998E-2</v>
      </c>
      <c r="P1242" s="518">
        <v>0.10249999999999999</v>
      </c>
      <c r="Q1242" s="78">
        <v>0.44</v>
      </c>
      <c r="R1242" s="78">
        <v>0.31740000000000002</v>
      </c>
      <c r="S1242" s="69">
        <v>0</v>
      </c>
      <c r="T1242" s="69">
        <v>0</v>
      </c>
      <c r="U1242" s="518">
        <v>0.7</v>
      </c>
      <c r="V1242" s="76">
        <v>0</v>
      </c>
      <c r="W1242" s="76">
        <v>0</v>
      </c>
      <c r="X1242" s="76"/>
      <c r="Y1242" s="516" t="s">
        <v>470</v>
      </c>
    </row>
    <row r="1243" spans="1:25" x14ac:dyDescent="0.25">
      <c r="A1243" s="75" t="str">
        <f t="shared" si="43"/>
        <v>Pago_de_Hipoteca PF No_Premier Nómina Pago_Bajo_Puntual 9</v>
      </c>
      <c r="B1243" s="75" t="str">
        <f t="shared" si="42"/>
        <v>Pago_de_Hipoteca PF No_Premier Nómina Pago_Bajo_Puntual 9 0.103</v>
      </c>
      <c r="C1243" s="75" t="s">
        <v>173</v>
      </c>
      <c r="D1243" s="75" t="s">
        <v>132</v>
      </c>
      <c r="E1243" s="75" t="s">
        <v>179</v>
      </c>
      <c r="F1243" s="75" t="s">
        <v>181</v>
      </c>
      <c r="G1243" s="75"/>
      <c r="H1243" s="75"/>
      <c r="I1243" s="75" t="s">
        <v>170</v>
      </c>
      <c r="J1243" s="76">
        <v>9</v>
      </c>
      <c r="K1243" s="516" t="s">
        <v>386</v>
      </c>
      <c r="L1243" s="517">
        <v>13.49</v>
      </c>
      <c r="M1243" s="517">
        <v>14.15</v>
      </c>
      <c r="N1243" s="518">
        <v>0.10299999999999999</v>
      </c>
      <c r="O1243" s="518">
        <v>0.1</v>
      </c>
      <c r="P1243" s="518">
        <v>0.112</v>
      </c>
      <c r="Q1243" s="78">
        <v>0.44</v>
      </c>
      <c r="R1243" s="78">
        <v>0.31740000000000002</v>
      </c>
      <c r="S1243" s="69">
        <v>0</v>
      </c>
      <c r="T1243" s="69">
        <v>0</v>
      </c>
      <c r="U1243" s="518">
        <v>0.7</v>
      </c>
      <c r="V1243" s="76">
        <v>0</v>
      </c>
      <c r="W1243" s="76">
        <v>0</v>
      </c>
      <c r="X1243" s="76"/>
      <c r="Y1243" s="516" t="s">
        <v>470</v>
      </c>
    </row>
    <row r="1244" spans="1:25" x14ac:dyDescent="0.25">
      <c r="A1244" s="75" t="str">
        <f t="shared" si="43"/>
        <v>Pago_de_Hipoteca PF No_Premier Nómina Pago_Bajo_Puntual 8</v>
      </c>
      <c r="B1244" s="75" t="str">
        <f t="shared" si="42"/>
        <v>Pago_de_Hipoteca PF No_Premier Nómina Pago_Bajo_Puntual 8 0.0965</v>
      </c>
      <c r="C1244" s="75" t="s">
        <v>173</v>
      </c>
      <c r="D1244" s="75" t="s">
        <v>132</v>
      </c>
      <c r="E1244" s="75" t="s">
        <v>179</v>
      </c>
      <c r="F1244" s="75" t="s">
        <v>181</v>
      </c>
      <c r="G1244" s="75"/>
      <c r="H1244" s="75"/>
      <c r="I1244" s="75" t="s">
        <v>170</v>
      </c>
      <c r="J1244" s="76">
        <v>8</v>
      </c>
      <c r="K1244" s="516" t="s">
        <v>385</v>
      </c>
      <c r="L1244" s="517">
        <v>14.25</v>
      </c>
      <c r="M1244" s="517">
        <v>14.91</v>
      </c>
      <c r="N1244" s="518">
        <v>9.6500000000000002E-2</v>
      </c>
      <c r="O1244" s="518">
        <v>9.1999999999999998E-2</v>
      </c>
      <c r="P1244" s="518">
        <v>0.10249999999999999</v>
      </c>
      <c r="Q1244" s="78">
        <v>0.44</v>
      </c>
      <c r="R1244" s="78">
        <v>0.31740000000000002</v>
      </c>
      <c r="S1244" s="69">
        <v>0</v>
      </c>
      <c r="T1244" s="69">
        <v>0</v>
      </c>
      <c r="U1244" s="518">
        <v>0.7</v>
      </c>
      <c r="V1244" s="76">
        <v>0</v>
      </c>
      <c r="W1244" s="76">
        <v>0</v>
      </c>
      <c r="X1244" s="76"/>
      <c r="Y1244" s="516" t="s">
        <v>470</v>
      </c>
    </row>
    <row r="1245" spans="1:25" x14ac:dyDescent="0.25">
      <c r="A1245" s="75" t="str">
        <f t="shared" si="43"/>
        <v>Pago_de_Hipoteca PF No_Premier Nómina Pago_Bajo_Puntual 8</v>
      </c>
      <c r="B1245" s="75" t="str">
        <f t="shared" si="42"/>
        <v>Pago_de_Hipoteca PF No_Premier Nómina Pago_Bajo_Puntual 8 0.103</v>
      </c>
      <c r="C1245" s="75" t="s">
        <v>173</v>
      </c>
      <c r="D1245" s="75" t="s">
        <v>132</v>
      </c>
      <c r="E1245" s="75" t="s">
        <v>179</v>
      </c>
      <c r="F1245" s="75" t="s">
        <v>181</v>
      </c>
      <c r="G1245" s="75"/>
      <c r="H1245" s="75"/>
      <c r="I1245" s="75" t="s">
        <v>170</v>
      </c>
      <c r="J1245" s="76">
        <v>8</v>
      </c>
      <c r="K1245" s="516" t="s">
        <v>386</v>
      </c>
      <c r="L1245" s="517">
        <v>14.59</v>
      </c>
      <c r="M1245" s="517">
        <v>15.25</v>
      </c>
      <c r="N1245" s="518">
        <v>0.10299999999999999</v>
      </c>
      <c r="O1245" s="518">
        <v>0.1</v>
      </c>
      <c r="P1245" s="518">
        <v>0.112</v>
      </c>
      <c r="Q1245" s="78">
        <v>0.44</v>
      </c>
      <c r="R1245" s="78">
        <v>0.31740000000000002</v>
      </c>
      <c r="S1245" s="69">
        <v>0</v>
      </c>
      <c r="T1245" s="69">
        <v>0</v>
      </c>
      <c r="U1245" s="518">
        <v>0.7</v>
      </c>
      <c r="V1245" s="76">
        <v>0</v>
      </c>
      <c r="W1245" s="76">
        <v>0</v>
      </c>
      <c r="X1245" s="76"/>
      <c r="Y1245" s="516" t="s">
        <v>470</v>
      </c>
    </row>
    <row r="1246" spans="1:25" x14ac:dyDescent="0.25">
      <c r="A1246" s="75" t="str">
        <f t="shared" si="43"/>
        <v>Pago_de_Hipoteca PF No_Premier Nómina Pago_Bajo_Puntual 7</v>
      </c>
      <c r="B1246" s="75" t="str">
        <f t="shared" si="42"/>
        <v>Pago_de_Hipoteca PF No_Premier Nómina Pago_Bajo_Puntual 7 0.0965</v>
      </c>
      <c r="C1246" s="75" t="s">
        <v>173</v>
      </c>
      <c r="D1246" s="75" t="s">
        <v>132</v>
      </c>
      <c r="E1246" s="75" t="s">
        <v>179</v>
      </c>
      <c r="F1246" s="75" t="s">
        <v>181</v>
      </c>
      <c r="G1246" s="75"/>
      <c r="H1246" s="75"/>
      <c r="I1246" s="75" t="s">
        <v>170</v>
      </c>
      <c r="J1246" s="76">
        <v>7</v>
      </c>
      <c r="K1246" s="516" t="s">
        <v>385</v>
      </c>
      <c r="L1246" s="517">
        <v>15.7</v>
      </c>
      <c r="M1246" s="517">
        <v>16.36</v>
      </c>
      <c r="N1246" s="518">
        <v>9.6500000000000002E-2</v>
      </c>
      <c r="O1246" s="518">
        <v>9.1999999999999998E-2</v>
      </c>
      <c r="P1246" s="518">
        <v>0.10249999999999999</v>
      </c>
      <c r="Q1246" s="78">
        <v>0.44</v>
      </c>
      <c r="R1246" s="78">
        <v>0.31740000000000002</v>
      </c>
      <c r="S1246" s="69">
        <v>0</v>
      </c>
      <c r="T1246" s="69">
        <v>0</v>
      </c>
      <c r="U1246" s="518">
        <v>0.7</v>
      </c>
      <c r="V1246" s="76">
        <v>0</v>
      </c>
      <c r="W1246" s="76">
        <v>0</v>
      </c>
      <c r="X1246" s="76"/>
      <c r="Y1246" s="516" t="s">
        <v>470</v>
      </c>
    </row>
    <row r="1247" spans="1:25" x14ac:dyDescent="0.25">
      <c r="A1247" s="75" t="str">
        <f t="shared" si="43"/>
        <v>Pago_de_Hipoteca PF No_Premier Nómina Pago_Bajo_Puntual 7</v>
      </c>
      <c r="B1247" s="75" t="str">
        <f t="shared" si="42"/>
        <v>Pago_de_Hipoteca PF No_Premier Nómina Pago_Bajo_Puntual 7 0.103</v>
      </c>
      <c r="C1247" s="75" t="s">
        <v>173</v>
      </c>
      <c r="D1247" s="75" t="s">
        <v>132</v>
      </c>
      <c r="E1247" s="75" t="s">
        <v>179</v>
      </c>
      <c r="F1247" s="75" t="s">
        <v>181</v>
      </c>
      <c r="G1247" s="75"/>
      <c r="H1247" s="75"/>
      <c r="I1247" s="75" t="s">
        <v>170</v>
      </c>
      <c r="J1247" s="76">
        <v>7</v>
      </c>
      <c r="K1247" s="516" t="s">
        <v>386</v>
      </c>
      <c r="L1247" s="517">
        <v>16.03</v>
      </c>
      <c r="M1247" s="517">
        <v>16.690000000000001</v>
      </c>
      <c r="N1247" s="518">
        <v>0.10299999999999999</v>
      </c>
      <c r="O1247" s="518">
        <v>0.1</v>
      </c>
      <c r="P1247" s="518">
        <v>0.112</v>
      </c>
      <c r="Q1247" s="78">
        <v>0.44</v>
      </c>
      <c r="R1247" s="78">
        <v>0.31740000000000002</v>
      </c>
      <c r="S1247" s="69">
        <v>0</v>
      </c>
      <c r="T1247" s="69">
        <v>0</v>
      </c>
      <c r="U1247" s="518">
        <v>0.7</v>
      </c>
      <c r="V1247" s="76">
        <v>0</v>
      </c>
      <c r="W1247" s="76">
        <v>0</v>
      </c>
      <c r="X1247" s="76"/>
      <c r="Y1247" s="516" t="s">
        <v>470</v>
      </c>
    </row>
    <row r="1248" spans="1:25" x14ac:dyDescent="0.25">
      <c r="A1248" s="75" t="str">
        <f t="shared" si="43"/>
        <v>Pago_de_Hipoteca PF No_Premier Nómina Pago_Bajo_Puntual 6</v>
      </c>
      <c r="B1248" s="75" t="str">
        <f t="shared" si="42"/>
        <v>Pago_de_Hipoteca PF No_Premier Nómina Pago_Bajo_Puntual 6 0.0965</v>
      </c>
      <c r="C1248" s="75" t="s">
        <v>173</v>
      </c>
      <c r="D1248" s="75" t="s">
        <v>132</v>
      </c>
      <c r="E1248" s="75" t="s">
        <v>179</v>
      </c>
      <c r="F1248" s="75" t="s">
        <v>181</v>
      </c>
      <c r="G1248" s="75"/>
      <c r="H1248" s="75"/>
      <c r="I1248" s="75" t="s">
        <v>170</v>
      </c>
      <c r="J1248" s="76">
        <v>6</v>
      </c>
      <c r="K1248" s="516" t="s">
        <v>385</v>
      </c>
      <c r="L1248" s="517">
        <v>17.649999999999999</v>
      </c>
      <c r="M1248" s="517">
        <v>18.309999999999999</v>
      </c>
      <c r="N1248" s="518">
        <v>9.6500000000000002E-2</v>
      </c>
      <c r="O1248" s="518">
        <v>9.1999999999999998E-2</v>
      </c>
      <c r="P1248" s="518">
        <v>0.10249999999999999</v>
      </c>
      <c r="Q1248" s="78">
        <v>0.44</v>
      </c>
      <c r="R1248" s="78">
        <v>0.31740000000000002</v>
      </c>
      <c r="S1248" s="69">
        <v>0</v>
      </c>
      <c r="T1248" s="69">
        <v>0</v>
      </c>
      <c r="U1248" s="518">
        <v>0.7</v>
      </c>
      <c r="V1248" s="76">
        <v>0</v>
      </c>
      <c r="W1248" s="76">
        <v>0</v>
      </c>
      <c r="X1248" s="76"/>
      <c r="Y1248" s="516" t="s">
        <v>470</v>
      </c>
    </row>
    <row r="1249" spans="1:25" x14ac:dyDescent="0.25">
      <c r="A1249" s="75" t="str">
        <f t="shared" si="43"/>
        <v>Pago_de_Hipoteca PF No_Premier Nómina Pago_Bajo_Puntual 6</v>
      </c>
      <c r="B1249" s="75" t="str">
        <f t="shared" si="42"/>
        <v>Pago_de_Hipoteca PF No_Premier Nómina Pago_Bajo_Puntual 6 0.103</v>
      </c>
      <c r="C1249" s="75" t="s">
        <v>173</v>
      </c>
      <c r="D1249" s="75" t="s">
        <v>132</v>
      </c>
      <c r="E1249" s="75" t="s">
        <v>179</v>
      </c>
      <c r="F1249" s="75" t="s">
        <v>181</v>
      </c>
      <c r="G1249" s="75"/>
      <c r="H1249" s="75"/>
      <c r="I1249" s="75" t="s">
        <v>170</v>
      </c>
      <c r="J1249" s="76">
        <v>6</v>
      </c>
      <c r="K1249" s="516" t="s">
        <v>386</v>
      </c>
      <c r="L1249" s="517">
        <v>17.97</v>
      </c>
      <c r="M1249" s="517">
        <v>18.63</v>
      </c>
      <c r="N1249" s="518">
        <v>0.10299999999999999</v>
      </c>
      <c r="O1249" s="518">
        <v>0.1</v>
      </c>
      <c r="P1249" s="518">
        <v>0.112</v>
      </c>
      <c r="Q1249" s="78">
        <v>0.44</v>
      </c>
      <c r="R1249" s="78">
        <v>0.31740000000000002</v>
      </c>
      <c r="S1249" s="69">
        <v>0</v>
      </c>
      <c r="T1249" s="69">
        <v>0</v>
      </c>
      <c r="U1249" s="518">
        <v>0.7</v>
      </c>
      <c r="V1249" s="76">
        <v>0</v>
      </c>
      <c r="W1249" s="76">
        <v>0</v>
      </c>
      <c r="X1249" s="76"/>
      <c r="Y1249" s="516" t="s">
        <v>470</v>
      </c>
    </row>
    <row r="1250" spans="1:25" x14ac:dyDescent="0.25">
      <c r="A1250" s="75" t="str">
        <f t="shared" si="43"/>
        <v>Pago_de_Hipoteca PF No_Premier Nómina Pago_Bajo_Puntual 5</v>
      </c>
      <c r="B1250" s="75" t="str">
        <f t="shared" si="42"/>
        <v>Pago_de_Hipoteca PF No_Premier Nómina Pago_Bajo_Puntual 5 0.0965</v>
      </c>
      <c r="C1250" s="75" t="s">
        <v>173</v>
      </c>
      <c r="D1250" s="75" t="s">
        <v>132</v>
      </c>
      <c r="E1250" s="75" t="s">
        <v>179</v>
      </c>
      <c r="F1250" s="75" t="s">
        <v>181</v>
      </c>
      <c r="G1250" s="75"/>
      <c r="H1250" s="75"/>
      <c r="I1250" s="75" t="s">
        <v>170</v>
      </c>
      <c r="J1250" s="76">
        <v>5</v>
      </c>
      <c r="K1250" s="516" t="s">
        <v>385</v>
      </c>
      <c r="L1250" s="517">
        <v>20.399999999999999</v>
      </c>
      <c r="M1250" s="517">
        <v>21.06</v>
      </c>
      <c r="N1250" s="518">
        <v>9.6500000000000002E-2</v>
      </c>
      <c r="O1250" s="518">
        <v>9.1999999999999998E-2</v>
      </c>
      <c r="P1250" s="518">
        <v>0.10249999999999999</v>
      </c>
      <c r="Q1250" s="78">
        <v>0.44</v>
      </c>
      <c r="R1250" s="78">
        <v>0.31740000000000002</v>
      </c>
      <c r="S1250" s="69">
        <v>0</v>
      </c>
      <c r="T1250" s="69">
        <v>0</v>
      </c>
      <c r="U1250" s="518">
        <v>0.7</v>
      </c>
      <c r="V1250" s="76">
        <v>0</v>
      </c>
      <c r="W1250" s="76">
        <v>0</v>
      </c>
      <c r="X1250" s="76"/>
      <c r="Y1250" s="516" t="s">
        <v>470</v>
      </c>
    </row>
    <row r="1251" spans="1:25" x14ac:dyDescent="0.25">
      <c r="A1251" s="75" t="str">
        <f t="shared" si="43"/>
        <v>Pago_de_Hipoteca PF No_Premier Nómina Pago_Bajo_Puntual 5</v>
      </c>
      <c r="B1251" s="75" t="str">
        <f t="shared" si="42"/>
        <v>Pago_de_Hipoteca PF No_Premier Nómina Pago_Bajo_Puntual 5 0.103</v>
      </c>
      <c r="C1251" s="75" t="s">
        <v>173</v>
      </c>
      <c r="D1251" s="75" t="s">
        <v>132</v>
      </c>
      <c r="E1251" s="75" t="s">
        <v>179</v>
      </c>
      <c r="F1251" s="75" t="s">
        <v>181</v>
      </c>
      <c r="G1251" s="75"/>
      <c r="H1251" s="75"/>
      <c r="I1251" s="75" t="s">
        <v>170</v>
      </c>
      <c r="J1251" s="76">
        <v>5</v>
      </c>
      <c r="K1251" s="516" t="s">
        <v>386</v>
      </c>
      <c r="L1251" s="517">
        <v>20.72</v>
      </c>
      <c r="M1251" s="517">
        <v>21.38</v>
      </c>
      <c r="N1251" s="518">
        <v>0.10299999999999999</v>
      </c>
      <c r="O1251" s="518">
        <v>0.1</v>
      </c>
      <c r="P1251" s="518">
        <v>0.112</v>
      </c>
      <c r="Q1251" s="78">
        <v>0.44</v>
      </c>
      <c r="R1251" s="78">
        <v>0.31740000000000002</v>
      </c>
      <c r="S1251" s="69">
        <v>0</v>
      </c>
      <c r="T1251" s="69">
        <v>0</v>
      </c>
      <c r="U1251" s="518">
        <v>0.7</v>
      </c>
      <c r="V1251" s="76">
        <v>0</v>
      </c>
      <c r="W1251" s="76">
        <v>0</v>
      </c>
      <c r="X1251" s="76"/>
      <c r="Y1251" s="516" t="s">
        <v>470</v>
      </c>
    </row>
    <row r="1252" spans="1:25" x14ac:dyDescent="0.25">
      <c r="A1252" s="75" t="str">
        <f t="shared" si="43"/>
        <v>Pago_de_Hipoteca PF No_Premier Normal Pago_Fijo_Puntual Si 20</v>
      </c>
      <c r="B1252" s="75" t="str">
        <f t="shared" si="42"/>
        <v>Pago_de_Hipoteca PF No_Premier Normal Pago_Fijo_Puntual Si 20 0.103</v>
      </c>
      <c r="C1252" s="75" t="s">
        <v>173</v>
      </c>
      <c r="D1252" s="75" t="s">
        <v>132</v>
      </c>
      <c r="E1252" s="75" t="s">
        <v>179</v>
      </c>
      <c r="F1252" s="75" t="s">
        <v>180</v>
      </c>
      <c r="G1252" s="75"/>
      <c r="H1252" s="75"/>
      <c r="I1252" s="75" t="s">
        <v>171</v>
      </c>
      <c r="J1252" s="76">
        <v>20</v>
      </c>
      <c r="K1252" s="519" t="s">
        <v>387</v>
      </c>
      <c r="L1252" s="520">
        <v>10.16</v>
      </c>
      <c r="M1252" s="520">
        <v>10.82</v>
      </c>
      <c r="N1252" s="507">
        <v>0.10299999999999999</v>
      </c>
      <c r="O1252" s="507">
        <v>0.1</v>
      </c>
      <c r="P1252" s="507">
        <v>0.112</v>
      </c>
      <c r="Q1252" s="78">
        <v>0.44</v>
      </c>
      <c r="R1252" s="78">
        <v>0.31740000000000002</v>
      </c>
      <c r="S1252" s="69">
        <v>0</v>
      </c>
      <c r="T1252" s="69">
        <v>0</v>
      </c>
      <c r="U1252" s="507">
        <v>0.85</v>
      </c>
      <c r="V1252" s="76">
        <v>0</v>
      </c>
      <c r="W1252" s="76">
        <v>0</v>
      </c>
      <c r="X1252" s="76" t="s">
        <v>147</v>
      </c>
      <c r="Y1252" s="519" t="s">
        <v>469</v>
      </c>
    </row>
    <row r="1253" spans="1:25" x14ac:dyDescent="0.25">
      <c r="A1253" s="75" t="str">
        <f t="shared" si="43"/>
        <v>Pago_de_Hipoteca PF No_Premier Normal Pago_Fijo_Puntual 20</v>
      </c>
      <c r="B1253" s="75" t="str">
        <f t="shared" si="42"/>
        <v>Pago_de_Hipoteca PF No_Premier Normal Pago_Fijo_Puntual 20 0.106</v>
      </c>
      <c r="C1253" s="75" t="s">
        <v>173</v>
      </c>
      <c r="D1253" s="75" t="s">
        <v>132</v>
      </c>
      <c r="E1253" s="75" t="s">
        <v>179</v>
      </c>
      <c r="F1253" s="75" t="s">
        <v>180</v>
      </c>
      <c r="G1253" s="75"/>
      <c r="H1253" s="75"/>
      <c r="I1253" s="75" t="s">
        <v>171</v>
      </c>
      <c r="J1253" s="76">
        <v>20</v>
      </c>
      <c r="K1253" s="519">
        <v>3</v>
      </c>
      <c r="L1253" s="520">
        <v>10.4</v>
      </c>
      <c r="M1253" s="520">
        <v>11.06</v>
      </c>
      <c r="N1253" s="507">
        <v>0.106</v>
      </c>
      <c r="O1253" s="507">
        <v>0.10299999999999999</v>
      </c>
      <c r="P1253" s="507">
        <v>0.11799999999999999</v>
      </c>
      <c r="Q1253" s="78">
        <v>0.44</v>
      </c>
      <c r="R1253" s="78">
        <v>0.31740000000000002</v>
      </c>
      <c r="S1253" s="69">
        <v>0</v>
      </c>
      <c r="T1253" s="69">
        <v>0</v>
      </c>
      <c r="U1253" s="507">
        <v>0.85</v>
      </c>
      <c r="V1253" s="76">
        <v>0</v>
      </c>
      <c r="W1253" s="76">
        <v>0</v>
      </c>
      <c r="X1253" s="76"/>
      <c r="Y1253" s="519" t="s">
        <v>469</v>
      </c>
    </row>
    <row r="1254" spans="1:25" x14ac:dyDescent="0.25">
      <c r="A1254" s="75" t="str">
        <f t="shared" si="43"/>
        <v>Pago_de_Hipoteca PF No_Premier Normal Pago_Fijo_Puntual Si 19</v>
      </c>
      <c r="B1254" s="75" t="str">
        <f t="shared" ref="B1254:B1317" si="44">CONCATENATE(A1254," ",N1254)</f>
        <v>Pago_de_Hipoteca PF No_Premier Normal Pago_Fijo_Puntual Si 19 0.103</v>
      </c>
      <c r="C1254" s="75" t="s">
        <v>173</v>
      </c>
      <c r="D1254" s="75" t="s">
        <v>132</v>
      </c>
      <c r="E1254" s="75" t="s">
        <v>179</v>
      </c>
      <c r="F1254" s="75" t="s">
        <v>180</v>
      </c>
      <c r="G1254" s="75"/>
      <c r="H1254" s="75"/>
      <c r="I1254" s="75" t="s">
        <v>171</v>
      </c>
      <c r="J1254" s="76">
        <v>19</v>
      </c>
      <c r="K1254" s="519" t="s">
        <v>387</v>
      </c>
      <c r="L1254" s="520">
        <v>10.3</v>
      </c>
      <c r="M1254" s="520">
        <v>10.96</v>
      </c>
      <c r="N1254" s="507">
        <v>0.10299999999999999</v>
      </c>
      <c r="O1254" s="507">
        <v>0.1</v>
      </c>
      <c r="P1254" s="507">
        <v>0.112</v>
      </c>
      <c r="Q1254" s="78">
        <v>0.44</v>
      </c>
      <c r="R1254" s="78">
        <v>0.31740000000000002</v>
      </c>
      <c r="S1254" s="69">
        <v>0</v>
      </c>
      <c r="T1254" s="69">
        <v>0</v>
      </c>
      <c r="U1254" s="507">
        <v>0.85</v>
      </c>
      <c r="V1254" s="76">
        <v>0</v>
      </c>
      <c r="W1254" s="76">
        <v>0</v>
      </c>
      <c r="X1254" s="76" t="s">
        <v>147</v>
      </c>
      <c r="Y1254" s="519" t="s">
        <v>469</v>
      </c>
    </row>
    <row r="1255" spans="1:25" x14ac:dyDescent="0.25">
      <c r="A1255" s="75" t="str">
        <f t="shared" ref="A1255:A1318" si="45">TRIM(CONCATENATE(C1255," ",D1255," ",E1255," ",F1255," ",G1255," ",I1255," ",X1255," ",J1255))</f>
        <v>Pago_de_Hipoteca PF No_Premier Normal Pago_Fijo_Puntual 19</v>
      </c>
      <c r="B1255" s="75" t="str">
        <f t="shared" si="44"/>
        <v>Pago_de_Hipoteca PF No_Premier Normal Pago_Fijo_Puntual 19 0.106</v>
      </c>
      <c r="C1255" s="75" t="s">
        <v>173</v>
      </c>
      <c r="D1255" s="75" t="s">
        <v>132</v>
      </c>
      <c r="E1255" s="75" t="s">
        <v>179</v>
      </c>
      <c r="F1255" s="75" t="s">
        <v>180</v>
      </c>
      <c r="G1255" s="75"/>
      <c r="H1255" s="75"/>
      <c r="I1255" s="75" t="s">
        <v>171</v>
      </c>
      <c r="J1255" s="76">
        <v>19</v>
      </c>
      <c r="K1255" s="519">
        <v>3</v>
      </c>
      <c r="L1255" s="520">
        <v>10.54</v>
      </c>
      <c r="M1255" s="520">
        <v>11.2</v>
      </c>
      <c r="N1255" s="507">
        <v>0.106</v>
      </c>
      <c r="O1255" s="507">
        <v>0.10299999999999999</v>
      </c>
      <c r="P1255" s="507">
        <v>0.11799999999999999</v>
      </c>
      <c r="Q1255" s="78">
        <v>0.44</v>
      </c>
      <c r="R1255" s="78">
        <v>0.31740000000000002</v>
      </c>
      <c r="S1255" s="69">
        <v>0</v>
      </c>
      <c r="T1255" s="69">
        <v>0</v>
      </c>
      <c r="U1255" s="507">
        <v>0.85</v>
      </c>
      <c r="V1255" s="76">
        <v>0</v>
      </c>
      <c r="W1255" s="76">
        <v>0</v>
      </c>
      <c r="X1255" s="76"/>
      <c r="Y1255" s="519" t="s">
        <v>469</v>
      </c>
    </row>
    <row r="1256" spans="1:25" x14ac:dyDescent="0.25">
      <c r="A1256" s="75" t="str">
        <f t="shared" si="45"/>
        <v>Pago_de_Hipoteca PF No_Premier Normal Pago_Fijo_Puntual Si 18</v>
      </c>
      <c r="B1256" s="75" t="str">
        <f t="shared" si="44"/>
        <v>Pago_de_Hipoteca PF No_Premier Normal Pago_Fijo_Puntual Si 18 0.103</v>
      </c>
      <c r="C1256" s="75" t="s">
        <v>173</v>
      </c>
      <c r="D1256" s="75" t="s">
        <v>132</v>
      </c>
      <c r="E1256" s="75" t="s">
        <v>179</v>
      </c>
      <c r="F1256" s="75" t="s">
        <v>180</v>
      </c>
      <c r="G1256" s="75"/>
      <c r="H1256" s="75"/>
      <c r="I1256" s="75" t="s">
        <v>171</v>
      </c>
      <c r="J1256" s="76">
        <v>18</v>
      </c>
      <c r="K1256" s="519" t="s">
        <v>387</v>
      </c>
      <c r="L1256" s="520">
        <v>10.47</v>
      </c>
      <c r="M1256" s="520">
        <v>11.13</v>
      </c>
      <c r="N1256" s="507">
        <v>0.10299999999999999</v>
      </c>
      <c r="O1256" s="507">
        <v>0.1</v>
      </c>
      <c r="P1256" s="507">
        <v>0.112</v>
      </c>
      <c r="Q1256" s="78">
        <v>0.44</v>
      </c>
      <c r="R1256" s="78">
        <v>0.31740000000000002</v>
      </c>
      <c r="S1256" s="69">
        <v>0</v>
      </c>
      <c r="T1256" s="69">
        <v>0</v>
      </c>
      <c r="U1256" s="507">
        <v>0.85</v>
      </c>
      <c r="V1256" s="76">
        <v>0</v>
      </c>
      <c r="W1256" s="76">
        <v>0</v>
      </c>
      <c r="X1256" s="76" t="s">
        <v>147</v>
      </c>
      <c r="Y1256" s="519" t="s">
        <v>469</v>
      </c>
    </row>
    <row r="1257" spans="1:25" x14ac:dyDescent="0.25">
      <c r="A1257" s="75" t="str">
        <f t="shared" si="45"/>
        <v>Pago_de_Hipoteca PF No_Premier Normal Pago_Fijo_Puntual 18</v>
      </c>
      <c r="B1257" s="75" t="str">
        <f t="shared" si="44"/>
        <v>Pago_de_Hipoteca PF No_Premier Normal Pago_Fijo_Puntual 18 0.106</v>
      </c>
      <c r="C1257" s="75" t="s">
        <v>173</v>
      </c>
      <c r="D1257" s="75" t="s">
        <v>132</v>
      </c>
      <c r="E1257" s="75" t="s">
        <v>179</v>
      </c>
      <c r="F1257" s="75" t="s">
        <v>180</v>
      </c>
      <c r="G1257" s="75"/>
      <c r="H1257" s="75"/>
      <c r="I1257" s="75" t="s">
        <v>171</v>
      </c>
      <c r="J1257" s="76">
        <v>18</v>
      </c>
      <c r="K1257" s="519">
        <v>3</v>
      </c>
      <c r="L1257" s="520">
        <v>10.71</v>
      </c>
      <c r="M1257" s="520">
        <v>11.37</v>
      </c>
      <c r="N1257" s="507">
        <v>0.106</v>
      </c>
      <c r="O1257" s="507">
        <v>0.10299999999999999</v>
      </c>
      <c r="P1257" s="507">
        <v>0.11799999999999999</v>
      </c>
      <c r="Q1257" s="78">
        <v>0.44</v>
      </c>
      <c r="R1257" s="78">
        <v>0.31740000000000002</v>
      </c>
      <c r="S1257" s="69">
        <v>0</v>
      </c>
      <c r="T1257" s="69">
        <v>0</v>
      </c>
      <c r="U1257" s="507">
        <v>0.85</v>
      </c>
      <c r="V1257" s="76">
        <v>0</v>
      </c>
      <c r="W1257" s="76">
        <v>0</v>
      </c>
      <c r="X1257" s="76"/>
      <c r="Y1257" s="519" t="s">
        <v>469</v>
      </c>
    </row>
    <row r="1258" spans="1:25" x14ac:dyDescent="0.25">
      <c r="A1258" s="75" t="str">
        <f t="shared" si="45"/>
        <v>Pago_de_Hipoteca PF No_Premier Normal Pago_Fijo_Puntual Si 17</v>
      </c>
      <c r="B1258" s="75" t="str">
        <f t="shared" si="44"/>
        <v>Pago_de_Hipoteca PF No_Premier Normal Pago_Fijo_Puntual Si 17 0.103</v>
      </c>
      <c r="C1258" s="75" t="s">
        <v>173</v>
      </c>
      <c r="D1258" s="75" t="s">
        <v>132</v>
      </c>
      <c r="E1258" s="75" t="s">
        <v>179</v>
      </c>
      <c r="F1258" s="75" t="s">
        <v>180</v>
      </c>
      <c r="G1258" s="75"/>
      <c r="H1258" s="75"/>
      <c r="I1258" s="75" t="s">
        <v>171</v>
      </c>
      <c r="J1258" s="76">
        <v>17</v>
      </c>
      <c r="K1258" s="519" t="s">
        <v>387</v>
      </c>
      <c r="L1258" s="520">
        <v>10.67</v>
      </c>
      <c r="M1258" s="520">
        <v>11.33</v>
      </c>
      <c r="N1258" s="507">
        <v>0.10299999999999999</v>
      </c>
      <c r="O1258" s="507">
        <v>0.1</v>
      </c>
      <c r="P1258" s="507">
        <v>0.112</v>
      </c>
      <c r="Q1258" s="78">
        <v>0.44</v>
      </c>
      <c r="R1258" s="78">
        <v>0.31740000000000002</v>
      </c>
      <c r="S1258" s="69">
        <v>0</v>
      </c>
      <c r="T1258" s="69">
        <v>0</v>
      </c>
      <c r="U1258" s="507">
        <v>0.85</v>
      </c>
      <c r="V1258" s="76">
        <v>0</v>
      </c>
      <c r="W1258" s="76">
        <v>0</v>
      </c>
      <c r="X1258" s="76" t="s">
        <v>147</v>
      </c>
      <c r="Y1258" s="519" t="s">
        <v>469</v>
      </c>
    </row>
    <row r="1259" spans="1:25" x14ac:dyDescent="0.25">
      <c r="A1259" s="75" t="str">
        <f t="shared" si="45"/>
        <v>Pago_de_Hipoteca PF No_Premier Normal Pago_Fijo_Puntual 17</v>
      </c>
      <c r="B1259" s="75" t="str">
        <f t="shared" si="44"/>
        <v>Pago_de_Hipoteca PF No_Premier Normal Pago_Fijo_Puntual 17 0.106</v>
      </c>
      <c r="C1259" s="75" t="s">
        <v>173</v>
      </c>
      <c r="D1259" s="75" t="s">
        <v>132</v>
      </c>
      <c r="E1259" s="75" t="s">
        <v>179</v>
      </c>
      <c r="F1259" s="75" t="s">
        <v>180</v>
      </c>
      <c r="G1259" s="75"/>
      <c r="H1259" s="75"/>
      <c r="I1259" s="75" t="s">
        <v>171</v>
      </c>
      <c r="J1259" s="76">
        <v>17</v>
      </c>
      <c r="K1259" s="519">
        <v>3</v>
      </c>
      <c r="L1259" s="520">
        <v>10.9</v>
      </c>
      <c r="M1259" s="520">
        <v>11.56</v>
      </c>
      <c r="N1259" s="507">
        <v>0.106</v>
      </c>
      <c r="O1259" s="507">
        <v>0.10299999999999999</v>
      </c>
      <c r="P1259" s="507">
        <v>0.11799999999999999</v>
      </c>
      <c r="Q1259" s="78">
        <v>0.44</v>
      </c>
      <c r="R1259" s="78">
        <v>0.31740000000000002</v>
      </c>
      <c r="S1259" s="69">
        <v>0</v>
      </c>
      <c r="T1259" s="69">
        <v>0</v>
      </c>
      <c r="U1259" s="507">
        <v>0.85</v>
      </c>
      <c r="V1259" s="76">
        <v>0</v>
      </c>
      <c r="W1259" s="76">
        <v>0</v>
      </c>
      <c r="X1259" s="76"/>
      <c r="Y1259" s="519" t="s">
        <v>469</v>
      </c>
    </row>
    <row r="1260" spans="1:25" x14ac:dyDescent="0.25">
      <c r="A1260" s="75" t="str">
        <f t="shared" si="45"/>
        <v>Pago_de_Hipoteca PF No_Premier Normal Pago_Fijo_Puntual Si 16</v>
      </c>
      <c r="B1260" s="75" t="str">
        <f t="shared" si="44"/>
        <v>Pago_de_Hipoteca PF No_Premier Normal Pago_Fijo_Puntual Si 16 0.103</v>
      </c>
      <c r="C1260" s="75" t="s">
        <v>173</v>
      </c>
      <c r="D1260" s="75" t="s">
        <v>132</v>
      </c>
      <c r="E1260" s="75" t="s">
        <v>179</v>
      </c>
      <c r="F1260" s="75" t="s">
        <v>180</v>
      </c>
      <c r="G1260" s="75"/>
      <c r="H1260" s="75"/>
      <c r="I1260" s="75" t="s">
        <v>171</v>
      </c>
      <c r="J1260" s="76">
        <v>16</v>
      </c>
      <c r="K1260" s="519" t="s">
        <v>387</v>
      </c>
      <c r="L1260" s="520">
        <v>10.9</v>
      </c>
      <c r="M1260" s="520">
        <v>11.56</v>
      </c>
      <c r="N1260" s="507">
        <v>0.10299999999999999</v>
      </c>
      <c r="O1260" s="507">
        <v>0.1</v>
      </c>
      <c r="P1260" s="507">
        <v>0.112</v>
      </c>
      <c r="Q1260" s="78">
        <v>0.44</v>
      </c>
      <c r="R1260" s="78">
        <v>0.31740000000000002</v>
      </c>
      <c r="S1260" s="69">
        <v>0</v>
      </c>
      <c r="T1260" s="69">
        <v>0</v>
      </c>
      <c r="U1260" s="507">
        <v>0.85</v>
      </c>
      <c r="V1260" s="76">
        <v>0</v>
      </c>
      <c r="W1260" s="76">
        <v>0</v>
      </c>
      <c r="X1260" s="76" t="s">
        <v>147</v>
      </c>
      <c r="Y1260" s="519" t="s">
        <v>469</v>
      </c>
    </row>
    <row r="1261" spans="1:25" x14ac:dyDescent="0.25">
      <c r="A1261" s="75" t="str">
        <f t="shared" si="45"/>
        <v>Pago_de_Hipoteca PF No_Premier Normal Pago_Fijo_Puntual 16</v>
      </c>
      <c r="B1261" s="75" t="str">
        <f t="shared" si="44"/>
        <v>Pago_de_Hipoteca PF No_Premier Normal Pago_Fijo_Puntual 16 0.106</v>
      </c>
      <c r="C1261" s="75" t="s">
        <v>173</v>
      </c>
      <c r="D1261" s="75" t="s">
        <v>132</v>
      </c>
      <c r="E1261" s="75" t="s">
        <v>179</v>
      </c>
      <c r="F1261" s="75" t="s">
        <v>180</v>
      </c>
      <c r="G1261" s="75"/>
      <c r="H1261" s="75"/>
      <c r="I1261" s="75" t="s">
        <v>171</v>
      </c>
      <c r="J1261" s="76">
        <v>16</v>
      </c>
      <c r="K1261" s="519">
        <v>3</v>
      </c>
      <c r="L1261" s="520">
        <v>11.12</v>
      </c>
      <c r="M1261" s="520">
        <v>11.78</v>
      </c>
      <c r="N1261" s="507">
        <v>0.106</v>
      </c>
      <c r="O1261" s="507">
        <v>0.10299999999999999</v>
      </c>
      <c r="P1261" s="507">
        <v>0.11799999999999999</v>
      </c>
      <c r="Q1261" s="78">
        <v>0.44</v>
      </c>
      <c r="R1261" s="78">
        <v>0.31740000000000002</v>
      </c>
      <c r="S1261" s="69">
        <v>0</v>
      </c>
      <c r="T1261" s="69">
        <v>0</v>
      </c>
      <c r="U1261" s="507">
        <v>0.85</v>
      </c>
      <c r="V1261" s="76">
        <v>0</v>
      </c>
      <c r="W1261" s="76">
        <v>0</v>
      </c>
      <c r="X1261" s="76"/>
      <c r="Y1261" s="519" t="s">
        <v>469</v>
      </c>
    </row>
    <row r="1262" spans="1:25" x14ac:dyDescent="0.25">
      <c r="A1262" s="75" t="str">
        <f t="shared" si="45"/>
        <v>Pago_de_Hipoteca PF No_Premier Normal Pago_Fijo_Puntual Si 15</v>
      </c>
      <c r="B1262" s="75" t="str">
        <f t="shared" si="44"/>
        <v>Pago_de_Hipoteca PF No_Premier Normal Pago_Fijo_Puntual Si 15 0.103</v>
      </c>
      <c r="C1262" s="75" t="s">
        <v>173</v>
      </c>
      <c r="D1262" s="75" t="s">
        <v>132</v>
      </c>
      <c r="E1262" s="75" t="s">
        <v>179</v>
      </c>
      <c r="F1262" s="75" t="s">
        <v>180</v>
      </c>
      <c r="G1262" s="75"/>
      <c r="H1262" s="75"/>
      <c r="I1262" s="75" t="s">
        <v>171</v>
      </c>
      <c r="J1262" s="76">
        <v>15</v>
      </c>
      <c r="K1262" s="519" t="s">
        <v>387</v>
      </c>
      <c r="L1262" s="520">
        <v>11.18</v>
      </c>
      <c r="M1262" s="520">
        <v>11.84</v>
      </c>
      <c r="N1262" s="507">
        <v>0.10299999999999999</v>
      </c>
      <c r="O1262" s="507">
        <v>0.1</v>
      </c>
      <c r="P1262" s="507">
        <v>0.112</v>
      </c>
      <c r="Q1262" s="78">
        <v>0.44</v>
      </c>
      <c r="R1262" s="78">
        <v>0.31740000000000002</v>
      </c>
      <c r="S1262" s="69">
        <v>0</v>
      </c>
      <c r="T1262" s="69">
        <v>0</v>
      </c>
      <c r="U1262" s="507">
        <v>0.85</v>
      </c>
      <c r="V1262" s="76">
        <v>0</v>
      </c>
      <c r="W1262" s="76">
        <v>0</v>
      </c>
      <c r="X1262" s="76" t="s">
        <v>147</v>
      </c>
      <c r="Y1262" s="519" t="s">
        <v>469</v>
      </c>
    </row>
    <row r="1263" spans="1:25" x14ac:dyDescent="0.25">
      <c r="A1263" s="75" t="str">
        <f t="shared" si="45"/>
        <v>Pago_de_Hipoteca PF No_Premier Normal Pago_Fijo_Puntual 15</v>
      </c>
      <c r="B1263" s="75" t="str">
        <f t="shared" si="44"/>
        <v>Pago_de_Hipoteca PF No_Premier Normal Pago_Fijo_Puntual 15 0.106</v>
      </c>
      <c r="C1263" s="75" t="s">
        <v>173</v>
      </c>
      <c r="D1263" s="75" t="s">
        <v>132</v>
      </c>
      <c r="E1263" s="75" t="s">
        <v>179</v>
      </c>
      <c r="F1263" s="75" t="s">
        <v>180</v>
      </c>
      <c r="G1263" s="75"/>
      <c r="H1263" s="75"/>
      <c r="I1263" s="75" t="s">
        <v>171</v>
      </c>
      <c r="J1263" s="76">
        <v>15</v>
      </c>
      <c r="K1263" s="519">
        <v>3</v>
      </c>
      <c r="L1263" s="520">
        <v>11.38</v>
      </c>
      <c r="M1263" s="520">
        <v>12.04</v>
      </c>
      <c r="N1263" s="507">
        <v>0.106</v>
      </c>
      <c r="O1263" s="507">
        <v>0.10299999999999999</v>
      </c>
      <c r="P1263" s="507">
        <v>0.11799999999999999</v>
      </c>
      <c r="Q1263" s="78">
        <v>0.44</v>
      </c>
      <c r="R1263" s="78">
        <v>0.31740000000000002</v>
      </c>
      <c r="S1263" s="69">
        <v>0</v>
      </c>
      <c r="T1263" s="69">
        <v>0</v>
      </c>
      <c r="U1263" s="507">
        <v>0.85</v>
      </c>
      <c r="V1263" s="76">
        <v>0</v>
      </c>
      <c r="W1263" s="76">
        <v>0</v>
      </c>
      <c r="X1263" s="76"/>
      <c r="Y1263" s="519" t="s">
        <v>469</v>
      </c>
    </row>
    <row r="1264" spans="1:25" x14ac:dyDescent="0.25">
      <c r="A1264" s="75" t="str">
        <f t="shared" si="45"/>
        <v>Pago_de_Hipoteca PF No_Premier Normal Pago_Fijo_Puntual Si 14</v>
      </c>
      <c r="B1264" s="75" t="str">
        <f t="shared" si="44"/>
        <v>Pago_de_Hipoteca PF No_Premier Normal Pago_Fijo_Puntual Si 14 0.103</v>
      </c>
      <c r="C1264" s="75" t="s">
        <v>173</v>
      </c>
      <c r="D1264" s="75" t="s">
        <v>132</v>
      </c>
      <c r="E1264" s="75" t="s">
        <v>179</v>
      </c>
      <c r="F1264" s="75" t="s">
        <v>180</v>
      </c>
      <c r="G1264" s="75"/>
      <c r="H1264" s="75"/>
      <c r="I1264" s="75" t="s">
        <v>171</v>
      </c>
      <c r="J1264" s="76">
        <v>14</v>
      </c>
      <c r="K1264" s="519" t="s">
        <v>387</v>
      </c>
      <c r="L1264" s="520">
        <v>11.49</v>
      </c>
      <c r="M1264" s="520">
        <v>12.15</v>
      </c>
      <c r="N1264" s="507">
        <v>0.10299999999999999</v>
      </c>
      <c r="O1264" s="507">
        <v>0.1</v>
      </c>
      <c r="P1264" s="507">
        <v>0.112</v>
      </c>
      <c r="Q1264" s="78">
        <v>0.44</v>
      </c>
      <c r="R1264" s="78">
        <v>0.31740000000000002</v>
      </c>
      <c r="S1264" s="69">
        <v>0</v>
      </c>
      <c r="T1264" s="69">
        <v>0</v>
      </c>
      <c r="U1264" s="507">
        <v>0.85</v>
      </c>
      <c r="V1264" s="76">
        <v>0</v>
      </c>
      <c r="W1264" s="76">
        <v>0</v>
      </c>
      <c r="X1264" s="76" t="s">
        <v>147</v>
      </c>
      <c r="Y1264" s="519" t="s">
        <v>469</v>
      </c>
    </row>
    <row r="1265" spans="1:25" x14ac:dyDescent="0.25">
      <c r="A1265" s="75" t="str">
        <f t="shared" si="45"/>
        <v>Pago_de_Hipoteca PF No_Premier Normal Pago_Fijo_Puntual 14</v>
      </c>
      <c r="B1265" s="75" t="str">
        <f t="shared" si="44"/>
        <v>Pago_de_Hipoteca PF No_Premier Normal Pago_Fijo_Puntual 14 0.106</v>
      </c>
      <c r="C1265" s="75" t="s">
        <v>173</v>
      </c>
      <c r="D1265" s="75" t="s">
        <v>132</v>
      </c>
      <c r="E1265" s="75" t="s">
        <v>179</v>
      </c>
      <c r="F1265" s="75" t="s">
        <v>180</v>
      </c>
      <c r="G1265" s="75"/>
      <c r="H1265" s="75"/>
      <c r="I1265" s="75" t="s">
        <v>171</v>
      </c>
      <c r="J1265" s="76">
        <v>14</v>
      </c>
      <c r="K1265" s="519">
        <v>3</v>
      </c>
      <c r="L1265" s="520">
        <v>11.69</v>
      </c>
      <c r="M1265" s="520">
        <v>12.35</v>
      </c>
      <c r="N1265" s="507">
        <v>0.106</v>
      </c>
      <c r="O1265" s="507">
        <v>0.10299999999999999</v>
      </c>
      <c r="P1265" s="507">
        <v>0.11799999999999999</v>
      </c>
      <c r="Q1265" s="78">
        <v>0.44</v>
      </c>
      <c r="R1265" s="78">
        <v>0.31740000000000002</v>
      </c>
      <c r="S1265" s="69">
        <v>0</v>
      </c>
      <c r="T1265" s="69">
        <v>0</v>
      </c>
      <c r="U1265" s="507">
        <v>0.85</v>
      </c>
      <c r="V1265" s="76">
        <v>0</v>
      </c>
      <c r="W1265" s="76">
        <v>0</v>
      </c>
      <c r="X1265" s="76"/>
      <c r="Y1265" s="519" t="s">
        <v>469</v>
      </c>
    </row>
    <row r="1266" spans="1:25" x14ac:dyDescent="0.25">
      <c r="A1266" s="75" t="str">
        <f t="shared" si="45"/>
        <v>Pago_de_Hipoteca PF No_Premier Normal Pago_Fijo_Puntual Si 13</v>
      </c>
      <c r="B1266" s="75" t="str">
        <f t="shared" si="44"/>
        <v>Pago_de_Hipoteca PF No_Premier Normal Pago_Fijo_Puntual Si 13 0.103</v>
      </c>
      <c r="C1266" s="75" t="s">
        <v>173</v>
      </c>
      <c r="D1266" s="75" t="s">
        <v>132</v>
      </c>
      <c r="E1266" s="75" t="s">
        <v>179</v>
      </c>
      <c r="F1266" s="75" t="s">
        <v>180</v>
      </c>
      <c r="G1266" s="75"/>
      <c r="H1266" s="75"/>
      <c r="I1266" s="75" t="s">
        <v>171</v>
      </c>
      <c r="J1266" s="76">
        <v>13</v>
      </c>
      <c r="K1266" s="519" t="s">
        <v>387</v>
      </c>
      <c r="L1266" s="520">
        <v>11.86</v>
      </c>
      <c r="M1266" s="520">
        <v>12.52</v>
      </c>
      <c r="N1266" s="507">
        <v>0.10299999999999999</v>
      </c>
      <c r="O1266" s="507">
        <v>0.1</v>
      </c>
      <c r="P1266" s="507">
        <v>0.112</v>
      </c>
      <c r="Q1266" s="78">
        <v>0.44</v>
      </c>
      <c r="R1266" s="78">
        <v>0.31740000000000002</v>
      </c>
      <c r="S1266" s="69">
        <v>0</v>
      </c>
      <c r="T1266" s="69">
        <v>0</v>
      </c>
      <c r="U1266" s="507">
        <v>0.85</v>
      </c>
      <c r="V1266" s="76">
        <v>0</v>
      </c>
      <c r="W1266" s="76">
        <v>0</v>
      </c>
      <c r="X1266" s="76" t="s">
        <v>147</v>
      </c>
      <c r="Y1266" s="519" t="s">
        <v>469</v>
      </c>
    </row>
    <row r="1267" spans="1:25" x14ac:dyDescent="0.25">
      <c r="A1267" s="75" t="str">
        <f t="shared" si="45"/>
        <v>Pago_de_Hipoteca PF No_Premier Normal Pago_Fijo_Puntual 13</v>
      </c>
      <c r="B1267" s="75" t="str">
        <f t="shared" si="44"/>
        <v>Pago_de_Hipoteca PF No_Premier Normal Pago_Fijo_Puntual 13 0.106</v>
      </c>
      <c r="C1267" s="75" t="s">
        <v>173</v>
      </c>
      <c r="D1267" s="75" t="s">
        <v>132</v>
      </c>
      <c r="E1267" s="75" t="s">
        <v>179</v>
      </c>
      <c r="F1267" s="75" t="s">
        <v>180</v>
      </c>
      <c r="G1267" s="75"/>
      <c r="H1267" s="75"/>
      <c r="I1267" s="75" t="s">
        <v>171</v>
      </c>
      <c r="J1267" s="76">
        <v>13</v>
      </c>
      <c r="K1267" s="519">
        <v>3</v>
      </c>
      <c r="L1267" s="520">
        <v>12.06</v>
      </c>
      <c r="M1267" s="520">
        <v>12.72</v>
      </c>
      <c r="N1267" s="507">
        <v>0.106</v>
      </c>
      <c r="O1267" s="507">
        <v>0.10299999999999999</v>
      </c>
      <c r="P1267" s="507">
        <v>0.11799999999999999</v>
      </c>
      <c r="Q1267" s="78">
        <v>0.44</v>
      </c>
      <c r="R1267" s="78">
        <v>0.31740000000000002</v>
      </c>
      <c r="S1267" s="69">
        <v>0</v>
      </c>
      <c r="T1267" s="69">
        <v>0</v>
      </c>
      <c r="U1267" s="507">
        <v>0.85</v>
      </c>
      <c r="V1267" s="76">
        <v>0</v>
      </c>
      <c r="W1267" s="76">
        <v>0</v>
      </c>
      <c r="X1267" s="76"/>
      <c r="Y1267" s="519" t="s">
        <v>469</v>
      </c>
    </row>
    <row r="1268" spans="1:25" x14ac:dyDescent="0.25">
      <c r="A1268" s="75" t="str">
        <f t="shared" si="45"/>
        <v>Pago_de_Hipoteca PF No_Premier Normal Pago_Fijo_Puntual Si 12</v>
      </c>
      <c r="B1268" s="75" t="str">
        <f t="shared" si="44"/>
        <v>Pago_de_Hipoteca PF No_Premier Normal Pago_Fijo_Puntual Si 12 0.103</v>
      </c>
      <c r="C1268" s="75" t="s">
        <v>173</v>
      </c>
      <c r="D1268" s="75" t="s">
        <v>132</v>
      </c>
      <c r="E1268" s="75" t="s">
        <v>179</v>
      </c>
      <c r="F1268" s="75" t="s">
        <v>180</v>
      </c>
      <c r="G1268" s="75"/>
      <c r="H1268" s="75"/>
      <c r="I1268" s="75" t="s">
        <v>171</v>
      </c>
      <c r="J1268" s="76">
        <v>12</v>
      </c>
      <c r="K1268" s="519" t="s">
        <v>387</v>
      </c>
      <c r="L1268" s="520">
        <v>12.31</v>
      </c>
      <c r="M1268" s="520">
        <v>12.97</v>
      </c>
      <c r="N1268" s="507">
        <v>0.10299999999999999</v>
      </c>
      <c r="O1268" s="507">
        <v>0.1</v>
      </c>
      <c r="P1268" s="507">
        <v>0.112</v>
      </c>
      <c r="Q1268" s="78">
        <v>0.44</v>
      </c>
      <c r="R1268" s="78">
        <v>0.31740000000000002</v>
      </c>
      <c r="S1268" s="69">
        <v>0</v>
      </c>
      <c r="T1268" s="69">
        <v>0</v>
      </c>
      <c r="U1268" s="507">
        <v>0.85</v>
      </c>
      <c r="V1268" s="76">
        <v>0</v>
      </c>
      <c r="W1268" s="76">
        <v>0</v>
      </c>
      <c r="X1268" s="76" t="s">
        <v>147</v>
      </c>
      <c r="Y1268" s="519" t="s">
        <v>469</v>
      </c>
    </row>
    <row r="1269" spans="1:25" x14ac:dyDescent="0.25">
      <c r="A1269" s="75" t="str">
        <f t="shared" si="45"/>
        <v>Pago_de_Hipoteca PF No_Premier Normal Pago_Fijo_Puntual 12</v>
      </c>
      <c r="B1269" s="75" t="str">
        <f t="shared" si="44"/>
        <v>Pago_de_Hipoteca PF No_Premier Normal Pago_Fijo_Puntual 12 0.106</v>
      </c>
      <c r="C1269" s="75" t="s">
        <v>173</v>
      </c>
      <c r="D1269" s="75" t="s">
        <v>132</v>
      </c>
      <c r="E1269" s="75" t="s">
        <v>179</v>
      </c>
      <c r="F1269" s="75" t="s">
        <v>180</v>
      </c>
      <c r="G1269" s="75"/>
      <c r="H1269" s="75"/>
      <c r="I1269" s="75" t="s">
        <v>171</v>
      </c>
      <c r="J1269" s="76">
        <v>12</v>
      </c>
      <c r="K1269" s="519">
        <v>3</v>
      </c>
      <c r="L1269" s="520">
        <v>12.5</v>
      </c>
      <c r="M1269" s="520">
        <v>13.16</v>
      </c>
      <c r="N1269" s="507">
        <v>0.106</v>
      </c>
      <c r="O1269" s="507">
        <v>0.10299999999999999</v>
      </c>
      <c r="P1269" s="507">
        <v>0.11799999999999999</v>
      </c>
      <c r="Q1269" s="78">
        <v>0.44</v>
      </c>
      <c r="R1269" s="78">
        <v>0.31740000000000002</v>
      </c>
      <c r="S1269" s="69">
        <v>0</v>
      </c>
      <c r="T1269" s="69">
        <v>0</v>
      </c>
      <c r="U1269" s="507">
        <v>0.85</v>
      </c>
      <c r="V1269" s="76">
        <v>0</v>
      </c>
      <c r="W1269" s="76">
        <v>0</v>
      </c>
      <c r="X1269" s="76"/>
      <c r="Y1269" s="519" t="s">
        <v>469</v>
      </c>
    </row>
    <row r="1270" spans="1:25" x14ac:dyDescent="0.25">
      <c r="A1270" s="75" t="str">
        <f t="shared" si="45"/>
        <v>Pago_de_Hipoteca PF No_Premier Normal Pago_Fijo_Puntual Si 11</v>
      </c>
      <c r="B1270" s="75" t="str">
        <f t="shared" si="44"/>
        <v>Pago_de_Hipoteca PF No_Premier Normal Pago_Fijo_Puntual Si 11 0.103</v>
      </c>
      <c r="C1270" s="75" t="s">
        <v>173</v>
      </c>
      <c r="D1270" s="75" t="s">
        <v>132</v>
      </c>
      <c r="E1270" s="75" t="s">
        <v>179</v>
      </c>
      <c r="F1270" s="75" t="s">
        <v>180</v>
      </c>
      <c r="G1270" s="75"/>
      <c r="H1270" s="75"/>
      <c r="I1270" s="75" t="s">
        <v>171</v>
      </c>
      <c r="J1270" s="76">
        <v>11</v>
      </c>
      <c r="K1270" s="519" t="s">
        <v>387</v>
      </c>
      <c r="L1270" s="520">
        <v>12.86</v>
      </c>
      <c r="M1270" s="520">
        <v>13.52</v>
      </c>
      <c r="N1270" s="507">
        <v>0.10299999999999999</v>
      </c>
      <c r="O1270" s="507">
        <v>0.1</v>
      </c>
      <c r="P1270" s="507">
        <v>0.112</v>
      </c>
      <c r="Q1270" s="78">
        <v>0.44</v>
      </c>
      <c r="R1270" s="78">
        <v>0.31740000000000002</v>
      </c>
      <c r="S1270" s="69">
        <v>0</v>
      </c>
      <c r="T1270" s="69">
        <v>0</v>
      </c>
      <c r="U1270" s="507">
        <v>0.85</v>
      </c>
      <c r="V1270" s="76">
        <v>0</v>
      </c>
      <c r="W1270" s="76">
        <v>0</v>
      </c>
      <c r="X1270" s="76" t="s">
        <v>147</v>
      </c>
      <c r="Y1270" s="519" t="s">
        <v>469</v>
      </c>
    </row>
    <row r="1271" spans="1:25" x14ac:dyDescent="0.25">
      <c r="A1271" s="75" t="str">
        <f t="shared" si="45"/>
        <v>Pago_de_Hipoteca PF No_Premier Normal Pago_Fijo_Puntual 11</v>
      </c>
      <c r="B1271" s="75" t="str">
        <f t="shared" si="44"/>
        <v>Pago_de_Hipoteca PF No_Premier Normal Pago_Fijo_Puntual 11 0.106</v>
      </c>
      <c r="C1271" s="75" t="s">
        <v>173</v>
      </c>
      <c r="D1271" s="75" t="s">
        <v>132</v>
      </c>
      <c r="E1271" s="75" t="s">
        <v>179</v>
      </c>
      <c r="F1271" s="75" t="s">
        <v>180</v>
      </c>
      <c r="G1271" s="75"/>
      <c r="H1271" s="75"/>
      <c r="I1271" s="75" t="s">
        <v>171</v>
      </c>
      <c r="J1271" s="76">
        <v>11</v>
      </c>
      <c r="K1271" s="519">
        <v>3</v>
      </c>
      <c r="L1271" s="520">
        <v>13.04</v>
      </c>
      <c r="M1271" s="520">
        <v>13.7</v>
      </c>
      <c r="N1271" s="507">
        <v>0.106</v>
      </c>
      <c r="O1271" s="507">
        <v>0.10299999999999999</v>
      </c>
      <c r="P1271" s="507">
        <v>0.11799999999999999</v>
      </c>
      <c r="Q1271" s="78">
        <v>0.44</v>
      </c>
      <c r="R1271" s="78">
        <v>0.31740000000000002</v>
      </c>
      <c r="S1271" s="69">
        <v>0</v>
      </c>
      <c r="T1271" s="69">
        <v>0</v>
      </c>
      <c r="U1271" s="507">
        <v>0.85</v>
      </c>
      <c r="V1271" s="76">
        <v>0</v>
      </c>
      <c r="W1271" s="76">
        <v>0</v>
      </c>
      <c r="X1271" s="76"/>
      <c r="Y1271" s="519" t="s">
        <v>469</v>
      </c>
    </row>
    <row r="1272" spans="1:25" x14ac:dyDescent="0.25">
      <c r="A1272" s="75" t="str">
        <f t="shared" si="45"/>
        <v>Pago_de_Hipoteca PF No_Premier Normal Pago_Fijo_Puntual Si 10</v>
      </c>
      <c r="B1272" s="75" t="str">
        <f t="shared" si="44"/>
        <v>Pago_de_Hipoteca PF No_Premier Normal Pago_Fijo_Puntual Si 10 0.103</v>
      </c>
      <c r="C1272" s="75" t="s">
        <v>173</v>
      </c>
      <c r="D1272" s="75" t="s">
        <v>132</v>
      </c>
      <c r="E1272" s="75" t="s">
        <v>179</v>
      </c>
      <c r="F1272" s="75" t="s">
        <v>180</v>
      </c>
      <c r="G1272" s="75"/>
      <c r="H1272" s="75"/>
      <c r="I1272" s="75" t="s">
        <v>171</v>
      </c>
      <c r="J1272" s="76">
        <v>10</v>
      </c>
      <c r="K1272" s="519" t="s">
        <v>387</v>
      </c>
      <c r="L1272" s="520">
        <v>13.54</v>
      </c>
      <c r="M1272" s="520">
        <v>14.2</v>
      </c>
      <c r="N1272" s="507">
        <v>0.10299999999999999</v>
      </c>
      <c r="O1272" s="507">
        <v>0.1</v>
      </c>
      <c r="P1272" s="507">
        <v>0.112</v>
      </c>
      <c r="Q1272" s="78">
        <v>0.44</v>
      </c>
      <c r="R1272" s="78">
        <v>0.31740000000000002</v>
      </c>
      <c r="S1272" s="69">
        <v>0</v>
      </c>
      <c r="T1272" s="69">
        <v>0</v>
      </c>
      <c r="U1272" s="507">
        <v>0.85</v>
      </c>
      <c r="V1272" s="76">
        <v>0</v>
      </c>
      <c r="W1272" s="76">
        <v>0</v>
      </c>
      <c r="X1272" s="76" t="s">
        <v>147</v>
      </c>
      <c r="Y1272" s="519" t="s">
        <v>469</v>
      </c>
    </row>
    <row r="1273" spans="1:25" x14ac:dyDescent="0.25">
      <c r="A1273" s="75" t="str">
        <f t="shared" si="45"/>
        <v>Pago_de_Hipoteca PF No_Premier Normal Pago_Fijo_Puntual 10</v>
      </c>
      <c r="B1273" s="75" t="str">
        <f t="shared" si="44"/>
        <v>Pago_de_Hipoteca PF No_Premier Normal Pago_Fijo_Puntual 10 0.106</v>
      </c>
      <c r="C1273" s="75" t="s">
        <v>173</v>
      </c>
      <c r="D1273" s="75" t="s">
        <v>132</v>
      </c>
      <c r="E1273" s="75" t="s">
        <v>179</v>
      </c>
      <c r="F1273" s="75" t="s">
        <v>180</v>
      </c>
      <c r="G1273" s="75"/>
      <c r="H1273" s="75"/>
      <c r="I1273" s="75" t="s">
        <v>171</v>
      </c>
      <c r="J1273" s="76">
        <v>10</v>
      </c>
      <c r="K1273" s="519">
        <v>3</v>
      </c>
      <c r="L1273" s="520">
        <v>13.7</v>
      </c>
      <c r="M1273" s="520">
        <v>14.36</v>
      </c>
      <c r="N1273" s="507">
        <v>0.106</v>
      </c>
      <c r="O1273" s="507">
        <v>0.10299999999999999</v>
      </c>
      <c r="P1273" s="507">
        <v>0.11799999999999999</v>
      </c>
      <c r="Q1273" s="78">
        <v>0.44</v>
      </c>
      <c r="R1273" s="78">
        <v>0.31740000000000002</v>
      </c>
      <c r="S1273" s="69">
        <v>0</v>
      </c>
      <c r="T1273" s="69">
        <v>0</v>
      </c>
      <c r="U1273" s="507">
        <v>0.85</v>
      </c>
      <c r="V1273" s="76">
        <v>0</v>
      </c>
      <c r="W1273" s="76">
        <v>0</v>
      </c>
      <c r="X1273" s="76"/>
      <c r="Y1273" s="519" t="s">
        <v>469</v>
      </c>
    </row>
    <row r="1274" spans="1:25" x14ac:dyDescent="0.25">
      <c r="A1274" s="75" t="str">
        <f t="shared" si="45"/>
        <v>Pago_de_Hipoteca PF No_Premier Normal Pago_Fijo_Puntual Si 9</v>
      </c>
      <c r="B1274" s="75" t="str">
        <f t="shared" si="44"/>
        <v>Pago_de_Hipoteca PF No_Premier Normal Pago_Fijo_Puntual Si 9 0.103</v>
      </c>
      <c r="C1274" s="75" t="s">
        <v>173</v>
      </c>
      <c r="D1274" s="75" t="s">
        <v>132</v>
      </c>
      <c r="E1274" s="75" t="s">
        <v>179</v>
      </c>
      <c r="F1274" s="75" t="s">
        <v>180</v>
      </c>
      <c r="G1274" s="75"/>
      <c r="H1274" s="75"/>
      <c r="I1274" s="75" t="s">
        <v>171</v>
      </c>
      <c r="J1274" s="76">
        <v>9</v>
      </c>
      <c r="K1274" s="519" t="s">
        <v>387</v>
      </c>
      <c r="L1274" s="521">
        <v>14.37</v>
      </c>
      <c r="M1274" s="521">
        <v>15.03</v>
      </c>
      <c r="N1274" s="507">
        <v>0.10299999999999999</v>
      </c>
      <c r="O1274" s="507">
        <v>0.1</v>
      </c>
      <c r="P1274" s="507">
        <v>0.112</v>
      </c>
      <c r="Q1274" s="78">
        <v>0.44</v>
      </c>
      <c r="R1274" s="78">
        <v>0.31740000000000002</v>
      </c>
      <c r="S1274" s="69">
        <v>0</v>
      </c>
      <c r="T1274" s="69">
        <v>0</v>
      </c>
      <c r="U1274" s="507">
        <v>0.85</v>
      </c>
      <c r="V1274" s="76">
        <v>0</v>
      </c>
      <c r="W1274" s="76">
        <v>0</v>
      </c>
      <c r="X1274" s="76" t="s">
        <v>147</v>
      </c>
      <c r="Y1274" s="519" t="s">
        <v>469</v>
      </c>
    </row>
    <row r="1275" spans="1:25" x14ac:dyDescent="0.25">
      <c r="A1275" s="75" t="str">
        <f t="shared" si="45"/>
        <v>Pago_de_Hipoteca PF No_Premier Normal Pago_Fijo_Puntual 9</v>
      </c>
      <c r="B1275" s="75" t="str">
        <f t="shared" si="44"/>
        <v>Pago_de_Hipoteca PF No_Premier Normal Pago_Fijo_Puntual 9 0.106</v>
      </c>
      <c r="C1275" s="75" t="s">
        <v>173</v>
      </c>
      <c r="D1275" s="75" t="s">
        <v>132</v>
      </c>
      <c r="E1275" s="75" t="s">
        <v>179</v>
      </c>
      <c r="F1275" s="75" t="s">
        <v>180</v>
      </c>
      <c r="G1275" s="75"/>
      <c r="H1275" s="75"/>
      <c r="I1275" s="75" t="s">
        <v>171</v>
      </c>
      <c r="J1275" s="76">
        <v>9</v>
      </c>
      <c r="K1275" s="519">
        <v>3</v>
      </c>
      <c r="L1275" s="521">
        <v>14.53</v>
      </c>
      <c r="M1275" s="521">
        <v>15.19</v>
      </c>
      <c r="N1275" s="507">
        <v>0.106</v>
      </c>
      <c r="O1275" s="507">
        <v>0.10299999999999999</v>
      </c>
      <c r="P1275" s="507">
        <v>0.11799999999999999</v>
      </c>
      <c r="Q1275" s="78">
        <v>0.44</v>
      </c>
      <c r="R1275" s="78">
        <v>0.31740000000000002</v>
      </c>
      <c r="S1275" s="69">
        <v>0</v>
      </c>
      <c r="T1275" s="69">
        <v>0</v>
      </c>
      <c r="U1275" s="507">
        <v>0.85</v>
      </c>
      <c r="V1275" s="76">
        <v>0</v>
      </c>
      <c r="W1275" s="76">
        <v>0</v>
      </c>
      <c r="X1275" s="76"/>
      <c r="Y1275" s="519" t="s">
        <v>469</v>
      </c>
    </row>
    <row r="1276" spans="1:25" x14ac:dyDescent="0.25">
      <c r="A1276" s="75" t="str">
        <f t="shared" si="45"/>
        <v>Pago_de_Hipoteca PF No_Premier Normal Pago_Fijo_Puntual Si 8</v>
      </c>
      <c r="B1276" s="75" t="str">
        <f t="shared" si="44"/>
        <v>Pago_de_Hipoteca PF No_Premier Normal Pago_Fijo_Puntual Si 8 0.103</v>
      </c>
      <c r="C1276" s="75" t="s">
        <v>173</v>
      </c>
      <c r="D1276" s="75" t="s">
        <v>132</v>
      </c>
      <c r="E1276" s="75" t="s">
        <v>179</v>
      </c>
      <c r="F1276" s="75" t="s">
        <v>180</v>
      </c>
      <c r="G1276" s="75"/>
      <c r="H1276" s="75"/>
      <c r="I1276" s="75" t="s">
        <v>171</v>
      </c>
      <c r="J1276" s="76">
        <v>8</v>
      </c>
      <c r="K1276" s="519" t="s">
        <v>387</v>
      </c>
      <c r="L1276" s="520">
        <v>15.44</v>
      </c>
      <c r="M1276" s="520">
        <v>16.100000000000001</v>
      </c>
      <c r="N1276" s="507">
        <v>0.10299999999999999</v>
      </c>
      <c r="O1276" s="507">
        <v>0.1</v>
      </c>
      <c r="P1276" s="507">
        <v>0.112</v>
      </c>
      <c r="Q1276" s="78">
        <v>0.44</v>
      </c>
      <c r="R1276" s="78">
        <v>0.31740000000000002</v>
      </c>
      <c r="S1276" s="69">
        <v>0</v>
      </c>
      <c r="T1276" s="69">
        <v>0</v>
      </c>
      <c r="U1276" s="507">
        <v>0.85</v>
      </c>
      <c r="V1276" s="76">
        <v>0</v>
      </c>
      <c r="W1276" s="76">
        <v>0</v>
      </c>
      <c r="X1276" s="76" t="s">
        <v>147</v>
      </c>
      <c r="Y1276" s="519" t="s">
        <v>469</v>
      </c>
    </row>
    <row r="1277" spans="1:25" x14ac:dyDescent="0.25">
      <c r="A1277" s="75" t="str">
        <f t="shared" si="45"/>
        <v>Pago_de_Hipoteca PF No_Premier Normal Pago_Fijo_Puntual 8</v>
      </c>
      <c r="B1277" s="75" t="str">
        <f t="shared" si="44"/>
        <v>Pago_de_Hipoteca PF No_Premier Normal Pago_Fijo_Puntual 8 0.106</v>
      </c>
      <c r="C1277" s="75" t="s">
        <v>173</v>
      </c>
      <c r="D1277" s="75" t="s">
        <v>132</v>
      </c>
      <c r="E1277" s="75" t="s">
        <v>179</v>
      </c>
      <c r="F1277" s="75" t="s">
        <v>180</v>
      </c>
      <c r="G1277" s="75"/>
      <c r="H1277" s="75"/>
      <c r="I1277" s="75" t="s">
        <v>171</v>
      </c>
      <c r="J1277" s="76">
        <v>8</v>
      </c>
      <c r="K1277" s="519">
        <v>3</v>
      </c>
      <c r="L1277" s="520">
        <v>15.6</v>
      </c>
      <c r="M1277" s="520">
        <v>16.260000000000002</v>
      </c>
      <c r="N1277" s="507">
        <v>0.106</v>
      </c>
      <c r="O1277" s="507">
        <v>0.10299999999999999</v>
      </c>
      <c r="P1277" s="507">
        <v>0.11799999999999999</v>
      </c>
      <c r="Q1277" s="78">
        <v>0.44</v>
      </c>
      <c r="R1277" s="78">
        <v>0.31740000000000002</v>
      </c>
      <c r="S1277" s="69">
        <v>0</v>
      </c>
      <c r="T1277" s="69">
        <v>0</v>
      </c>
      <c r="U1277" s="507">
        <v>0.85</v>
      </c>
      <c r="V1277" s="76">
        <v>0</v>
      </c>
      <c r="W1277" s="76">
        <v>0</v>
      </c>
      <c r="X1277" s="76"/>
      <c r="Y1277" s="519" t="s">
        <v>469</v>
      </c>
    </row>
    <row r="1278" spans="1:25" x14ac:dyDescent="0.25">
      <c r="A1278" s="75" t="str">
        <f t="shared" si="45"/>
        <v>Pago_de_Hipoteca PF No_Premier Normal Pago_Fijo_Puntual Si 7</v>
      </c>
      <c r="B1278" s="75" t="str">
        <f t="shared" si="44"/>
        <v>Pago_de_Hipoteca PF No_Premier Normal Pago_Fijo_Puntual Si 7 0.103</v>
      </c>
      <c r="C1278" s="75" t="s">
        <v>173</v>
      </c>
      <c r="D1278" s="75" t="s">
        <v>132</v>
      </c>
      <c r="E1278" s="75" t="s">
        <v>179</v>
      </c>
      <c r="F1278" s="75" t="s">
        <v>180</v>
      </c>
      <c r="G1278" s="75"/>
      <c r="H1278" s="75"/>
      <c r="I1278" s="75" t="s">
        <v>171</v>
      </c>
      <c r="J1278" s="76">
        <v>7</v>
      </c>
      <c r="K1278" s="519" t="s">
        <v>387</v>
      </c>
      <c r="L1278" s="520">
        <v>16.84</v>
      </c>
      <c r="M1278" s="520">
        <v>17.5</v>
      </c>
      <c r="N1278" s="507">
        <v>0.10299999999999999</v>
      </c>
      <c r="O1278" s="507">
        <v>0.1</v>
      </c>
      <c r="P1278" s="507">
        <v>0.112</v>
      </c>
      <c r="Q1278" s="78">
        <v>0.44</v>
      </c>
      <c r="R1278" s="78">
        <v>0.31740000000000002</v>
      </c>
      <c r="S1278" s="69">
        <v>0</v>
      </c>
      <c r="T1278" s="69">
        <v>0</v>
      </c>
      <c r="U1278" s="507">
        <v>0.85</v>
      </c>
      <c r="V1278" s="76">
        <v>0</v>
      </c>
      <c r="W1278" s="76">
        <v>0</v>
      </c>
      <c r="X1278" s="76" t="s">
        <v>147</v>
      </c>
      <c r="Y1278" s="519" t="s">
        <v>469</v>
      </c>
    </row>
    <row r="1279" spans="1:25" x14ac:dyDescent="0.25">
      <c r="A1279" s="75" t="str">
        <f t="shared" si="45"/>
        <v>Pago_de_Hipoteca PF No_Premier Normal Pago_Fijo_Puntual 7</v>
      </c>
      <c r="B1279" s="75" t="str">
        <f t="shared" si="44"/>
        <v>Pago_de_Hipoteca PF No_Premier Normal Pago_Fijo_Puntual 7 0.106</v>
      </c>
      <c r="C1279" s="75" t="s">
        <v>173</v>
      </c>
      <c r="D1279" s="75" t="s">
        <v>132</v>
      </c>
      <c r="E1279" s="75" t="s">
        <v>179</v>
      </c>
      <c r="F1279" s="75" t="s">
        <v>180</v>
      </c>
      <c r="G1279" s="75"/>
      <c r="H1279" s="75"/>
      <c r="I1279" s="75" t="s">
        <v>171</v>
      </c>
      <c r="J1279" s="76">
        <v>7</v>
      </c>
      <c r="K1279" s="519">
        <v>3</v>
      </c>
      <c r="L1279" s="520">
        <v>17</v>
      </c>
      <c r="M1279" s="520">
        <v>17.66</v>
      </c>
      <c r="N1279" s="507">
        <v>0.106</v>
      </c>
      <c r="O1279" s="507">
        <v>0.10299999999999999</v>
      </c>
      <c r="P1279" s="507">
        <v>0.11799999999999999</v>
      </c>
      <c r="Q1279" s="78">
        <v>0.44</v>
      </c>
      <c r="R1279" s="78">
        <v>0.31740000000000002</v>
      </c>
      <c r="S1279" s="69">
        <v>0</v>
      </c>
      <c r="T1279" s="69">
        <v>0</v>
      </c>
      <c r="U1279" s="507">
        <v>0.85</v>
      </c>
      <c r="V1279" s="76">
        <v>0</v>
      </c>
      <c r="W1279" s="76">
        <v>0</v>
      </c>
      <c r="X1279" s="76"/>
      <c r="Y1279" s="519" t="s">
        <v>469</v>
      </c>
    </row>
    <row r="1280" spans="1:25" x14ac:dyDescent="0.25">
      <c r="A1280" s="75" t="str">
        <f t="shared" si="45"/>
        <v>Pago_de_Hipoteca PF No_Premier Normal Pago_Fijo_Puntual Si 6</v>
      </c>
      <c r="B1280" s="75" t="str">
        <f t="shared" si="44"/>
        <v>Pago_de_Hipoteca PF No_Premier Normal Pago_Fijo_Puntual Si 6 0.103</v>
      </c>
      <c r="C1280" s="75" t="s">
        <v>173</v>
      </c>
      <c r="D1280" s="75" t="s">
        <v>132</v>
      </c>
      <c r="E1280" s="75" t="s">
        <v>179</v>
      </c>
      <c r="F1280" s="75" t="s">
        <v>180</v>
      </c>
      <c r="G1280" s="75"/>
      <c r="H1280" s="75"/>
      <c r="I1280" s="75" t="s">
        <v>171</v>
      </c>
      <c r="J1280" s="76">
        <v>6</v>
      </c>
      <c r="K1280" s="519" t="s">
        <v>387</v>
      </c>
      <c r="L1280" s="520">
        <v>18.739999999999998</v>
      </c>
      <c r="M1280" s="520">
        <v>19.399999999999999</v>
      </c>
      <c r="N1280" s="507">
        <v>0.10299999999999999</v>
      </c>
      <c r="O1280" s="507">
        <v>0.1</v>
      </c>
      <c r="P1280" s="507">
        <v>0.112</v>
      </c>
      <c r="Q1280" s="78">
        <v>0.44</v>
      </c>
      <c r="R1280" s="78">
        <v>0.31740000000000002</v>
      </c>
      <c r="S1280" s="69">
        <v>0</v>
      </c>
      <c r="T1280" s="69">
        <v>0</v>
      </c>
      <c r="U1280" s="507">
        <v>0.85</v>
      </c>
      <c r="V1280" s="76">
        <v>0</v>
      </c>
      <c r="W1280" s="76">
        <v>0</v>
      </c>
      <c r="X1280" s="76" t="s">
        <v>147</v>
      </c>
      <c r="Y1280" s="519" t="s">
        <v>469</v>
      </c>
    </row>
    <row r="1281" spans="1:25" x14ac:dyDescent="0.25">
      <c r="A1281" s="75" t="str">
        <f t="shared" si="45"/>
        <v>Pago_de_Hipoteca PF No_Premier Normal Pago_Fijo_Puntual 6</v>
      </c>
      <c r="B1281" s="75" t="str">
        <f t="shared" si="44"/>
        <v>Pago_de_Hipoteca PF No_Premier Normal Pago_Fijo_Puntual 6 0.106</v>
      </c>
      <c r="C1281" s="75" t="s">
        <v>173</v>
      </c>
      <c r="D1281" s="75" t="s">
        <v>132</v>
      </c>
      <c r="E1281" s="75" t="s">
        <v>179</v>
      </c>
      <c r="F1281" s="75" t="s">
        <v>180</v>
      </c>
      <c r="G1281" s="75"/>
      <c r="H1281" s="75"/>
      <c r="I1281" s="75" t="s">
        <v>171</v>
      </c>
      <c r="J1281" s="76">
        <v>6</v>
      </c>
      <c r="K1281" s="519">
        <v>3</v>
      </c>
      <c r="L1281" s="520">
        <v>18.89</v>
      </c>
      <c r="M1281" s="520">
        <v>19.55</v>
      </c>
      <c r="N1281" s="507">
        <v>0.106</v>
      </c>
      <c r="O1281" s="507">
        <v>0.10299999999999999</v>
      </c>
      <c r="P1281" s="507">
        <v>0.11799999999999999</v>
      </c>
      <c r="Q1281" s="78">
        <v>0.44</v>
      </c>
      <c r="R1281" s="78">
        <v>0.31740000000000002</v>
      </c>
      <c r="S1281" s="69">
        <v>0</v>
      </c>
      <c r="T1281" s="69">
        <v>0</v>
      </c>
      <c r="U1281" s="507">
        <v>0.85</v>
      </c>
      <c r="V1281" s="76">
        <v>0</v>
      </c>
      <c r="W1281" s="76">
        <v>0</v>
      </c>
      <c r="X1281" s="76"/>
      <c r="Y1281" s="519" t="s">
        <v>469</v>
      </c>
    </row>
    <row r="1282" spans="1:25" x14ac:dyDescent="0.25">
      <c r="A1282" s="75" t="str">
        <f t="shared" si="45"/>
        <v>Pago_de_Hipoteca PF No_Premier Normal Pago_Fijo_Puntual Si 5</v>
      </c>
      <c r="B1282" s="75" t="str">
        <f t="shared" si="44"/>
        <v>Pago_de_Hipoteca PF No_Premier Normal Pago_Fijo_Puntual Si 5 0.103</v>
      </c>
      <c r="C1282" s="75" t="s">
        <v>173</v>
      </c>
      <c r="D1282" s="75" t="s">
        <v>132</v>
      </c>
      <c r="E1282" s="75" t="s">
        <v>179</v>
      </c>
      <c r="F1282" s="75" t="s">
        <v>180</v>
      </c>
      <c r="G1282" s="75"/>
      <c r="H1282" s="75"/>
      <c r="I1282" s="75" t="s">
        <v>171</v>
      </c>
      <c r="J1282" s="76">
        <v>5</v>
      </c>
      <c r="K1282" s="519" t="s">
        <v>387</v>
      </c>
      <c r="L1282" s="520">
        <v>21.44</v>
      </c>
      <c r="M1282" s="520">
        <v>22.1</v>
      </c>
      <c r="N1282" s="507">
        <v>0.10299999999999999</v>
      </c>
      <c r="O1282" s="507">
        <v>0.1</v>
      </c>
      <c r="P1282" s="507">
        <v>0.112</v>
      </c>
      <c r="Q1282" s="78">
        <v>0.44</v>
      </c>
      <c r="R1282" s="78">
        <v>0.31740000000000002</v>
      </c>
      <c r="S1282" s="69">
        <v>0</v>
      </c>
      <c r="T1282" s="69">
        <v>0</v>
      </c>
      <c r="U1282" s="507">
        <v>0.85</v>
      </c>
      <c r="V1282" s="76">
        <v>0</v>
      </c>
      <c r="W1282" s="76">
        <v>0</v>
      </c>
      <c r="X1282" s="76" t="s">
        <v>147</v>
      </c>
      <c r="Y1282" s="519" t="s">
        <v>469</v>
      </c>
    </row>
    <row r="1283" spans="1:25" x14ac:dyDescent="0.25">
      <c r="A1283" s="75" t="str">
        <f t="shared" si="45"/>
        <v>Pago_de_Hipoteca PF No_Premier Normal Pago_Fijo_Puntual 5</v>
      </c>
      <c r="B1283" s="75" t="str">
        <f t="shared" si="44"/>
        <v>Pago_de_Hipoteca PF No_Premier Normal Pago_Fijo_Puntual 5 0.106</v>
      </c>
      <c r="C1283" s="75" t="s">
        <v>173</v>
      </c>
      <c r="D1283" s="75" t="s">
        <v>132</v>
      </c>
      <c r="E1283" s="75" t="s">
        <v>179</v>
      </c>
      <c r="F1283" s="75" t="s">
        <v>180</v>
      </c>
      <c r="G1283" s="75"/>
      <c r="H1283" s="75"/>
      <c r="I1283" s="75" t="s">
        <v>171</v>
      </c>
      <c r="J1283" s="76">
        <v>5</v>
      </c>
      <c r="K1283" s="519">
        <v>3</v>
      </c>
      <c r="L1283" s="520">
        <v>21.58</v>
      </c>
      <c r="M1283" s="520">
        <v>22.24</v>
      </c>
      <c r="N1283" s="507">
        <v>0.106</v>
      </c>
      <c r="O1283" s="507">
        <v>0.10299999999999999</v>
      </c>
      <c r="P1283" s="507">
        <v>0.11799999999999999</v>
      </c>
      <c r="Q1283" s="78">
        <v>0.44</v>
      </c>
      <c r="R1283" s="78">
        <v>0.31740000000000002</v>
      </c>
      <c r="S1283" s="69">
        <v>0</v>
      </c>
      <c r="T1283" s="69">
        <v>0</v>
      </c>
      <c r="U1283" s="507">
        <v>0.85</v>
      </c>
      <c r="V1283" s="76">
        <v>0</v>
      </c>
      <c r="W1283" s="76">
        <v>0</v>
      </c>
      <c r="X1283" s="76"/>
      <c r="Y1283" s="519" t="s">
        <v>469</v>
      </c>
    </row>
    <row r="1284" spans="1:25" x14ac:dyDescent="0.25">
      <c r="A1284" s="75" t="str">
        <f t="shared" si="45"/>
        <v>Pago_de_Hipoteca PF No_Premier Normal Pago_Bajo_Puntual Si 20</v>
      </c>
      <c r="B1284" s="75" t="str">
        <f t="shared" si="44"/>
        <v>Pago_de_Hipoteca PF No_Premier Normal Pago_Bajo_Puntual Si 20 0.103</v>
      </c>
      <c r="C1284" s="75" t="s">
        <v>173</v>
      </c>
      <c r="D1284" s="75" t="s">
        <v>132</v>
      </c>
      <c r="E1284" s="75" t="s">
        <v>179</v>
      </c>
      <c r="F1284" s="75" t="s">
        <v>180</v>
      </c>
      <c r="G1284" s="75"/>
      <c r="H1284" s="75"/>
      <c r="I1284" s="75" t="s">
        <v>170</v>
      </c>
      <c r="J1284" s="76">
        <v>20</v>
      </c>
      <c r="K1284" s="519" t="s">
        <v>387</v>
      </c>
      <c r="L1284" s="520">
        <v>9</v>
      </c>
      <c r="M1284" s="520">
        <v>9.66</v>
      </c>
      <c r="N1284" s="507">
        <v>0.10299999999999999</v>
      </c>
      <c r="O1284" s="507">
        <v>0.1</v>
      </c>
      <c r="P1284" s="507">
        <v>0.112</v>
      </c>
      <c r="Q1284" s="78">
        <v>0.44</v>
      </c>
      <c r="R1284" s="78">
        <v>0.31740000000000002</v>
      </c>
      <c r="S1284" s="69">
        <v>0</v>
      </c>
      <c r="T1284" s="69">
        <v>0</v>
      </c>
      <c r="U1284" s="507">
        <v>0.85</v>
      </c>
      <c r="V1284" s="76">
        <v>0</v>
      </c>
      <c r="W1284" s="76">
        <v>0</v>
      </c>
      <c r="X1284" s="76" t="s">
        <v>147</v>
      </c>
      <c r="Y1284" s="519" t="s">
        <v>469</v>
      </c>
    </row>
    <row r="1285" spans="1:25" x14ac:dyDescent="0.25">
      <c r="A1285" s="75" t="str">
        <f t="shared" si="45"/>
        <v>Pago_de_Hipoteca PF No_Premier Normal Pago_Bajo_Puntual 20</v>
      </c>
      <c r="B1285" s="75" t="str">
        <f t="shared" si="44"/>
        <v>Pago_de_Hipoteca PF No_Premier Normal Pago_Bajo_Puntual 20 0.106</v>
      </c>
      <c r="C1285" s="75" t="s">
        <v>173</v>
      </c>
      <c r="D1285" s="75" t="s">
        <v>132</v>
      </c>
      <c r="E1285" s="75" t="s">
        <v>179</v>
      </c>
      <c r="F1285" s="75" t="s">
        <v>180</v>
      </c>
      <c r="G1285" s="75"/>
      <c r="H1285" s="75"/>
      <c r="I1285" s="75" t="s">
        <v>170</v>
      </c>
      <c r="J1285" s="76">
        <v>20</v>
      </c>
      <c r="K1285" s="519">
        <v>3</v>
      </c>
      <c r="L1285" s="520">
        <v>9.24</v>
      </c>
      <c r="M1285" s="520">
        <v>9.9</v>
      </c>
      <c r="N1285" s="507">
        <v>0.106</v>
      </c>
      <c r="O1285" s="507">
        <v>0.10299999999999999</v>
      </c>
      <c r="P1285" s="507">
        <v>0.11799999999999999</v>
      </c>
      <c r="Q1285" s="78">
        <v>0.44</v>
      </c>
      <c r="R1285" s="78">
        <v>0.31740000000000002</v>
      </c>
      <c r="S1285" s="69">
        <v>0</v>
      </c>
      <c r="T1285" s="69">
        <v>0</v>
      </c>
      <c r="U1285" s="507">
        <v>0.85</v>
      </c>
      <c r="V1285" s="76">
        <v>0</v>
      </c>
      <c r="W1285" s="76">
        <v>0</v>
      </c>
      <c r="X1285" s="76"/>
      <c r="Y1285" s="519" t="s">
        <v>469</v>
      </c>
    </row>
    <row r="1286" spans="1:25" x14ac:dyDescent="0.25">
      <c r="A1286" s="75" t="str">
        <f t="shared" si="45"/>
        <v>Pago_de_Hipoteca PF No_Premier Normal Pago_Bajo_Puntual Si 19</v>
      </c>
      <c r="B1286" s="75" t="str">
        <f t="shared" si="44"/>
        <v>Pago_de_Hipoteca PF No_Premier Normal Pago_Bajo_Puntual Si 19 0.103</v>
      </c>
      <c r="C1286" s="75" t="s">
        <v>173</v>
      </c>
      <c r="D1286" s="75" t="s">
        <v>132</v>
      </c>
      <c r="E1286" s="75" t="s">
        <v>179</v>
      </c>
      <c r="F1286" s="75" t="s">
        <v>180</v>
      </c>
      <c r="G1286" s="75"/>
      <c r="H1286" s="75"/>
      <c r="I1286" s="75" t="s">
        <v>170</v>
      </c>
      <c r="J1286" s="76">
        <v>19</v>
      </c>
      <c r="K1286" s="519" t="s">
        <v>387</v>
      </c>
      <c r="L1286" s="520">
        <v>9.17</v>
      </c>
      <c r="M1286" s="520">
        <v>9.83</v>
      </c>
      <c r="N1286" s="507">
        <v>0.10299999999999999</v>
      </c>
      <c r="O1286" s="507">
        <v>0.1</v>
      </c>
      <c r="P1286" s="507">
        <v>0.112</v>
      </c>
      <c r="Q1286" s="78">
        <v>0.44</v>
      </c>
      <c r="R1286" s="78">
        <v>0.31740000000000002</v>
      </c>
      <c r="S1286" s="69">
        <v>0</v>
      </c>
      <c r="T1286" s="69">
        <v>0</v>
      </c>
      <c r="U1286" s="507">
        <v>0.85</v>
      </c>
      <c r="V1286" s="76">
        <v>0</v>
      </c>
      <c r="W1286" s="76">
        <v>0</v>
      </c>
      <c r="X1286" s="76" t="s">
        <v>147</v>
      </c>
      <c r="Y1286" s="519" t="s">
        <v>469</v>
      </c>
    </row>
    <row r="1287" spans="1:25" x14ac:dyDescent="0.25">
      <c r="A1287" s="75" t="str">
        <f t="shared" si="45"/>
        <v>Pago_de_Hipoteca PF No_Premier Normal Pago_Bajo_Puntual 19</v>
      </c>
      <c r="B1287" s="75" t="str">
        <f t="shared" si="44"/>
        <v>Pago_de_Hipoteca PF No_Premier Normal Pago_Bajo_Puntual 19 0.106</v>
      </c>
      <c r="C1287" s="75" t="s">
        <v>173</v>
      </c>
      <c r="D1287" s="75" t="s">
        <v>132</v>
      </c>
      <c r="E1287" s="75" t="s">
        <v>179</v>
      </c>
      <c r="F1287" s="75" t="s">
        <v>180</v>
      </c>
      <c r="G1287" s="75"/>
      <c r="H1287" s="75"/>
      <c r="I1287" s="75" t="s">
        <v>170</v>
      </c>
      <c r="J1287" s="76">
        <v>19</v>
      </c>
      <c r="K1287" s="519">
        <v>3</v>
      </c>
      <c r="L1287" s="520">
        <v>9.4</v>
      </c>
      <c r="M1287" s="520">
        <v>10.06</v>
      </c>
      <c r="N1287" s="507">
        <v>0.106</v>
      </c>
      <c r="O1287" s="507">
        <v>0.10299999999999999</v>
      </c>
      <c r="P1287" s="507">
        <v>0.11799999999999999</v>
      </c>
      <c r="Q1287" s="78">
        <v>0.44</v>
      </c>
      <c r="R1287" s="78">
        <v>0.31740000000000002</v>
      </c>
      <c r="S1287" s="69">
        <v>0</v>
      </c>
      <c r="T1287" s="69">
        <v>0</v>
      </c>
      <c r="U1287" s="507">
        <v>0.85</v>
      </c>
      <c r="V1287" s="76">
        <v>0</v>
      </c>
      <c r="W1287" s="76">
        <v>0</v>
      </c>
      <c r="X1287" s="76"/>
      <c r="Y1287" s="519" t="s">
        <v>469</v>
      </c>
    </row>
    <row r="1288" spans="1:25" x14ac:dyDescent="0.25">
      <c r="A1288" s="75" t="str">
        <f t="shared" si="45"/>
        <v>Pago_de_Hipoteca PF No_Premier Normal Pago_Bajo_Puntual Si 18</v>
      </c>
      <c r="B1288" s="75" t="str">
        <f t="shared" si="44"/>
        <v>Pago_de_Hipoteca PF No_Premier Normal Pago_Bajo_Puntual Si 18 0.103</v>
      </c>
      <c r="C1288" s="75" t="s">
        <v>173</v>
      </c>
      <c r="D1288" s="75" t="s">
        <v>132</v>
      </c>
      <c r="E1288" s="75" t="s">
        <v>179</v>
      </c>
      <c r="F1288" s="75" t="s">
        <v>180</v>
      </c>
      <c r="G1288" s="75"/>
      <c r="H1288" s="75"/>
      <c r="I1288" s="75" t="s">
        <v>170</v>
      </c>
      <c r="J1288" s="76">
        <v>18</v>
      </c>
      <c r="K1288" s="519" t="s">
        <v>387</v>
      </c>
      <c r="L1288" s="520">
        <v>9.36</v>
      </c>
      <c r="M1288" s="520">
        <v>10.02</v>
      </c>
      <c r="N1288" s="507">
        <v>0.10299999999999999</v>
      </c>
      <c r="O1288" s="507">
        <v>0.1</v>
      </c>
      <c r="P1288" s="507">
        <v>0.112</v>
      </c>
      <c r="Q1288" s="78">
        <v>0.44</v>
      </c>
      <c r="R1288" s="78">
        <v>0.31740000000000002</v>
      </c>
      <c r="S1288" s="69">
        <v>0</v>
      </c>
      <c r="T1288" s="69">
        <v>0</v>
      </c>
      <c r="U1288" s="507">
        <v>0.85</v>
      </c>
      <c r="V1288" s="76">
        <v>0</v>
      </c>
      <c r="W1288" s="76">
        <v>0</v>
      </c>
      <c r="X1288" s="76" t="s">
        <v>147</v>
      </c>
      <c r="Y1288" s="519" t="s">
        <v>469</v>
      </c>
    </row>
    <row r="1289" spans="1:25" x14ac:dyDescent="0.25">
      <c r="A1289" s="75" t="str">
        <f t="shared" si="45"/>
        <v>Pago_de_Hipoteca PF No_Premier Normal Pago_Bajo_Puntual 18</v>
      </c>
      <c r="B1289" s="75" t="str">
        <f t="shared" si="44"/>
        <v>Pago_de_Hipoteca PF No_Premier Normal Pago_Bajo_Puntual 18 0.106</v>
      </c>
      <c r="C1289" s="75" t="s">
        <v>173</v>
      </c>
      <c r="D1289" s="75" t="s">
        <v>132</v>
      </c>
      <c r="E1289" s="75" t="s">
        <v>179</v>
      </c>
      <c r="F1289" s="75" t="s">
        <v>180</v>
      </c>
      <c r="G1289" s="75"/>
      <c r="H1289" s="75"/>
      <c r="I1289" s="75" t="s">
        <v>170</v>
      </c>
      <c r="J1289" s="76">
        <v>18</v>
      </c>
      <c r="K1289" s="519">
        <v>3</v>
      </c>
      <c r="L1289" s="520">
        <v>9.59</v>
      </c>
      <c r="M1289" s="520">
        <v>10.25</v>
      </c>
      <c r="N1289" s="507">
        <v>0.106</v>
      </c>
      <c r="O1289" s="507">
        <v>0.10299999999999999</v>
      </c>
      <c r="P1289" s="507">
        <v>0.11799999999999999</v>
      </c>
      <c r="Q1289" s="78">
        <v>0.44</v>
      </c>
      <c r="R1289" s="78">
        <v>0.31740000000000002</v>
      </c>
      <c r="S1289" s="69">
        <v>0</v>
      </c>
      <c r="T1289" s="69">
        <v>0</v>
      </c>
      <c r="U1289" s="507">
        <v>0.85</v>
      </c>
      <c r="V1289" s="76">
        <v>0</v>
      </c>
      <c r="W1289" s="76">
        <v>0</v>
      </c>
      <c r="X1289" s="76"/>
      <c r="Y1289" s="519" t="s">
        <v>469</v>
      </c>
    </row>
    <row r="1290" spans="1:25" x14ac:dyDescent="0.25">
      <c r="A1290" s="75" t="str">
        <f t="shared" si="45"/>
        <v>Pago_de_Hipoteca PF No_Premier Normal Pago_Bajo_Puntual Si 17</v>
      </c>
      <c r="B1290" s="75" t="str">
        <f t="shared" si="44"/>
        <v>Pago_de_Hipoteca PF No_Premier Normal Pago_Bajo_Puntual Si 17 0.103</v>
      </c>
      <c r="C1290" s="75" t="s">
        <v>173</v>
      </c>
      <c r="D1290" s="75" t="s">
        <v>132</v>
      </c>
      <c r="E1290" s="75" t="s">
        <v>179</v>
      </c>
      <c r="F1290" s="75" t="s">
        <v>180</v>
      </c>
      <c r="G1290" s="75"/>
      <c r="H1290" s="75"/>
      <c r="I1290" s="75" t="s">
        <v>170</v>
      </c>
      <c r="J1290" s="76">
        <v>17</v>
      </c>
      <c r="K1290" s="519" t="s">
        <v>387</v>
      </c>
      <c r="L1290" s="520">
        <v>9.58</v>
      </c>
      <c r="M1290" s="520">
        <v>10.24</v>
      </c>
      <c r="N1290" s="507">
        <v>0.10299999999999999</v>
      </c>
      <c r="O1290" s="507">
        <v>0.1</v>
      </c>
      <c r="P1290" s="507">
        <v>0.112</v>
      </c>
      <c r="Q1290" s="78">
        <v>0.44</v>
      </c>
      <c r="R1290" s="78">
        <v>0.31740000000000002</v>
      </c>
      <c r="S1290" s="69">
        <v>0</v>
      </c>
      <c r="T1290" s="69">
        <v>0</v>
      </c>
      <c r="U1290" s="507">
        <v>0.85</v>
      </c>
      <c r="V1290" s="76">
        <v>0</v>
      </c>
      <c r="W1290" s="76">
        <v>0</v>
      </c>
      <c r="X1290" s="76" t="s">
        <v>147</v>
      </c>
      <c r="Y1290" s="519" t="s">
        <v>469</v>
      </c>
    </row>
    <row r="1291" spans="1:25" x14ac:dyDescent="0.25">
      <c r="A1291" s="75" t="str">
        <f t="shared" si="45"/>
        <v>Pago_de_Hipoteca PF No_Premier Normal Pago_Bajo_Puntual 17</v>
      </c>
      <c r="B1291" s="75" t="str">
        <f t="shared" si="44"/>
        <v>Pago_de_Hipoteca PF No_Premier Normal Pago_Bajo_Puntual 17 0.106</v>
      </c>
      <c r="C1291" s="75" t="s">
        <v>173</v>
      </c>
      <c r="D1291" s="75" t="s">
        <v>132</v>
      </c>
      <c r="E1291" s="75" t="s">
        <v>179</v>
      </c>
      <c r="F1291" s="75" t="s">
        <v>180</v>
      </c>
      <c r="G1291" s="75"/>
      <c r="H1291" s="75"/>
      <c r="I1291" s="75" t="s">
        <v>170</v>
      </c>
      <c r="J1291" s="76">
        <v>17</v>
      </c>
      <c r="K1291" s="519">
        <v>3</v>
      </c>
      <c r="L1291" s="520">
        <v>9.8000000000000007</v>
      </c>
      <c r="M1291" s="520">
        <v>10.46</v>
      </c>
      <c r="N1291" s="507">
        <v>0.106</v>
      </c>
      <c r="O1291" s="507">
        <v>0.10299999999999999</v>
      </c>
      <c r="P1291" s="507">
        <v>0.11799999999999999</v>
      </c>
      <c r="Q1291" s="78">
        <v>0.44</v>
      </c>
      <c r="R1291" s="78">
        <v>0.31740000000000002</v>
      </c>
      <c r="S1291" s="69">
        <v>0</v>
      </c>
      <c r="T1291" s="69">
        <v>0</v>
      </c>
      <c r="U1291" s="507">
        <v>0.85</v>
      </c>
      <c r="V1291" s="76">
        <v>0</v>
      </c>
      <c r="W1291" s="76">
        <v>0</v>
      </c>
      <c r="X1291" s="76"/>
      <c r="Y1291" s="519" t="s">
        <v>469</v>
      </c>
    </row>
    <row r="1292" spans="1:25" x14ac:dyDescent="0.25">
      <c r="A1292" s="75" t="str">
        <f t="shared" si="45"/>
        <v>Pago_de_Hipoteca PF No_Premier Normal Pago_Bajo_Puntual Si 16</v>
      </c>
      <c r="B1292" s="75" t="str">
        <f t="shared" si="44"/>
        <v>Pago_de_Hipoteca PF No_Premier Normal Pago_Bajo_Puntual Si 16 0.103</v>
      </c>
      <c r="C1292" s="75" t="s">
        <v>173</v>
      </c>
      <c r="D1292" s="75" t="s">
        <v>132</v>
      </c>
      <c r="E1292" s="75" t="s">
        <v>179</v>
      </c>
      <c r="F1292" s="75" t="s">
        <v>180</v>
      </c>
      <c r="G1292" s="75"/>
      <c r="H1292" s="75"/>
      <c r="I1292" s="75" t="s">
        <v>170</v>
      </c>
      <c r="J1292" s="76">
        <v>16</v>
      </c>
      <c r="K1292" s="519" t="s">
        <v>387</v>
      </c>
      <c r="L1292" s="520">
        <v>9.83</v>
      </c>
      <c r="M1292" s="520">
        <v>10.49</v>
      </c>
      <c r="N1292" s="507">
        <v>0.10299999999999999</v>
      </c>
      <c r="O1292" s="507">
        <v>0.1</v>
      </c>
      <c r="P1292" s="507">
        <v>0.112</v>
      </c>
      <c r="Q1292" s="78">
        <v>0.44</v>
      </c>
      <c r="R1292" s="78">
        <v>0.31740000000000002</v>
      </c>
      <c r="S1292" s="69">
        <v>0</v>
      </c>
      <c r="T1292" s="69">
        <v>0</v>
      </c>
      <c r="U1292" s="507">
        <v>0.85</v>
      </c>
      <c r="V1292" s="76">
        <v>0</v>
      </c>
      <c r="W1292" s="76">
        <v>0</v>
      </c>
      <c r="X1292" s="76" t="s">
        <v>147</v>
      </c>
      <c r="Y1292" s="519" t="s">
        <v>469</v>
      </c>
    </row>
    <row r="1293" spans="1:25" x14ac:dyDescent="0.25">
      <c r="A1293" s="75" t="str">
        <f t="shared" si="45"/>
        <v>Pago_de_Hipoteca PF No_Premier Normal Pago_Bajo_Puntual 16</v>
      </c>
      <c r="B1293" s="75" t="str">
        <f t="shared" si="44"/>
        <v>Pago_de_Hipoteca PF No_Premier Normal Pago_Bajo_Puntual 16 0.106</v>
      </c>
      <c r="C1293" s="75" t="s">
        <v>173</v>
      </c>
      <c r="D1293" s="75" t="s">
        <v>132</v>
      </c>
      <c r="E1293" s="75" t="s">
        <v>179</v>
      </c>
      <c r="F1293" s="75" t="s">
        <v>180</v>
      </c>
      <c r="G1293" s="75"/>
      <c r="H1293" s="75"/>
      <c r="I1293" s="75" t="s">
        <v>170</v>
      </c>
      <c r="J1293" s="76">
        <v>16</v>
      </c>
      <c r="K1293" s="519">
        <v>3</v>
      </c>
      <c r="L1293" s="520">
        <v>10.039999999999999</v>
      </c>
      <c r="M1293" s="520">
        <v>10.7</v>
      </c>
      <c r="N1293" s="507">
        <v>0.106</v>
      </c>
      <c r="O1293" s="507">
        <v>0.10299999999999999</v>
      </c>
      <c r="P1293" s="507">
        <v>0.11799999999999999</v>
      </c>
      <c r="Q1293" s="78">
        <v>0.44</v>
      </c>
      <c r="R1293" s="78">
        <v>0.31740000000000002</v>
      </c>
      <c r="S1293" s="69">
        <v>0</v>
      </c>
      <c r="T1293" s="69">
        <v>0</v>
      </c>
      <c r="U1293" s="507">
        <v>0.85</v>
      </c>
      <c r="V1293" s="76">
        <v>0</v>
      </c>
      <c r="W1293" s="76">
        <v>0</v>
      </c>
      <c r="X1293" s="76"/>
      <c r="Y1293" s="519" t="s">
        <v>469</v>
      </c>
    </row>
    <row r="1294" spans="1:25" x14ac:dyDescent="0.25">
      <c r="A1294" s="75" t="str">
        <f t="shared" si="45"/>
        <v>Pago_de_Hipoteca PF No_Premier Normal Pago_Bajo_Puntual Si 15</v>
      </c>
      <c r="B1294" s="75" t="str">
        <f t="shared" si="44"/>
        <v>Pago_de_Hipoteca PF No_Premier Normal Pago_Bajo_Puntual Si 15 0.103</v>
      </c>
      <c r="C1294" s="75" t="s">
        <v>173</v>
      </c>
      <c r="D1294" s="75" t="s">
        <v>132</v>
      </c>
      <c r="E1294" s="75" t="s">
        <v>179</v>
      </c>
      <c r="F1294" s="75" t="s">
        <v>180</v>
      </c>
      <c r="G1294" s="75"/>
      <c r="H1294" s="75"/>
      <c r="I1294" s="75" t="s">
        <v>170</v>
      </c>
      <c r="J1294" s="76">
        <v>15</v>
      </c>
      <c r="K1294" s="519" t="s">
        <v>387</v>
      </c>
      <c r="L1294" s="520">
        <v>10.119999999999999</v>
      </c>
      <c r="M1294" s="520">
        <v>10.78</v>
      </c>
      <c r="N1294" s="507">
        <v>0.10299999999999999</v>
      </c>
      <c r="O1294" s="507">
        <v>0.1</v>
      </c>
      <c r="P1294" s="507">
        <v>0.112</v>
      </c>
      <c r="Q1294" s="78">
        <v>0.44</v>
      </c>
      <c r="R1294" s="78">
        <v>0.31740000000000002</v>
      </c>
      <c r="S1294" s="69">
        <v>0</v>
      </c>
      <c r="T1294" s="69">
        <v>0</v>
      </c>
      <c r="U1294" s="507">
        <v>0.85</v>
      </c>
      <c r="V1294" s="76">
        <v>0</v>
      </c>
      <c r="W1294" s="76">
        <v>0</v>
      </c>
      <c r="X1294" s="76" t="s">
        <v>147</v>
      </c>
      <c r="Y1294" s="519" t="s">
        <v>469</v>
      </c>
    </row>
    <row r="1295" spans="1:25" x14ac:dyDescent="0.25">
      <c r="A1295" s="75" t="str">
        <f t="shared" si="45"/>
        <v>Pago_de_Hipoteca PF No_Premier Normal Pago_Bajo_Puntual 15</v>
      </c>
      <c r="B1295" s="75" t="str">
        <f t="shared" si="44"/>
        <v>Pago_de_Hipoteca PF No_Premier Normal Pago_Bajo_Puntual 15 0.106</v>
      </c>
      <c r="C1295" s="75" t="s">
        <v>173</v>
      </c>
      <c r="D1295" s="75" t="s">
        <v>132</v>
      </c>
      <c r="E1295" s="75" t="s">
        <v>179</v>
      </c>
      <c r="F1295" s="75" t="s">
        <v>180</v>
      </c>
      <c r="G1295" s="75"/>
      <c r="H1295" s="75"/>
      <c r="I1295" s="75" t="s">
        <v>170</v>
      </c>
      <c r="J1295" s="76">
        <v>15</v>
      </c>
      <c r="K1295" s="519">
        <v>3</v>
      </c>
      <c r="L1295" s="520">
        <v>10.33</v>
      </c>
      <c r="M1295" s="520">
        <v>10.99</v>
      </c>
      <c r="N1295" s="507">
        <v>0.106</v>
      </c>
      <c r="O1295" s="507">
        <v>0.10299999999999999</v>
      </c>
      <c r="P1295" s="507">
        <v>0.11799999999999999</v>
      </c>
      <c r="Q1295" s="78">
        <v>0.44</v>
      </c>
      <c r="R1295" s="78">
        <v>0.31740000000000002</v>
      </c>
      <c r="S1295" s="69">
        <v>0</v>
      </c>
      <c r="T1295" s="69">
        <v>0</v>
      </c>
      <c r="U1295" s="507">
        <v>0.85</v>
      </c>
      <c r="V1295" s="76">
        <v>0</v>
      </c>
      <c r="W1295" s="76">
        <v>0</v>
      </c>
      <c r="X1295" s="76"/>
      <c r="Y1295" s="519" t="s">
        <v>469</v>
      </c>
    </row>
    <row r="1296" spans="1:25" x14ac:dyDescent="0.25">
      <c r="A1296" s="75" t="str">
        <f t="shared" si="45"/>
        <v>Pago_de_Hipoteca PF No_Premier Normal Pago_Bajo_Puntual Si 14</v>
      </c>
      <c r="B1296" s="75" t="str">
        <f t="shared" si="44"/>
        <v>Pago_de_Hipoteca PF No_Premier Normal Pago_Bajo_Puntual Si 14 0.103</v>
      </c>
      <c r="C1296" s="75" t="s">
        <v>173</v>
      </c>
      <c r="D1296" s="75" t="s">
        <v>132</v>
      </c>
      <c r="E1296" s="75" t="s">
        <v>179</v>
      </c>
      <c r="F1296" s="75" t="s">
        <v>180</v>
      </c>
      <c r="G1296" s="75"/>
      <c r="H1296" s="75"/>
      <c r="I1296" s="75" t="s">
        <v>170</v>
      </c>
      <c r="J1296" s="76">
        <v>14</v>
      </c>
      <c r="K1296" s="519" t="s">
        <v>387</v>
      </c>
      <c r="L1296" s="520">
        <v>10.46</v>
      </c>
      <c r="M1296" s="520">
        <v>11.12</v>
      </c>
      <c r="N1296" s="507">
        <v>0.10299999999999999</v>
      </c>
      <c r="O1296" s="507">
        <v>0.1</v>
      </c>
      <c r="P1296" s="507">
        <v>0.112</v>
      </c>
      <c r="Q1296" s="78">
        <v>0.44</v>
      </c>
      <c r="R1296" s="78">
        <v>0.31740000000000002</v>
      </c>
      <c r="S1296" s="69">
        <v>0</v>
      </c>
      <c r="T1296" s="69">
        <v>0</v>
      </c>
      <c r="U1296" s="507">
        <v>0.85</v>
      </c>
      <c r="V1296" s="76">
        <v>0</v>
      </c>
      <c r="W1296" s="76">
        <v>0</v>
      </c>
      <c r="X1296" s="76" t="s">
        <v>147</v>
      </c>
      <c r="Y1296" s="519" t="s">
        <v>469</v>
      </c>
    </row>
    <row r="1297" spans="1:25" x14ac:dyDescent="0.25">
      <c r="A1297" s="75" t="str">
        <f t="shared" si="45"/>
        <v>Pago_de_Hipoteca PF No_Premier Normal Pago_Bajo_Puntual 14</v>
      </c>
      <c r="B1297" s="75" t="str">
        <f t="shared" si="44"/>
        <v>Pago_de_Hipoteca PF No_Premier Normal Pago_Bajo_Puntual 14 0.106</v>
      </c>
      <c r="C1297" s="75" t="s">
        <v>173</v>
      </c>
      <c r="D1297" s="75" t="s">
        <v>132</v>
      </c>
      <c r="E1297" s="75" t="s">
        <v>179</v>
      </c>
      <c r="F1297" s="75" t="s">
        <v>180</v>
      </c>
      <c r="G1297" s="75"/>
      <c r="H1297" s="75"/>
      <c r="I1297" s="75" t="s">
        <v>170</v>
      </c>
      <c r="J1297" s="76">
        <v>14</v>
      </c>
      <c r="K1297" s="519">
        <v>3</v>
      </c>
      <c r="L1297" s="520">
        <v>10.66</v>
      </c>
      <c r="M1297" s="520">
        <v>11.32</v>
      </c>
      <c r="N1297" s="507">
        <v>0.106</v>
      </c>
      <c r="O1297" s="507">
        <v>0.10299999999999999</v>
      </c>
      <c r="P1297" s="507">
        <v>0.11799999999999999</v>
      </c>
      <c r="Q1297" s="78">
        <v>0.44</v>
      </c>
      <c r="R1297" s="78">
        <v>0.31740000000000002</v>
      </c>
      <c r="S1297" s="69">
        <v>0</v>
      </c>
      <c r="T1297" s="69">
        <v>0</v>
      </c>
      <c r="U1297" s="507">
        <v>0.85</v>
      </c>
      <c r="V1297" s="76">
        <v>0</v>
      </c>
      <c r="W1297" s="76">
        <v>0</v>
      </c>
      <c r="X1297" s="76"/>
      <c r="Y1297" s="519" t="s">
        <v>469</v>
      </c>
    </row>
    <row r="1298" spans="1:25" x14ac:dyDescent="0.25">
      <c r="A1298" s="75" t="str">
        <f t="shared" si="45"/>
        <v>Pago_de_Hipoteca PF No_Premier Normal Pago_Bajo_Puntual Si 13</v>
      </c>
      <c r="B1298" s="75" t="str">
        <f t="shared" si="44"/>
        <v>Pago_de_Hipoteca PF No_Premier Normal Pago_Bajo_Puntual Si 13 0.103</v>
      </c>
      <c r="C1298" s="75" t="s">
        <v>173</v>
      </c>
      <c r="D1298" s="75" t="s">
        <v>132</v>
      </c>
      <c r="E1298" s="75" t="s">
        <v>179</v>
      </c>
      <c r="F1298" s="75" t="s">
        <v>180</v>
      </c>
      <c r="G1298" s="75"/>
      <c r="H1298" s="75"/>
      <c r="I1298" s="75" t="s">
        <v>170</v>
      </c>
      <c r="J1298" s="76">
        <v>13</v>
      </c>
      <c r="K1298" s="519" t="s">
        <v>387</v>
      </c>
      <c r="L1298" s="520">
        <v>10.86</v>
      </c>
      <c r="M1298" s="520">
        <v>11.52</v>
      </c>
      <c r="N1298" s="507">
        <v>0.10299999999999999</v>
      </c>
      <c r="O1298" s="507">
        <v>0.1</v>
      </c>
      <c r="P1298" s="507">
        <v>0.112</v>
      </c>
      <c r="Q1298" s="78">
        <v>0.44</v>
      </c>
      <c r="R1298" s="78">
        <v>0.31740000000000002</v>
      </c>
      <c r="S1298" s="69">
        <v>0</v>
      </c>
      <c r="T1298" s="69">
        <v>0</v>
      </c>
      <c r="U1298" s="507">
        <v>0.85</v>
      </c>
      <c r="V1298" s="76">
        <v>0</v>
      </c>
      <c r="W1298" s="76">
        <v>0</v>
      </c>
      <c r="X1298" s="76" t="s">
        <v>147</v>
      </c>
      <c r="Y1298" s="519" t="s">
        <v>469</v>
      </c>
    </row>
    <row r="1299" spans="1:25" x14ac:dyDescent="0.25">
      <c r="A1299" s="75" t="str">
        <f t="shared" si="45"/>
        <v>Pago_de_Hipoteca PF No_Premier Normal Pago_Bajo_Puntual 13</v>
      </c>
      <c r="B1299" s="75" t="str">
        <f t="shared" si="44"/>
        <v>Pago_de_Hipoteca PF No_Premier Normal Pago_Bajo_Puntual 13 0.106</v>
      </c>
      <c r="C1299" s="75" t="s">
        <v>173</v>
      </c>
      <c r="D1299" s="75" t="s">
        <v>132</v>
      </c>
      <c r="E1299" s="75" t="s">
        <v>179</v>
      </c>
      <c r="F1299" s="75" t="s">
        <v>180</v>
      </c>
      <c r="G1299" s="75"/>
      <c r="H1299" s="75"/>
      <c r="I1299" s="75" t="s">
        <v>170</v>
      </c>
      <c r="J1299" s="76">
        <v>13</v>
      </c>
      <c r="K1299" s="519">
        <v>3</v>
      </c>
      <c r="L1299" s="520">
        <v>11.05</v>
      </c>
      <c r="M1299" s="520">
        <v>11.71</v>
      </c>
      <c r="N1299" s="507">
        <v>0.106</v>
      </c>
      <c r="O1299" s="507">
        <v>0.10299999999999999</v>
      </c>
      <c r="P1299" s="507">
        <v>0.11799999999999999</v>
      </c>
      <c r="Q1299" s="78">
        <v>0.44</v>
      </c>
      <c r="R1299" s="78">
        <v>0.31740000000000002</v>
      </c>
      <c r="S1299" s="69">
        <v>0</v>
      </c>
      <c r="T1299" s="69">
        <v>0</v>
      </c>
      <c r="U1299" s="507">
        <v>0.85</v>
      </c>
      <c r="V1299" s="76">
        <v>0</v>
      </c>
      <c r="W1299" s="76">
        <v>0</v>
      </c>
      <c r="X1299" s="76"/>
      <c r="Y1299" s="519" t="s">
        <v>469</v>
      </c>
    </row>
    <row r="1300" spans="1:25" x14ac:dyDescent="0.25">
      <c r="A1300" s="75" t="str">
        <f t="shared" si="45"/>
        <v>Pago_de_Hipoteca PF No_Premier Normal Pago_Bajo_Puntual Si 12</v>
      </c>
      <c r="B1300" s="75" t="str">
        <f t="shared" si="44"/>
        <v>Pago_de_Hipoteca PF No_Premier Normal Pago_Bajo_Puntual Si 12 0.103</v>
      </c>
      <c r="C1300" s="75" t="s">
        <v>173</v>
      </c>
      <c r="D1300" s="75" t="s">
        <v>132</v>
      </c>
      <c r="E1300" s="75" t="s">
        <v>179</v>
      </c>
      <c r="F1300" s="75" t="s">
        <v>180</v>
      </c>
      <c r="G1300" s="75"/>
      <c r="H1300" s="75"/>
      <c r="I1300" s="75" t="s">
        <v>170</v>
      </c>
      <c r="J1300" s="76">
        <v>12</v>
      </c>
      <c r="K1300" s="519" t="s">
        <v>387</v>
      </c>
      <c r="L1300" s="520">
        <v>11.34</v>
      </c>
      <c r="M1300" s="520">
        <v>12</v>
      </c>
      <c r="N1300" s="507">
        <v>0.10299999999999999</v>
      </c>
      <c r="O1300" s="507">
        <v>0.1</v>
      </c>
      <c r="P1300" s="507">
        <v>0.112</v>
      </c>
      <c r="Q1300" s="78">
        <v>0.44</v>
      </c>
      <c r="R1300" s="78">
        <v>0.31740000000000002</v>
      </c>
      <c r="S1300" s="69">
        <v>0</v>
      </c>
      <c r="T1300" s="69">
        <v>0</v>
      </c>
      <c r="U1300" s="507">
        <v>0.85</v>
      </c>
      <c r="V1300" s="76">
        <v>0</v>
      </c>
      <c r="W1300" s="76">
        <v>0</v>
      </c>
      <c r="X1300" s="76" t="s">
        <v>147</v>
      </c>
      <c r="Y1300" s="519" t="s">
        <v>469</v>
      </c>
    </row>
    <row r="1301" spans="1:25" x14ac:dyDescent="0.25">
      <c r="A1301" s="75" t="str">
        <f t="shared" si="45"/>
        <v>Pago_de_Hipoteca PF No_Premier Normal Pago_Bajo_Puntual 12</v>
      </c>
      <c r="B1301" s="75" t="str">
        <f t="shared" si="44"/>
        <v>Pago_de_Hipoteca PF No_Premier Normal Pago_Bajo_Puntual 12 0.106</v>
      </c>
      <c r="C1301" s="75" t="s">
        <v>173</v>
      </c>
      <c r="D1301" s="75" t="s">
        <v>132</v>
      </c>
      <c r="E1301" s="75" t="s">
        <v>179</v>
      </c>
      <c r="F1301" s="75" t="s">
        <v>180</v>
      </c>
      <c r="G1301" s="75"/>
      <c r="H1301" s="75"/>
      <c r="I1301" s="75" t="s">
        <v>170</v>
      </c>
      <c r="J1301" s="76">
        <v>12</v>
      </c>
      <c r="K1301" s="519">
        <v>3</v>
      </c>
      <c r="L1301" s="520">
        <v>11.52</v>
      </c>
      <c r="M1301" s="520">
        <v>12.18</v>
      </c>
      <c r="N1301" s="507">
        <v>0.106</v>
      </c>
      <c r="O1301" s="507">
        <v>0.10299999999999999</v>
      </c>
      <c r="P1301" s="507">
        <v>0.11799999999999999</v>
      </c>
      <c r="Q1301" s="78">
        <v>0.44</v>
      </c>
      <c r="R1301" s="78">
        <v>0.31740000000000002</v>
      </c>
      <c r="S1301" s="69">
        <v>0</v>
      </c>
      <c r="T1301" s="69">
        <v>0</v>
      </c>
      <c r="U1301" s="507">
        <v>0.85</v>
      </c>
      <c r="V1301" s="76">
        <v>0</v>
      </c>
      <c r="W1301" s="76">
        <v>0</v>
      </c>
      <c r="X1301" s="76"/>
      <c r="Y1301" s="519" t="s">
        <v>469</v>
      </c>
    </row>
    <row r="1302" spans="1:25" x14ac:dyDescent="0.25">
      <c r="A1302" s="75" t="str">
        <f t="shared" si="45"/>
        <v>Pago_de_Hipoteca PF No_Premier Normal Pago_Bajo_Puntual Si 11</v>
      </c>
      <c r="B1302" s="75" t="str">
        <f t="shared" si="44"/>
        <v>Pago_de_Hipoteca PF No_Premier Normal Pago_Bajo_Puntual Si 11 0.103</v>
      </c>
      <c r="C1302" s="75" t="s">
        <v>173</v>
      </c>
      <c r="D1302" s="75" t="s">
        <v>132</v>
      </c>
      <c r="E1302" s="75" t="s">
        <v>179</v>
      </c>
      <c r="F1302" s="75" t="s">
        <v>180</v>
      </c>
      <c r="G1302" s="75"/>
      <c r="H1302" s="75"/>
      <c r="I1302" s="75" t="s">
        <v>170</v>
      </c>
      <c r="J1302" s="76">
        <v>11</v>
      </c>
      <c r="K1302" s="519" t="s">
        <v>387</v>
      </c>
      <c r="L1302" s="520">
        <v>11.92</v>
      </c>
      <c r="M1302" s="520">
        <v>12.58</v>
      </c>
      <c r="N1302" s="507">
        <v>0.10299999999999999</v>
      </c>
      <c r="O1302" s="507">
        <v>0.1</v>
      </c>
      <c r="P1302" s="507">
        <v>0.112</v>
      </c>
      <c r="Q1302" s="78">
        <v>0.44</v>
      </c>
      <c r="R1302" s="78">
        <v>0.31740000000000002</v>
      </c>
      <c r="S1302" s="69">
        <v>0</v>
      </c>
      <c r="T1302" s="69">
        <v>0</v>
      </c>
      <c r="U1302" s="507">
        <v>0.85</v>
      </c>
      <c r="V1302" s="76">
        <v>0</v>
      </c>
      <c r="W1302" s="76">
        <v>0</v>
      </c>
      <c r="X1302" s="76" t="s">
        <v>147</v>
      </c>
      <c r="Y1302" s="519" t="s">
        <v>469</v>
      </c>
    </row>
    <row r="1303" spans="1:25" x14ac:dyDescent="0.25">
      <c r="A1303" s="75" t="str">
        <f t="shared" si="45"/>
        <v>Pago_de_Hipoteca PF No_Premier Normal Pago_Bajo_Puntual 11</v>
      </c>
      <c r="B1303" s="75" t="str">
        <f t="shared" si="44"/>
        <v>Pago_de_Hipoteca PF No_Premier Normal Pago_Bajo_Puntual 11 0.106</v>
      </c>
      <c r="C1303" s="75" t="s">
        <v>173</v>
      </c>
      <c r="D1303" s="75" t="s">
        <v>132</v>
      </c>
      <c r="E1303" s="75" t="s">
        <v>179</v>
      </c>
      <c r="F1303" s="75" t="s">
        <v>180</v>
      </c>
      <c r="G1303" s="75"/>
      <c r="H1303" s="75"/>
      <c r="I1303" s="75" t="s">
        <v>170</v>
      </c>
      <c r="J1303" s="76">
        <v>11</v>
      </c>
      <c r="K1303" s="519">
        <v>3</v>
      </c>
      <c r="L1303" s="520">
        <v>12.09</v>
      </c>
      <c r="M1303" s="520">
        <v>12.75</v>
      </c>
      <c r="N1303" s="507">
        <v>0.106</v>
      </c>
      <c r="O1303" s="507">
        <v>0.10299999999999999</v>
      </c>
      <c r="P1303" s="507">
        <v>0.11799999999999999</v>
      </c>
      <c r="Q1303" s="78">
        <v>0.44</v>
      </c>
      <c r="R1303" s="78">
        <v>0.31740000000000002</v>
      </c>
      <c r="S1303" s="69">
        <v>0</v>
      </c>
      <c r="T1303" s="69">
        <v>0</v>
      </c>
      <c r="U1303" s="507">
        <v>0.85</v>
      </c>
      <c r="V1303" s="76">
        <v>0</v>
      </c>
      <c r="W1303" s="76">
        <v>0</v>
      </c>
      <c r="X1303" s="76"/>
      <c r="Y1303" s="519" t="s">
        <v>469</v>
      </c>
    </row>
    <row r="1304" spans="1:25" x14ac:dyDescent="0.25">
      <c r="A1304" s="75" t="str">
        <f t="shared" si="45"/>
        <v>Pago_de_Hipoteca PF No_Premier Normal Pago_Bajo_Puntual Si 10</v>
      </c>
      <c r="B1304" s="75" t="str">
        <f t="shared" si="44"/>
        <v>Pago_de_Hipoteca PF No_Premier Normal Pago_Bajo_Puntual Si 10 0.103</v>
      </c>
      <c r="C1304" s="75" t="s">
        <v>173</v>
      </c>
      <c r="D1304" s="75" t="s">
        <v>132</v>
      </c>
      <c r="E1304" s="75" t="s">
        <v>179</v>
      </c>
      <c r="F1304" s="75" t="s">
        <v>180</v>
      </c>
      <c r="G1304" s="75"/>
      <c r="H1304" s="75"/>
      <c r="I1304" s="75" t="s">
        <v>170</v>
      </c>
      <c r="J1304" s="76">
        <v>10</v>
      </c>
      <c r="K1304" s="519" t="s">
        <v>387</v>
      </c>
      <c r="L1304" s="520">
        <v>12.62</v>
      </c>
      <c r="M1304" s="520">
        <v>13.28</v>
      </c>
      <c r="N1304" s="507">
        <v>0.10299999999999999</v>
      </c>
      <c r="O1304" s="507">
        <v>0.1</v>
      </c>
      <c r="P1304" s="507">
        <v>0.112</v>
      </c>
      <c r="Q1304" s="78">
        <v>0.44</v>
      </c>
      <c r="R1304" s="78">
        <v>0.31740000000000002</v>
      </c>
      <c r="S1304" s="69">
        <v>0</v>
      </c>
      <c r="T1304" s="69">
        <v>0</v>
      </c>
      <c r="U1304" s="507">
        <v>0.85</v>
      </c>
      <c r="V1304" s="76">
        <v>0</v>
      </c>
      <c r="W1304" s="76">
        <v>0</v>
      </c>
      <c r="X1304" s="76" t="s">
        <v>147</v>
      </c>
      <c r="Y1304" s="519" t="s">
        <v>469</v>
      </c>
    </row>
    <row r="1305" spans="1:25" x14ac:dyDescent="0.25">
      <c r="A1305" s="75" t="str">
        <f t="shared" si="45"/>
        <v>Pago_de_Hipoteca PF No_Premier Normal Pago_Bajo_Puntual 10</v>
      </c>
      <c r="B1305" s="75" t="str">
        <f t="shared" si="44"/>
        <v>Pago_de_Hipoteca PF No_Premier Normal Pago_Bajo_Puntual 10 0.106</v>
      </c>
      <c r="C1305" s="75" t="s">
        <v>173</v>
      </c>
      <c r="D1305" s="75" t="s">
        <v>132</v>
      </c>
      <c r="E1305" s="75" t="s">
        <v>179</v>
      </c>
      <c r="F1305" s="75" t="s">
        <v>180</v>
      </c>
      <c r="G1305" s="75"/>
      <c r="H1305" s="75"/>
      <c r="I1305" s="75" t="s">
        <v>170</v>
      </c>
      <c r="J1305" s="76">
        <v>10</v>
      </c>
      <c r="K1305" s="519">
        <v>3</v>
      </c>
      <c r="L1305" s="520">
        <v>12.78</v>
      </c>
      <c r="M1305" s="520">
        <v>13.44</v>
      </c>
      <c r="N1305" s="507">
        <v>0.106</v>
      </c>
      <c r="O1305" s="507">
        <v>0.10299999999999999</v>
      </c>
      <c r="P1305" s="507">
        <v>0.11799999999999999</v>
      </c>
      <c r="Q1305" s="78">
        <v>0.44</v>
      </c>
      <c r="R1305" s="78">
        <v>0.31740000000000002</v>
      </c>
      <c r="S1305" s="69">
        <v>0</v>
      </c>
      <c r="T1305" s="69">
        <v>0</v>
      </c>
      <c r="U1305" s="507">
        <v>0.85</v>
      </c>
      <c r="V1305" s="76">
        <v>0</v>
      </c>
      <c r="W1305" s="76">
        <v>0</v>
      </c>
      <c r="X1305" s="76"/>
      <c r="Y1305" s="519" t="s">
        <v>469</v>
      </c>
    </row>
    <row r="1306" spans="1:25" x14ac:dyDescent="0.25">
      <c r="A1306" s="75" t="str">
        <f t="shared" si="45"/>
        <v>Pago_de_Hipoteca PF No_Premier Normal Pago_Bajo_Puntual Si 9</v>
      </c>
      <c r="B1306" s="75" t="str">
        <f t="shared" si="44"/>
        <v>Pago_de_Hipoteca PF No_Premier Normal Pago_Bajo_Puntual Si 9 0.103</v>
      </c>
      <c r="C1306" s="75" t="s">
        <v>173</v>
      </c>
      <c r="D1306" s="75" t="s">
        <v>132</v>
      </c>
      <c r="E1306" s="75" t="s">
        <v>179</v>
      </c>
      <c r="F1306" s="75" t="s">
        <v>180</v>
      </c>
      <c r="G1306" s="75"/>
      <c r="H1306" s="75"/>
      <c r="I1306" s="75" t="s">
        <v>170</v>
      </c>
      <c r="J1306" s="76">
        <v>9</v>
      </c>
      <c r="K1306" s="519" t="s">
        <v>387</v>
      </c>
      <c r="L1306" s="520">
        <v>13.49</v>
      </c>
      <c r="M1306" s="520">
        <v>14.15</v>
      </c>
      <c r="N1306" s="507">
        <v>0.10299999999999999</v>
      </c>
      <c r="O1306" s="507">
        <v>0.1</v>
      </c>
      <c r="P1306" s="507">
        <v>0.112</v>
      </c>
      <c r="Q1306" s="78">
        <v>0.44</v>
      </c>
      <c r="R1306" s="78">
        <v>0.31740000000000002</v>
      </c>
      <c r="S1306" s="69">
        <v>0</v>
      </c>
      <c r="T1306" s="69">
        <v>0</v>
      </c>
      <c r="U1306" s="507">
        <v>0.85</v>
      </c>
      <c r="V1306" s="76">
        <v>0</v>
      </c>
      <c r="W1306" s="76">
        <v>0</v>
      </c>
      <c r="X1306" s="76" t="s">
        <v>147</v>
      </c>
      <c r="Y1306" s="519" t="s">
        <v>469</v>
      </c>
    </row>
    <row r="1307" spans="1:25" x14ac:dyDescent="0.25">
      <c r="A1307" s="75" t="str">
        <f t="shared" si="45"/>
        <v>Pago_de_Hipoteca PF No_Premier Normal Pago_Bajo_Puntual 9</v>
      </c>
      <c r="B1307" s="75" t="str">
        <f t="shared" si="44"/>
        <v>Pago_de_Hipoteca PF No_Premier Normal Pago_Bajo_Puntual 9 0.106</v>
      </c>
      <c r="C1307" s="75" t="s">
        <v>173</v>
      </c>
      <c r="D1307" s="75" t="s">
        <v>132</v>
      </c>
      <c r="E1307" s="75" t="s">
        <v>179</v>
      </c>
      <c r="F1307" s="75" t="s">
        <v>180</v>
      </c>
      <c r="G1307" s="75"/>
      <c r="H1307" s="75"/>
      <c r="I1307" s="75" t="s">
        <v>170</v>
      </c>
      <c r="J1307" s="76">
        <v>9</v>
      </c>
      <c r="K1307" s="519">
        <v>3</v>
      </c>
      <c r="L1307" s="520">
        <v>13.65</v>
      </c>
      <c r="M1307" s="520">
        <v>14.31</v>
      </c>
      <c r="N1307" s="507">
        <v>0.106</v>
      </c>
      <c r="O1307" s="507">
        <v>0.10299999999999999</v>
      </c>
      <c r="P1307" s="507">
        <v>0.11799999999999999</v>
      </c>
      <c r="Q1307" s="78">
        <v>0.44</v>
      </c>
      <c r="R1307" s="78">
        <v>0.31740000000000002</v>
      </c>
      <c r="S1307" s="69">
        <v>0</v>
      </c>
      <c r="T1307" s="69">
        <v>0</v>
      </c>
      <c r="U1307" s="507">
        <v>0.85</v>
      </c>
      <c r="V1307" s="76">
        <v>0</v>
      </c>
      <c r="W1307" s="76">
        <v>0</v>
      </c>
      <c r="X1307" s="76"/>
      <c r="Y1307" s="519" t="s">
        <v>469</v>
      </c>
    </row>
    <row r="1308" spans="1:25" x14ac:dyDescent="0.25">
      <c r="A1308" s="75" t="str">
        <f t="shared" si="45"/>
        <v>Pago_de_Hipoteca PF No_Premier Normal Pago_Bajo_Puntual Si 8</v>
      </c>
      <c r="B1308" s="75" t="str">
        <f t="shared" si="44"/>
        <v>Pago_de_Hipoteca PF No_Premier Normal Pago_Bajo_Puntual Si 8 0.103</v>
      </c>
      <c r="C1308" s="75" t="s">
        <v>173</v>
      </c>
      <c r="D1308" s="75" t="s">
        <v>132</v>
      </c>
      <c r="E1308" s="75" t="s">
        <v>179</v>
      </c>
      <c r="F1308" s="75" t="s">
        <v>180</v>
      </c>
      <c r="G1308" s="75"/>
      <c r="H1308" s="75"/>
      <c r="I1308" s="75" t="s">
        <v>170</v>
      </c>
      <c r="J1308" s="76">
        <v>8</v>
      </c>
      <c r="K1308" s="519" t="s">
        <v>387</v>
      </c>
      <c r="L1308" s="520">
        <v>14.59</v>
      </c>
      <c r="M1308" s="520">
        <v>15.25</v>
      </c>
      <c r="N1308" s="507">
        <v>0.10299999999999999</v>
      </c>
      <c r="O1308" s="507">
        <v>0.1</v>
      </c>
      <c r="P1308" s="507">
        <v>0.112</v>
      </c>
      <c r="Q1308" s="78">
        <v>0.44</v>
      </c>
      <c r="R1308" s="78">
        <v>0.31740000000000002</v>
      </c>
      <c r="S1308" s="69">
        <v>0</v>
      </c>
      <c r="T1308" s="69">
        <v>0</v>
      </c>
      <c r="U1308" s="507">
        <v>0.85</v>
      </c>
      <c r="V1308" s="76">
        <v>0</v>
      </c>
      <c r="W1308" s="76">
        <v>0</v>
      </c>
      <c r="X1308" s="76" t="s">
        <v>147</v>
      </c>
      <c r="Y1308" s="519" t="s">
        <v>469</v>
      </c>
    </row>
    <row r="1309" spans="1:25" x14ac:dyDescent="0.25">
      <c r="A1309" s="75" t="str">
        <f t="shared" si="45"/>
        <v>Pago_de_Hipoteca PF No_Premier Normal Pago_Bajo_Puntual 8</v>
      </c>
      <c r="B1309" s="75" t="str">
        <f t="shared" si="44"/>
        <v>Pago_de_Hipoteca PF No_Premier Normal Pago_Bajo_Puntual 8 0.106</v>
      </c>
      <c r="C1309" s="75" t="s">
        <v>173</v>
      </c>
      <c r="D1309" s="75" t="s">
        <v>132</v>
      </c>
      <c r="E1309" s="75" t="s">
        <v>179</v>
      </c>
      <c r="F1309" s="75" t="s">
        <v>180</v>
      </c>
      <c r="G1309" s="75"/>
      <c r="H1309" s="75"/>
      <c r="I1309" s="75" t="s">
        <v>170</v>
      </c>
      <c r="J1309" s="76">
        <v>8</v>
      </c>
      <c r="K1309" s="519">
        <v>3</v>
      </c>
      <c r="L1309" s="520">
        <v>14.74</v>
      </c>
      <c r="M1309" s="520">
        <v>15.4</v>
      </c>
      <c r="N1309" s="507">
        <v>0.106</v>
      </c>
      <c r="O1309" s="507">
        <v>0.10299999999999999</v>
      </c>
      <c r="P1309" s="507">
        <v>0.11799999999999999</v>
      </c>
      <c r="Q1309" s="78">
        <v>0.44</v>
      </c>
      <c r="R1309" s="78">
        <v>0.31740000000000002</v>
      </c>
      <c r="S1309" s="69">
        <v>0</v>
      </c>
      <c r="T1309" s="69">
        <v>0</v>
      </c>
      <c r="U1309" s="507">
        <v>0.85</v>
      </c>
      <c r="V1309" s="76">
        <v>0</v>
      </c>
      <c r="W1309" s="76">
        <v>0</v>
      </c>
      <c r="X1309" s="76"/>
      <c r="Y1309" s="519" t="s">
        <v>469</v>
      </c>
    </row>
    <row r="1310" spans="1:25" x14ac:dyDescent="0.25">
      <c r="A1310" s="75" t="str">
        <f t="shared" si="45"/>
        <v>Pago_de_Hipoteca PF No_Premier Normal Pago_Bajo_Puntual Si 7</v>
      </c>
      <c r="B1310" s="75" t="str">
        <f t="shared" si="44"/>
        <v>Pago_de_Hipoteca PF No_Premier Normal Pago_Bajo_Puntual Si 7 0.103</v>
      </c>
      <c r="C1310" s="75" t="s">
        <v>173</v>
      </c>
      <c r="D1310" s="75" t="s">
        <v>132</v>
      </c>
      <c r="E1310" s="75" t="s">
        <v>179</v>
      </c>
      <c r="F1310" s="75" t="s">
        <v>180</v>
      </c>
      <c r="G1310" s="75"/>
      <c r="H1310" s="75"/>
      <c r="I1310" s="75" t="s">
        <v>170</v>
      </c>
      <c r="J1310" s="76">
        <v>7</v>
      </c>
      <c r="K1310" s="519" t="s">
        <v>387</v>
      </c>
      <c r="L1310" s="520">
        <v>16.03</v>
      </c>
      <c r="M1310" s="520">
        <v>16.690000000000001</v>
      </c>
      <c r="N1310" s="507">
        <v>0.10299999999999999</v>
      </c>
      <c r="O1310" s="507">
        <v>0.1</v>
      </c>
      <c r="P1310" s="507">
        <v>0.112</v>
      </c>
      <c r="Q1310" s="78">
        <v>0.44</v>
      </c>
      <c r="R1310" s="78">
        <v>0.31740000000000002</v>
      </c>
      <c r="S1310" s="69">
        <v>0</v>
      </c>
      <c r="T1310" s="69">
        <v>0</v>
      </c>
      <c r="U1310" s="507">
        <v>0.85</v>
      </c>
      <c r="V1310" s="76">
        <v>0</v>
      </c>
      <c r="W1310" s="76">
        <v>0</v>
      </c>
      <c r="X1310" s="76" t="s">
        <v>147</v>
      </c>
      <c r="Y1310" s="519" t="s">
        <v>469</v>
      </c>
    </row>
    <row r="1311" spans="1:25" x14ac:dyDescent="0.25">
      <c r="A1311" s="75" t="str">
        <f t="shared" si="45"/>
        <v>Pago_de_Hipoteca PF No_Premier Normal Pago_Bajo_Puntual 7</v>
      </c>
      <c r="B1311" s="75" t="str">
        <f t="shared" si="44"/>
        <v>Pago_de_Hipoteca PF No_Premier Normal Pago_Bajo_Puntual 7 0.106</v>
      </c>
      <c r="C1311" s="75" t="s">
        <v>173</v>
      </c>
      <c r="D1311" s="75" t="s">
        <v>132</v>
      </c>
      <c r="E1311" s="75" t="s">
        <v>179</v>
      </c>
      <c r="F1311" s="75" t="s">
        <v>180</v>
      </c>
      <c r="G1311" s="75"/>
      <c r="H1311" s="75"/>
      <c r="I1311" s="75" t="s">
        <v>170</v>
      </c>
      <c r="J1311" s="76">
        <v>7</v>
      </c>
      <c r="K1311" s="519">
        <v>3</v>
      </c>
      <c r="L1311" s="520">
        <v>16.18</v>
      </c>
      <c r="M1311" s="520">
        <v>16.84</v>
      </c>
      <c r="N1311" s="507">
        <v>0.106</v>
      </c>
      <c r="O1311" s="507">
        <v>0.10299999999999999</v>
      </c>
      <c r="P1311" s="507">
        <v>0.11799999999999999</v>
      </c>
      <c r="Q1311" s="78">
        <v>0.44</v>
      </c>
      <c r="R1311" s="78">
        <v>0.31740000000000002</v>
      </c>
      <c r="S1311" s="69">
        <v>0</v>
      </c>
      <c r="T1311" s="69">
        <v>0</v>
      </c>
      <c r="U1311" s="507">
        <v>0.85</v>
      </c>
      <c r="V1311" s="76">
        <v>0</v>
      </c>
      <c r="W1311" s="76">
        <v>0</v>
      </c>
      <c r="X1311" s="76"/>
      <c r="Y1311" s="519" t="s">
        <v>469</v>
      </c>
    </row>
    <row r="1312" spans="1:25" x14ac:dyDescent="0.25">
      <c r="A1312" s="75" t="str">
        <f t="shared" si="45"/>
        <v>Pago_de_Hipoteca PF No_Premier Normal Pago_Bajo_Puntual Si 6</v>
      </c>
      <c r="B1312" s="75" t="str">
        <f t="shared" si="44"/>
        <v>Pago_de_Hipoteca PF No_Premier Normal Pago_Bajo_Puntual Si 6 0.103</v>
      </c>
      <c r="C1312" s="75" t="s">
        <v>173</v>
      </c>
      <c r="D1312" s="75" t="s">
        <v>132</v>
      </c>
      <c r="E1312" s="75" t="s">
        <v>179</v>
      </c>
      <c r="F1312" s="75" t="s">
        <v>180</v>
      </c>
      <c r="G1312" s="75"/>
      <c r="H1312" s="75"/>
      <c r="I1312" s="75" t="s">
        <v>170</v>
      </c>
      <c r="J1312" s="76">
        <v>6</v>
      </c>
      <c r="K1312" s="519" t="s">
        <v>387</v>
      </c>
      <c r="L1312" s="520">
        <v>17.97</v>
      </c>
      <c r="M1312" s="520">
        <v>18.63</v>
      </c>
      <c r="N1312" s="507">
        <v>0.10299999999999999</v>
      </c>
      <c r="O1312" s="507">
        <v>0.1</v>
      </c>
      <c r="P1312" s="507">
        <v>0.112</v>
      </c>
      <c r="Q1312" s="78">
        <v>0.44</v>
      </c>
      <c r="R1312" s="78">
        <v>0.31740000000000002</v>
      </c>
      <c r="S1312" s="69">
        <v>0</v>
      </c>
      <c r="T1312" s="69">
        <v>0</v>
      </c>
      <c r="U1312" s="507">
        <v>0.85</v>
      </c>
      <c r="V1312" s="76">
        <v>0</v>
      </c>
      <c r="W1312" s="76">
        <v>0</v>
      </c>
      <c r="X1312" s="76" t="s">
        <v>147</v>
      </c>
      <c r="Y1312" s="519" t="s">
        <v>469</v>
      </c>
    </row>
    <row r="1313" spans="1:25" x14ac:dyDescent="0.25">
      <c r="A1313" s="75" t="str">
        <f t="shared" si="45"/>
        <v>Pago_de_Hipoteca PF No_Premier Normal Pago_Bajo_Puntual 6</v>
      </c>
      <c r="B1313" s="75" t="str">
        <f t="shared" si="44"/>
        <v>Pago_de_Hipoteca PF No_Premier Normal Pago_Bajo_Puntual 6 0.106</v>
      </c>
      <c r="C1313" s="75" t="s">
        <v>173</v>
      </c>
      <c r="D1313" s="75" t="s">
        <v>132</v>
      </c>
      <c r="E1313" s="75" t="s">
        <v>179</v>
      </c>
      <c r="F1313" s="75" t="s">
        <v>180</v>
      </c>
      <c r="G1313" s="75"/>
      <c r="H1313" s="75"/>
      <c r="I1313" s="75" t="s">
        <v>170</v>
      </c>
      <c r="J1313" s="76">
        <v>6</v>
      </c>
      <c r="K1313" s="519">
        <v>3</v>
      </c>
      <c r="L1313" s="520">
        <v>18.12</v>
      </c>
      <c r="M1313" s="520">
        <v>18.78</v>
      </c>
      <c r="N1313" s="507">
        <v>0.106</v>
      </c>
      <c r="O1313" s="507">
        <v>0.10299999999999999</v>
      </c>
      <c r="P1313" s="507">
        <v>0.11799999999999999</v>
      </c>
      <c r="Q1313" s="78">
        <v>0.44</v>
      </c>
      <c r="R1313" s="78">
        <v>0.31740000000000002</v>
      </c>
      <c r="S1313" s="69">
        <v>0</v>
      </c>
      <c r="T1313" s="69">
        <v>0</v>
      </c>
      <c r="U1313" s="507">
        <v>0.85</v>
      </c>
      <c r="V1313" s="76">
        <v>0</v>
      </c>
      <c r="W1313" s="76">
        <v>0</v>
      </c>
      <c r="X1313" s="76"/>
      <c r="Y1313" s="519" t="s">
        <v>469</v>
      </c>
    </row>
    <row r="1314" spans="1:25" x14ac:dyDescent="0.25">
      <c r="A1314" s="75" t="str">
        <f t="shared" si="45"/>
        <v>Pago_de_Hipoteca PF No_Premier Normal Pago_Bajo_Puntual Si 5</v>
      </c>
      <c r="B1314" s="75" t="str">
        <f t="shared" si="44"/>
        <v>Pago_de_Hipoteca PF No_Premier Normal Pago_Bajo_Puntual Si 5 0.103</v>
      </c>
      <c r="C1314" s="75" t="s">
        <v>173</v>
      </c>
      <c r="D1314" s="75" t="s">
        <v>132</v>
      </c>
      <c r="E1314" s="75" t="s">
        <v>179</v>
      </c>
      <c r="F1314" s="75" t="s">
        <v>180</v>
      </c>
      <c r="G1314" s="75"/>
      <c r="H1314" s="75"/>
      <c r="I1314" s="75" t="s">
        <v>170</v>
      </c>
      <c r="J1314" s="76">
        <v>5</v>
      </c>
      <c r="K1314" s="519" t="s">
        <v>387</v>
      </c>
      <c r="L1314" s="520">
        <v>20.72</v>
      </c>
      <c r="M1314" s="520">
        <v>21.38</v>
      </c>
      <c r="N1314" s="507">
        <v>0.10299999999999999</v>
      </c>
      <c r="O1314" s="507">
        <v>0.1</v>
      </c>
      <c r="P1314" s="507">
        <v>0.112</v>
      </c>
      <c r="Q1314" s="78">
        <v>0.44</v>
      </c>
      <c r="R1314" s="78">
        <v>0.31740000000000002</v>
      </c>
      <c r="S1314" s="69">
        <v>0</v>
      </c>
      <c r="T1314" s="69">
        <v>0</v>
      </c>
      <c r="U1314" s="507">
        <v>0.85</v>
      </c>
      <c r="V1314" s="76">
        <v>0</v>
      </c>
      <c r="W1314" s="76">
        <v>0</v>
      </c>
      <c r="X1314" s="76" t="s">
        <v>147</v>
      </c>
      <c r="Y1314" s="519" t="s">
        <v>469</v>
      </c>
    </row>
    <row r="1315" spans="1:25" x14ac:dyDescent="0.25">
      <c r="A1315" s="75" t="str">
        <f t="shared" si="45"/>
        <v>Pago_de_Hipoteca PF No_Premier Normal Pago_Bajo_Puntual 5</v>
      </c>
      <c r="B1315" s="75" t="str">
        <f t="shared" si="44"/>
        <v>Pago_de_Hipoteca PF No_Premier Normal Pago_Bajo_Puntual 5 0.106</v>
      </c>
      <c r="C1315" s="75" t="s">
        <v>173</v>
      </c>
      <c r="D1315" s="75" t="s">
        <v>132</v>
      </c>
      <c r="E1315" s="75" t="s">
        <v>179</v>
      </c>
      <c r="F1315" s="75" t="s">
        <v>180</v>
      </c>
      <c r="G1315" s="75"/>
      <c r="H1315" s="75"/>
      <c r="I1315" s="75" t="s">
        <v>170</v>
      </c>
      <c r="J1315" s="76">
        <v>5</v>
      </c>
      <c r="K1315" s="519">
        <v>3</v>
      </c>
      <c r="L1315" s="520">
        <v>20.86</v>
      </c>
      <c r="M1315" s="520">
        <v>21.52</v>
      </c>
      <c r="N1315" s="507">
        <v>0.106</v>
      </c>
      <c r="O1315" s="507">
        <v>0.10299999999999999</v>
      </c>
      <c r="P1315" s="507">
        <v>0.11799999999999999</v>
      </c>
      <c r="Q1315" s="78">
        <v>0.44</v>
      </c>
      <c r="R1315" s="78">
        <v>0.31740000000000002</v>
      </c>
      <c r="S1315" s="69">
        <v>0</v>
      </c>
      <c r="T1315" s="69">
        <v>0</v>
      </c>
      <c r="U1315" s="507">
        <v>0.85</v>
      </c>
      <c r="V1315" s="76">
        <v>0</v>
      </c>
      <c r="W1315" s="76">
        <v>0</v>
      </c>
      <c r="X1315" s="76"/>
      <c r="Y1315" s="519" t="s">
        <v>469</v>
      </c>
    </row>
    <row r="1316" spans="1:25" x14ac:dyDescent="0.25">
      <c r="A1316" s="75" t="str">
        <f t="shared" si="45"/>
        <v>Pago_de_Hipoteca PF No_Premier Normal Pago_Fijo_Puntual 20</v>
      </c>
      <c r="B1316" s="75" t="str">
        <f t="shared" si="44"/>
        <v>Pago_de_Hipoteca PF No_Premier Normal Pago_Fijo_Puntual 20 0.0965</v>
      </c>
      <c r="C1316" s="75" t="s">
        <v>173</v>
      </c>
      <c r="D1316" s="75" t="s">
        <v>132</v>
      </c>
      <c r="E1316" s="75" t="s">
        <v>179</v>
      </c>
      <c r="F1316" s="75" t="s">
        <v>180</v>
      </c>
      <c r="G1316" s="75"/>
      <c r="H1316" s="75"/>
      <c r="I1316" s="75" t="s">
        <v>171</v>
      </c>
      <c r="J1316" s="76">
        <v>20</v>
      </c>
      <c r="K1316" s="516" t="s">
        <v>385</v>
      </c>
      <c r="L1316" s="517">
        <v>9.66</v>
      </c>
      <c r="M1316" s="517">
        <v>10.32</v>
      </c>
      <c r="N1316" s="518">
        <v>9.6500000000000002E-2</v>
      </c>
      <c r="O1316" s="518">
        <v>9.1999999999999998E-2</v>
      </c>
      <c r="P1316" s="518">
        <v>0.10249999999999999</v>
      </c>
      <c r="Q1316" s="78">
        <v>0.44</v>
      </c>
      <c r="R1316" s="78">
        <v>0.31740000000000002</v>
      </c>
      <c r="S1316" s="69">
        <v>0</v>
      </c>
      <c r="T1316" s="69">
        <v>0</v>
      </c>
      <c r="U1316" s="518">
        <v>0.7</v>
      </c>
      <c r="V1316" s="76">
        <v>0</v>
      </c>
      <c r="W1316" s="76">
        <v>0</v>
      </c>
      <c r="X1316" s="76"/>
      <c r="Y1316" s="516" t="s">
        <v>470</v>
      </c>
    </row>
    <row r="1317" spans="1:25" x14ac:dyDescent="0.25">
      <c r="A1317" s="75" t="str">
        <f t="shared" si="45"/>
        <v>Pago_de_Hipoteca PF No_Premier Normal Pago_Fijo_Puntual 20</v>
      </c>
      <c r="B1317" s="75" t="str">
        <f t="shared" si="44"/>
        <v>Pago_de_Hipoteca PF No_Premier Normal Pago_Fijo_Puntual 20 0.103</v>
      </c>
      <c r="C1317" s="75" t="s">
        <v>173</v>
      </c>
      <c r="D1317" s="75" t="s">
        <v>132</v>
      </c>
      <c r="E1317" s="75" t="s">
        <v>179</v>
      </c>
      <c r="F1317" s="75" t="s">
        <v>180</v>
      </c>
      <c r="G1317" s="75"/>
      <c r="H1317" s="75"/>
      <c r="I1317" s="75" t="s">
        <v>171</v>
      </c>
      <c r="J1317" s="76">
        <v>20</v>
      </c>
      <c r="K1317" s="516" t="s">
        <v>386</v>
      </c>
      <c r="L1317" s="517">
        <v>10.16</v>
      </c>
      <c r="M1317" s="517">
        <v>10.82</v>
      </c>
      <c r="N1317" s="518">
        <v>0.10299999999999999</v>
      </c>
      <c r="O1317" s="518">
        <v>0.1</v>
      </c>
      <c r="P1317" s="518">
        <v>0.112</v>
      </c>
      <c r="Q1317" s="78">
        <v>0.44</v>
      </c>
      <c r="R1317" s="78">
        <v>0.31740000000000002</v>
      </c>
      <c r="S1317" s="69">
        <v>0</v>
      </c>
      <c r="T1317" s="69">
        <v>0</v>
      </c>
      <c r="U1317" s="518">
        <v>0.7</v>
      </c>
      <c r="V1317" s="76">
        <v>0</v>
      </c>
      <c r="W1317" s="76">
        <v>0</v>
      </c>
      <c r="X1317" s="76"/>
      <c r="Y1317" s="516" t="s">
        <v>470</v>
      </c>
    </row>
    <row r="1318" spans="1:25" x14ac:dyDescent="0.25">
      <c r="A1318" s="75" t="str">
        <f t="shared" si="45"/>
        <v>Pago_de_Hipoteca PF No_Premier Normal Pago_Fijo_Puntual 19</v>
      </c>
      <c r="B1318" s="75" t="str">
        <f t="shared" ref="B1318:B1381" si="46">CONCATENATE(A1318," ",N1318)</f>
        <v>Pago_de_Hipoteca PF No_Premier Normal Pago_Fijo_Puntual 19 0.0965</v>
      </c>
      <c r="C1318" s="75" t="s">
        <v>173</v>
      </c>
      <c r="D1318" s="75" t="s">
        <v>132</v>
      </c>
      <c r="E1318" s="75" t="s">
        <v>179</v>
      </c>
      <c r="F1318" s="75" t="s">
        <v>180</v>
      </c>
      <c r="G1318" s="75"/>
      <c r="H1318" s="75"/>
      <c r="I1318" s="75" t="s">
        <v>171</v>
      </c>
      <c r="J1318" s="76">
        <v>19</v>
      </c>
      <c r="K1318" s="516" t="s">
        <v>385</v>
      </c>
      <c r="L1318" s="517">
        <v>9.82</v>
      </c>
      <c r="M1318" s="517">
        <v>10.48</v>
      </c>
      <c r="N1318" s="518">
        <v>9.6500000000000002E-2</v>
      </c>
      <c r="O1318" s="518">
        <v>9.1999999999999998E-2</v>
      </c>
      <c r="P1318" s="518">
        <v>0.10249999999999999</v>
      </c>
      <c r="Q1318" s="78">
        <v>0.44</v>
      </c>
      <c r="R1318" s="78">
        <v>0.31740000000000002</v>
      </c>
      <c r="S1318" s="69">
        <v>0</v>
      </c>
      <c r="T1318" s="69">
        <v>0</v>
      </c>
      <c r="U1318" s="518">
        <v>0.7</v>
      </c>
      <c r="V1318" s="76">
        <v>0</v>
      </c>
      <c r="W1318" s="76">
        <v>0</v>
      </c>
      <c r="X1318" s="76"/>
      <c r="Y1318" s="516" t="s">
        <v>470</v>
      </c>
    </row>
    <row r="1319" spans="1:25" x14ac:dyDescent="0.25">
      <c r="A1319" s="75" t="str">
        <f t="shared" ref="A1319:A1382" si="47">TRIM(CONCATENATE(C1319," ",D1319," ",E1319," ",F1319," ",G1319," ",I1319," ",X1319," ",J1319))</f>
        <v>Pago_de_Hipoteca PF No_Premier Normal Pago_Fijo_Puntual 19</v>
      </c>
      <c r="B1319" s="75" t="str">
        <f t="shared" si="46"/>
        <v>Pago_de_Hipoteca PF No_Premier Normal Pago_Fijo_Puntual 19 0.103</v>
      </c>
      <c r="C1319" s="75" t="s">
        <v>173</v>
      </c>
      <c r="D1319" s="75" t="s">
        <v>132</v>
      </c>
      <c r="E1319" s="75" t="s">
        <v>179</v>
      </c>
      <c r="F1319" s="75" t="s">
        <v>180</v>
      </c>
      <c r="G1319" s="75"/>
      <c r="H1319" s="75"/>
      <c r="I1319" s="75" t="s">
        <v>171</v>
      </c>
      <c r="J1319" s="76">
        <v>19</v>
      </c>
      <c r="K1319" s="516" t="s">
        <v>386</v>
      </c>
      <c r="L1319" s="517">
        <v>10.3</v>
      </c>
      <c r="M1319" s="517">
        <v>10.96</v>
      </c>
      <c r="N1319" s="518">
        <v>0.10299999999999999</v>
      </c>
      <c r="O1319" s="518">
        <v>0.1</v>
      </c>
      <c r="P1319" s="518">
        <v>0.112</v>
      </c>
      <c r="Q1319" s="78">
        <v>0.44</v>
      </c>
      <c r="R1319" s="78">
        <v>0.31740000000000002</v>
      </c>
      <c r="S1319" s="69">
        <v>0</v>
      </c>
      <c r="T1319" s="69">
        <v>0</v>
      </c>
      <c r="U1319" s="518">
        <v>0.7</v>
      </c>
      <c r="V1319" s="76">
        <v>0</v>
      </c>
      <c r="W1319" s="76">
        <v>0</v>
      </c>
      <c r="X1319" s="76"/>
      <c r="Y1319" s="516" t="s">
        <v>470</v>
      </c>
    </row>
    <row r="1320" spans="1:25" x14ac:dyDescent="0.25">
      <c r="A1320" s="75" t="str">
        <f t="shared" si="47"/>
        <v>Pago_de_Hipoteca PF No_Premier Normal Pago_Fijo_Puntual 18</v>
      </c>
      <c r="B1320" s="75" t="str">
        <f t="shared" si="46"/>
        <v>Pago_de_Hipoteca PF No_Premier Normal Pago_Fijo_Puntual 18 0.0965</v>
      </c>
      <c r="C1320" s="75" t="s">
        <v>173</v>
      </c>
      <c r="D1320" s="75" t="s">
        <v>132</v>
      </c>
      <c r="E1320" s="75" t="s">
        <v>179</v>
      </c>
      <c r="F1320" s="75" t="s">
        <v>180</v>
      </c>
      <c r="G1320" s="75"/>
      <c r="H1320" s="75"/>
      <c r="I1320" s="75" t="s">
        <v>171</v>
      </c>
      <c r="J1320" s="76">
        <v>18</v>
      </c>
      <c r="K1320" s="516" t="s">
        <v>385</v>
      </c>
      <c r="L1320" s="517">
        <v>10</v>
      </c>
      <c r="M1320" s="517">
        <v>10.66</v>
      </c>
      <c r="N1320" s="518">
        <v>9.6500000000000002E-2</v>
      </c>
      <c r="O1320" s="518">
        <v>9.1999999999999998E-2</v>
      </c>
      <c r="P1320" s="518">
        <v>0.10249999999999999</v>
      </c>
      <c r="Q1320" s="78">
        <v>0.44</v>
      </c>
      <c r="R1320" s="78">
        <v>0.31740000000000002</v>
      </c>
      <c r="S1320" s="69">
        <v>0</v>
      </c>
      <c r="T1320" s="69">
        <v>0</v>
      </c>
      <c r="U1320" s="518">
        <v>0.7</v>
      </c>
      <c r="V1320" s="76">
        <v>0</v>
      </c>
      <c r="W1320" s="76">
        <v>0</v>
      </c>
      <c r="X1320" s="76"/>
      <c r="Y1320" s="516" t="s">
        <v>470</v>
      </c>
    </row>
    <row r="1321" spans="1:25" x14ac:dyDescent="0.25">
      <c r="A1321" s="75" t="str">
        <f t="shared" si="47"/>
        <v>Pago_de_Hipoteca PF No_Premier Normal Pago_Fijo_Puntual 18</v>
      </c>
      <c r="B1321" s="75" t="str">
        <f t="shared" si="46"/>
        <v>Pago_de_Hipoteca PF No_Premier Normal Pago_Fijo_Puntual 18 0.103</v>
      </c>
      <c r="C1321" s="75" t="s">
        <v>173</v>
      </c>
      <c r="D1321" s="75" t="s">
        <v>132</v>
      </c>
      <c r="E1321" s="75" t="s">
        <v>179</v>
      </c>
      <c r="F1321" s="75" t="s">
        <v>180</v>
      </c>
      <c r="G1321" s="75"/>
      <c r="H1321" s="75"/>
      <c r="I1321" s="75" t="s">
        <v>171</v>
      </c>
      <c r="J1321" s="76">
        <v>18</v>
      </c>
      <c r="K1321" s="516" t="s">
        <v>386</v>
      </c>
      <c r="L1321" s="517">
        <v>10.47</v>
      </c>
      <c r="M1321" s="517">
        <v>11.13</v>
      </c>
      <c r="N1321" s="518">
        <v>0.10299999999999999</v>
      </c>
      <c r="O1321" s="518">
        <v>0.1</v>
      </c>
      <c r="P1321" s="518">
        <v>0.112</v>
      </c>
      <c r="Q1321" s="78">
        <v>0.44</v>
      </c>
      <c r="R1321" s="78">
        <v>0.31740000000000002</v>
      </c>
      <c r="S1321" s="69">
        <v>0</v>
      </c>
      <c r="T1321" s="69">
        <v>0</v>
      </c>
      <c r="U1321" s="518">
        <v>0.7</v>
      </c>
      <c r="V1321" s="76">
        <v>0</v>
      </c>
      <c r="W1321" s="76">
        <v>0</v>
      </c>
      <c r="X1321" s="76"/>
      <c r="Y1321" s="516" t="s">
        <v>470</v>
      </c>
    </row>
    <row r="1322" spans="1:25" x14ac:dyDescent="0.25">
      <c r="A1322" s="75" t="str">
        <f t="shared" si="47"/>
        <v>Pago_de_Hipoteca PF No_Premier Normal Pago_Fijo_Puntual 17</v>
      </c>
      <c r="B1322" s="75" t="str">
        <f t="shared" si="46"/>
        <v>Pago_de_Hipoteca PF No_Premier Normal Pago_Fijo_Puntual 17 0.0965</v>
      </c>
      <c r="C1322" s="75" t="s">
        <v>173</v>
      </c>
      <c r="D1322" s="75" t="s">
        <v>132</v>
      </c>
      <c r="E1322" s="75" t="s">
        <v>179</v>
      </c>
      <c r="F1322" s="75" t="s">
        <v>180</v>
      </c>
      <c r="G1322" s="75"/>
      <c r="H1322" s="75"/>
      <c r="I1322" s="75" t="s">
        <v>171</v>
      </c>
      <c r="J1322" s="76">
        <v>17</v>
      </c>
      <c r="K1322" s="516" t="s">
        <v>385</v>
      </c>
      <c r="L1322" s="517">
        <v>10.210000000000001</v>
      </c>
      <c r="M1322" s="517">
        <v>10.87</v>
      </c>
      <c r="N1322" s="518">
        <v>9.6500000000000002E-2</v>
      </c>
      <c r="O1322" s="518">
        <v>9.1999999999999998E-2</v>
      </c>
      <c r="P1322" s="518">
        <v>0.10249999999999999</v>
      </c>
      <c r="Q1322" s="78">
        <v>0.44</v>
      </c>
      <c r="R1322" s="78">
        <v>0.31740000000000002</v>
      </c>
      <c r="S1322" s="69">
        <v>0</v>
      </c>
      <c r="T1322" s="69">
        <v>0</v>
      </c>
      <c r="U1322" s="518">
        <v>0.7</v>
      </c>
      <c r="V1322" s="76">
        <v>0</v>
      </c>
      <c r="W1322" s="76">
        <v>0</v>
      </c>
      <c r="X1322" s="76"/>
      <c r="Y1322" s="516" t="s">
        <v>470</v>
      </c>
    </row>
    <row r="1323" spans="1:25" x14ac:dyDescent="0.25">
      <c r="A1323" s="75" t="str">
        <f t="shared" si="47"/>
        <v>Pago_de_Hipoteca PF No_Premier Normal Pago_Fijo_Puntual 17</v>
      </c>
      <c r="B1323" s="75" t="str">
        <f t="shared" si="46"/>
        <v>Pago_de_Hipoteca PF No_Premier Normal Pago_Fijo_Puntual 17 0.103</v>
      </c>
      <c r="C1323" s="75" t="s">
        <v>173</v>
      </c>
      <c r="D1323" s="75" t="s">
        <v>132</v>
      </c>
      <c r="E1323" s="75" t="s">
        <v>179</v>
      </c>
      <c r="F1323" s="75" t="s">
        <v>180</v>
      </c>
      <c r="G1323" s="75"/>
      <c r="H1323" s="75"/>
      <c r="I1323" s="75" t="s">
        <v>171</v>
      </c>
      <c r="J1323" s="76">
        <v>17</v>
      </c>
      <c r="K1323" s="516" t="s">
        <v>386</v>
      </c>
      <c r="L1323" s="517">
        <v>10.67</v>
      </c>
      <c r="M1323" s="517">
        <v>11.33</v>
      </c>
      <c r="N1323" s="518">
        <v>0.10299999999999999</v>
      </c>
      <c r="O1323" s="518">
        <v>0.1</v>
      </c>
      <c r="P1323" s="518">
        <v>0.112</v>
      </c>
      <c r="Q1323" s="78">
        <v>0.44</v>
      </c>
      <c r="R1323" s="78">
        <v>0.31740000000000002</v>
      </c>
      <c r="S1323" s="69">
        <v>0</v>
      </c>
      <c r="T1323" s="69">
        <v>0</v>
      </c>
      <c r="U1323" s="518">
        <v>0.7</v>
      </c>
      <c r="V1323" s="76">
        <v>0</v>
      </c>
      <c r="W1323" s="76">
        <v>0</v>
      </c>
      <c r="X1323" s="76"/>
      <c r="Y1323" s="516" t="s">
        <v>470</v>
      </c>
    </row>
    <row r="1324" spans="1:25" x14ac:dyDescent="0.25">
      <c r="A1324" s="75" t="str">
        <f t="shared" si="47"/>
        <v>Pago_de_Hipoteca PF No_Premier Normal Pago_Fijo_Puntual 16</v>
      </c>
      <c r="B1324" s="75" t="str">
        <f t="shared" si="46"/>
        <v>Pago_de_Hipoteca PF No_Premier Normal Pago_Fijo_Puntual 16 0.0965</v>
      </c>
      <c r="C1324" s="75" t="s">
        <v>173</v>
      </c>
      <c r="D1324" s="75" t="s">
        <v>132</v>
      </c>
      <c r="E1324" s="75" t="s">
        <v>179</v>
      </c>
      <c r="F1324" s="75" t="s">
        <v>180</v>
      </c>
      <c r="G1324" s="75"/>
      <c r="H1324" s="75"/>
      <c r="I1324" s="75" t="s">
        <v>171</v>
      </c>
      <c r="J1324" s="76">
        <v>16</v>
      </c>
      <c r="K1324" s="516" t="s">
        <v>385</v>
      </c>
      <c r="L1324" s="517">
        <v>10.45</v>
      </c>
      <c r="M1324" s="517">
        <v>11.11</v>
      </c>
      <c r="N1324" s="518">
        <v>9.6500000000000002E-2</v>
      </c>
      <c r="O1324" s="518">
        <v>9.1999999999999998E-2</v>
      </c>
      <c r="P1324" s="518">
        <v>0.10249999999999999</v>
      </c>
      <c r="Q1324" s="78">
        <v>0.44</v>
      </c>
      <c r="R1324" s="78">
        <v>0.31740000000000002</v>
      </c>
      <c r="S1324" s="69">
        <v>0</v>
      </c>
      <c r="T1324" s="69">
        <v>0</v>
      </c>
      <c r="U1324" s="518">
        <v>0.7</v>
      </c>
      <c r="V1324" s="76">
        <v>0</v>
      </c>
      <c r="W1324" s="76">
        <v>0</v>
      </c>
      <c r="X1324" s="76"/>
      <c r="Y1324" s="516" t="s">
        <v>470</v>
      </c>
    </row>
    <row r="1325" spans="1:25" x14ac:dyDescent="0.25">
      <c r="A1325" s="75" t="str">
        <f t="shared" si="47"/>
        <v>Pago_de_Hipoteca PF No_Premier Normal Pago_Fijo_Puntual 16</v>
      </c>
      <c r="B1325" s="75" t="str">
        <f t="shared" si="46"/>
        <v>Pago_de_Hipoteca PF No_Premier Normal Pago_Fijo_Puntual 16 0.103</v>
      </c>
      <c r="C1325" s="75" t="s">
        <v>173</v>
      </c>
      <c r="D1325" s="75" t="s">
        <v>132</v>
      </c>
      <c r="E1325" s="75" t="s">
        <v>179</v>
      </c>
      <c r="F1325" s="75" t="s">
        <v>180</v>
      </c>
      <c r="G1325" s="75"/>
      <c r="H1325" s="75"/>
      <c r="I1325" s="75" t="s">
        <v>171</v>
      </c>
      <c r="J1325" s="76">
        <v>16</v>
      </c>
      <c r="K1325" s="516" t="s">
        <v>386</v>
      </c>
      <c r="L1325" s="517">
        <v>10.9</v>
      </c>
      <c r="M1325" s="517">
        <v>11.56</v>
      </c>
      <c r="N1325" s="518">
        <v>0.10299999999999999</v>
      </c>
      <c r="O1325" s="518">
        <v>0.1</v>
      </c>
      <c r="P1325" s="518">
        <v>0.112</v>
      </c>
      <c r="Q1325" s="78">
        <v>0.44</v>
      </c>
      <c r="R1325" s="78">
        <v>0.31740000000000002</v>
      </c>
      <c r="S1325" s="69">
        <v>0</v>
      </c>
      <c r="T1325" s="69">
        <v>0</v>
      </c>
      <c r="U1325" s="518">
        <v>0.7</v>
      </c>
      <c r="V1325" s="76">
        <v>0</v>
      </c>
      <c r="W1325" s="76">
        <v>0</v>
      </c>
      <c r="X1325" s="76"/>
      <c r="Y1325" s="516" t="s">
        <v>470</v>
      </c>
    </row>
    <row r="1326" spans="1:25" x14ac:dyDescent="0.25">
      <c r="A1326" s="75" t="str">
        <f t="shared" si="47"/>
        <v>Pago_de_Hipoteca PF No_Premier Normal Pago_Fijo_Puntual 15</v>
      </c>
      <c r="B1326" s="75" t="str">
        <f t="shared" si="46"/>
        <v>Pago_de_Hipoteca PF No_Premier Normal Pago_Fijo_Puntual 15 0.0965</v>
      </c>
      <c r="C1326" s="75" t="s">
        <v>173</v>
      </c>
      <c r="D1326" s="75" t="s">
        <v>132</v>
      </c>
      <c r="E1326" s="75" t="s">
        <v>179</v>
      </c>
      <c r="F1326" s="75" t="s">
        <v>180</v>
      </c>
      <c r="G1326" s="75"/>
      <c r="H1326" s="75"/>
      <c r="I1326" s="75" t="s">
        <v>171</v>
      </c>
      <c r="J1326" s="76">
        <v>15</v>
      </c>
      <c r="K1326" s="516" t="s">
        <v>385</v>
      </c>
      <c r="L1326" s="517">
        <v>10.73</v>
      </c>
      <c r="M1326" s="517">
        <v>11.39</v>
      </c>
      <c r="N1326" s="518">
        <v>9.6500000000000002E-2</v>
      </c>
      <c r="O1326" s="518">
        <v>9.1999999999999998E-2</v>
      </c>
      <c r="P1326" s="518">
        <v>0.10249999999999999</v>
      </c>
      <c r="Q1326" s="78">
        <v>0.44</v>
      </c>
      <c r="R1326" s="78">
        <v>0.31740000000000002</v>
      </c>
      <c r="S1326" s="69">
        <v>0</v>
      </c>
      <c r="T1326" s="69">
        <v>0</v>
      </c>
      <c r="U1326" s="518">
        <v>0.7</v>
      </c>
      <c r="V1326" s="76">
        <v>0</v>
      </c>
      <c r="W1326" s="76">
        <v>0</v>
      </c>
      <c r="X1326" s="76"/>
      <c r="Y1326" s="516" t="s">
        <v>470</v>
      </c>
    </row>
    <row r="1327" spans="1:25" x14ac:dyDescent="0.25">
      <c r="A1327" s="75" t="str">
        <f t="shared" si="47"/>
        <v>Pago_de_Hipoteca PF No_Premier Normal Pago_Fijo_Puntual 15</v>
      </c>
      <c r="B1327" s="75" t="str">
        <f t="shared" si="46"/>
        <v>Pago_de_Hipoteca PF No_Premier Normal Pago_Fijo_Puntual 15 0.103</v>
      </c>
      <c r="C1327" s="75" t="s">
        <v>173</v>
      </c>
      <c r="D1327" s="75" t="s">
        <v>132</v>
      </c>
      <c r="E1327" s="75" t="s">
        <v>179</v>
      </c>
      <c r="F1327" s="75" t="s">
        <v>180</v>
      </c>
      <c r="G1327" s="75"/>
      <c r="H1327" s="75"/>
      <c r="I1327" s="75" t="s">
        <v>171</v>
      </c>
      <c r="J1327" s="76">
        <v>15</v>
      </c>
      <c r="K1327" s="516" t="s">
        <v>386</v>
      </c>
      <c r="L1327" s="517">
        <v>11.18</v>
      </c>
      <c r="M1327" s="517">
        <v>11.84</v>
      </c>
      <c r="N1327" s="518">
        <v>0.10299999999999999</v>
      </c>
      <c r="O1327" s="518">
        <v>0.1</v>
      </c>
      <c r="P1327" s="518">
        <v>0.112</v>
      </c>
      <c r="Q1327" s="78">
        <v>0.44</v>
      </c>
      <c r="R1327" s="78">
        <v>0.31740000000000002</v>
      </c>
      <c r="S1327" s="69">
        <v>0</v>
      </c>
      <c r="T1327" s="69">
        <v>0</v>
      </c>
      <c r="U1327" s="518">
        <v>0.7</v>
      </c>
      <c r="V1327" s="76">
        <v>0</v>
      </c>
      <c r="W1327" s="76">
        <v>0</v>
      </c>
      <c r="X1327" s="76"/>
      <c r="Y1327" s="516" t="s">
        <v>470</v>
      </c>
    </row>
    <row r="1328" spans="1:25" x14ac:dyDescent="0.25">
      <c r="A1328" s="75" t="str">
        <f t="shared" si="47"/>
        <v>Pago_de_Hipoteca PF No_Premier Normal Pago_Fijo_Puntual 14</v>
      </c>
      <c r="B1328" s="75" t="str">
        <f t="shared" si="46"/>
        <v>Pago_de_Hipoteca PF No_Premier Normal Pago_Fijo_Puntual 14 0.0965</v>
      </c>
      <c r="C1328" s="75" t="s">
        <v>173</v>
      </c>
      <c r="D1328" s="75" t="s">
        <v>132</v>
      </c>
      <c r="E1328" s="75" t="s">
        <v>179</v>
      </c>
      <c r="F1328" s="75" t="s">
        <v>180</v>
      </c>
      <c r="G1328" s="75"/>
      <c r="H1328" s="75"/>
      <c r="I1328" s="75" t="s">
        <v>171</v>
      </c>
      <c r="J1328" s="76">
        <v>14</v>
      </c>
      <c r="K1328" s="516" t="s">
        <v>385</v>
      </c>
      <c r="L1328" s="517">
        <v>11.06</v>
      </c>
      <c r="M1328" s="517">
        <v>11.72</v>
      </c>
      <c r="N1328" s="518">
        <v>9.6500000000000002E-2</v>
      </c>
      <c r="O1328" s="518">
        <v>9.1999999999999998E-2</v>
      </c>
      <c r="P1328" s="518">
        <v>0.10249999999999999</v>
      </c>
      <c r="Q1328" s="78">
        <v>0.44</v>
      </c>
      <c r="R1328" s="78">
        <v>0.31740000000000002</v>
      </c>
      <c r="S1328" s="69">
        <v>0</v>
      </c>
      <c r="T1328" s="69">
        <v>0</v>
      </c>
      <c r="U1328" s="518">
        <v>0.7</v>
      </c>
      <c r="V1328" s="76">
        <v>0</v>
      </c>
      <c r="W1328" s="76">
        <v>0</v>
      </c>
      <c r="X1328" s="76"/>
      <c r="Y1328" s="516" t="s">
        <v>470</v>
      </c>
    </row>
    <row r="1329" spans="1:25" x14ac:dyDescent="0.25">
      <c r="A1329" s="75" t="str">
        <f t="shared" si="47"/>
        <v>Pago_de_Hipoteca PF No_Premier Normal Pago_Fijo_Puntual 14</v>
      </c>
      <c r="B1329" s="75" t="str">
        <f t="shared" si="46"/>
        <v>Pago_de_Hipoteca PF No_Premier Normal Pago_Fijo_Puntual 14 0.103</v>
      </c>
      <c r="C1329" s="75" t="s">
        <v>173</v>
      </c>
      <c r="D1329" s="75" t="s">
        <v>132</v>
      </c>
      <c r="E1329" s="75" t="s">
        <v>179</v>
      </c>
      <c r="F1329" s="75" t="s">
        <v>180</v>
      </c>
      <c r="G1329" s="75"/>
      <c r="H1329" s="75"/>
      <c r="I1329" s="75" t="s">
        <v>171</v>
      </c>
      <c r="J1329" s="76">
        <v>14</v>
      </c>
      <c r="K1329" s="516" t="s">
        <v>386</v>
      </c>
      <c r="L1329" s="517">
        <v>11.49</v>
      </c>
      <c r="M1329" s="517">
        <v>12.15</v>
      </c>
      <c r="N1329" s="518">
        <v>0.10299999999999999</v>
      </c>
      <c r="O1329" s="518">
        <v>0.1</v>
      </c>
      <c r="P1329" s="518">
        <v>0.112</v>
      </c>
      <c r="Q1329" s="78">
        <v>0.44</v>
      </c>
      <c r="R1329" s="78">
        <v>0.31740000000000002</v>
      </c>
      <c r="S1329" s="69">
        <v>0</v>
      </c>
      <c r="T1329" s="69">
        <v>0</v>
      </c>
      <c r="U1329" s="518">
        <v>0.7</v>
      </c>
      <c r="V1329" s="76">
        <v>0</v>
      </c>
      <c r="W1329" s="76">
        <v>0</v>
      </c>
      <c r="X1329" s="76"/>
      <c r="Y1329" s="516" t="s">
        <v>470</v>
      </c>
    </row>
    <row r="1330" spans="1:25" x14ac:dyDescent="0.25">
      <c r="A1330" s="75" t="str">
        <f t="shared" si="47"/>
        <v>Pago_de_Hipoteca PF No_Premier Normal Pago_Fijo_Puntual 13</v>
      </c>
      <c r="B1330" s="75" t="str">
        <f t="shared" si="46"/>
        <v>Pago_de_Hipoteca PF No_Premier Normal Pago_Fijo_Puntual 13 0.0965</v>
      </c>
      <c r="C1330" s="75" t="s">
        <v>173</v>
      </c>
      <c r="D1330" s="75" t="s">
        <v>132</v>
      </c>
      <c r="E1330" s="75" t="s">
        <v>179</v>
      </c>
      <c r="F1330" s="75" t="s">
        <v>180</v>
      </c>
      <c r="G1330" s="75"/>
      <c r="H1330" s="75"/>
      <c r="I1330" s="75" t="s">
        <v>171</v>
      </c>
      <c r="J1330" s="76">
        <v>13</v>
      </c>
      <c r="K1330" s="516" t="s">
        <v>385</v>
      </c>
      <c r="L1330" s="517">
        <v>11.45</v>
      </c>
      <c r="M1330" s="517">
        <v>12.11</v>
      </c>
      <c r="N1330" s="518">
        <v>9.6500000000000002E-2</v>
      </c>
      <c r="O1330" s="518">
        <v>9.1999999999999998E-2</v>
      </c>
      <c r="P1330" s="518">
        <v>0.10249999999999999</v>
      </c>
      <c r="Q1330" s="78">
        <v>0.44</v>
      </c>
      <c r="R1330" s="78">
        <v>0.31740000000000002</v>
      </c>
      <c r="S1330" s="69">
        <v>0</v>
      </c>
      <c r="T1330" s="69">
        <v>0</v>
      </c>
      <c r="U1330" s="518">
        <v>0.7</v>
      </c>
      <c r="V1330" s="76">
        <v>0</v>
      </c>
      <c r="W1330" s="76">
        <v>0</v>
      </c>
      <c r="X1330" s="76"/>
      <c r="Y1330" s="516" t="s">
        <v>470</v>
      </c>
    </row>
    <row r="1331" spans="1:25" x14ac:dyDescent="0.25">
      <c r="A1331" s="75" t="str">
        <f t="shared" si="47"/>
        <v>Pago_de_Hipoteca PF No_Premier Normal Pago_Fijo_Puntual 13</v>
      </c>
      <c r="B1331" s="75" t="str">
        <f t="shared" si="46"/>
        <v>Pago_de_Hipoteca PF No_Premier Normal Pago_Fijo_Puntual 13 0.103</v>
      </c>
      <c r="C1331" s="75" t="s">
        <v>173</v>
      </c>
      <c r="D1331" s="75" t="s">
        <v>132</v>
      </c>
      <c r="E1331" s="75" t="s">
        <v>179</v>
      </c>
      <c r="F1331" s="75" t="s">
        <v>180</v>
      </c>
      <c r="G1331" s="75"/>
      <c r="H1331" s="75"/>
      <c r="I1331" s="75" t="s">
        <v>171</v>
      </c>
      <c r="J1331" s="76">
        <v>13</v>
      </c>
      <c r="K1331" s="516" t="s">
        <v>386</v>
      </c>
      <c r="L1331" s="517">
        <v>11.86</v>
      </c>
      <c r="M1331" s="517">
        <v>12.52</v>
      </c>
      <c r="N1331" s="518">
        <v>0.10299999999999999</v>
      </c>
      <c r="O1331" s="518">
        <v>0.1</v>
      </c>
      <c r="P1331" s="518">
        <v>0.112</v>
      </c>
      <c r="Q1331" s="78">
        <v>0.44</v>
      </c>
      <c r="R1331" s="78">
        <v>0.31740000000000002</v>
      </c>
      <c r="S1331" s="69">
        <v>0</v>
      </c>
      <c r="T1331" s="69">
        <v>0</v>
      </c>
      <c r="U1331" s="518">
        <v>0.7</v>
      </c>
      <c r="V1331" s="76">
        <v>0</v>
      </c>
      <c r="W1331" s="76">
        <v>0</v>
      </c>
      <c r="X1331" s="76"/>
      <c r="Y1331" s="516" t="s">
        <v>470</v>
      </c>
    </row>
    <row r="1332" spans="1:25" x14ac:dyDescent="0.25">
      <c r="A1332" s="75" t="str">
        <f t="shared" si="47"/>
        <v>Pago_de_Hipoteca PF No_Premier Normal Pago_Fijo_Puntual 12</v>
      </c>
      <c r="B1332" s="75" t="str">
        <f t="shared" si="46"/>
        <v>Pago_de_Hipoteca PF No_Premier Normal Pago_Fijo_Puntual 12 0.0965</v>
      </c>
      <c r="C1332" s="75" t="s">
        <v>173</v>
      </c>
      <c r="D1332" s="75" t="s">
        <v>132</v>
      </c>
      <c r="E1332" s="75" t="s">
        <v>179</v>
      </c>
      <c r="F1332" s="75" t="s">
        <v>180</v>
      </c>
      <c r="G1332" s="75"/>
      <c r="H1332" s="75"/>
      <c r="I1332" s="75" t="s">
        <v>171</v>
      </c>
      <c r="J1332" s="76">
        <v>12</v>
      </c>
      <c r="K1332" s="516" t="s">
        <v>385</v>
      </c>
      <c r="L1332" s="517">
        <v>11.91</v>
      </c>
      <c r="M1332" s="517">
        <v>12.57</v>
      </c>
      <c r="N1332" s="518">
        <v>9.6500000000000002E-2</v>
      </c>
      <c r="O1332" s="518">
        <v>9.1999999999999998E-2</v>
      </c>
      <c r="P1332" s="518">
        <v>0.10249999999999999</v>
      </c>
      <c r="Q1332" s="78">
        <v>0.44</v>
      </c>
      <c r="R1332" s="78">
        <v>0.31740000000000002</v>
      </c>
      <c r="S1332" s="69">
        <v>0</v>
      </c>
      <c r="T1332" s="69">
        <v>0</v>
      </c>
      <c r="U1332" s="518">
        <v>0.7</v>
      </c>
      <c r="V1332" s="76">
        <v>0</v>
      </c>
      <c r="W1332" s="76">
        <v>0</v>
      </c>
      <c r="X1332" s="76"/>
      <c r="Y1332" s="516" t="s">
        <v>470</v>
      </c>
    </row>
    <row r="1333" spans="1:25" x14ac:dyDescent="0.25">
      <c r="A1333" s="75" t="str">
        <f t="shared" si="47"/>
        <v>Pago_de_Hipoteca PF No_Premier Normal Pago_Fijo_Puntual 12</v>
      </c>
      <c r="B1333" s="75" t="str">
        <f t="shared" si="46"/>
        <v>Pago_de_Hipoteca PF No_Premier Normal Pago_Fijo_Puntual 12 0.103</v>
      </c>
      <c r="C1333" s="75" t="s">
        <v>173</v>
      </c>
      <c r="D1333" s="75" t="s">
        <v>132</v>
      </c>
      <c r="E1333" s="75" t="s">
        <v>179</v>
      </c>
      <c r="F1333" s="75" t="s">
        <v>180</v>
      </c>
      <c r="G1333" s="75"/>
      <c r="H1333" s="75"/>
      <c r="I1333" s="75" t="s">
        <v>171</v>
      </c>
      <c r="J1333" s="76">
        <v>12</v>
      </c>
      <c r="K1333" s="516" t="s">
        <v>386</v>
      </c>
      <c r="L1333" s="517">
        <v>12.31</v>
      </c>
      <c r="M1333" s="517">
        <v>12.97</v>
      </c>
      <c r="N1333" s="518">
        <v>0.10299999999999999</v>
      </c>
      <c r="O1333" s="518">
        <v>0.1</v>
      </c>
      <c r="P1333" s="518">
        <v>0.112</v>
      </c>
      <c r="Q1333" s="78">
        <v>0.44</v>
      </c>
      <c r="R1333" s="78">
        <v>0.31740000000000002</v>
      </c>
      <c r="S1333" s="69">
        <v>0</v>
      </c>
      <c r="T1333" s="69">
        <v>0</v>
      </c>
      <c r="U1333" s="518">
        <v>0.7</v>
      </c>
      <c r="V1333" s="76">
        <v>0</v>
      </c>
      <c r="W1333" s="76">
        <v>0</v>
      </c>
      <c r="X1333" s="76"/>
      <c r="Y1333" s="516" t="s">
        <v>470</v>
      </c>
    </row>
    <row r="1334" spans="1:25" x14ac:dyDescent="0.25">
      <c r="A1334" s="75" t="str">
        <f t="shared" si="47"/>
        <v>Pago_de_Hipoteca PF No_Premier Normal Pago_Fijo_Puntual 11</v>
      </c>
      <c r="B1334" s="75" t="str">
        <f t="shared" si="46"/>
        <v>Pago_de_Hipoteca PF No_Premier Normal Pago_Fijo_Puntual 11 0.0965</v>
      </c>
      <c r="C1334" s="75" t="s">
        <v>173</v>
      </c>
      <c r="D1334" s="75" t="s">
        <v>132</v>
      </c>
      <c r="E1334" s="75" t="s">
        <v>179</v>
      </c>
      <c r="F1334" s="75" t="s">
        <v>180</v>
      </c>
      <c r="G1334" s="75"/>
      <c r="H1334" s="75"/>
      <c r="I1334" s="75" t="s">
        <v>171</v>
      </c>
      <c r="J1334" s="76">
        <v>11</v>
      </c>
      <c r="K1334" s="516" t="s">
        <v>385</v>
      </c>
      <c r="L1334" s="517">
        <v>12.47</v>
      </c>
      <c r="M1334" s="517">
        <v>13.13</v>
      </c>
      <c r="N1334" s="518">
        <v>9.6500000000000002E-2</v>
      </c>
      <c r="O1334" s="518">
        <v>9.1999999999999998E-2</v>
      </c>
      <c r="P1334" s="518">
        <v>0.10249999999999999</v>
      </c>
      <c r="Q1334" s="78">
        <v>0.44</v>
      </c>
      <c r="R1334" s="78">
        <v>0.31740000000000002</v>
      </c>
      <c r="S1334" s="69">
        <v>0</v>
      </c>
      <c r="T1334" s="69">
        <v>0</v>
      </c>
      <c r="U1334" s="518">
        <v>0.7</v>
      </c>
      <c r="V1334" s="76">
        <v>0</v>
      </c>
      <c r="W1334" s="76">
        <v>0</v>
      </c>
      <c r="X1334" s="76"/>
      <c r="Y1334" s="516" t="s">
        <v>470</v>
      </c>
    </row>
    <row r="1335" spans="1:25" x14ac:dyDescent="0.25">
      <c r="A1335" s="75" t="str">
        <f t="shared" si="47"/>
        <v>Pago_de_Hipoteca PF No_Premier Normal Pago_Fijo_Puntual 11</v>
      </c>
      <c r="B1335" s="75" t="str">
        <f t="shared" si="46"/>
        <v>Pago_de_Hipoteca PF No_Premier Normal Pago_Fijo_Puntual 11 0.103</v>
      </c>
      <c r="C1335" s="75" t="s">
        <v>173</v>
      </c>
      <c r="D1335" s="75" t="s">
        <v>132</v>
      </c>
      <c r="E1335" s="75" t="s">
        <v>179</v>
      </c>
      <c r="F1335" s="75" t="s">
        <v>180</v>
      </c>
      <c r="G1335" s="75"/>
      <c r="H1335" s="75"/>
      <c r="I1335" s="75" t="s">
        <v>171</v>
      </c>
      <c r="J1335" s="76">
        <v>11</v>
      </c>
      <c r="K1335" s="516" t="s">
        <v>386</v>
      </c>
      <c r="L1335" s="517">
        <v>12.86</v>
      </c>
      <c r="M1335" s="517">
        <v>13.52</v>
      </c>
      <c r="N1335" s="518">
        <v>0.10299999999999999</v>
      </c>
      <c r="O1335" s="518">
        <v>0.1</v>
      </c>
      <c r="P1335" s="518">
        <v>0.112</v>
      </c>
      <c r="Q1335" s="78">
        <v>0.44</v>
      </c>
      <c r="R1335" s="78">
        <v>0.31740000000000002</v>
      </c>
      <c r="S1335" s="69">
        <v>0</v>
      </c>
      <c r="T1335" s="69">
        <v>0</v>
      </c>
      <c r="U1335" s="518">
        <v>0.7</v>
      </c>
      <c r="V1335" s="76">
        <v>0</v>
      </c>
      <c r="W1335" s="76">
        <v>0</v>
      </c>
      <c r="X1335" s="76"/>
      <c r="Y1335" s="516" t="s">
        <v>470</v>
      </c>
    </row>
    <row r="1336" spans="1:25" x14ac:dyDescent="0.25">
      <c r="A1336" s="75" t="str">
        <f t="shared" si="47"/>
        <v>Pago_de_Hipoteca PF No_Premier Normal Pago_Fijo_Puntual 10</v>
      </c>
      <c r="B1336" s="75" t="str">
        <f t="shared" si="46"/>
        <v>Pago_de_Hipoteca PF No_Premier Normal Pago_Fijo_Puntual 10 0.0965</v>
      </c>
      <c r="C1336" s="75" t="s">
        <v>173</v>
      </c>
      <c r="D1336" s="75" t="s">
        <v>132</v>
      </c>
      <c r="E1336" s="75" t="s">
        <v>179</v>
      </c>
      <c r="F1336" s="75" t="s">
        <v>180</v>
      </c>
      <c r="G1336" s="75"/>
      <c r="H1336" s="75"/>
      <c r="I1336" s="75" t="s">
        <v>171</v>
      </c>
      <c r="J1336" s="76">
        <v>10</v>
      </c>
      <c r="K1336" s="516" t="s">
        <v>385</v>
      </c>
      <c r="L1336" s="517">
        <v>13.16</v>
      </c>
      <c r="M1336" s="517">
        <v>13.82</v>
      </c>
      <c r="N1336" s="518">
        <v>9.6500000000000002E-2</v>
      </c>
      <c r="O1336" s="518">
        <v>9.1999999999999998E-2</v>
      </c>
      <c r="P1336" s="518">
        <v>0.10249999999999999</v>
      </c>
      <c r="Q1336" s="78">
        <v>0.44</v>
      </c>
      <c r="R1336" s="78">
        <v>0.31740000000000002</v>
      </c>
      <c r="S1336" s="69">
        <v>0</v>
      </c>
      <c r="T1336" s="69">
        <v>0</v>
      </c>
      <c r="U1336" s="518">
        <v>0.7</v>
      </c>
      <c r="V1336" s="76">
        <v>0</v>
      </c>
      <c r="W1336" s="76">
        <v>0</v>
      </c>
      <c r="X1336" s="76"/>
      <c r="Y1336" s="516" t="s">
        <v>470</v>
      </c>
    </row>
    <row r="1337" spans="1:25" x14ac:dyDescent="0.25">
      <c r="A1337" s="75" t="str">
        <f t="shared" si="47"/>
        <v>Pago_de_Hipoteca PF No_Premier Normal Pago_Fijo_Puntual 10</v>
      </c>
      <c r="B1337" s="75" t="str">
        <f t="shared" si="46"/>
        <v>Pago_de_Hipoteca PF No_Premier Normal Pago_Fijo_Puntual 10 0.103</v>
      </c>
      <c r="C1337" s="75" t="s">
        <v>173</v>
      </c>
      <c r="D1337" s="75" t="s">
        <v>132</v>
      </c>
      <c r="E1337" s="75" t="s">
        <v>179</v>
      </c>
      <c r="F1337" s="75" t="s">
        <v>180</v>
      </c>
      <c r="G1337" s="75"/>
      <c r="H1337" s="75"/>
      <c r="I1337" s="75" t="s">
        <v>171</v>
      </c>
      <c r="J1337" s="76">
        <v>10</v>
      </c>
      <c r="K1337" s="516" t="s">
        <v>386</v>
      </c>
      <c r="L1337" s="517">
        <v>13.54</v>
      </c>
      <c r="M1337" s="517">
        <v>14.2</v>
      </c>
      <c r="N1337" s="518">
        <v>0.10299999999999999</v>
      </c>
      <c r="O1337" s="518">
        <v>0.1</v>
      </c>
      <c r="P1337" s="518">
        <v>0.112</v>
      </c>
      <c r="Q1337" s="78">
        <v>0.44</v>
      </c>
      <c r="R1337" s="78">
        <v>0.31740000000000002</v>
      </c>
      <c r="S1337" s="69">
        <v>0</v>
      </c>
      <c r="T1337" s="69">
        <v>0</v>
      </c>
      <c r="U1337" s="518">
        <v>0.7</v>
      </c>
      <c r="V1337" s="76">
        <v>0</v>
      </c>
      <c r="W1337" s="76">
        <v>0</v>
      </c>
      <c r="X1337" s="76"/>
      <c r="Y1337" s="516" t="s">
        <v>470</v>
      </c>
    </row>
    <row r="1338" spans="1:25" x14ac:dyDescent="0.25">
      <c r="A1338" s="75" t="str">
        <f t="shared" si="47"/>
        <v>Pago_de_Hipoteca PF No_Premier Normal Pago_Fijo_Puntual 9</v>
      </c>
      <c r="B1338" s="75" t="str">
        <f t="shared" si="46"/>
        <v>Pago_de_Hipoteca PF No_Premier Normal Pago_Fijo_Puntual 9 0.0965</v>
      </c>
      <c r="C1338" s="75" t="s">
        <v>173</v>
      </c>
      <c r="D1338" s="75" t="s">
        <v>132</v>
      </c>
      <c r="E1338" s="75" t="s">
        <v>179</v>
      </c>
      <c r="F1338" s="75" t="s">
        <v>180</v>
      </c>
      <c r="G1338" s="75"/>
      <c r="H1338" s="75"/>
      <c r="I1338" s="75" t="s">
        <v>171</v>
      </c>
      <c r="J1338" s="76">
        <v>9</v>
      </c>
      <c r="K1338" s="516" t="s">
        <v>385</v>
      </c>
      <c r="L1338" s="517">
        <v>14.01</v>
      </c>
      <c r="M1338" s="517">
        <v>14.67</v>
      </c>
      <c r="N1338" s="518">
        <v>9.6500000000000002E-2</v>
      </c>
      <c r="O1338" s="518">
        <v>9.1999999999999998E-2</v>
      </c>
      <c r="P1338" s="518">
        <v>0.10249999999999999</v>
      </c>
      <c r="Q1338" s="78">
        <v>0.44</v>
      </c>
      <c r="R1338" s="78">
        <v>0.31740000000000002</v>
      </c>
      <c r="S1338" s="69">
        <v>0</v>
      </c>
      <c r="T1338" s="69">
        <v>0</v>
      </c>
      <c r="U1338" s="518">
        <v>0.7</v>
      </c>
      <c r="V1338" s="76">
        <v>0</v>
      </c>
      <c r="W1338" s="76">
        <v>0</v>
      </c>
      <c r="X1338" s="76"/>
      <c r="Y1338" s="516" t="s">
        <v>470</v>
      </c>
    </row>
    <row r="1339" spans="1:25" x14ac:dyDescent="0.25">
      <c r="A1339" s="75" t="str">
        <f t="shared" si="47"/>
        <v>Pago_de_Hipoteca PF No_Premier Normal Pago_Fijo_Puntual 9</v>
      </c>
      <c r="B1339" s="75" t="str">
        <f t="shared" si="46"/>
        <v>Pago_de_Hipoteca PF No_Premier Normal Pago_Fijo_Puntual 9 0.103</v>
      </c>
      <c r="C1339" s="75" t="s">
        <v>173</v>
      </c>
      <c r="D1339" s="75" t="s">
        <v>132</v>
      </c>
      <c r="E1339" s="75" t="s">
        <v>179</v>
      </c>
      <c r="F1339" s="75" t="s">
        <v>180</v>
      </c>
      <c r="G1339" s="75"/>
      <c r="H1339" s="75"/>
      <c r="I1339" s="75" t="s">
        <v>171</v>
      </c>
      <c r="J1339" s="76">
        <v>9</v>
      </c>
      <c r="K1339" s="516" t="s">
        <v>386</v>
      </c>
      <c r="L1339" s="517">
        <v>14.37</v>
      </c>
      <c r="M1339" s="517">
        <v>15.03</v>
      </c>
      <c r="N1339" s="518">
        <v>0.10299999999999999</v>
      </c>
      <c r="O1339" s="518">
        <v>0.1</v>
      </c>
      <c r="P1339" s="518">
        <v>0.112</v>
      </c>
      <c r="Q1339" s="78">
        <v>0.44</v>
      </c>
      <c r="R1339" s="78">
        <v>0.31740000000000002</v>
      </c>
      <c r="S1339" s="69">
        <v>0</v>
      </c>
      <c r="T1339" s="69">
        <v>0</v>
      </c>
      <c r="U1339" s="518">
        <v>0.7</v>
      </c>
      <c r="V1339" s="76">
        <v>0</v>
      </c>
      <c r="W1339" s="76">
        <v>0</v>
      </c>
      <c r="X1339" s="76"/>
      <c r="Y1339" s="516" t="s">
        <v>470</v>
      </c>
    </row>
    <row r="1340" spans="1:25" x14ac:dyDescent="0.25">
      <c r="A1340" s="75" t="str">
        <f t="shared" si="47"/>
        <v>Pago_de_Hipoteca PF No_Premier Normal Pago_Fijo_Puntual 8</v>
      </c>
      <c r="B1340" s="75" t="str">
        <f t="shared" si="46"/>
        <v>Pago_de_Hipoteca PF No_Premier Normal Pago_Fijo_Puntual 8 0.0965</v>
      </c>
      <c r="C1340" s="75" t="s">
        <v>173</v>
      </c>
      <c r="D1340" s="75" t="s">
        <v>132</v>
      </c>
      <c r="E1340" s="75" t="s">
        <v>179</v>
      </c>
      <c r="F1340" s="75" t="s">
        <v>180</v>
      </c>
      <c r="G1340" s="75"/>
      <c r="H1340" s="75"/>
      <c r="I1340" s="75" t="s">
        <v>171</v>
      </c>
      <c r="J1340" s="76">
        <v>8</v>
      </c>
      <c r="K1340" s="516" t="s">
        <v>385</v>
      </c>
      <c r="L1340" s="517">
        <v>15.09</v>
      </c>
      <c r="M1340" s="517">
        <v>15.75</v>
      </c>
      <c r="N1340" s="518">
        <v>9.6500000000000002E-2</v>
      </c>
      <c r="O1340" s="518">
        <v>9.1999999999999998E-2</v>
      </c>
      <c r="P1340" s="518">
        <v>0.10249999999999999</v>
      </c>
      <c r="Q1340" s="78">
        <v>0.44</v>
      </c>
      <c r="R1340" s="78">
        <v>0.31740000000000002</v>
      </c>
      <c r="S1340" s="69">
        <v>0</v>
      </c>
      <c r="T1340" s="69">
        <v>0</v>
      </c>
      <c r="U1340" s="518">
        <v>0.7</v>
      </c>
      <c r="V1340" s="76">
        <v>0</v>
      </c>
      <c r="W1340" s="76">
        <v>0</v>
      </c>
      <c r="X1340" s="76"/>
      <c r="Y1340" s="516" t="s">
        <v>470</v>
      </c>
    </row>
    <row r="1341" spans="1:25" x14ac:dyDescent="0.25">
      <c r="A1341" s="75" t="str">
        <f t="shared" si="47"/>
        <v>Pago_de_Hipoteca PF No_Premier Normal Pago_Fijo_Puntual 8</v>
      </c>
      <c r="B1341" s="75" t="str">
        <f t="shared" si="46"/>
        <v>Pago_de_Hipoteca PF No_Premier Normal Pago_Fijo_Puntual 8 0.103</v>
      </c>
      <c r="C1341" s="75" t="s">
        <v>173</v>
      </c>
      <c r="D1341" s="75" t="s">
        <v>132</v>
      </c>
      <c r="E1341" s="75" t="s">
        <v>179</v>
      </c>
      <c r="F1341" s="75" t="s">
        <v>180</v>
      </c>
      <c r="G1341" s="75"/>
      <c r="H1341" s="75"/>
      <c r="I1341" s="75" t="s">
        <v>171</v>
      </c>
      <c r="J1341" s="76">
        <v>8</v>
      </c>
      <c r="K1341" s="516" t="s">
        <v>386</v>
      </c>
      <c r="L1341" s="517">
        <v>15.44</v>
      </c>
      <c r="M1341" s="517">
        <v>16.100000000000001</v>
      </c>
      <c r="N1341" s="518">
        <v>0.10299999999999999</v>
      </c>
      <c r="O1341" s="518">
        <v>0.1</v>
      </c>
      <c r="P1341" s="518">
        <v>0.112</v>
      </c>
      <c r="Q1341" s="78">
        <v>0.44</v>
      </c>
      <c r="R1341" s="78">
        <v>0.31740000000000002</v>
      </c>
      <c r="S1341" s="69">
        <v>0</v>
      </c>
      <c r="T1341" s="69">
        <v>0</v>
      </c>
      <c r="U1341" s="518">
        <v>0.7</v>
      </c>
      <c r="V1341" s="76">
        <v>0</v>
      </c>
      <c r="W1341" s="76">
        <v>0</v>
      </c>
      <c r="X1341" s="76"/>
      <c r="Y1341" s="516" t="s">
        <v>470</v>
      </c>
    </row>
    <row r="1342" spans="1:25" x14ac:dyDescent="0.25">
      <c r="A1342" s="75" t="str">
        <f t="shared" si="47"/>
        <v>Pago_de_Hipoteca PF No_Premier Normal Pago_Fijo_Puntual 7</v>
      </c>
      <c r="B1342" s="75" t="str">
        <f t="shared" si="46"/>
        <v>Pago_de_Hipoteca PF No_Premier Normal Pago_Fijo_Puntual 7 0.0965</v>
      </c>
      <c r="C1342" s="75" t="s">
        <v>173</v>
      </c>
      <c r="D1342" s="75" t="s">
        <v>132</v>
      </c>
      <c r="E1342" s="75" t="s">
        <v>179</v>
      </c>
      <c r="F1342" s="75" t="s">
        <v>180</v>
      </c>
      <c r="G1342" s="75"/>
      <c r="H1342" s="75"/>
      <c r="I1342" s="75" t="s">
        <v>171</v>
      </c>
      <c r="J1342" s="76">
        <v>7</v>
      </c>
      <c r="K1342" s="516" t="s">
        <v>385</v>
      </c>
      <c r="L1342" s="517">
        <v>16.5</v>
      </c>
      <c r="M1342" s="517">
        <v>17.16</v>
      </c>
      <c r="N1342" s="518">
        <v>9.6500000000000002E-2</v>
      </c>
      <c r="O1342" s="518">
        <v>9.1999999999999998E-2</v>
      </c>
      <c r="P1342" s="518">
        <v>0.10249999999999999</v>
      </c>
      <c r="Q1342" s="78">
        <v>0.44</v>
      </c>
      <c r="R1342" s="78">
        <v>0.31740000000000002</v>
      </c>
      <c r="S1342" s="69">
        <v>0</v>
      </c>
      <c r="T1342" s="69">
        <v>0</v>
      </c>
      <c r="U1342" s="518">
        <v>0.7</v>
      </c>
      <c r="V1342" s="76">
        <v>0</v>
      </c>
      <c r="W1342" s="76">
        <v>0</v>
      </c>
      <c r="X1342" s="76"/>
      <c r="Y1342" s="516" t="s">
        <v>470</v>
      </c>
    </row>
    <row r="1343" spans="1:25" x14ac:dyDescent="0.25">
      <c r="A1343" s="75" t="str">
        <f t="shared" si="47"/>
        <v>Pago_de_Hipoteca PF No_Premier Normal Pago_Fijo_Puntual 7</v>
      </c>
      <c r="B1343" s="75" t="str">
        <f t="shared" si="46"/>
        <v>Pago_de_Hipoteca PF No_Premier Normal Pago_Fijo_Puntual 7 0.103</v>
      </c>
      <c r="C1343" s="75" t="s">
        <v>173</v>
      </c>
      <c r="D1343" s="75" t="s">
        <v>132</v>
      </c>
      <c r="E1343" s="75" t="s">
        <v>179</v>
      </c>
      <c r="F1343" s="75" t="s">
        <v>180</v>
      </c>
      <c r="G1343" s="75"/>
      <c r="H1343" s="75"/>
      <c r="I1343" s="75" t="s">
        <v>171</v>
      </c>
      <c r="J1343" s="76">
        <v>7</v>
      </c>
      <c r="K1343" s="516" t="s">
        <v>386</v>
      </c>
      <c r="L1343" s="517">
        <v>16.84</v>
      </c>
      <c r="M1343" s="517">
        <v>17.5</v>
      </c>
      <c r="N1343" s="518">
        <v>0.10299999999999999</v>
      </c>
      <c r="O1343" s="518">
        <v>0.1</v>
      </c>
      <c r="P1343" s="518">
        <v>0.112</v>
      </c>
      <c r="Q1343" s="78">
        <v>0.44</v>
      </c>
      <c r="R1343" s="78">
        <v>0.31740000000000002</v>
      </c>
      <c r="S1343" s="69">
        <v>0</v>
      </c>
      <c r="T1343" s="69">
        <v>0</v>
      </c>
      <c r="U1343" s="518">
        <v>0.7</v>
      </c>
      <c r="V1343" s="76">
        <v>0</v>
      </c>
      <c r="W1343" s="76">
        <v>0</v>
      </c>
      <c r="X1343" s="76"/>
      <c r="Y1343" s="516" t="s">
        <v>470</v>
      </c>
    </row>
    <row r="1344" spans="1:25" x14ac:dyDescent="0.25">
      <c r="A1344" s="75" t="str">
        <f t="shared" si="47"/>
        <v>Pago_de_Hipoteca PF No_Premier Normal Pago_Fijo_Puntual 6</v>
      </c>
      <c r="B1344" s="75" t="str">
        <f t="shared" si="46"/>
        <v>Pago_de_Hipoteca PF No_Premier Normal Pago_Fijo_Puntual 6 0.0965</v>
      </c>
      <c r="C1344" s="75" t="s">
        <v>173</v>
      </c>
      <c r="D1344" s="75" t="s">
        <v>132</v>
      </c>
      <c r="E1344" s="75" t="s">
        <v>179</v>
      </c>
      <c r="F1344" s="75" t="s">
        <v>180</v>
      </c>
      <c r="G1344" s="75"/>
      <c r="H1344" s="75"/>
      <c r="I1344" s="75" t="s">
        <v>171</v>
      </c>
      <c r="J1344" s="76">
        <v>6</v>
      </c>
      <c r="K1344" s="516" t="s">
        <v>385</v>
      </c>
      <c r="L1344" s="517">
        <v>18.41</v>
      </c>
      <c r="M1344" s="517">
        <v>19.07</v>
      </c>
      <c r="N1344" s="518">
        <v>9.6500000000000002E-2</v>
      </c>
      <c r="O1344" s="518">
        <v>9.1999999999999998E-2</v>
      </c>
      <c r="P1344" s="518">
        <v>0.10249999999999999</v>
      </c>
      <c r="Q1344" s="78">
        <v>0.44</v>
      </c>
      <c r="R1344" s="78">
        <v>0.31740000000000002</v>
      </c>
      <c r="S1344" s="69">
        <v>0</v>
      </c>
      <c r="T1344" s="69">
        <v>0</v>
      </c>
      <c r="U1344" s="518">
        <v>0.7</v>
      </c>
      <c r="V1344" s="76">
        <v>0</v>
      </c>
      <c r="W1344" s="76">
        <v>0</v>
      </c>
      <c r="X1344" s="76"/>
      <c r="Y1344" s="516" t="s">
        <v>470</v>
      </c>
    </row>
    <row r="1345" spans="1:25" x14ac:dyDescent="0.25">
      <c r="A1345" s="75" t="str">
        <f t="shared" si="47"/>
        <v>Pago_de_Hipoteca PF No_Premier Normal Pago_Fijo_Puntual 6</v>
      </c>
      <c r="B1345" s="75" t="str">
        <f t="shared" si="46"/>
        <v>Pago_de_Hipoteca PF No_Premier Normal Pago_Fijo_Puntual 6 0.103</v>
      </c>
      <c r="C1345" s="75" t="s">
        <v>173</v>
      </c>
      <c r="D1345" s="75" t="s">
        <v>132</v>
      </c>
      <c r="E1345" s="75" t="s">
        <v>179</v>
      </c>
      <c r="F1345" s="75" t="s">
        <v>180</v>
      </c>
      <c r="G1345" s="75"/>
      <c r="H1345" s="75"/>
      <c r="I1345" s="75" t="s">
        <v>171</v>
      </c>
      <c r="J1345" s="76">
        <v>6</v>
      </c>
      <c r="K1345" s="516" t="s">
        <v>386</v>
      </c>
      <c r="L1345" s="517">
        <v>18.739999999999998</v>
      </c>
      <c r="M1345" s="517">
        <v>19.399999999999999</v>
      </c>
      <c r="N1345" s="518">
        <v>0.10299999999999999</v>
      </c>
      <c r="O1345" s="518">
        <v>0.1</v>
      </c>
      <c r="P1345" s="518">
        <v>0.112</v>
      </c>
      <c r="Q1345" s="78">
        <v>0.44</v>
      </c>
      <c r="R1345" s="78">
        <v>0.31740000000000002</v>
      </c>
      <c r="S1345" s="69">
        <v>0</v>
      </c>
      <c r="T1345" s="69">
        <v>0</v>
      </c>
      <c r="U1345" s="518">
        <v>0.7</v>
      </c>
      <c r="V1345" s="76">
        <v>0</v>
      </c>
      <c r="W1345" s="76">
        <v>0</v>
      </c>
      <c r="X1345" s="76"/>
      <c r="Y1345" s="516" t="s">
        <v>470</v>
      </c>
    </row>
    <row r="1346" spans="1:25" x14ac:dyDescent="0.25">
      <c r="A1346" s="75" t="str">
        <f t="shared" si="47"/>
        <v>Pago_de_Hipoteca PF No_Premier Normal Pago_Fijo_Puntual 5</v>
      </c>
      <c r="B1346" s="75" t="str">
        <f t="shared" si="46"/>
        <v>Pago_de_Hipoteca PF No_Premier Normal Pago_Fijo_Puntual 5 0.0965</v>
      </c>
      <c r="C1346" s="75" t="s">
        <v>173</v>
      </c>
      <c r="D1346" s="75" t="s">
        <v>132</v>
      </c>
      <c r="E1346" s="75" t="s">
        <v>179</v>
      </c>
      <c r="F1346" s="75" t="s">
        <v>180</v>
      </c>
      <c r="G1346" s="75"/>
      <c r="H1346" s="75"/>
      <c r="I1346" s="75" t="s">
        <v>171</v>
      </c>
      <c r="J1346" s="76">
        <v>5</v>
      </c>
      <c r="K1346" s="516" t="s">
        <v>385</v>
      </c>
      <c r="L1346" s="517">
        <v>21.12</v>
      </c>
      <c r="M1346" s="517">
        <v>21.78</v>
      </c>
      <c r="N1346" s="518">
        <v>9.6500000000000002E-2</v>
      </c>
      <c r="O1346" s="518">
        <v>9.1999999999999998E-2</v>
      </c>
      <c r="P1346" s="518">
        <v>0.10249999999999999</v>
      </c>
      <c r="Q1346" s="78">
        <v>0.44</v>
      </c>
      <c r="R1346" s="78">
        <v>0.31740000000000002</v>
      </c>
      <c r="S1346" s="69">
        <v>0</v>
      </c>
      <c r="T1346" s="69">
        <v>0</v>
      </c>
      <c r="U1346" s="518">
        <v>0.7</v>
      </c>
      <c r="V1346" s="76">
        <v>0</v>
      </c>
      <c r="W1346" s="76">
        <v>0</v>
      </c>
      <c r="X1346" s="76"/>
      <c r="Y1346" s="516" t="s">
        <v>470</v>
      </c>
    </row>
    <row r="1347" spans="1:25" x14ac:dyDescent="0.25">
      <c r="A1347" s="75" t="str">
        <f t="shared" si="47"/>
        <v>Pago_de_Hipoteca PF No_Premier Normal Pago_Fijo_Puntual 5</v>
      </c>
      <c r="B1347" s="75" t="str">
        <f t="shared" si="46"/>
        <v>Pago_de_Hipoteca PF No_Premier Normal Pago_Fijo_Puntual 5 0.103</v>
      </c>
      <c r="C1347" s="75" t="s">
        <v>173</v>
      </c>
      <c r="D1347" s="75" t="s">
        <v>132</v>
      </c>
      <c r="E1347" s="75" t="s">
        <v>179</v>
      </c>
      <c r="F1347" s="75" t="s">
        <v>180</v>
      </c>
      <c r="G1347" s="75"/>
      <c r="H1347" s="75"/>
      <c r="I1347" s="75" t="s">
        <v>171</v>
      </c>
      <c r="J1347" s="76">
        <v>5</v>
      </c>
      <c r="K1347" s="516" t="s">
        <v>386</v>
      </c>
      <c r="L1347" s="517">
        <v>21.44</v>
      </c>
      <c r="M1347" s="517">
        <v>22.1</v>
      </c>
      <c r="N1347" s="518">
        <v>0.10299999999999999</v>
      </c>
      <c r="O1347" s="518">
        <v>0.1</v>
      </c>
      <c r="P1347" s="518">
        <v>0.112</v>
      </c>
      <c r="Q1347" s="78">
        <v>0.44</v>
      </c>
      <c r="R1347" s="78">
        <v>0.31740000000000002</v>
      </c>
      <c r="S1347" s="69">
        <v>0</v>
      </c>
      <c r="T1347" s="69">
        <v>0</v>
      </c>
      <c r="U1347" s="518">
        <v>0.7</v>
      </c>
      <c r="V1347" s="76">
        <v>0</v>
      </c>
      <c r="W1347" s="76">
        <v>0</v>
      </c>
      <c r="X1347" s="76"/>
      <c r="Y1347" s="516" t="s">
        <v>470</v>
      </c>
    </row>
    <row r="1348" spans="1:25" x14ac:dyDescent="0.25">
      <c r="A1348" s="75" t="str">
        <f t="shared" si="47"/>
        <v>Pago_de_Hipoteca PF No_Premier Normal Pago_Bajo_Puntual 20</v>
      </c>
      <c r="B1348" s="75" t="str">
        <f t="shared" si="46"/>
        <v>Pago_de_Hipoteca PF No_Premier Normal Pago_Bajo_Puntual 20 0.0965</v>
      </c>
      <c r="C1348" s="75" t="s">
        <v>173</v>
      </c>
      <c r="D1348" s="75" t="s">
        <v>132</v>
      </c>
      <c r="E1348" s="75" t="s">
        <v>179</v>
      </c>
      <c r="F1348" s="75" t="s">
        <v>180</v>
      </c>
      <c r="G1348" s="75"/>
      <c r="H1348" s="75"/>
      <c r="I1348" s="75" t="s">
        <v>170</v>
      </c>
      <c r="J1348" s="76">
        <v>20</v>
      </c>
      <c r="K1348" s="516" t="s">
        <v>385</v>
      </c>
      <c r="L1348" s="517">
        <v>8.52</v>
      </c>
      <c r="M1348" s="517">
        <v>9.18</v>
      </c>
      <c r="N1348" s="518">
        <v>9.6500000000000002E-2</v>
      </c>
      <c r="O1348" s="518">
        <v>9.1999999999999998E-2</v>
      </c>
      <c r="P1348" s="518">
        <v>0.10249999999999999</v>
      </c>
      <c r="Q1348" s="78">
        <v>0.44</v>
      </c>
      <c r="R1348" s="78">
        <v>0.31740000000000002</v>
      </c>
      <c r="S1348" s="69">
        <v>0</v>
      </c>
      <c r="T1348" s="69">
        <v>0</v>
      </c>
      <c r="U1348" s="518">
        <v>0.7</v>
      </c>
      <c r="V1348" s="76">
        <v>0</v>
      </c>
      <c r="W1348" s="76">
        <v>0</v>
      </c>
      <c r="X1348" s="76"/>
      <c r="Y1348" s="516" t="s">
        <v>470</v>
      </c>
    </row>
    <row r="1349" spans="1:25" x14ac:dyDescent="0.25">
      <c r="A1349" s="75" t="str">
        <f t="shared" si="47"/>
        <v>Pago_de_Hipoteca PF No_Premier Normal Pago_Bajo_Puntual 20</v>
      </c>
      <c r="B1349" s="75" t="str">
        <f t="shared" si="46"/>
        <v>Pago_de_Hipoteca PF No_Premier Normal Pago_Bajo_Puntual 20 0.103</v>
      </c>
      <c r="C1349" s="75" t="s">
        <v>173</v>
      </c>
      <c r="D1349" s="75" t="s">
        <v>132</v>
      </c>
      <c r="E1349" s="75" t="s">
        <v>179</v>
      </c>
      <c r="F1349" s="75" t="s">
        <v>180</v>
      </c>
      <c r="G1349" s="75"/>
      <c r="H1349" s="75"/>
      <c r="I1349" s="75" t="s">
        <v>170</v>
      </c>
      <c r="J1349" s="76">
        <v>20</v>
      </c>
      <c r="K1349" s="516" t="s">
        <v>386</v>
      </c>
      <c r="L1349" s="517">
        <v>9</v>
      </c>
      <c r="M1349" s="517">
        <v>9.66</v>
      </c>
      <c r="N1349" s="518">
        <v>0.10299999999999999</v>
      </c>
      <c r="O1349" s="518">
        <v>0.1</v>
      </c>
      <c r="P1349" s="518">
        <v>0.112</v>
      </c>
      <c r="Q1349" s="78">
        <v>0.44</v>
      </c>
      <c r="R1349" s="78">
        <v>0.31740000000000002</v>
      </c>
      <c r="S1349" s="69">
        <v>0</v>
      </c>
      <c r="T1349" s="69">
        <v>0</v>
      </c>
      <c r="U1349" s="518">
        <v>0.7</v>
      </c>
      <c r="V1349" s="76">
        <v>0</v>
      </c>
      <c r="W1349" s="76">
        <v>0</v>
      </c>
      <c r="X1349" s="76"/>
      <c r="Y1349" s="516" t="s">
        <v>470</v>
      </c>
    </row>
    <row r="1350" spans="1:25" x14ac:dyDescent="0.25">
      <c r="A1350" s="75" t="str">
        <f t="shared" si="47"/>
        <v>Pago_de_Hipoteca PF No_Premier Normal Pago_Bajo_Puntual 19</v>
      </c>
      <c r="B1350" s="75" t="str">
        <f t="shared" si="46"/>
        <v>Pago_de_Hipoteca PF No_Premier Normal Pago_Bajo_Puntual 19 0.0965</v>
      </c>
      <c r="C1350" s="75" t="s">
        <v>173</v>
      </c>
      <c r="D1350" s="75" t="s">
        <v>132</v>
      </c>
      <c r="E1350" s="75" t="s">
        <v>179</v>
      </c>
      <c r="F1350" s="75" t="s">
        <v>180</v>
      </c>
      <c r="G1350" s="75"/>
      <c r="H1350" s="75"/>
      <c r="I1350" s="75" t="s">
        <v>170</v>
      </c>
      <c r="J1350" s="76">
        <v>19</v>
      </c>
      <c r="K1350" s="516" t="s">
        <v>385</v>
      </c>
      <c r="L1350" s="517">
        <v>8.6999999999999993</v>
      </c>
      <c r="M1350" s="517">
        <v>9.36</v>
      </c>
      <c r="N1350" s="518">
        <v>9.6500000000000002E-2</v>
      </c>
      <c r="O1350" s="518">
        <v>9.1999999999999998E-2</v>
      </c>
      <c r="P1350" s="518">
        <v>0.10249999999999999</v>
      </c>
      <c r="Q1350" s="78">
        <v>0.44</v>
      </c>
      <c r="R1350" s="78">
        <v>0.31740000000000002</v>
      </c>
      <c r="S1350" s="69">
        <v>0</v>
      </c>
      <c r="T1350" s="69">
        <v>0</v>
      </c>
      <c r="U1350" s="518">
        <v>0.7</v>
      </c>
      <c r="V1350" s="76">
        <v>0</v>
      </c>
      <c r="W1350" s="76">
        <v>0</v>
      </c>
      <c r="X1350" s="76"/>
      <c r="Y1350" s="516" t="s">
        <v>470</v>
      </c>
    </row>
    <row r="1351" spans="1:25" x14ac:dyDescent="0.25">
      <c r="A1351" s="75" t="str">
        <f t="shared" si="47"/>
        <v>Pago_de_Hipoteca PF No_Premier Normal Pago_Bajo_Puntual 19</v>
      </c>
      <c r="B1351" s="75" t="str">
        <f t="shared" si="46"/>
        <v>Pago_de_Hipoteca PF No_Premier Normal Pago_Bajo_Puntual 19 0.103</v>
      </c>
      <c r="C1351" s="75" t="s">
        <v>173</v>
      </c>
      <c r="D1351" s="75" t="s">
        <v>132</v>
      </c>
      <c r="E1351" s="75" t="s">
        <v>179</v>
      </c>
      <c r="F1351" s="75" t="s">
        <v>180</v>
      </c>
      <c r="G1351" s="75"/>
      <c r="H1351" s="75"/>
      <c r="I1351" s="75" t="s">
        <v>170</v>
      </c>
      <c r="J1351" s="76">
        <v>19</v>
      </c>
      <c r="K1351" s="516" t="s">
        <v>386</v>
      </c>
      <c r="L1351" s="517">
        <v>9.17</v>
      </c>
      <c r="M1351" s="517">
        <v>9.83</v>
      </c>
      <c r="N1351" s="518">
        <v>0.10299999999999999</v>
      </c>
      <c r="O1351" s="518">
        <v>0.1</v>
      </c>
      <c r="P1351" s="518">
        <v>0.112</v>
      </c>
      <c r="Q1351" s="78">
        <v>0.44</v>
      </c>
      <c r="R1351" s="78">
        <v>0.31740000000000002</v>
      </c>
      <c r="S1351" s="69">
        <v>0</v>
      </c>
      <c r="T1351" s="69">
        <v>0</v>
      </c>
      <c r="U1351" s="518">
        <v>0.7</v>
      </c>
      <c r="V1351" s="76">
        <v>0</v>
      </c>
      <c r="W1351" s="76">
        <v>0</v>
      </c>
      <c r="X1351" s="76"/>
      <c r="Y1351" s="516" t="s">
        <v>470</v>
      </c>
    </row>
    <row r="1352" spans="1:25" x14ac:dyDescent="0.25">
      <c r="A1352" s="75" t="str">
        <f t="shared" si="47"/>
        <v>Pago_de_Hipoteca PF No_Premier Normal Pago_Bajo_Puntual 18</v>
      </c>
      <c r="B1352" s="75" t="str">
        <f t="shared" si="46"/>
        <v>Pago_de_Hipoteca PF No_Premier Normal Pago_Bajo_Puntual 18 0.0965</v>
      </c>
      <c r="C1352" s="75" t="s">
        <v>173</v>
      </c>
      <c r="D1352" s="75" t="s">
        <v>132</v>
      </c>
      <c r="E1352" s="75" t="s">
        <v>179</v>
      </c>
      <c r="F1352" s="75" t="s">
        <v>180</v>
      </c>
      <c r="G1352" s="75"/>
      <c r="H1352" s="75"/>
      <c r="I1352" s="75" t="s">
        <v>170</v>
      </c>
      <c r="J1352" s="76">
        <v>18</v>
      </c>
      <c r="K1352" s="516" t="s">
        <v>385</v>
      </c>
      <c r="L1352" s="517">
        <v>8.9</v>
      </c>
      <c r="M1352" s="517">
        <v>9.56</v>
      </c>
      <c r="N1352" s="518">
        <v>9.6500000000000002E-2</v>
      </c>
      <c r="O1352" s="518">
        <v>9.1999999999999998E-2</v>
      </c>
      <c r="P1352" s="518">
        <v>0.10249999999999999</v>
      </c>
      <c r="Q1352" s="78">
        <v>0.44</v>
      </c>
      <c r="R1352" s="78">
        <v>0.31740000000000002</v>
      </c>
      <c r="S1352" s="69">
        <v>0</v>
      </c>
      <c r="T1352" s="69">
        <v>0</v>
      </c>
      <c r="U1352" s="518">
        <v>0.7</v>
      </c>
      <c r="V1352" s="76">
        <v>0</v>
      </c>
      <c r="W1352" s="76">
        <v>0</v>
      </c>
      <c r="X1352" s="76"/>
      <c r="Y1352" s="516" t="s">
        <v>470</v>
      </c>
    </row>
    <row r="1353" spans="1:25" x14ac:dyDescent="0.25">
      <c r="A1353" s="75" t="str">
        <f t="shared" si="47"/>
        <v>Pago_de_Hipoteca PF No_Premier Normal Pago_Bajo_Puntual 18</v>
      </c>
      <c r="B1353" s="75" t="str">
        <f t="shared" si="46"/>
        <v>Pago_de_Hipoteca PF No_Premier Normal Pago_Bajo_Puntual 18 0.103</v>
      </c>
      <c r="C1353" s="75" t="s">
        <v>173</v>
      </c>
      <c r="D1353" s="75" t="s">
        <v>132</v>
      </c>
      <c r="E1353" s="75" t="s">
        <v>179</v>
      </c>
      <c r="F1353" s="75" t="s">
        <v>180</v>
      </c>
      <c r="G1353" s="75"/>
      <c r="H1353" s="75"/>
      <c r="I1353" s="75" t="s">
        <v>170</v>
      </c>
      <c r="J1353" s="76">
        <v>18</v>
      </c>
      <c r="K1353" s="516" t="s">
        <v>386</v>
      </c>
      <c r="L1353" s="517">
        <v>9.36</v>
      </c>
      <c r="M1353" s="517">
        <v>10.02</v>
      </c>
      <c r="N1353" s="518">
        <v>0.10299999999999999</v>
      </c>
      <c r="O1353" s="518">
        <v>0.1</v>
      </c>
      <c r="P1353" s="518">
        <v>0.112</v>
      </c>
      <c r="Q1353" s="78">
        <v>0.44</v>
      </c>
      <c r="R1353" s="78">
        <v>0.31740000000000002</v>
      </c>
      <c r="S1353" s="69">
        <v>0</v>
      </c>
      <c r="T1353" s="69">
        <v>0</v>
      </c>
      <c r="U1353" s="518">
        <v>0.7</v>
      </c>
      <c r="V1353" s="76">
        <v>0</v>
      </c>
      <c r="W1353" s="76">
        <v>0</v>
      </c>
      <c r="X1353" s="76"/>
      <c r="Y1353" s="516" t="s">
        <v>470</v>
      </c>
    </row>
    <row r="1354" spans="1:25" x14ac:dyDescent="0.25">
      <c r="A1354" s="75" t="str">
        <f t="shared" si="47"/>
        <v>Pago_de_Hipoteca PF No_Premier Normal Pago_Bajo_Puntual 17</v>
      </c>
      <c r="B1354" s="75" t="str">
        <f t="shared" si="46"/>
        <v>Pago_de_Hipoteca PF No_Premier Normal Pago_Bajo_Puntual 17 0.0965</v>
      </c>
      <c r="C1354" s="75" t="s">
        <v>173</v>
      </c>
      <c r="D1354" s="75" t="s">
        <v>132</v>
      </c>
      <c r="E1354" s="75" t="s">
        <v>179</v>
      </c>
      <c r="F1354" s="75" t="s">
        <v>180</v>
      </c>
      <c r="G1354" s="75"/>
      <c r="H1354" s="75"/>
      <c r="I1354" s="75" t="s">
        <v>170</v>
      </c>
      <c r="J1354" s="76">
        <v>17</v>
      </c>
      <c r="K1354" s="516" t="s">
        <v>385</v>
      </c>
      <c r="L1354" s="517">
        <v>9.1300000000000008</v>
      </c>
      <c r="M1354" s="517">
        <v>9.7899999999999991</v>
      </c>
      <c r="N1354" s="518">
        <v>9.6500000000000002E-2</v>
      </c>
      <c r="O1354" s="518">
        <v>9.1999999999999998E-2</v>
      </c>
      <c r="P1354" s="518">
        <v>0.10249999999999999</v>
      </c>
      <c r="Q1354" s="78">
        <v>0.44</v>
      </c>
      <c r="R1354" s="78">
        <v>0.31740000000000002</v>
      </c>
      <c r="S1354" s="69">
        <v>0</v>
      </c>
      <c r="T1354" s="69">
        <v>0</v>
      </c>
      <c r="U1354" s="518">
        <v>0.7</v>
      </c>
      <c r="V1354" s="76">
        <v>0</v>
      </c>
      <c r="W1354" s="76">
        <v>0</v>
      </c>
      <c r="X1354" s="76"/>
      <c r="Y1354" s="516" t="s">
        <v>470</v>
      </c>
    </row>
    <row r="1355" spans="1:25" x14ac:dyDescent="0.25">
      <c r="A1355" s="75" t="str">
        <f t="shared" si="47"/>
        <v>Pago_de_Hipoteca PF No_Premier Normal Pago_Bajo_Puntual 17</v>
      </c>
      <c r="B1355" s="75" t="str">
        <f t="shared" si="46"/>
        <v>Pago_de_Hipoteca PF No_Premier Normal Pago_Bajo_Puntual 17 0.103</v>
      </c>
      <c r="C1355" s="75" t="s">
        <v>173</v>
      </c>
      <c r="D1355" s="75" t="s">
        <v>132</v>
      </c>
      <c r="E1355" s="75" t="s">
        <v>179</v>
      </c>
      <c r="F1355" s="75" t="s">
        <v>180</v>
      </c>
      <c r="G1355" s="75"/>
      <c r="H1355" s="75"/>
      <c r="I1355" s="75" t="s">
        <v>170</v>
      </c>
      <c r="J1355" s="76">
        <v>17</v>
      </c>
      <c r="K1355" s="516" t="s">
        <v>386</v>
      </c>
      <c r="L1355" s="517">
        <v>9.58</v>
      </c>
      <c r="M1355" s="517">
        <v>10.24</v>
      </c>
      <c r="N1355" s="518">
        <v>0.10299999999999999</v>
      </c>
      <c r="O1355" s="518">
        <v>0.1</v>
      </c>
      <c r="P1355" s="518">
        <v>0.112</v>
      </c>
      <c r="Q1355" s="78">
        <v>0.44</v>
      </c>
      <c r="R1355" s="78">
        <v>0.31740000000000002</v>
      </c>
      <c r="S1355" s="69">
        <v>0</v>
      </c>
      <c r="T1355" s="69">
        <v>0</v>
      </c>
      <c r="U1355" s="518">
        <v>0.7</v>
      </c>
      <c r="V1355" s="76">
        <v>0</v>
      </c>
      <c r="W1355" s="76">
        <v>0</v>
      </c>
      <c r="X1355" s="76"/>
      <c r="Y1355" s="516" t="s">
        <v>470</v>
      </c>
    </row>
    <row r="1356" spans="1:25" x14ac:dyDescent="0.25">
      <c r="A1356" s="75" t="str">
        <f t="shared" si="47"/>
        <v>Pago_de_Hipoteca PF No_Premier Normal Pago_Bajo_Puntual 16</v>
      </c>
      <c r="B1356" s="75" t="str">
        <f t="shared" si="46"/>
        <v>Pago_de_Hipoteca PF No_Premier Normal Pago_Bajo_Puntual 16 0.0965</v>
      </c>
      <c r="C1356" s="75" t="s">
        <v>173</v>
      </c>
      <c r="D1356" s="75" t="s">
        <v>132</v>
      </c>
      <c r="E1356" s="75" t="s">
        <v>179</v>
      </c>
      <c r="F1356" s="75" t="s">
        <v>180</v>
      </c>
      <c r="G1356" s="75"/>
      <c r="H1356" s="75"/>
      <c r="I1356" s="75" t="s">
        <v>170</v>
      </c>
      <c r="J1356" s="76">
        <v>16</v>
      </c>
      <c r="K1356" s="516" t="s">
        <v>385</v>
      </c>
      <c r="L1356" s="517">
        <v>9.39</v>
      </c>
      <c r="M1356" s="517">
        <v>10.050000000000001</v>
      </c>
      <c r="N1356" s="518">
        <v>9.6500000000000002E-2</v>
      </c>
      <c r="O1356" s="518">
        <v>9.1999999999999998E-2</v>
      </c>
      <c r="P1356" s="518">
        <v>0.10249999999999999</v>
      </c>
      <c r="Q1356" s="78">
        <v>0.44</v>
      </c>
      <c r="R1356" s="78">
        <v>0.31740000000000002</v>
      </c>
      <c r="S1356" s="69">
        <v>0</v>
      </c>
      <c r="T1356" s="69">
        <v>0</v>
      </c>
      <c r="U1356" s="518">
        <v>0.7</v>
      </c>
      <c r="V1356" s="76">
        <v>0</v>
      </c>
      <c r="W1356" s="76">
        <v>0</v>
      </c>
      <c r="X1356" s="76"/>
      <c r="Y1356" s="516" t="s">
        <v>470</v>
      </c>
    </row>
    <row r="1357" spans="1:25" x14ac:dyDescent="0.25">
      <c r="A1357" s="75" t="str">
        <f t="shared" si="47"/>
        <v>Pago_de_Hipoteca PF No_Premier Normal Pago_Bajo_Puntual 16</v>
      </c>
      <c r="B1357" s="75" t="str">
        <f t="shared" si="46"/>
        <v>Pago_de_Hipoteca PF No_Premier Normal Pago_Bajo_Puntual 16 0.103</v>
      </c>
      <c r="C1357" s="75" t="s">
        <v>173</v>
      </c>
      <c r="D1357" s="75" t="s">
        <v>132</v>
      </c>
      <c r="E1357" s="75" t="s">
        <v>179</v>
      </c>
      <c r="F1357" s="75" t="s">
        <v>180</v>
      </c>
      <c r="G1357" s="75"/>
      <c r="H1357" s="75"/>
      <c r="I1357" s="75" t="s">
        <v>170</v>
      </c>
      <c r="J1357" s="76">
        <v>16</v>
      </c>
      <c r="K1357" s="516" t="s">
        <v>386</v>
      </c>
      <c r="L1357" s="517">
        <v>9.83</v>
      </c>
      <c r="M1357" s="517">
        <v>10.49</v>
      </c>
      <c r="N1357" s="518">
        <v>0.10299999999999999</v>
      </c>
      <c r="O1357" s="518">
        <v>0.1</v>
      </c>
      <c r="P1357" s="518">
        <v>0.112</v>
      </c>
      <c r="Q1357" s="78">
        <v>0.44</v>
      </c>
      <c r="R1357" s="78">
        <v>0.31740000000000002</v>
      </c>
      <c r="S1357" s="69">
        <v>0</v>
      </c>
      <c r="T1357" s="69">
        <v>0</v>
      </c>
      <c r="U1357" s="518">
        <v>0.7</v>
      </c>
      <c r="V1357" s="76">
        <v>0</v>
      </c>
      <c r="W1357" s="76">
        <v>0</v>
      </c>
      <c r="X1357" s="76"/>
      <c r="Y1357" s="516" t="s">
        <v>470</v>
      </c>
    </row>
    <row r="1358" spans="1:25" x14ac:dyDescent="0.25">
      <c r="A1358" s="75" t="str">
        <f t="shared" si="47"/>
        <v>Pago_de_Hipoteca PF No_Premier Normal Pago_Bajo_Puntual 15</v>
      </c>
      <c r="B1358" s="75" t="str">
        <f t="shared" si="46"/>
        <v>Pago_de_Hipoteca PF No_Premier Normal Pago_Bajo_Puntual 15 0.0965</v>
      </c>
      <c r="C1358" s="75" t="s">
        <v>173</v>
      </c>
      <c r="D1358" s="75" t="s">
        <v>132</v>
      </c>
      <c r="E1358" s="75" t="s">
        <v>179</v>
      </c>
      <c r="F1358" s="75" t="s">
        <v>180</v>
      </c>
      <c r="G1358" s="75"/>
      <c r="H1358" s="75"/>
      <c r="I1358" s="75" t="s">
        <v>170</v>
      </c>
      <c r="J1358" s="76">
        <v>15</v>
      </c>
      <c r="K1358" s="516" t="s">
        <v>385</v>
      </c>
      <c r="L1358" s="517">
        <v>9.6999999999999993</v>
      </c>
      <c r="M1358" s="517">
        <v>10.36</v>
      </c>
      <c r="N1358" s="518">
        <v>9.6500000000000002E-2</v>
      </c>
      <c r="O1358" s="518">
        <v>9.1999999999999998E-2</v>
      </c>
      <c r="P1358" s="518">
        <v>0.10249999999999999</v>
      </c>
      <c r="Q1358" s="78">
        <v>0.44</v>
      </c>
      <c r="R1358" s="78">
        <v>0.31740000000000002</v>
      </c>
      <c r="S1358" s="69">
        <v>0</v>
      </c>
      <c r="T1358" s="69">
        <v>0</v>
      </c>
      <c r="U1358" s="518">
        <v>0.7</v>
      </c>
      <c r="V1358" s="76">
        <v>0</v>
      </c>
      <c r="W1358" s="76">
        <v>0</v>
      </c>
      <c r="X1358" s="76"/>
      <c r="Y1358" s="516" t="s">
        <v>470</v>
      </c>
    </row>
    <row r="1359" spans="1:25" x14ac:dyDescent="0.25">
      <c r="A1359" s="75" t="str">
        <f t="shared" si="47"/>
        <v>Pago_de_Hipoteca PF No_Premier Normal Pago_Bajo_Puntual 15</v>
      </c>
      <c r="B1359" s="75" t="str">
        <f t="shared" si="46"/>
        <v>Pago_de_Hipoteca PF No_Premier Normal Pago_Bajo_Puntual 15 0.103</v>
      </c>
      <c r="C1359" s="75" t="s">
        <v>173</v>
      </c>
      <c r="D1359" s="75" t="s">
        <v>132</v>
      </c>
      <c r="E1359" s="75" t="s">
        <v>179</v>
      </c>
      <c r="F1359" s="75" t="s">
        <v>180</v>
      </c>
      <c r="G1359" s="75"/>
      <c r="H1359" s="75"/>
      <c r="I1359" s="75" t="s">
        <v>170</v>
      </c>
      <c r="J1359" s="76">
        <v>15</v>
      </c>
      <c r="K1359" s="516" t="s">
        <v>386</v>
      </c>
      <c r="L1359" s="517">
        <v>10.119999999999999</v>
      </c>
      <c r="M1359" s="517">
        <v>10.78</v>
      </c>
      <c r="N1359" s="518">
        <v>0.10299999999999999</v>
      </c>
      <c r="O1359" s="518">
        <v>0.1</v>
      </c>
      <c r="P1359" s="518">
        <v>0.112</v>
      </c>
      <c r="Q1359" s="78">
        <v>0.44</v>
      </c>
      <c r="R1359" s="78">
        <v>0.31740000000000002</v>
      </c>
      <c r="S1359" s="69">
        <v>0</v>
      </c>
      <c r="T1359" s="69">
        <v>0</v>
      </c>
      <c r="U1359" s="518">
        <v>0.7</v>
      </c>
      <c r="V1359" s="76">
        <v>0</v>
      </c>
      <c r="W1359" s="76">
        <v>0</v>
      </c>
      <c r="X1359" s="76"/>
      <c r="Y1359" s="516" t="s">
        <v>470</v>
      </c>
    </row>
    <row r="1360" spans="1:25" x14ac:dyDescent="0.25">
      <c r="A1360" s="75" t="str">
        <f t="shared" si="47"/>
        <v>Pago_de_Hipoteca PF No_Premier Normal Pago_Bajo_Puntual 14</v>
      </c>
      <c r="B1360" s="75" t="str">
        <f t="shared" si="46"/>
        <v>Pago_de_Hipoteca PF No_Premier Normal Pago_Bajo_Puntual 14 0.0965</v>
      </c>
      <c r="C1360" s="75" t="s">
        <v>173</v>
      </c>
      <c r="D1360" s="75" t="s">
        <v>132</v>
      </c>
      <c r="E1360" s="75" t="s">
        <v>179</v>
      </c>
      <c r="F1360" s="75" t="s">
        <v>180</v>
      </c>
      <c r="G1360" s="75"/>
      <c r="H1360" s="75"/>
      <c r="I1360" s="75" t="s">
        <v>170</v>
      </c>
      <c r="J1360" s="76">
        <v>14</v>
      </c>
      <c r="K1360" s="516" t="s">
        <v>385</v>
      </c>
      <c r="L1360" s="517">
        <v>10.050000000000001</v>
      </c>
      <c r="M1360" s="517">
        <v>10.71</v>
      </c>
      <c r="N1360" s="518">
        <v>9.6500000000000002E-2</v>
      </c>
      <c r="O1360" s="518">
        <v>9.1999999999999998E-2</v>
      </c>
      <c r="P1360" s="518">
        <v>0.10249999999999999</v>
      </c>
      <c r="Q1360" s="78">
        <v>0.44</v>
      </c>
      <c r="R1360" s="78">
        <v>0.31740000000000002</v>
      </c>
      <c r="S1360" s="69">
        <v>0</v>
      </c>
      <c r="T1360" s="69">
        <v>0</v>
      </c>
      <c r="U1360" s="518">
        <v>0.7</v>
      </c>
      <c r="V1360" s="76">
        <v>0</v>
      </c>
      <c r="W1360" s="76">
        <v>0</v>
      </c>
      <c r="X1360" s="76"/>
      <c r="Y1360" s="516" t="s">
        <v>470</v>
      </c>
    </row>
    <row r="1361" spans="1:25" x14ac:dyDescent="0.25">
      <c r="A1361" s="75" t="str">
        <f t="shared" si="47"/>
        <v>Pago_de_Hipoteca PF No_Premier Normal Pago_Bajo_Puntual 14</v>
      </c>
      <c r="B1361" s="75" t="str">
        <f t="shared" si="46"/>
        <v>Pago_de_Hipoteca PF No_Premier Normal Pago_Bajo_Puntual 14 0.103</v>
      </c>
      <c r="C1361" s="75" t="s">
        <v>173</v>
      </c>
      <c r="D1361" s="75" t="s">
        <v>132</v>
      </c>
      <c r="E1361" s="75" t="s">
        <v>179</v>
      </c>
      <c r="F1361" s="75" t="s">
        <v>180</v>
      </c>
      <c r="G1361" s="75"/>
      <c r="H1361" s="75"/>
      <c r="I1361" s="75" t="s">
        <v>170</v>
      </c>
      <c r="J1361" s="76">
        <v>14</v>
      </c>
      <c r="K1361" s="516" t="s">
        <v>386</v>
      </c>
      <c r="L1361" s="517">
        <v>10.46</v>
      </c>
      <c r="M1361" s="517">
        <v>11.12</v>
      </c>
      <c r="N1361" s="518">
        <v>0.10299999999999999</v>
      </c>
      <c r="O1361" s="518">
        <v>0.1</v>
      </c>
      <c r="P1361" s="518">
        <v>0.112</v>
      </c>
      <c r="Q1361" s="78">
        <v>0.44</v>
      </c>
      <c r="R1361" s="78">
        <v>0.31740000000000002</v>
      </c>
      <c r="S1361" s="69">
        <v>0</v>
      </c>
      <c r="T1361" s="69">
        <v>0</v>
      </c>
      <c r="U1361" s="518">
        <v>0.7</v>
      </c>
      <c r="V1361" s="76">
        <v>0</v>
      </c>
      <c r="W1361" s="76">
        <v>0</v>
      </c>
      <c r="X1361" s="76"/>
      <c r="Y1361" s="516" t="s">
        <v>470</v>
      </c>
    </row>
    <row r="1362" spans="1:25" x14ac:dyDescent="0.25">
      <c r="A1362" s="75" t="str">
        <f t="shared" si="47"/>
        <v>Pago_de_Hipoteca PF No_Premier Normal Pago_Bajo_Puntual 13</v>
      </c>
      <c r="B1362" s="75" t="str">
        <f t="shared" si="46"/>
        <v>Pago_de_Hipoteca PF No_Premier Normal Pago_Bajo_Puntual 13 0.0965</v>
      </c>
      <c r="C1362" s="75" t="s">
        <v>173</v>
      </c>
      <c r="D1362" s="75" t="s">
        <v>132</v>
      </c>
      <c r="E1362" s="75" t="s">
        <v>179</v>
      </c>
      <c r="F1362" s="75" t="s">
        <v>180</v>
      </c>
      <c r="G1362" s="75"/>
      <c r="H1362" s="75"/>
      <c r="I1362" s="75" t="s">
        <v>170</v>
      </c>
      <c r="J1362" s="76">
        <v>13</v>
      </c>
      <c r="K1362" s="516" t="s">
        <v>385</v>
      </c>
      <c r="L1362" s="517">
        <v>10.46</v>
      </c>
      <c r="M1362" s="517">
        <v>11.12</v>
      </c>
      <c r="N1362" s="518">
        <v>9.6500000000000002E-2</v>
      </c>
      <c r="O1362" s="518">
        <v>9.1999999999999998E-2</v>
      </c>
      <c r="P1362" s="518">
        <v>0.10249999999999999</v>
      </c>
      <c r="Q1362" s="78">
        <v>0.44</v>
      </c>
      <c r="R1362" s="78">
        <v>0.31740000000000002</v>
      </c>
      <c r="S1362" s="69">
        <v>0</v>
      </c>
      <c r="T1362" s="69">
        <v>0</v>
      </c>
      <c r="U1362" s="518">
        <v>0.7</v>
      </c>
      <c r="V1362" s="76">
        <v>0</v>
      </c>
      <c r="W1362" s="76">
        <v>0</v>
      </c>
      <c r="X1362" s="76"/>
      <c r="Y1362" s="516" t="s">
        <v>470</v>
      </c>
    </row>
    <row r="1363" spans="1:25" x14ac:dyDescent="0.25">
      <c r="A1363" s="75" t="str">
        <f t="shared" si="47"/>
        <v>Pago_de_Hipoteca PF No_Premier Normal Pago_Bajo_Puntual 13</v>
      </c>
      <c r="B1363" s="75" t="str">
        <f t="shared" si="46"/>
        <v>Pago_de_Hipoteca PF No_Premier Normal Pago_Bajo_Puntual 13 0.103</v>
      </c>
      <c r="C1363" s="75" t="s">
        <v>173</v>
      </c>
      <c r="D1363" s="75" t="s">
        <v>132</v>
      </c>
      <c r="E1363" s="75" t="s">
        <v>179</v>
      </c>
      <c r="F1363" s="75" t="s">
        <v>180</v>
      </c>
      <c r="G1363" s="75"/>
      <c r="H1363" s="75"/>
      <c r="I1363" s="75" t="s">
        <v>170</v>
      </c>
      <c r="J1363" s="76">
        <v>13</v>
      </c>
      <c r="K1363" s="516" t="s">
        <v>386</v>
      </c>
      <c r="L1363" s="517">
        <v>10.86</v>
      </c>
      <c r="M1363" s="517">
        <v>11.52</v>
      </c>
      <c r="N1363" s="518">
        <v>0.10299999999999999</v>
      </c>
      <c r="O1363" s="518">
        <v>0.1</v>
      </c>
      <c r="P1363" s="518">
        <v>0.112</v>
      </c>
      <c r="Q1363" s="78">
        <v>0.44</v>
      </c>
      <c r="R1363" s="78">
        <v>0.31740000000000002</v>
      </c>
      <c r="S1363" s="69">
        <v>0</v>
      </c>
      <c r="T1363" s="69">
        <v>0</v>
      </c>
      <c r="U1363" s="518">
        <v>0.7</v>
      </c>
      <c r="V1363" s="76">
        <v>0</v>
      </c>
      <c r="W1363" s="76">
        <v>0</v>
      </c>
      <c r="X1363" s="76"/>
      <c r="Y1363" s="516" t="s">
        <v>470</v>
      </c>
    </row>
    <row r="1364" spans="1:25" x14ac:dyDescent="0.25">
      <c r="A1364" s="75" t="str">
        <f t="shared" si="47"/>
        <v>Pago_de_Hipoteca PF No_Premier Normal Pago_Bajo_Puntual 12</v>
      </c>
      <c r="B1364" s="75" t="str">
        <f t="shared" si="46"/>
        <v>Pago_de_Hipoteca PF No_Premier Normal Pago_Bajo_Puntual 12 0.0965</v>
      </c>
      <c r="C1364" s="75" t="s">
        <v>173</v>
      </c>
      <c r="D1364" s="75" t="s">
        <v>132</v>
      </c>
      <c r="E1364" s="75" t="s">
        <v>179</v>
      </c>
      <c r="F1364" s="75" t="s">
        <v>180</v>
      </c>
      <c r="G1364" s="75"/>
      <c r="H1364" s="75"/>
      <c r="I1364" s="75" t="s">
        <v>170</v>
      </c>
      <c r="J1364" s="76">
        <v>12</v>
      </c>
      <c r="K1364" s="516" t="s">
        <v>385</v>
      </c>
      <c r="L1364" s="517">
        <v>10.95</v>
      </c>
      <c r="M1364" s="517">
        <v>11.61</v>
      </c>
      <c r="N1364" s="518">
        <v>9.6500000000000002E-2</v>
      </c>
      <c r="O1364" s="518">
        <v>9.1999999999999998E-2</v>
      </c>
      <c r="P1364" s="518">
        <v>0.10249999999999999</v>
      </c>
      <c r="Q1364" s="78">
        <v>0.44</v>
      </c>
      <c r="R1364" s="78">
        <v>0.31740000000000002</v>
      </c>
      <c r="S1364" s="69">
        <v>0</v>
      </c>
      <c r="T1364" s="69">
        <v>0</v>
      </c>
      <c r="U1364" s="518">
        <v>0.7</v>
      </c>
      <c r="V1364" s="76">
        <v>0</v>
      </c>
      <c r="W1364" s="76">
        <v>0</v>
      </c>
      <c r="X1364" s="76"/>
      <c r="Y1364" s="516" t="s">
        <v>470</v>
      </c>
    </row>
    <row r="1365" spans="1:25" x14ac:dyDescent="0.25">
      <c r="A1365" s="75" t="str">
        <f t="shared" si="47"/>
        <v>Pago_de_Hipoteca PF No_Premier Normal Pago_Bajo_Puntual 12</v>
      </c>
      <c r="B1365" s="75" t="str">
        <f t="shared" si="46"/>
        <v>Pago_de_Hipoteca PF No_Premier Normal Pago_Bajo_Puntual 12 0.103</v>
      </c>
      <c r="C1365" s="75" t="s">
        <v>173</v>
      </c>
      <c r="D1365" s="75" t="s">
        <v>132</v>
      </c>
      <c r="E1365" s="75" t="s">
        <v>179</v>
      </c>
      <c r="F1365" s="75" t="s">
        <v>180</v>
      </c>
      <c r="G1365" s="75"/>
      <c r="H1365" s="75"/>
      <c r="I1365" s="75" t="s">
        <v>170</v>
      </c>
      <c r="J1365" s="76">
        <v>12</v>
      </c>
      <c r="K1365" s="516" t="s">
        <v>386</v>
      </c>
      <c r="L1365" s="517">
        <v>11.34</v>
      </c>
      <c r="M1365" s="517">
        <v>12</v>
      </c>
      <c r="N1365" s="518">
        <v>0.10299999999999999</v>
      </c>
      <c r="O1365" s="518">
        <v>0.1</v>
      </c>
      <c r="P1365" s="518">
        <v>0.112</v>
      </c>
      <c r="Q1365" s="78">
        <v>0.44</v>
      </c>
      <c r="R1365" s="78">
        <v>0.31740000000000002</v>
      </c>
      <c r="S1365" s="69">
        <v>0</v>
      </c>
      <c r="T1365" s="69">
        <v>0</v>
      </c>
      <c r="U1365" s="518">
        <v>0.7</v>
      </c>
      <c r="V1365" s="76">
        <v>0</v>
      </c>
      <c r="W1365" s="76">
        <v>0</v>
      </c>
      <c r="X1365" s="76"/>
      <c r="Y1365" s="516" t="s">
        <v>470</v>
      </c>
    </row>
    <row r="1366" spans="1:25" x14ac:dyDescent="0.25">
      <c r="A1366" s="75" t="str">
        <f t="shared" si="47"/>
        <v>Pago_de_Hipoteca PF No_Premier Normal Pago_Bajo_Puntual 11</v>
      </c>
      <c r="B1366" s="75" t="str">
        <f t="shared" si="46"/>
        <v>Pago_de_Hipoteca PF No_Premier Normal Pago_Bajo_Puntual 11 0.0965</v>
      </c>
      <c r="C1366" s="75" t="s">
        <v>173</v>
      </c>
      <c r="D1366" s="75" t="s">
        <v>132</v>
      </c>
      <c r="E1366" s="75" t="s">
        <v>179</v>
      </c>
      <c r="F1366" s="75" t="s">
        <v>180</v>
      </c>
      <c r="G1366" s="75"/>
      <c r="H1366" s="75"/>
      <c r="I1366" s="75" t="s">
        <v>170</v>
      </c>
      <c r="J1366" s="76">
        <v>11</v>
      </c>
      <c r="K1366" s="516" t="s">
        <v>385</v>
      </c>
      <c r="L1366" s="517">
        <v>11.54</v>
      </c>
      <c r="M1366" s="517">
        <v>12.2</v>
      </c>
      <c r="N1366" s="518">
        <v>9.6500000000000002E-2</v>
      </c>
      <c r="O1366" s="518">
        <v>9.1999999999999998E-2</v>
      </c>
      <c r="P1366" s="518">
        <v>0.10249999999999999</v>
      </c>
      <c r="Q1366" s="78">
        <v>0.44</v>
      </c>
      <c r="R1366" s="78">
        <v>0.31740000000000002</v>
      </c>
      <c r="S1366" s="69">
        <v>0</v>
      </c>
      <c r="T1366" s="69">
        <v>0</v>
      </c>
      <c r="U1366" s="518">
        <v>0.7</v>
      </c>
      <c r="V1366" s="76">
        <v>0</v>
      </c>
      <c r="W1366" s="76">
        <v>0</v>
      </c>
      <c r="X1366" s="76"/>
      <c r="Y1366" s="516" t="s">
        <v>470</v>
      </c>
    </row>
    <row r="1367" spans="1:25" x14ac:dyDescent="0.25">
      <c r="A1367" s="75" t="str">
        <f t="shared" si="47"/>
        <v>Pago_de_Hipoteca PF No_Premier Normal Pago_Bajo_Puntual 11</v>
      </c>
      <c r="B1367" s="75" t="str">
        <f t="shared" si="46"/>
        <v>Pago_de_Hipoteca PF No_Premier Normal Pago_Bajo_Puntual 11 0.103</v>
      </c>
      <c r="C1367" s="75" t="s">
        <v>173</v>
      </c>
      <c r="D1367" s="75" t="s">
        <v>132</v>
      </c>
      <c r="E1367" s="75" t="s">
        <v>179</v>
      </c>
      <c r="F1367" s="75" t="s">
        <v>180</v>
      </c>
      <c r="G1367" s="75"/>
      <c r="H1367" s="75"/>
      <c r="I1367" s="75" t="s">
        <v>170</v>
      </c>
      <c r="J1367" s="76">
        <v>11</v>
      </c>
      <c r="K1367" s="516" t="s">
        <v>386</v>
      </c>
      <c r="L1367" s="517">
        <v>11.92</v>
      </c>
      <c r="M1367" s="517">
        <v>12.58</v>
      </c>
      <c r="N1367" s="518">
        <v>0.10299999999999999</v>
      </c>
      <c r="O1367" s="518">
        <v>0.1</v>
      </c>
      <c r="P1367" s="518">
        <v>0.112</v>
      </c>
      <c r="Q1367" s="78">
        <v>0.44</v>
      </c>
      <c r="R1367" s="78">
        <v>0.31740000000000002</v>
      </c>
      <c r="S1367" s="69">
        <v>0</v>
      </c>
      <c r="T1367" s="69">
        <v>0</v>
      </c>
      <c r="U1367" s="518">
        <v>0.7</v>
      </c>
      <c r="V1367" s="76">
        <v>0</v>
      </c>
      <c r="W1367" s="76">
        <v>0</v>
      </c>
      <c r="X1367" s="76"/>
      <c r="Y1367" s="516" t="s">
        <v>470</v>
      </c>
    </row>
    <row r="1368" spans="1:25" x14ac:dyDescent="0.25">
      <c r="A1368" s="75" t="str">
        <f t="shared" si="47"/>
        <v>Pago_de_Hipoteca PF No_Premier Normal Pago_Bajo_Puntual 10</v>
      </c>
      <c r="B1368" s="75" t="str">
        <f t="shared" si="46"/>
        <v>Pago_de_Hipoteca PF No_Premier Normal Pago_Bajo_Puntual 10 0.0965</v>
      </c>
      <c r="C1368" s="75" t="s">
        <v>173</v>
      </c>
      <c r="D1368" s="75" t="s">
        <v>132</v>
      </c>
      <c r="E1368" s="75" t="s">
        <v>179</v>
      </c>
      <c r="F1368" s="75" t="s">
        <v>180</v>
      </c>
      <c r="G1368" s="75"/>
      <c r="H1368" s="75"/>
      <c r="I1368" s="75" t="s">
        <v>170</v>
      </c>
      <c r="J1368" s="76">
        <v>10</v>
      </c>
      <c r="K1368" s="516" t="s">
        <v>385</v>
      </c>
      <c r="L1368" s="517">
        <v>12.25</v>
      </c>
      <c r="M1368" s="517">
        <v>12.91</v>
      </c>
      <c r="N1368" s="518">
        <v>9.6500000000000002E-2</v>
      </c>
      <c r="O1368" s="518">
        <v>9.1999999999999998E-2</v>
      </c>
      <c r="P1368" s="518">
        <v>0.10249999999999999</v>
      </c>
      <c r="Q1368" s="78">
        <v>0.44</v>
      </c>
      <c r="R1368" s="78">
        <v>0.31740000000000002</v>
      </c>
      <c r="S1368" s="69">
        <v>0</v>
      </c>
      <c r="T1368" s="69">
        <v>0</v>
      </c>
      <c r="U1368" s="518">
        <v>0.7</v>
      </c>
      <c r="V1368" s="76">
        <v>0</v>
      </c>
      <c r="W1368" s="76">
        <v>0</v>
      </c>
      <c r="X1368" s="76"/>
      <c r="Y1368" s="516" t="s">
        <v>470</v>
      </c>
    </row>
    <row r="1369" spans="1:25" x14ac:dyDescent="0.25">
      <c r="A1369" s="75" t="str">
        <f t="shared" si="47"/>
        <v>Pago_de_Hipoteca PF No_Premier Normal Pago_Bajo_Puntual 10</v>
      </c>
      <c r="B1369" s="75" t="str">
        <f t="shared" si="46"/>
        <v>Pago_de_Hipoteca PF No_Premier Normal Pago_Bajo_Puntual 10 0.103</v>
      </c>
      <c r="C1369" s="75" t="s">
        <v>173</v>
      </c>
      <c r="D1369" s="75" t="s">
        <v>132</v>
      </c>
      <c r="E1369" s="75" t="s">
        <v>179</v>
      </c>
      <c r="F1369" s="75" t="s">
        <v>180</v>
      </c>
      <c r="G1369" s="75"/>
      <c r="H1369" s="75"/>
      <c r="I1369" s="75" t="s">
        <v>170</v>
      </c>
      <c r="J1369" s="76">
        <v>10</v>
      </c>
      <c r="K1369" s="516" t="s">
        <v>386</v>
      </c>
      <c r="L1369" s="517">
        <v>12.62</v>
      </c>
      <c r="M1369" s="517">
        <v>13.28</v>
      </c>
      <c r="N1369" s="518">
        <v>0.10299999999999999</v>
      </c>
      <c r="O1369" s="518">
        <v>0.1</v>
      </c>
      <c r="P1369" s="518">
        <v>0.112</v>
      </c>
      <c r="Q1369" s="78">
        <v>0.44</v>
      </c>
      <c r="R1369" s="78">
        <v>0.31740000000000002</v>
      </c>
      <c r="S1369" s="69">
        <v>0</v>
      </c>
      <c r="T1369" s="69">
        <v>0</v>
      </c>
      <c r="U1369" s="518">
        <v>0.7</v>
      </c>
      <c r="V1369" s="76">
        <v>0</v>
      </c>
      <c r="W1369" s="76">
        <v>0</v>
      </c>
      <c r="X1369" s="76"/>
      <c r="Y1369" s="516" t="s">
        <v>470</v>
      </c>
    </row>
    <row r="1370" spans="1:25" x14ac:dyDescent="0.25">
      <c r="A1370" s="75" t="str">
        <f t="shared" si="47"/>
        <v>Pago_de_Hipoteca PF No_Premier Normal Pago_Bajo_Puntual 9</v>
      </c>
      <c r="B1370" s="75" t="str">
        <f t="shared" si="46"/>
        <v>Pago_de_Hipoteca PF No_Premier Normal Pago_Bajo_Puntual 9 0.0965</v>
      </c>
      <c r="C1370" s="75" t="s">
        <v>173</v>
      </c>
      <c r="D1370" s="75" t="s">
        <v>132</v>
      </c>
      <c r="E1370" s="75" t="s">
        <v>179</v>
      </c>
      <c r="F1370" s="75" t="s">
        <v>180</v>
      </c>
      <c r="G1370" s="75"/>
      <c r="H1370" s="75"/>
      <c r="I1370" s="75" t="s">
        <v>170</v>
      </c>
      <c r="J1370" s="76">
        <v>9</v>
      </c>
      <c r="K1370" s="516" t="s">
        <v>385</v>
      </c>
      <c r="L1370" s="517">
        <v>13.13</v>
      </c>
      <c r="M1370" s="517">
        <v>13.79</v>
      </c>
      <c r="N1370" s="518">
        <v>9.6500000000000002E-2</v>
      </c>
      <c r="O1370" s="518">
        <v>9.1999999999999998E-2</v>
      </c>
      <c r="P1370" s="518">
        <v>0.10249999999999999</v>
      </c>
      <c r="Q1370" s="78">
        <v>0.44</v>
      </c>
      <c r="R1370" s="78">
        <v>0.31740000000000002</v>
      </c>
      <c r="S1370" s="69">
        <v>0</v>
      </c>
      <c r="T1370" s="69">
        <v>0</v>
      </c>
      <c r="U1370" s="518">
        <v>0.7</v>
      </c>
      <c r="V1370" s="76">
        <v>0</v>
      </c>
      <c r="W1370" s="76">
        <v>0</v>
      </c>
      <c r="X1370" s="76"/>
      <c r="Y1370" s="516" t="s">
        <v>470</v>
      </c>
    </row>
    <row r="1371" spans="1:25" x14ac:dyDescent="0.25">
      <c r="A1371" s="75" t="str">
        <f t="shared" si="47"/>
        <v>Pago_de_Hipoteca PF No_Premier Normal Pago_Bajo_Puntual 9</v>
      </c>
      <c r="B1371" s="75" t="str">
        <f t="shared" si="46"/>
        <v>Pago_de_Hipoteca PF No_Premier Normal Pago_Bajo_Puntual 9 0.103</v>
      </c>
      <c r="C1371" s="75" t="s">
        <v>173</v>
      </c>
      <c r="D1371" s="75" t="s">
        <v>132</v>
      </c>
      <c r="E1371" s="75" t="s">
        <v>179</v>
      </c>
      <c r="F1371" s="75" t="s">
        <v>180</v>
      </c>
      <c r="G1371" s="75"/>
      <c r="H1371" s="75"/>
      <c r="I1371" s="75" t="s">
        <v>170</v>
      </c>
      <c r="J1371" s="76">
        <v>9</v>
      </c>
      <c r="K1371" s="516" t="s">
        <v>386</v>
      </c>
      <c r="L1371" s="517">
        <v>13.49</v>
      </c>
      <c r="M1371" s="517">
        <v>14.15</v>
      </c>
      <c r="N1371" s="518">
        <v>0.10299999999999999</v>
      </c>
      <c r="O1371" s="518">
        <v>0.1</v>
      </c>
      <c r="P1371" s="518">
        <v>0.112</v>
      </c>
      <c r="Q1371" s="78">
        <v>0.44</v>
      </c>
      <c r="R1371" s="78">
        <v>0.31740000000000002</v>
      </c>
      <c r="S1371" s="69">
        <v>0</v>
      </c>
      <c r="T1371" s="69">
        <v>0</v>
      </c>
      <c r="U1371" s="518">
        <v>0.7</v>
      </c>
      <c r="V1371" s="76">
        <v>0</v>
      </c>
      <c r="W1371" s="76">
        <v>0</v>
      </c>
      <c r="X1371" s="76"/>
      <c r="Y1371" s="516" t="s">
        <v>470</v>
      </c>
    </row>
    <row r="1372" spans="1:25" x14ac:dyDescent="0.25">
      <c r="A1372" s="75" t="str">
        <f t="shared" si="47"/>
        <v>Pago_de_Hipoteca PF No_Premier Normal Pago_Bajo_Puntual 8</v>
      </c>
      <c r="B1372" s="75" t="str">
        <f t="shared" si="46"/>
        <v>Pago_de_Hipoteca PF No_Premier Normal Pago_Bajo_Puntual 8 0.0965</v>
      </c>
      <c r="C1372" s="75" t="s">
        <v>173</v>
      </c>
      <c r="D1372" s="75" t="s">
        <v>132</v>
      </c>
      <c r="E1372" s="75" t="s">
        <v>179</v>
      </c>
      <c r="F1372" s="75" t="s">
        <v>180</v>
      </c>
      <c r="G1372" s="75"/>
      <c r="H1372" s="75"/>
      <c r="I1372" s="75" t="s">
        <v>170</v>
      </c>
      <c r="J1372" s="76">
        <v>8</v>
      </c>
      <c r="K1372" s="516" t="s">
        <v>385</v>
      </c>
      <c r="L1372" s="517">
        <v>14.25</v>
      </c>
      <c r="M1372" s="517">
        <v>14.91</v>
      </c>
      <c r="N1372" s="518">
        <v>9.6500000000000002E-2</v>
      </c>
      <c r="O1372" s="518">
        <v>9.1999999999999998E-2</v>
      </c>
      <c r="P1372" s="518">
        <v>0.10249999999999999</v>
      </c>
      <c r="Q1372" s="78">
        <v>0.44</v>
      </c>
      <c r="R1372" s="78">
        <v>0.31740000000000002</v>
      </c>
      <c r="S1372" s="69">
        <v>0</v>
      </c>
      <c r="T1372" s="69">
        <v>0</v>
      </c>
      <c r="U1372" s="518">
        <v>0.7</v>
      </c>
      <c r="V1372" s="76">
        <v>0</v>
      </c>
      <c r="W1372" s="76">
        <v>0</v>
      </c>
      <c r="X1372" s="76"/>
      <c r="Y1372" s="516" t="s">
        <v>470</v>
      </c>
    </row>
    <row r="1373" spans="1:25" x14ac:dyDescent="0.25">
      <c r="A1373" s="75" t="str">
        <f t="shared" si="47"/>
        <v>Pago_de_Hipoteca PF No_Premier Normal Pago_Bajo_Puntual 8</v>
      </c>
      <c r="B1373" s="75" t="str">
        <f t="shared" si="46"/>
        <v>Pago_de_Hipoteca PF No_Premier Normal Pago_Bajo_Puntual 8 0.103</v>
      </c>
      <c r="C1373" s="75" t="s">
        <v>173</v>
      </c>
      <c r="D1373" s="75" t="s">
        <v>132</v>
      </c>
      <c r="E1373" s="75" t="s">
        <v>179</v>
      </c>
      <c r="F1373" s="75" t="s">
        <v>180</v>
      </c>
      <c r="G1373" s="75"/>
      <c r="H1373" s="75"/>
      <c r="I1373" s="75" t="s">
        <v>170</v>
      </c>
      <c r="J1373" s="76">
        <v>8</v>
      </c>
      <c r="K1373" s="516" t="s">
        <v>386</v>
      </c>
      <c r="L1373" s="517">
        <v>14.59</v>
      </c>
      <c r="M1373" s="517">
        <v>15.25</v>
      </c>
      <c r="N1373" s="518">
        <v>0.10299999999999999</v>
      </c>
      <c r="O1373" s="518">
        <v>0.1</v>
      </c>
      <c r="P1373" s="518">
        <v>0.112</v>
      </c>
      <c r="Q1373" s="78">
        <v>0.44</v>
      </c>
      <c r="R1373" s="78">
        <v>0.31740000000000002</v>
      </c>
      <c r="S1373" s="69">
        <v>0</v>
      </c>
      <c r="T1373" s="69">
        <v>0</v>
      </c>
      <c r="U1373" s="518">
        <v>0.7</v>
      </c>
      <c r="V1373" s="76">
        <v>0</v>
      </c>
      <c r="W1373" s="76">
        <v>0</v>
      </c>
      <c r="X1373" s="76"/>
      <c r="Y1373" s="516" t="s">
        <v>470</v>
      </c>
    </row>
    <row r="1374" spans="1:25" x14ac:dyDescent="0.25">
      <c r="A1374" s="75" t="str">
        <f t="shared" si="47"/>
        <v>Pago_de_Hipoteca PF No_Premier Normal Pago_Bajo_Puntual 7</v>
      </c>
      <c r="B1374" s="75" t="str">
        <f t="shared" si="46"/>
        <v>Pago_de_Hipoteca PF No_Premier Normal Pago_Bajo_Puntual 7 0.0965</v>
      </c>
      <c r="C1374" s="75" t="s">
        <v>173</v>
      </c>
      <c r="D1374" s="75" t="s">
        <v>132</v>
      </c>
      <c r="E1374" s="75" t="s">
        <v>179</v>
      </c>
      <c r="F1374" s="75" t="s">
        <v>180</v>
      </c>
      <c r="G1374" s="75"/>
      <c r="H1374" s="75"/>
      <c r="I1374" s="75" t="s">
        <v>170</v>
      </c>
      <c r="J1374" s="76">
        <v>7</v>
      </c>
      <c r="K1374" s="516" t="s">
        <v>385</v>
      </c>
      <c r="L1374" s="517">
        <v>15.7</v>
      </c>
      <c r="M1374" s="517">
        <v>16.36</v>
      </c>
      <c r="N1374" s="518">
        <v>9.6500000000000002E-2</v>
      </c>
      <c r="O1374" s="518">
        <v>9.1999999999999998E-2</v>
      </c>
      <c r="P1374" s="518">
        <v>0.10249999999999999</v>
      </c>
      <c r="Q1374" s="78">
        <v>0.44</v>
      </c>
      <c r="R1374" s="78">
        <v>0.31740000000000002</v>
      </c>
      <c r="S1374" s="69">
        <v>0</v>
      </c>
      <c r="T1374" s="69">
        <v>0</v>
      </c>
      <c r="U1374" s="518">
        <v>0.7</v>
      </c>
      <c r="V1374" s="76">
        <v>0</v>
      </c>
      <c r="W1374" s="76">
        <v>0</v>
      </c>
      <c r="X1374" s="76"/>
      <c r="Y1374" s="516" t="s">
        <v>470</v>
      </c>
    </row>
    <row r="1375" spans="1:25" x14ac:dyDescent="0.25">
      <c r="A1375" s="75" t="str">
        <f t="shared" si="47"/>
        <v>Pago_de_Hipoteca PF No_Premier Normal Pago_Bajo_Puntual 7</v>
      </c>
      <c r="B1375" s="75" t="str">
        <f t="shared" si="46"/>
        <v>Pago_de_Hipoteca PF No_Premier Normal Pago_Bajo_Puntual 7 0.103</v>
      </c>
      <c r="C1375" s="75" t="s">
        <v>173</v>
      </c>
      <c r="D1375" s="75" t="s">
        <v>132</v>
      </c>
      <c r="E1375" s="75" t="s">
        <v>179</v>
      </c>
      <c r="F1375" s="75" t="s">
        <v>180</v>
      </c>
      <c r="G1375" s="75"/>
      <c r="H1375" s="75"/>
      <c r="I1375" s="75" t="s">
        <v>170</v>
      </c>
      <c r="J1375" s="76">
        <v>7</v>
      </c>
      <c r="K1375" s="516" t="s">
        <v>386</v>
      </c>
      <c r="L1375" s="517">
        <v>16.03</v>
      </c>
      <c r="M1375" s="517">
        <v>16.690000000000001</v>
      </c>
      <c r="N1375" s="518">
        <v>0.10299999999999999</v>
      </c>
      <c r="O1375" s="518">
        <v>0.1</v>
      </c>
      <c r="P1375" s="518">
        <v>0.112</v>
      </c>
      <c r="Q1375" s="78">
        <v>0.44</v>
      </c>
      <c r="R1375" s="78">
        <v>0.31740000000000002</v>
      </c>
      <c r="S1375" s="69">
        <v>0</v>
      </c>
      <c r="T1375" s="69">
        <v>0</v>
      </c>
      <c r="U1375" s="518">
        <v>0.7</v>
      </c>
      <c r="V1375" s="76">
        <v>0</v>
      </c>
      <c r="W1375" s="76">
        <v>0</v>
      </c>
      <c r="X1375" s="76"/>
      <c r="Y1375" s="516" t="s">
        <v>470</v>
      </c>
    </row>
    <row r="1376" spans="1:25" x14ac:dyDescent="0.25">
      <c r="A1376" s="75" t="str">
        <f t="shared" si="47"/>
        <v>Pago_de_Hipoteca PF No_Premier Normal Pago_Bajo_Puntual 6</v>
      </c>
      <c r="B1376" s="75" t="str">
        <f t="shared" si="46"/>
        <v>Pago_de_Hipoteca PF No_Premier Normal Pago_Bajo_Puntual 6 0.0965</v>
      </c>
      <c r="C1376" s="75" t="s">
        <v>173</v>
      </c>
      <c r="D1376" s="75" t="s">
        <v>132</v>
      </c>
      <c r="E1376" s="75" t="s">
        <v>179</v>
      </c>
      <c r="F1376" s="75" t="s">
        <v>180</v>
      </c>
      <c r="G1376" s="75"/>
      <c r="H1376" s="75"/>
      <c r="I1376" s="75" t="s">
        <v>170</v>
      </c>
      <c r="J1376" s="76">
        <v>6</v>
      </c>
      <c r="K1376" s="516" t="s">
        <v>385</v>
      </c>
      <c r="L1376" s="517">
        <v>17.649999999999999</v>
      </c>
      <c r="M1376" s="517">
        <v>18.309999999999999</v>
      </c>
      <c r="N1376" s="518">
        <v>9.6500000000000002E-2</v>
      </c>
      <c r="O1376" s="518">
        <v>9.1999999999999998E-2</v>
      </c>
      <c r="P1376" s="518">
        <v>0.10249999999999999</v>
      </c>
      <c r="Q1376" s="78">
        <v>0.44</v>
      </c>
      <c r="R1376" s="78">
        <v>0.31740000000000002</v>
      </c>
      <c r="S1376" s="69">
        <v>0</v>
      </c>
      <c r="T1376" s="69">
        <v>0</v>
      </c>
      <c r="U1376" s="518">
        <v>0.7</v>
      </c>
      <c r="V1376" s="76">
        <v>0</v>
      </c>
      <c r="W1376" s="76">
        <v>0</v>
      </c>
      <c r="X1376" s="76"/>
      <c r="Y1376" s="516" t="s">
        <v>470</v>
      </c>
    </row>
    <row r="1377" spans="1:25" x14ac:dyDescent="0.25">
      <c r="A1377" s="75" t="str">
        <f t="shared" si="47"/>
        <v>Pago_de_Hipoteca PF No_Premier Normal Pago_Bajo_Puntual 6</v>
      </c>
      <c r="B1377" s="75" t="str">
        <f t="shared" si="46"/>
        <v>Pago_de_Hipoteca PF No_Premier Normal Pago_Bajo_Puntual 6 0.103</v>
      </c>
      <c r="C1377" s="75" t="s">
        <v>173</v>
      </c>
      <c r="D1377" s="75" t="s">
        <v>132</v>
      </c>
      <c r="E1377" s="75" t="s">
        <v>179</v>
      </c>
      <c r="F1377" s="75" t="s">
        <v>180</v>
      </c>
      <c r="G1377" s="75"/>
      <c r="H1377" s="75"/>
      <c r="I1377" s="75" t="s">
        <v>170</v>
      </c>
      <c r="J1377" s="76">
        <v>6</v>
      </c>
      <c r="K1377" s="516" t="s">
        <v>386</v>
      </c>
      <c r="L1377" s="517">
        <v>17.97</v>
      </c>
      <c r="M1377" s="517">
        <v>18.63</v>
      </c>
      <c r="N1377" s="518">
        <v>0.10299999999999999</v>
      </c>
      <c r="O1377" s="518">
        <v>0.1</v>
      </c>
      <c r="P1377" s="518">
        <v>0.112</v>
      </c>
      <c r="Q1377" s="78">
        <v>0.44</v>
      </c>
      <c r="R1377" s="78">
        <v>0.31740000000000002</v>
      </c>
      <c r="S1377" s="69">
        <v>0</v>
      </c>
      <c r="T1377" s="69">
        <v>0</v>
      </c>
      <c r="U1377" s="518">
        <v>0.7</v>
      </c>
      <c r="V1377" s="76">
        <v>0</v>
      </c>
      <c r="W1377" s="76">
        <v>0</v>
      </c>
      <c r="X1377" s="76"/>
      <c r="Y1377" s="516" t="s">
        <v>470</v>
      </c>
    </row>
    <row r="1378" spans="1:25" x14ac:dyDescent="0.25">
      <c r="A1378" s="75" t="str">
        <f t="shared" si="47"/>
        <v>Pago_de_Hipoteca PF No_Premier Normal Pago_Bajo_Puntual 5</v>
      </c>
      <c r="B1378" s="75" t="str">
        <f t="shared" si="46"/>
        <v>Pago_de_Hipoteca PF No_Premier Normal Pago_Bajo_Puntual 5 0.0965</v>
      </c>
      <c r="C1378" s="75" t="s">
        <v>173</v>
      </c>
      <c r="D1378" s="75" t="s">
        <v>132</v>
      </c>
      <c r="E1378" s="75" t="s">
        <v>179</v>
      </c>
      <c r="F1378" s="75" t="s">
        <v>180</v>
      </c>
      <c r="G1378" s="75"/>
      <c r="H1378" s="75"/>
      <c r="I1378" s="75" t="s">
        <v>170</v>
      </c>
      <c r="J1378" s="76">
        <v>5</v>
      </c>
      <c r="K1378" s="516" t="s">
        <v>385</v>
      </c>
      <c r="L1378" s="517">
        <v>20.399999999999999</v>
      </c>
      <c r="M1378" s="517">
        <v>21.06</v>
      </c>
      <c r="N1378" s="518">
        <v>9.6500000000000002E-2</v>
      </c>
      <c r="O1378" s="518">
        <v>9.1999999999999998E-2</v>
      </c>
      <c r="P1378" s="518">
        <v>0.10249999999999999</v>
      </c>
      <c r="Q1378" s="78">
        <v>0.44</v>
      </c>
      <c r="R1378" s="78">
        <v>0.31740000000000002</v>
      </c>
      <c r="S1378" s="69">
        <v>0</v>
      </c>
      <c r="T1378" s="69">
        <v>0</v>
      </c>
      <c r="U1378" s="518">
        <v>0.7</v>
      </c>
      <c r="V1378" s="76">
        <v>0</v>
      </c>
      <c r="W1378" s="76">
        <v>0</v>
      </c>
      <c r="X1378" s="76"/>
      <c r="Y1378" s="516" t="s">
        <v>470</v>
      </c>
    </row>
    <row r="1379" spans="1:25" x14ac:dyDescent="0.25">
      <c r="A1379" s="75" t="str">
        <f t="shared" si="47"/>
        <v>Pago_de_Hipoteca PF No_Premier Normal Pago_Bajo_Puntual 5</v>
      </c>
      <c r="B1379" s="75" t="str">
        <f t="shared" si="46"/>
        <v>Pago_de_Hipoteca PF No_Premier Normal Pago_Bajo_Puntual 5 0.103</v>
      </c>
      <c r="C1379" s="75" t="s">
        <v>173</v>
      </c>
      <c r="D1379" s="75" t="s">
        <v>132</v>
      </c>
      <c r="E1379" s="75" t="s">
        <v>179</v>
      </c>
      <c r="F1379" s="75" t="s">
        <v>180</v>
      </c>
      <c r="G1379" s="75"/>
      <c r="H1379" s="75"/>
      <c r="I1379" s="75" t="s">
        <v>170</v>
      </c>
      <c r="J1379" s="76">
        <v>5</v>
      </c>
      <c r="K1379" s="516" t="s">
        <v>386</v>
      </c>
      <c r="L1379" s="517">
        <v>20.72</v>
      </c>
      <c r="M1379" s="517">
        <v>21.38</v>
      </c>
      <c r="N1379" s="518">
        <v>0.10299999999999999</v>
      </c>
      <c r="O1379" s="518">
        <v>0.1</v>
      </c>
      <c r="P1379" s="518">
        <v>0.112</v>
      </c>
      <c r="Q1379" s="78">
        <v>0.44</v>
      </c>
      <c r="R1379" s="78">
        <v>0.31740000000000002</v>
      </c>
      <c r="S1379" s="69">
        <v>0</v>
      </c>
      <c r="T1379" s="69">
        <v>0</v>
      </c>
      <c r="U1379" s="518">
        <v>0.7</v>
      </c>
      <c r="V1379" s="76">
        <v>0</v>
      </c>
      <c r="W1379" s="76">
        <v>0</v>
      </c>
      <c r="X1379" s="76"/>
      <c r="Y1379" s="516" t="s">
        <v>470</v>
      </c>
    </row>
    <row r="1380" spans="1:25" x14ac:dyDescent="0.25">
      <c r="A1380" s="75" t="str">
        <f t="shared" si="47"/>
        <v>Pago_de_Hipoteca PF No_Premier Poder Judicial Pago_Fijo_Puntual Si 20</v>
      </c>
      <c r="B1380" s="75" t="str">
        <f t="shared" si="46"/>
        <v>Pago_de_Hipoteca PF No_Premier Poder Judicial Pago_Fijo_Puntual Si 20 0.103</v>
      </c>
      <c r="C1380" s="75" t="s">
        <v>173</v>
      </c>
      <c r="D1380" s="75" t="s">
        <v>132</v>
      </c>
      <c r="E1380" s="75" t="s">
        <v>179</v>
      </c>
      <c r="F1380" s="75" t="s">
        <v>176</v>
      </c>
      <c r="G1380" s="75"/>
      <c r="H1380" s="75"/>
      <c r="I1380" s="75" t="s">
        <v>171</v>
      </c>
      <c r="J1380" s="76">
        <v>20</v>
      </c>
      <c r="K1380" s="519" t="s">
        <v>387</v>
      </c>
      <c r="L1380" s="520">
        <v>10.16</v>
      </c>
      <c r="M1380" s="520">
        <v>10.82</v>
      </c>
      <c r="N1380" s="507">
        <v>0.10299999999999999</v>
      </c>
      <c r="O1380" s="507">
        <v>0.1</v>
      </c>
      <c r="P1380" s="507">
        <v>0.112</v>
      </c>
      <c r="Q1380" s="78">
        <v>0.44</v>
      </c>
      <c r="R1380" s="78">
        <v>0.31740000000000002</v>
      </c>
      <c r="S1380" s="69">
        <v>0</v>
      </c>
      <c r="T1380" s="69">
        <v>0</v>
      </c>
      <c r="U1380" s="507">
        <v>0.85</v>
      </c>
      <c r="V1380" s="76">
        <v>0</v>
      </c>
      <c r="W1380" s="76">
        <v>0</v>
      </c>
      <c r="X1380" s="76" t="s">
        <v>147</v>
      </c>
      <c r="Y1380" s="519" t="s">
        <v>469</v>
      </c>
    </row>
    <row r="1381" spans="1:25" x14ac:dyDescent="0.25">
      <c r="A1381" s="75" t="str">
        <f t="shared" si="47"/>
        <v>Pago_de_Hipoteca PF No_Premier Poder Judicial Pago_Fijo_Puntual 20</v>
      </c>
      <c r="B1381" s="75" t="str">
        <f t="shared" si="46"/>
        <v>Pago_de_Hipoteca PF No_Premier Poder Judicial Pago_Fijo_Puntual 20 0.106</v>
      </c>
      <c r="C1381" s="75" t="s">
        <v>173</v>
      </c>
      <c r="D1381" s="75" t="s">
        <v>132</v>
      </c>
      <c r="E1381" s="75" t="s">
        <v>179</v>
      </c>
      <c r="F1381" s="75" t="s">
        <v>176</v>
      </c>
      <c r="G1381" s="75"/>
      <c r="H1381" s="75"/>
      <c r="I1381" s="75" t="s">
        <v>171</v>
      </c>
      <c r="J1381" s="76">
        <v>20</v>
      </c>
      <c r="K1381" s="519">
        <v>3</v>
      </c>
      <c r="L1381" s="520">
        <v>10.4</v>
      </c>
      <c r="M1381" s="520">
        <v>11.06</v>
      </c>
      <c r="N1381" s="507">
        <v>0.106</v>
      </c>
      <c r="O1381" s="507">
        <v>0.10299999999999999</v>
      </c>
      <c r="P1381" s="507">
        <v>0.11799999999999999</v>
      </c>
      <c r="Q1381" s="78">
        <v>0.44</v>
      </c>
      <c r="R1381" s="78">
        <v>0.31740000000000002</v>
      </c>
      <c r="S1381" s="69">
        <v>0</v>
      </c>
      <c r="T1381" s="69">
        <v>0</v>
      </c>
      <c r="U1381" s="507">
        <v>0.85</v>
      </c>
      <c r="V1381" s="76">
        <v>0</v>
      </c>
      <c r="W1381" s="76">
        <v>0</v>
      </c>
      <c r="X1381" s="76"/>
      <c r="Y1381" s="519" t="s">
        <v>469</v>
      </c>
    </row>
    <row r="1382" spans="1:25" x14ac:dyDescent="0.25">
      <c r="A1382" s="75" t="str">
        <f t="shared" si="47"/>
        <v>Pago_de_Hipoteca PF No_Premier Poder Judicial Pago_Fijo_Puntual Si 19</v>
      </c>
      <c r="B1382" s="75" t="str">
        <f t="shared" ref="B1382:B1445" si="48">CONCATENATE(A1382," ",N1382)</f>
        <v>Pago_de_Hipoteca PF No_Premier Poder Judicial Pago_Fijo_Puntual Si 19 0.103</v>
      </c>
      <c r="C1382" s="75" t="s">
        <v>173</v>
      </c>
      <c r="D1382" s="75" t="s">
        <v>132</v>
      </c>
      <c r="E1382" s="75" t="s">
        <v>179</v>
      </c>
      <c r="F1382" s="75" t="s">
        <v>176</v>
      </c>
      <c r="G1382" s="75"/>
      <c r="H1382" s="75"/>
      <c r="I1382" s="75" t="s">
        <v>171</v>
      </c>
      <c r="J1382" s="76">
        <v>19</v>
      </c>
      <c r="K1382" s="519" t="s">
        <v>387</v>
      </c>
      <c r="L1382" s="520">
        <v>10.3</v>
      </c>
      <c r="M1382" s="520">
        <v>10.96</v>
      </c>
      <c r="N1382" s="507">
        <v>0.10299999999999999</v>
      </c>
      <c r="O1382" s="507">
        <v>0.1</v>
      </c>
      <c r="P1382" s="507">
        <v>0.112</v>
      </c>
      <c r="Q1382" s="78">
        <v>0.44</v>
      </c>
      <c r="R1382" s="78">
        <v>0.31740000000000002</v>
      </c>
      <c r="S1382" s="69">
        <v>0</v>
      </c>
      <c r="T1382" s="69">
        <v>0</v>
      </c>
      <c r="U1382" s="507">
        <v>0.85</v>
      </c>
      <c r="V1382" s="76">
        <v>0</v>
      </c>
      <c r="W1382" s="76">
        <v>0</v>
      </c>
      <c r="X1382" s="76" t="s">
        <v>147</v>
      </c>
      <c r="Y1382" s="519" t="s">
        <v>469</v>
      </c>
    </row>
    <row r="1383" spans="1:25" x14ac:dyDescent="0.25">
      <c r="A1383" s="75" t="str">
        <f t="shared" ref="A1383:A1446" si="49">TRIM(CONCATENATE(C1383," ",D1383," ",E1383," ",F1383," ",G1383," ",I1383," ",X1383," ",J1383))</f>
        <v>Pago_de_Hipoteca PF No_Premier Poder Judicial Pago_Fijo_Puntual 19</v>
      </c>
      <c r="B1383" s="75" t="str">
        <f t="shared" si="48"/>
        <v>Pago_de_Hipoteca PF No_Premier Poder Judicial Pago_Fijo_Puntual 19 0.106</v>
      </c>
      <c r="C1383" s="75" t="s">
        <v>173</v>
      </c>
      <c r="D1383" s="75" t="s">
        <v>132</v>
      </c>
      <c r="E1383" s="75" t="s">
        <v>179</v>
      </c>
      <c r="F1383" s="75" t="s">
        <v>176</v>
      </c>
      <c r="G1383" s="75"/>
      <c r="H1383" s="75"/>
      <c r="I1383" s="75" t="s">
        <v>171</v>
      </c>
      <c r="J1383" s="76">
        <v>19</v>
      </c>
      <c r="K1383" s="519">
        <v>3</v>
      </c>
      <c r="L1383" s="520">
        <v>10.54</v>
      </c>
      <c r="M1383" s="520">
        <v>11.2</v>
      </c>
      <c r="N1383" s="507">
        <v>0.106</v>
      </c>
      <c r="O1383" s="507">
        <v>0.10299999999999999</v>
      </c>
      <c r="P1383" s="507">
        <v>0.11799999999999999</v>
      </c>
      <c r="Q1383" s="78">
        <v>0.44</v>
      </c>
      <c r="R1383" s="78">
        <v>0.31740000000000002</v>
      </c>
      <c r="S1383" s="69">
        <v>0</v>
      </c>
      <c r="T1383" s="69">
        <v>0</v>
      </c>
      <c r="U1383" s="507">
        <v>0.85</v>
      </c>
      <c r="V1383" s="76">
        <v>0</v>
      </c>
      <c r="W1383" s="76">
        <v>0</v>
      </c>
      <c r="X1383" s="76"/>
      <c r="Y1383" s="519" t="s">
        <v>469</v>
      </c>
    </row>
    <row r="1384" spans="1:25" x14ac:dyDescent="0.25">
      <c r="A1384" s="75" t="str">
        <f t="shared" si="49"/>
        <v>Pago_de_Hipoteca PF No_Premier Poder Judicial Pago_Fijo_Puntual Si 18</v>
      </c>
      <c r="B1384" s="75" t="str">
        <f t="shared" si="48"/>
        <v>Pago_de_Hipoteca PF No_Premier Poder Judicial Pago_Fijo_Puntual Si 18 0.103</v>
      </c>
      <c r="C1384" s="75" t="s">
        <v>173</v>
      </c>
      <c r="D1384" s="75" t="s">
        <v>132</v>
      </c>
      <c r="E1384" s="75" t="s">
        <v>179</v>
      </c>
      <c r="F1384" s="75" t="s">
        <v>176</v>
      </c>
      <c r="G1384" s="75"/>
      <c r="H1384" s="75"/>
      <c r="I1384" s="75" t="s">
        <v>171</v>
      </c>
      <c r="J1384" s="76">
        <v>18</v>
      </c>
      <c r="K1384" s="519" t="s">
        <v>387</v>
      </c>
      <c r="L1384" s="520">
        <v>10.47</v>
      </c>
      <c r="M1384" s="520">
        <v>11.13</v>
      </c>
      <c r="N1384" s="507">
        <v>0.10299999999999999</v>
      </c>
      <c r="O1384" s="507">
        <v>0.1</v>
      </c>
      <c r="P1384" s="507">
        <v>0.112</v>
      </c>
      <c r="Q1384" s="78">
        <v>0.44</v>
      </c>
      <c r="R1384" s="78">
        <v>0.31740000000000002</v>
      </c>
      <c r="S1384" s="69">
        <v>0</v>
      </c>
      <c r="T1384" s="69">
        <v>0</v>
      </c>
      <c r="U1384" s="507">
        <v>0.85</v>
      </c>
      <c r="V1384" s="76">
        <v>0</v>
      </c>
      <c r="W1384" s="76">
        <v>0</v>
      </c>
      <c r="X1384" s="76" t="s">
        <v>147</v>
      </c>
      <c r="Y1384" s="519" t="s">
        <v>469</v>
      </c>
    </row>
    <row r="1385" spans="1:25" x14ac:dyDescent="0.25">
      <c r="A1385" s="75" t="str">
        <f t="shared" si="49"/>
        <v>Pago_de_Hipoteca PF No_Premier Poder Judicial Pago_Fijo_Puntual 18</v>
      </c>
      <c r="B1385" s="75" t="str">
        <f t="shared" si="48"/>
        <v>Pago_de_Hipoteca PF No_Premier Poder Judicial Pago_Fijo_Puntual 18 0.106</v>
      </c>
      <c r="C1385" s="75" t="s">
        <v>173</v>
      </c>
      <c r="D1385" s="75" t="s">
        <v>132</v>
      </c>
      <c r="E1385" s="75" t="s">
        <v>179</v>
      </c>
      <c r="F1385" s="75" t="s">
        <v>176</v>
      </c>
      <c r="G1385" s="75"/>
      <c r="H1385" s="75"/>
      <c r="I1385" s="75" t="s">
        <v>171</v>
      </c>
      <c r="J1385" s="76">
        <v>18</v>
      </c>
      <c r="K1385" s="519">
        <v>3</v>
      </c>
      <c r="L1385" s="520">
        <v>10.71</v>
      </c>
      <c r="M1385" s="520">
        <v>11.37</v>
      </c>
      <c r="N1385" s="507">
        <v>0.106</v>
      </c>
      <c r="O1385" s="507">
        <v>0.10299999999999999</v>
      </c>
      <c r="P1385" s="507">
        <v>0.11799999999999999</v>
      </c>
      <c r="Q1385" s="78">
        <v>0.44</v>
      </c>
      <c r="R1385" s="78">
        <v>0.31740000000000002</v>
      </c>
      <c r="S1385" s="69">
        <v>0</v>
      </c>
      <c r="T1385" s="69">
        <v>0</v>
      </c>
      <c r="U1385" s="507">
        <v>0.85</v>
      </c>
      <c r="V1385" s="76">
        <v>0</v>
      </c>
      <c r="W1385" s="76">
        <v>0</v>
      </c>
      <c r="X1385" s="76"/>
      <c r="Y1385" s="519" t="s">
        <v>469</v>
      </c>
    </row>
    <row r="1386" spans="1:25" x14ac:dyDescent="0.25">
      <c r="A1386" s="75" t="str">
        <f t="shared" si="49"/>
        <v>Pago_de_Hipoteca PF No_Premier Poder Judicial Pago_Fijo_Puntual Si 17</v>
      </c>
      <c r="B1386" s="75" t="str">
        <f t="shared" si="48"/>
        <v>Pago_de_Hipoteca PF No_Premier Poder Judicial Pago_Fijo_Puntual Si 17 0.103</v>
      </c>
      <c r="C1386" s="75" t="s">
        <v>173</v>
      </c>
      <c r="D1386" s="75" t="s">
        <v>132</v>
      </c>
      <c r="E1386" s="75" t="s">
        <v>179</v>
      </c>
      <c r="F1386" s="75" t="s">
        <v>176</v>
      </c>
      <c r="G1386" s="75"/>
      <c r="H1386" s="75"/>
      <c r="I1386" s="75" t="s">
        <v>171</v>
      </c>
      <c r="J1386" s="76">
        <v>17</v>
      </c>
      <c r="K1386" s="519" t="s">
        <v>387</v>
      </c>
      <c r="L1386" s="520">
        <v>10.67</v>
      </c>
      <c r="M1386" s="520">
        <v>11.33</v>
      </c>
      <c r="N1386" s="507">
        <v>0.10299999999999999</v>
      </c>
      <c r="O1386" s="507">
        <v>0.1</v>
      </c>
      <c r="P1386" s="507">
        <v>0.112</v>
      </c>
      <c r="Q1386" s="78">
        <v>0.44</v>
      </c>
      <c r="R1386" s="78">
        <v>0.31740000000000002</v>
      </c>
      <c r="S1386" s="69">
        <v>0</v>
      </c>
      <c r="T1386" s="69">
        <v>0</v>
      </c>
      <c r="U1386" s="507">
        <v>0.85</v>
      </c>
      <c r="V1386" s="76">
        <v>0</v>
      </c>
      <c r="W1386" s="76">
        <v>0</v>
      </c>
      <c r="X1386" s="76" t="s">
        <v>147</v>
      </c>
      <c r="Y1386" s="519" t="s">
        <v>469</v>
      </c>
    </row>
    <row r="1387" spans="1:25" x14ac:dyDescent="0.25">
      <c r="A1387" s="75" t="str">
        <f t="shared" si="49"/>
        <v>Pago_de_Hipoteca PF No_Premier Poder Judicial Pago_Fijo_Puntual 17</v>
      </c>
      <c r="B1387" s="75" t="str">
        <f t="shared" si="48"/>
        <v>Pago_de_Hipoteca PF No_Premier Poder Judicial Pago_Fijo_Puntual 17 0.106</v>
      </c>
      <c r="C1387" s="75" t="s">
        <v>173</v>
      </c>
      <c r="D1387" s="75" t="s">
        <v>132</v>
      </c>
      <c r="E1387" s="75" t="s">
        <v>179</v>
      </c>
      <c r="F1387" s="75" t="s">
        <v>176</v>
      </c>
      <c r="G1387" s="75"/>
      <c r="H1387" s="75"/>
      <c r="I1387" s="75" t="s">
        <v>171</v>
      </c>
      <c r="J1387" s="76">
        <v>17</v>
      </c>
      <c r="K1387" s="519">
        <v>3</v>
      </c>
      <c r="L1387" s="520">
        <v>10.9</v>
      </c>
      <c r="M1387" s="520">
        <v>11.56</v>
      </c>
      <c r="N1387" s="507">
        <v>0.106</v>
      </c>
      <c r="O1387" s="507">
        <v>0.10299999999999999</v>
      </c>
      <c r="P1387" s="507">
        <v>0.11799999999999999</v>
      </c>
      <c r="Q1387" s="78">
        <v>0.44</v>
      </c>
      <c r="R1387" s="78">
        <v>0.31740000000000002</v>
      </c>
      <c r="S1387" s="69">
        <v>0</v>
      </c>
      <c r="T1387" s="69">
        <v>0</v>
      </c>
      <c r="U1387" s="507">
        <v>0.85</v>
      </c>
      <c r="V1387" s="76">
        <v>0</v>
      </c>
      <c r="W1387" s="76">
        <v>0</v>
      </c>
      <c r="X1387" s="76"/>
      <c r="Y1387" s="519" t="s">
        <v>469</v>
      </c>
    </row>
    <row r="1388" spans="1:25" x14ac:dyDescent="0.25">
      <c r="A1388" s="75" t="str">
        <f t="shared" si="49"/>
        <v>Pago_de_Hipoteca PF No_Premier Poder Judicial Pago_Fijo_Puntual Si 16</v>
      </c>
      <c r="B1388" s="75" t="str">
        <f t="shared" si="48"/>
        <v>Pago_de_Hipoteca PF No_Premier Poder Judicial Pago_Fijo_Puntual Si 16 0.103</v>
      </c>
      <c r="C1388" s="75" t="s">
        <v>173</v>
      </c>
      <c r="D1388" s="75" t="s">
        <v>132</v>
      </c>
      <c r="E1388" s="75" t="s">
        <v>179</v>
      </c>
      <c r="F1388" s="75" t="s">
        <v>176</v>
      </c>
      <c r="G1388" s="75"/>
      <c r="H1388" s="75"/>
      <c r="I1388" s="75" t="s">
        <v>171</v>
      </c>
      <c r="J1388" s="76">
        <v>16</v>
      </c>
      <c r="K1388" s="519" t="s">
        <v>387</v>
      </c>
      <c r="L1388" s="520">
        <v>10.9</v>
      </c>
      <c r="M1388" s="520">
        <v>11.56</v>
      </c>
      <c r="N1388" s="507">
        <v>0.10299999999999999</v>
      </c>
      <c r="O1388" s="507">
        <v>0.1</v>
      </c>
      <c r="P1388" s="507">
        <v>0.112</v>
      </c>
      <c r="Q1388" s="78">
        <v>0.44</v>
      </c>
      <c r="R1388" s="78">
        <v>0.31740000000000002</v>
      </c>
      <c r="S1388" s="69">
        <v>0</v>
      </c>
      <c r="T1388" s="69">
        <v>0</v>
      </c>
      <c r="U1388" s="507">
        <v>0.85</v>
      </c>
      <c r="V1388" s="76">
        <v>0</v>
      </c>
      <c r="W1388" s="76">
        <v>0</v>
      </c>
      <c r="X1388" s="76" t="s">
        <v>147</v>
      </c>
      <c r="Y1388" s="519" t="s">
        <v>469</v>
      </c>
    </row>
    <row r="1389" spans="1:25" x14ac:dyDescent="0.25">
      <c r="A1389" s="75" t="str">
        <f t="shared" si="49"/>
        <v>Pago_de_Hipoteca PF No_Premier Poder Judicial Pago_Fijo_Puntual 16</v>
      </c>
      <c r="B1389" s="75" t="str">
        <f t="shared" si="48"/>
        <v>Pago_de_Hipoteca PF No_Premier Poder Judicial Pago_Fijo_Puntual 16 0.106</v>
      </c>
      <c r="C1389" s="75" t="s">
        <v>173</v>
      </c>
      <c r="D1389" s="75" t="s">
        <v>132</v>
      </c>
      <c r="E1389" s="75" t="s">
        <v>179</v>
      </c>
      <c r="F1389" s="75" t="s">
        <v>176</v>
      </c>
      <c r="G1389" s="75"/>
      <c r="H1389" s="75"/>
      <c r="I1389" s="75" t="s">
        <v>171</v>
      </c>
      <c r="J1389" s="76">
        <v>16</v>
      </c>
      <c r="K1389" s="519">
        <v>3</v>
      </c>
      <c r="L1389" s="520">
        <v>11.12</v>
      </c>
      <c r="M1389" s="520">
        <v>11.78</v>
      </c>
      <c r="N1389" s="507">
        <v>0.106</v>
      </c>
      <c r="O1389" s="507">
        <v>0.10299999999999999</v>
      </c>
      <c r="P1389" s="507">
        <v>0.11799999999999999</v>
      </c>
      <c r="Q1389" s="78">
        <v>0.44</v>
      </c>
      <c r="R1389" s="78">
        <v>0.31740000000000002</v>
      </c>
      <c r="S1389" s="69">
        <v>0</v>
      </c>
      <c r="T1389" s="69">
        <v>0</v>
      </c>
      <c r="U1389" s="507">
        <v>0.85</v>
      </c>
      <c r="V1389" s="76">
        <v>0</v>
      </c>
      <c r="W1389" s="76">
        <v>0</v>
      </c>
      <c r="X1389" s="76"/>
      <c r="Y1389" s="519" t="s">
        <v>469</v>
      </c>
    </row>
    <row r="1390" spans="1:25" x14ac:dyDescent="0.25">
      <c r="A1390" s="75" t="str">
        <f t="shared" si="49"/>
        <v>Pago_de_Hipoteca PF No_Premier Poder Judicial Pago_Fijo_Puntual Si 15</v>
      </c>
      <c r="B1390" s="75" t="str">
        <f t="shared" si="48"/>
        <v>Pago_de_Hipoteca PF No_Premier Poder Judicial Pago_Fijo_Puntual Si 15 0.103</v>
      </c>
      <c r="C1390" s="75" t="s">
        <v>173</v>
      </c>
      <c r="D1390" s="75" t="s">
        <v>132</v>
      </c>
      <c r="E1390" s="75" t="s">
        <v>179</v>
      </c>
      <c r="F1390" s="75" t="s">
        <v>176</v>
      </c>
      <c r="G1390" s="75"/>
      <c r="H1390" s="75"/>
      <c r="I1390" s="75" t="s">
        <v>171</v>
      </c>
      <c r="J1390" s="76">
        <v>15</v>
      </c>
      <c r="K1390" s="519" t="s">
        <v>387</v>
      </c>
      <c r="L1390" s="520">
        <v>11.18</v>
      </c>
      <c r="M1390" s="520">
        <v>11.84</v>
      </c>
      <c r="N1390" s="507">
        <v>0.10299999999999999</v>
      </c>
      <c r="O1390" s="507">
        <v>0.1</v>
      </c>
      <c r="P1390" s="507">
        <v>0.112</v>
      </c>
      <c r="Q1390" s="78">
        <v>0.44</v>
      </c>
      <c r="R1390" s="78">
        <v>0.31740000000000002</v>
      </c>
      <c r="S1390" s="69">
        <v>0</v>
      </c>
      <c r="T1390" s="69">
        <v>0</v>
      </c>
      <c r="U1390" s="507">
        <v>0.85</v>
      </c>
      <c r="V1390" s="76">
        <v>0</v>
      </c>
      <c r="W1390" s="76">
        <v>0</v>
      </c>
      <c r="X1390" s="76" t="s">
        <v>147</v>
      </c>
      <c r="Y1390" s="519" t="s">
        <v>469</v>
      </c>
    </row>
    <row r="1391" spans="1:25" x14ac:dyDescent="0.25">
      <c r="A1391" s="75" t="str">
        <f t="shared" si="49"/>
        <v>Pago_de_Hipoteca PF No_Premier Poder Judicial Pago_Fijo_Puntual 15</v>
      </c>
      <c r="B1391" s="75" t="str">
        <f t="shared" si="48"/>
        <v>Pago_de_Hipoteca PF No_Premier Poder Judicial Pago_Fijo_Puntual 15 0.106</v>
      </c>
      <c r="C1391" s="75" t="s">
        <v>173</v>
      </c>
      <c r="D1391" s="75" t="s">
        <v>132</v>
      </c>
      <c r="E1391" s="75" t="s">
        <v>179</v>
      </c>
      <c r="F1391" s="75" t="s">
        <v>176</v>
      </c>
      <c r="G1391" s="75"/>
      <c r="H1391" s="75"/>
      <c r="I1391" s="75" t="s">
        <v>171</v>
      </c>
      <c r="J1391" s="76">
        <v>15</v>
      </c>
      <c r="K1391" s="519">
        <v>3</v>
      </c>
      <c r="L1391" s="520">
        <v>11.38</v>
      </c>
      <c r="M1391" s="520">
        <v>12.04</v>
      </c>
      <c r="N1391" s="507">
        <v>0.106</v>
      </c>
      <c r="O1391" s="507">
        <v>0.10299999999999999</v>
      </c>
      <c r="P1391" s="507">
        <v>0.11799999999999999</v>
      </c>
      <c r="Q1391" s="78">
        <v>0.44</v>
      </c>
      <c r="R1391" s="78">
        <v>0.31740000000000002</v>
      </c>
      <c r="S1391" s="69">
        <v>0</v>
      </c>
      <c r="T1391" s="69">
        <v>0</v>
      </c>
      <c r="U1391" s="507">
        <v>0.85</v>
      </c>
      <c r="V1391" s="76">
        <v>0</v>
      </c>
      <c r="W1391" s="76">
        <v>0</v>
      </c>
      <c r="X1391" s="76"/>
      <c r="Y1391" s="519" t="s">
        <v>469</v>
      </c>
    </row>
    <row r="1392" spans="1:25" x14ac:dyDescent="0.25">
      <c r="A1392" s="75" t="str">
        <f t="shared" si="49"/>
        <v>Pago_de_Hipoteca PF No_Premier Poder Judicial Pago_Fijo_Puntual Si 14</v>
      </c>
      <c r="B1392" s="75" t="str">
        <f t="shared" si="48"/>
        <v>Pago_de_Hipoteca PF No_Premier Poder Judicial Pago_Fijo_Puntual Si 14 0.103</v>
      </c>
      <c r="C1392" s="75" t="s">
        <v>173</v>
      </c>
      <c r="D1392" s="75" t="s">
        <v>132</v>
      </c>
      <c r="E1392" s="75" t="s">
        <v>179</v>
      </c>
      <c r="F1392" s="75" t="s">
        <v>176</v>
      </c>
      <c r="G1392" s="75"/>
      <c r="H1392" s="75"/>
      <c r="I1392" s="75" t="s">
        <v>171</v>
      </c>
      <c r="J1392" s="76">
        <v>14</v>
      </c>
      <c r="K1392" s="519" t="s">
        <v>387</v>
      </c>
      <c r="L1392" s="520">
        <v>11.49</v>
      </c>
      <c r="M1392" s="520">
        <v>12.15</v>
      </c>
      <c r="N1392" s="507">
        <v>0.10299999999999999</v>
      </c>
      <c r="O1392" s="507">
        <v>0.1</v>
      </c>
      <c r="P1392" s="507">
        <v>0.112</v>
      </c>
      <c r="Q1392" s="78">
        <v>0.44</v>
      </c>
      <c r="R1392" s="78">
        <v>0.31740000000000002</v>
      </c>
      <c r="S1392" s="69">
        <v>0</v>
      </c>
      <c r="T1392" s="69">
        <v>0</v>
      </c>
      <c r="U1392" s="507">
        <v>0.85</v>
      </c>
      <c r="V1392" s="76">
        <v>0</v>
      </c>
      <c r="W1392" s="76">
        <v>0</v>
      </c>
      <c r="X1392" s="76" t="s">
        <v>147</v>
      </c>
      <c r="Y1392" s="519" t="s">
        <v>469</v>
      </c>
    </row>
    <row r="1393" spans="1:25" x14ac:dyDescent="0.25">
      <c r="A1393" s="75" t="str">
        <f t="shared" si="49"/>
        <v>Pago_de_Hipoteca PF No_Premier Poder Judicial Pago_Fijo_Puntual 14</v>
      </c>
      <c r="B1393" s="75" t="str">
        <f t="shared" si="48"/>
        <v>Pago_de_Hipoteca PF No_Premier Poder Judicial Pago_Fijo_Puntual 14 0.106</v>
      </c>
      <c r="C1393" s="75" t="s">
        <v>173</v>
      </c>
      <c r="D1393" s="75" t="s">
        <v>132</v>
      </c>
      <c r="E1393" s="75" t="s">
        <v>179</v>
      </c>
      <c r="F1393" s="75" t="s">
        <v>176</v>
      </c>
      <c r="G1393" s="75"/>
      <c r="H1393" s="75"/>
      <c r="I1393" s="75" t="s">
        <v>171</v>
      </c>
      <c r="J1393" s="76">
        <v>14</v>
      </c>
      <c r="K1393" s="519">
        <v>3</v>
      </c>
      <c r="L1393" s="520">
        <v>11.69</v>
      </c>
      <c r="M1393" s="520">
        <v>12.35</v>
      </c>
      <c r="N1393" s="507">
        <v>0.106</v>
      </c>
      <c r="O1393" s="507">
        <v>0.10299999999999999</v>
      </c>
      <c r="P1393" s="507">
        <v>0.11799999999999999</v>
      </c>
      <c r="Q1393" s="78">
        <v>0.44</v>
      </c>
      <c r="R1393" s="78">
        <v>0.31740000000000002</v>
      </c>
      <c r="S1393" s="69">
        <v>0</v>
      </c>
      <c r="T1393" s="69">
        <v>0</v>
      </c>
      <c r="U1393" s="507">
        <v>0.85</v>
      </c>
      <c r="V1393" s="76">
        <v>0</v>
      </c>
      <c r="W1393" s="76">
        <v>0</v>
      </c>
      <c r="X1393" s="76"/>
      <c r="Y1393" s="519" t="s">
        <v>469</v>
      </c>
    </row>
    <row r="1394" spans="1:25" x14ac:dyDescent="0.25">
      <c r="A1394" s="75" t="str">
        <f t="shared" si="49"/>
        <v>Pago_de_Hipoteca PF No_Premier Poder Judicial Pago_Fijo_Puntual Si 13</v>
      </c>
      <c r="B1394" s="75" t="str">
        <f t="shared" si="48"/>
        <v>Pago_de_Hipoteca PF No_Premier Poder Judicial Pago_Fijo_Puntual Si 13 0.103</v>
      </c>
      <c r="C1394" s="75" t="s">
        <v>173</v>
      </c>
      <c r="D1394" s="75" t="s">
        <v>132</v>
      </c>
      <c r="E1394" s="75" t="s">
        <v>179</v>
      </c>
      <c r="F1394" s="75" t="s">
        <v>176</v>
      </c>
      <c r="G1394" s="75"/>
      <c r="H1394" s="75"/>
      <c r="I1394" s="75" t="s">
        <v>171</v>
      </c>
      <c r="J1394" s="76">
        <v>13</v>
      </c>
      <c r="K1394" s="519" t="s">
        <v>387</v>
      </c>
      <c r="L1394" s="520">
        <v>11.86</v>
      </c>
      <c r="M1394" s="520">
        <v>12.52</v>
      </c>
      <c r="N1394" s="507">
        <v>0.10299999999999999</v>
      </c>
      <c r="O1394" s="507">
        <v>0.1</v>
      </c>
      <c r="P1394" s="507">
        <v>0.112</v>
      </c>
      <c r="Q1394" s="78">
        <v>0.44</v>
      </c>
      <c r="R1394" s="78">
        <v>0.31740000000000002</v>
      </c>
      <c r="S1394" s="69">
        <v>0</v>
      </c>
      <c r="T1394" s="69">
        <v>0</v>
      </c>
      <c r="U1394" s="507">
        <v>0.85</v>
      </c>
      <c r="V1394" s="76">
        <v>0</v>
      </c>
      <c r="W1394" s="76">
        <v>0</v>
      </c>
      <c r="X1394" s="76" t="s">
        <v>147</v>
      </c>
      <c r="Y1394" s="519" t="s">
        <v>469</v>
      </c>
    </row>
    <row r="1395" spans="1:25" x14ac:dyDescent="0.25">
      <c r="A1395" s="75" t="str">
        <f t="shared" si="49"/>
        <v>Pago_de_Hipoteca PF No_Premier Poder Judicial Pago_Fijo_Puntual 13</v>
      </c>
      <c r="B1395" s="75" t="str">
        <f t="shared" si="48"/>
        <v>Pago_de_Hipoteca PF No_Premier Poder Judicial Pago_Fijo_Puntual 13 0.106</v>
      </c>
      <c r="C1395" s="75" t="s">
        <v>173</v>
      </c>
      <c r="D1395" s="75" t="s">
        <v>132</v>
      </c>
      <c r="E1395" s="75" t="s">
        <v>179</v>
      </c>
      <c r="F1395" s="75" t="s">
        <v>176</v>
      </c>
      <c r="G1395" s="75"/>
      <c r="H1395" s="75"/>
      <c r="I1395" s="75" t="s">
        <v>171</v>
      </c>
      <c r="J1395" s="76">
        <v>13</v>
      </c>
      <c r="K1395" s="519">
        <v>3</v>
      </c>
      <c r="L1395" s="520">
        <v>12.06</v>
      </c>
      <c r="M1395" s="520">
        <v>12.72</v>
      </c>
      <c r="N1395" s="507">
        <v>0.106</v>
      </c>
      <c r="O1395" s="507">
        <v>0.10299999999999999</v>
      </c>
      <c r="P1395" s="507">
        <v>0.11799999999999999</v>
      </c>
      <c r="Q1395" s="78">
        <v>0.44</v>
      </c>
      <c r="R1395" s="78">
        <v>0.31740000000000002</v>
      </c>
      <c r="S1395" s="69">
        <v>0</v>
      </c>
      <c r="T1395" s="69">
        <v>0</v>
      </c>
      <c r="U1395" s="507">
        <v>0.85</v>
      </c>
      <c r="V1395" s="76">
        <v>0</v>
      </c>
      <c r="W1395" s="76">
        <v>0</v>
      </c>
      <c r="X1395" s="76"/>
      <c r="Y1395" s="519" t="s">
        <v>469</v>
      </c>
    </row>
    <row r="1396" spans="1:25" x14ac:dyDescent="0.25">
      <c r="A1396" s="75" t="str">
        <f t="shared" si="49"/>
        <v>Pago_de_Hipoteca PF No_Premier Poder Judicial Pago_Fijo_Puntual Si 12</v>
      </c>
      <c r="B1396" s="75" t="str">
        <f t="shared" si="48"/>
        <v>Pago_de_Hipoteca PF No_Premier Poder Judicial Pago_Fijo_Puntual Si 12 0.103</v>
      </c>
      <c r="C1396" s="75" t="s">
        <v>173</v>
      </c>
      <c r="D1396" s="75" t="s">
        <v>132</v>
      </c>
      <c r="E1396" s="75" t="s">
        <v>179</v>
      </c>
      <c r="F1396" s="75" t="s">
        <v>176</v>
      </c>
      <c r="G1396" s="75"/>
      <c r="H1396" s="75"/>
      <c r="I1396" s="75" t="s">
        <v>171</v>
      </c>
      <c r="J1396" s="76">
        <v>12</v>
      </c>
      <c r="K1396" s="519" t="s">
        <v>387</v>
      </c>
      <c r="L1396" s="520">
        <v>12.31</v>
      </c>
      <c r="M1396" s="520">
        <v>12.97</v>
      </c>
      <c r="N1396" s="507">
        <v>0.10299999999999999</v>
      </c>
      <c r="O1396" s="507">
        <v>0.1</v>
      </c>
      <c r="P1396" s="507">
        <v>0.112</v>
      </c>
      <c r="Q1396" s="78">
        <v>0.44</v>
      </c>
      <c r="R1396" s="78">
        <v>0.31740000000000002</v>
      </c>
      <c r="S1396" s="69">
        <v>0</v>
      </c>
      <c r="T1396" s="69">
        <v>0</v>
      </c>
      <c r="U1396" s="507">
        <v>0.85</v>
      </c>
      <c r="V1396" s="76">
        <v>0</v>
      </c>
      <c r="W1396" s="76">
        <v>0</v>
      </c>
      <c r="X1396" s="76" t="s">
        <v>147</v>
      </c>
      <c r="Y1396" s="519" t="s">
        <v>469</v>
      </c>
    </row>
    <row r="1397" spans="1:25" x14ac:dyDescent="0.25">
      <c r="A1397" s="75" t="str">
        <f t="shared" si="49"/>
        <v>Pago_de_Hipoteca PF No_Premier Poder Judicial Pago_Fijo_Puntual 12</v>
      </c>
      <c r="B1397" s="75" t="str">
        <f t="shared" si="48"/>
        <v>Pago_de_Hipoteca PF No_Premier Poder Judicial Pago_Fijo_Puntual 12 0.106</v>
      </c>
      <c r="C1397" s="75" t="s">
        <v>173</v>
      </c>
      <c r="D1397" s="75" t="s">
        <v>132</v>
      </c>
      <c r="E1397" s="75" t="s">
        <v>179</v>
      </c>
      <c r="F1397" s="75" t="s">
        <v>176</v>
      </c>
      <c r="G1397" s="75"/>
      <c r="H1397" s="75"/>
      <c r="I1397" s="75" t="s">
        <v>171</v>
      </c>
      <c r="J1397" s="76">
        <v>12</v>
      </c>
      <c r="K1397" s="519">
        <v>3</v>
      </c>
      <c r="L1397" s="520">
        <v>12.5</v>
      </c>
      <c r="M1397" s="520">
        <v>13.16</v>
      </c>
      <c r="N1397" s="507">
        <v>0.106</v>
      </c>
      <c r="O1397" s="507">
        <v>0.10299999999999999</v>
      </c>
      <c r="P1397" s="507">
        <v>0.11799999999999999</v>
      </c>
      <c r="Q1397" s="78">
        <v>0.44</v>
      </c>
      <c r="R1397" s="78">
        <v>0.31740000000000002</v>
      </c>
      <c r="S1397" s="69">
        <v>0</v>
      </c>
      <c r="T1397" s="69">
        <v>0</v>
      </c>
      <c r="U1397" s="507">
        <v>0.85</v>
      </c>
      <c r="V1397" s="76">
        <v>0</v>
      </c>
      <c r="W1397" s="76">
        <v>0</v>
      </c>
      <c r="X1397" s="76"/>
      <c r="Y1397" s="519" t="s">
        <v>469</v>
      </c>
    </row>
    <row r="1398" spans="1:25" x14ac:dyDescent="0.25">
      <c r="A1398" s="75" t="str">
        <f t="shared" si="49"/>
        <v>Pago_de_Hipoteca PF No_Premier Poder Judicial Pago_Fijo_Puntual Si 11</v>
      </c>
      <c r="B1398" s="75" t="str">
        <f t="shared" si="48"/>
        <v>Pago_de_Hipoteca PF No_Premier Poder Judicial Pago_Fijo_Puntual Si 11 0.103</v>
      </c>
      <c r="C1398" s="75" t="s">
        <v>173</v>
      </c>
      <c r="D1398" s="75" t="s">
        <v>132</v>
      </c>
      <c r="E1398" s="75" t="s">
        <v>179</v>
      </c>
      <c r="F1398" s="75" t="s">
        <v>176</v>
      </c>
      <c r="G1398" s="75"/>
      <c r="H1398" s="75"/>
      <c r="I1398" s="75" t="s">
        <v>171</v>
      </c>
      <c r="J1398" s="76">
        <v>11</v>
      </c>
      <c r="K1398" s="519" t="s">
        <v>387</v>
      </c>
      <c r="L1398" s="520">
        <v>12.86</v>
      </c>
      <c r="M1398" s="520">
        <v>13.52</v>
      </c>
      <c r="N1398" s="507">
        <v>0.10299999999999999</v>
      </c>
      <c r="O1398" s="507">
        <v>0.1</v>
      </c>
      <c r="P1398" s="507">
        <v>0.112</v>
      </c>
      <c r="Q1398" s="78">
        <v>0.44</v>
      </c>
      <c r="R1398" s="78">
        <v>0.31740000000000002</v>
      </c>
      <c r="S1398" s="69">
        <v>0</v>
      </c>
      <c r="T1398" s="69">
        <v>0</v>
      </c>
      <c r="U1398" s="507">
        <v>0.85</v>
      </c>
      <c r="V1398" s="76">
        <v>0</v>
      </c>
      <c r="W1398" s="76">
        <v>0</v>
      </c>
      <c r="X1398" s="76" t="s">
        <v>147</v>
      </c>
      <c r="Y1398" s="519" t="s">
        <v>469</v>
      </c>
    </row>
    <row r="1399" spans="1:25" x14ac:dyDescent="0.25">
      <c r="A1399" s="75" t="str">
        <f t="shared" si="49"/>
        <v>Pago_de_Hipoteca PF No_Premier Poder Judicial Pago_Fijo_Puntual 11</v>
      </c>
      <c r="B1399" s="75" t="str">
        <f t="shared" si="48"/>
        <v>Pago_de_Hipoteca PF No_Premier Poder Judicial Pago_Fijo_Puntual 11 0.106</v>
      </c>
      <c r="C1399" s="75" t="s">
        <v>173</v>
      </c>
      <c r="D1399" s="75" t="s">
        <v>132</v>
      </c>
      <c r="E1399" s="75" t="s">
        <v>179</v>
      </c>
      <c r="F1399" s="75" t="s">
        <v>176</v>
      </c>
      <c r="G1399" s="75"/>
      <c r="H1399" s="75"/>
      <c r="I1399" s="75" t="s">
        <v>171</v>
      </c>
      <c r="J1399" s="76">
        <v>11</v>
      </c>
      <c r="K1399" s="519">
        <v>3</v>
      </c>
      <c r="L1399" s="520">
        <v>13.04</v>
      </c>
      <c r="M1399" s="520">
        <v>13.7</v>
      </c>
      <c r="N1399" s="507">
        <v>0.106</v>
      </c>
      <c r="O1399" s="507">
        <v>0.10299999999999999</v>
      </c>
      <c r="P1399" s="507">
        <v>0.11799999999999999</v>
      </c>
      <c r="Q1399" s="78">
        <v>0.44</v>
      </c>
      <c r="R1399" s="78">
        <v>0.31740000000000002</v>
      </c>
      <c r="S1399" s="69">
        <v>0</v>
      </c>
      <c r="T1399" s="69">
        <v>0</v>
      </c>
      <c r="U1399" s="507">
        <v>0.85</v>
      </c>
      <c r="V1399" s="76">
        <v>0</v>
      </c>
      <c r="W1399" s="76">
        <v>0</v>
      </c>
      <c r="X1399" s="76"/>
      <c r="Y1399" s="519" t="s">
        <v>469</v>
      </c>
    </row>
    <row r="1400" spans="1:25" x14ac:dyDescent="0.25">
      <c r="A1400" s="75" t="str">
        <f t="shared" si="49"/>
        <v>Pago_de_Hipoteca PF No_Premier Poder Judicial Pago_Fijo_Puntual Si 10</v>
      </c>
      <c r="B1400" s="75" t="str">
        <f t="shared" si="48"/>
        <v>Pago_de_Hipoteca PF No_Premier Poder Judicial Pago_Fijo_Puntual Si 10 0.103</v>
      </c>
      <c r="C1400" s="75" t="s">
        <v>173</v>
      </c>
      <c r="D1400" s="75" t="s">
        <v>132</v>
      </c>
      <c r="E1400" s="75" t="s">
        <v>179</v>
      </c>
      <c r="F1400" s="75" t="s">
        <v>176</v>
      </c>
      <c r="G1400" s="75"/>
      <c r="H1400" s="75"/>
      <c r="I1400" s="75" t="s">
        <v>171</v>
      </c>
      <c r="J1400" s="76">
        <v>10</v>
      </c>
      <c r="K1400" s="519" t="s">
        <v>387</v>
      </c>
      <c r="L1400" s="520">
        <v>13.54</v>
      </c>
      <c r="M1400" s="520">
        <v>14.2</v>
      </c>
      <c r="N1400" s="507">
        <v>0.10299999999999999</v>
      </c>
      <c r="O1400" s="507">
        <v>0.1</v>
      </c>
      <c r="P1400" s="507">
        <v>0.112</v>
      </c>
      <c r="Q1400" s="78">
        <v>0.44</v>
      </c>
      <c r="R1400" s="78">
        <v>0.31740000000000002</v>
      </c>
      <c r="S1400" s="69">
        <v>0</v>
      </c>
      <c r="T1400" s="69">
        <v>0</v>
      </c>
      <c r="U1400" s="507">
        <v>0.85</v>
      </c>
      <c r="V1400" s="76">
        <v>0</v>
      </c>
      <c r="W1400" s="76">
        <v>0</v>
      </c>
      <c r="X1400" s="76" t="s">
        <v>147</v>
      </c>
      <c r="Y1400" s="519" t="s">
        <v>469</v>
      </c>
    </row>
    <row r="1401" spans="1:25" x14ac:dyDescent="0.25">
      <c r="A1401" s="75" t="str">
        <f t="shared" si="49"/>
        <v>Pago_de_Hipoteca PF No_Premier Poder Judicial Pago_Fijo_Puntual 10</v>
      </c>
      <c r="B1401" s="75" t="str">
        <f t="shared" si="48"/>
        <v>Pago_de_Hipoteca PF No_Premier Poder Judicial Pago_Fijo_Puntual 10 0.106</v>
      </c>
      <c r="C1401" s="75" t="s">
        <v>173</v>
      </c>
      <c r="D1401" s="75" t="s">
        <v>132</v>
      </c>
      <c r="E1401" s="75" t="s">
        <v>179</v>
      </c>
      <c r="F1401" s="75" t="s">
        <v>176</v>
      </c>
      <c r="G1401" s="75"/>
      <c r="H1401" s="75"/>
      <c r="I1401" s="75" t="s">
        <v>171</v>
      </c>
      <c r="J1401" s="76">
        <v>10</v>
      </c>
      <c r="K1401" s="519">
        <v>3</v>
      </c>
      <c r="L1401" s="520">
        <v>13.7</v>
      </c>
      <c r="M1401" s="520">
        <v>14.36</v>
      </c>
      <c r="N1401" s="507">
        <v>0.106</v>
      </c>
      <c r="O1401" s="507">
        <v>0.10299999999999999</v>
      </c>
      <c r="P1401" s="507">
        <v>0.11799999999999999</v>
      </c>
      <c r="Q1401" s="78">
        <v>0.44</v>
      </c>
      <c r="R1401" s="78">
        <v>0.31740000000000002</v>
      </c>
      <c r="S1401" s="69">
        <v>0</v>
      </c>
      <c r="T1401" s="69">
        <v>0</v>
      </c>
      <c r="U1401" s="507">
        <v>0.85</v>
      </c>
      <c r="V1401" s="76">
        <v>0</v>
      </c>
      <c r="W1401" s="76">
        <v>0</v>
      </c>
      <c r="X1401" s="76"/>
      <c r="Y1401" s="519" t="s">
        <v>469</v>
      </c>
    </row>
    <row r="1402" spans="1:25" x14ac:dyDescent="0.25">
      <c r="A1402" s="75" t="str">
        <f t="shared" si="49"/>
        <v>Pago_de_Hipoteca PF No_Premier Poder Judicial Pago_Fijo_Puntual Si 9</v>
      </c>
      <c r="B1402" s="75" t="str">
        <f t="shared" si="48"/>
        <v>Pago_de_Hipoteca PF No_Premier Poder Judicial Pago_Fijo_Puntual Si 9 0.103</v>
      </c>
      <c r="C1402" s="75" t="s">
        <v>173</v>
      </c>
      <c r="D1402" s="75" t="s">
        <v>132</v>
      </c>
      <c r="E1402" s="75" t="s">
        <v>179</v>
      </c>
      <c r="F1402" s="75" t="s">
        <v>176</v>
      </c>
      <c r="G1402" s="75"/>
      <c r="H1402" s="75"/>
      <c r="I1402" s="75" t="s">
        <v>171</v>
      </c>
      <c r="J1402" s="76">
        <v>9</v>
      </c>
      <c r="K1402" s="519" t="s">
        <v>387</v>
      </c>
      <c r="L1402" s="521">
        <v>14.37</v>
      </c>
      <c r="M1402" s="521">
        <v>15.03</v>
      </c>
      <c r="N1402" s="507">
        <v>0.10299999999999999</v>
      </c>
      <c r="O1402" s="507">
        <v>0.1</v>
      </c>
      <c r="P1402" s="507">
        <v>0.112</v>
      </c>
      <c r="Q1402" s="78">
        <v>0.44</v>
      </c>
      <c r="R1402" s="78">
        <v>0.31740000000000002</v>
      </c>
      <c r="S1402" s="69">
        <v>0</v>
      </c>
      <c r="T1402" s="69">
        <v>0</v>
      </c>
      <c r="U1402" s="507">
        <v>0.85</v>
      </c>
      <c r="V1402" s="76">
        <v>0</v>
      </c>
      <c r="W1402" s="76">
        <v>0</v>
      </c>
      <c r="X1402" s="76" t="s">
        <v>147</v>
      </c>
      <c r="Y1402" s="519" t="s">
        <v>469</v>
      </c>
    </row>
    <row r="1403" spans="1:25" x14ac:dyDescent="0.25">
      <c r="A1403" s="75" t="str">
        <f t="shared" si="49"/>
        <v>Pago_de_Hipoteca PF No_Premier Poder Judicial Pago_Fijo_Puntual 9</v>
      </c>
      <c r="B1403" s="75" t="str">
        <f t="shared" si="48"/>
        <v>Pago_de_Hipoteca PF No_Premier Poder Judicial Pago_Fijo_Puntual 9 0.106</v>
      </c>
      <c r="C1403" s="75" t="s">
        <v>173</v>
      </c>
      <c r="D1403" s="75" t="s">
        <v>132</v>
      </c>
      <c r="E1403" s="75" t="s">
        <v>179</v>
      </c>
      <c r="F1403" s="75" t="s">
        <v>176</v>
      </c>
      <c r="G1403" s="75"/>
      <c r="H1403" s="75"/>
      <c r="I1403" s="75" t="s">
        <v>171</v>
      </c>
      <c r="J1403" s="76">
        <v>9</v>
      </c>
      <c r="K1403" s="519">
        <v>3</v>
      </c>
      <c r="L1403" s="521">
        <v>14.53</v>
      </c>
      <c r="M1403" s="521">
        <v>15.19</v>
      </c>
      <c r="N1403" s="507">
        <v>0.106</v>
      </c>
      <c r="O1403" s="507">
        <v>0.10299999999999999</v>
      </c>
      <c r="P1403" s="507">
        <v>0.11799999999999999</v>
      </c>
      <c r="Q1403" s="78">
        <v>0.44</v>
      </c>
      <c r="R1403" s="78">
        <v>0.31740000000000002</v>
      </c>
      <c r="S1403" s="69">
        <v>0</v>
      </c>
      <c r="T1403" s="69">
        <v>0</v>
      </c>
      <c r="U1403" s="507">
        <v>0.85</v>
      </c>
      <c r="V1403" s="76">
        <v>0</v>
      </c>
      <c r="W1403" s="76">
        <v>0</v>
      </c>
      <c r="X1403" s="76"/>
      <c r="Y1403" s="519" t="s">
        <v>469</v>
      </c>
    </row>
    <row r="1404" spans="1:25" x14ac:dyDescent="0.25">
      <c r="A1404" s="75" t="str">
        <f t="shared" si="49"/>
        <v>Pago_de_Hipoteca PF No_Premier Poder Judicial Pago_Fijo_Puntual Si 8</v>
      </c>
      <c r="B1404" s="75" t="str">
        <f t="shared" si="48"/>
        <v>Pago_de_Hipoteca PF No_Premier Poder Judicial Pago_Fijo_Puntual Si 8 0.103</v>
      </c>
      <c r="C1404" s="75" t="s">
        <v>173</v>
      </c>
      <c r="D1404" s="75" t="s">
        <v>132</v>
      </c>
      <c r="E1404" s="75" t="s">
        <v>179</v>
      </c>
      <c r="F1404" s="75" t="s">
        <v>176</v>
      </c>
      <c r="G1404" s="75"/>
      <c r="H1404" s="75"/>
      <c r="I1404" s="75" t="s">
        <v>171</v>
      </c>
      <c r="J1404" s="76">
        <v>8</v>
      </c>
      <c r="K1404" s="519" t="s">
        <v>387</v>
      </c>
      <c r="L1404" s="520">
        <v>15.44</v>
      </c>
      <c r="M1404" s="520">
        <v>16.100000000000001</v>
      </c>
      <c r="N1404" s="507">
        <v>0.10299999999999999</v>
      </c>
      <c r="O1404" s="507">
        <v>0.1</v>
      </c>
      <c r="P1404" s="507">
        <v>0.112</v>
      </c>
      <c r="Q1404" s="78">
        <v>0.44</v>
      </c>
      <c r="R1404" s="78">
        <v>0.31740000000000002</v>
      </c>
      <c r="S1404" s="69">
        <v>0</v>
      </c>
      <c r="T1404" s="69">
        <v>0</v>
      </c>
      <c r="U1404" s="507">
        <v>0.85</v>
      </c>
      <c r="V1404" s="76">
        <v>0</v>
      </c>
      <c r="W1404" s="76">
        <v>0</v>
      </c>
      <c r="X1404" s="76" t="s">
        <v>147</v>
      </c>
      <c r="Y1404" s="519" t="s">
        <v>469</v>
      </c>
    </row>
    <row r="1405" spans="1:25" x14ac:dyDescent="0.25">
      <c r="A1405" s="75" t="str">
        <f t="shared" si="49"/>
        <v>Pago_de_Hipoteca PF No_Premier Poder Judicial Pago_Fijo_Puntual 8</v>
      </c>
      <c r="B1405" s="75" t="str">
        <f t="shared" si="48"/>
        <v>Pago_de_Hipoteca PF No_Premier Poder Judicial Pago_Fijo_Puntual 8 0.106</v>
      </c>
      <c r="C1405" s="75" t="s">
        <v>173</v>
      </c>
      <c r="D1405" s="75" t="s">
        <v>132</v>
      </c>
      <c r="E1405" s="75" t="s">
        <v>179</v>
      </c>
      <c r="F1405" s="75" t="s">
        <v>176</v>
      </c>
      <c r="G1405" s="75"/>
      <c r="H1405" s="75"/>
      <c r="I1405" s="75" t="s">
        <v>171</v>
      </c>
      <c r="J1405" s="76">
        <v>8</v>
      </c>
      <c r="K1405" s="519">
        <v>3</v>
      </c>
      <c r="L1405" s="520">
        <v>15.6</v>
      </c>
      <c r="M1405" s="520">
        <v>16.260000000000002</v>
      </c>
      <c r="N1405" s="507">
        <v>0.106</v>
      </c>
      <c r="O1405" s="507">
        <v>0.10299999999999999</v>
      </c>
      <c r="P1405" s="507">
        <v>0.11799999999999999</v>
      </c>
      <c r="Q1405" s="78">
        <v>0.44</v>
      </c>
      <c r="R1405" s="78">
        <v>0.31740000000000002</v>
      </c>
      <c r="S1405" s="69">
        <v>0</v>
      </c>
      <c r="T1405" s="69">
        <v>0</v>
      </c>
      <c r="U1405" s="507">
        <v>0.85</v>
      </c>
      <c r="V1405" s="76">
        <v>0</v>
      </c>
      <c r="W1405" s="76">
        <v>0</v>
      </c>
      <c r="X1405" s="76"/>
      <c r="Y1405" s="519" t="s">
        <v>469</v>
      </c>
    </row>
    <row r="1406" spans="1:25" x14ac:dyDescent="0.25">
      <c r="A1406" s="75" t="str">
        <f t="shared" si="49"/>
        <v>Pago_de_Hipoteca PF No_Premier Poder Judicial Pago_Fijo_Puntual Si 7</v>
      </c>
      <c r="B1406" s="75" t="str">
        <f t="shared" si="48"/>
        <v>Pago_de_Hipoteca PF No_Premier Poder Judicial Pago_Fijo_Puntual Si 7 0.103</v>
      </c>
      <c r="C1406" s="75" t="s">
        <v>173</v>
      </c>
      <c r="D1406" s="75" t="s">
        <v>132</v>
      </c>
      <c r="E1406" s="75" t="s">
        <v>179</v>
      </c>
      <c r="F1406" s="75" t="s">
        <v>176</v>
      </c>
      <c r="G1406" s="75"/>
      <c r="H1406" s="75"/>
      <c r="I1406" s="75" t="s">
        <v>171</v>
      </c>
      <c r="J1406" s="76">
        <v>7</v>
      </c>
      <c r="K1406" s="519" t="s">
        <v>387</v>
      </c>
      <c r="L1406" s="520">
        <v>16.84</v>
      </c>
      <c r="M1406" s="520">
        <v>17.5</v>
      </c>
      <c r="N1406" s="507">
        <v>0.10299999999999999</v>
      </c>
      <c r="O1406" s="507">
        <v>0.1</v>
      </c>
      <c r="P1406" s="507">
        <v>0.112</v>
      </c>
      <c r="Q1406" s="78">
        <v>0.44</v>
      </c>
      <c r="R1406" s="78">
        <v>0.31740000000000002</v>
      </c>
      <c r="S1406" s="69">
        <v>0</v>
      </c>
      <c r="T1406" s="69">
        <v>0</v>
      </c>
      <c r="U1406" s="507">
        <v>0.85</v>
      </c>
      <c r="V1406" s="76">
        <v>0</v>
      </c>
      <c r="W1406" s="76">
        <v>0</v>
      </c>
      <c r="X1406" s="76" t="s">
        <v>147</v>
      </c>
      <c r="Y1406" s="519" t="s">
        <v>469</v>
      </c>
    </row>
    <row r="1407" spans="1:25" x14ac:dyDescent="0.25">
      <c r="A1407" s="75" t="str">
        <f t="shared" si="49"/>
        <v>Pago_de_Hipoteca PF No_Premier Poder Judicial Pago_Fijo_Puntual 7</v>
      </c>
      <c r="B1407" s="75" t="str">
        <f t="shared" si="48"/>
        <v>Pago_de_Hipoteca PF No_Premier Poder Judicial Pago_Fijo_Puntual 7 0.106</v>
      </c>
      <c r="C1407" s="75" t="s">
        <v>173</v>
      </c>
      <c r="D1407" s="75" t="s">
        <v>132</v>
      </c>
      <c r="E1407" s="75" t="s">
        <v>179</v>
      </c>
      <c r="F1407" s="75" t="s">
        <v>176</v>
      </c>
      <c r="G1407" s="75"/>
      <c r="H1407" s="75"/>
      <c r="I1407" s="75" t="s">
        <v>171</v>
      </c>
      <c r="J1407" s="76">
        <v>7</v>
      </c>
      <c r="K1407" s="519">
        <v>3</v>
      </c>
      <c r="L1407" s="520">
        <v>17</v>
      </c>
      <c r="M1407" s="520">
        <v>17.66</v>
      </c>
      <c r="N1407" s="507">
        <v>0.106</v>
      </c>
      <c r="O1407" s="507">
        <v>0.10299999999999999</v>
      </c>
      <c r="P1407" s="507">
        <v>0.11799999999999999</v>
      </c>
      <c r="Q1407" s="78">
        <v>0.44</v>
      </c>
      <c r="R1407" s="78">
        <v>0.31740000000000002</v>
      </c>
      <c r="S1407" s="69">
        <v>0</v>
      </c>
      <c r="T1407" s="69">
        <v>0</v>
      </c>
      <c r="U1407" s="507">
        <v>0.85</v>
      </c>
      <c r="V1407" s="76">
        <v>0</v>
      </c>
      <c r="W1407" s="76">
        <v>0</v>
      </c>
      <c r="X1407" s="76"/>
      <c r="Y1407" s="519" t="s">
        <v>469</v>
      </c>
    </row>
    <row r="1408" spans="1:25" x14ac:dyDescent="0.25">
      <c r="A1408" s="75" t="str">
        <f t="shared" si="49"/>
        <v>Pago_de_Hipoteca PF No_Premier Poder Judicial Pago_Fijo_Puntual Si 6</v>
      </c>
      <c r="B1408" s="75" t="str">
        <f t="shared" si="48"/>
        <v>Pago_de_Hipoteca PF No_Premier Poder Judicial Pago_Fijo_Puntual Si 6 0.103</v>
      </c>
      <c r="C1408" s="75" t="s">
        <v>173</v>
      </c>
      <c r="D1408" s="75" t="s">
        <v>132</v>
      </c>
      <c r="E1408" s="75" t="s">
        <v>179</v>
      </c>
      <c r="F1408" s="75" t="s">
        <v>176</v>
      </c>
      <c r="G1408" s="75"/>
      <c r="H1408" s="75"/>
      <c r="I1408" s="75" t="s">
        <v>171</v>
      </c>
      <c r="J1408" s="76">
        <v>6</v>
      </c>
      <c r="K1408" s="519" t="s">
        <v>387</v>
      </c>
      <c r="L1408" s="520">
        <v>18.739999999999998</v>
      </c>
      <c r="M1408" s="520">
        <v>19.399999999999999</v>
      </c>
      <c r="N1408" s="507">
        <v>0.10299999999999999</v>
      </c>
      <c r="O1408" s="507">
        <v>0.1</v>
      </c>
      <c r="P1408" s="507">
        <v>0.112</v>
      </c>
      <c r="Q1408" s="78">
        <v>0.44</v>
      </c>
      <c r="R1408" s="78">
        <v>0.31740000000000002</v>
      </c>
      <c r="S1408" s="69">
        <v>0</v>
      </c>
      <c r="T1408" s="69">
        <v>0</v>
      </c>
      <c r="U1408" s="507">
        <v>0.85</v>
      </c>
      <c r="V1408" s="76">
        <v>0</v>
      </c>
      <c r="W1408" s="76">
        <v>0</v>
      </c>
      <c r="X1408" s="76" t="s">
        <v>147</v>
      </c>
      <c r="Y1408" s="519" t="s">
        <v>469</v>
      </c>
    </row>
    <row r="1409" spans="1:25" x14ac:dyDescent="0.25">
      <c r="A1409" s="75" t="str">
        <f t="shared" si="49"/>
        <v>Pago_de_Hipoteca PF No_Premier Poder Judicial Pago_Fijo_Puntual 6</v>
      </c>
      <c r="B1409" s="75" t="str">
        <f t="shared" si="48"/>
        <v>Pago_de_Hipoteca PF No_Premier Poder Judicial Pago_Fijo_Puntual 6 0.106</v>
      </c>
      <c r="C1409" s="75" t="s">
        <v>173</v>
      </c>
      <c r="D1409" s="75" t="s">
        <v>132</v>
      </c>
      <c r="E1409" s="75" t="s">
        <v>179</v>
      </c>
      <c r="F1409" s="75" t="s">
        <v>176</v>
      </c>
      <c r="G1409" s="75"/>
      <c r="H1409" s="75"/>
      <c r="I1409" s="75" t="s">
        <v>171</v>
      </c>
      <c r="J1409" s="76">
        <v>6</v>
      </c>
      <c r="K1409" s="519">
        <v>3</v>
      </c>
      <c r="L1409" s="520">
        <v>18.89</v>
      </c>
      <c r="M1409" s="520">
        <v>19.55</v>
      </c>
      <c r="N1409" s="507">
        <v>0.106</v>
      </c>
      <c r="O1409" s="507">
        <v>0.10299999999999999</v>
      </c>
      <c r="P1409" s="507">
        <v>0.11799999999999999</v>
      </c>
      <c r="Q1409" s="78">
        <v>0.44</v>
      </c>
      <c r="R1409" s="78">
        <v>0.31740000000000002</v>
      </c>
      <c r="S1409" s="69">
        <v>0</v>
      </c>
      <c r="T1409" s="69">
        <v>0</v>
      </c>
      <c r="U1409" s="507">
        <v>0.85</v>
      </c>
      <c r="V1409" s="76">
        <v>0</v>
      </c>
      <c r="W1409" s="76">
        <v>0</v>
      </c>
      <c r="X1409" s="76"/>
      <c r="Y1409" s="519" t="s">
        <v>469</v>
      </c>
    </row>
    <row r="1410" spans="1:25" x14ac:dyDescent="0.25">
      <c r="A1410" s="75" t="str">
        <f t="shared" si="49"/>
        <v>Pago_de_Hipoteca PF No_Premier Poder Judicial Pago_Fijo_Puntual Si 5</v>
      </c>
      <c r="B1410" s="75" t="str">
        <f t="shared" si="48"/>
        <v>Pago_de_Hipoteca PF No_Premier Poder Judicial Pago_Fijo_Puntual Si 5 0.103</v>
      </c>
      <c r="C1410" s="75" t="s">
        <v>173</v>
      </c>
      <c r="D1410" s="75" t="s">
        <v>132</v>
      </c>
      <c r="E1410" s="75" t="s">
        <v>179</v>
      </c>
      <c r="F1410" s="75" t="s">
        <v>176</v>
      </c>
      <c r="G1410" s="75"/>
      <c r="H1410" s="75"/>
      <c r="I1410" s="75" t="s">
        <v>171</v>
      </c>
      <c r="J1410" s="76">
        <v>5</v>
      </c>
      <c r="K1410" s="519" t="s">
        <v>387</v>
      </c>
      <c r="L1410" s="520">
        <v>21.44</v>
      </c>
      <c r="M1410" s="520">
        <v>22.1</v>
      </c>
      <c r="N1410" s="507">
        <v>0.10299999999999999</v>
      </c>
      <c r="O1410" s="507">
        <v>0.1</v>
      </c>
      <c r="P1410" s="507">
        <v>0.112</v>
      </c>
      <c r="Q1410" s="78">
        <v>0.44</v>
      </c>
      <c r="R1410" s="78">
        <v>0.31740000000000002</v>
      </c>
      <c r="S1410" s="69">
        <v>0</v>
      </c>
      <c r="T1410" s="69">
        <v>0</v>
      </c>
      <c r="U1410" s="507">
        <v>0.85</v>
      </c>
      <c r="V1410" s="76">
        <v>0</v>
      </c>
      <c r="W1410" s="76">
        <v>0</v>
      </c>
      <c r="X1410" s="76" t="s">
        <v>147</v>
      </c>
      <c r="Y1410" s="519" t="s">
        <v>469</v>
      </c>
    </row>
    <row r="1411" spans="1:25" x14ac:dyDescent="0.25">
      <c r="A1411" s="75" t="str">
        <f t="shared" si="49"/>
        <v>Pago_de_Hipoteca PF No_Premier Poder Judicial Pago_Fijo_Puntual 5</v>
      </c>
      <c r="B1411" s="75" t="str">
        <f t="shared" si="48"/>
        <v>Pago_de_Hipoteca PF No_Premier Poder Judicial Pago_Fijo_Puntual 5 0.106</v>
      </c>
      <c r="C1411" s="75" t="s">
        <v>173</v>
      </c>
      <c r="D1411" s="75" t="s">
        <v>132</v>
      </c>
      <c r="E1411" s="75" t="s">
        <v>179</v>
      </c>
      <c r="F1411" s="75" t="s">
        <v>176</v>
      </c>
      <c r="G1411" s="75"/>
      <c r="H1411" s="75"/>
      <c r="I1411" s="75" t="s">
        <v>171</v>
      </c>
      <c r="J1411" s="76">
        <v>5</v>
      </c>
      <c r="K1411" s="519">
        <v>3</v>
      </c>
      <c r="L1411" s="520">
        <v>21.58</v>
      </c>
      <c r="M1411" s="520">
        <v>22.24</v>
      </c>
      <c r="N1411" s="507">
        <v>0.106</v>
      </c>
      <c r="O1411" s="507">
        <v>0.10299999999999999</v>
      </c>
      <c r="P1411" s="507">
        <v>0.11799999999999999</v>
      </c>
      <c r="Q1411" s="78">
        <v>0.44</v>
      </c>
      <c r="R1411" s="78">
        <v>0.31740000000000002</v>
      </c>
      <c r="S1411" s="69">
        <v>0</v>
      </c>
      <c r="T1411" s="69">
        <v>0</v>
      </c>
      <c r="U1411" s="507">
        <v>0.85</v>
      </c>
      <c r="V1411" s="76">
        <v>0</v>
      </c>
      <c r="W1411" s="76">
        <v>0</v>
      </c>
      <c r="X1411" s="76"/>
      <c r="Y1411" s="519" t="s">
        <v>469</v>
      </c>
    </row>
    <row r="1412" spans="1:25" x14ac:dyDescent="0.25">
      <c r="A1412" s="75" t="str">
        <f t="shared" si="49"/>
        <v>Pago_de_Hipoteca PF No_Premier Poder Judicial Pago_Bajo_Puntual Si 20</v>
      </c>
      <c r="B1412" s="75" t="str">
        <f t="shared" si="48"/>
        <v>Pago_de_Hipoteca PF No_Premier Poder Judicial Pago_Bajo_Puntual Si 20 0.103</v>
      </c>
      <c r="C1412" s="75" t="s">
        <v>173</v>
      </c>
      <c r="D1412" s="75" t="s">
        <v>132</v>
      </c>
      <c r="E1412" s="75" t="s">
        <v>179</v>
      </c>
      <c r="F1412" s="75" t="s">
        <v>176</v>
      </c>
      <c r="G1412" s="75"/>
      <c r="H1412" s="75"/>
      <c r="I1412" s="75" t="s">
        <v>170</v>
      </c>
      <c r="J1412" s="76">
        <v>20</v>
      </c>
      <c r="K1412" s="519" t="s">
        <v>387</v>
      </c>
      <c r="L1412" s="520">
        <v>9</v>
      </c>
      <c r="M1412" s="520">
        <v>9.66</v>
      </c>
      <c r="N1412" s="507">
        <v>0.10299999999999999</v>
      </c>
      <c r="O1412" s="507">
        <v>0.1</v>
      </c>
      <c r="P1412" s="507">
        <v>0.112</v>
      </c>
      <c r="Q1412" s="78">
        <v>0.44</v>
      </c>
      <c r="R1412" s="78">
        <v>0.31740000000000002</v>
      </c>
      <c r="S1412" s="69">
        <v>0</v>
      </c>
      <c r="T1412" s="69">
        <v>0</v>
      </c>
      <c r="U1412" s="507">
        <v>0.85</v>
      </c>
      <c r="V1412" s="76">
        <v>0</v>
      </c>
      <c r="W1412" s="76">
        <v>0</v>
      </c>
      <c r="X1412" s="76" t="s">
        <v>147</v>
      </c>
      <c r="Y1412" s="519" t="s">
        <v>469</v>
      </c>
    </row>
    <row r="1413" spans="1:25" x14ac:dyDescent="0.25">
      <c r="A1413" s="75" t="str">
        <f t="shared" si="49"/>
        <v>Pago_de_Hipoteca PF No_Premier Poder Judicial Pago_Bajo_Puntual 20</v>
      </c>
      <c r="B1413" s="75" t="str">
        <f t="shared" si="48"/>
        <v>Pago_de_Hipoteca PF No_Premier Poder Judicial Pago_Bajo_Puntual 20 0.106</v>
      </c>
      <c r="C1413" s="75" t="s">
        <v>173</v>
      </c>
      <c r="D1413" s="75" t="s">
        <v>132</v>
      </c>
      <c r="E1413" s="75" t="s">
        <v>179</v>
      </c>
      <c r="F1413" s="75" t="s">
        <v>176</v>
      </c>
      <c r="G1413" s="75"/>
      <c r="H1413" s="75"/>
      <c r="I1413" s="75" t="s">
        <v>170</v>
      </c>
      <c r="J1413" s="76">
        <v>20</v>
      </c>
      <c r="K1413" s="519">
        <v>3</v>
      </c>
      <c r="L1413" s="520">
        <v>9.24</v>
      </c>
      <c r="M1413" s="520">
        <v>9.9</v>
      </c>
      <c r="N1413" s="507">
        <v>0.106</v>
      </c>
      <c r="O1413" s="507">
        <v>0.10299999999999999</v>
      </c>
      <c r="P1413" s="507">
        <v>0.11799999999999999</v>
      </c>
      <c r="Q1413" s="78">
        <v>0.44</v>
      </c>
      <c r="R1413" s="78">
        <v>0.31740000000000002</v>
      </c>
      <c r="S1413" s="69">
        <v>0</v>
      </c>
      <c r="T1413" s="69">
        <v>0</v>
      </c>
      <c r="U1413" s="507">
        <v>0.85</v>
      </c>
      <c r="V1413" s="76">
        <v>0</v>
      </c>
      <c r="W1413" s="76">
        <v>0</v>
      </c>
      <c r="X1413" s="76"/>
      <c r="Y1413" s="519" t="s">
        <v>469</v>
      </c>
    </row>
    <row r="1414" spans="1:25" x14ac:dyDescent="0.25">
      <c r="A1414" s="75" t="str">
        <f t="shared" si="49"/>
        <v>Pago_de_Hipoteca PF No_Premier Poder Judicial Pago_Bajo_Puntual Si 19</v>
      </c>
      <c r="B1414" s="75" t="str">
        <f t="shared" si="48"/>
        <v>Pago_de_Hipoteca PF No_Premier Poder Judicial Pago_Bajo_Puntual Si 19 0.103</v>
      </c>
      <c r="C1414" s="75" t="s">
        <v>173</v>
      </c>
      <c r="D1414" s="75" t="s">
        <v>132</v>
      </c>
      <c r="E1414" s="75" t="s">
        <v>179</v>
      </c>
      <c r="F1414" s="75" t="s">
        <v>176</v>
      </c>
      <c r="G1414" s="75"/>
      <c r="H1414" s="75"/>
      <c r="I1414" s="75" t="s">
        <v>170</v>
      </c>
      <c r="J1414" s="76">
        <v>19</v>
      </c>
      <c r="K1414" s="519" t="s">
        <v>387</v>
      </c>
      <c r="L1414" s="520">
        <v>9.17</v>
      </c>
      <c r="M1414" s="520">
        <v>9.83</v>
      </c>
      <c r="N1414" s="507">
        <v>0.10299999999999999</v>
      </c>
      <c r="O1414" s="507">
        <v>0.1</v>
      </c>
      <c r="P1414" s="507">
        <v>0.112</v>
      </c>
      <c r="Q1414" s="78">
        <v>0.44</v>
      </c>
      <c r="R1414" s="78">
        <v>0.31740000000000002</v>
      </c>
      <c r="S1414" s="69">
        <v>0</v>
      </c>
      <c r="T1414" s="69">
        <v>0</v>
      </c>
      <c r="U1414" s="507">
        <v>0.85</v>
      </c>
      <c r="V1414" s="76">
        <v>0</v>
      </c>
      <c r="W1414" s="76">
        <v>0</v>
      </c>
      <c r="X1414" s="76" t="s">
        <v>147</v>
      </c>
      <c r="Y1414" s="519" t="s">
        <v>469</v>
      </c>
    </row>
    <row r="1415" spans="1:25" x14ac:dyDescent="0.25">
      <c r="A1415" s="75" t="str">
        <f t="shared" si="49"/>
        <v>Pago_de_Hipoteca PF No_Premier Poder Judicial Pago_Bajo_Puntual 19</v>
      </c>
      <c r="B1415" s="75" t="str">
        <f t="shared" si="48"/>
        <v>Pago_de_Hipoteca PF No_Premier Poder Judicial Pago_Bajo_Puntual 19 0.106</v>
      </c>
      <c r="C1415" s="75" t="s">
        <v>173</v>
      </c>
      <c r="D1415" s="75" t="s">
        <v>132</v>
      </c>
      <c r="E1415" s="75" t="s">
        <v>179</v>
      </c>
      <c r="F1415" s="75" t="s">
        <v>176</v>
      </c>
      <c r="G1415" s="75"/>
      <c r="H1415" s="75"/>
      <c r="I1415" s="75" t="s">
        <v>170</v>
      </c>
      <c r="J1415" s="76">
        <v>19</v>
      </c>
      <c r="K1415" s="519">
        <v>3</v>
      </c>
      <c r="L1415" s="520">
        <v>9.4</v>
      </c>
      <c r="M1415" s="520">
        <v>10.06</v>
      </c>
      <c r="N1415" s="507">
        <v>0.106</v>
      </c>
      <c r="O1415" s="507">
        <v>0.10299999999999999</v>
      </c>
      <c r="P1415" s="507">
        <v>0.11799999999999999</v>
      </c>
      <c r="Q1415" s="78">
        <v>0.44</v>
      </c>
      <c r="R1415" s="78">
        <v>0.31740000000000002</v>
      </c>
      <c r="S1415" s="69">
        <v>0</v>
      </c>
      <c r="T1415" s="69">
        <v>0</v>
      </c>
      <c r="U1415" s="507">
        <v>0.85</v>
      </c>
      <c r="V1415" s="76">
        <v>0</v>
      </c>
      <c r="W1415" s="76">
        <v>0</v>
      </c>
      <c r="X1415" s="76"/>
      <c r="Y1415" s="519" t="s">
        <v>469</v>
      </c>
    </row>
    <row r="1416" spans="1:25" x14ac:dyDescent="0.25">
      <c r="A1416" s="75" t="str">
        <f t="shared" si="49"/>
        <v>Pago_de_Hipoteca PF No_Premier Poder Judicial Pago_Bajo_Puntual Si 18</v>
      </c>
      <c r="B1416" s="75" t="str">
        <f t="shared" si="48"/>
        <v>Pago_de_Hipoteca PF No_Premier Poder Judicial Pago_Bajo_Puntual Si 18 0.103</v>
      </c>
      <c r="C1416" s="75" t="s">
        <v>173</v>
      </c>
      <c r="D1416" s="75" t="s">
        <v>132</v>
      </c>
      <c r="E1416" s="75" t="s">
        <v>179</v>
      </c>
      <c r="F1416" s="75" t="s">
        <v>176</v>
      </c>
      <c r="G1416" s="75"/>
      <c r="H1416" s="75"/>
      <c r="I1416" s="75" t="s">
        <v>170</v>
      </c>
      <c r="J1416" s="76">
        <v>18</v>
      </c>
      <c r="K1416" s="519" t="s">
        <v>387</v>
      </c>
      <c r="L1416" s="520">
        <v>9.36</v>
      </c>
      <c r="M1416" s="520">
        <v>10.02</v>
      </c>
      <c r="N1416" s="507">
        <v>0.10299999999999999</v>
      </c>
      <c r="O1416" s="507">
        <v>0.1</v>
      </c>
      <c r="P1416" s="507">
        <v>0.112</v>
      </c>
      <c r="Q1416" s="78">
        <v>0.44</v>
      </c>
      <c r="R1416" s="78">
        <v>0.31740000000000002</v>
      </c>
      <c r="S1416" s="69">
        <v>0</v>
      </c>
      <c r="T1416" s="69">
        <v>0</v>
      </c>
      <c r="U1416" s="507">
        <v>0.85</v>
      </c>
      <c r="V1416" s="76">
        <v>0</v>
      </c>
      <c r="W1416" s="76">
        <v>0</v>
      </c>
      <c r="X1416" s="76" t="s">
        <v>147</v>
      </c>
      <c r="Y1416" s="519" t="s">
        <v>469</v>
      </c>
    </row>
    <row r="1417" spans="1:25" x14ac:dyDescent="0.25">
      <c r="A1417" s="75" t="str">
        <f t="shared" si="49"/>
        <v>Pago_de_Hipoteca PF No_Premier Poder Judicial Pago_Bajo_Puntual 18</v>
      </c>
      <c r="B1417" s="75" t="str">
        <f t="shared" si="48"/>
        <v>Pago_de_Hipoteca PF No_Premier Poder Judicial Pago_Bajo_Puntual 18 0.106</v>
      </c>
      <c r="C1417" s="75" t="s">
        <v>173</v>
      </c>
      <c r="D1417" s="75" t="s">
        <v>132</v>
      </c>
      <c r="E1417" s="75" t="s">
        <v>179</v>
      </c>
      <c r="F1417" s="75" t="s">
        <v>176</v>
      </c>
      <c r="G1417" s="75"/>
      <c r="H1417" s="75"/>
      <c r="I1417" s="75" t="s">
        <v>170</v>
      </c>
      <c r="J1417" s="76">
        <v>18</v>
      </c>
      <c r="K1417" s="519">
        <v>3</v>
      </c>
      <c r="L1417" s="520">
        <v>9.59</v>
      </c>
      <c r="M1417" s="520">
        <v>10.25</v>
      </c>
      <c r="N1417" s="507">
        <v>0.106</v>
      </c>
      <c r="O1417" s="507">
        <v>0.10299999999999999</v>
      </c>
      <c r="P1417" s="507">
        <v>0.11799999999999999</v>
      </c>
      <c r="Q1417" s="78">
        <v>0.44</v>
      </c>
      <c r="R1417" s="78">
        <v>0.31740000000000002</v>
      </c>
      <c r="S1417" s="69">
        <v>0</v>
      </c>
      <c r="T1417" s="69">
        <v>0</v>
      </c>
      <c r="U1417" s="507">
        <v>0.85</v>
      </c>
      <c r="V1417" s="76">
        <v>0</v>
      </c>
      <c r="W1417" s="76">
        <v>0</v>
      </c>
      <c r="X1417" s="76"/>
      <c r="Y1417" s="519" t="s">
        <v>469</v>
      </c>
    </row>
    <row r="1418" spans="1:25" x14ac:dyDescent="0.25">
      <c r="A1418" s="75" t="str">
        <f t="shared" si="49"/>
        <v>Pago_de_Hipoteca PF No_Premier Poder Judicial Pago_Bajo_Puntual Si 17</v>
      </c>
      <c r="B1418" s="75" t="str">
        <f t="shared" si="48"/>
        <v>Pago_de_Hipoteca PF No_Premier Poder Judicial Pago_Bajo_Puntual Si 17 0.103</v>
      </c>
      <c r="C1418" s="75" t="s">
        <v>173</v>
      </c>
      <c r="D1418" s="75" t="s">
        <v>132</v>
      </c>
      <c r="E1418" s="75" t="s">
        <v>179</v>
      </c>
      <c r="F1418" s="75" t="s">
        <v>176</v>
      </c>
      <c r="G1418" s="75"/>
      <c r="H1418" s="75"/>
      <c r="I1418" s="75" t="s">
        <v>170</v>
      </c>
      <c r="J1418" s="76">
        <v>17</v>
      </c>
      <c r="K1418" s="519" t="s">
        <v>387</v>
      </c>
      <c r="L1418" s="520">
        <v>9.58</v>
      </c>
      <c r="M1418" s="520">
        <v>10.24</v>
      </c>
      <c r="N1418" s="507">
        <v>0.10299999999999999</v>
      </c>
      <c r="O1418" s="507">
        <v>0.1</v>
      </c>
      <c r="P1418" s="507">
        <v>0.112</v>
      </c>
      <c r="Q1418" s="78">
        <v>0.44</v>
      </c>
      <c r="R1418" s="78">
        <v>0.31740000000000002</v>
      </c>
      <c r="S1418" s="69">
        <v>0</v>
      </c>
      <c r="T1418" s="69">
        <v>0</v>
      </c>
      <c r="U1418" s="507">
        <v>0.85</v>
      </c>
      <c r="V1418" s="76">
        <v>0</v>
      </c>
      <c r="W1418" s="76">
        <v>0</v>
      </c>
      <c r="X1418" s="76" t="s">
        <v>147</v>
      </c>
      <c r="Y1418" s="519" t="s">
        <v>469</v>
      </c>
    </row>
    <row r="1419" spans="1:25" x14ac:dyDescent="0.25">
      <c r="A1419" s="75" t="str">
        <f t="shared" si="49"/>
        <v>Pago_de_Hipoteca PF No_Premier Poder Judicial Pago_Bajo_Puntual 17</v>
      </c>
      <c r="B1419" s="75" t="str">
        <f t="shared" si="48"/>
        <v>Pago_de_Hipoteca PF No_Premier Poder Judicial Pago_Bajo_Puntual 17 0.106</v>
      </c>
      <c r="C1419" s="75" t="s">
        <v>173</v>
      </c>
      <c r="D1419" s="75" t="s">
        <v>132</v>
      </c>
      <c r="E1419" s="75" t="s">
        <v>179</v>
      </c>
      <c r="F1419" s="75" t="s">
        <v>176</v>
      </c>
      <c r="G1419" s="75"/>
      <c r="H1419" s="75"/>
      <c r="I1419" s="75" t="s">
        <v>170</v>
      </c>
      <c r="J1419" s="76">
        <v>17</v>
      </c>
      <c r="K1419" s="519">
        <v>3</v>
      </c>
      <c r="L1419" s="520">
        <v>9.8000000000000007</v>
      </c>
      <c r="M1419" s="520">
        <v>10.46</v>
      </c>
      <c r="N1419" s="507">
        <v>0.106</v>
      </c>
      <c r="O1419" s="507">
        <v>0.10299999999999999</v>
      </c>
      <c r="P1419" s="507">
        <v>0.11799999999999999</v>
      </c>
      <c r="Q1419" s="78">
        <v>0.44</v>
      </c>
      <c r="R1419" s="78">
        <v>0.31740000000000002</v>
      </c>
      <c r="S1419" s="69">
        <v>0</v>
      </c>
      <c r="T1419" s="69">
        <v>0</v>
      </c>
      <c r="U1419" s="507">
        <v>0.85</v>
      </c>
      <c r="V1419" s="76">
        <v>0</v>
      </c>
      <c r="W1419" s="76">
        <v>0</v>
      </c>
      <c r="X1419" s="76"/>
      <c r="Y1419" s="519" t="s">
        <v>469</v>
      </c>
    </row>
    <row r="1420" spans="1:25" x14ac:dyDescent="0.25">
      <c r="A1420" s="75" t="str">
        <f t="shared" si="49"/>
        <v>Pago_de_Hipoteca PF No_Premier Poder Judicial Pago_Bajo_Puntual Si 16</v>
      </c>
      <c r="B1420" s="75" t="str">
        <f t="shared" si="48"/>
        <v>Pago_de_Hipoteca PF No_Premier Poder Judicial Pago_Bajo_Puntual Si 16 0.103</v>
      </c>
      <c r="C1420" s="75" t="s">
        <v>173</v>
      </c>
      <c r="D1420" s="75" t="s">
        <v>132</v>
      </c>
      <c r="E1420" s="75" t="s">
        <v>179</v>
      </c>
      <c r="F1420" s="75" t="s">
        <v>176</v>
      </c>
      <c r="G1420" s="75"/>
      <c r="H1420" s="75"/>
      <c r="I1420" s="75" t="s">
        <v>170</v>
      </c>
      <c r="J1420" s="76">
        <v>16</v>
      </c>
      <c r="K1420" s="519" t="s">
        <v>387</v>
      </c>
      <c r="L1420" s="520">
        <v>9.83</v>
      </c>
      <c r="M1420" s="520">
        <v>10.49</v>
      </c>
      <c r="N1420" s="507">
        <v>0.10299999999999999</v>
      </c>
      <c r="O1420" s="507">
        <v>0.1</v>
      </c>
      <c r="P1420" s="507">
        <v>0.112</v>
      </c>
      <c r="Q1420" s="78">
        <v>0.44</v>
      </c>
      <c r="R1420" s="78">
        <v>0.31740000000000002</v>
      </c>
      <c r="S1420" s="69">
        <v>0</v>
      </c>
      <c r="T1420" s="69">
        <v>0</v>
      </c>
      <c r="U1420" s="507">
        <v>0.85</v>
      </c>
      <c r="V1420" s="76">
        <v>0</v>
      </c>
      <c r="W1420" s="76">
        <v>0</v>
      </c>
      <c r="X1420" s="76" t="s">
        <v>147</v>
      </c>
      <c r="Y1420" s="519" t="s">
        <v>469</v>
      </c>
    </row>
    <row r="1421" spans="1:25" x14ac:dyDescent="0.25">
      <c r="A1421" s="75" t="str">
        <f t="shared" si="49"/>
        <v>Pago_de_Hipoteca PF No_Premier Poder Judicial Pago_Bajo_Puntual 16</v>
      </c>
      <c r="B1421" s="75" t="str">
        <f t="shared" si="48"/>
        <v>Pago_de_Hipoteca PF No_Premier Poder Judicial Pago_Bajo_Puntual 16 0.106</v>
      </c>
      <c r="C1421" s="75" t="s">
        <v>173</v>
      </c>
      <c r="D1421" s="75" t="s">
        <v>132</v>
      </c>
      <c r="E1421" s="75" t="s">
        <v>179</v>
      </c>
      <c r="F1421" s="75" t="s">
        <v>176</v>
      </c>
      <c r="G1421" s="75"/>
      <c r="H1421" s="75"/>
      <c r="I1421" s="75" t="s">
        <v>170</v>
      </c>
      <c r="J1421" s="76">
        <v>16</v>
      </c>
      <c r="K1421" s="519">
        <v>3</v>
      </c>
      <c r="L1421" s="520">
        <v>10.039999999999999</v>
      </c>
      <c r="M1421" s="520">
        <v>10.7</v>
      </c>
      <c r="N1421" s="507">
        <v>0.106</v>
      </c>
      <c r="O1421" s="507">
        <v>0.10299999999999999</v>
      </c>
      <c r="P1421" s="507">
        <v>0.11799999999999999</v>
      </c>
      <c r="Q1421" s="78">
        <v>0.44</v>
      </c>
      <c r="R1421" s="78">
        <v>0.31740000000000002</v>
      </c>
      <c r="S1421" s="69">
        <v>0</v>
      </c>
      <c r="T1421" s="69">
        <v>0</v>
      </c>
      <c r="U1421" s="507">
        <v>0.85</v>
      </c>
      <c r="V1421" s="76">
        <v>0</v>
      </c>
      <c r="W1421" s="76">
        <v>0</v>
      </c>
      <c r="X1421" s="76"/>
      <c r="Y1421" s="519" t="s">
        <v>469</v>
      </c>
    </row>
    <row r="1422" spans="1:25" x14ac:dyDescent="0.25">
      <c r="A1422" s="75" t="str">
        <f t="shared" si="49"/>
        <v>Pago_de_Hipoteca PF No_Premier Poder Judicial Pago_Bajo_Puntual Si 15</v>
      </c>
      <c r="B1422" s="75" t="str">
        <f t="shared" si="48"/>
        <v>Pago_de_Hipoteca PF No_Premier Poder Judicial Pago_Bajo_Puntual Si 15 0.103</v>
      </c>
      <c r="C1422" s="75" t="s">
        <v>173</v>
      </c>
      <c r="D1422" s="75" t="s">
        <v>132</v>
      </c>
      <c r="E1422" s="75" t="s">
        <v>179</v>
      </c>
      <c r="F1422" s="75" t="s">
        <v>176</v>
      </c>
      <c r="G1422" s="75"/>
      <c r="H1422" s="75"/>
      <c r="I1422" s="75" t="s">
        <v>170</v>
      </c>
      <c r="J1422" s="76">
        <v>15</v>
      </c>
      <c r="K1422" s="519" t="s">
        <v>387</v>
      </c>
      <c r="L1422" s="520">
        <v>10.119999999999999</v>
      </c>
      <c r="M1422" s="520">
        <v>10.78</v>
      </c>
      <c r="N1422" s="507">
        <v>0.10299999999999999</v>
      </c>
      <c r="O1422" s="507">
        <v>0.1</v>
      </c>
      <c r="P1422" s="507">
        <v>0.112</v>
      </c>
      <c r="Q1422" s="78">
        <v>0.44</v>
      </c>
      <c r="R1422" s="78">
        <v>0.31740000000000002</v>
      </c>
      <c r="S1422" s="69">
        <v>0</v>
      </c>
      <c r="T1422" s="69">
        <v>0</v>
      </c>
      <c r="U1422" s="507">
        <v>0.85</v>
      </c>
      <c r="V1422" s="76">
        <v>0</v>
      </c>
      <c r="W1422" s="76">
        <v>0</v>
      </c>
      <c r="X1422" s="76" t="s">
        <v>147</v>
      </c>
      <c r="Y1422" s="519" t="s">
        <v>469</v>
      </c>
    </row>
    <row r="1423" spans="1:25" x14ac:dyDescent="0.25">
      <c r="A1423" s="75" t="str">
        <f t="shared" si="49"/>
        <v>Pago_de_Hipoteca PF No_Premier Poder Judicial Pago_Bajo_Puntual 15</v>
      </c>
      <c r="B1423" s="75" t="str">
        <f t="shared" si="48"/>
        <v>Pago_de_Hipoteca PF No_Premier Poder Judicial Pago_Bajo_Puntual 15 0.106</v>
      </c>
      <c r="C1423" s="75" t="s">
        <v>173</v>
      </c>
      <c r="D1423" s="75" t="s">
        <v>132</v>
      </c>
      <c r="E1423" s="75" t="s">
        <v>179</v>
      </c>
      <c r="F1423" s="75" t="s">
        <v>176</v>
      </c>
      <c r="G1423" s="75"/>
      <c r="H1423" s="75"/>
      <c r="I1423" s="75" t="s">
        <v>170</v>
      </c>
      <c r="J1423" s="76">
        <v>15</v>
      </c>
      <c r="K1423" s="519">
        <v>3</v>
      </c>
      <c r="L1423" s="520">
        <v>10.33</v>
      </c>
      <c r="M1423" s="520">
        <v>10.99</v>
      </c>
      <c r="N1423" s="507">
        <v>0.106</v>
      </c>
      <c r="O1423" s="507">
        <v>0.10299999999999999</v>
      </c>
      <c r="P1423" s="507">
        <v>0.11799999999999999</v>
      </c>
      <c r="Q1423" s="78">
        <v>0.44</v>
      </c>
      <c r="R1423" s="78">
        <v>0.31740000000000002</v>
      </c>
      <c r="S1423" s="69">
        <v>0</v>
      </c>
      <c r="T1423" s="69">
        <v>0</v>
      </c>
      <c r="U1423" s="507">
        <v>0.85</v>
      </c>
      <c r="V1423" s="76">
        <v>0</v>
      </c>
      <c r="W1423" s="76">
        <v>0</v>
      </c>
      <c r="X1423" s="76"/>
      <c r="Y1423" s="519" t="s">
        <v>469</v>
      </c>
    </row>
    <row r="1424" spans="1:25" x14ac:dyDescent="0.25">
      <c r="A1424" s="75" t="str">
        <f t="shared" si="49"/>
        <v>Pago_de_Hipoteca PF No_Premier Poder Judicial Pago_Bajo_Puntual Si 14</v>
      </c>
      <c r="B1424" s="75" t="str">
        <f t="shared" si="48"/>
        <v>Pago_de_Hipoteca PF No_Premier Poder Judicial Pago_Bajo_Puntual Si 14 0.103</v>
      </c>
      <c r="C1424" s="75" t="s">
        <v>173</v>
      </c>
      <c r="D1424" s="75" t="s">
        <v>132</v>
      </c>
      <c r="E1424" s="75" t="s">
        <v>179</v>
      </c>
      <c r="F1424" s="75" t="s">
        <v>176</v>
      </c>
      <c r="G1424" s="75"/>
      <c r="H1424" s="75"/>
      <c r="I1424" s="75" t="s">
        <v>170</v>
      </c>
      <c r="J1424" s="76">
        <v>14</v>
      </c>
      <c r="K1424" s="519" t="s">
        <v>387</v>
      </c>
      <c r="L1424" s="520">
        <v>10.46</v>
      </c>
      <c r="M1424" s="520">
        <v>11.12</v>
      </c>
      <c r="N1424" s="507">
        <v>0.10299999999999999</v>
      </c>
      <c r="O1424" s="507">
        <v>0.1</v>
      </c>
      <c r="P1424" s="507">
        <v>0.112</v>
      </c>
      <c r="Q1424" s="78">
        <v>0.44</v>
      </c>
      <c r="R1424" s="78">
        <v>0.31740000000000002</v>
      </c>
      <c r="S1424" s="69">
        <v>0</v>
      </c>
      <c r="T1424" s="69">
        <v>0</v>
      </c>
      <c r="U1424" s="507">
        <v>0.85</v>
      </c>
      <c r="V1424" s="76">
        <v>0</v>
      </c>
      <c r="W1424" s="76">
        <v>0</v>
      </c>
      <c r="X1424" s="76" t="s">
        <v>147</v>
      </c>
      <c r="Y1424" s="519" t="s">
        <v>469</v>
      </c>
    </row>
    <row r="1425" spans="1:25" x14ac:dyDescent="0.25">
      <c r="A1425" s="75" t="str">
        <f t="shared" si="49"/>
        <v>Pago_de_Hipoteca PF No_Premier Poder Judicial Pago_Bajo_Puntual 14</v>
      </c>
      <c r="B1425" s="75" t="str">
        <f t="shared" si="48"/>
        <v>Pago_de_Hipoteca PF No_Premier Poder Judicial Pago_Bajo_Puntual 14 0.106</v>
      </c>
      <c r="C1425" s="75" t="s">
        <v>173</v>
      </c>
      <c r="D1425" s="75" t="s">
        <v>132</v>
      </c>
      <c r="E1425" s="75" t="s">
        <v>179</v>
      </c>
      <c r="F1425" s="75" t="s">
        <v>176</v>
      </c>
      <c r="G1425" s="75"/>
      <c r="H1425" s="75"/>
      <c r="I1425" s="75" t="s">
        <v>170</v>
      </c>
      <c r="J1425" s="76">
        <v>14</v>
      </c>
      <c r="K1425" s="519">
        <v>3</v>
      </c>
      <c r="L1425" s="520">
        <v>10.66</v>
      </c>
      <c r="M1425" s="520">
        <v>11.32</v>
      </c>
      <c r="N1425" s="507">
        <v>0.106</v>
      </c>
      <c r="O1425" s="507">
        <v>0.10299999999999999</v>
      </c>
      <c r="P1425" s="507">
        <v>0.11799999999999999</v>
      </c>
      <c r="Q1425" s="78">
        <v>0.44</v>
      </c>
      <c r="R1425" s="78">
        <v>0.31740000000000002</v>
      </c>
      <c r="S1425" s="69">
        <v>0</v>
      </c>
      <c r="T1425" s="69">
        <v>0</v>
      </c>
      <c r="U1425" s="507">
        <v>0.85</v>
      </c>
      <c r="V1425" s="76">
        <v>0</v>
      </c>
      <c r="W1425" s="76">
        <v>0</v>
      </c>
      <c r="X1425" s="76"/>
      <c r="Y1425" s="519" t="s">
        <v>469</v>
      </c>
    </row>
    <row r="1426" spans="1:25" x14ac:dyDescent="0.25">
      <c r="A1426" s="75" t="str">
        <f t="shared" si="49"/>
        <v>Pago_de_Hipoteca PF No_Premier Poder Judicial Pago_Bajo_Puntual Si 13</v>
      </c>
      <c r="B1426" s="75" t="str">
        <f t="shared" si="48"/>
        <v>Pago_de_Hipoteca PF No_Premier Poder Judicial Pago_Bajo_Puntual Si 13 0.103</v>
      </c>
      <c r="C1426" s="75" t="s">
        <v>173</v>
      </c>
      <c r="D1426" s="75" t="s">
        <v>132</v>
      </c>
      <c r="E1426" s="75" t="s">
        <v>179</v>
      </c>
      <c r="F1426" s="75" t="s">
        <v>176</v>
      </c>
      <c r="G1426" s="75"/>
      <c r="H1426" s="75"/>
      <c r="I1426" s="75" t="s">
        <v>170</v>
      </c>
      <c r="J1426" s="76">
        <v>13</v>
      </c>
      <c r="K1426" s="519" t="s">
        <v>387</v>
      </c>
      <c r="L1426" s="520">
        <v>10.86</v>
      </c>
      <c r="M1426" s="520">
        <v>11.52</v>
      </c>
      <c r="N1426" s="507">
        <v>0.10299999999999999</v>
      </c>
      <c r="O1426" s="507">
        <v>0.1</v>
      </c>
      <c r="P1426" s="507">
        <v>0.112</v>
      </c>
      <c r="Q1426" s="78">
        <v>0.44</v>
      </c>
      <c r="R1426" s="78">
        <v>0.31740000000000002</v>
      </c>
      <c r="S1426" s="69">
        <v>0</v>
      </c>
      <c r="T1426" s="69">
        <v>0</v>
      </c>
      <c r="U1426" s="507">
        <v>0.85</v>
      </c>
      <c r="V1426" s="76">
        <v>0</v>
      </c>
      <c r="W1426" s="76">
        <v>0</v>
      </c>
      <c r="X1426" s="76" t="s">
        <v>147</v>
      </c>
      <c r="Y1426" s="519" t="s">
        <v>469</v>
      </c>
    </row>
    <row r="1427" spans="1:25" x14ac:dyDescent="0.25">
      <c r="A1427" s="75" t="str">
        <f t="shared" si="49"/>
        <v>Pago_de_Hipoteca PF No_Premier Poder Judicial Pago_Bajo_Puntual 13</v>
      </c>
      <c r="B1427" s="75" t="str">
        <f t="shared" si="48"/>
        <v>Pago_de_Hipoteca PF No_Premier Poder Judicial Pago_Bajo_Puntual 13 0.106</v>
      </c>
      <c r="C1427" s="75" t="s">
        <v>173</v>
      </c>
      <c r="D1427" s="75" t="s">
        <v>132</v>
      </c>
      <c r="E1427" s="75" t="s">
        <v>179</v>
      </c>
      <c r="F1427" s="75" t="s">
        <v>176</v>
      </c>
      <c r="G1427" s="75"/>
      <c r="H1427" s="75"/>
      <c r="I1427" s="75" t="s">
        <v>170</v>
      </c>
      <c r="J1427" s="76">
        <v>13</v>
      </c>
      <c r="K1427" s="519">
        <v>3</v>
      </c>
      <c r="L1427" s="520">
        <v>11.05</v>
      </c>
      <c r="M1427" s="520">
        <v>11.71</v>
      </c>
      <c r="N1427" s="507">
        <v>0.106</v>
      </c>
      <c r="O1427" s="507">
        <v>0.10299999999999999</v>
      </c>
      <c r="P1427" s="507">
        <v>0.11799999999999999</v>
      </c>
      <c r="Q1427" s="78">
        <v>0.44</v>
      </c>
      <c r="R1427" s="78">
        <v>0.31740000000000002</v>
      </c>
      <c r="S1427" s="69">
        <v>0</v>
      </c>
      <c r="T1427" s="69">
        <v>0</v>
      </c>
      <c r="U1427" s="507">
        <v>0.85</v>
      </c>
      <c r="V1427" s="76">
        <v>0</v>
      </c>
      <c r="W1427" s="76">
        <v>0</v>
      </c>
      <c r="X1427" s="76"/>
      <c r="Y1427" s="519" t="s">
        <v>469</v>
      </c>
    </row>
    <row r="1428" spans="1:25" x14ac:dyDescent="0.25">
      <c r="A1428" s="75" t="str">
        <f t="shared" si="49"/>
        <v>Pago_de_Hipoteca PF No_Premier Poder Judicial Pago_Bajo_Puntual Si 12</v>
      </c>
      <c r="B1428" s="75" t="str">
        <f t="shared" si="48"/>
        <v>Pago_de_Hipoteca PF No_Premier Poder Judicial Pago_Bajo_Puntual Si 12 0.103</v>
      </c>
      <c r="C1428" s="75" t="s">
        <v>173</v>
      </c>
      <c r="D1428" s="75" t="s">
        <v>132</v>
      </c>
      <c r="E1428" s="75" t="s">
        <v>179</v>
      </c>
      <c r="F1428" s="75" t="s">
        <v>176</v>
      </c>
      <c r="G1428" s="75"/>
      <c r="H1428" s="75"/>
      <c r="I1428" s="75" t="s">
        <v>170</v>
      </c>
      <c r="J1428" s="76">
        <v>12</v>
      </c>
      <c r="K1428" s="519" t="s">
        <v>387</v>
      </c>
      <c r="L1428" s="520">
        <v>11.34</v>
      </c>
      <c r="M1428" s="520">
        <v>12</v>
      </c>
      <c r="N1428" s="507">
        <v>0.10299999999999999</v>
      </c>
      <c r="O1428" s="507">
        <v>0.1</v>
      </c>
      <c r="P1428" s="507">
        <v>0.112</v>
      </c>
      <c r="Q1428" s="78">
        <v>0.44</v>
      </c>
      <c r="R1428" s="78">
        <v>0.31740000000000002</v>
      </c>
      <c r="S1428" s="69">
        <v>0</v>
      </c>
      <c r="T1428" s="69">
        <v>0</v>
      </c>
      <c r="U1428" s="507">
        <v>0.85</v>
      </c>
      <c r="V1428" s="76">
        <v>0</v>
      </c>
      <c r="W1428" s="76">
        <v>0</v>
      </c>
      <c r="X1428" s="76" t="s">
        <v>147</v>
      </c>
      <c r="Y1428" s="519" t="s">
        <v>469</v>
      </c>
    </row>
    <row r="1429" spans="1:25" x14ac:dyDescent="0.25">
      <c r="A1429" s="75" t="str">
        <f t="shared" si="49"/>
        <v>Pago_de_Hipoteca PF No_Premier Poder Judicial Pago_Bajo_Puntual 12</v>
      </c>
      <c r="B1429" s="75" t="str">
        <f t="shared" si="48"/>
        <v>Pago_de_Hipoteca PF No_Premier Poder Judicial Pago_Bajo_Puntual 12 0.106</v>
      </c>
      <c r="C1429" s="75" t="s">
        <v>173</v>
      </c>
      <c r="D1429" s="75" t="s">
        <v>132</v>
      </c>
      <c r="E1429" s="75" t="s">
        <v>179</v>
      </c>
      <c r="F1429" s="75" t="s">
        <v>176</v>
      </c>
      <c r="G1429" s="75"/>
      <c r="H1429" s="75"/>
      <c r="I1429" s="75" t="s">
        <v>170</v>
      </c>
      <c r="J1429" s="76">
        <v>12</v>
      </c>
      <c r="K1429" s="519">
        <v>3</v>
      </c>
      <c r="L1429" s="520">
        <v>11.52</v>
      </c>
      <c r="M1429" s="520">
        <v>12.18</v>
      </c>
      <c r="N1429" s="507">
        <v>0.106</v>
      </c>
      <c r="O1429" s="507">
        <v>0.10299999999999999</v>
      </c>
      <c r="P1429" s="507">
        <v>0.11799999999999999</v>
      </c>
      <c r="Q1429" s="78">
        <v>0.44</v>
      </c>
      <c r="R1429" s="78">
        <v>0.31740000000000002</v>
      </c>
      <c r="S1429" s="69">
        <v>0</v>
      </c>
      <c r="T1429" s="69">
        <v>0</v>
      </c>
      <c r="U1429" s="507">
        <v>0.85</v>
      </c>
      <c r="V1429" s="76">
        <v>0</v>
      </c>
      <c r="W1429" s="76">
        <v>0</v>
      </c>
      <c r="X1429" s="76"/>
      <c r="Y1429" s="519" t="s">
        <v>469</v>
      </c>
    </row>
    <row r="1430" spans="1:25" x14ac:dyDescent="0.25">
      <c r="A1430" s="75" t="str">
        <f t="shared" si="49"/>
        <v>Pago_de_Hipoteca PF No_Premier Poder Judicial Pago_Bajo_Puntual Si 11</v>
      </c>
      <c r="B1430" s="75" t="str">
        <f t="shared" si="48"/>
        <v>Pago_de_Hipoteca PF No_Premier Poder Judicial Pago_Bajo_Puntual Si 11 0.103</v>
      </c>
      <c r="C1430" s="75" t="s">
        <v>173</v>
      </c>
      <c r="D1430" s="75" t="s">
        <v>132</v>
      </c>
      <c r="E1430" s="75" t="s">
        <v>179</v>
      </c>
      <c r="F1430" s="75" t="s">
        <v>176</v>
      </c>
      <c r="G1430" s="75"/>
      <c r="H1430" s="75"/>
      <c r="I1430" s="75" t="s">
        <v>170</v>
      </c>
      <c r="J1430" s="76">
        <v>11</v>
      </c>
      <c r="K1430" s="519" t="s">
        <v>387</v>
      </c>
      <c r="L1430" s="520">
        <v>11.92</v>
      </c>
      <c r="M1430" s="520">
        <v>12.58</v>
      </c>
      <c r="N1430" s="507">
        <v>0.10299999999999999</v>
      </c>
      <c r="O1430" s="507">
        <v>0.1</v>
      </c>
      <c r="P1430" s="507">
        <v>0.112</v>
      </c>
      <c r="Q1430" s="78">
        <v>0.44</v>
      </c>
      <c r="R1430" s="78">
        <v>0.31740000000000002</v>
      </c>
      <c r="S1430" s="69">
        <v>0</v>
      </c>
      <c r="T1430" s="69">
        <v>0</v>
      </c>
      <c r="U1430" s="507">
        <v>0.85</v>
      </c>
      <c r="V1430" s="76">
        <v>0</v>
      </c>
      <c r="W1430" s="76">
        <v>0</v>
      </c>
      <c r="X1430" s="76" t="s">
        <v>147</v>
      </c>
      <c r="Y1430" s="519" t="s">
        <v>469</v>
      </c>
    </row>
    <row r="1431" spans="1:25" x14ac:dyDescent="0.25">
      <c r="A1431" s="75" t="str">
        <f t="shared" si="49"/>
        <v>Pago_de_Hipoteca PF No_Premier Poder Judicial Pago_Bajo_Puntual 11</v>
      </c>
      <c r="B1431" s="75" t="str">
        <f t="shared" si="48"/>
        <v>Pago_de_Hipoteca PF No_Premier Poder Judicial Pago_Bajo_Puntual 11 0.106</v>
      </c>
      <c r="C1431" s="75" t="s">
        <v>173</v>
      </c>
      <c r="D1431" s="75" t="s">
        <v>132</v>
      </c>
      <c r="E1431" s="75" t="s">
        <v>179</v>
      </c>
      <c r="F1431" s="75" t="s">
        <v>176</v>
      </c>
      <c r="G1431" s="75"/>
      <c r="H1431" s="75"/>
      <c r="I1431" s="75" t="s">
        <v>170</v>
      </c>
      <c r="J1431" s="76">
        <v>11</v>
      </c>
      <c r="K1431" s="519">
        <v>3</v>
      </c>
      <c r="L1431" s="520">
        <v>12.09</v>
      </c>
      <c r="M1431" s="520">
        <v>12.75</v>
      </c>
      <c r="N1431" s="507">
        <v>0.106</v>
      </c>
      <c r="O1431" s="507">
        <v>0.10299999999999999</v>
      </c>
      <c r="P1431" s="507">
        <v>0.11799999999999999</v>
      </c>
      <c r="Q1431" s="78">
        <v>0.44</v>
      </c>
      <c r="R1431" s="78">
        <v>0.31740000000000002</v>
      </c>
      <c r="S1431" s="69">
        <v>0</v>
      </c>
      <c r="T1431" s="69">
        <v>0</v>
      </c>
      <c r="U1431" s="507">
        <v>0.85</v>
      </c>
      <c r="V1431" s="76">
        <v>0</v>
      </c>
      <c r="W1431" s="76">
        <v>0</v>
      </c>
      <c r="X1431" s="76"/>
      <c r="Y1431" s="519" t="s">
        <v>469</v>
      </c>
    </row>
    <row r="1432" spans="1:25" x14ac:dyDescent="0.25">
      <c r="A1432" s="75" t="str">
        <f t="shared" si="49"/>
        <v>Pago_de_Hipoteca PF No_Premier Poder Judicial Pago_Bajo_Puntual Si 10</v>
      </c>
      <c r="B1432" s="75" t="str">
        <f t="shared" si="48"/>
        <v>Pago_de_Hipoteca PF No_Premier Poder Judicial Pago_Bajo_Puntual Si 10 0.103</v>
      </c>
      <c r="C1432" s="75" t="s">
        <v>173</v>
      </c>
      <c r="D1432" s="75" t="s">
        <v>132</v>
      </c>
      <c r="E1432" s="75" t="s">
        <v>179</v>
      </c>
      <c r="F1432" s="75" t="s">
        <v>176</v>
      </c>
      <c r="G1432" s="75"/>
      <c r="H1432" s="75"/>
      <c r="I1432" s="75" t="s">
        <v>170</v>
      </c>
      <c r="J1432" s="76">
        <v>10</v>
      </c>
      <c r="K1432" s="519" t="s">
        <v>387</v>
      </c>
      <c r="L1432" s="520">
        <v>12.62</v>
      </c>
      <c r="M1432" s="520">
        <v>13.28</v>
      </c>
      <c r="N1432" s="507">
        <v>0.10299999999999999</v>
      </c>
      <c r="O1432" s="507">
        <v>0.1</v>
      </c>
      <c r="P1432" s="507">
        <v>0.112</v>
      </c>
      <c r="Q1432" s="78">
        <v>0.44</v>
      </c>
      <c r="R1432" s="78">
        <v>0.31740000000000002</v>
      </c>
      <c r="S1432" s="69">
        <v>0</v>
      </c>
      <c r="T1432" s="69">
        <v>0</v>
      </c>
      <c r="U1432" s="507">
        <v>0.85</v>
      </c>
      <c r="V1432" s="76">
        <v>0</v>
      </c>
      <c r="W1432" s="76">
        <v>0</v>
      </c>
      <c r="X1432" s="76" t="s">
        <v>147</v>
      </c>
      <c r="Y1432" s="519" t="s">
        <v>469</v>
      </c>
    </row>
    <row r="1433" spans="1:25" x14ac:dyDescent="0.25">
      <c r="A1433" s="75" t="str">
        <f t="shared" si="49"/>
        <v>Pago_de_Hipoteca PF No_Premier Poder Judicial Pago_Bajo_Puntual 10</v>
      </c>
      <c r="B1433" s="75" t="str">
        <f t="shared" si="48"/>
        <v>Pago_de_Hipoteca PF No_Premier Poder Judicial Pago_Bajo_Puntual 10 0.106</v>
      </c>
      <c r="C1433" s="75" t="s">
        <v>173</v>
      </c>
      <c r="D1433" s="75" t="s">
        <v>132</v>
      </c>
      <c r="E1433" s="75" t="s">
        <v>179</v>
      </c>
      <c r="F1433" s="75" t="s">
        <v>176</v>
      </c>
      <c r="G1433" s="75"/>
      <c r="H1433" s="75"/>
      <c r="I1433" s="75" t="s">
        <v>170</v>
      </c>
      <c r="J1433" s="76">
        <v>10</v>
      </c>
      <c r="K1433" s="519">
        <v>3</v>
      </c>
      <c r="L1433" s="520">
        <v>12.78</v>
      </c>
      <c r="M1433" s="520">
        <v>13.44</v>
      </c>
      <c r="N1433" s="507">
        <v>0.106</v>
      </c>
      <c r="O1433" s="507">
        <v>0.10299999999999999</v>
      </c>
      <c r="P1433" s="507">
        <v>0.11799999999999999</v>
      </c>
      <c r="Q1433" s="78">
        <v>0.44</v>
      </c>
      <c r="R1433" s="78">
        <v>0.31740000000000002</v>
      </c>
      <c r="S1433" s="69">
        <v>0</v>
      </c>
      <c r="T1433" s="69">
        <v>0</v>
      </c>
      <c r="U1433" s="507">
        <v>0.85</v>
      </c>
      <c r="V1433" s="76">
        <v>0</v>
      </c>
      <c r="W1433" s="76">
        <v>0</v>
      </c>
      <c r="X1433" s="76"/>
      <c r="Y1433" s="519" t="s">
        <v>469</v>
      </c>
    </row>
    <row r="1434" spans="1:25" x14ac:dyDescent="0.25">
      <c r="A1434" s="75" t="str">
        <f t="shared" si="49"/>
        <v>Pago_de_Hipoteca PF No_Premier Poder Judicial Pago_Bajo_Puntual Si 9</v>
      </c>
      <c r="B1434" s="75" t="str">
        <f t="shared" si="48"/>
        <v>Pago_de_Hipoteca PF No_Premier Poder Judicial Pago_Bajo_Puntual Si 9 0.103</v>
      </c>
      <c r="C1434" s="75" t="s">
        <v>173</v>
      </c>
      <c r="D1434" s="75" t="s">
        <v>132</v>
      </c>
      <c r="E1434" s="75" t="s">
        <v>179</v>
      </c>
      <c r="F1434" s="75" t="s">
        <v>176</v>
      </c>
      <c r="G1434" s="75"/>
      <c r="H1434" s="75"/>
      <c r="I1434" s="75" t="s">
        <v>170</v>
      </c>
      <c r="J1434" s="76">
        <v>9</v>
      </c>
      <c r="K1434" s="519" t="s">
        <v>387</v>
      </c>
      <c r="L1434" s="520">
        <v>13.49</v>
      </c>
      <c r="M1434" s="520">
        <v>14.15</v>
      </c>
      <c r="N1434" s="507">
        <v>0.10299999999999999</v>
      </c>
      <c r="O1434" s="507">
        <v>0.1</v>
      </c>
      <c r="P1434" s="507">
        <v>0.112</v>
      </c>
      <c r="Q1434" s="78">
        <v>0.44</v>
      </c>
      <c r="R1434" s="78">
        <v>0.31740000000000002</v>
      </c>
      <c r="S1434" s="69">
        <v>0</v>
      </c>
      <c r="T1434" s="69">
        <v>0</v>
      </c>
      <c r="U1434" s="507">
        <v>0.85</v>
      </c>
      <c r="V1434" s="76">
        <v>0</v>
      </c>
      <c r="W1434" s="76">
        <v>0</v>
      </c>
      <c r="X1434" s="76" t="s">
        <v>147</v>
      </c>
      <c r="Y1434" s="519" t="s">
        <v>469</v>
      </c>
    </row>
    <row r="1435" spans="1:25" x14ac:dyDescent="0.25">
      <c r="A1435" s="75" t="str">
        <f t="shared" si="49"/>
        <v>Pago_de_Hipoteca PF No_Premier Poder Judicial Pago_Bajo_Puntual 9</v>
      </c>
      <c r="B1435" s="75" t="str">
        <f t="shared" si="48"/>
        <v>Pago_de_Hipoteca PF No_Premier Poder Judicial Pago_Bajo_Puntual 9 0.106</v>
      </c>
      <c r="C1435" s="75" t="s">
        <v>173</v>
      </c>
      <c r="D1435" s="75" t="s">
        <v>132</v>
      </c>
      <c r="E1435" s="75" t="s">
        <v>179</v>
      </c>
      <c r="F1435" s="75" t="s">
        <v>176</v>
      </c>
      <c r="G1435" s="75"/>
      <c r="H1435" s="75"/>
      <c r="I1435" s="75" t="s">
        <v>170</v>
      </c>
      <c r="J1435" s="76">
        <v>9</v>
      </c>
      <c r="K1435" s="519">
        <v>3</v>
      </c>
      <c r="L1435" s="520">
        <v>13.65</v>
      </c>
      <c r="M1435" s="520">
        <v>14.31</v>
      </c>
      <c r="N1435" s="507">
        <v>0.106</v>
      </c>
      <c r="O1435" s="507">
        <v>0.10299999999999999</v>
      </c>
      <c r="P1435" s="507">
        <v>0.11799999999999999</v>
      </c>
      <c r="Q1435" s="78">
        <v>0.44</v>
      </c>
      <c r="R1435" s="78">
        <v>0.31740000000000002</v>
      </c>
      <c r="S1435" s="69">
        <v>0</v>
      </c>
      <c r="T1435" s="69">
        <v>0</v>
      </c>
      <c r="U1435" s="507">
        <v>0.85</v>
      </c>
      <c r="V1435" s="76">
        <v>0</v>
      </c>
      <c r="W1435" s="76">
        <v>0</v>
      </c>
      <c r="X1435" s="76"/>
      <c r="Y1435" s="519" t="s">
        <v>469</v>
      </c>
    </row>
    <row r="1436" spans="1:25" x14ac:dyDescent="0.25">
      <c r="A1436" s="75" t="str">
        <f t="shared" si="49"/>
        <v>Pago_de_Hipoteca PF No_Premier Poder Judicial Pago_Bajo_Puntual Si 8</v>
      </c>
      <c r="B1436" s="75" t="str">
        <f t="shared" si="48"/>
        <v>Pago_de_Hipoteca PF No_Premier Poder Judicial Pago_Bajo_Puntual Si 8 0.103</v>
      </c>
      <c r="C1436" s="75" t="s">
        <v>173</v>
      </c>
      <c r="D1436" s="75" t="s">
        <v>132</v>
      </c>
      <c r="E1436" s="75" t="s">
        <v>179</v>
      </c>
      <c r="F1436" s="75" t="s">
        <v>176</v>
      </c>
      <c r="G1436" s="75"/>
      <c r="H1436" s="75"/>
      <c r="I1436" s="75" t="s">
        <v>170</v>
      </c>
      <c r="J1436" s="76">
        <v>8</v>
      </c>
      <c r="K1436" s="519" t="s">
        <v>387</v>
      </c>
      <c r="L1436" s="520">
        <v>14.59</v>
      </c>
      <c r="M1436" s="520">
        <v>15.25</v>
      </c>
      <c r="N1436" s="507">
        <v>0.10299999999999999</v>
      </c>
      <c r="O1436" s="507">
        <v>0.1</v>
      </c>
      <c r="P1436" s="507">
        <v>0.112</v>
      </c>
      <c r="Q1436" s="78">
        <v>0.44</v>
      </c>
      <c r="R1436" s="78">
        <v>0.31740000000000002</v>
      </c>
      <c r="S1436" s="69">
        <v>0</v>
      </c>
      <c r="T1436" s="69">
        <v>0</v>
      </c>
      <c r="U1436" s="507">
        <v>0.85</v>
      </c>
      <c r="V1436" s="76">
        <v>0</v>
      </c>
      <c r="W1436" s="76">
        <v>0</v>
      </c>
      <c r="X1436" s="76" t="s">
        <v>147</v>
      </c>
      <c r="Y1436" s="519" t="s">
        <v>469</v>
      </c>
    </row>
    <row r="1437" spans="1:25" x14ac:dyDescent="0.25">
      <c r="A1437" s="75" t="str">
        <f t="shared" si="49"/>
        <v>Pago_de_Hipoteca PF No_Premier Poder Judicial Pago_Bajo_Puntual 8</v>
      </c>
      <c r="B1437" s="75" t="str">
        <f t="shared" si="48"/>
        <v>Pago_de_Hipoteca PF No_Premier Poder Judicial Pago_Bajo_Puntual 8 0.106</v>
      </c>
      <c r="C1437" s="75" t="s">
        <v>173</v>
      </c>
      <c r="D1437" s="75" t="s">
        <v>132</v>
      </c>
      <c r="E1437" s="75" t="s">
        <v>179</v>
      </c>
      <c r="F1437" s="75" t="s">
        <v>176</v>
      </c>
      <c r="G1437" s="75"/>
      <c r="H1437" s="75"/>
      <c r="I1437" s="75" t="s">
        <v>170</v>
      </c>
      <c r="J1437" s="76">
        <v>8</v>
      </c>
      <c r="K1437" s="519">
        <v>3</v>
      </c>
      <c r="L1437" s="520">
        <v>14.74</v>
      </c>
      <c r="M1437" s="520">
        <v>15.4</v>
      </c>
      <c r="N1437" s="507">
        <v>0.106</v>
      </c>
      <c r="O1437" s="507">
        <v>0.10299999999999999</v>
      </c>
      <c r="P1437" s="507">
        <v>0.11799999999999999</v>
      </c>
      <c r="Q1437" s="78">
        <v>0.44</v>
      </c>
      <c r="R1437" s="78">
        <v>0.31740000000000002</v>
      </c>
      <c r="S1437" s="69">
        <v>0</v>
      </c>
      <c r="T1437" s="69">
        <v>0</v>
      </c>
      <c r="U1437" s="507">
        <v>0.85</v>
      </c>
      <c r="V1437" s="76">
        <v>0</v>
      </c>
      <c r="W1437" s="76">
        <v>0</v>
      </c>
      <c r="X1437" s="76"/>
      <c r="Y1437" s="519" t="s">
        <v>469</v>
      </c>
    </row>
    <row r="1438" spans="1:25" x14ac:dyDescent="0.25">
      <c r="A1438" s="75" t="str">
        <f t="shared" si="49"/>
        <v>Pago_de_Hipoteca PF No_Premier Poder Judicial Pago_Bajo_Puntual Si 7</v>
      </c>
      <c r="B1438" s="75" t="str">
        <f t="shared" si="48"/>
        <v>Pago_de_Hipoteca PF No_Premier Poder Judicial Pago_Bajo_Puntual Si 7 0.103</v>
      </c>
      <c r="C1438" s="75" t="s">
        <v>173</v>
      </c>
      <c r="D1438" s="75" t="s">
        <v>132</v>
      </c>
      <c r="E1438" s="75" t="s">
        <v>179</v>
      </c>
      <c r="F1438" s="75" t="s">
        <v>176</v>
      </c>
      <c r="G1438" s="75"/>
      <c r="H1438" s="75"/>
      <c r="I1438" s="75" t="s">
        <v>170</v>
      </c>
      <c r="J1438" s="76">
        <v>7</v>
      </c>
      <c r="K1438" s="519" t="s">
        <v>387</v>
      </c>
      <c r="L1438" s="520">
        <v>16.03</v>
      </c>
      <c r="M1438" s="520">
        <v>16.690000000000001</v>
      </c>
      <c r="N1438" s="507">
        <v>0.10299999999999999</v>
      </c>
      <c r="O1438" s="507">
        <v>0.1</v>
      </c>
      <c r="P1438" s="507">
        <v>0.112</v>
      </c>
      <c r="Q1438" s="78">
        <v>0.44</v>
      </c>
      <c r="R1438" s="78">
        <v>0.31740000000000002</v>
      </c>
      <c r="S1438" s="69">
        <v>0</v>
      </c>
      <c r="T1438" s="69">
        <v>0</v>
      </c>
      <c r="U1438" s="507">
        <v>0.85</v>
      </c>
      <c r="V1438" s="76">
        <v>0</v>
      </c>
      <c r="W1438" s="76">
        <v>0</v>
      </c>
      <c r="X1438" s="76" t="s">
        <v>147</v>
      </c>
      <c r="Y1438" s="519" t="s">
        <v>469</v>
      </c>
    </row>
    <row r="1439" spans="1:25" x14ac:dyDescent="0.25">
      <c r="A1439" s="75" t="str">
        <f t="shared" si="49"/>
        <v>Pago_de_Hipoteca PF No_Premier Poder Judicial Pago_Bajo_Puntual 7</v>
      </c>
      <c r="B1439" s="75" t="str">
        <f t="shared" si="48"/>
        <v>Pago_de_Hipoteca PF No_Premier Poder Judicial Pago_Bajo_Puntual 7 0.106</v>
      </c>
      <c r="C1439" s="75" t="s">
        <v>173</v>
      </c>
      <c r="D1439" s="75" t="s">
        <v>132</v>
      </c>
      <c r="E1439" s="75" t="s">
        <v>179</v>
      </c>
      <c r="F1439" s="75" t="s">
        <v>176</v>
      </c>
      <c r="G1439" s="75"/>
      <c r="H1439" s="75"/>
      <c r="I1439" s="75" t="s">
        <v>170</v>
      </c>
      <c r="J1439" s="76">
        <v>7</v>
      </c>
      <c r="K1439" s="519">
        <v>3</v>
      </c>
      <c r="L1439" s="520">
        <v>16.18</v>
      </c>
      <c r="M1439" s="520">
        <v>16.84</v>
      </c>
      <c r="N1439" s="507">
        <v>0.106</v>
      </c>
      <c r="O1439" s="507">
        <v>0.10299999999999999</v>
      </c>
      <c r="P1439" s="507">
        <v>0.11799999999999999</v>
      </c>
      <c r="Q1439" s="78">
        <v>0.44</v>
      </c>
      <c r="R1439" s="78">
        <v>0.31740000000000002</v>
      </c>
      <c r="S1439" s="69">
        <v>0</v>
      </c>
      <c r="T1439" s="69">
        <v>0</v>
      </c>
      <c r="U1439" s="507">
        <v>0.85</v>
      </c>
      <c r="V1439" s="76">
        <v>0</v>
      </c>
      <c r="W1439" s="76">
        <v>0</v>
      </c>
      <c r="X1439" s="76"/>
      <c r="Y1439" s="519" t="s">
        <v>469</v>
      </c>
    </row>
    <row r="1440" spans="1:25" x14ac:dyDescent="0.25">
      <c r="A1440" s="75" t="str">
        <f t="shared" si="49"/>
        <v>Pago_de_Hipoteca PF No_Premier Poder Judicial Pago_Bajo_Puntual Si 6</v>
      </c>
      <c r="B1440" s="75" t="str">
        <f t="shared" si="48"/>
        <v>Pago_de_Hipoteca PF No_Premier Poder Judicial Pago_Bajo_Puntual Si 6 0.103</v>
      </c>
      <c r="C1440" s="75" t="s">
        <v>173</v>
      </c>
      <c r="D1440" s="75" t="s">
        <v>132</v>
      </c>
      <c r="E1440" s="75" t="s">
        <v>179</v>
      </c>
      <c r="F1440" s="75" t="s">
        <v>176</v>
      </c>
      <c r="G1440" s="75"/>
      <c r="H1440" s="75"/>
      <c r="I1440" s="75" t="s">
        <v>170</v>
      </c>
      <c r="J1440" s="76">
        <v>6</v>
      </c>
      <c r="K1440" s="519" t="s">
        <v>387</v>
      </c>
      <c r="L1440" s="520">
        <v>17.97</v>
      </c>
      <c r="M1440" s="520">
        <v>18.63</v>
      </c>
      <c r="N1440" s="507">
        <v>0.10299999999999999</v>
      </c>
      <c r="O1440" s="507">
        <v>0.1</v>
      </c>
      <c r="P1440" s="507">
        <v>0.112</v>
      </c>
      <c r="Q1440" s="78">
        <v>0.44</v>
      </c>
      <c r="R1440" s="78">
        <v>0.31740000000000002</v>
      </c>
      <c r="S1440" s="69">
        <v>0</v>
      </c>
      <c r="T1440" s="69">
        <v>0</v>
      </c>
      <c r="U1440" s="507">
        <v>0.85</v>
      </c>
      <c r="V1440" s="76">
        <v>0</v>
      </c>
      <c r="W1440" s="76">
        <v>0</v>
      </c>
      <c r="X1440" s="76" t="s">
        <v>147</v>
      </c>
      <c r="Y1440" s="519" t="s">
        <v>469</v>
      </c>
    </row>
    <row r="1441" spans="1:25" x14ac:dyDescent="0.25">
      <c r="A1441" s="75" t="str">
        <f t="shared" si="49"/>
        <v>Pago_de_Hipoteca PF No_Premier Poder Judicial Pago_Bajo_Puntual 6</v>
      </c>
      <c r="B1441" s="75" t="str">
        <f t="shared" si="48"/>
        <v>Pago_de_Hipoteca PF No_Premier Poder Judicial Pago_Bajo_Puntual 6 0.106</v>
      </c>
      <c r="C1441" s="75" t="s">
        <v>173</v>
      </c>
      <c r="D1441" s="75" t="s">
        <v>132</v>
      </c>
      <c r="E1441" s="75" t="s">
        <v>179</v>
      </c>
      <c r="F1441" s="75" t="s">
        <v>176</v>
      </c>
      <c r="G1441" s="75"/>
      <c r="H1441" s="75"/>
      <c r="I1441" s="75" t="s">
        <v>170</v>
      </c>
      <c r="J1441" s="76">
        <v>6</v>
      </c>
      <c r="K1441" s="519">
        <v>3</v>
      </c>
      <c r="L1441" s="520">
        <v>18.12</v>
      </c>
      <c r="M1441" s="520">
        <v>18.78</v>
      </c>
      <c r="N1441" s="507">
        <v>0.106</v>
      </c>
      <c r="O1441" s="507">
        <v>0.10299999999999999</v>
      </c>
      <c r="P1441" s="507">
        <v>0.11799999999999999</v>
      </c>
      <c r="Q1441" s="78">
        <v>0.44</v>
      </c>
      <c r="R1441" s="78">
        <v>0.31740000000000002</v>
      </c>
      <c r="S1441" s="69">
        <v>0</v>
      </c>
      <c r="T1441" s="69">
        <v>0</v>
      </c>
      <c r="U1441" s="507">
        <v>0.85</v>
      </c>
      <c r="V1441" s="76">
        <v>0</v>
      </c>
      <c r="W1441" s="76">
        <v>0</v>
      </c>
      <c r="X1441" s="76"/>
      <c r="Y1441" s="519" t="s">
        <v>469</v>
      </c>
    </row>
    <row r="1442" spans="1:25" x14ac:dyDescent="0.25">
      <c r="A1442" s="75" t="str">
        <f t="shared" si="49"/>
        <v>Pago_de_Hipoteca PF No_Premier Poder Judicial Pago_Bajo_Puntual Si 5</v>
      </c>
      <c r="B1442" s="75" t="str">
        <f t="shared" si="48"/>
        <v>Pago_de_Hipoteca PF No_Premier Poder Judicial Pago_Bajo_Puntual Si 5 0.103</v>
      </c>
      <c r="C1442" s="75" t="s">
        <v>173</v>
      </c>
      <c r="D1442" s="75" t="s">
        <v>132</v>
      </c>
      <c r="E1442" s="75" t="s">
        <v>179</v>
      </c>
      <c r="F1442" s="75" t="s">
        <v>176</v>
      </c>
      <c r="G1442" s="75"/>
      <c r="H1442" s="75"/>
      <c r="I1442" s="75" t="s">
        <v>170</v>
      </c>
      <c r="J1442" s="76">
        <v>5</v>
      </c>
      <c r="K1442" s="519" t="s">
        <v>387</v>
      </c>
      <c r="L1442" s="520">
        <v>20.72</v>
      </c>
      <c r="M1442" s="520">
        <v>21.38</v>
      </c>
      <c r="N1442" s="507">
        <v>0.10299999999999999</v>
      </c>
      <c r="O1442" s="507">
        <v>0.1</v>
      </c>
      <c r="P1442" s="507">
        <v>0.112</v>
      </c>
      <c r="Q1442" s="78">
        <v>0.44</v>
      </c>
      <c r="R1442" s="78">
        <v>0.31740000000000002</v>
      </c>
      <c r="S1442" s="69">
        <v>0</v>
      </c>
      <c r="T1442" s="69">
        <v>0</v>
      </c>
      <c r="U1442" s="507">
        <v>0.85</v>
      </c>
      <c r="V1442" s="76">
        <v>0</v>
      </c>
      <c r="W1442" s="76">
        <v>0</v>
      </c>
      <c r="X1442" s="76" t="s">
        <v>147</v>
      </c>
      <c r="Y1442" s="519" t="s">
        <v>469</v>
      </c>
    </row>
    <row r="1443" spans="1:25" x14ac:dyDescent="0.25">
      <c r="A1443" s="75" t="str">
        <f t="shared" si="49"/>
        <v>Pago_de_Hipoteca PF No_Premier Poder Judicial Pago_Bajo_Puntual 5</v>
      </c>
      <c r="B1443" s="75" t="str">
        <f t="shared" si="48"/>
        <v>Pago_de_Hipoteca PF No_Premier Poder Judicial Pago_Bajo_Puntual 5 0.106</v>
      </c>
      <c r="C1443" s="75" t="s">
        <v>173</v>
      </c>
      <c r="D1443" s="75" t="s">
        <v>132</v>
      </c>
      <c r="E1443" s="75" t="s">
        <v>179</v>
      </c>
      <c r="F1443" s="75" t="s">
        <v>176</v>
      </c>
      <c r="G1443" s="75"/>
      <c r="H1443" s="75"/>
      <c r="I1443" s="75" t="s">
        <v>170</v>
      </c>
      <c r="J1443" s="76">
        <v>5</v>
      </c>
      <c r="K1443" s="519">
        <v>3</v>
      </c>
      <c r="L1443" s="520">
        <v>20.86</v>
      </c>
      <c r="M1443" s="520">
        <v>21.52</v>
      </c>
      <c r="N1443" s="507">
        <v>0.106</v>
      </c>
      <c r="O1443" s="507">
        <v>0.10299999999999999</v>
      </c>
      <c r="P1443" s="507">
        <v>0.11799999999999999</v>
      </c>
      <c r="Q1443" s="78">
        <v>0.44</v>
      </c>
      <c r="R1443" s="78">
        <v>0.31740000000000002</v>
      </c>
      <c r="S1443" s="69">
        <v>0</v>
      </c>
      <c r="T1443" s="69">
        <v>0</v>
      </c>
      <c r="U1443" s="507">
        <v>0.85</v>
      </c>
      <c r="V1443" s="76">
        <v>0</v>
      </c>
      <c r="W1443" s="76">
        <v>0</v>
      </c>
      <c r="X1443" s="76"/>
      <c r="Y1443" s="519" t="s">
        <v>469</v>
      </c>
    </row>
    <row r="1444" spans="1:25" x14ac:dyDescent="0.25">
      <c r="A1444" s="75" t="str">
        <f t="shared" si="49"/>
        <v>Pago_de_Hipoteca PF No_Premier Poder Judicial Pago_Fijo_Puntual 20</v>
      </c>
      <c r="B1444" s="75" t="str">
        <f t="shared" si="48"/>
        <v>Pago_de_Hipoteca PF No_Premier Poder Judicial Pago_Fijo_Puntual 20 0.0965</v>
      </c>
      <c r="C1444" s="75" t="s">
        <v>173</v>
      </c>
      <c r="D1444" s="75" t="s">
        <v>132</v>
      </c>
      <c r="E1444" s="75" t="s">
        <v>179</v>
      </c>
      <c r="F1444" s="75" t="s">
        <v>176</v>
      </c>
      <c r="G1444" s="75"/>
      <c r="H1444" s="75"/>
      <c r="I1444" s="75" t="s">
        <v>171</v>
      </c>
      <c r="J1444" s="76">
        <v>20</v>
      </c>
      <c r="K1444" s="516" t="s">
        <v>385</v>
      </c>
      <c r="L1444" s="517">
        <v>9.66</v>
      </c>
      <c r="M1444" s="517">
        <v>10.32</v>
      </c>
      <c r="N1444" s="518">
        <v>9.6500000000000002E-2</v>
      </c>
      <c r="O1444" s="518">
        <v>9.1999999999999998E-2</v>
      </c>
      <c r="P1444" s="518">
        <v>0.10249999999999999</v>
      </c>
      <c r="Q1444" s="78">
        <v>0.44</v>
      </c>
      <c r="R1444" s="78">
        <v>0.31740000000000002</v>
      </c>
      <c r="S1444" s="69">
        <v>0</v>
      </c>
      <c r="T1444" s="69">
        <v>0</v>
      </c>
      <c r="U1444" s="518">
        <v>0.7</v>
      </c>
      <c r="V1444" s="76">
        <v>0</v>
      </c>
      <c r="W1444" s="76">
        <v>0</v>
      </c>
      <c r="X1444" s="76"/>
      <c r="Y1444" s="516" t="s">
        <v>470</v>
      </c>
    </row>
    <row r="1445" spans="1:25" x14ac:dyDescent="0.25">
      <c r="A1445" s="75" t="str">
        <f t="shared" si="49"/>
        <v>Pago_de_Hipoteca PF No_Premier Poder Judicial Pago_Fijo_Puntual 20</v>
      </c>
      <c r="B1445" s="75" t="str">
        <f t="shared" si="48"/>
        <v>Pago_de_Hipoteca PF No_Premier Poder Judicial Pago_Fijo_Puntual 20 0.103</v>
      </c>
      <c r="C1445" s="75" t="s">
        <v>173</v>
      </c>
      <c r="D1445" s="75" t="s">
        <v>132</v>
      </c>
      <c r="E1445" s="75" t="s">
        <v>179</v>
      </c>
      <c r="F1445" s="75" t="s">
        <v>176</v>
      </c>
      <c r="G1445" s="75"/>
      <c r="H1445" s="75"/>
      <c r="I1445" s="75" t="s">
        <v>171</v>
      </c>
      <c r="J1445" s="76">
        <v>20</v>
      </c>
      <c r="K1445" s="516" t="s">
        <v>386</v>
      </c>
      <c r="L1445" s="517">
        <v>10.16</v>
      </c>
      <c r="M1445" s="517">
        <v>10.82</v>
      </c>
      <c r="N1445" s="518">
        <v>0.10299999999999999</v>
      </c>
      <c r="O1445" s="518">
        <v>0.1</v>
      </c>
      <c r="P1445" s="518">
        <v>0.112</v>
      </c>
      <c r="Q1445" s="78">
        <v>0.44</v>
      </c>
      <c r="R1445" s="78">
        <v>0.31740000000000002</v>
      </c>
      <c r="S1445" s="69">
        <v>0</v>
      </c>
      <c r="T1445" s="69">
        <v>0</v>
      </c>
      <c r="U1445" s="518">
        <v>0.7</v>
      </c>
      <c r="V1445" s="76">
        <v>0</v>
      </c>
      <c r="W1445" s="76">
        <v>0</v>
      </c>
      <c r="X1445" s="76"/>
      <c r="Y1445" s="516" t="s">
        <v>470</v>
      </c>
    </row>
    <row r="1446" spans="1:25" x14ac:dyDescent="0.25">
      <c r="A1446" s="75" t="str">
        <f t="shared" si="49"/>
        <v>Pago_de_Hipoteca PF No_Premier Poder Judicial Pago_Fijo_Puntual 19</v>
      </c>
      <c r="B1446" s="75" t="str">
        <f t="shared" ref="B1446:B1509" si="50">CONCATENATE(A1446," ",N1446)</f>
        <v>Pago_de_Hipoteca PF No_Premier Poder Judicial Pago_Fijo_Puntual 19 0.0965</v>
      </c>
      <c r="C1446" s="75" t="s">
        <v>173</v>
      </c>
      <c r="D1446" s="75" t="s">
        <v>132</v>
      </c>
      <c r="E1446" s="75" t="s">
        <v>179</v>
      </c>
      <c r="F1446" s="75" t="s">
        <v>176</v>
      </c>
      <c r="G1446" s="75"/>
      <c r="H1446" s="75"/>
      <c r="I1446" s="75" t="s">
        <v>171</v>
      </c>
      <c r="J1446" s="76">
        <v>19</v>
      </c>
      <c r="K1446" s="516" t="s">
        <v>385</v>
      </c>
      <c r="L1446" s="517">
        <v>9.82</v>
      </c>
      <c r="M1446" s="517">
        <v>10.48</v>
      </c>
      <c r="N1446" s="518">
        <v>9.6500000000000002E-2</v>
      </c>
      <c r="O1446" s="518">
        <v>9.1999999999999998E-2</v>
      </c>
      <c r="P1446" s="518">
        <v>0.10249999999999999</v>
      </c>
      <c r="Q1446" s="78">
        <v>0.44</v>
      </c>
      <c r="R1446" s="78">
        <v>0.31740000000000002</v>
      </c>
      <c r="S1446" s="69">
        <v>0</v>
      </c>
      <c r="T1446" s="69">
        <v>0</v>
      </c>
      <c r="U1446" s="518">
        <v>0.7</v>
      </c>
      <c r="V1446" s="76">
        <v>0</v>
      </c>
      <c r="W1446" s="76">
        <v>0</v>
      </c>
      <c r="X1446" s="76"/>
      <c r="Y1446" s="516" t="s">
        <v>470</v>
      </c>
    </row>
    <row r="1447" spans="1:25" x14ac:dyDescent="0.25">
      <c r="A1447" s="75" t="str">
        <f t="shared" ref="A1447:A1510" si="51">TRIM(CONCATENATE(C1447," ",D1447," ",E1447," ",F1447," ",G1447," ",I1447," ",X1447," ",J1447))</f>
        <v>Pago_de_Hipoteca PF No_Premier Poder Judicial Pago_Fijo_Puntual 19</v>
      </c>
      <c r="B1447" s="75" t="str">
        <f t="shared" si="50"/>
        <v>Pago_de_Hipoteca PF No_Premier Poder Judicial Pago_Fijo_Puntual 19 0.103</v>
      </c>
      <c r="C1447" s="75" t="s">
        <v>173</v>
      </c>
      <c r="D1447" s="75" t="s">
        <v>132</v>
      </c>
      <c r="E1447" s="75" t="s">
        <v>179</v>
      </c>
      <c r="F1447" s="75" t="s">
        <v>176</v>
      </c>
      <c r="G1447" s="75"/>
      <c r="H1447" s="75"/>
      <c r="I1447" s="75" t="s">
        <v>171</v>
      </c>
      <c r="J1447" s="76">
        <v>19</v>
      </c>
      <c r="K1447" s="516" t="s">
        <v>386</v>
      </c>
      <c r="L1447" s="517">
        <v>10.3</v>
      </c>
      <c r="M1447" s="517">
        <v>10.96</v>
      </c>
      <c r="N1447" s="518">
        <v>0.10299999999999999</v>
      </c>
      <c r="O1447" s="518">
        <v>0.1</v>
      </c>
      <c r="P1447" s="518">
        <v>0.112</v>
      </c>
      <c r="Q1447" s="78">
        <v>0.44</v>
      </c>
      <c r="R1447" s="78">
        <v>0.31740000000000002</v>
      </c>
      <c r="S1447" s="69">
        <v>0</v>
      </c>
      <c r="T1447" s="69">
        <v>0</v>
      </c>
      <c r="U1447" s="518">
        <v>0.7</v>
      </c>
      <c r="V1447" s="76">
        <v>0</v>
      </c>
      <c r="W1447" s="76">
        <v>0</v>
      </c>
      <c r="X1447" s="76"/>
      <c r="Y1447" s="516" t="s">
        <v>470</v>
      </c>
    </row>
    <row r="1448" spans="1:25" x14ac:dyDescent="0.25">
      <c r="A1448" s="75" t="str">
        <f t="shared" si="51"/>
        <v>Pago_de_Hipoteca PF No_Premier Poder Judicial Pago_Fijo_Puntual 18</v>
      </c>
      <c r="B1448" s="75" t="str">
        <f t="shared" si="50"/>
        <v>Pago_de_Hipoteca PF No_Premier Poder Judicial Pago_Fijo_Puntual 18 0.0965</v>
      </c>
      <c r="C1448" s="75" t="s">
        <v>173</v>
      </c>
      <c r="D1448" s="75" t="s">
        <v>132</v>
      </c>
      <c r="E1448" s="75" t="s">
        <v>179</v>
      </c>
      <c r="F1448" s="75" t="s">
        <v>176</v>
      </c>
      <c r="G1448" s="75"/>
      <c r="H1448" s="75"/>
      <c r="I1448" s="75" t="s">
        <v>171</v>
      </c>
      <c r="J1448" s="76">
        <v>18</v>
      </c>
      <c r="K1448" s="516" t="s">
        <v>385</v>
      </c>
      <c r="L1448" s="517">
        <v>10</v>
      </c>
      <c r="M1448" s="517">
        <v>10.66</v>
      </c>
      <c r="N1448" s="518">
        <v>9.6500000000000002E-2</v>
      </c>
      <c r="O1448" s="518">
        <v>9.1999999999999998E-2</v>
      </c>
      <c r="P1448" s="518">
        <v>0.10249999999999999</v>
      </c>
      <c r="Q1448" s="78">
        <v>0.44</v>
      </c>
      <c r="R1448" s="78">
        <v>0.31740000000000002</v>
      </c>
      <c r="S1448" s="69">
        <v>0</v>
      </c>
      <c r="T1448" s="69">
        <v>0</v>
      </c>
      <c r="U1448" s="518">
        <v>0.7</v>
      </c>
      <c r="V1448" s="76">
        <v>0</v>
      </c>
      <c r="W1448" s="76">
        <v>0</v>
      </c>
      <c r="X1448" s="76"/>
      <c r="Y1448" s="516" t="s">
        <v>470</v>
      </c>
    </row>
    <row r="1449" spans="1:25" x14ac:dyDescent="0.25">
      <c r="A1449" s="75" t="str">
        <f t="shared" si="51"/>
        <v>Pago_de_Hipoteca PF No_Premier Poder Judicial Pago_Fijo_Puntual 18</v>
      </c>
      <c r="B1449" s="75" t="str">
        <f t="shared" si="50"/>
        <v>Pago_de_Hipoteca PF No_Premier Poder Judicial Pago_Fijo_Puntual 18 0.103</v>
      </c>
      <c r="C1449" s="75" t="s">
        <v>173</v>
      </c>
      <c r="D1449" s="75" t="s">
        <v>132</v>
      </c>
      <c r="E1449" s="75" t="s">
        <v>179</v>
      </c>
      <c r="F1449" s="75" t="s">
        <v>176</v>
      </c>
      <c r="G1449" s="75"/>
      <c r="H1449" s="75"/>
      <c r="I1449" s="75" t="s">
        <v>171</v>
      </c>
      <c r="J1449" s="76">
        <v>18</v>
      </c>
      <c r="K1449" s="516" t="s">
        <v>386</v>
      </c>
      <c r="L1449" s="517">
        <v>10.47</v>
      </c>
      <c r="M1449" s="517">
        <v>11.13</v>
      </c>
      <c r="N1449" s="518">
        <v>0.10299999999999999</v>
      </c>
      <c r="O1449" s="518">
        <v>0.1</v>
      </c>
      <c r="P1449" s="518">
        <v>0.112</v>
      </c>
      <c r="Q1449" s="78">
        <v>0.44</v>
      </c>
      <c r="R1449" s="78">
        <v>0.31740000000000002</v>
      </c>
      <c r="S1449" s="69">
        <v>0</v>
      </c>
      <c r="T1449" s="69">
        <v>0</v>
      </c>
      <c r="U1449" s="518">
        <v>0.7</v>
      </c>
      <c r="V1449" s="76">
        <v>0</v>
      </c>
      <c r="W1449" s="76">
        <v>0</v>
      </c>
      <c r="X1449" s="76"/>
      <c r="Y1449" s="516" t="s">
        <v>470</v>
      </c>
    </row>
    <row r="1450" spans="1:25" x14ac:dyDescent="0.25">
      <c r="A1450" s="75" t="str">
        <f t="shared" si="51"/>
        <v>Pago_de_Hipoteca PF No_Premier Poder Judicial Pago_Fijo_Puntual 17</v>
      </c>
      <c r="B1450" s="75" t="str">
        <f t="shared" si="50"/>
        <v>Pago_de_Hipoteca PF No_Premier Poder Judicial Pago_Fijo_Puntual 17 0.0965</v>
      </c>
      <c r="C1450" s="75" t="s">
        <v>173</v>
      </c>
      <c r="D1450" s="75" t="s">
        <v>132</v>
      </c>
      <c r="E1450" s="75" t="s">
        <v>179</v>
      </c>
      <c r="F1450" s="75" t="s">
        <v>176</v>
      </c>
      <c r="G1450" s="75"/>
      <c r="H1450" s="75"/>
      <c r="I1450" s="75" t="s">
        <v>171</v>
      </c>
      <c r="J1450" s="76">
        <v>17</v>
      </c>
      <c r="K1450" s="516" t="s">
        <v>385</v>
      </c>
      <c r="L1450" s="517">
        <v>10.210000000000001</v>
      </c>
      <c r="M1450" s="517">
        <v>10.87</v>
      </c>
      <c r="N1450" s="518">
        <v>9.6500000000000002E-2</v>
      </c>
      <c r="O1450" s="518">
        <v>9.1999999999999998E-2</v>
      </c>
      <c r="P1450" s="518">
        <v>0.10249999999999999</v>
      </c>
      <c r="Q1450" s="78">
        <v>0.44</v>
      </c>
      <c r="R1450" s="78">
        <v>0.31740000000000002</v>
      </c>
      <c r="S1450" s="69">
        <v>0</v>
      </c>
      <c r="T1450" s="69">
        <v>0</v>
      </c>
      <c r="U1450" s="518">
        <v>0.7</v>
      </c>
      <c r="V1450" s="76">
        <v>0</v>
      </c>
      <c r="W1450" s="76">
        <v>0</v>
      </c>
      <c r="X1450" s="76"/>
      <c r="Y1450" s="516" t="s">
        <v>470</v>
      </c>
    </row>
    <row r="1451" spans="1:25" x14ac:dyDescent="0.25">
      <c r="A1451" s="75" t="str">
        <f t="shared" si="51"/>
        <v>Pago_de_Hipoteca PF No_Premier Poder Judicial Pago_Fijo_Puntual 17</v>
      </c>
      <c r="B1451" s="75" t="str">
        <f t="shared" si="50"/>
        <v>Pago_de_Hipoteca PF No_Premier Poder Judicial Pago_Fijo_Puntual 17 0.103</v>
      </c>
      <c r="C1451" s="75" t="s">
        <v>173</v>
      </c>
      <c r="D1451" s="75" t="s">
        <v>132</v>
      </c>
      <c r="E1451" s="75" t="s">
        <v>179</v>
      </c>
      <c r="F1451" s="75" t="s">
        <v>176</v>
      </c>
      <c r="G1451" s="75"/>
      <c r="H1451" s="75"/>
      <c r="I1451" s="75" t="s">
        <v>171</v>
      </c>
      <c r="J1451" s="76">
        <v>17</v>
      </c>
      <c r="K1451" s="516" t="s">
        <v>386</v>
      </c>
      <c r="L1451" s="517">
        <v>10.67</v>
      </c>
      <c r="M1451" s="517">
        <v>11.33</v>
      </c>
      <c r="N1451" s="518">
        <v>0.10299999999999999</v>
      </c>
      <c r="O1451" s="518">
        <v>0.1</v>
      </c>
      <c r="P1451" s="518">
        <v>0.112</v>
      </c>
      <c r="Q1451" s="78">
        <v>0.44</v>
      </c>
      <c r="R1451" s="78">
        <v>0.31740000000000002</v>
      </c>
      <c r="S1451" s="69">
        <v>0</v>
      </c>
      <c r="T1451" s="69">
        <v>0</v>
      </c>
      <c r="U1451" s="518">
        <v>0.7</v>
      </c>
      <c r="V1451" s="76">
        <v>0</v>
      </c>
      <c r="W1451" s="76">
        <v>0</v>
      </c>
      <c r="X1451" s="76"/>
      <c r="Y1451" s="516" t="s">
        <v>470</v>
      </c>
    </row>
    <row r="1452" spans="1:25" x14ac:dyDescent="0.25">
      <c r="A1452" s="75" t="str">
        <f t="shared" si="51"/>
        <v>Pago_de_Hipoteca PF No_Premier Poder Judicial Pago_Fijo_Puntual 16</v>
      </c>
      <c r="B1452" s="75" t="str">
        <f t="shared" si="50"/>
        <v>Pago_de_Hipoteca PF No_Premier Poder Judicial Pago_Fijo_Puntual 16 0.0965</v>
      </c>
      <c r="C1452" s="75" t="s">
        <v>173</v>
      </c>
      <c r="D1452" s="75" t="s">
        <v>132</v>
      </c>
      <c r="E1452" s="75" t="s">
        <v>179</v>
      </c>
      <c r="F1452" s="75" t="s">
        <v>176</v>
      </c>
      <c r="G1452" s="75"/>
      <c r="H1452" s="75"/>
      <c r="I1452" s="75" t="s">
        <v>171</v>
      </c>
      <c r="J1452" s="76">
        <v>16</v>
      </c>
      <c r="K1452" s="516" t="s">
        <v>385</v>
      </c>
      <c r="L1452" s="517">
        <v>10.45</v>
      </c>
      <c r="M1452" s="517">
        <v>11.11</v>
      </c>
      <c r="N1452" s="518">
        <v>9.6500000000000002E-2</v>
      </c>
      <c r="O1452" s="518">
        <v>9.1999999999999998E-2</v>
      </c>
      <c r="P1452" s="518">
        <v>0.10249999999999999</v>
      </c>
      <c r="Q1452" s="78">
        <v>0.44</v>
      </c>
      <c r="R1452" s="78">
        <v>0.31740000000000002</v>
      </c>
      <c r="S1452" s="69">
        <v>0</v>
      </c>
      <c r="T1452" s="69">
        <v>0</v>
      </c>
      <c r="U1452" s="518">
        <v>0.7</v>
      </c>
      <c r="V1452" s="76">
        <v>0</v>
      </c>
      <c r="W1452" s="76">
        <v>0</v>
      </c>
      <c r="X1452" s="76"/>
      <c r="Y1452" s="516" t="s">
        <v>470</v>
      </c>
    </row>
    <row r="1453" spans="1:25" x14ac:dyDescent="0.25">
      <c r="A1453" s="75" t="str">
        <f t="shared" si="51"/>
        <v>Pago_de_Hipoteca PF No_Premier Poder Judicial Pago_Fijo_Puntual 16</v>
      </c>
      <c r="B1453" s="75" t="str">
        <f t="shared" si="50"/>
        <v>Pago_de_Hipoteca PF No_Premier Poder Judicial Pago_Fijo_Puntual 16 0.103</v>
      </c>
      <c r="C1453" s="75" t="s">
        <v>173</v>
      </c>
      <c r="D1453" s="75" t="s">
        <v>132</v>
      </c>
      <c r="E1453" s="75" t="s">
        <v>179</v>
      </c>
      <c r="F1453" s="75" t="s">
        <v>176</v>
      </c>
      <c r="G1453" s="75"/>
      <c r="H1453" s="75"/>
      <c r="I1453" s="75" t="s">
        <v>171</v>
      </c>
      <c r="J1453" s="76">
        <v>16</v>
      </c>
      <c r="K1453" s="516" t="s">
        <v>386</v>
      </c>
      <c r="L1453" s="517">
        <v>10.9</v>
      </c>
      <c r="M1453" s="517">
        <v>11.56</v>
      </c>
      <c r="N1453" s="518">
        <v>0.10299999999999999</v>
      </c>
      <c r="O1453" s="518">
        <v>0.1</v>
      </c>
      <c r="P1453" s="518">
        <v>0.112</v>
      </c>
      <c r="Q1453" s="78">
        <v>0.44</v>
      </c>
      <c r="R1453" s="78">
        <v>0.31740000000000002</v>
      </c>
      <c r="S1453" s="69">
        <v>0</v>
      </c>
      <c r="T1453" s="69">
        <v>0</v>
      </c>
      <c r="U1453" s="518">
        <v>0.7</v>
      </c>
      <c r="V1453" s="76">
        <v>0</v>
      </c>
      <c r="W1453" s="76">
        <v>0</v>
      </c>
      <c r="X1453" s="76"/>
      <c r="Y1453" s="516" t="s">
        <v>470</v>
      </c>
    </row>
    <row r="1454" spans="1:25" x14ac:dyDescent="0.25">
      <c r="A1454" s="75" t="str">
        <f t="shared" si="51"/>
        <v>Pago_de_Hipoteca PF No_Premier Poder Judicial Pago_Fijo_Puntual 15</v>
      </c>
      <c r="B1454" s="75" t="str">
        <f t="shared" si="50"/>
        <v>Pago_de_Hipoteca PF No_Premier Poder Judicial Pago_Fijo_Puntual 15 0.0965</v>
      </c>
      <c r="C1454" s="75" t="s">
        <v>173</v>
      </c>
      <c r="D1454" s="75" t="s">
        <v>132</v>
      </c>
      <c r="E1454" s="75" t="s">
        <v>179</v>
      </c>
      <c r="F1454" s="75" t="s">
        <v>176</v>
      </c>
      <c r="G1454" s="75"/>
      <c r="H1454" s="75"/>
      <c r="I1454" s="75" t="s">
        <v>171</v>
      </c>
      <c r="J1454" s="76">
        <v>15</v>
      </c>
      <c r="K1454" s="516" t="s">
        <v>385</v>
      </c>
      <c r="L1454" s="517">
        <v>10.73</v>
      </c>
      <c r="M1454" s="517">
        <v>11.39</v>
      </c>
      <c r="N1454" s="518">
        <v>9.6500000000000002E-2</v>
      </c>
      <c r="O1454" s="518">
        <v>9.1999999999999998E-2</v>
      </c>
      <c r="P1454" s="518">
        <v>0.10249999999999999</v>
      </c>
      <c r="Q1454" s="78">
        <v>0.44</v>
      </c>
      <c r="R1454" s="78">
        <v>0.31740000000000002</v>
      </c>
      <c r="S1454" s="69">
        <v>0</v>
      </c>
      <c r="T1454" s="69">
        <v>0</v>
      </c>
      <c r="U1454" s="518">
        <v>0.7</v>
      </c>
      <c r="V1454" s="76">
        <v>0</v>
      </c>
      <c r="W1454" s="76">
        <v>0</v>
      </c>
      <c r="X1454" s="76"/>
      <c r="Y1454" s="516" t="s">
        <v>470</v>
      </c>
    </row>
    <row r="1455" spans="1:25" x14ac:dyDescent="0.25">
      <c r="A1455" s="75" t="str">
        <f t="shared" si="51"/>
        <v>Pago_de_Hipoteca PF No_Premier Poder Judicial Pago_Fijo_Puntual 15</v>
      </c>
      <c r="B1455" s="75" t="str">
        <f t="shared" si="50"/>
        <v>Pago_de_Hipoteca PF No_Premier Poder Judicial Pago_Fijo_Puntual 15 0.103</v>
      </c>
      <c r="C1455" s="75" t="s">
        <v>173</v>
      </c>
      <c r="D1455" s="75" t="s">
        <v>132</v>
      </c>
      <c r="E1455" s="75" t="s">
        <v>179</v>
      </c>
      <c r="F1455" s="75" t="s">
        <v>176</v>
      </c>
      <c r="G1455" s="75"/>
      <c r="H1455" s="75"/>
      <c r="I1455" s="75" t="s">
        <v>171</v>
      </c>
      <c r="J1455" s="76">
        <v>15</v>
      </c>
      <c r="K1455" s="516" t="s">
        <v>386</v>
      </c>
      <c r="L1455" s="517">
        <v>11.18</v>
      </c>
      <c r="M1455" s="517">
        <v>11.84</v>
      </c>
      <c r="N1455" s="518">
        <v>0.10299999999999999</v>
      </c>
      <c r="O1455" s="518">
        <v>0.1</v>
      </c>
      <c r="P1455" s="518">
        <v>0.112</v>
      </c>
      <c r="Q1455" s="78">
        <v>0.44</v>
      </c>
      <c r="R1455" s="78">
        <v>0.31740000000000002</v>
      </c>
      <c r="S1455" s="69">
        <v>0</v>
      </c>
      <c r="T1455" s="69">
        <v>0</v>
      </c>
      <c r="U1455" s="518">
        <v>0.7</v>
      </c>
      <c r="V1455" s="76">
        <v>0</v>
      </c>
      <c r="W1455" s="76">
        <v>0</v>
      </c>
      <c r="X1455" s="76"/>
      <c r="Y1455" s="516" t="s">
        <v>470</v>
      </c>
    </row>
    <row r="1456" spans="1:25" x14ac:dyDescent="0.25">
      <c r="A1456" s="75" t="str">
        <f t="shared" si="51"/>
        <v>Pago_de_Hipoteca PF No_Premier Poder Judicial Pago_Fijo_Puntual 14</v>
      </c>
      <c r="B1456" s="75" t="str">
        <f t="shared" si="50"/>
        <v>Pago_de_Hipoteca PF No_Premier Poder Judicial Pago_Fijo_Puntual 14 0.0965</v>
      </c>
      <c r="C1456" s="75" t="s">
        <v>173</v>
      </c>
      <c r="D1456" s="75" t="s">
        <v>132</v>
      </c>
      <c r="E1456" s="75" t="s">
        <v>179</v>
      </c>
      <c r="F1456" s="75" t="s">
        <v>176</v>
      </c>
      <c r="G1456" s="75"/>
      <c r="H1456" s="75"/>
      <c r="I1456" s="75" t="s">
        <v>171</v>
      </c>
      <c r="J1456" s="76">
        <v>14</v>
      </c>
      <c r="K1456" s="516" t="s">
        <v>385</v>
      </c>
      <c r="L1456" s="517">
        <v>11.06</v>
      </c>
      <c r="M1456" s="517">
        <v>11.72</v>
      </c>
      <c r="N1456" s="518">
        <v>9.6500000000000002E-2</v>
      </c>
      <c r="O1456" s="518">
        <v>9.1999999999999998E-2</v>
      </c>
      <c r="P1456" s="518">
        <v>0.10249999999999999</v>
      </c>
      <c r="Q1456" s="78">
        <v>0.44</v>
      </c>
      <c r="R1456" s="78">
        <v>0.31740000000000002</v>
      </c>
      <c r="S1456" s="69">
        <v>0</v>
      </c>
      <c r="T1456" s="69">
        <v>0</v>
      </c>
      <c r="U1456" s="518">
        <v>0.7</v>
      </c>
      <c r="V1456" s="76">
        <v>0</v>
      </c>
      <c r="W1456" s="76">
        <v>0</v>
      </c>
      <c r="X1456" s="76"/>
      <c r="Y1456" s="516" t="s">
        <v>470</v>
      </c>
    </row>
    <row r="1457" spans="1:25" x14ac:dyDescent="0.25">
      <c r="A1457" s="75" t="str">
        <f t="shared" si="51"/>
        <v>Pago_de_Hipoteca PF No_Premier Poder Judicial Pago_Fijo_Puntual 14</v>
      </c>
      <c r="B1457" s="75" t="str">
        <f t="shared" si="50"/>
        <v>Pago_de_Hipoteca PF No_Premier Poder Judicial Pago_Fijo_Puntual 14 0.103</v>
      </c>
      <c r="C1457" s="75" t="s">
        <v>173</v>
      </c>
      <c r="D1457" s="75" t="s">
        <v>132</v>
      </c>
      <c r="E1457" s="75" t="s">
        <v>179</v>
      </c>
      <c r="F1457" s="75" t="s">
        <v>176</v>
      </c>
      <c r="G1457" s="75"/>
      <c r="H1457" s="75"/>
      <c r="I1457" s="75" t="s">
        <v>171</v>
      </c>
      <c r="J1457" s="76">
        <v>14</v>
      </c>
      <c r="K1457" s="516" t="s">
        <v>386</v>
      </c>
      <c r="L1457" s="517">
        <v>11.49</v>
      </c>
      <c r="M1457" s="517">
        <v>12.15</v>
      </c>
      <c r="N1457" s="518">
        <v>0.10299999999999999</v>
      </c>
      <c r="O1457" s="518">
        <v>0.1</v>
      </c>
      <c r="P1457" s="518">
        <v>0.112</v>
      </c>
      <c r="Q1457" s="78">
        <v>0.44</v>
      </c>
      <c r="R1457" s="78">
        <v>0.31740000000000002</v>
      </c>
      <c r="S1457" s="69">
        <v>0</v>
      </c>
      <c r="T1457" s="69">
        <v>0</v>
      </c>
      <c r="U1457" s="518">
        <v>0.7</v>
      </c>
      <c r="V1457" s="76">
        <v>0</v>
      </c>
      <c r="W1457" s="76">
        <v>0</v>
      </c>
      <c r="X1457" s="76"/>
      <c r="Y1457" s="516" t="s">
        <v>470</v>
      </c>
    </row>
    <row r="1458" spans="1:25" x14ac:dyDescent="0.25">
      <c r="A1458" s="75" t="str">
        <f t="shared" si="51"/>
        <v>Pago_de_Hipoteca PF No_Premier Poder Judicial Pago_Fijo_Puntual 13</v>
      </c>
      <c r="B1458" s="75" t="str">
        <f t="shared" si="50"/>
        <v>Pago_de_Hipoteca PF No_Premier Poder Judicial Pago_Fijo_Puntual 13 0.0965</v>
      </c>
      <c r="C1458" s="75" t="s">
        <v>173</v>
      </c>
      <c r="D1458" s="75" t="s">
        <v>132</v>
      </c>
      <c r="E1458" s="75" t="s">
        <v>179</v>
      </c>
      <c r="F1458" s="75" t="s">
        <v>176</v>
      </c>
      <c r="G1458" s="75"/>
      <c r="H1458" s="75"/>
      <c r="I1458" s="75" t="s">
        <v>171</v>
      </c>
      <c r="J1458" s="76">
        <v>13</v>
      </c>
      <c r="K1458" s="516" t="s">
        <v>385</v>
      </c>
      <c r="L1458" s="517">
        <v>11.45</v>
      </c>
      <c r="M1458" s="517">
        <v>12.11</v>
      </c>
      <c r="N1458" s="518">
        <v>9.6500000000000002E-2</v>
      </c>
      <c r="O1458" s="518">
        <v>9.1999999999999998E-2</v>
      </c>
      <c r="P1458" s="518">
        <v>0.10249999999999999</v>
      </c>
      <c r="Q1458" s="78">
        <v>0.44</v>
      </c>
      <c r="R1458" s="78">
        <v>0.31740000000000002</v>
      </c>
      <c r="S1458" s="69">
        <v>0</v>
      </c>
      <c r="T1458" s="69">
        <v>0</v>
      </c>
      <c r="U1458" s="518">
        <v>0.7</v>
      </c>
      <c r="V1458" s="76">
        <v>0</v>
      </c>
      <c r="W1458" s="76">
        <v>0</v>
      </c>
      <c r="X1458" s="76"/>
      <c r="Y1458" s="516" t="s">
        <v>470</v>
      </c>
    </row>
    <row r="1459" spans="1:25" x14ac:dyDescent="0.25">
      <c r="A1459" s="75" t="str">
        <f t="shared" si="51"/>
        <v>Pago_de_Hipoteca PF No_Premier Poder Judicial Pago_Fijo_Puntual 13</v>
      </c>
      <c r="B1459" s="75" t="str">
        <f t="shared" si="50"/>
        <v>Pago_de_Hipoteca PF No_Premier Poder Judicial Pago_Fijo_Puntual 13 0.103</v>
      </c>
      <c r="C1459" s="75" t="s">
        <v>173</v>
      </c>
      <c r="D1459" s="75" t="s">
        <v>132</v>
      </c>
      <c r="E1459" s="75" t="s">
        <v>179</v>
      </c>
      <c r="F1459" s="75" t="s">
        <v>176</v>
      </c>
      <c r="G1459" s="75"/>
      <c r="H1459" s="75"/>
      <c r="I1459" s="75" t="s">
        <v>171</v>
      </c>
      <c r="J1459" s="76">
        <v>13</v>
      </c>
      <c r="K1459" s="516" t="s">
        <v>386</v>
      </c>
      <c r="L1459" s="517">
        <v>11.86</v>
      </c>
      <c r="M1459" s="517">
        <v>12.52</v>
      </c>
      <c r="N1459" s="518">
        <v>0.10299999999999999</v>
      </c>
      <c r="O1459" s="518">
        <v>0.1</v>
      </c>
      <c r="P1459" s="518">
        <v>0.112</v>
      </c>
      <c r="Q1459" s="78">
        <v>0.44</v>
      </c>
      <c r="R1459" s="78">
        <v>0.31740000000000002</v>
      </c>
      <c r="S1459" s="69">
        <v>0</v>
      </c>
      <c r="T1459" s="69">
        <v>0</v>
      </c>
      <c r="U1459" s="518">
        <v>0.7</v>
      </c>
      <c r="V1459" s="76">
        <v>0</v>
      </c>
      <c r="W1459" s="76">
        <v>0</v>
      </c>
      <c r="X1459" s="76"/>
      <c r="Y1459" s="516" t="s">
        <v>470</v>
      </c>
    </row>
    <row r="1460" spans="1:25" x14ac:dyDescent="0.25">
      <c r="A1460" s="75" t="str">
        <f t="shared" si="51"/>
        <v>Pago_de_Hipoteca PF No_Premier Poder Judicial Pago_Fijo_Puntual 12</v>
      </c>
      <c r="B1460" s="75" t="str">
        <f t="shared" si="50"/>
        <v>Pago_de_Hipoteca PF No_Premier Poder Judicial Pago_Fijo_Puntual 12 0.0965</v>
      </c>
      <c r="C1460" s="75" t="s">
        <v>173</v>
      </c>
      <c r="D1460" s="75" t="s">
        <v>132</v>
      </c>
      <c r="E1460" s="75" t="s">
        <v>179</v>
      </c>
      <c r="F1460" s="75" t="s">
        <v>176</v>
      </c>
      <c r="G1460" s="75"/>
      <c r="H1460" s="75"/>
      <c r="I1460" s="75" t="s">
        <v>171</v>
      </c>
      <c r="J1460" s="76">
        <v>12</v>
      </c>
      <c r="K1460" s="516" t="s">
        <v>385</v>
      </c>
      <c r="L1460" s="517">
        <v>11.91</v>
      </c>
      <c r="M1460" s="517">
        <v>12.57</v>
      </c>
      <c r="N1460" s="518">
        <v>9.6500000000000002E-2</v>
      </c>
      <c r="O1460" s="518">
        <v>9.1999999999999998E-2</v>
      </c>
      <c r="P1460" s="518">
        <v>0.10249999999999999</v>
      </c>
      <c r="Q1460" s="78">
        <v>0.44</v>
      </c>
      <c r="R1460" s="78">
        <v>0.31740000000000002</v>
      </c>
      <c r="S1460" s="69">
        <v>0</v>
      </c>
      <c r="T1460" s="69">
        <v>0</v>
      </c>
      <c r="U1460" s="518">
        <v>0.7</v>
      </c>
      <c r="V1460" s="76">
        <v>0</v>
      </c>
      <c r="W1460" s="76">
        <v>0</v>
      </c>
      <c r="X1460" s="76"/>
      <c r="Y1460" s="516" t="s">
        <v>470</v>
      </c>
    </row>
    <row r="1461" spans="1:25" x14ac:dyDescent="0.25">
      <c r="A1461" s="75" t="str">
        <f t="shared" si="51"/>
        <v>Pago_de_Hipoteca PF No_Premier Poder Judicial Pago_Fijo_Puntual 12</v>
      </c>
      <c r="B1461" s="75" t="str">
        <f t="shared" si="50"/>
        <v>Pago_de_Hipoteca PF No_Premier Poder Judicial Pago_Fijo_Puntual 12 0.103</v>
      </c>
      <c r="C1461" s="75" t="s">
        <v>173</v>
      </c>
      <c r="D1461" s="75" t="s">
        <v>132</v>
      </c>
      <c r="E1461" s="75" t="s">
        <v>179</v>
      </c>
      <c r="F1461" s="75" t="s">
        <v>176</v>
      </c>
      <c r="G1461" s="75"/>
      <c r="H1461" s="75"/>
      <c r="I1461" s="75" t="s">
        <v>171</v>
      </c>
      <c r="J1461" s="76">
        <v>12</v>
      </c>
      <c r="K1461" s="516" t="s">
        <v>386</v>
      </c>
      <c r="L1461" s="517">
        <v>12.31</v>
      </c>
      <c r="M1461" s="517">
        <v>12.97</v>
      </c>
      <c r="N1461" s="518">
        <v>0.10299999999999999</v>
      </c>
      <c r="O1461" s="518">
        <v>0.1</v>
      </c>
      <c r="P1461" s="518">
        <v>0.112</v>
      </c>
      <c r="Q1461" s="78">
        <v>0.44</v>
      </c>
      <c r="R1461" s="78">
        <v>0.31740000000000002</v>
      </c>
      <c r="S1461" s="69">
        <v>0</v>
      </c>
      <c r="T1461" s="69">
        <v>0</v>
      </c>
      <c r="U1461" s="518">
        <v>0.7</v>
      </c>
      <c r="V1461" s="76">
        <v>0</v>
      </c>
      <c r="W1461" s="76">
        <v>0</v>
      </c>
      <c r="X1461" s="76"/>
      <c r="Y1461" s="516" t="s">
        <v>470</v>
      </c>
    </row>
    <row r="1462" spans="1:25" x14ac:dyDescent="0.25">
      <c r="A1462" s="75" t="str">
        <f t="shared" si="51"/>
        <v>Pago_de_Hipoteca PF No_Premier Poder Judicial Pago_Fijo_Puntual 11</v>
      </c>
      <c r="B1462" s="75" t="str">
        <f t="shared" si="50"/>
        <v>Pago_de_Hipoteca PF No_Premier Poder Judicial Pago_Fijo_Puntual 11 0.0965</v>
      </c>
      <c r="C1462" s="75" t="s">
        <v>173</v>
      </c>
      <c r="D1462" s="75" t="s">
        <v>132</v>
      </c>
      <c r="E1462" s="75" t="s">
        <v>179</v>
      </c>
      <c r="F1462" s="75" t="s">
        <v>176</v>
      </c>
      <c r="G1462" s="75"/>
      <c r="H1462" s="75"/>
      <c r="I1462" s="75" t="s">
        <v>171</v>
      </c>
      <c r="J1462" s="76">
        <v>11</v>
      </c>
      <c r="K1462" s="516" t="s">
        <v>385</v>
      </c>
      <c r="L1462" s="517">
        <v>12.47</v>
      </c>
      <c r="M1462" s="517">
        <v>13.13</v>
      </c>
      <c r="N1462" s="518">
        <v>9.6500000000000002E-2</v>
      </c>
      <c r="O1462" s="518">
        <v>9.1999999999999998E-2</v>
      </c>
      <c r="P1462" s="518">
        <v>0.10249999999999999</v>
      </c>
      <c r="Q1462" s="78">
        <v>0.44</v>
      </c>
      <c r="R1462" s="78">
        <v>0.31740000000000002</v>
      </c>
      <c r="S1462" s="69">
        <v>0</v>
      </c>
      <c r="T1462" s="69">
        <v>0</v>
      </c>
      <c r="U1462" s="518">
        <v>0.7</v>
      </c>
      <c r="V1462" s="76">
        <v>0</v>
      </c>
      <c r="W1462" s="76">
        <v>0</v>
      </c>
      <c r="X1462" s="76"/>
      <c r="Y1462" s="516" t="s">
        <v>470</v>
      </c>
    </row>
    <row r="1463" spans="1:25" x14ac:dyDescent="0.25">
      <c r="A1463" s="75" t="str">
        <f t="shared" si="51"/>
        <v>Pago_de_Hipoteca PF No_Premier Poder Judicial Pago_Fijo_Puntual 11</v>
      </c>
      <c r="B1463" s="75" t="str">
        <f t="shared" si="50"/>
        <v>Pago_de_Hipoteca PF No_Premier Poder Judicial Pago_Fijo_Puntual 11 0.103</v>
      </c>
      <c r="C1463" s="75" t="s">
        <v>173</v>
      </c>
      <c r="D1463" s="75" t="s">
        <v>132</v>
      </c>
      <c r="E1463" s="75" t="s">
        <v>179</v>
      </c>
      <c r="F1463" s="75" t="s">
        <v>176</v>
      </c>
      <c r="G1463" s="75"/>
      <c r="H1463" s="75"/>
      <c r="I1463" s="75" t="s">
        <v>171</v>
      </c>
      <c r="J1463" s="76">
        <v>11</v>
      </c>
      <c r="K1463" s="516" t="s">
        <v>386</v>
      </c>
      <c r="L1463" s="517">
        <v>12.86</v>
      </c>
      <c r="M1463" s="517">
        <v>13.52</v>
      </c>
      <c r="N1463" s="518">
        <v>0.10299999999999999</v>
      </c>
      <c r="O1463" s="518">
        <v>0.1</v>
      </c>
      <c r="P1463" s="518">
        <v>0.112</v>
      </c>
      <c r="Q1463" s="78">
        <v>0.44</v>
      </c>
      <c r="R1463" s="78">
        <v>0.31740000000000002</v>
      </c>
      <c r="S1463" s="69">
        <v>0</v>
      </c>
      <c r="T1463" s="69">
        <v>0</v>
      </c>
      <c r="U1463" s="518">
        <v>0.7</v>
      </c>
      <c r="V1463" s="76">
        <v>0</v>
      </c>
      <c r="W1463" s="76">
        <v>0</v>
      </c>
      <c r="X1463" s="76"/>
      <c r="Y1463" s="516" t="s">
        <v>470</v>
      </c>
    </row>
    <row r="1464" spans="1:25" x14ac:dyDescent="0.25">
      <c r="A1464" s="75" t="str">
        <f t="shared" si="51"/>
        <v>Pago_de_Hipoteca PF No_Premier Poder Judicial Pago_Fijo_Puntual 10</v>
      </c>
      <c r="B1464" s="75" t="str">
        <f t="shared" si="50"/>
        <v>Pago_de_Hipoteca PF No_Premier Poder Judicial Pago_Fijo_Puntual 10 0.0965</v>
      </c>
      <c r="C1464" s="75" t="s">
        <v>173</v>
      </c>
      <c r="D1464" s="75" t="s">
        <v>132</v>
      </c>
      <c r="E1464" s="75" t="s">
        <v>179</v>
      </c>
      <c r="F1464" s="75" t="s">
        <v>176</v>
      </c>
      <c r="G1464" s="75"/>
      <c r="H1464" s="75"/>
      <c r="I1464" s="75" t="s">
        <v>171</v>
      </c>
      <c r="J1464" s="76">
        <v>10</v>
      </c>
      <c r="K1464" s="516" t="s">
        <v>385</v>
      </c>
      <c r="L1464" s="517">
        <v>13.16</v>
      </c>
      <c r="M1464" s="517">
        <v>13.82</v>
      </c>
      <c r="N1464" s="518">
        <v>9.6500000000000002E-2</v>
      </c>
      <c r="O1464" s="518">
        <v>9.1999999999999998E-2</v>
      </c>
      <c r="P1464" s="518">
        <v>0.10249999999999999</v>
      </c>
      <c r="Q1464" s="78">
        <v>0.44</v>
      </c>
      <c r="R1464" s="78">
        <v>0.31740000000000002</v>
      </c>
      <c r="S1464" s="69">
        <v>0</v>
      </c>
      <c r="T1464" s="69">
        <v>0</v>
      </c>
      <c r="U1464" s="518">
        <v>0.7</v>
      </c>
      <c r="V1464" s="76">
        <v>0</v>
      </c>
      <c r="W1464" s="76">
        <v>0</v>
      </c>
      <c r="X1464" s="76"/>
      <c r="Y1464" s="516" t="s">
        <v>470</v>
      </c>
    </row>
    <row r="1465" spans="1:25" x14ac:dyDescent="0.25">
      <c r="A1465" s="75" t="str">
        <f t="shared" si="51"/>
        <v>Pago_de_Hipoteca PF No_Premier Poder Judicial Pago_Fijo_Puntual 10</v>
      </c>
      <c r="B1465" s="75" t="str">
        <f t="shared" si="50"/>
        <v>Pago_de_Hipoteca PF No_Premier Poder Judicial Pago_Fijo_Puntual 10 0.103</v>
      </c>
      <c r="C1465" s="75" t="s">
        <v>173</v>
      </c>
      <c r="D1465" s="75" t="s">
        <v>132</v>
      </c>
      <c r="E1465" s="75" t="s">
        <v>179</v>
      </c>
      <c r="F1465" s="75" t="s">
        <v>176</v>
      </c>
      <c r="G1465" s="75"/>
      <c r="H1465" s="75"/>
      <c r="I1465" s="75" t="s">
        <v>171</v>
      </c>
      <c r="J1465" s="76">
        <v>10</v>
      </c>
      <c r="K1465" s="516" t="s">
        <v>386</v>
      </c>
      <c r="L1465" s="517">
        <v>13.54</v>
      </c>
      <c r="M1465" s="517">
        <v>14.2</v>
      </c>
      <c r="N1465" s="518">
        <v>0.10299999999999999</v>
      </c>
      <c r="O1465" s="518">
        <v>0.1</v>
      </c>
      <c r="P1465" s="518">
        <v>0.112</v>
      </c>
      <c r="Q1465" s="78">
        <v>0.44</v>
      </c>
      <c r="R1465" s="78">
        <v>0.31740000000000002</v>
      </c>
      <c r="S1465" s="69">
        <v>0</v>
      </c>
      <c r="T1465" s="69">
        <v>0</v>
      </c>
      <c r="U1465" s="518">
        <v>0.7</v>
      </c>
      <c r="V1465" s="76">
        <v>0</v>
      </c>
      <c r="W1465" s="76">
        <v>0</v>
      </c>
      <c r="X1465" s="76"/>
      <c r="Y1465" s="516" t="s">
        <v>470</v>
      </c>
    </row>
    <row r="1466" spans="1:25" x14ac:dyDescent="0.25">
      <c r="A1466" s="75" t="str">
        <f t="shared" si="51"/>
        <v>Pago_de_Hipoteca PF No_Premier Poder Judicial Pago_Fijo_Puntual 9</v>
      </c>
      <c r="B1466" s="75" t="str">
        <f t="shared" si="50"/>
        <v>Pago_de_Hipoteca PF No_Premier Poder Judicial Pago_Fijo_Puntual 9 0.0965</v>
      </c>
      <c r="C1466" s="75" t="s">
        <v>173</v>
      </c>
      <c r="D1466" s="75" t="s">
        <v>132</v>
      </c>
      <c r="E1466" s="75" t="s">
        <v>179</v>
      </c>
      <c r="F1466" s="75" t="s">
        <v>176</v>
      </c>
      <c r="G1466" s="75"/>
      <c r="H1466" s="75"/>
      <c r="I1466" s="75" t="s">
        <v>171</v>
      </c>
      <c r="J1466" s="76">
        <v>9</v>
      </c>
      <c r="K1466" s="516" t="s">
        <v>385</v>
      </c>
      <c r="L1466" s="517">
        <v>14.01</v>
      </c>
      <c r="M1466" s="517">
        <v>14.67</v>
      </c>
      <c r="N1466" s="518">
        <v>9.6500000000000002E-2</v>
      </c>
      <c r="O1466" s="518">
        <v>9.1999999999999998E-2</v>
      </c>
      <c r="P1466" s="518">
        <v>0.10249999999999999</v>
      </c>
      <c r="Q1466" s="78">
        <v>0.44</v>
      </c>
      <c r="R1466" s="78">
        <v>0.31740000000000002</v>
      </c>
      <c r="S1466" s="69">
        <v>0</v>
      </c>
      <c r="T1466" s="69">
        <v>0</v>
      </c>
      <c r="U1466" s="518">
        <v>0.7</v>
      </c>
      <c r="V1466" s="76">
        <v>0</v>
      </c>
      <c r="W1466" s="76">
        <v>0</v>
      </c>
      <c r="X1466" s="76"/>
      <c r="Y1466" s="516" t="s">
        <v>470</v>
      </c>
    </row>
    <row r="1467" spans="1:25" x14ac:dyDescent="0.25">
      <c r="A1467" s="75" t="str">
        <f t="shared" si="51"/>
        <v>Pago_de_Hipoteca PF No_Premier Poder Judicial Pago_Fijo_Puntual 9</v>
      </c>
      <c r="B1467" s="75" t="str">
        <f t="shared" si="50"/>
        <v>Pago_de_Hipoteca PF No_Premier Poder Judicial Pago_Fijo_Puntual 9 0.103</v>
      </c>
      <c r="C1467" s="75" t="s">
        <v>173</v>
      </c>
      <c r="D1467" s="75" t="s">
        <v>132</v>
      </c>
      <c r="E1467" s="75" t="s">
        <v>179</v>
      </c>
      <c r="F1467" s="75" t="s">
        <v>176</v>
      </c>
      <c r="G1467" s="75"/>
      <c r="H1467" s="75"/>
      <c r="I1467" s="75" t="s">
        <v>171</v>
      </c>
      <c r="J1467" s="76">
        <v>9</v>
      </c>
      <c r="K1467" s="516" t="s">
        <v>386</v>
      </c>
      <c r="L1467" s="517">
        <v>14.37</v>
      </c>
      <c r="M1467" s="517">
        <v>15.03</v>
      </c>
      <c r="N1467" s="518">
        <v>0.10299999999999999</v>
      </c>
      <c r="O1467" s="518">
        <v>0.1</v>
      </c>
      <c r="P1467" s="518">
        <v>0.112</v>
      </c>
      <c r="Q1467" s="78">
        <v>0.44</v>
      </c>
      <c r="R1467" s="78">
        <v>0.31740000000000002</v>
      </c>
      <c r="S1467" s="69">
        <v>0</v>
      </c>
      <c r="T1467" s="69">
        <v>0</v>
      </c>
      <c r="U1467" s="518">
        <v>0.7</v>
      </c>
      <c r="V1467" s="76">
        <v>0</v>
      </c>
      <c r="W1467" s="76">
        <v>0</v>
      </c>
      <c r="X1467" s="76"/>
      <c r="Y1467" s="516" t="s">
        <v>470</v>
      </c>
    </row>
    <row r="1468" spans="1:25" x14ac:dyDescent="0.25">
      <c r="A1468" s="75" t="str">
        <f t="shared" si="51"/>
        <v>Pago_de_Hipoteca PF No_Premier Poder Judicial Pago_Fijo_Puntual 8</v>
      </c>
      <c r="B1468" s="75" t="str">
        <f t="shared" si="50"/>
        <v>Pago_de_Hipoteca PF No_Premier Poder Judicial Pago_Fijo_Puntual 8 0.0965</v>
      </c>
      <c r="C1468" s="75" t="s">
        <v>173</v>
      </c>
      <c r="D1468" s="75" t="s">
        <v>132</v>
      </c>
      <c r="E1468" s="75" t="s">
        <v>179</v>
      </c>
      <c r="F1468" s="75" t="s">
        <v>176</v>
      </c>
      <c r="G1468" s="75"/>
      <c r="H1468" s="75"/>
      <c r="I1468" s="75" t="s">
        <v>171</v>
      </c>
      <c r="J1468" s="76">
        <v>8</v>
      </c>
      <c r="K1468" s="516" t="s">
        <v>385</v>
      </c>
      <c r="L1468" s="517">
        <v>15.09</v>
      </c>
      <c r="M1468" s="517">
        <v>15.75</v>
      </c>
      <c r="N1468" s="518">
        <v>9.6500000000000002E-2</v>
      </c>
      <c r="O1468" s="518">
        <v>9.1999999999999998E-2</v>
      </c>
      <c r="P1468" s="518">
        <v>0.10249999999999999</v>
      </c>
      <c r="Q1468" s="78">
        <v>0.44</v>
      </c>
      <c r="R1468" s="78">
        <v>0.31740000000000002</v>
      </c>
      <c r="S1468" s="69">
        <v>0</v>
      </c>
      <c r="T1468" s="69">
        <v>0</v>
      </c>
      <c r="U1468" s="518">
        <v>0.7</v>
      </c>
      <c r="V1468" s="76">
        <v>0</v>
      </c>
      <c r="W1468" s="76">
        <v>0</v>
      </c>
      <c r="X1468" s="76"/>
      <c r="Y1468" s="516" t="s">
        <v>470</v>
      </c>
    </row>
    <row r="1469" spans="1:25" x14ac:dyDescent="0.25">
      <c r="A1469" s="75" t="str">
        <f t="shared" si="51"/>
        <v>Pago_de_Hipoteca PF No_Premier Poder Judicial Pago_Fijo_Puntual 8</v>
      </c>
      <c r="B1469" s="75" t="str">
        <f t="shared" si="50"/>
        <v>Pago_de_Hipoteca PF No_Premier Poder Judicial Pago_Fijo_Puntual 8 0.103</v>
      </c>
      <c r="C1469" s="75" t="s">
        <v>173</v>
      </c>
      <c r="D1469" s="75" t="s">
        <v>132</v>
      </c>
      <c r="E1469" s="75" t="s">
        <v>179</v>
      </c>
      <c r="F1469" s="75" t="s">
        <v>176</v>
      </c>
      <c r="G1469" s="75"/>
      <c r="H1469" s="75"/>
      <c r="I1469" s="75" t="s">
        <v>171</v>
      </c>
      <c r="J1469" s="76">
        <v>8</v>
      </c>
      <c r="K1469" s="516" t="s">
        <v>386</v>
      </c>
      <c r="L1469" s="517">
        <v>15.44</v>
      </c>
      <c r="M1469" s="517">
        <v>16.100000000000001</v>
      </c>
      <c r="N1469" s="518">
        <v>0.10299999999999999</v>
      </c>
      <c r="O1469" s="518">
        <v>0.1</v>
      </c>
      <c r="P1469" s="518">
        <v>0.112</v>
      </c>
      <c r="Q1469" s="78">
        <v>0.44</v>
      </c>
      <c r="R1469" s="78">
        <v>0.31740000000000002</v>
      </c>
      <c r="S1469" s="69">
        <v>0</v>
      </c>
      <c r="T1469" s="69">
        <v>0</v>
      </c>
      <c r="U1469" s="518">
        <v>0.7</v>
      </c>
      <c r="V1469" s="76">
        <v>0</v>
      </c>
      <c r="W1469" s="76">
        <v>0</v>
      </c>
      <c r="X1469" s="76"/>
      <c r="Y1469" s="516" t="s">
        <v>470</v>
      </c>
    </row>
    <row r="1470" spans="1:25" x14ac:dyDescent="0.25">
      <c r="A1470" s="75" t="str">
        <f t="shared" si="51"/>
        <v>Pago_de_Hipoteca PF No_Premier Poder Judicial Pago_Fijo_Puntual 7</v>
      </c>
      <c r="B1470" s="75" t="str">
        <f t="shared" si="50"/>
        <v>Pago_de_Hipoteca PF No_Premier Poder Judicial Pago_Fijo_Puntual 7 0.0965</v>
      </c>
      <c r="C1470" s="75" t="s">
        <v>173</v>
      </c>
      <c r="D1470" s="75" t="s">
        <v>132</v>
      </c>
      <c r="E1470" s="75" t="s">
        <v>179</v>
      </c>
      <c r="F1470" s="75" t="s">
        <v>176</v>
      </c>
      <c r="G1470" s="75"/>
      <c r="H1470" s="75"/>
      <c r="I1470" s="75" t="s">
        <v>171</v>
      </c>
      <c r="J1470" s="76">
        <v>7</v>
      </c>
      <c r="K1470" s="516" t="s">
        <v>385</v>
      </c>
      <c r="L1470" s="517">
        <v>16.5</v>
      </c>
      <c r="M1470" s="517">
        <v>17.16</v>
      </c>
      <c r="N1470" s="518">
        <v>9.6500000000000002E-2</v>
      </c>
      <c r="O1470" s="518">
        <v>9.1999999999999998E-2</v>
      </c>
      <c r="P1470" s="518">
        <v>0.10249999999999999</v>
      </c>
      <c r="Q1470" s="78">
        <v>0.44</v>
      </c>
      <c r="R1470" s="78">
        <v>0.31740000000000002</v>
      </c>
      <c r="S1470" s="69">
        <v>0</v>
      </c>
      <c r="T1470" s="69">
        <v>0</v>
      </c>
      <c r="U1470" s="518">
        <v>0.7</v>
      </c>
      <c r="V1470" s="76">
        <v>0</v>
      </c>
      <c r="W1470" s="76">
        <v>0</v>
      </c>
      <c r="X1470" s="76"/>
      <c r="Y1470" s="516" t="s">
        <v>470</v>
      </c>
    </row>
    <row r="1471" spans="1:25" x14ac:dyDescent="0.25">
      <c r="A1471" s="75" t="str">
        <f t="shared" si="51"/>
        <v>Pago_de_Hipoteca PF No_Premier Poder Judicial Pago_Fijo_Puntual 7</v>
      </c>
      <c r="B1471" s="75" t="str">
        <f t="shared" si="50"/>
        <v>Pago_de_Hipoteca PF No_Premier Poder Judicial Pago_Fijo_Puntual 7 0.103</v>
      </c>
      <c r="C1471" s="75" t="s">
        <v>173</v>
      </c>
      <c r="D1471" s="75" t="s">
        <v>132</v>
      </c>
      <c r="E1471" s="75" t="s">
        <v>179</v>
      </c>
      <c r="F1471" s="75" t="s">
        <v>176</v>
      </c>
      <c r="G1471" s="75"/>
      <c r="H1471" s="75"/>
      <c r="I1471" s="75" t="s">
        <v>171</v>
      </c>
      <c r="J1471" s="76">
        <v>7</v>
      </c>
      <c r="K1471" s="516" t="s">
        <v>386</v>
      </c>
      <c r="L1471" s="517">
        <v>16.84</v>
      </c>
      <c r="M1471" s="517">
        <v>17.5</v>
      </c>
      <c r="N1471" s="518">
        <v>0.10299999999999999</v>
      </c>
      <c r="O1471" s="518">
        <v>0.1</v>
      </c>
      <c r="P1471" s="518">
        <v>0.112</v>
      </c>
      <c r="Q1471" s="78">
        <v>0.44</v>
      </c>
      <c r="R1471" s="78">
        <v>0.31740000000000002</v>
      </c>
      <c r="S1471" s="69">
        <v>0</v>
      </c>
      <c r="T1471" s="69">
        <v>0</v>
      </c>
      <c r="U1471" s="518">
        <v>0.7</v>
      </c>
      <c r="V1471" s="76">
        <v>0</v>
      </c>
      <c r="W1471" s="76">
        <v>0</v>
      </c>
      <c r="X1471" s="76"/>
      <c r="Y1471" s="516" t="s">
        <v>470</v>
      </c>
    </row>
    <row r="1472" spans="1:25" x14ac:dyDescent="0.25">
      <c r="A1472" s="75" t="str">
        <f t="shared" si="51"/>
        <v>Pago_de_Hipoteca PF No_Premier Poder Judicial Pago_Fijo_Puntual 6</v>
      </c>
      <c r="B1472" s="75" t="str">
        <f t="shared" si="50"/>
        <v>Pago_de_Hipoteca PF No_Premier Poder Judicial Pago_Fijo_Puntual 6 0.0965</v>
      </c>
      <c r="C1472" s="75" t="s">
        <v>173</v>
      </c>
      <c r="D1472" s="75" t="s">
        <v>132</v>
      </c>
      <c r="E1472" s="75" t="s">
        <v>179</v>
      </c>
      <c r="F1472" s="75" t="s">
        <v>176</v>
      </c>
      <c r="G1472" s="75"/>
      <c r="H1472" s="75"/>
      <c r="I1472" s="75" t="s">
        <v>171</v>
      </c>
      <c r="J1472" s="76">
        <v>6</v>
      </c>
      <c r="K1472" s="516" t="s">
        <v>385</v>
      </c>
      <c r="L1472" s="517">
        <v>18.41</v>
      </c>
      <c r="M1472" s="517">
        <v>19.07</v>
      </c>
      <c r="N1472" s="518">
        <v>9.6500000000000002E-2</v>
      </c>
      <c r="O1472" s="518">
        <v>9.1999999999999998E-2</v>
      </c>
      <c r="P1472" s="518">
        <v>0.10249999999999999</v>
      </c>
      <c r="Q1472" s="78">
        <v>0.44</v>
      </c>
      <c r="R1472" s="78">
        <v>0.31740000000000002</v>
      </c>
      <c r="S1472" s="69">
        <v>0</v>
      </c>
      <c r="T1472" s="69">
        <v>0</v>
      </c>
      <c r="U1472" s="518">
        <v>0.7</v>
      </c>
      <c r="V1472" s="76">
        <v>0</v>
      </c>
      <c r="W1472" s="76">
        <v>0</v>
      </c>
      <c r="X1472" s="76"/>
      <c r="Y1472" s="516" t="s">
        <v>470</v>
      </c>
    </row>
    <row r="1473" spans="1:25" x14ac:dyDescent="0.25">
      <c r="A1473" s="75" t="str">
        <f t="shared" si="51"/>
        <v>Pago_de_Hipoteca PF No_Premier Poder Judicial Pago_Fijo_Puntual 6</v>
      </c>
      <c r="B1473" s="75" t="str">
        <f t="shared" si="50"/>
        <v>Pago_de_Hipoteca PF No_Premier Poder Judicial Pago_Fijo_Puntual 6 0.103</v>
      </c>
      <c r="C1473" s="75" t="s">
        <v>173</v>
      </c>
      <c r="D1473" s="75" t="s">
        <v>132</v>
      </c>
      <c r="E1473" s="75" t="s">
        <v>179</v>
      </c>
      <c r="F1473" s="75" t="s">
        <v>176</v>
      </c>
      <c r="G1473" s="75"/>
      <c r="H1473" s="75"/>
      <c r="I1473" s="75" t="s">
        <v>171</v>
      </c>
      <c r="J1473" s="76">
        <v>6</v>
      </c>
      <c r="K1473" s="516" t="s">
        <v>386</v>
      </c>
      <c r="L1473" s="517">
        <v>18.739999999999998</v>
      </c>
      <c r="M1473" s="517">
        <v>19.399999999999999</v>
      </c>
      <c r="N1473" s="518">
        <v>0.10299999999999999</v>
      </c>
      <c r="O1473" s="518">
        <v>0.1</v>
      </c>
      <c r="P1473" s="518">
        <v>0.112</v>
      </c>
      <c r="Q1473" s="78">
        <v>0.44</v>
      </c>
      <c r="R1473" s="78">
        <v>0.31740000000000002</v>
      </c>
      <c r="S1473" s="69">
        <v>0</v>
      </c>
      <c r="T1473" s="69">
        <v>0</v>
      </c>
      <c r="U1473" s="518">
        <v>0.7</v>
      </c>
      <c r="V1473" s="76">
        <v>0</v>
      </c>
      <c r="W1473" s="76">
        <v>0</v>
      </c>
      <c r="X1473" s="76"/>
      <c r="Y1473" s="516" t="s">
        <v>470</v>
      </c>
    </row>
    <row r="1474" spans="1:25" x14ac:dyDescent="0.25">
      <c r="A1474" s="75" t="str">
        <f t="shared" si="51"/>
        <v>Pago_de_Hipoteca PF No_Premier Poder Judicial Pago_Fijo_Puntual 5</v>
      </c>
      <c r="B1474" s="75" t="str">
        <f t="shared" si="50"/>
        <v>Pago_de_Hipoteca PF No_Premier Poder Judicial Pago_Fijo_Puntual 5 0.0965</v>
      </c>
      <c r="C1474" s="75" t="s">
        <v>173</v>
      </c>
      <c r="D1474" s="75" t="s">
        <v>132</v>
      </c>
      <c r="E1474" s="75" t="s">
        <v>179</v>
      </c>
      <c r="F1474" s="75" t="s">
        <v>176</v>
      </c>
      <c r="G1474" s="75"/>
      <c r="H1474" s="75"/>
      <c r="I1474" s="75" t="s">
        <v>171</v>
      </c>
      <c r="J1474" s="76">
        <v>5</v>
      </c>
      <c r="K1474" s="516" t="s">
        <v>385</v>
      </c>
      <c r="L1474" s="517">
        <v>21.12</v>
      </c>
      <c r="M1474" s="517">
        <v>21.78</v>
      </c>
      <c r="N1474" s="518">
        <v>9.6500000000000002E-2</v>
      </c>
      <c r="O1474" s="518">
        <v>9.1999999999999998E-2</v>
      </c>
      <c r="P1474" s="518">
        <v>0.10249999999999999</v>
      </c>
      <c r="Q1474" s="78">
        <v>0.44</v>
      </c>
      <c r="R1474" s="78">
        <v>0.31740000000000002</v>
      </c>
      <c r="S1474" s="69">
        <v>0</v>
      </c>
      <c r="T1474" s="69">
        <v>0</v>
      </c>
      <c r="U1474" s="518">
        <v>0.7</v>
      </c>
      <c r="V1474" s="76">
        <v>0</v>
      </c>
      <c r="W1474" s="76">
        <v>0</v>
      </c>
      <c r="X1474" s="76"/>
      <c r="Y1474" s="516" t="s">
        <v>470</v>
      </c>
    </row>
    <row r="1475" spans="1:25" x14ac:dyDescent="0.25">
      <c r="A1475" s="75" t="str">
        <f t="shared" si="51"/>
        <v>Pago_de_Hipoteca PF No_Premier Poder Judicial Pago_Fijo_Puntual 5</v>
      </c>
      <c r="B1475" s="75" t="str">
        <f t="shared" si="50"/>
        <v>Pago_de_Hipoteca PF No_Premier Poder Judicial Pago_Fijo_Puntual 5 0.103</v>
      </c>
      <c r="C1475" s="75" t="s">
        <v>173</v>
      </c>
      <c r="D1475" s="75" t="s">
        <v>132</v>
      </c>
      <c r="E1475" s="75" t="s">
        <v>179</v>
      </c>
      <c r="F1475" s="75" t="s">
        <v>176</v>
      </c>
      <c r="G1475" s="75"/>
      <c r="H1475" s="75"/>
      <c r="I1475" s="75" t="s">
        <v>171</v>
      </c>
      <c r="J1475" s="76">
        <v>5</v>
      </c>
      <c r="K1475" s="516" t="s">
        <v>386</v>
      </c>
      <c r="L1475" s="517">
        <v>21.44</v>
      </c>
      <c r="M1475" s="517">
        <v>22.1</v>
      </c>
      <c r="N1475" s="518">
        <v>0.10299999999999999</v>
      </c>
      <c r="O1475" s="518">
        <v>0.1</v>
      </c>
      <c r="P1475" s="518">
        <v>0.112</v>
      </c>
      <c r="Q1475" s="78">
        <v>0.44</v>
      </c>
      <c r="R1475" s="78">
        <v>0.31740000000000002</v>
      </c>
      <c r="S1475" s="69">
        <v>0</v>
      </c>
      <c r="T1475" s="69">
        <v>0</v>
      </c>
      <c r="U1475" s="518">
        <v>0.7</v>
      </c>
      <c r="V1475" s="76">
        <v>0</v>
      </c>
      <c r="W1475" s="76">
        <v>0</v>
      </c>
      <c r="X1475" s="76"/>
      <c r="Y1475" s="516" t="s">
        <v>470</v>
      </c>
    </row>
    <row r="1476" spans="1:25" x14ac:dyDescent="0.25">
      <c r="A1476" s="75" t="str">
        <f t="shared" si="51"/>
        <v>Pago_de_Hipoteca PF No_Premier Poder Judicial Pago_Bajo_Puntual 20</v>
      </c>
      <c r="B1476" s="75" t="str">
        <f t="shared" si="50"/>
        <v>Pago_de_Hipoteca PF No_Premier Poder Judicial Pago_Bajo_Puntual 20 0.0965</v>
      </c>
      <c r="C1476" s="75" t="s">
        <v>173</v>
      </c>
      <c r="D1476" s="75" t="s">
        <v>132</v>
      </c>
      <c r="E1476" s="75" t="s">
        <v>179</v>
      </c>
      <c r="F1476" s="75" t="s">
        <v>176</v>
      </c>
      <c r="G1476" s="75"/>
      <c r="H1476" s="75"/>
      <c r="I1476" s="75" t="s">
        <v>170</v>
      </c>
      <c r="J1476" s="76">
        <v>20</v>
      </c>
      <c r="K1476" s="516" t="s">
        <v>385</v>
      </c>
      <c r="L1476" s="517">
        <v>8.52</v>
      </c>
      <c r="M1476" s="517">
        <v>9.18</v>
      </c>
      <c r="N1476" s="518">
        <v>9.6500000000000002E-2</v>
      </c>
      <c r="O1476" s="518">
        <v>9.1999999999999998E-2</v>
      </c>
      <c r="P1476" s="518">
        <v>0.10249999999999999</v>
      </c>
      <c r="Q1476" s="78">
        <v>0.44</v>
      </c>
      <c r="R1476" s="78">
        <v>0.31740000000000002</v>
      </c>
      <c r="S1476" s="69">
        <v>0</v>
      </c>
      <c r="T1476" s="69">
        <v>0</v>
      </c>
      <c r="U1476" s="518">
        <v>0.7</v>
      </c>
      <c r="V1476" s="76">
        <v>0</v>
      </c>
      <c r="W1476" s="76">
        <v>0</v>
      </c>
      <c r="X1476" s="76"/>
      <c r="Y1476" s="516" t="s">
        <v>470</v>
      </c>
    </row>
    <row r="1477" spans="1:25" x14ac:dyDescent="0.25">
      <c r="A1477" s="75" t="str">
        <f t="shared" si="51"/>
        <v>Pago_de_Hipoteca PF No_Premier Poder Judicial Pago_Bajo_Puntual 20</v>
      </c>
      <c r="B1477" s="75" t="str">
        <f t="shared" si="50"/>
        <v>Pago_de_Hipoteca PF No_Premier Poder Judicial Pago_Bajo_Puntual 20 0.103</v>
      </c>
      <c r="C1477" s="75" t="s">
        <v>173</v>
      </c>
      <c r="D1477" s="75" t="s">
        <v>132</v>
      </c>
      <c r="E1477" s="75" t="s">
        <v>179</v>
      </c>
      <c r="F1477" s="75" t="s">
        <v>176</v>
      </c>
      <c r="G1477" s="75"/>
      <c r="H1477" s="75"/>
      <c r="I1477" s="75" t="s">
        <v>170</v>
      </c>
      <c r="J1477" s="76">
        <v>20</v>
      </c>
      <c r="K1477" s="516" t="s">
        <v>386</v>
      </c>
      <c r="L1477" s="517">
        <v>9</v>
      </c>
      <c r="M1477" s="517">
        <v>9.66</v>
      </c>
      <c r="N1477" s="518">
        <v>0.10299999999999999</v>
      </c>
      <c r="O1477" s="518">
        <v>0.1</v>
      </c>
      <c r="P1477" s="518">
        <v>0.112</v>
      </c>
      <c r="Q1477" s="78">
        <v>0.44</v>
      </c>
      <c r="R1477" s="78">
        <v>0.31740000000000002</v>
      </c>
      <c r="S1477" s="69">
        <v>0</v>
      </c>
      <c r="T1477" s="69">
        <v>0</v>
      </c>
      <c r="U1477" s="518">
        <v>0.7</v>
      </c>
      <c r="V1477" s="76">
        <v>0</v>
      </c>
      <c r="W1477" s="76">
        <v>0</v>
      </c>
      <c r="X1477" s="76"/>
      <c r="Y1477" s="516" t="s">
        <v>470</v>
      </c>
    </row>
    <row r="1478" spans="1:25" x14ac:dyDescent="0.25">
      <c r="A1478" s="75" t="str">
        <f t="shared" si="51"/>
        <v>Pago_de_Hipoteca PF No_Premier Poder Judicial Pago_Bajo_Puntual 19</v>
      </c>
      <c r="B1478" s="75" t="str">
        <f t="shared" si="50"/>
        <v>Pago_de_Hipoteca PF No_Premier Poder Judicial Pago_Bajo_Puntual 19 0.0965</v>
      </c>
      <c r="C1478" s="75" t="s">
        <v>173</v>
      </c>
      <c r="D1478" s="75" t="s">
        <v>132</v>
      </c>
      <c r="E1478" s="75" t="s">
        <v>179</v>
      </c>
      <c r="F1478" s="75" t="s">
        <v>176</v>
      </c>
      <c r="G1478" s="75"/>
      <c r="H1478" s="75"/>
      <c r="I1478" s="75" t="s">
        <v>170</v>
      </c>
      <c r="J1478" s="76">
        <v>19</v>
      </c>
      <c r="K1478" s="516" t="s">
        <v>385</v>
      </c>
      <c r="L1478" s="517">
        <v>8.6999999999999993</v>
      </c>
      <c r="M1478" s="517">
        <v>9.36</v>
      </c>
      <c r="N1478" s="518">
        <v>9.6500000000000002E-2</v>
      </c>
      <c r="O1478" s="518">
        <v>9.1999999999999998E-2</v>
      </c>
      <c r="P1478" s="518">
        <v>0.10249999999999999</v>
      </c>
      <c r="Q1478" s="78">
        <v>0.44</v>
      </c>
      <c r="R1478" s="78">
        <v>0.31740000000000002</v>
      </c>
      <c r="S1478" s="69">
        <v>0</v>
      </c>
      <c r="T1478" s="69">
        <v>0</v>
      </c>
      <c r="U1478" s="518">
        <v>0.7</v>
      </c>
      <c r="V1478" s="76">
        <v>0</v>
      </c>
      <c r="W1478" s="76">
        <v>0</v>
      </c>
      <c r="X1478" s="76"/>
      <c r="Y1478" s="516" t="s">
        <v>470</v>
      </c>
    </row>
    <row r="1479" spans="1:25" x14ac:dyDescent="0.25">
      <c r="A1479" s="75" t="str">
        <f t="shared" si="51"/>
        <v>Pago_de_Hipoteca PF No_Premier Poder Judicial Pago_Bajo_Puntual 19</v>
      </c>
      <c r="B1479" s="75" t="str">
        <f t="shared" si="50"/>
        <v>Pago_de_Hipoteca PF No_Premier Poder Judicial Pago_Bajo_Puntual 19 0.103</v>
      </c>
      <c r="C1479" s="75" t="s">
        <v>173</v>
      </c>
      <c r="D1479" s="75" t="s">
        <v>132</v>
      </c>
      <c r="E1479" s="75" t="s">
        <v>179</v>
      </c>
      <c r="F1479" s="75" t="s">
        <v>176</v>
      </c>
      <c r="G1479" s="75"/>
      <c r="H1479" s="75"/>
      <c r="I1479" s="75" t="s">
        <v>170</v>
      </c>
      <c r="J1479" s="76">
        <v>19</v>
      </c>
      <c r="K1479" s="516" t="s">
        <v>386</v>
      </c>
      <c r="L1479" s="517">
        <v>9.17</v>
      </c>
      <c r="M1479" s="517">
        <v>9.83</v>
      </c>
      <c r="N1479" s="518">
        <v>0.10299999999999999</v>
      </c>
      <c r="O1479" s="518">
        <v>0.1</v>
      </c>
      <c r="P1479" s="518">
        <v>0.112</v>
      </c>
      <c r="Q1479" s="78">
        <v>0.44</v>
      </c>
      <c r="R1479" s="78">
        <v>0.31740000000000002</v>
      </c>
      <c r="S1479" s="69">
        <v>0</v>
      </c>
      <c r="T1479" s="69">
        <v>0</v>
      </c>
      <c r="U1479" s="518">
        <v>0.7</v>
      </c>
      <c r="V1479" s="76">
        <v>0</v>
      </c>
      <c r="W1479" s="76">
        <v>0</v>
      </c>
      <c r="X1479" s="76"/>
      <c r="Y1479" s="516" t="s">
        <v>470</v>
      </c>
    </row>
    <row r="1480" spans="1:25" x14ac:dyDescent="0.25">
      <c r="A1480" s="75" t="str">
        <f t="shared" si="51"/>
        <v>Pago_de_Hipoteca PF No_Premier Poder Judicial Pago_Bajo_Puntual 18</v>
      </c>
      <c r="B1480" s="75" t="str">
        <f t="shared" si="50"/>
        <v>Pago_de_Hipoteca PF No_Premier Poder Judicial Pago_Bajo_Puntual 18 0.0965</v>
      </c>
      <c r="C1480" s="75" t="s">
        <v>173</v>
      </c>
      <c r="D1480" s="75" t="s">
        <v>132</v>
      </c>
      <c r="E1480" s="75" t="s">
        <v>179</v>
      </c>
      <c r="F1480" s="75" t="s">
        <v>176</v>
      </c>
      <c r="G1480" s="75"/>
      <c r="H1480" s="75"/>
      <c r="I1480" s="75" t="s">
        <v>170</v>
      </c>
      <c r="J1480" s="76">
        <v>18</v>
      </c>
      <c r="K1480" s="516" t="s">
        <v>385</v>
      </c>
      <c r="L1480" s="517">
        <v>8.9</v>
      </c>
      <c r="M1480" s="517">
        <v>9.56</v>
      </c>
      <c r="N1480" s="518">
        <v>9.6500000000000002E-2</v>
      </c>
      <c r="O1480" s="518">
        <v>9.1999999999999998E-2</v>
      </c>
      <c r="P1480" s="518">
        <v>0.10249999999999999</v>
      </c>
      <c r="Q1480" s="78">
        <v>0.44</v>
      </c>
      <c r="R1480" s="78">
        <v>0.31740000000000002</v>
      </c>
      <c r="S1480" s="69">
        <v>0</v>
      </c>
      <c r="T1480" s="69">
        <v>0</v>
      </c>
      <c r="U1480" s="518">
        <v>0.7</v>
      </c>
      <c r="V1480" s="76">
        <v>0</v>
      </c>
      <c r="W1480" s="76">
        <v>0</v>
      </c>
      <c r="X1480" s="76"/>
      <c r="Y1480" s="516" t="s">
        <v>470</v>
      </c>
    </row>
    <row r="1481" spans="1:25" x14ac:dyDescent="0.25">
      <c r="A1481" s="75" t="str">
        <f t="shared" si="51"/>
        <v>Pago_de_Hipoteca PF No_Premier Poder Judicial Pago_Bajo_Puntual 18</v>
      </c>
      <c r="B1481" s="75" t="str">
        <f t="shared" si="50"/>
        <v>Pago_de_Hipoteca PF No_Premier Poder Judicial Pago_Bajo_Puntual 18 0.103</v>
      </c>
      <c r="C1481" s="75" t="s">
        <v>173</v>
      </c>
      <c r="D1481" s="75" t="s">
        <v>132</v>
      </c>
      <c r="E1481" s="75" t="s">
        <v>179</v>
      </c>
      <c r="F1481" s="75" t="s">
        <v>176</v>
      </c>
      <c r="G1481" s="75"/>
      <c r="H1481" s="75"/>
      <c r="I1481" s="75" t="s">
        <v>170</v>
      </c>
      <c r="J1481" s="76">
        <v>18</v>
      </c>
      <c r="K1481" s="516" t="s">
        <v>386</v>
      </c>
      <c r="L1481" s="517">
        <v>9.36</v>
      </c>
      <c r="M1481" s="517">
        <v>10.02</v>
      </c>
      <c r="N1481" s="518">
        <v>0.10299999999999999</v>
      </c>
      <c r="O1481" s="518">
        <v>0.1</v>
      </c>
      <c r="P1481" s="518">
        <v>0.112</v>
      </c>
      <c r="Q1481" s="78">
        <v>0.44</v>
      </c>
      <c r="R1481" s="78">
        <v>0.31740000000000002</v>
      </c>
      <c r="S1481" s="69">
        <v>0</v>
      </c>
      <c r="T1481" s="69">
        <v>0</v>
      </c>
      <c r="U1481" s="518">
        <v>0.7</v>
      </c>
      <c r="V1481" s="76">
        <v>0</v>
      </c>
      <c r="W1481" s="76">
        <v>0</v>
      </c>
      <c r="X1481" s="76"/>
      <c r="Y1481" s="516" t="s">
        <v>470</v>
      </c>
    </row>
    <row r="1482" spans="1:25" x14ac:dyDescent="0.25">
      <c r="A1482" s="75" t="str">
        <f t="shared" si="51"/>
        <v>Pago_de_Hipoteca PF No_Premier Poder Judicial Pago_Bajo_Puntual 17</v>
      </c>
      <c r="B1482" s="75" t="str">
        <f t="shared" si="50"/>
        <v>Pago_de_Hipoteca PF No_Premier Poder Judicial Pago_Bajo_Puntual 17 0.0965</v>
      </c>
      <c r="C1482" s="75" t="s">
        <v>173</v>
      </c>
      <c r="D1482" s="75" t="s">
        <v>132</v>
      </c>
      <c r="E1482" s="75" t="s">
        <v>179</v>
      </c>
      <c r="F1482" s="75" t="s">
        <v>176</v>
      </c>
      <c r="G1482" s="75"/>
      <c r="H1482" s="75"/>
      <c r="I1482" s="75" t="s">
        <v>170</v>
      </c>
      <c r="J1482" s="76">
        <v>17</v>
      </c>
      <c r="K1482" s="516" t="s">
        <v>385</v>
      </c>
      <c r="L1482" s="517">
        <v>9.1300000000000008</v>
      </c>
      <c r="M1482" s="517">
        <v>9.7899999999999991</v>
      </c>
      <c r="N1482" s="518">
        <v>9.6500000000000002E-2</v>
      </c>
      <c r="O1482" s="518">
        <v>9.1999999999999998E-2</v>
      </c>
      <c r="P1482" s="518">
        <v>0.10249999999999999</v>
      </c>
      <c r="Q1482" s="78">
        <v>0.44</v>
      </c>
      <c r="R1482" s="78">
        <v>0.31740000000000002</v>
      </c>
      <c r="S1482" s="69">
        <v>0</v>
      </c>
      <c r="T1482" s="69">
        <v>0</v>
      </c>
      <c r="U1482" s="518">
        <v>0.7</v>
      </c>
      <c r="V1482" s="76">
        <v>0</v>
      </c>
      <c r="W1482" s="76">
        <v>0</v>
      </c>
      <c r="X1482" s="76"/>
      <c r="Y1482" s="516" t="s">
        <v>470</v>
      </c>
    </row>
    <row r="1483" spans="1:25" x14ac:dyDescent="0.25">
      <c r="A1483" s="75" t="str">
        <f t="shared" si="51"/>
        <v>Pago_de_Hipoteca PF No_Premier Poder Judicial Pago_Bajo_Puntual 17</v>
      </c>
      <c r="B1483" s="75" t="str">
        <f t="shared" si="50"/>
        <v>Pago_de_Hipoteca PF No_Premier Poder Judicial Pago_Bajo_Puntual 17 0.103</v>
      </c>
      <c r="C1483" s="75" t="s">
        <v>173</v>
      </c>
      <c r="D1483" s="75" t="s">
        <v>132</v>
      </c>
      <c r="E1483" s="75" t="s">
        <v>179</v>
      </c>
      <c r="F1483" s="75" t="s">
        <v>176</v>
      </c>
      <c r="G1483" s="75"/>
      <c r="H1483" s="75"/>
      <c r="I1483" s="75" t="s">
        <v>170</v>
      </c>
      <c r="J1483" s="76">
        <v>17</v>
      </c>
      <c r="K1483" s="516" t="s">
        <v>386</v>
      </c>
      <c r="L1483" s="517">
        <v>9.58</v>
      </c>
      <c r="M1483" s="517">
        <v>10.24</v>
      </c>
      <c r="N1483" s="518">
        <v>0.10299999999999999</v>
      </c>
      <c r="O1483" s="518">
        <v>0.1</v>
      </c>
      <c r="P1483" s="518">
        <v>0.112</v>
      </c>
      <c r="Q1483" s="78">
        <v>0.44</v>
      </c>
      <c r="R1483" s="78">
        <v>0.31740000000000002</v>
      </c>
      <c r="S1483" s="69">
        <v>0</v>
      </c>
      <c r="T1483" s="69">
        <v>0</v>
      </c>
      <c r="U1483" s="518">
        <v>0.7</v>
      </c>
      <c r="V1483" s="76">
        <v>0</v>
      </c>
      <c r="W1483" s="76">
        <v>0</v>
      </c>
      <c r="X1483" s="76"/>
      <c r="Y1483" s="516" t="s">
        <v>470</v>
      </c>
    </row>
    <row r="1484" spans="1:25" x14ac:dyDescent="0.25">
      <c r="A1484" s="75" t="str">
        <f t="shared" si="51"/>
        <v>Pago_de_Hipoteca PF No_Premier Poder Judicial Pago_Bajo_Puntual 16</v>
      </c>
      <c r="B1484" s="75" t="str">
        <f t="shared" si="50"/>
        <v>Pago_de_Hipoteca PF No_Premier Poder Judicial Pago_Bajo_Puntual 16 0.0965</v>
      </c>
      <c r="C1484" s="75" t="s">
        <v>173</v>
      </c>
      <c r="D1484" s="75" t="s">
        <v>132</v>
      </c>
      <c r="E1484" s="75" t="s">
        <v>179</v>
      </c>
      <c r="F1484" s="75" t="s">
        <v>176</v>
      </c>
      <c r="G1484" s="75"/>
      <c r="H1484" s="75"/>
      <c r="I1484" s="75" t="s">
        <v>170</v>
      </c>
      <c r="J1484" s="76">
        <v>16</v>
      </c>
      <c r="K1484" s="516" t="s">
        <v>385</v>
      </c>
      <c r="L1484" s="517">
        <v>9.39</v>
      </c>
      <c r="M1484" s="517">
        <v>10.050000000000001</v>
      </c>
      <c r="N1484" s="518">
        <v>9.6500000000000002E-2</v>
      </c>
      <c r="O1484" s="518">
        <v>9.1999999999999998E-2</v>
      </c>
      <c r="P1484" s="518">
        <v>0.10249999999999999</v>
      </c>
      <c r="Q1484" s="78">
        <v>0.44</v>
      </c>
      <c r="R1484" s="78">
        <v>0.31740000000000002</v>
      </c>
      <c r="S1484" s="69">
        <v>0</v>
      </c>
      <c r="T1484" s="69">
        <v>0</v>
      </c>
      <c r="U1484" s="518">
        <v>0.7</v>
      </c>
      <c r="V1484" s="76">
        <v>0</v>
      </c>
      <c r="W1484" s="76">
        <v>0</v>
      </c>
      <c r="X1484" s="76"/>
      <c r="Y1484" s="516" t="s">
        <v>470</v>
      </c>
    </row>
    <row r="1485" spans="1:25" x14ac:dyDescent="0.25">
      <c r="A1485" s="75" t="str">
        <f t="shared" si="51"/>
        <v>Pago_de_Hipoteca PF No_Premier Poder Judicial Pago_Bajo_Puntual 16</v>
      </c>
      <c r="B1485" s="75" t="str">
        <f t="shared" si="50"/>
        <v>Pago_de_Hipoteca PF No_Premier Poder Judicial Pago_Bajo_Puntual 16 0.103</v>
      </c>
      <c r="C1485" s="75" t="s">
        <v>173</v>
      </c>
      <c r="D1485" s="75" t="s">
        <v>132</v>
      </c>
      <c r="E1485" s="75" t="s">
        <v>179</v>
      </c>
      <c r="F1485" s="75" t="s">
        <v>176</v>
      </c>
      <c r="G1485" s="75"/>
      <c r="H1485" s="75"/>
      <c r="I1485" s="75" t="s">
        <v>170</v>
      </c>
      <c r="J1485" s="76">
        <v>16</v>
      </c>
      <c r="K1485" s="516" t="s">
        <v>386</v>
      </c>
      <c r="L1485" s="517">
        <v>9.83</v>
      </c>
      <c r="M1485" s="517">
        <v>10.49</v>
      </c>
      <c r="N1485" s="518">
        <v>0.10299999999999999</v>
      </c>
      <c r="O1485" s="518">
        <v>0.1</v>
      </c>
      <c r="P1485" s="518">
        <v>0.112</v>
      </c>
      <c r="Q1485" s="78">
        <v>0.44</v>
      </c>
      <c r="R1485" s="78">
        <v>0.31740000000000002</v>
      </c>
      <c r="S1485" s="69">
        <v>0</v>
      </c>
      <c r="T1485" s="69">
        <v>0</v>
      </c>
      <c r="U1485" s="518">
        <v>0.7</v>
      </c>
      <c r="V1485" s="76">
        <v>0</v>
      </c>
      <c r="W1485" s="76">
        <v>0</v>
      </c>
      <c r="X1485" s="76"/>
      <c r="Y1485" s="516" t="s">
        <v>470</v>
      </c>
    </row>
    <row r="1486" spans="1:25" x14ac:dyDescent="0.25">
      <c r="A1486" s="75" t="str">
        <f t="shared" si="51"/>
        <v>Pago_de_Hipoteca PF No_Premier Poder Judicial Pago_Bajo_Puntual 15</v>
      </c>
      <c r="B1486" s="75" t="str">
        <f t="shared" si="50"/>
        <v>Pago_de_Hipoteca PF No_Premier Poder Judicial Pago_Bajo_Puntual 15 0.0965</v>
      </c>
      <c r="C1486" s="75" t="s">
        <v>173</v>
      </c>
      <c r="D1486" s="75" t="s">
        <v>132</v>
      </c>
      <c r="E1486" s="75" t="s">
        <v>179</v>
      </c>
      <c r="F1486" s="75" t="s">
        <v>176</v>
      </c>
      <c r="G1486" s="75"/>
      <c r="H1486" s="75"/>
      <c r="I1486" s="75" t="s">
        <v>170</v>
      </c>
      <c r="J1486" s="76">
        <v>15</v>
      </c>
      <c r="K1486" s="516" t="s">
        <v>385</v>
      </c>
      <c r="L1486" s="517">
        <v>9.6999999999999993</v>
      </c>
      <c r="M1486" s="517">
        <v>10.36</v>
      </c>
      <c r="N1486" s="518">
        <v>9.6500000000000002E-2</v>
      </c>
      <c r="O1486" s="518">
        <v>9.1999999999999998E-2</v>
      </c>
      <c r="P1486" s="518">
        <v>0.10249999999999999</v>
      </c>
      <c r="Q1486" s="78">
        <v>0.44</v>
      </c>
      <c r="R1486" s="78">
        <v>0.31740000000000002</v>
      </c>
      <c r="S1486" s="69">
        <v>0</v>
      </c>
      <c r="T1486" s="69">
        <v>0</v>
      </c>
      <c r="U1486" s="518">
        <v>0.7</v>
      </c>
      <c r="V1486" s="76">
        <v>0</v>
      </c>
      <c r="W1486" s="76">
        <v>0</v>
      </c>
      <c r="X1486" s="76"/>
      <c r="Y1486" s="516" t="s">
        <v>470</v>
      </c>
    </row>
    <row r="1487" spans="1:25" x14ac:dyDescent="0.25">
      <c r="A1487" s="75" t="str">
        <f t="shared" si="51"/>
        <v>Pago_de_Hipoteca PF No_Premier Poder Judicial Pago_Bajo_Puntual 15</v>
      </c>
      <c r="B1487" s="75" t="str">
        <f t="shared" si="50"/>
        <v>Pago_de_Hipoteca PF No_Premier Poder Judicial Pago_Bajo_Puntual 15 0.103</v>
      </c>
      <c r="C1487" s="75" t="s">
        <v>173</v>
      </c>
      <c r="D1487" s="75" t="s">
        <v>132</v>
      </c>
      <c r="E1487" s="75" t="s">
        <v>179</v>
      </c>
      <c r="F1487" s="75" t="s">
        <v>176</v>
      </c>
      <c r="G1487" s="75"/>
      <c r="H1487" s="75"/>
      <c r="I1487" s="75" t="s">
        <v>170</v>
      </c>
      <c r="J1487" s="76">
        <v>15</v>
      </c>
      <c r="K1487" s="516" t="s">
        <v>386</v>
      </c>
      <c r="L1487" s="517">
        <v>10.119999999999999</v>
      </c>
      <c r="M1487" s="517">
        <v>10.78</v>
      </c>
      <c r="N1487" s="518">
        <v>0.10299999999999999</v>
      </c>
      <c r="O1487" s="518">
        <v>0.1</v>
      </c>
      <c r="P1487" s="518">
        <v>0.112</v>
      </c>
      <c r="Q1487" s="78">
        <v>0.44</v>
      </c>
      <c r="R1487" s="78">
        <v>0.31740000000000002</v>
      </c>
      <c r="S1487" s="69">
        <v>0</v>
      </c>
      <c r="T1487" s="69">
        <v>0</v>
      </c>
      <c r="U1487" s="518">
        <v>0.7</v>
      </c>
      <c r="V1487" s="76">
        <v>0</v>
      </c>
      <c r="W1487" s="76">
        <v>0</v>
      </c>
      <c r="X1487" s="76"/>
      <c r="Y1487" s="516" t="s">
        <v>470</v>
      </c>
    </row>
    <row r="1488" spans="1:25" x14ac:dyDescent="0.25">
      <c r="A1488" s="75" t="str">
        <f t="shared" si="51"/>
        <v>Pago_de_Hipoteca PF No_Premier Poder Judicial Pago_Bajo_Puntual 14</v>
      </c>
      <c r="B1488" s="75" t="str">
        <f t="shared" si="50"/>
        <v>Pago_de_Hipoteca PF No_Premier Poder Judicial Pago_Bajo_Puntual 14 0.0965</v>
      </c>
      <c r="C1488" s="75" t="s">
        <v>173</v>
      </c>
      <c r="D1488" s="75" t="s">
        <v>132</v>
      </c>
      <c r="E1488" s="75" t="s">
        <v>179</v>
      </c>
      <c r="F1488" s="75" t="s">
        <v>176</v>
      </c>
      <c r="G1488" s="75"/>
      <c r="H1488" s="75"/>
      <c r="I1488" s="75" t="s">
        <v>170</v>
      </c>
      <c r="J1488" s="76">
        <v>14</v>
      </c>
      <c r="K1488" s="516" t="s">
        <v>385</v>
      </c>
      <c r="L1488" s="517">
        <v>10.050000000000001</v>
      </c>
      <c r="M1488" s="517">
        <v>10.71</v>
      </c>
      <c r="N1488" s="518">
        <v>9.6500000000000002E-2</v>
      </c>
      <c r="O1488" s="518">
        <v>9.1999999999999998E-2</v>
      </c>
      <c r="P1488" s="518">
        <v>0.10249999999999999</v>
      </c>
      <c r="Q1488" s="78">
        <v>0.44</v>
      </c>
      <c r="R1488" s="78">
        <v>0.31740000000000002</v>
      </c>
      <c r="S1488" s="69">
        <v>0</v>
      </c>
      <c r="T1488" s="69">
        <v>0</v>
      </c>
      <c r="U1488" s="518">
        <v>0.7</v>
      </c>
      <c r="V1488" s="76">
        <v>0</v>
      </c>
      <c r="W1488" s="76">
        <v>0</v>
      </c>
      <c r="X1488" s="76"/>
      <c r="Y1488" s="516" t="s">
        <v>470</v>
      </c>
    </row>
    <row r="1489" spans="1:25" x14ac:dyDescent="0.25">
      <c r="A1489" s="75" t="str">
        <f t="shared" si="51"/>
        <v>Pago_de_Hipoteca PF No_Premier Poder Judicial Pago_Bajo_Puntual 14</v>
      </c>
      <c r="B1489" s="75" t="str">
        <f t="shared" si="50"/>
        <v>Pago_de_Hipoteca PF No_Premier Poder Judicial Pago_Bajo_Puntual 14 0.103</v>
      </c>
      <c r="C1489" s="75" t="s">
        <v>173</v>
      </c>
      <c r="D1489" s="75" t="s">
        <v>132</v>
      </c>
      <c r="E1489" s="75" t="s">
        <v>179</v>
      </c>
      <c r="F1489" s="75" t="s">
        <v>176</v>
      </c>
      <c r="G1489" s="75"/>
      <c r="H1489" s="75"/>
      <c r="I1489" s="75" t="s">
        <v>170</v>
      </c>
      <c r="J1489" s="76">
        <v>14</v>
      </c>
      <c r="K1489" s="516" t="s">
        <v>386</v>
      </c>
      <c r="L1489" s="517">
        <v>10.46</v>
      </c>
      <c r="M1489" s="517">
        <v>11.12</v>
      </c>
      <c r="N1489" s="518">
        <v>0.10299999999999999</v>
      </c>
      <c r="O1489" s="518">
        <v>0.1</v>
      </c>
      <c r="P1489" s="518">
        <v>0.112</v>
      </c>
      <c r="Q1489" s="78">
        <v>0.44</v>
      </c>
      <c r="R1489" s="78">
        <v>0.31740000000000002</v>
      </c>
      <c r="S1489" s="69">
        <v>0</v>
      </c>
      <c r="T1489" s="69">
        <v>0</v>
      </c>
      <c r="U1489" s="518">
        <v>0.7</v>
      </c>
      <c r="V1489" s="76">
        <v>0</v>
      </c>
      <c r="W1489" s="76">
        <v>0</v>
      </c>
      <c r="X1489" s="76"/>
      <c r="Y1489" s="516" t="s">
        <v>470</v>
      </c>
    </row>
    <row r="1490" spans="1:25" x14ac:dyDescent="0.25">
      <c r="A1490" s="75" t="str">
        <f t="shared" si="51"/>
        <v>Pago_de_Hipoteca PF No_Premier Poder Judicial Pago_Bajo_Puntual 13</v>
      </c>
      <c r="B1490" s="75" t="str">
        <f t="shared" si="50"/>
        <v>Pago_de_Hipoteca PF No_Premier Poder Judicial Pago_Bajo_Puntual 13 0.0965</v>
      </c>
      <c r="C1490" s="75" t="s">
        <v>173</v>
      </c>
      <c r="D1490" s="75" t="s">
        <v>132</v>
      </c>
      <c r="E1490" s="75" t="s">
        <v>179</v>
      </c>
      <c r="F1490" s="75" t="s">
        <v>176</v>
      </c>
      <c r="G1490" s="75"/>
      <c r="H1490" s="75"/>
      <c r="I1490" s="75" t="s">
        <v>170</v>
      </c>
      <c r="J1490" s="76">
        <v>13</v>
      </c>
      <c r="K1490" s="516" t="s">
        <v>385</v>
      </c>
      <c r="L1490" s="517">
        <v>10.46</v>
      </c>
      <c r="M1490" s="517">
        <v>11.12</v>
      </c>
      <c r="N1490" s="518">
        <v>9.6500000000000002E-2</v>
      </c>
      <c r="O1490" s="518">
        <v>9.1999999999999998E-2</v>
      </c>
      <c r="P1490" s="518">
        <v>0.10249999999999999</v>
      </c>
      <c r="Q1490" s="78">
        <v>0.44</v>
      </c>
      <c r="R1490" s="78">
        <v>0.31740000000000002</v>
      </c>
      <c r="S1490" s="69">
        <v>0</v>
      </c>
      <c r="T1490" s="69">
        <v>0</v>
      </c>
      <c r="U1490" s="518">
        <v>0.7</v>
      </c>
      <c r="V1490" s="76">
        <v>0</v>
      </c>
      <c r="W1490" s="76">
        <v>0</v>
      </c>
      <c r="X1490" s="76"/>
      <c r="Y1490" s="516" t="s">
        <v>470</v>
      </c>
    </row>
    <row r="1491" spans="1:25" x14ac:dyDescent="0.25">
      <c r="A1491" s="75" t="str">
        <f t="shared" si="51"/>
        <v>Pago_de_Hipoteca PF No_Premier Poder Judicial Pago_Bajo_Puntual 13</v>
      </c>
      <c r="B1491" s="75" t="str">
        <f t="shared" si="50"/>
        <v>Pago_de_Hipoteca PF No_Premier Poder Judicial Pago_Bajo_Puntual 13 0.103</v>
      </c>
      <c r="C1491" s="75" t="s">
        <v>173</v>
      </c>
      <c r="D1491" s="75" t="s">
        <v>132</v>
      </c>
      <c r="E1491" s="75" t="s">
        <v>179</v>
      </c>
      <c r="F1491" s="75" t="s">
        <v>176</v>
      </c>
      <c r="G1491" s="75"/>
      <c r="H1491" s="75"/>
      <c r="I1491" s="75" t="s">
        <v>170</v>
      </c>
      <c r="J1491" s="76">
        <v>13</v>
      </c>
      <c r="K1491" s="516" t="s">
        <v>386</v>
      </c>
      <c r="L1491" s="517">
        <v>10.86</v>
      </c>
      <c r="M1491" s="517">
        <v>11.52</v>
      </c>
      <c r="N1491" s="518">
        <v>0.10299999999999999</v>
      </c>
      <c r="O1491" s="518">
        <v>0.1</v>
      </c>
      <c r="P1491" s="518">
        <v>0.112</v>
      </c>
      <c r="Q1491" s="78">
        <v>0.44</v>
      </c>
      <c r="R1491" s="78">
        <v>0.31740000000000002</v>
      </c>
      <c r="S1491" s="69">
        <v>0</v>
      </c>
      <c r="T1491" s="69">
        <v>0</v>
      </c>
      <c r="U1491" s="518">
        <v>0.7</v>
      </c>
      <c r="V1491" s="76">
        <v>0</v>
      </c>
      <c r="W1491" s="76">
        <v>0</v>
      </c>
      <c r="X1491" s="76"/>
      <c r="Y1491" s="516" t="s">
        <v>470</v>
      </c>
    </row>
    <row r="1492" spans="1:25" x14ac:dyDescent="0.25">
      <c r="A1492" s="75" t="str">
        <f t="shared" si="51"/>
        <v>Pago_de_Hipoteca PF No_Premier Poder Judicial Pago_Bajo_Puntual 12</v>
      </c>
      <c r="B1492" s="75" t="str">
        <f t="shared" si="50"/>
        <v>Pago_de_Hipoteca PF No_Premier Poder Judicial Pago_Bajo_Puntual 12 0.0965</v>
      </c>
      <c r="C1492" s="75" t="s">
        <v>173</v>
      </c>
      <c r="D1492" s="75" t="s">
        <v>132</v>
      </c>
      <c r="E1492" s="75" t="s">
        <v>179</v>
      </c>
      <c r="F1492" s="75" t="s">
        <v>176</v>
      </c>
      <c r="G1492" s="75"/>
      <c r="H1492" s="75"/>
      <c r="I1492" s="75" t="s">
        <v>170</v>
      </c>
      <c r="J1492" s="76">
        <v>12</v>
      </c>
      <c r="K1492" s="516" t="s">
        <v>385</v>
      </c>
      <c r="L1492" s="517">
        <v>10.95</v>
      </c>
      <c r="M1492" s="517">
        <v>11.61</v>
      </c>
      <c r="N1492" s="518">
        <v>9.6500000000000002E-2</v>
      </c>
      <c r="O1492" s="518">
        <v>9.1999999999999998E-2</v>
      </c>
      <c r="P1492" s="518">
        <v>0.10249999999999999</v>
      </c>
      <c r="Q1492" s="78">
        <v>0.44</v>
      </c>
      <c r="R1492" s="78">
        <v>0.31740000000000002</v>
      </c>
      <c r="S1492" s="69">
        <v>0</v>
      </c>
      <c r="T1492" s="69">
        <v>0</v>
      </c>
      <c r="U1492" s="518">
        <v>0.7</v>
      </c>
      <c r="V1492" s="76">
        <v>0</v>
      </c>
      <c r="W1492" s="76">
        <v>0</v>
      </c>
      <c r="X1492" s="76"/>
      <c r="Y1492" s="516" t="s">
        <v>470</v>
      </c>
    </row>
    <row r="1493" spans="1:25" x14ac:dyDescent="0.25">
      <c r="A1493" s="75" t="str">
        <f t="shared" si="51"/>
        <v>Pago_de_Hipoteca PF No_Premier Poder Judicial Pago_Bajo_Puntual 12</v>
      </c>
      <c r="B1493" s="75" t="str">
        <f t="shared" si="50"/>
        <v>Pago_de_Hipoteca PF No_Premier Poder Judicial Pago_Bajo_Puntual 12 0.103</v>
      </c>
      <c r="C1493" s="75" t="s">
        <v>173</v>
      </c>
      <c r="D1493" s="75" t="s">
        <v>132</v>
      </c>
      <c r="E1493" s="75" t="s">
        <v>179</v>
      </c>
      <c r="F1493" s="75" t="s">
        <v>176</v>
      </c>
      <c r="G1493" s="75"/>
      <c r="H1493" s="75"/>
      <c r="I1493" s="75" t="s">
        <v>170</v>
      </c>
      <c r="J1493" s="76">
        <v>12</v>
      </c>
      <c r="K1493" s="516" t="s">
        <v>386</v>
      </c>
      <c r="L1493" s="517">
        <v>11.34</v>
      </c>
      <c r="M1493" s="517">
        <v>12</v>
      </c>
      <c r="N1493" s="518">
        <v>0.10299999999999999</v>
      </c>
      <c r="O1493" s="518">
        <v>0.1</v>
      </c>
      <c r="P1493" s="518">
        <v>0.112</v>
      </c>
      <c r="Q1493" s="78">
        <v>0.44</v>
      </c>
      <c r="R1493" s="78">
        <v>0.31740000000000002</v>
      </c>
      <c r="S1493" s="69">
        <v>0</v>
      </c>
      <c r="T1493" s="69">
        <v>0</v>
      </c>
      <c r="U1493" s="518">
        <v>0.7</v>
      </c>
      <c r="V1493" s="76">
        <v>0</v>
      </c>
      <c r="W1493" s="76">
        <v>0</v>
      </c>
      <c r="X1493" s="76"/>
      <c r="Y1493" s="516" t="s">
        <v>470</v>
      </c>
    </row>
    <row r="1494" spans="1:25" x14ac:dyDescent="0.25">
      <c r="A1494" s="75" t="str">
        <f t="shared" si="51"/>
        <v>Pago_de_Hipoteca PF No_Premier Poder Judicial Pago_Bajo_Puntual 11</v>
      </c>
      <c r="B1494" s="75" t="str">
        <f t="shared" si="50"/>
        <v>Pago_de_Hipoteca PF No_Premier Poder Judicial Pago_Bajo_Puntual 11 0.0965</v>
      </c>
      <c r="C1494" s="75" t="s">
        <v>173</v>
      </c>
      <c r="D1494" s="75" t="s">
        <v>132</v>
      </c>
      <c r="E1494" s="75" t="s">
        <v>179</v>
      </c>
      <c r="F1494" s="75" t="s">
        <v>176</v>
      </c>
      <c r="G1494" s="75"/>
      <c r="H1494" s="75"/>
      <c r="I1494" s="75" t="s">
        <v>170</v>
      </c>
      <c r="J1494" s="76">
        <v>11</v>
      </c>
      <c r="K1494" s="516" t="s">
        <v>385</v>
      </c>
      <c r="L1494" s="517">
        <v>11.54</v>
      </c>
      <c r="M1494" s="517">
        <v>12.2</v>
      </c>
      <c r="N1494" s="518">
        <v>9.6500000000000002E-2</v>
      </c>
      <c r="O1494" s="518">
        <v>9.1999999999999998E-2</v>
      </c>
      <c r="P1494" s="518">
        <v>0.10249999999999999</v>
      </c>
      <c r="Q1494" s="78">
        <v>0.44</v>
      </c>
      <c r="R1494" s="78">
        <v>0.31740000000000002</v>
      </c>
      <c r="S1494" s="69">
        <v>0</v>
      </c>
      <c r="T1494" s="69">
        <v>0</v>
      </c>
      <c r="U1494" s="518">
        <v>0.7</v>
      </c>
      <c r="V1494" s="76">
        <v>0</v>
      </c>
      <c r="W1494" s="76">
        <v>0</v>
      </c>
      <c r="X1494" s="76"/>
      <c r="Y1494" s="516" t="s">
        <v>470</v>
      </c>
    </row>
    <row r="1495" spans="1:25" x14ac:dyDescent="0.25">
      <c r="A1495" s="75" t="str">
        <f t="shared" si="51"/>
        <v>Pago_de_Hipoteca PF No_Premier Poder Judicial Pago_Bajo_Puntual 11</v>
      </c>
      <c r="B1495" s="75" t="str">
        <f t="shared" si="50"/>
        <v>Pago_de_Hipoteca PF No_Premier Poder Judicial Pago_Bajo_Puntual 11 0.103</v>
      </c>
      <c r="C1495" s="75" t="s">
        <v>173</v>
      </c>
      <c r="D1495" s="75" t="s">
        <v>132</v>
      </c>
      <c r="E1495" s="75" t="s">
        <v>179</v>
      </c>
      <c r="F1495" s="75" t="s">
        <v>176</v>
      </c>
      <c r="G1495" s="75"/>
      <c r="H1495" s="75"/>
      <c r="I1495" s="75" t="s">
        <v>170</v>
      </c>
      <c r="J1495" s="76">
        <v>11</v>
      </c>
      <c r="K1495" s="516" t="s">
        <v>386</v>
      </c>
      <c r="L1495" s="517">
        <v>11.92</v>
      </c>
      <c r="M1495" s="517">
        <v>12.58</v>
      </c>
      <c r="N1495" s="518">
        <v>0.10299999999999999</v>
      </c>
      <c r="O1495" s="518">
        <v>0.1</v>
      </c>
      <c r="P1495" s="518">
        <v>0.112</v>
      </c>
      <c r="Q1495" s="78">
        <v>0.44</v>
      </c>
      <c r="R1495" s="78">
        <v>0.31740000000000002</v>
      </c>
      <c r="S1495" s="69">
        <v>0</v>
      </c>
      <c r="T1495" s="69">
        <v>0</v>
      </c>
      <c r="U1495" s="518">
        <v>0.7</v>
      </c>
      <c r="V1495" s="76">
        <v>0</v>
      </c>
      <c r="W1495" s="76">
        <v>0</v>
      </c>
      <c r="X1495" s="76"/>
      <c r="Y1495" s="516" t="s">
        <v>470</v>
      </c>
    </row>
    <row r="1496" spans="1:25" x14ac:dyDescent="0.25">
      <c r="A1496" s="75" t="str">
        <f t="shared" si="51"/>
        <v>Pago_de_Hipoteca PF No_Premier Poder Judicial Pago_Bajo_Puntual 10</v>
      </c>
      <c r="B1496" s="75" t="str">
        <f t="shared" si="50"/>
        <v>Pago_de_Hipoteca PF No_Premier Poder Judicial Pago_Bajo_Puntual 10 0.0965</v>
      </c>
      <c r="C1496" s="75" t="s">
        <v>173</v>
      </c>
      <c r="D1496" s="75" t="s">
        <v>132</v>
      </c>
      <c r="E1496" s="75" t="s">
        <v>179</v>
      </c>
      <c r="F1496" s="75" t="s">
        <v>176</v>
      </c>
      <c r="G1496" s="75"/>
      <c r="H1496" s="75"/>
      <c r="I1496" s="75" t="s">
        <v>170</v>
      </c>
      <c r="J1496" s="76">
        <v>10</v>
      </c>
      <c r="K1496" s="516" t="s">
        <v>385</v>
      </c>
      <c r="L1496" s="517">
        <v>12.25</v>
      </c>
      <c r="M1496" s="517">
        <v>12.91</v>
      </c>
      <c r="N1496" s="518">
        <v>9.6500000000000002E-2</v>
      </c>
      <c r="O1496" s="518">
        <v>9.1999999999999998E-2</v>
      </c>
      <c r="P1496" s="518">
        <v>0.10249999999999999</v>
      </c>
      <c r="Q1496" s="78">
        <v>0.44</v>
      </c>
      <c r="R1496" s="78">
        <v>0.31740000000000002</v>
      </c>
      <c r="S1496" s="69">
        <v>0</v>
      </c>
      <c r="T1496" s="69">
        <v>0</v>
      </c>
      <c r="U1496" s="518">
        <v>0.7</v>
      </c>
      <c r="V1496" s="76">
        <v>0</v>
      </c>
      <c r="W1496" s="76">
        <v>0</v>
      </c>
      <c r="X1496" s="76"/>
      <c r="Y1496" s="516" t="s">
        <v>470</v>
      </c>
    </row>
    <row r="1497" spans="1:25" x14ac:dyDescent="0.25">
      <c r="A1497" s="75" t="str">
        <f t="shared" si="51"/>
        <v>Pago_de_Hipoteca PF No_Premier Poder Judicial Pago_Bajo_Puntual 10</v>
      </c>
      <c r="B1497" s="75" t="str">
        <f t="shared" si="50"/>
        <v>Pago_de_Hipoteca PF No_Premier Poder Judicial Pago_Bajo_Puntual 10 0.103</v>
      </c>
      <c r="C1497" s="75" t="s">
        <v>173</v>
      </c>
      <c r="D1497" s="75" t="s">
        <v>132</v>
      </c>
      <c r="E1497" s="75" t="s">
        <v>179</v>
      </c>
      <c r="F1497" s="75" t="s">
        <v>176</v>
      </c>
      <c r="G1497" s="75"/>
      <c r="H1497" s="75"/>
      <c r="I1497" s="75" t="s">
        <v>170</v>
      </c>
      <c r="J1497" s="76">
        <v>10</v>
      </c>
      <c r="K1497" s="516" t="s">
        <v>386</v>
      </c>
      <c r="L1497" s="517">
        <v>12.62</v>
      </c>
      <c r="M1497" s="517">
        <v>13.28</v>
      </c>
      <c r="N1497" s="518">
        <v>0.10299999999999999</v>
      </c>
      <c r="O1497" s="518">
        <v>0.1</v>
      </c>
      <c r="P1497" s="518">
        <v>0.112</v>
      </c>
      <c r="Q1497" s="78">
        <v>0.44</v>
      </c>
      <c r="R1497" s="78">
        <v>0.31740000000000002</v>
      </c>
      <c r="S1497" s="69">
        <v>0</v>
      </c>
      <c r="T1497" s="69">
        <v>0</v>
      </c>
      <c r="U1497" s="518">
        <v>0.7</v>
      </c>
      <c r="V1497" s="76">
        <v>0</v>
      </c>
      <c r="W1497" s="76">
        <v>0</v>
      </c>
      <c r="X1497" s="76"/>
      <c r="Y1497" s="516" t="s">
        <v>470</v>
      </c>
    </row>
    <row r="1498" spans="1:25" x14ac:dyDescent="0.25">
      <c r="A1498" s="75" t="str">
        <f t="shared" si="51"/>
        <v>Pago_de_Hipoteca PF No_Premier Poder Judicial Pago_Bajo_Puntual 9</v>
      </c>
      <c r="B1498" s="75" t="str">
        <f t="shared" si="50"/>
        <v>Pago_de_Hipoteca PF No_Premier Poder Judicial Pago_Bajo_Puntual 9 0.0965</v>
      </c>
      <c r="C1498" s="75" t="s">
        <v>173</v>
      </c>
      <c r="D1498" s="75" t="s">
        <v>132</v>
      </c>
      <c r="E1498" s="75" t="s">
        <v>179</v>
      </c>
      <c r="F1498" s="75" t="s">
        <v>176</v>
      </c>
      <c r="G1498" s="75"/>
      <c r="H1498" s="75"/>
      <c r="I1498" s="75" t="s">
        <v>170</v>
      </c>
      <c r="J1498" s="76">
        <v>9</v>
      </c>
      <c r="K1498" s="516" t="s">
        <v>385</v>
      </c>
      <c r="L1498" s="517">
        <v>13.13</v>
      </c>
      <c r="M1498" s="517">
        <v>13.79</v>
      </c>
      <c r="N1498" s="518">
        <v>9.6500000000000002E-2</v>
      </c>
      <c r="O1498" s="518">
        <v>9.1999999999999998E-2</v>
      </c>
      <c r="P1498" s="518">
        <v>0.10249999999999999</v>
      </c>
      <c r="Q1498" s="78">
        <v>0.44</v>
      </c>
      <c r="R1498" s="78">
        <v>0.31740000000000002</v>
      </c>
      <c r="S1498" s="69">
        <v>0</v>
      </c>
      <c r="T1498" s="69">
        <v>0</v>
      </c>
      <c r="U1498" s="518">
        <v>0.7</v>
      </c>
      <c r="V1498" s="76">
        <v>0</v>
      </c>
      <c r="W1498" s="76">
        <v>0</v>
      </c>
      <c r="X1498" s="76"/>
      <c r="Y1498" s="516" t="s">
        <v>470</v>
      </c>
    </row>
    <row r="1499" spans="1:25" x14ac:dyDescent="0.25">
      <c r="A1499" s="75" t="str">
        <f t="shared" si="51"/>
        <v>Pago_de_Hipoteca PF No_Premier Poder Judicial Pago_Bajo_Puntual 9</v>
      </c>
      <c r="B1499" s="75" t="str">
        <f t="shared" si="50"/>
        <v>Pago_de_Hipoteca PF No_Premier Poder Judicial Pago_Bajo_Puntual 9 0.103</v>
      </c>
      <c r="C1499" s="75" t="s">
        <v>173</v>
      </c>
      <c r="D1499" s="75" t="s">
        <v>132</v>
      </c>
      <c r="E1499" s="75" t="s">
        <v>179</v>
      </c>
      <c r="F1499" s="75" t="s">
        <v>176</v>
      </c>
      <c r="G1499" s="75"/>
      <c r="H1499" s="75"/>
      <c r="I1499" s="75" t="s">
        <v>170</v>
      </c>
      <c r="J1499" s="76">
        <v>9</v>
      </c>
      <c r="K1499" s="516" t="s">
        <v>386</v>
      </c>
      <c r="L1499" s="517">
        <v>13.49</v>
      </c>
      <c r="M1499" s="517">
        <v>14.15</v>
      </c>
      <c r="N1499" s="518">
        <v>0.10299999999999999</v>
      </c>
      <c r="O1499" s="518">
        <v>0.1</v>
      </c>
      <c r="P1499" s="518">
        <v>0.112</v>
      </c>
      <c r="Q1499" s="78">
        <v>0.44</v>
      </c>
      <c r="R1499" s="78">
        <v>0.31740000000000002</v>
      </c>
      <c r="S1499" s="69">
        <v>0</v>
      </c>
      <c r="T1499" s="69">
        <v>0</v>
      </c>
      <c r="U1499" s="518">
        <v>0.7</v>
      </c>
      <c r="V1499" s="76">
        <v>0</v>
      </c>
      <c r="W1499" s="76">
        <v>0</v>
      </c>
      <c r="X1499" s="76"/>
      <c r="Y1499" s="516" t="s">
        <v>470</v>
      </c>
    </row>
    <row r="1500" spans="1:25" x14ac:dyDescent="0.25">
      <c r="A1500" s="75" t="str">
        <f t="shared" si="51"/>
        <v>Pago_de_Hipoteca PF No_Premier Poder Judicial Pago_Bajo_Puntual 8</v>
      </c>
      <c r="B1500" s="75" t="str">
        <f t="shared" si="50"/>
        <v>Pago_de_Hipoteca PF No_Premier Poder Judicial Pago_Bajo_Puntual 8 0.0965</v>
      </c>
      <c r="C1500" s="75" t="s">
        <v>173</v>
      </c>
      <c r="D1500" s="75" t="s">
        <v>132</v>
      </c>
      <c r="E1500" s="75" t="s">
        <v>179</v>
      </c>
      <c r="F1500" s="75" t="s">
        <v>176</v>
      </c>
      <c r="G1500" s="75"/>
      <c r="H1500" s="75"/>
      <c r="I1500" s="75" t="s">
        <v>170</v>
      </c>
      <c r="J1500" s="76">
        <v>8</v>
      </c>
      <c r="K1500" s="516" t="s">
        <v>385</v>
      </c>
      <c r="L1500" s="517">
        <v>14.25</v>
      </c>
      <c r="M1500" s="517">
        <v>14.91</v>
      </c>
      <c r="N1500" s="518">
        <v>9.6500000000000002E-2</v>
      </c>
      <c r="O1500" s="518">
        <v>9.1999999999999998E-2</v>
      </c>
      <c r="P1500" s="518">
        <v>0.10249999999999999</v>
      </c>
      <c r="Q1500" s="78">
        <v>0.44</v>
      </c>
      <c r="R1500" s="78">
        <v>0.31740000000000002</v>
      </c>
      <c r="S1500" s="69">
        <v>0</v>
      </c>
      <c r="T1500" s="69">
        <v>0</v>
      </c>
      <c r="U1500" s="518">
        <v>0.7</v>
      </c>
      <c r="V1500" s="76">
        <v>0</v>
      </c>
      <c r="W1500" s="76">
        <v>0</v>
      </c>
      <c r="X1500" s="76"/>
      <c r="Y1500" s="516" t="s">
        <v>470</v>
      </c>
    </row>
    <row r="1501" spans="1:25" x14ac:dyDescent="0.25">
      <c r="A1501" s="75" t="str">
        <f t="shared" si="51"/>
        <v>Pago_de_Hipoteca PF No_Premier Poder Judicial Pago_Bajo_Puntual 8</v>
      </c>
      <c r="B1501" s="75" t="str">
        <f t="shared" si="50"/>
        <v>Pago_de_Hipoteca PF No_Premier Poder Judicial Pago_Bajo_Puntual 8 0.103</v>
      </c>
      <c r="C1501" s="75" t="s">
        <v>173</v>
      </c>
      <c r="D1501" s="75" t="s">
        <v>132</v>
      </c>
      <c r="E1501" s="75" t="s">
        <v>179</v>
      </c>
      <c r="F1501" s="75" t="s">
        <v>176</v>
      </c>
      <c r="G1501" s="75"/>
      <c r="H1501" s="75"/>
      <c r="I1501" s="75" t="s">
        <v>170</v>
      </c>
      <c r="J1501" s="76">
        <v>8</v>
      </c>
      <c r="K1501" s="516" t="s">
        <v>386</v>
      </c>
      <c r="L1501" s="517">
        <v>14.59</v>
      </c>
      <c r="M1501" s="517">
        <v>15.25</v>
      </c>
      <c r="N1501" s="518">
        <v>0.10299999999999999</v>
      </c>
      <c r="O1501" s="518">
        <v>0.1</v>
      </c>
      <c r="P1501" s="518">
        <v>0.112</v>
      </c>
      <c r="Q1501" s="78">
        <v>0.44</v>
      </c>
      <c r="R1501" s="78">
        <v>0.31740000000000002</v>
      </c>
      <c r="S1501" s="69">
        <v>0</v>
      </c>
      <c r="T1501" s="69">
        <v>0</v>
      </c>
      <c r="U1501" s="518">
        <v>0.7</v>
      </c>
      <c r="V1501" s="76">
        <v>0</v>
      </c>
      <c r="W1501" s="76">
        <v>0</v>
      </c>
      <c r="X1501" s="76"/>
      <c r="Y1501" s="516" t="s">
        <v>470</v>
      </c>
    </row>
    <row r="1502" spans="1:25" x14ac:dyDescent="0.25">
      <c r="A1502" s="75" t="str">
        <f t="shared" si="51"/>
        <v>Pago_de_Hipoteca PF No_Premier Poder Judicial Pago_Bajo_Puntual 7</v>
      </c>
      <c r="B1502" s="75" t="str">
        <f t="shared" si="50"/>
        <v>Pago_de_Hipoteca PF No_Premier Poder Judicial Pago_Bajo_Puntual 7 0.0965</v>
      </c>
      <c r="C1502" s="75" t="s">
        <v>173</v>
      </c>
      <c r="D1502" s="75" t="s">
        <v>132</v>
      </c>
      <c r="E1502" s="75" t="s">
        <v>179</v>
      </c>
      <c r="F1502" s="75" t="s">
        <v>176</v>
      </c>
      <c r="G1502" s="75"/>
      <c r="H1502" s="75"/>
      <c r="I1502" s="75" t="s">
        <v>170</v>
      </c>
      <c r="J1502" s="76">
        <v>7</v>
      </c>
      <c r="K1502" s="516" t="s">
        <v>385</v>
      </c>
      <c r="L1502" s="517">
        <v>15.7</v>
      </c>
      <c r="M1502" s="517">
        <v>16.36</v>
      </c>
      <c r="N1502" s="518">
        <v>9.6500000000000002E-2</v>
      </c>
      <c r="O1502" s="518">
        <v>9.1999999999999998E-2</v>
      </c>
      <c r="P1502" s="518">
        <v>0.10249999999999999</v>
      </c>
      <c r="Q1502" s="78">
        <v>0.44</v>
      </c>
      <c r="R1502" s="78">
        <v>0.31740000000000002</v>
      </c>
      <c r="S1502" s="69">
        <v>0</v>
      </c>
      <c r="T1502" s="69">
        <v>0</v>
      </c>
      <c r="U1502" s="518">
        <v>0.7</v>
      </c>
      <c r="V1502" s="76">
        <v>0</v>
      </c>
      <c r="W1502" s="76">
        <v>0</v>
      </c>
      <c r="X1502" s="76"/>
      <c r="Y1502" s="516" t="s">
        <v>470</v>
      </c>
    </row>
    <row r="1503" spans="1:25" x14ac:dyDescent="0.25">
      <c r="A1503" s="75" t="str">
        <f t="shared" si="51"/>
        <v>Pago_de_Hipoteca PF No_Premier Poder Judicial Pago_Bajo_Puntual 7</v>
      </c>
      <c r="B1503" s="75" t="str">
        <f t="shared" si="50"/>
        <v>Pago_de_Hipoteca PF No_Premier Poder Judicial Pago_Bajo_Puntual 7 0.103</v>
      </c>
      <c r="C1503" s="75" t="s">
        <v>173</v>
      </c>
      <c r="D1503" s="75" t="s">
        <v>132</v>
      </c>
      <c r="E1503" s="75" t="s">
        <v>179</v>
      </c>
      <c r="F1503" s="75" t="s">
        <v>176</v>
      </c>
      <c r="G1503" s="75"/>
      <c r="H1503" s="75"/>
      <c r="I1503" s="75" t="s">
        <v>170</v>
      </c>
      <c r="J1503" s="76">
        <v>7</v>
      </c>
      <c r="K1503" s="516" t="s">
        <v>386</v>
      </c>
      <c r="L1503" s="517">
        <v>16.03</v>
      </c>
      <c r="M1503" s="517">
        <v>16.690000000000001</v>
      </c>
      <c r="N1503" s="518">
        <v>0.10299999999999999</v>
      </c>
      <c r="O1503" s="518">
        <v>0.1</v>
      </c>
      <c r="P1503" s="518">
        <v>0.112</v>
      </c>
      <c r="Q1503" s="78">
        <v>0.44</v>
      </c>
      <c r="R1503" s="78">
        <v>0.31740000000000002</v>
      </c>
      <c r="S1503" s="69">
        <v>0</v>
      </c>
      <c r="T1503" s="69">
        <v>0</v>
      </c>
      <c r="U1503" s="518">
        <v>0.7</v>
      </c>
      <c r="V1503" s="76">
        <v>0</v>
      </c>
      <c r="W1503" s="76">
        <v>0</v>
      </c>
      <c r="X1503" s="76"/>
      <c r="Y1503" s="516" t="s">
        <v>470</v>
      </c>
    </row>
    <row r="1504" spans="1:25" x14ac:dyDescent="0.25">
      <c r="A1504" s="75" t="str">
        <f t="shared" si="51"/>
        <v>Pago_de_Hipoteca PF No_Premier Poder Judicial Pago_Bajo_Puntual 6</v>
      </c>
      <c r="B1504" s="75" t="str">
        <f t="shared" si="50"/>
        <v>Pago_de_Hipoteca PF No_Premier Poder Judicial Pago_Bajo_Puntual 6 0.0965</v>
      </c>
      <c r="C1504" s="75" t="s">
        <v>173</v>
      </c>
      <c r="D1504" s="75" t="s">
        <v>132</v>
      </c>
      <c r="E1504" s="75" t="s">
        <v>179</v>
      </c>
      <c r="F1504" s="75" t="s">
        <v>176</v>
      </c>
      <c r="G1504" s="75"/>
      <c r="H1504" s="75"/>
      <c r="I1504" s="75" t="s">
        <v>170</v>
      </c>
      <c r="J1504" s="76">
        <v>6</v>
      </c>
      <c r="K1504" s="516" t="s">
        <v>385</v>
      </c>
      <c r="L1504" s="517">
        <v>17.649999999999999</v>
      </c>
      <c r="M1504" s="517">
        <v>18.309999999999999</v>
      </c>
      <c r="N1504" s="518">
        <v>9.6500000000000002E-2</v>
      </c>
      <c r="O1504" s="518">
        <v>9.1999999999999998E-2</v>
      </c>
      <c r="P1504" s="518">
        <v>0.10249999999999999</v>
      </c>
      <c r="Q1504" s="78">
        <v>0.44</v>
      </c>
      <c r="R1504" s="78">
        <v>0.31740000000000002</v>
      </c>
      <c r="S1504" s="69">
        <v>0</v>
      </c>
      <c r="T1504" s="69">
        <v>0</v>
      </c>
      <c r="U1504" s="518">
        <v>0.7</v>
      </c>
      <c r="V1504" s="76">
        <v>0</v>
      </c>
      <c r="W1504" s="76">
        <v>0</v>
      </c>
      <c r="X1504" s="76"/>
      <c r="Y1504" s="516" t="s">
        <v>470</v>
      </c>
    </row>
    <row r="1505" spans="1:25" x14ac:dyDescent="0.25">
      <c r="A1505" s="75" t="str">
        <f t="shared" si="51"/>
        <v>Pago_de_Hipoteca PF No_Premier Poder Judicial Pago_Bajo_Puntual 6</v>
      </c>
      <c r="B1505" s="75" t="str">
        <f t="shared" si="50"/>
        <v>Pago_de_Hipoteca PF No_Premier Poder Judicial Pago_Bajo_Puntual 6 0.103</v>
      </c>
      <c r="C1505" s="75" t="s">
        <v>173</v>
      </c>
      <c r="D1505" s="75" t="s">
        <v>132</v>
      </c>
      <c r="E1505" s="75" t="s">
        <v>179</v>
      </c>
      <c r="F1505" s="75" t="s">
        <v>176</v>
      </c>
      <c r="G1505" s="75"/>
      <c r="H1505" s="75"/>
      <c r="I1505" s="75" t="s">
        <v>170</v>
      </c>
      <c r="J1505" s="76">
        <v>6</v>
      </c>
      <c r="K1505" s="516" t="s">
        <v>386</v>
      </c>
      <c r="L1505" s="517">
        <v>17.97</v>
      </c>
      <c r="M1505" s="517">
        <v>18.63</v>
      </c>
      <c r="N1505" s="518">
        <v>0.10299999999999999</v>
      </c>
      <c r="O1505" s="518">
        <v>0.1</v>
      </c>
      <c r="P1505" s="518">
        <v>0.112</v>
      </c>
      <c r="Q1505" s="78">
        <v>0.44</v>
      </c>
      <c r="R1505" s="78">
        <v>0.31740000000000002</v>
      </c>
      <c r="S1505" s="69">
        <v>0</v>
      </c>
      <c r="T1505" s="69">
        <v>0</v>
      </c>
      <c r="U1505" s="518">
        <v>0.7</v>
      </c>
      <c r="V1505" s="76">
        <v>0</v>
      </c>
      <c r="W1505" s="76">
        <v>0</v>
      </c>
      <c r="X1505" s="76"/>
      <c r="Y1505" s="516" t="s">
        <v>470</v>
      </c>
    </row>
    <row r="1506" spans="1:25" x14ac:dyDescent="0.25">
      <c r="A1506" s="75" t="str">
        <f t="shared" si="51"/>
        <v>Pago_de_Hipoteca PF No_Premier Poder Judicial Pago_Bajo_Puntual 5</v>
      </c>
      <c r="B1506" s="75" t="str">
        <f t="shared" si="50"/>
        <v>Pago_de_Hipoteca PF No_Premier Poder Judicial Pago_Bajo_Puntual 5 0.0965</v>
      </c>
      <c r="C1506" s="75" t="s">
        <v>173</v>
      </c>
      <c r="D1506" s="75" t="s">
        <v>132</v>
      </c>
      <c r="E1506" s="75" t="s">
        <v>179</v>
      </c>
      <c r="F1506" s="75" t="s">
        <v>176</v>
      </c>
      <c r="G1506" s="75"/>
      <c r="H1506" s="75"/>
      <c r="I1506" s="75" t="s">
        <v>170</v>
      </c>
      <c r="J1506" s="76">
        <v>5</v>
      </c>
      <c r="K1506" s="516" t="s">
        <v>385</v>
      </c>
      <c r="L1506" s="517">
        <v>20.399999999999999</v>
      </c>
      <c r="M1506" s="517">
        <v>21.06</v>
      </c>
      <c r="N1506" s="518">
        <v>9.6500000000000002E-2</v>
      </c>
      <c r="O1506" s="518">
        <v>9.1999999999999998E-2</v>
      </c>
      <c r="P1506" s="518">
        <v>0.10249999999999999</v>
      </c>
      <c r="Q1506" s="78">
        <v>0.44</v>
      </c>
      <c r="R1506" s="78">
        <v>0.31740000000000002</v>
      </c>
      <c r="S1506" s="69">
        <v>0</v>
      </c>
      <c r="T1506" s="69">
        <v>0</v>
      </c>
      <c r="U1506" s="518">
        <v>0.7</v>
      </c>
      <c r="V1506" s="76">
        <v>0</v>
      </c>
      <c r="W1506" s="76">
        <v>0</v>
      </c>
      <c r="X1506" s="76"/>
      <c r="Y1506" s="516" t="s">
        <v>470</v>
      </c>
    </row>
    <row r="1507" spans="1:25" x14ac:dyDescent="0.25">
      <c r="A1507" s="75" t="str">
        <f t="shared" si="51"/>
        <v>Pago_de_Hipoteca PF No_Premier Poder Judicial Pago_Bajo_Puntual 5</v>
      </c>
      <c r="B1507" s="75" t="str">
        <f t="shared" si="50"/>
        <v>Pago_de_Hipoteca PF No_Premier Poder Judicial Pago_Bajo_Puntual 5 0.103</v>
      </c>
      <c r="C1507" s="75" t="s">
        <v>173</v>
      </c>
      <c r="D1507" s="75" t="s">
        <v>132</v>
      </c>
      <c r="E1507" s="75" t="s">
        <v>179</v>
      </c>
      <c r="F1507" s="75" t="s">
        <v>176</v>
      </c>
      <c r="G1507" s="75"/>
      <c r="H1507" s="75"/>
      <c r="I1507" s="75" t="s">
        <v>170</v>
      </c>
      <c r="J1507" s="76">
        <v>5</v>
      </c>
      <c r="K1507" s="516" t="s">
        <v>386</v>
      </c>
      <c r="L1507" s="517">
        <v>20.72</v>
      </c>
      <c r="M1507" s="517">
        <v>21.38</v>
      </c>
      <c r="N1507" s="518">
        <v>0.10299999999999999</v>
      </c>
      <c r="O1507" s="518">
        <v>0.1</v>
      </c>
      <c r="P1507" s="518">
        <v>0.112</v>
      </c>
      <c r="Q1507" s="78">
        <v>0.44</v>
      </c>
      <c r="R1507" s="78">
        <v>0.31740000000000002</v>
      </c>
      <c r="S1507" s="69">
        <v>0</v>
      </c>
      <c r="T1507" s="69">
        <v>0</v>
      </c>
      <c r="U1507" s="518">
        <v>0.7</v>
      </c>
      <c r="V1507" s="76">
        <v>0</v>
      </c>
      <c r="W1507" s="76">
        <v>0</v>
      </c>
      <c r="X1507" s="76"/>
      <c r="Y1507" s="516" t="s">
        <v>470</v>
      </c>
    </row>
    <row r="1508" spans="1:25" x14ac:dyDescent="0.25">
      <c r="A1508" s="75" t="str">
        <f t="shared" si="51"/>
        <v>Pago_de_Hipoteca PF Premier Pago_Fijo_Puntual Si 20</v>
      </c>
      <c r="B1508" s="75" t="str">
        <f t="shared" si="50"/>
        <v>Pago_de_Hipoteca PF Premier Pago_Fijo_Puntual Si 20 0.103</v>
      </c>
      <c r="C1508" s="75" t="s">
        <v>173</v>
      </c>
      <c r="D1508" s="75" t="s">
        <v>132</v>
      </c>
      <c r="E1508" s="75" t="s">
        <v>143</v>
      </c>
      <c r="F1508" s="75"/>
      <c r="G1508" s="75"/>
      <c r="H1508" s="75"/>
      <c r="I1508" s="75" t="s">
        <v>171</v>
      </c>
      <c r="J1508" s="76">
        <v>20</v>
      </c>
      <c r="K1508" s="519" t="s">
        <v>387</v>
      </c>
      <c r="L1508" s="520">
        <v>10.16</v>
      </c>
      <c r="M1508" s="520">
        <v>10.82</v>
      </c>
      <c r="N1508" s="507">
        <v>0.10299999999999999</v>
      </c>
      <c r="O1508" s="507">
        <v>0.1</v>
      </c>
      <c r="P1508" s="507">
        <v>0.112</v>
      </c>
      <c r="Q1508" s="78">
        <v>0.44</v>
      </c>
      <c r="R1508" s="78">
        <v>0.31740000000000002</v>
      </c>
      <c r="S1508" s="69">
        <v>0</v>
      </c>
      <c r="T1508" s="69">
        <v>0</v>
      </c>
      <c r="U1508" s="507">
        <v>0.85</v>
      </c>
      <c r="V1508" s="76">
        <v>0</v>
      </c>
      <c r="W1508" s="76">
        <v>0</v>
      </c>
      <c r="X1508" s="76" t="s">
        <v>147</v>
      </c>
      <c r="Y1508" s="519" t="s">
        <v>469</v>
      </c>
    </row>
    <row r="1509" spans="1:25" x14ac:dyDescent="0.25">
      <c r="A1509" s="75" t="str">
        <f t="shared" si="51"/>
        <v>Pago_de_Hipoteca PF Premier Pago_Fijo_Puntual 20</v>
      </c>
      <c r="B1509" s="75" t="str">
        <f t="shared" si="50"/>
        <v>Pago_de_Hipoteca PF Premier Pago_Fijo_Puntual 20 0.106</v>
      </c>
      <c r="C1509" s="75" t="s">
        <v>173</v>
      </c>
      <c r="D1509" s="75" t="s">
        <v>132</v>
      </c>
      <c r="E1509" s="75" t="s">
        <v>143</v>
      </c>
      <c r="F1509" s="75"/>
      <c r="G1509" s="75"/>
      <c r="H1509" s="75"/>
      <c r="I1509" s="75" t="s">
        <v>171</v>
      </c>
      <c r="J1509" s="76">
        <v>20</v>
      </c>
      <c r="K1509" s="519">
        <v>3</v>
      </c>
      <c r="L1509" s="520">
        <v>10.4</v>
      </c>
      <c r="M1509" s="520">
        <v>11.06</v>
      </c>
      <c r="N1509" s="507">
        <v>0.106</v>
      </c>
      <c r="O1509" s="507">
        <v>0.10299999999999999</v>
      </c>
      <c r="P1509" s="507">
        <v>0.11799999999999999</v>
      </c>
      <c r="Q1509" s="78">
        <v>0.44</v>
      </c>
      <c r="R1509" s="78">
        <v>0.31740000000000002</v>
      </c>
      <c r="S1509" s="69">
        <v>0</v>
      </c>
      <c r="T1509" s="69">
        <v>0</v>
      </c>
      <c r="U1509" s="507">
        <v>0.85</v>
      </c>
      <c r="V1509" s="76">
        <v>0</v>
      </c>
      <c r="W1509" s="76">
        <v>0</v>
      </c>
      <c r="X1509" s="76"/>
      <c r="Y1509" s="519" t="s">
        <v>469</v>
      </c>
    </row>
    <row r="1510" spans="1:25" x14ac:dyDescent="0.25">
      <c r="A1510" s="75" t="str">
        <f t="shared" si="51"/>
        <v>Pago_de_Hipoteca PF Premier Pago_Fijo_Puntual Si 19</v>
      </c>
      <c r="B1510" s="75" t="str">
        <f t="shared" ref="B1510:B1573" si="52">CONCATENATE(A1510," ",N1510)</f>
        <v>Pago_de_Hipoteca PF Premier Pago_Fijo_Puntual Si 19 0.103</v>
      </c>
      <c r="C1510" s="75" t="s">
        <v>173</v>
      </c>
      <c r="D1510" s="75" t="s">
        <v>132</v>
      </c>
      <c r="E1510" s="75" t="s">
        <v>143</v>
      </c>
      <c r="F1510" s="75"/>
      <c r="G1510" s="75"/>
      <c r="H1510" s="75"/>
      <c r="I1510" s="75" t="s">
        <v>171</v>
      </c>
      <c r="J1510" s="76">
        <v>19</v>
      </c>
      <c r="K1510" s="519" t="s">
        <v>387</v>
      </c>
      <c r="L1510" s="520">
        <v>10.3</v>
      </c>
      <c r="M1510" s="520">
        <v>10.96</v>
      </c>
      <c r="N1510" s="507">
        <v>0.10299999999999999</v>
      </c>
      <c r="O1510" s="507">
        <v>0.1</v>
      </c>
      <c r="P1510" s="507">
        <v>0.112</v>
      </c>
      <c r="Q1510" s="78">
        <v>0.44</v>
      </c>
      <c r="R1510" s="78">
        <v>0.31740000000000002</v>
      </c>
      <c r="S1510" s="69">
        <v>0</v>
      </c>
      <c r="T1510" s="69">
        <v>0</v>
      </c>
      <c r="U1510" s="507">
        <v>0.85</v>
      </c>
      <c r="V1510" s="76">
        <v>0</v>
      </c>
      <c r="W1510" s="76">
        <v>0</v>
      </c>
      <c r="X1510" s="76" t="s">
        <v>147</v>
      </c>
      <c r="Y1510" s="519" t="s">
        <v>469</v>
      </c>
    </row>
    <row r="1511" spans="1:25" x14ac:dyDescent="0.25">
      <c r="A1511" s="75" t="str">
        <f t="shared" ref="A1511:A1574" si="53">TRIM(CONCATENATE(C1511," ",D1511," ",E1511," ",F1511," ",G1511," ",I1511," ",X1511," ",J1511))</f>
        <v>Pago_de_Hipoteca PF Premier Pago_Fijo_Puntual 19</v>
      </c>
      <c r="B1511" s="75" t="str">
        <f t="shared" si="52"/>
        <v>Pago_de_Hipoteca PF Premier Pago_Fijo_Puntual 19 0.106</v>
      </c>
      <c r="C1511" s="75" t="s">
        <v>173</v>
      </c>
      <c r="D1511" s="75" t="s">
        <v>132</v>
      </c>
      <c r="E1511" s="75" t="s">
        <v>143</v>
      </c>
      <c r="F1511" s="75"/>
      <c r="G1511" s="75"/>
      <c r="H1511" s="75"/>
      <c r="I1511" s="75" t="s">
        <v>171</v>
      </c>
      <c r="J1511" s="76">
        <v>19</v>
      </c>
      <c r="K1511" s="519">
        <v>3</v>
      </c>
      <c r="L1511" s="520">
        <v>10.54</v>
      </c>
      <c r="M1511" s="520">
        <v>11.2</v>
      </c>
      <c r="N1511" s="507">
        <v>0.106</v>
      </c>
      <c r="O1511" s="507">
        <v>0.10299999999999999</v>
      </c>
      <c r="P1511" s="507">
        <v>0.11799999999999999</v>
      </c>
      <c r="Q1511" s="78">
        <v>0.44</v>
      </c>
      <c r="R1511" s="78">
        <v>0.31740000000000002</v>
      </c>
      <c r="S1511" s="69">
        <v>0</v>
      </c>
      <c r="T1511" s="69">
        <v>0</v>
      </c>
      <c r="U1511" s="507">
        <v>0.85</v>
      </c>
      <c r="V1511" s="76">
        <v>0</v>
      </c>
      <c r="W1511" s="76">
        <v>0</v>
      </c>
      <c r="X1511" s="76"/>
      <c r="Y1511" s="519" t="s">
        <v>469</v>
      </c>
    </row>
    <row r="1512" spans="1:25" x14ac:dyDescent="0.25">
      <c r="A1512" s="75" t="str">
        <f t="shared" si="53"/>
        <v>Pago_de_Hipoteca PF Premier Pago_Fijo_Puntual Si 18</v>
      </c>
      <c r="B1512" s="75" t="str">
        <f t="shared" si="52"/>
        <v>Pago_de_Hipoteca PF Premier Pago_Fijo_Puntual Si 18 0.103</v>
      </c>
      <c r="C1512" s="75" t="s">
        <v>173</v>
      </c>
      <c r="D1512" s="75" t="s">
        <v>132</v>
      </c>
      <c r="E1512" s="75" t="s">
        <v>143</v>
      </c>
      <c r="F1512" s="75"/>
      <c r="G1512" s="75"/>
      <c r="H1512" s="75"/>
      <c r="I1512" s="75" t="s">
        <v>171</v>
      </c>
      <c r="J1512" s="76">
        <v>18</v>
      </c>
      <c r="K1512" s="519" t="s">
        <v>387</v>
      </c>
      <c r="L1512" s="520">
        <v>10.47</v>
      </c>
      <c r="M1512" s="520">
        <v>11.13</v>
      </c>
      <c r="N1512" s="507">
        <v>0.10299999999999999</v>
      </c>
      <c r="O1512" s="507">
        <v>0.1</v>
      </c>
      <c r="P1512" s="507">
        <v>0.112</v>
      </c>
      <c r="Q1512" s="78">
        <v>0.44</v>
      </c>
      <c r="R1512" s="78">
        <v>0.31740000000000002</v>
      </c>
      <c r="S1512" s="69">
        <v>0</v>
      </c>
      <c r="T1512" s="69">
        <v>0</v>
      </c>
      <c r="U1512" s="507">
        <v>0.85</v>
      </c>
      <c r="V1512" s="76">
        <v>0</v>
      </c>
      <c r="W1512" s="76">
        <v>0</v>
      </c>
      <c r="X1512" s="76" t="s">
        <v>147</v>
      </c>
      <c r="Y1512" s="519" t="s">
        <v>469</v>
      </c>
    </row>
    <row r="1513" spans="1:25" x14ac:dyDescent="0.25">
      <c r="A1513" s="75" t="str">
        <f t="shared" si="53"/>
        <v>Pago_de_Hipoteca PF Premier Pago_Fijo_Puntual 18</v>
      </c>
      <c r="B1513" s="75" t="str">
        <f t="shared" si="52"/>
        <v>Pago_de_Hipoteca PF Premier Pago_Fijo_Puntual 18 0.106</v>
      </c>
      <c r="C1513" s="75" t="s">
        <v>173</v>
      </c>
      <c r="D1513" s="75" t="s">
        <v>132</v>
      </c>
      <c r="E1513" s="75" t="s">
        <v>143</v>
      </c>
      <c r="F1513" s="75"/>
      <c r="G1513" s="75"/>
      <c r="H1513" s="75"/>
      <c r="I1513" s="75" t="s">
        <v>171</v>
      </c>
      <c r="J1513" s="76">
        <v>18</v>
      </c>
      <c r="K1513" s="519">
        <v>3</v>
      </c>
      <c r="L1513" s="520">
        <v>10.71</v>
      </c>
      <c r="M1513" s="520">
        <v>11.37</v>
      </c>
      <c r="N1513" s="507">
        <v>0.106</v>
      </c>
      <c r="O1513" s="507">
        <v>0.10299999999999999</v>
      </c>
      <c r="P1513" s="507">
        <v>0.11799999999999999</v>
      </c>
      <c r="Q1513" s="78">
        <v>0.44</v>
      </c>
      <c r="R1513" s="78">
        <v>0.31740000000000002</v>
      </c>
      <c r="S1513" s="69">
        <v>0</v>
      </c>
      <c r="T1513" s="69">
        <v>0</v>
      </c>
      <c r="U1513" s="507">
        <v>0.85</v>
      </c>
      <c r="V1513" s="76">
        <v>0</v>
      </c>
      <c r="W1513" s="76">
        <v>0</v>
      </c>
      <c r="X1513" s="76"/>
      <c r="Y1513" s="519" t="s">
        <v>469</v>
      </c>
    </row>
    <row r="1514" spans="1:25" x14ac:dyDescent="0.25">
      <c r="A1514" s="75" t="str">
        <f t="shared" si="53"/>
        <v>Pago_de_Hipoteca PF Premier Pago_Fijo_Puntual Si 17</v>
      </c>
      <c r="B1514" s="75" t="str">
        <f t="shared" si="52"/>
        <v>Pago_de_Hipoteca PF Premier Pago_Fijo_Puntual Si 17 0.103</v>
      </c>
      <c r="C1514" s="75" t="s">
        <v>173</v>
      </c>
      <c r="D1514" s="75" t="s">
        <v>132</v>
      </c>
      <c r="E1514" s="75" t="s">
        <v>143</v>
      </c>
      <c r="F1514" s="75"/>
      <c r="G1514" s="75"/>
      <c r="H1514" s="75"/>
      <c r="I1514" s="75" t="s">
        <v>171</v>
      </c>
      <c r="J1514" s="76">
        <v>17</v>
      </c>
      <c r="K1514" s="519" t="s">
        <v>387</v>
      </c>
      <c r="L1514" s="520">
        <v>10.67</v>
      </c>
      <c r="M1514" s="520">
        <v>11.33</v>
      </c>
      <c r="N1514" s="507">
        <v>0.10299999999999999</v>
      </c>
      <c r="O1514" s="507">
        <v>0.1</v>
      </c>
      <c r="P1514" s="507">
        <v>0.112</v>
      </c>
      <c r="Q1514" s="78">
        <v>0.44</v>
      </c>
      <c r="R1514" s="78">
        <v>0.31740000000000002</v>
      </c>
      <c r="S1514" s="69">
        <v>0</v>
      </c>
      <c r="T1514" s="69">
        <v>0</v>
      </c>
      <c r="U1514" s="507">
        <v>0.85</v>
      </c>
      <c r="V1514" s="76">
        <v>0</v>
      </c>
      <c r="W1514" s="76">
        <v>0</v>
      </c>
      <c r="X1514" s="76" t="s">
        <v>147</v>
      </c>
      <c r="Y1514" s="519" t="s">
        <v>469</v>
      </c>
    </row>
    <row r="1515" spans="1:25" x14ac:dyDescent="0.25">
      <c r="A1515" s="75" t="str">
        <f t="shared" si="53"/>
        <v>Pago_de_Hipoteca PF Premier Pago_Fijo_Puntual 17</v>
      </c>
      <c r="B1515" s="75" t="str">
        <f t="shared" si="52"/>
        <v>Pago_de_Hipoteca PF Premier Pago_Fijo_Puntual 17 0.106</v>
      </c>
      <c r="C1515" s="75" t="s">
        <v>173</v>
      </c>
      <c r="D1515" s="75" t="s">
        <v>132</v>
      </c>
      <c r="E1515" s="75" t="s">
        <v>143</v>
      </c>
      <c r="F1515" s="75"/>
      <c r="G1515" s="75"/>
      <c r="H1515" s="75"/>
      <c r="I1515" s="75" t="s">
        <v>171</v>
      </c>
      <c r="J1515" s="76">
        <v>17</v>
      </c>
      <c r="K1515" s="519">
        <v>3</v>
      </c>
      <c r="L1515" s="520">
        <v>10.9</v>
      </c>
      <c r="M1515" s="520">
        <v>11.56</v>
      </c>
      <c r="N1515" s="507">
        <v>0.106</v>
      </c>
      <c r="O1515" s="507">
        <v>0.10299999999999999</v>
      </c>
      <c r="P1515" s="507">
        <v>0.11799999999999999</v>
      </c>
      <c r="Q1515" s="78">
        <v>0.44</v>
      </c>
      <c r="R1515" s="78">
        <v>0.31740000000000002</v>
      </c>
      <c r="S1515" s="69">
        <v>0</v>
      </c>
      <c r="T1515" s="69">
        <v>0</v>
      </c>
      <c r="U1515" s="507">
        <v>0.85</v>
      </c>
      <c r="V1515" s="76">
        <v>0</v>
      </c>
      <c r="W1515" s="76">
        <v>0</v>
      </c>
      <c r="X1515" s="76"/>
      <c r="Y1515" s="519" t="s">
        <v>469</v>
      </c>
    </row>
    <row r="1516" spans="1:25" x14ac:dyDescent="0.25">
      <c r="A1516" s="75" t="str">
        <f t="shared" si="53"/>
        <v>Pago_de_Hipoteca PF Premier Pago_Fijo_Puntual Si 16</v>
      </c>
      <c r="B1516" s="75" t="str">
        <f t="shared" si="52"/>
        <v>Pago_de_Hipoteca PF Premier Pago_Fijo_Puntual Si 16 0.103</v>
      </c>
      <c r="C1516" s="75" t="s">
        <v>173</v>
      </c>
      <c r="D1516" s="75" t="s">
        <v>132</v>
      </c>
      <c r="E1516" s="75" t="s">
        <v>143</v>
      </c>
      <c r="F1516" s="75"/>
      <c r="G1516" s="75"/>
      <c r="H1516" s="75"/>
      <c r="I1516" s="75" t="s">
        <v>171</v>
      </c>
      <c r="J1516" s="76">
        <v>16</v>
      </c>
      <c r="K1516" s="519" t="s">
        <v>387</v>
      </c>
      <c r="L1516" s="520">
        <v>10.9</v>
      </c>
      <c r="M1516" s="520">
        <v>11.56</v>
      </c>
      <c r="N1516" s="507">
        <v>0.10299999999999999</v>
      </c>
      <c r="O1516" s="507">
        <v>0.1</v>
      </c>
      <c r="P1516" s="507">
        <v>0.112</v>
      </c>
      <c r="Q1516" s="78">
        <v>0.44</v>
      </c>
      <c r="R1516" s="78">
        <v>0.31740000000000002</v>
      </c>
      <c r="S1516" s="69">
        <v>0</v>
      </c>
      <c r="T1516" s="69">
        <v>0</v>
      </c>
      <c r="U1516" s="507">
        <v>0.85</v>
      </c>
      <c r="V1516" s="76">
        <v>0</v>
      </c>
      <c r="W1516" s="76">
        <v>0</v>
      </c>
      <c r="X1516" s="76" t="s">
        <v>147</v>
      </c>
      <c r="Y1516" s="519" t="s">
        <v>469</v>
      </c>
    </row>
    <row r="1517" spans="1:25" x14ac:dyDescent="0.25">
      <c r="A1517" s="75" t="str">
        <f t="shared" si="53"/>
        <v>Pago_de_Hipoteca PF Premier Pago_Fijo_Puntual 16</v>
      </c>
      <c r="B1517" s="75" t="str">
        <f t="shared" si="52"/>
        <v>Pago_de_Hipoteca PF Premier Pago_Fijo_Puntual 16 0.106</v>
      </c>
      <c r="C1517" s="75" t="s">
        <v>173</v>
      </c>
      <c r="D1517" s="75" t="s">
        <v>132</v>
      </c>
      <c r="E1517" s="75" t="s">
        <v>143</v>
      </c>
      <c r="F1517" s="75"/>
      <c r="G1517" s="75"/>
      <c r="H1517" s="75"/>
      <c r="I1517" s="75" t="s">
        <v>171</v>
      </c>
      <c r="J1517" s="76">
        <v>16</v>
      </c>
      <c r="K1517" s="519">
        <v>3</v>
      </c>
      <c r="L1517" s="520">
        <v>11.12</v>
      </c>
      <c r="M1517" s="520">
        <v>11.78</v>
      </c>
      <c r="N1517" s="507">
        <v>0.106</v>
      </c>
      <c r="O1517" s="507">
        <v>0.10299999999999999</v>
      </c>
      <c r="P1517" s="507">
        <v>0.11799999999999999</v>
      </c>
      <c r="Q1517" s="78">
        <v>0.44</v>
      </c>
      <c r="R1517" s="78">
        <v>0.31740000000000002</v>
      </c>
      <c r="S1517" s="69">
        <v>0</v>
      </c>
      <c r="T1517" s="69">
        <v>0</v>
      </c>
      <c r="U1517" s="507">
        <v>0.85</v>
      </c>
      <c r="V1517" s="76">
        <v>0</v>
      </c>
      <c r="W1517" s="76">
        <v>0</v>
      </c>
      <c r="X1517" s="76"/>
      <c r="Y1517" s="519" t="s">
        <v>469</v>
      </c>
    </row>
    <row r="1518" spans="1:25" x14ac:dyDescent="0.25">
      <c r="A1518" s="75" t="str">
        <f t="shared" si="53"/>
        <v>Pago_de_Hipoteca PF Premier Pago_Fijo_Puntual Si 15</v>
      </c>
      <c r="B1518" s="75" t="str">
        <f t="shared" si="52"/>
        <v>Pago_de_Hipoteca PF Premier Pago_Fijo_Puntual Si 15 0.103</v>
      </c>
      <c r="C1518" s="75" t="s">
        <v>173</v>
      </c>
      <c r="D1518" s="75" t="s">
        <v>132</v>
      </c>
      <c r="E1518" s="75" t="s">
        <v>143</v>
      </c>
      <c r="F1518" s="75"/>
      <c r="G1518" s="75"/>
      <c r="H1518" s="75"/>
      <c r="I1518" s="75" t="s">
        <v>171</v>
      </c>
      <c r="J1518" s="76">
        <v>15</v>
      </c>
      <c r="K1518" s="519" t="s">
        <v>387</v>
      </c>
      <c r="L1518" s="520">
        <v>11.18</v>
      </c>
      <c r="M1518" s="520">
        <v>11.84</v>
      </c>
      <c r="N1518" s="507">
        <v>0.10299999999999999</v>
      </c>
      <c r="O1518" s="507">
        <v>0.1</v>
      </c>
      <c r="P1518" s="507">
        <v>0.112</v>
      </c>
      <c r="Q1518" s="78">
        <v>0.44</v>
      </c>
      <c r="R1518" s="78">
        <v>0.31740000000000002</v>
      </c>
      <c r="S1518" s="69">
        <v>0</v>
      </c>
      <c r="T1518" s="69">
        <v>0</v>
      </c>
      <c r="U1518" s="507">
        <v>0.85</v>
      </c>
      <c r="V1518" s="76">
        <v>0</v>
      </c>
      <c r="W1518" s="76">
        <v>0</v>
      </c>
      <c r="X1518" s="76" t="s">
        <v>147</v>
      </c>
      <c r="Y1518" s="519" t="s">
        <v>469</v>
      </c>
    </row>
    <row r="1519" spans="1:25" x14ac:dyDescent="0.25">
      <c r="A1519" s="75" t="str">
        <f t="shared" si="53"/>
        <v>Pago_de_Hipoteca PF Premier Pago_Fijo_Puntual 15</v>
      </c>
      <c r="B1519" s="75" t="str">
        <f t="shared" si="52"/>
        <v>Pago_de_Hipoteca PF Premier Pago_Fijo_Puntual 15 0.106</v>
      </c>
      <c r="C1519" s="75" t="s">
        <v>173</v>
      </c>
      <c r="D1519" s="75" t="s">
        <v>132</v>
      </c>
      <c r="E1519" s="75" t="s">
        <v>143</v>
      </c>
      <c r="F1519" s="75"/>
      <c r="G1519" s="75"/>
      <c r="H1519" s="75"/>
      <c r="I1519" s="75" t="s">
        <v>171</v>
      </c>
      <c r="J1519" s="76">
        <v>15</v>
      </c>
      <c r="K1519" s="519">
        <v>3</v>
      </c>
      <c r="L1519" s="520">
        <v>11.38</v>
      </c>
      <c r="M1519" s="520">
        <v>12.04</v>
      </c>
      <c r="N1519" s="507">
        <v>0.106</v>
      </c>
      <c r="O1519" s="507">
        <v>0.10299999999999999</v>
      </c>
      <c r="P1519" s="507">
        <v>0.11799999999999999</v>
      </c>
      <c r="Q1519" s="78">
        <v>0.44</v>
      </c>
      <c r="R1519" s="78">
        <v>0.31740000000000002</v>
      </c>
      <c r="S1519" s="69">
        <v>0</v>
      </c>
      <c r="T1519" s="69">
        <v>0</v>
      </c>
      <c r="U1519" s="507">
        <v>0.85</v>
      </c>
      <c r="V1519" s="76">
        <v>0</v>
      </c>
      <c r="W1519" s="76">
        <v>0</v>
      </c>
      <c r="X1519" s="76"/>
      <c r="Y1519" s="519" t="s">
        <v>469</v>
      </c>
    </row>
    <row r="1520" spans="1:25" x14ac:dyDescent="0.25">
      <c r="A1520" s="75" t="str">
        <f t="shared" si="53"/>
        <v>Pago_de_Hipoteca PF Premier Pago_Fijo_Puntual Si 14</v>
      </c>
      <c r="B1520" s="75" t="str">
        <f t="shared" si="52"/>
        <v>Pago_de_Hipoteca PF Premier Pago_Fijo_Puntual Si 14 0.103</v>
      </c>
      <c r="C1520" s="75" t="s">
        <v>173</v>
      </c>
      <c r="D1520" s="75" t="s">
        <v>132</v>
      </c>
      <c r="E1520" s="75" t="s">
        <v>143</v>
      </c>
      <c r="F1520" s="75"/>
      <c r="G1520" s="75"/>
      <c r="H1520" s="75"/>
      <c r="I1520" s="75" t="s">
        <v>171</v>
      </c>
      <c r="J1520" s="76">
        <v>14</v>
      </c>
      <c r="K1520" s="519" t="s">
        <v>387</v>
      </c>
      <c r="L1520" s="520">
        <v>11.49</v>
      </c>
      <c r="M1520" s="520">
        <v>12.15</v>
      </c>
      <c r="N1520" s="507">
        <v>0.10299999999999999</v>
      </c>
      <c r="O1520" s="507">
        <v>0.1</v>
      </c>
      <c r="P1520" s="507">
        <v>0.112</v>
      </c>
      <c r="Q1520" s="78">
        <v>0.44</v>
      </c>
      <c r="R1520" s="78">
        <v>0.31740000000000002</v>
      </c>
      <c r="S1520" s="69">
        <v>0</v>
      </c>
      <c r="T1520" s="69">
        <v>0</v>
      </c>
      <c r="U1520" s="507">
        <v>0.85</v>
      </c>
      <c r="V1520" s="76">
        <v>0</v>
      </c>
      <c r="W1520" s="76">
        <v>0</v>
      </c>
      <c r="X1520" s="76" t="s">
        <v>147</v>
      </c>
      <c r="Y1520" s="519" t="s">
        <v>469</v>
      </c>
    </row>
    <row r="1521" spans="1:25" x14ac:dyDescent="0.25">
      <c r="A1521" s="75" t="str">
        <f t="shared" si="53"/>
        <v>Pago_de_Hipoteca PF Premier Pago_Fijo_Puntual 14</v>
      </c>
      <c r="B1521" s="75" t="str">
        <f t="shared" si="52"/>
        <v>Pago_de_Hipoteca PF Premier Pago_Fijo_Puntual 14 0.106</v>
      </c>
      <c r="C1521" s="75" t="s">
        <v>173</v>
      </c>
      <c r="D1521" s="75" t="s">
        <v>132</v>
      </c>
      <c r="E1521" s="75" t="s">
        <v>143</v>
      </c>
      <c r="F1521" s="75"/>
      <c r="G1521" s="75"/>
      <c r="H1521" s="75"/>
      <c r="I1521" s="75" t="s">
        <v>171</v>
      </c>
      <c r="J1521" s="76">
        <v>14</v>
      </c>
      <c r="K1521" s="519">
        <v>3</v>
      </c>
      <c r="L1521" s="520">
        <v>11.69</v>
      </c>
      <c r="M1521" s="520">
        <v>12.35</v>
      </c>
      <c r="N1521" s="507">
        <v>0.106</v>
      </c>
      <c r="O1521" s="507">
        <v>0.10299999999999999</v>
      </c>
      <c r="P1521" s="507">
        <v>0.11799999999999999</v>
      </c>
      <c r="Q1521" s="78">
        <v>0.44</v>
      </c>
      <c r="R1521" s="78">
        <v>0.31740000000000002</v>
      </c>
      <c r="S1521" s="69">
        <v>0</v>
      </c>
      <c r="T1521" s="69">
        <v>0</v>
      </c>
      <c r="U1521" s="507">
        <v>0.85</v>
      </c>
      <c r="V1521" s="76">
        <v>0</v>
      </c>
      <c r="W1521" s="76">
        <v>0</v>
      </c>
      <c r="X1521" s="76"/>
      <c r="Y1521" s="519" t="s">
        <v>469</v>
      </c>
    </row>
    <row r="1522" spans="1:25" x14ac:dyDescent="0.25">
      <c r="A1522" s="75" t="str">
        <f t="shared" si="53"/>
        <v>Pago_de_Hipoteca PF Premier Pago_Fijo_Puntual Si 13</v>
      </c>
      <c r="B1522" s="75" t="str">
        <f t="shared" si="52"/>
        <v>Pago_de_Hipoteca PF Premier Pago_Fijo_Puntual Si 13 0.103</v>
      </c>
      <c r="C1522" s="75" t="s">
        <v>173</v>
      </c>
      <c r="D1522" s="75" t="s">
        <v>132</v>
      </c>
      <c r="E1522" s="75" t="s">
        <v>143</v>
      </c>
      <c r="F1522" s="75"/>
      <c r="G1522" s="75"/>
      <c r="H1522" s="75"/>
      <c r="I1522" s="75" t="s">
        <v>171</v>
      </c>
      <c r="J1522" s="76">
        <v>13</v>
      </c>
      <c r="K1522" s="519" t="s">
        <v>387</v>
      </c>
      <c r="L1522" s="520">
        <v>11.86</v>
      </c>
      <c r="M1522" s="520">
        <v>12.52</v>
      </c>
      <c r="N1522" s="507">
        <v>0.10299999999999999</v>
      </c>
      <c r="O1522" s="507">
        <v>0.1</v>
      </c>
      <c r="P1522" s="507">
        <v>0.112</v>
      </c>
      <c r="Q1522" s="78">
        <v>0.44</v>
      </c>
      <c r="R1522" s="78">
        <v>0.31740000000000002</v>
      </c>
      <c r="S1522" s="69">
        <v>0</v>
      </c>
      <c r="T1522" s="69">
        <v>0</v>
      </c>
      <c r="U1522" s="507">
        <v>0.85</v>
      </c>
      <c r="V1522" s="76">
        <v>0</v>
      </c>
      <c r="W1522" s="76">
        <v>0</v>
      </c>
      <c r="X1522" s="76" t="s">
        <v>147</v>
      </c>
      <c r="Y1522" s="519" t="s">
        <v>469</v>
      </c>
    </row>
    <row r="1523" spans="1:25" x14ac:dyDescent="0.25">
      <c r="A1523" s="75" t="str">
        <f t="shared" si="53"/>
        <v>Pago_de_Hipoteca PF Premier Pago_Fijo_Puntual 13</v>
      </c>
      <c r="B1523" s="75" t="str">
        <f t="shared" si="52"/>
        <v>Pago_de_Hipoteca PF Premier Pago_Fijo_Puntual 13 0.106</v>
      </c>
      <c r="C1523" s="75" t="s">
        <v>173</v>
      </c>
      <c r="D1523" s="75" t="s">
        <v>132</v>
      </c>
      <c r="E1523" s="75" t="s">
        <v>143</v>
      </c>
      <c r="F1523" s="75"/>
      <c r="G1523" s="75"/>
      <c r="H1523" s="75"/>
      <c r="I1523" s="75" t="s">
        <v>171</v>
      </c>
      <c r="J1523" s="76">
        <v>13</v>
      </c>
      <c r="K1523" s="519">
        <v>3</v>
      </c>
      <c r="L1523" s="520">
        <v>12.06</v>
      </c>
      <c r="M1523" s="520">
        <v>12.72</v>
      </c>
      <c r="N1523" s="507">
        <v>0.106</v>
      </c>
      <c r="O1523" s="507">
        <v>0.10299999999999999</v>
      </c>
      <c r="P1523" s="507">
        <v>0.11799999999999999</v>
      </c>
      <c r="Q1523" s="78">
        <v>0.44</v>
      </c>
      <c r="R1523" s="78">
        <v>0.31740000000000002</v>
      </c>
      <c r="S1523" s="69">
        <v>0</v>
      </c>
      <c r="T1523" s="69">
        <v>0</v>
      </c>
      <c r="U1523" s="507">
        <v>0.85</v>
      </c>
      <c r="V1523" s="76">
        <v>0</v>
      </c>
      <c r="W1523" s="76">
        <v>0</v>
      </c>
      <c r="X1523" s="76"/>
      <c r="Y1523" s="519" t="s">
        <v>469</v>
      </c>
    </row>
    <row r="1524" spans="1:25" x14ac:dyDescent="0.25">
      <c r="A1524" s="75" t="str">
        <f t="shared" si="53"/>
        <v>Pago_de_Hipoteca PF Premier Pago_Fijo_Puntual Si 12</v>
      </c>
      <c r="B1524" s="75" t="str">
        <f t="shared" si="52"/>
        <v>Pago_de_Hipoteca PF Premier Pago_Fijo_Puntual Si 12 0.103</v>
      </c>
      <c r="C1524" s="75" t="s">
        <v>173</v>
      </c>
      <c r="D1524" s="75" t="s">
        <v>132</v>
      </c>
      <c r="E1524" s="75" t="s">
        <v>143</v>
      </c>
      <c r="F1524" s="75"/>
      <c r="G1524" s="75"/>
      <c r="H1524" s="75"/>
      <c r="I1524" s="75" t="s">
        <v>171</v>
      </c>
      <c r="J1524" s="76">
        <v>12</v>
      </c>
      <c r="K1524" s="519" t="s">
        <v>387</v>
      </c>
      <c r="L1524" s="520">
        <v>12.31</v>
      </c>
      <c r="M1524" s="520">
        <v>12.97</v>
      </c>
      <c r="N1524" s="507">
        <v>0.10299999999999999</v>
      </c>
      <c r="O1524" s="507">
        <v>0.1</v>
      </c>
      <c r="P1524" s="507">
        <v>0.112</v>
      </c>
      <c r="Q1524" s="78">
        <v>0.44</v>
      </c>
      <c r="R1524" s="78">
        <v>0.31740000000000002</v>
      </c>
      <c r="S1524" s="69">
        <v>0</v>
      </c>
      <c r="T1524" s="69">
        <v>0</v>
      </c>
      <c r="U1524" s="507">
        <v>0.85</v>
      </c>
      <c r="V1524" s="76">
        <v>0</v>
      </c>
      <c r="W1524" s="76">
        <v>0</v>
      </c>
      <c r="X1524" s="76" t="s">
        <v>147</v>
      </c>
      <c r="Y1524" s="519" t="s">
        <v>469</v>
      </c>
    </row>
    <row r="1525" spans="1:25" x14ac:dyDescent="0.25">
      <c r="A1525" s="75" t="str">
        <f t="shared" si="53"/>
        <v>Pago_de_Hipoteca PF Premier Pago_Fijo_Puntual 12</v>
      </c>
      <c r="B1525" s="75" t="str">
        <f t="shared" si="52"/>
        <v>Pago_de_Hipoteca PF Premier Pago_Fijo_Puntual 12 0.106</v>
      </c>
      <c r="C1525" s="75" t="s">
        <v>173</v>
      </c>
      <c r="D1525" s="75" t="s">
        <v>132</v>
      </c>
      <c r="E1525" s="75" t="s">
        <v>143</v>
      </c>
      <c r="F1525" s="75"/>
      <c r="G1525" s="75"/>
      <c r="H1525" s="75"/>
      <c r="I1525" s="75" t="s">
        <v>171</v>
      </c>
      <c r="J1525" s="76">
        <v>12</v>
      </c>
      <c r="K1525" s="519">
        <v>3</v>
      </c>
      <c r="L1525" s="520">
        <v>12.5</v>
      </c>
      <c r="M1525" s="520">
        <v>13.16</v>
      </c>
      <c r="N1525" s="507">
        <v>0.106</v>
      </c>
      <c r="O1525" s="507">
        <v>0.10299999999999999</v>
      </c>
      <c r="P1525" s="507">
        <v>0.11799999999999999</v>
      </c>
      <c r="Q1525" s="78">
        <v>0.44</v>
      </c>
      <c r="R1525" s="78">
        <v>0.31740000000000002</v>
      </c>
      <c r="S1525" s="69">
        <v>0</v>
      </c>
      <c r="T1525" s="69">
        <v>0</v>
      </c>
      <c r="U1525" s="507">
        <v>0.85</v>
      </c>
      <c r="V1525" s="76">
        <v>0</v>
      </c>
      <c r="W1525" s="76">
        <v>0</v>
      </c>
      <c r="X1525" s="76"/>
      <c r="Y1525" s="519" t="s">
        <v>469</v>
      </c>
    </row>
    <row r="1526" spans="1:25" x14ac:dyDescent="0.25">
      <c r="A1526" s="75" t="str">
        <f t="shared" si="53"/>
        <v>Pago_de_Hipoteca PF Premier Pago_Fijo_Puntual Si 11</v>
      </c>
      <c r="B1526" s="75" t="str">
        <f t="shared" si="52"/>
        <v>Pago_de_Hipoteca PF Premier Pago_Fijo_Puntual Si 11 0.103</v>
      </c>
      <c r="C1526" s="75" t="s">
        <v>173</v>
      </c>
      <c r="D1526" s="75" t="s">
        <v>132</v>
      </c>
      <c r="E1526" s="75" t="s">
        <v>143</v>
      </c>
      <c r="F1526" s="75"/>
      <c r="G1526" s="75"/>
      <c r="H1526" s="75"/>
      <c r="I1526" s="75" t="s">
        <v>171</v>
      </c>
      <c r="J1526" s="76">
        <v>11</v>
      </c>
      <c r="K1526" s="519" t="s">
        <v>387</v>
      </c>
      <c r="L1526" s="520">
        <v>12.86</v>
      </c>
      <c r="M1526" s="520">
        <v>13.52</v>
      </c>
      <c r="N1526" s="507">
        <v>0.10299999999999999</v>
      </c>
      <c r="O1526" s="507">
        <v>0.1</v>
      </c>
      <c r="P1526" s="507">
        <v>0.112</v>
      </c>
      <c r="Q1526" s="78">
        <v>0.44</v>
      </c>
      <c r="R1526" s="78">
        <v>0.31740000000000002</v>
      </c>
      <c r="S1526" s="69">
        <v>0</v>
      </c>
      <c r="T1526" s="69">
        <v>0</v>
      </c>
      <c r="U1526" s="507">
        <v>0.85</v>
      </c>
      <c r="V1526" s="76">
        <v>0</v>
      </c>
      <c r="W1526" s="76">
        <v>0</v>
      </c>
      <c r="X1526" s="76" t="s">
        <v>147</v>
      </c>
      <c r="Y1526" s="519" t="s">
        <v>469</v>
      </c>
    </row>
    <row r="1527" spans="1:25" x14ac:dyDescent="0.25">
      <c r="A1527" s="75" t="str">
        <f t="shared" si="53"/>
        <v>Pago_de_Hipoteca PF Premier Pago_Fijo_Puntual 11</v>
      </c>
      <c r="B1527" s="75" t="str">
        <f t="shared" si="52"/>
        <v>Pago_de_Hipoteca PF Premier Pago_Fijo_Puntual 11 0.106</v>
      </c>
      <c r="C1527" s="75" t="s">
        <v>173</v>
      </c>
      <c r="D1527" s="75" t="s">
        <v>132</v>
      </c>
      <c r="E1527" s="75" t="s">
        <v>143</v>
      </c>
      <c r="F1527" s="75"/>
      <c r="G1527" s="75"/>
      <c r="H1527" s="75"/>
      <c r="I1527" s="75" t="s">
        <v>171</v>
      </c>
      <c r="J1527" s="76">
        <v>11</v>
      </c>
      <c r="K1527" s="519">
        <v>3</v>
      </c>
      <c r="L1527" s="520">
        <v>13.04</v>
      </c>
      <c r="M1527" s="520">
        <v>13.7</v>
      </c>
      <c r="N1527" s="507">
        <v>0.106</v>
      </c>
      <c r="O1527" s="507">
        <v>0.10299999999999999</v>
      </c>
      <c r="P1527" s="507">
        <v>0.11799999999999999</v>
      </c>
      <c r="Q1527" s="78">
        <v>0.44</v>
      </c>
      <c r="R1527" s="78">
        <v>0.31740000000000002</v>
      </c>
      <c r="S1527" s="69">
        <v>0</v>
      </c>
      <c r="T1527" s="69">
        <v>0</v>
      </c>
      <c r="U1527" s="507">
        <v>0.85</v>
      </c>
      <c r="V1527" s="76">
        <v>0</v>
      </c>
      <c r="W1527" s="76">
        <v>0</v>
      </c>
      <c r="X1527" s="76"/>
      <c r="Y1527" s="519" t="s">
        <v>469</v>
      </c>
    </row>
    <row r="1528" spans="1:25" x14ac:dyDescent="0.25">
      <c r="A1528" s="75" t="str">
        <f t="shared" si="53"/>
        <v>Pago_de_Hipoteca PF Premier Pago_Fijo_Puntual Si 10</v>
      </c>
      <c r="B1528" s="75" t="str">
        <f t="shared" si="52"/>
        <v>Pago_de_Hipoteca PF Premier Pago_Fijo_Puntual Si 10 0.103</v>
      </c>
      <c r="C1528" s="75" t="s">
        <v>173</v>
      </c>
      <c r="D1528" s="75" t="s">
        <v>132</v>
      </c>
      <c r="E1528" s="75" t="s">
        <v>143</v>
      </c>
      <c r="F1528" s="75"/>
      <c r="G1528" s="75"/>
      <c r="H1528" s="75"/>
      <c r="I1528" s="75" t="s">
        <v>171</v>
      </c>
      <c r="J1528" s="76">
        <v>10</v>
      </c>
      <c r="K1528" s="519" t="s">
        <v>387</v>
      </c>
      <c r="L1528" s="520">
        <v>13.54</v>
      </c>
      <c r="M1528" s="520">
        <v>14.2</v>
      </c>
      <c r="N1528" s="507">
        <v>0.10299999999999999</v>
      </c>
      <c r="O1528" s="507">
        <v>0.1</v>
      </c>
      <c r="P1528" s="507">
        <v>0.112</v>
      </c>
      <c r="Q1528" s="78">
        <v>0.44</v>
      </c>
      <c r="R1528" s="78">
        <v>0.31740000000000002</v>
      </c>
      <c r="S1528" s="69">
        <v>0</v>
      </c>
      <c r="T1528" s="69">
        <v>0</v>
      </c>
      <c r="U1528" s="507">
        <v>0.85</v>
      </c>
      <c r="V1528" s="76">
        <v>0</v>
      </c>
      <c r="W1528" s="76">
        <v>0</v>
      </c>
      <c r="X1528" s="76" t="s">
        <v>147</v>
      </c>
      <c r="Y1528" s="519" t="s">
        <v>469</v>
      </c>
    </row>
    <row r="1529" spans="1:25" x14ac:dyDescent="0.25">
      <c r="A1529" s="75" t="str">
        <f t="shared" si="53"/>
        <v>Pago_de_Hipoteca PF Premier Pago_Fijo_Puntual 10</v>
      </c>
      <c r="B1529" s="75" t="str">
        <f t="shared" si="52"/>
        <v>Pago_de_Hipoteca PF Premier Pago_Fijo_Puntual 10 0.106</v>
      </c>
      <c r="C1529" s="75" t="s">
        <v>173</v>
      </c>
      <c r="D1529" s="75" t="s">
        <v>132</v>
      </c>
      <c r="E1529" s="75" t="s">
        <v>143</v>
      </c>
      <c r="F1529" s="75"/>
      <c r="G1529" s="75"/>
      <c r="H1529" s="75"/>
      <c r="I1529" s="75" t="s">
        <v>171</v>
      </c>
      <c r="J1529" s="76">
        <v>10</v>
      </c>
      <c r="K1529" s="519">
        <v>3</v>
      </c>
      <c r="L1529" s="520">
        <v>13.7</v>
      </c>
      <c r="M1529" s="520">
        <v>14.36</v>
      </c>
      <c r="N1529" s="507">
        <v>0.106</v>
      </c>
      <c r="O1529" s="507">
        <v>0.10299999999999999</v>
      </c>
      <c r="P1529" s="507">
        <v>0.11799999999999999</v>
      </c>
      <c r="Q1529" s="78">
        <v>0.44</v>
      </c>
      <c r="R1529" s="78">
        <v>0.31740000000000002</v>
      </c>
      <c r="S1529" s="69">
        <v>0</v>
      </c>
      <c r="T1529" s="69">
        <v>0</v>
      </c>
      <c r="U1529" s="507">
        <v>0.85</v>
      </c>
      <c r="V1529" s="76">
        <v>0</v>
      </c>
      <c r="W1529" s="76">
        <v>0</v>
      </c>
      <c r="X1529" s="76"/>
      <c r="Y1529" s="519" t="s">
        <v>469</v>
      </c>
    </row>
    <row r="1530" spans="1:25" x14ac:dyDescent="0.25">
      <c r="A1530" s="75" t="str">
        <f t="shared" si="53"/>
        <v>Pago_de_Hipoteca PF Premier Pago_Fijo_Puntual Si 9</v>
      </c>
      <c r="B1530" s="75" t="str">
        <f t="shared" si="52"/>
        <v>Pago_de_Hipoteca PF Premier Pago_Fijo_Puntual Si 9 0.103</v>
      </c>
      <c r="C1530" s="75" t="s">
        <v>173</v>
      </c>
      <c r="D1530" s="75" t="s">
        <v>132</v>
      </c>
      <c r="E1530" s="75" t="s">
        <v>143</v>
      </c>
      <c r="F1530" s="75"/>
      <c r="G1530" s="75"/>
      <c r="H1530" s="75"/>
      <c r="I1530" s="75" t="s">
        <v>171</v>
      </c>
      <c r="J1530" s="76">
        <v>9</v>
      </c>
      <c r="K1530" s="519" t="s">
        <v>387</v>
      </c>
      <c r="L1530" s="521">
        <v>14.37</v>
      </c>
      <c r="M1530" s="521">
        <v>15.03</v>
      </c>
      <c r="N1530" s="507">
        <v>0.10299999999999999</v>
      </c>
      <c r="O1530" s="507">
        <v>0.1</v>
      </c>
      <c r="P1530" s="507">
        <v>0.112</v>
      </c>
      <c r="Q1530" s="78">
        <v>0.44</v>
      </c>
      <c r="R1530" s="78">
        <v>0.31740000000000002</v>
      </c>
      <c r="S1530" s="69">
        <v>0</v>
      </c>
      <c r="T1530" s="69">
        <v>0</v>
      </c>
      <c r="U1530" s="507">
        <v>0.85</v>
      </c>
      <c r="V1530" s="76">
        <v>0</v>
      </c>
      <c r="W1530" s="76">
        <v>0</v>
      </c>
      <c r="X1530" s="76" t="s">
        <v>147</v>
      </c>
      <c r="Y1530" s="519" t="s">
        <v>469</v>
      </c>
    </row>
    <row r="1531" spans="1:25" x14ac:dyDescent="0.25">
      <c r="A1531" s="75" t="str">
        <f t="shared" si="53"/>
        <v>Pago_de_Hipoteca PF Premier Pago_Fijo_Puntual 9</v>
      </c>
      <c r="B1531" s="75" t="str">
        <f t="shared" si="52"/>
        <v>Pago_de_Hipoteca PF Premier Pago_Fijo_Puntual 9 0.106</v>
      </c>
      <c r="C1531" s="75" t="s">
        <v>173</v>
      </c>
      <c r="D1531" s="75" t="s">
        <v>132</v>
      </c>
      <c r="E1531" s="75" t="s">
        <v>143</v>
      </c>
      <c r="F1531" s="75"/>
      <c r="G1531" s="75"/>
      <c r="H1531" s="75"/>
      <c r="I1531" s="75" t="s">
        <v>171</v>
      </c>
      <c r="J1531" s="76">
        <v>9</v>
      </c>
      <c r="K1531" s="519">
        <v>3</v>
      </c>
      <c r="L1531" s="521">
        <v>14.53</v>
      </c>
      <c r="M1531" s="521">
        <v>15.19</v>
      </c>
      <c r="N1531" s="507">
        <v>0.106</v>
      </c>
      <c r="O1531" s="507">
        <v>0.10299999999999999</v>
      </c>
      <c r="P1531" s="507">
        <v>0.11799999999999999</v>
      </c>
      <c r="Q1531" s="78">
        <v>0.44</v>
      </c>
      <c r="R1531" s="78">
        <v>0.31740000000000002</v>
      </c>
      <c r="S1531" s="69">
        <v>0</v>
      </c>
      <c r="T1531" s="69">
        <v>0</v>
      </c>
      <c r="U1531" s="507">
        <v>0.85</v>
      </c>
      <c r="V1531" s="76">
        <v>0</v>
      </c>
      <c r="W1531" s="76">
        <v>0</v>
      </c>
      <c r="X1531" s="76"/>
      <c r="Y1531" s="519" t="s">
        <v>469</v>
      </c>
    </row>
    <row r="1532" spans="1:25" x14ac:dyDescent="0.25">
      <c r="A1532" s="75" t="str">
        <f t="shared" si="53"/>
        <v>Pago_de_Hipoteca PF Premier Pago_Fijo_Puntual Si 8</v>
      </c>
      <c r="B1532" s="75" t="str">
        <f t="shared" si="52"/>
        <v>Pago_de_Hipoteca PF Premier Pago_Fijo_Puntual Si 8 0.103</v>
      </c>
      <c r="C1532" s="75" t="s">
        <v>173</v>
      </c>
      <c r="D1532" s="75" t="s">
        <v>132</v>
      </c>
      <c r="E1532" s="75" t="s">
        <v>143</v>
      </c>
      <c r="F1532" s="75"/>
      <c r="G1532" s="75"/>
      <c r="H1532" s="75"/>
      <c r="I1532" s="75" t="s">
        <v>171</v>
      </c>
      <c r="J1532" s="76">
        <v>8</v>
      </c>
      <c r="K1532" s="519" t="s">
        <v>387</v>
      </c>
      <c r="L1532" s="520">
        <v>15.44</v>
      </c>
      <c r="M1532" s="520">
        <v>16.100000000000001</v>
      </c>
      <c r="N1532" s="507">
        <v>0.10299999999999999</v>
      </c>
      <c r="O1532" s="507">
        <v>0.1</v>
      </c>
      <c r="P1532" s="507">
        <v>0.112</v>
      </c>
      <c r="Q1532" s="78">
        <v>0.44</v>
      </c>
      <c r="R1532" s="78">
        <v>0.31740000000000002</v>
      </c>
      <c r="S1532" s="69">
        <v>0</v>
      </c>
      <c r="T1532" s="69">
        <v>0</v>
      </c>
      <c r="U1532" s="507">
        <v>0.85</v>
      </c>
      <c r="V1532" s="76">
        <v>0</v>
      </c>
      <c r="W1532" s="76">
        <v>0</v>
      </c>
      <c r="X1532" s="76" t="s">
        <v>147</v>
      </c>
      <c r="Y1532" s="519" t="s">
        <v>469</v>
      </c>
    </row>
    <row r="1533" spans="1:25" x14ac:dyDescent="0.25">
      <c r="A1533" s="75" t="str">
        <f t="shared" si="53"/>
        <v>Pago_de_Hipoteca PF Premier Pago_Fijo_Puntual 8</v>
      </c>
      <c r="B1533" s="75" t="str">
        <f t="shared" si="52"/>
        <v>Pago_de_Hipoteca PF Premier Pago_Fijo_Puntual 8 0.106</v>
      </c>
      <c r="C1533" s="75" t="s">
        <v>173</v>
      </c>
      <c r="D1533" s="75" t="s">
        <v>132</v>
      </c>
      <c r="E1533" s="75" t="s">
        <v>143</v>
      </c>
      <c r="F1533" s="75"/>
      <c r="G1533" s="75"/>
      <c r="H1533" s="75"/>
      <c r="I1533" s="75" t="s">
        <v>171</v>
      </c>
      <c r="J1533" s="76">
        <v>8</v>
      </c>
      <c r="K1533" s="519">
        <v>3</v>
      </c>
      <c r="L1533" s="520">
        <v>15.6</v>
      </c>
      <c r="M1533" s="520">
        <v>16.260000000000002</v>
      </c>
      <c r="N1533" s="507">
        <v>0.106</v>
      </c>
      <c r="O1533" s="507">
        <v>0.10299999999999999</v>
      </c>
      <c r="P1533" s="507">
        <v>0.11799999999999999</v>
      </c>
      <c r="Q1533" s="78">
        <v>0.44</v>
      </c>
      <c r="R1533" s="78">
        <v>0.31740000000000002</v>
      </c>
      <c r="S1533" s="69">
        <v>0</v>
      </c>
      <c r="T1533" s="69">
        <v>0</v>
      </c>
      <c r="U1533" s="507">
        <v>0.85</v>
      </c>
      <c r="V1533" s="76">
        <v>0</v>
      </c>
      <c r="W1533" s="76">
        <v>0</v>
      </c>
      <c r="X1533" s="76"/>
      <c r="Y1533" s="519" t="s">
        <v>469</v>
      </c>
    </row>
    <row r="1534" spans="1:25" x14ac:dyDescent="0.25">
      <c r="A1534" s="75" t="str">
        <f t="shared" si="53"/>
        <v>Pago_de_Hipoteca PF Premier Pago_Fijo_Puntual Si 7</v>
      </c>
      <c r="B1534" s="75" t="str">
        <f t="shared" si="52"/>
        <v>Pago_de_Hipoteca PF Premier Pago_Fijo_Puntual Si 7 0.103</v>
      </c>
      <c r="C1534" s="75" t="s">
        <v>173</v>
      </c>
      <c r="D1534" s="75" t="s">
        <v>132</v>
      </c>
      <c r="E1534" s="75" t="s">
        <v>143</v>
      </c>
      <c r="F1534" s="75"/>
      <c r="G1534" s="75"/>
      <c r="H1534" s="75"/>
      <c r="I1534" s="75" t="s">
        <v>171</v>
      </c>
      <c r="J1534" s="76">
        <v>7</v>
      </c>
      <c r="K1534" s="519" t="s">
        <v>387</v>
      </c>
      <c r="L1534" s="520">
        <v>16.84</v>
      </c>
      <c r="M1534" s="520">
        <v>17.5</v>
      </c>
      <c r="N1534" s="507">
        <v>0.10299999999999999</v>
      </c>
      <c r="O1534" s="507">
        <v>0.1</v>
      </c>
      <c r="P1534" s="507">
        <v>0.112</v>
      </c>
      <c r="Q1534" s="78">
        <v>0.44</v>
      </c>
      <c r="R1534" s="78">
        <v>0.31740000000000002</v>
      </c>
      <c r="S1534" s="69">
        <v>0</v>
      </c>
      <c r="T1534" s="69">
        <v>0</v>
      </c>
      <c r="U1534" s="507">
        <v>0.85</v>
      </c>
      <c r="V1534" s="76">
        <v>0</v>
      </c>
      <c r="W1534" s="76">
        <v>0</v>
      </c>
      <c r="X1534" s="76" t="s">
        <v>147</v>
      </c>
      <c r="Y1534" s="519" t="s">
        <v>469</v>
      </c>
    </row>
    <row r="1535" spans="1:25" x14ac:dyDescent="0.25">
      <c r="A1535" s="75" t="str">
        <f t="shared" si="53"/>
        <v>Pago_de_Hipoteca PF Premier Pago_Fijo_Puntual 7</v>
      </c>
      <c r="B1535" s="75" t="str">
        <f t="shared" si="52"/>
        <v>Pago_de_Hipoteca PF Premier Pago_Fijo_Puntual 7 0.106</v>
      </c>
      <c r="C1535" s="75" t="s">
        <v>173</v>
      </c>
      <c r="D1535" s="75" t="s">
        <v>132</v>
      </c>
      <c r="E1535" s="75" t="s">
        <v>143</v>
      </c>
      <c r="F1535" s="75"/>
      <c r="G1535" s="75"/>
      <c r="H1535" s="75"/>
      <c r="I1535" s="75" t="s">
        <v>171</v>
      </c>
      <c r="J1535" s="76">
        <v>7</v>
      </c>
      <c r="K1535" s="519">
        <v>3</v>
      </c>
      <c r="L1535" s="520">
        <v>17</v>
      </c>
      <c r="M1535" s="520">
        <v>17.66</v>
      </c>
      <c r="N1535" s="507">
        <v>0.106</v>
      </c>
      <c r="O1535" s="507">
        <v>0.10299999999999999</v>
      </c>
      <c r="P1535" s="507">
        <v>0.11799999999999999</v>
      </c>
      <c r="Q1535" s="78">
        <v>0.44</v>
      </c>
      <c r="R1535" s="78">
        <v>0.31740000000000002</v>
      </c>
      <c r="S1535" s="69">
        <v>0</v>
      </c>
      <c r="T1535" s="69">
        <v>0</v>
      </c>
      <c r="U1535" s="507">
        <v>0.85</v>
      </c>
      <c r="V1535" s="76">
        <v>0</v>
      </c>
      <c r="W1535" s="76">
        <v>0</v>
      </c>
      <c r="X1535" s="76"/>
      <c r="Y1535" s="519" t="s">
        <v>469</v>
      </c>
    </row>
    <row r="1536" spans="1:25" x14ac:dyDescent="0.25">
      <c r="A1536" s="75" t="str">
        <f t="shared" si="53"/>
        <v>Pago_de_Hipoteca PF Premier Pago_Fijo_Puntual Si 6</v>
      </c>
      <c r="B1536" s="75" t="str">
        <f t="shared" si="52"/>
        <v>Pago_de_Hipoteca PF Premier Pago_Fijo_Puntual Si 6 0.103</v>
      </c>
      <c r="C1536" s="75" t="s">
        <v>173</v>
      </c>
      <c r="D1536" s="75" t="s">
        <v>132</v>
      </c>
      <c r="E1536" s="75" t="s">
        <v>143</v>
      </c>
      <c r="F1536" s="75"/>
      <c r="G1536" s="75"/>
      <c r="H1536" s="75"/>
      <c r="I1536" s="75" t="s">
        <v>171</v>
      </c>
      <c r="J1536" s="76">
        <v>6</v>
      </c>
      <c r="K1536" s="519" t="s">
        <v>387</v>
      </c>
      <c r="L1536" s="520">
        <v>18.739999999999998</v>
      </c>
      <c r="M1536" s="520">
        <v>19.399999999999999</v>
      </c>
      <c r="N1536" s="507">
        <v>0.10299999999999999</v>
      </c>
      <c r="O1536" s="507">
        <v>0.1</v>
      </c>
      <c r="P1536" s="507">
        <v>0.112</v>
      </c>
      <c r="Q1536" s="78">
        <v>0.44</v>
      </c>
      <c r="R1536" s="78">
        <v>0.31740000000000002</v>
      </c>
      <c r="S1536" s="69">
        <v>0</v>
      </c>
      <c r="T1536" s="69">
        <v>0</v>
      </c>
      <c r="U1536" s="507">
        <v>0.85</v>
      </c>
      <c r="V1536" s="76">
        <v>0</v>
      </c>
      <c r="W1536" s="76">
        <v>0</v>
      </c>
      <c r="X1536" s="76" t="s">
        <v>147</v>
      </c>
      <c r="Y1536" s="519" t="s">
        <v>469</v>
      </c>
    </row>
    <row r="1537" spans="1:25" x14ac:dyDescent="0.25">
      <c r="A1537" s="75" t="str">
        <f t="shared" si="53"/>
        <v>Pago_de_Hipoteca PF Premier Pago_Fijo_Puntual 6</v>
      </c>
      <c r="B1537" s="75" t="str">
        <f t="shared" si="52"/>
        <v>Pago_de_Hipoteca PF Premier Pago_Fijo_Puntual 6 0.106</v>
      </c>
      <c r="C1537" s="75" t="s">
        <v>173</v>
      </c>
      <c r="D1537" s="75" t="s">
        <v>132</v>
      </c>
      <c r="E1537" s="75" t="s">
        <v>143</v>
      </c>
      <c r="F1537" s="75"/>
      <c r="G1537" s="75"/>
      <c r="H1537" s="75"/>
      <c r="I1537" s="75" t="s">
        <v>171</v>
      </c>
      <c r="J1537" s="76">
        <v>6</v>
      </c>
      <c r="K1537" s="519">
        <v>3</v>
      </c>
      <c r="L1537" s="520">
        <v>18.89</v>
      </c>
      <c r="M1537" s="520">
        <v>19.55</v>
      </c>
      <c r="N1537" s="507">
        <v>0.106</v>
      </c>
      <c r="O1537" s="507">
        <v>0.10299999999999999</v>
      </c>
      <c r="P1537" s="507">
        <v>0.11799999999999999</v>
      </c>
      <c r="Q1537" s="78">
        <v>0.44</v>
      </c>
      <c r="R1537" s="78">
        <v>0.31740000000000002</v>
      </c>
      <c r="S1537" s="69">
        <v>0</v>
      </c>
      <c r="T1537" s="69">
        <v>0</v>
      </c>
      <c r="U1537" s="507">
        <v>0.85</v>
      </c>
      <c r="V1537" s="76">
        <v>0</v>
      </c>
      <c r="W1537" s="76">
        <v>0</v>
      </c>
      <c r="X1537" s="76"/>
      <c r="Y1537" s="519" t="s">
        <v>469</v>
      </c>
    </row>
    <row r="1538" spans="1:25" x14ac:dyDescent="0.25">
      <c r="A1538" s="75" t="str">
        <f t="shared" si="53"/>
        <v>Pago_de_Hipoteca PF Premier Pago_Fijo_Puntual Si 5</v>
      </c>
      <c r="B1538" s="75" t="str">
        <f t="shared" si="52"/>
        <v>Pago_de_Hipoteca PF Premier Pago_Fijo_Puntual Si 5 0.103</v>
      </c>
      <c r="C1538" s="75" t="s">
        <v>173</v>
      </c>
      <c r="D1538" s="75" t="s">
        <v>132</v>
      </c>
      <c r="E1538" s="75" t="s">
        <v>143</v>
      </c>
      <c r="F1538" s="75"/>
      <c r="G1538" s="75"/>
      <c r="H1538" s="75"/>
      <c r="I1538" s="75" t="s">
        <v>171</v>
      </c>
      <c r="J1538" s="76">
        <v>5</v>
      </c>
      <c r="K1538" s="519" t="s">
        <v>387</v>
      </c>
      <c r="L1538" s="520">
        <v>21.44</v>
      </c>
      <c r="M1538" s="520">
        <v>22.1</v>
      </c>
      <c r="N1538" s="507">
        <v>0.10299999999999999</v>
      </c>
      <c r="O1538" s="507">
        <v>0.1</v>
      </c>
      <c r="P1538" s="507">
        <v>0.112</v>
      </c>
      <c r="Q1538" s="78">
        <v>0.44</v>
      </c>
      <c r="R1538" s="78">
        <v>0.31740000000000002</v>
      </c>
      <c r="S1538" s="69">
        <v>0</v>
      </c>
      <c r="T1538" s="69">
        <v>0</v>
      </c>
      <c r="U1538" s="507">
        <v>0.85</v>
      </c>
      <c r="V1538" s="76">
        <v>0</v>
      </c>
      <c r="W1538" s="76">
        <v>0</v>
      </c>
      <c r="X1538" s="76" t="s">
        <v>147</v>
      </c>
      <c r="Y1538" s="519" t="s">
        <v>469</v>
      </c>
    </row>
    <row r="1539" spans="1:25" x14ac:dyDescent="0.25">
      <c r="A1539" s="75" t="str">
        <f t="shared" si="53"/>
        <v>Pago_de_Hipoteca PF Premier Pago_Fijo_Puntual 5</v>
      </c>
      <c r="B1539" s="75" t="str">
        <f t="shared" si="52"/>
        <v>Pago_de_Hipoteca PF Premier Pago_Fijo_Puntual 5 0.106</v>
      </c>
      <c r="C1539" s="75" t="s">
        <v>173</v>
      </c>
      <c r="D1539" s="75" t="s">
        <v>132</v>
      </c>
      <c r="E1539" s="75" t="s">
        <v>143</v>
      </c>
      <c r="F1539" s="75"/>
      <c r="G1539" s="75"/>
      <c r="H1539" s="75"/>
      <c r="I1539" s="75" t="s">
        <v>171</v>
      </c>
      <c r="J1539" s="76">
        <v>5</v>
      </c>
      <c r="K1539" s="519">
        <v>3</v>
      </c>
      <c r="L1539" s="520">
        <v>21.58</v>
      </c>
      <c r="M1539" s="520">
        <v>22.24</v>
      </c>
      <c r="N1539" s="507">
        <v>0.106</v>
      </c>
      <c r="O1539" s="507">
        <v>0.10299999999999999</v>
      </c>
      <c r="P1539" s="507">
        <v>0.11799999999999999</v>
      </c>
      <c r="Q1539" s="78">
        <v>0.44</v>
      </c>
      <c r="R1539" s="78">
        <v>0.31740000000000002</v>
      </c>
      <c r="S1539" s="69">
        <v>0</v>
      </c>
      <c r="T1539" s="69">
        <v>0</v>
      </c>
      <c r="U1539" s="507">
        <v>0.85</v>
      </c>
      <c r="V1539" s="76">
        <v>0</v>
      </c>
      <c r="W1539" s="76">
        <v>0</v>
      </c>
      <c r="X1539" s="76"/>
      <c r="Y1539" s="519" t="s">
        <v>469</v>
      </c>
    </row>
    <row r="1540" spans="1:25" x14ac:dyDescent="0.25">
      <c r="A1540" s="75" t="str">
        <f t="shared" si="53"/>
        <v>Pago_de_Hipoteca PF Premier Pago_Bajo_Puntual Si 20</v>
      </c>
      <c r="B1540" s="75" t="str">
        <f t="shared" si="52"/>
        <v>Pago_de_Hipoteca PF Premier Pago_Bajo_Puntual Si 20 0.103</v>
      </c>
      <c r="C1540" s="75" t="s">
        <v>173</v>
      </c>
      <c r="D1540" s="75" t="s">
        <v>132</v>
      </c>
      <c r="E1540" s="75" t="s">
        <v>143</v>
      </c>
      <c r="F1540" s="75"/>
      <c r="G1540" s="75"/>
      <c r="H1540" s="75"/>
      <c r="I1540" s="75" t="s">
        <v>170</v>
      </c>
      <c r="J1540" s="76">
        <v>20</v>
      </c>
      <c r="K1540" s="519" t="s">
        <v>387</v>
      </c>
      <c r="L1540" s="520">
        <v>9</v>
      </c>
      <c r="M1540" s="520">
        <v>9.66</v>
      </c>
      <c r="N1540" s="507">
        <v>0.10299999999999999</v>
      </c>
      <c r="O1540" s="507">
        <v>0.1</v>
      </c>
      <c r="P1540" s="507">
        <v>0.112</v>
      </c>
      <c r="Q1540" s="78">
        <v>0.44</v>
      </c>
      <c r="R1540" s="78">
        <v>0.31740000000000002</v>
      </c>
      <c r="S1540" s="69">
        <v>0</v>
      </c>
      <c r="T1540" s="69">
        <v>0</v>
      </c>
      <c r="U1540" s="507">
        <v>0.85</v>
      </c>
      <c r="V1540" s="76">
        <v>0</v>
      </c>
      <c r="W1540" s="76">
        <v>0</v>
      </c>
      <c r="X1540" s="76" t="s">
        <v>147</v>
      </c>
      <c r="Y1540" s="519" t="s">
        <v>469</v>
      </c>
    </row>
    <row r="1541" spans="1:25" x14ac:dyDescent="0.25">
      <c r="A1541" s="75" t="str">
        <f t="shared" si="53"/>
        <v>Pago_de_Hipoteca PF Premier Pago_Bajo_Puntual 20</v>
      </c>
      <c r="B1541" s="75" t="str">
        <f t="shared" si="52"/>
        <v>Pago_de_Hipoteca PF Premier Pago_Bajo_Puntual 20 0.106</v>
      </c>
      <c r="C1541" s="75" t="s">
        <v>173</v>
      </c>
      <c r="D1541" s="75" t="s">
        <v>132</v>
      </c>
      <c r="E1541" s="75" t="s">
        <v>143</v>
      </c>
      <c r="F1541" s="75"/>
      <c r="G1541" s="75"/>
      <c r="H1541" s="75"/>
      <c r="I1541" s="75" t="s">
        <v>170</v>
      </c>
      <c r="J1541" s="76">
        <v>20</v>
      </c>
      <c r="K1541" s="519">
        <v>3</v>
      </c>
      <c r="L1541" s="520">
        <v>9.24</v>
      </c>
      <c r="M1541" s="520">
        <v>9.9</v>
      </c>
      <c r="N1541" s="507">
        <v>0.106</v>
      </c>
      <c r="O1541" s="507">
        <v>0.10299999999999999</v>
      </c>
      <c r="P1541" s="507">
        <v>0.11799999999999999</v>
      </c>
      <c r="Q1541" s="78">
        <v>0.44</v>
      </c>
      <c r="R1541" s="78">
        <v>0.31740000000000002</v>
      </c>
      <c r="S1541" s="69">
        <v>0</v>
      </c>
      <c r="T1541" s="69">
        <v>0</v>
      </c>
      <c r="U1541" s="507">
        <v>0.85</v>
      </c>
      <c r="V1541" s="76">
        <v>0</v>
      </c>
      <c r="W1541" s="76">
        <v>0</v>
      </c>
      <c r="X1541" s="76"/>
      <c r="Y1541" s="519" t="s">
        <v>469</v>
      </c>
    </row>
    <row r="1542" spans="1:25" x14ac:dyDescent="0.25">
      <c r="A1542" s="75" t="str">
        <f t="shared" si="53"/>
        <v>Pago_de_Hipoteca PF Premier Pago_Bajo_Puntual Si 19</v>
      </c>
      <c r="B1542" s="75" t="str">
        <f t="shared" si="52"/>
        <v>Pago_de_Hipoteca PF Premier Pago_Bajo_Puntual Si 19 0.103</v>
      </c>
      <c r="C1542" s="75" t="s">
        <v>173</v>
      </c>
      <c r="D1542" s="75" t="s">
        <v>132</v>
      </c>
      <c r="E1542" s="75" t="s">
        <v>143</v>
      </c>
      <c r="F1542" s="75"/>
      <c r="G1542" s="75"/>
      <c r="H1542" s="75"/>
      <c r="I1542" s="75" t="s">
        <v>170</v>
      </c>
      <c r="J1542" s="76">
        <v>19</v>
      </c>
      <c r="K1542" s="519" t="s">
        <v>387</v>
      </c>
      <c r="L1542" s="520">
        <v>9.17</v>
      </c>
      <c r="M1542" s="520">
        <v>9.83</v>
      </c>
      <c r="N1542" s="507">
        <v>0.10299999999999999</v>
      </c>
      <c r="O1542" s="507">
        <v>0.1</v>
      </c>
      <c r="P1542" s="507">
        <v>0.112</v>
      </c>
      <c r="Q1542" s="78">
        <v>0.44</v>
      </c>
      <c r="R1542" s="78">
        <v>0.31740000000000002</v>
      </c>
      <c r="S1542" s="69">
        <v>0</v>
      </c>
      <c r="T1542" s="69">
        <v>0</v>
      </c>
      <c r="U1542" s="507">
        <v>0.85</v>
      </c>
      <c r="V1542" s="76">
        <v>0</v>
      </c>
      <c r="W1542" s="76">
        <v>0</v>
      </c>
      <c r="X1542" s="76" t="s">
        <v>147</v>
      </c>
      <c r="Y1542" s="519" t="s">
        <v>469</v>
      </c>
    </row>
    <row r="1543" spans="1:25" x14ac:dyDescent="0.25">
      <c r="A1543" s="75" t="str">
        <f t="shared" si="53"/>
        <v>Pago_de_Hipoteca PF Premier Pago_Bajo_Puntual 19</v>
      </c>
      <c r="B1543" s="75" t="str">
        <f t="shared" si="52"/>
        <v>Pago_de_Hipoteca PF Premier Pago_Bajo_Puntual 19 0.106</v>
      </c>
      <c r="C1543" s="75" t="s">
        <v>173</v>
      </c>
      <c r="D1543" s="75" t="s">
        <v>132</v>
      </c>
      <c r="E1543" s="75" t="s">
        <v>143</v>
      </c>
      <c r="F1543" s="75"/>
      <c r="G1543" s="75"/>
      <c r="H1543" s="75"/>
      <c r="I1543" s="75" t="s">
        <v>170</v>
      </c>
      <c r="J1543" s="76">
        <v>19</v>
      </c>
      <c r="K1543" s="519">
        <v>3</v>
      </c>
      <c r="L1543" s="520">
        <v>9.4</v>
      </c>
      <c r="M1543" s="520">
        <v>10.06</v>
      </c>
      <c r="N1543" s="507">
        <v>0.106</v>
      </c>
      <c r="O1543" s="507">
        <v>0.10299999999999999</v>
      </c>
      <c r="P1543" s="507">
        <v>0.11799999999999999</v>
      </c>
      <c r="Q1543" s="78">
        <v>0.44</v>
      </c>
      <c r="R1543" s="78">
        <v>0.31740000000000002</v>
      </c>
      <c r="S1543" s="69">
        <v>0</v>
      </c>
      <c r="T1543" s="69">
        <v>0</v>
      </c>
      <c r="U1543" s="507">
        <v>0.85</v>
      </c>
      <c r="V1543" s="76">
        <v>0</v>
      </c>
      <c r="W1543" s="76">
        <v>0</v>
      </c>
      <c r="X1543" s="76"/>
      <c r="Y1543" s="519" t="s">
        <v>469</v>
      </c>
    </row>
    <row r="1544" spans="1:25" x14ac:dyDescent="0.25">
      <c r="A1544" s="75" t="str">
        <f t="shared" si="53"/>
        <v>Pago_de_Hipoteca PF Premier Pago_Bajo_Puntual Si 18</v>
      </c>
      <c r="B1544" s="75" t="str">
        <f t="shared" si="52"/>
        <v>Pago_de_Hipoteca PF Premier Pago_Bajo_Puntual Si 18 0.103</v>
      </c>
      <c r="C1544" s="75" t="s">
        <v>173</v>
      </c>
      <c r="D1544" s="75" t="s">
        <v>132</v>
      </c>
      <c r="E1544" s="75" t="s">
        <v>143</v>
      </c>
      <c r="F1544" s="75"/>
      <c r="G1544" s="75"/>
      <c r="H1544" s="75"/>
      <c r="I1544" s="75" t="s">
        <v>170</v>
      </c>
      <c r="J1544" s="76">
        <v>18</v>
      </c>
      <c r="K1544" s="519" t="s">
        <v>387</v>
      </c>
      <c r="L1544" s="520">
        <v>9.36</v>
      </c>
      <c r="M1544" s="520">
        <v>10.02</v>
      </c>
      <c r="N1544" s="507">
        <v>0.10299999999999999</v>
      </c>
      <c r="O1544" s="507">
        <v>0.1</v>
      </c>
      <c r="P1544" s="507">
        <v>0.112</v>
      </c>
      <c r="Q1544" s="78">
        <v>0.44</v>
      </c>
      <c r="R1544" s="78">
        <v>0.31740000000000002</v>
      </c>
      <c r="S1544" s="69">
        <v>0</v>
      </c>
      <c r="T1544" s="69">
        <v>0</v>
      </c>
      <c r="U1544" s="507">
        <v>0.85</v>
      </c>
      <c r="V1544" s="76">
        <v>0</v>
      </c>
      <c r="W1544" s="76">
        <v>0</v>
      </c>
      <c r="X1544" s="76" t="s">
        <v>147</v>
      </c>
      <c r="Y1544" s="519" t="s">
        <v>469</v>
      </c>
    </row>
    <row r="1545" spans="1:25" x14ac:dyDescent="0.25">
      <c r="A1545" s="75" t="str">
        <f t="shared" si="53"/>
        <v>Pago_de_Hipoteca PF Premier Pago_Bajo_Puntual 18</v>
      </c>
      <c r="B1545" s="75" t="str">
        <f t="shared" si="52"/>
        <v>Pago_de_Hipoteca PF Premier Pago_Bajo_Puntual 18 0.106</v>
      </c>
      <c r="C1545" s="75" t="s">
        <v>173</v>
      </c>
      <c r="D1545" s="75" t="s">
        <v>132</v>
      </c>
      <c r="E1545" s="75" t="s">
        <v>143</v>
      </c>
      <c r="F1545" s="75"/>
      <c r="G1545" s="75"/>
      <c r="H1545" s="75"/>
      <c r="I1545" s="75" t="s">
        <v>170</v>
      </c>
      <c r="J1545" s="76">
        <v>18</v>
      </c>
      <c r="K1545" s="519">
        <v>3</v>
      </c>
      <c r="L1545" s="520">
        <v>9.59</v>
      </c>
      <c r="M1545" s="520">
        <v>10.25</v>
      </c>
      <c r="N1545" s="507">
        <v>0.106</v>
      </c>
      <c r="O1545" s="507">
        <v>0.10299999999999999</v>
      </c>
      <c r="P1545" s="507">
        <v>0.11799999999999999</v>
      </c>
      <c r="Q1545" s="78">
        <v>0.44</v>
      </c>
      <c r="R1545" s="78">
        <v>0.31740000000000002</v>
      </c>
      <c r="S1545" s="69">
        <v>0</v>
      </c>
      <c r="T1545" s="69">
        <v>0</v>
      </c>
      <c r="U1545" s="507">
        <v>0.85</v>
      </c>
      <c r="V1545" s="76">
        <v>0</v>
      </c>
      <c r="W1545" s="76">
        <v>0</v>
      </c>
      <c r="X1545" s="76"/>
      <c r="Y1545" s="519" t="s">
        <v>469</v>
      </c>
    </row>
    <row r="1546" spans="1:25" x14ac:dyDescent="0.25">
      <c r="A1546" s="75" t="str">
        <f t="shared" si="53"/>
        <v>Pago_de_Hipoteca PF Premier Pago_Bajo_Puntual Si 17</v>
      </c>
      <c r="B1546" s="75" t="str">
        <f t="shared" si="52"/>
        <v>Pago_de_Hipoteca PF Premier Pago_Bajo_Puntual Si 17 0.103</v>
      </c>
      <c r="C1546" s="75" t="s">
        <v>173</v>
      </c>
      <c r="D1546" s="75" t="s">
        <v>132</v>
      </c>
      <c r="E1546" s="75" t="s">
        <v>143</v>
      </c>
      <c r="F1546" s="75"/>
      <c r="G1546" s="75"/>
      <c r="H1546" s="75"/>
      <c r="I1546" s="75" t="s">
        <v>170</v>
      </c>
      <c r="J1546" s="76">
        <v>17</v>
      </c>
      <c r="K1546" s="519" t="s">
        <v>387</v>
      </c>
      <c r="L1546" s="520">
        <v>9.58</v>
      </c>
      <c r="M1546" s="520">
        <v>10.24</v>
      </c>
      <c r="N1546" s="507">
        <v>0.10299999999999999</v>
      </c>
      <c r="O1546" s="507">
        <v>0.1</v>
      </c>
      <c r="P1546" s="507">
        <v>0.112</v>
      </c>
      <c r="Q1546" s="78">
        <v>0.44</v>
      </c>
      <c r="R1546" s="78">
        <v>0.31740000000000002</v>
      </c>
      <c r="S1546" s="69">
        <v>0</v>
      </c>
      <c r="T1546" s="69">
        <v>0</v>
      </c>
      <c r="U1546" s="507">
        <v>0.85</v>
      </c>
      <c r="V1546" s="76">
        <v>0</v>
      </c>
      <c r="W1546" s="76">
        <v>0</v>
      </c>
      <c r="X1546" s="76" t="s">
        <v>147</v>
      </c>
      <c r="Y1546" s="519" t="s">
        <v>469</v>
      </c>
    </row>
    <row r="1547" spans="1:25" x14ac:dyDescent="0.25">
      <c r="A1547" s="75" t="str">
        <f t="shared" si="53"/>
        <v>Pago_de_Hipoteca PF Premier Pago_Bajo_Puntual 17</v>
      </c>
      <c r="B1547" s="75" t="str">
        <f t="shared" si="52"/>
        <v>Pago_de_Hipoteca PF Premier Pago_Bajo_Puntual 17 0.106</v>
      </c>
      <c r="C1547" s="75" t="s">
        <v>173</v>
      </c>
      <c r="D1547" s="75" t="s">
        <v>132</v>
      </c>
      <c r="E1547" s="75" t="s">
        <v>143</v>
      </c>
      <c r="F1547" s="75"/>
      <c r="G1547" s="75"/>
      <c r="H1547" s="75"/>
      <c r="I1547" s="75" t="s">
        <v>170</v>
      </c>
      <c r="J1547" s="76">
        <v>17</v>
      </c>
      <c r="K1547" s="519">
        <v>3</v>
      </c>
      <c r="L1547" s="520">
        <v>9.8000000000000007</v>
      </c>
      <c r="M1547" s="520">
        <v>10.46</v>
      </c>
      <c r="N1547" s="507">
        <v>0.106</v>
      </c>
      <c r="O1547" s="507">
        <v>0.10299999999999999</v>
      </c>
      <c r="P1547" s="507">
        <v>0.11799999999999999</v>
      </c>
      <c r="Q1547" s="78">
        <v>0.44</v>
      </c>
      <c r="R1547" s="78">
        <v>0.31740000000000002</v>
      </c>
      <c r="S1547" s="69">
        <v>0</v>
      </c>
      <c r="T1547" s="69">
        <v>0</v>
      </c>
      <c r="U1547" s="507">
        <v>0.85</v>
      </c>
      <c r="V1547" s="76">
        <v>0</v>
      </c>
      <c r="W1547" s="76">
        <v>0</v>
      </c>
      <c r="X1547" s="76"/>
      <c r="Y1547" s="519" t="s">
        <v>469</v>
      </c>
    </row>
    <row r="1548" spans="1:25" x14ac:dyDescent="0.25">
      <c r="A1548" s="75" t="str">
        <f t="shared" si="53"/>
        <v>Pago_de_Hipoteca PF Premier Pago_Bajo_Puntual Si 16</v>
      </c>
      <c r="B1548" s="75" t="str">
        <f t="shared" si="52"/>
        <v>Pago_de_Hipoteca PF Premier Pago_Bajo_Puntual Si 16 0.103</v>
      </c>
      <c r="C1548" s="75" t="s">
        <v>173</v>
      </c>
      <c r="D1548" s="75" t="s">
        <v>132</v>
      </c>
      <c r="E1548" s="75" t="s">
        <v>143</v>
      </c>
      <c r="F1548" s="75"/>
      <c r="G1548" s="75"/>
      <c r="H1548" s="75"/>
      <c r="I1548" s="75" t="s">
        <v>170</v>
      </c>
      <c r="J1548" s="76">
        <v>16</v>
      </c>
      <c r="K1548" s="519" t="s">
        <v>387</v>
      </c>
      <c r="L1548" s="520">
        <v>9.83</v>
      </c>
      <c r="M1548" s="520">
        <v>10.49</v>
      </c>
      <c r="N1548" s="507">
        <v>0.10299999999999999</v>
      </c>
      <c r="O1548" s="507">
        <v>0.1</v>
      </c>
      <c r="P1548" s="507">
        <v>0.112</v>
      </c>
      <c r="Q1548" s="78">
        <v>0.44</v>
      </c>
      <c r="R1548" s="78">
        <v>0.31740000000000002</v>
      </c>
      <c r="S1548" s="69">
        <v>0</v>
      </c>
      <c r="T1548" s="69">
        <v>0</v>
      </c>
      <c r="U1548" s="507">
        <v>0.85</v>
      </c>
      <c r="V1548" s="76">
        <v>0</v>
      </c>
      <c r="W1548" s="76">
        <v>0</v>
      </c>
      <c r="X1548" s="76" t="s">
        <v>147</v>
      </c>
      <c r="Y1548" s="519" t="s">
        <v>469</v>
      </c>
    </row>
    <row r="1549" spans="1:25" x14ac:dyDescent="0.25">
      <c r="A1549" s="75" t="str">
        <f t="shared" si="53"/>
        <v>Pago_de_Hipoteca PF Premier Pago_Bajo_Puntual 16</v>
      </c>
      <c r="B1549" s="75" t="str">
        <f t="shared" si="52"/>
        <v>Pago_de_Hipoteca PF Premier Pago_Bajo_Puntual 16 0.106</v>
      </c>
      <c r="C1549" s="75" t="s">
        <v>173</v>
      </c>
      <c r="D1549" s="75" t="s">
        <v>132</v>
      </c>
      <c r="E1549" s="75" t="s">
        <v>143</v>
      </c>
      <c r="F1549" s="75"/>
      <c r="G1549" s="75"/>
      <c r="H1549" s="75"/>
      <c r="I1549" s="75" t="s">
        <v>170</v>
      </c>
      <c r="J1549" s="76">
        <v>16</v>
      </c>
      <c r="K1549" s="519">
        <v>3</v>
      </c>
      <c r="L1549" s="520">
        <v>10.039999999999999</v>
      </c>
      <c r="M1549" s="520">
        <v>10.7</v>
      </c>
      <c r="N1549" s="507">
        <v>0.106</v>
      </c>
      <c r="O1549" s="507">
        <v>0.10299999999999999</v>
      </c>
      <c r="P1549" s="507">
        <v>0.11799999999999999</v>
      </c>
      <c r="Q1549" s="78">
        <v>0.44</v>
      </c>
      <c r="R1549" s="78">
        <v>0.31740000000000002</v>
      </c>
      <c r="S1549" s="69">
        <v>0</v>
      </c>
      <c r="T1549" s="69">
        <v>0</v>
      </c>
      <c r="U1549" s="507">
        <v>0.85</v>
      </c>
      <c r="V1549" s="76">
        <v>0</v>
      </c>
      <c r="W1549" s="76">
        <v>0</v>
      </c>
      <c r="X1549" s="76"/>
      <c r="Y1549" s="519" t="s">
        <v>469</v>
      </c>
    </row>
    <row r="1550" spans="1:25" x14ac:dyDescent="0.25">
      <c r="A1550" s="75" t="str">
        <f t="shared" si="53"/>
        <v>Pago_de_Hipoteca PF Premier Pago_Bajo_Puntual Si 15</v>
      </c>
      <c r="B1550" s="75" t="str">
        <f t="shared" si="52"/>
        <v>Pago_de_Hipoteca PF Premier Pago_Bajo_Puntual Si 15 0.103</v>
      </c>
      <c r="C1550" s="75" t="s">
        <v>173</v>
      </c>
      <c r="D1550" s="75" t="s">
        <v>132</v>
      </c>
      <c r="E1550" s="75" t="s">
        <v>143</v>
      </c>
      <c r="F1550" s="75"/>
      <c r="G1550" s="75"/>
      <c r="H1550" s="75"/>
      <c r="I1550" s="75" t="s">
        <v>170</v>
      </c>
      <c r="J1550" s="76">
        <v>15</v>
      </c>
      <c r="K1550" s="519" t="s">
        <v>387</v>
      </c>
      <c r="L1550" s="520">
        <v>10.119999999999999</v>
      </c>
      <c r="M1550" s="520">
        <v>10.78</v>
      </c>
      <c r="N1550" s="507">
        <v>0.10299999999999999</v>
      </c>
      <c r="O1550" s="507">
        <v>0.1</v>
      </c>
      <c r="P1550" s="507">
        <v>0.112</v>
      </c>
      <c r="Q1550" s="78">
        <v>0.44</v>
      </c>
      <c r="R1550" s="78">
        <v>0.31740000000000002</v>
      </c>
      <c r="S1550" s="69">
        <v>0</v>
      </c>
      <c r="T1550" s="69">
        <v>0</v>
      </c>
      <c r="U1550" s="507">
        <v>0.85</v>
      </c>
      <c r="V1550" s="76">
        <v>0</v>
      </c>
      <c r="W1550" s="76">
        <v>0</v>
      </c>
      <c r="X1550" s="76" t="s">
        <v>147</v>
      </c>
      <c r="Y1550" s="519" t="s">
        <v>469</v>
      </c>
    </row>
    <row r="1551" spans="1:25" x14ac:dyDescent="0.25">
      <c r="A1551" s="75" t="str">
        <f t="shared" si="53"/>
        <v>Pago_de_Hipoteca PF Premier Pago_Bajo_Puntual 15</v>
      </c>
      <c r="B1551" s="75" t="str">
        <f t="shared" si="52"/>
        <v>Pago_de_Hipoteca PF Premier Pago_Bajo_Puntual 15 0.106</v>
      </c>
      <c r="C1551" s="75" t="s">
        <v>173</v>
      </c>
      <c r="D1551" s="75" t="s">
        <v>132</v>
      </c>
      <c r="E1551" s="75" t="s">
        <v>143</v>
      </c>
      <c r="F1551" s="75"/>
      <c r="G1551" s="75"/>
      <c r="H1551" s="75"/>
      <c r="I1551" s="75" t="s">
        <v>170</v>
      </c>
      <c r="J1551" s="76">
        <v>15</v>
      </c>
      <c r="K1551" s="519">
        <v>3</v>
      </c>
      <c r="L1551" s="520">
        <v>10.33</v>
      </c>
      <c r="M1551" s="520">
        <v>10.99</v>
      </c>
      <c r="N1551" s="507">
        <v>0.106</v>
      </c>
      <c r="O1551" s="507">
        <v>0.10299999999999999</v>
      </c>
      <c r="P1551" s="507">
        <v>0.11799999999999999</v>
      </c>
      <c r="Q1551" s="78">
        <v>0.44</v>
      </c>
      <c r="R1551" s="78">
        <v>0.31740000000000002</v>
      </c>
      <c r="S1551" s="69">
        <v>0</v>
      </c>
      <c r="T1551" s="69">
        <v>0</v>
      </c>
      <c r="U1551" s="507">
        <v>0.85</v>
      </c>
      <c r="V1551" s="76">
        <v>0</v>
      </c>
      <c r="W1551" s="76">
        <v>0</v>
      </c>
      <c r="X1551" s="76"/>
      <c r="Y1551" s="519" t="s">
        <v>469</v>
      </c>
    </row>
    <row r="1552" spans="1:25" x14ac:dyDescent="0.25">
      <c r="A1552" s="75" t="str">
        <f t="shared" si="53"/>
        <v>Pago_de_Hipoteca PF Premier Pago_Bajo_Puntual Si 14</v>
      </c>
      <c r="B1552" s="75" t="str">
        <f t="shared" si="52"/>
        <v>Pago_de_Hipoteca PF Premier Pago_Bajo_Puntual Si 14 0.103</v>
      </c>
      <c r="C1552" s="75" t="s">
        <v>173</v>
      </c>
      <c r="D1552" s="75" t="s">
        <v>132</v>
      </c>
      <c r="E1552" s="75" t="s">
        <v>143</v>
      </c>
      <c r="F1552" s="75"/>
      <c r="G1552" s="75"/>
      <c r="H1552" s="75"/>
      <c r="I1552" s="75" t="s">
        <v>170</v>
      </c>
      <c r="J1552" s="76">
        <v>14</v>
      </c>
      <c r="K1552" s="519" t="s">
        <v>387</v>
      </c>
      <c r="L1552" s="520">
        <v>10.46</v>
      </c>
      <c r="M1552" s="520">
        <v>11.12</v>
      </c>
      <c r="N1552" s="507">
        <v>0.10299999999999999</v>
      </c>
      <c r="O1552" s="507">
        <v>0.1</v>
      </c>
      <c r="P1552" s="507">
        <v>0.112</v>
      </c>
      <c r="Q1552" s="78">
        <v>0.44</v>
      </c>
      <c r="R1552" s="78">
        <v>0.31740000000000002</v>
      </c>
      <c r="S1552" s="69">
        <v>0</v>
      </c>
      <c r="T1552" s="69">
        <v>0</v>
      </c>
      <c r="U1552" s="507">
        <v>0.85</v>
      </c>
      <c r="V1552" s="76">
        <v>0</v>
      </c>
      <c r="W1552" s="76">
        <v>0</v>
      </c>
      <c r="X1552" s="76" t="s">
        <v>147</v>
      </c>
      <c r="Y1552" s="519" t="s">
        <v>469</v>
      </c>
    </row>
    <row r="1553" spans="1:25" x14ac:dyDescent="0.25">
      <c r="A1553" s="75" t="str">
        <f t="shared" si="53"/>
        <v>Pago_de_Hipoteca PF Premier Pago_Bajo_Puntual 14</v>
      </c>
      <c r="B1553" s="75" t="str">
        <f t="shared" si="52"/>
        <v>Pago_de_Hipoteca PF Premier Pago_Bajo_Puntual 14 0.106</v>
      </c>
      <c r="C1553" s="75" t="s">
        <v>173</v>
      </c>
      <c r="D1553" s="75" t="s">
        <v>132</v>
      </c>
      <c r="E1553" s="75" t="s">
        <v>143</v>
      </c>
      <c r="F1553" s="75"/>
      <c r="G1553" s="75"/>
      <c r="H1553" s="75"/>
      <c r="I1553" s="75" t="s">
        <v>170</v>
      </c>
      <c r="J1553" s="76">
        <v>14</v>
      </c>
      <c r="K1553" s="519">
        <v>3</v>
      </c>
      <c r="L1553" s="520">
        <v>10.66</v>
      </c>
      <c r="M1553" s="520">
        <v>11.32</v>
      </c>
      <c r="N1553" s="507">
        <v>0.106</v>
      </c>
      <c r="O1553" s="507">
        <v>0.10299999999999999</v>
      </c>
      <c r="P1553" s="507">
        <v>0.11799999999999999</v>
      </c>
      <c r="Q1553" s="78">
        <v>0.44</v>
      </c>
      <c r="R1553" s="78">
        <v>0.31740000000000002</v>
      </c>
      <c r="S1553" s="69">
        <v>0</v>
      </c>
      <c r="T1553" s="69">
        <v>0</v>
      </c>
      <c r="U1553" s="507">
        <v>0.85</v>
      </c>
      <c r="V1553" s="76">
        <v>0</v>
      </c>
      <c r="W1553" s="76">
        <v>0</v>
      </c>
      <c r="X1553" s="76"/>
      <c r="Y1553" s="519" t="s">
        <v>469</v>
      </c>
    </row>
    <row r="1554" spans="1:25" x14ac:dyDescent="0.25">
      <c r="A1554" s="75" t="str">
        <f t="shared" si="53"/>
        <v>Pago_de_Hipoteca PF Premier Pago_Bajo_Puntual Si 13</v>
      </c>
      <c r="B1554" s="75" t="str">
        <f t="shared" si="52"/>
        <v>Pago_de_Hipoteca PF Premier Pago_Bajo_Puntual Si 13 0.103</v>
      </c>
      <c r="C1554" s="75" t="s">
        <v>173</v>
      </c>
      <c r="D1554" s="75" t="s">
        <v>132</v>
      </c>
      <c r="E1554" s="75" t="s">
        <v>143</v>
      </c>
      <c r="F1554" s="75"/>
      <c r="G1554" s="75"/>
      <c r="H1554" s="75"/>
      <c r="I1554" s="75" t="s">
        <v>170</v>
      </c>
      <c r="J1554" s="76">
        <v>13</v>
      </c>
      <c r="K1554" s="519" t="s">
        <v>387</v>
      </c>
      <c r="L1554" s="520">
        <v>10.86</v>
      </c>
      <c r="M1554" s="520">
        <v>11.52</v>
      </c>
      <c r="N1554" s="507">
        <v>0.10299999999999999</v>
      </c>
      <c r="O1554" s="507">
        <v>0.1</v>
      </c>
      <c r="P1554" s="507">
        <v>0.112</v>
      </c>
      <c r="Q1554" s="78">
        <v>0.44</v>
      </c>
      <c r="R1554" s="78">
        <v>0.31740000000000002</v>
      </c>
      <c r="S1554" s="69">
        <v>0</v>
      </c>
      <c r="T1554" s="69">
        <v>0</v>
      </c>
      <c r="U1554" s="507">
        <v>0.85</v>
      </c>
      <c r="V1554" s="76">
        <v>0</v>
      </c>
      <c r="W1554" s="76">
        <v>0</v>
      </c>
      <c r="X1554" s="76" t="s">
        <v>147</v>
      </c>
      <c r="Y1554" s="519" t="s">
        <v>469</v>
      </c>
    </row>
    <row r="1555" spans="1:25" x14ac:dyDescent="0.25">
      <c r="A1555" s="75" t="str">
        <f t="shared" si="53"/>
        <v>Pago_de_Hipoteca PF Premier Pago_Bajo_Puntual 13</v>
      </c>
      <c r="B1555" s="75" t="str">
        <f t="shared" si="52"/>
        <v>Pago_de_Hipoteca PF Premier Pago_Bajo_Puntual 13 0.106</v>
      </c>
      <c r="C1555" s="75" t="s">
        <v>173</v>
      </c>
      <c r="D1555" s="75" t="s">
        <v>132</v>
      </c>
      <c r="E1555" s="75" t="s">
        <v>143</v>
      </c>
      <c r="F1555" s="75"/>
      <c r="G1555" s="75"/>
      <c r="H1555" s="75"/>
      <c r="I1555" s="75" t="s">
        <v>170</v>
      </c>
      <c r="J1555" s="76">
        <v>13</v>
      </c>
      <c r="K1555" s="519">
        <v>3</v>
      </c>
      <c r="L1555" s="520">
        <v>11.05</v>
      </c>
      <c r="M1555" s="520">
        <v>11.71</v>
      </c>
      <c r="N1555" s="507">
        <v>0.106</v>
      </c>
      <c r="O1555" s="507">
        <v>0.10299999999999999</v>
      </c>
      <c r="P1555" s="507">
        <v>0.11799999999999999</v>
      </c>
      <c r="Q1555" s="78">
        <v>0.44</v>
      </c>
      <c r="R1555" s="78">
        <v>0.31740000000000002</v>
      </c>
      <c r="S1555" s="69">
        <v>0</v>
      </c>
      <c r="T1555" s="69">
        <v>0</v>
      </c>
      <c r="U1555" s="507">
        <v>0.85</v>
      </c>
      <c r="V1555" s="76">
        <v>0</v>
      </c>
      <c r="W1555" s="76">
        <v>0</v>
      </c>
      <c r="X1555" s="76"/>
      <c r="Y1555" s="519" t="s">
        <v>469</v>
      </c>
    </row>
    <row r="1556" spans="1:25" x14ac:dyDescent="0.25">
      <c r="A1556" s="75" t="str">
        <f t="shared" si="53"/>
        <v>Pago_de_Hipoteca PF Premier Pago_Bajo_Puntual Si 12</v>
      </c>
      <c r="B1556" s="75" t="str">
        <f t="shared" si="52"/>
        <v>Pago_de_Hipoteca PF Premier Pago_Bajo_Puntual Si 12 0.103</v>
      </c>
      <c r="C1556" s="75" t="s">
        <v>173</v>
      </c>
      <c r="D1556" s="75" t="s">
        <v>132</v>
      </c>
      <c r="E1556" s="75" t="s">
        <v>143</v>
      </c>
      <c r="F1556" s="75"/>
      <c r="G1556" s="75"/>
      <c r="H1556" s="75"/>
      <c r="I1556" s="75" t="s">
        <v>170</v>
      </c>
      <c r="J1556" s="76">
        <v>12</v>
      </c>
      <c r="K1556" s="519" t="s">
        <v>387</v>
      </c>
      <c r="L1556" s="520">
        <v>11.34</v>
      </c>
      <c r="M1556" s="520">
        <v>12</v>
      </c>
      <c r="N1556" s="507">
        <v>0.10299999999999999</v>
      </c>
      <c r="O1556" s="507">
        <v>0.1</v>
      </c>
      <c r="P1556" s="507">
        <v>0.112</v>
      </c>
      <c r="Q1556" s="78">
        <v>0.44</v>
      </c>
      <c r="R1556" s="78">
        <v>0.31740000000000002</v>
      </c>
      <c r="S1556" s="69">
        <v>0</v>
      </c>
      <c r="T1556" s="69">
        <v>0</v>
      </c>
      <c r="U1556" s="507">
        <v>0.85</v>
      </c>
      <c r="V1556" s="76">
        <v>0</v>
      </c>
      <c r="W1556" s="76">
        <v>0</v>
      </c>
      <c r="X1556" s="76" t="s">
        <v>147</v>
      </c>
      <c r="Y1556" s="519" t="s">
        <v>469</v>
      </c>
    </row>
    <row r="1557" spans="1:25" x14ac:dyDescent="0.25">
      <c r="A1557" s="75" t="str">
        <f t="shared" si="53"/>
        <v>Pago_de_Hipoteca PF Premier Pago_Bajo_Puntual 12</v>
      </c>
      <c r="B1557" s="75" t="str">
        <f t="shared" si="52"/>
        <v>Pago_de_Hipoteca PF Premier Pago_Bajo_Puntual 12 0.106</v>
      </c>
      <c r="C1557" s="75" t="s">
        <v>173</v>
      </c>
      <c r="D1557" s="75" t="s">
        <v>132</v>
      </c>
      <c r="E1557" s="75" t="s">
        <v>143</v>
      </c>
      <c r="F1557" s="75"/>
      <c r="G1557" s="75"/>
      <c r="H1557" s="75"/>
      <c r="I1557" s="75" t="s">
        <v>170</v>
      </c>
      <c r="J1557" s="76">
        <v>12</v>
      </c>
      <c r="K1557" s="519">
        <v>3</v>
      </c>
      <c r="L1557" s="520">
        <v>11.52</v>
      </c>
      <c r="M1557" s="520">
        <v>12.18</v>
      </c>
      <c r="N1557" s="507">
        <v>0.106</v>
      </c>
      <c r="O1557" s="507">
        <v>0.10299999999999999</v>
      </c>
      <c r="P1557" s="507">
        <v>0.11799999999999999</v>
      </c>
      <c r="Q1557" s="78">
        <v>0.44</v>
      </c>
      <c r="R1557" s="78">
        <v>0.31740000000000002</v>
      </c>
      <c r="S1557" s="69">
        <v>0</v>
      </c>
      <c r="T1557" s="69">
        <v>0</v>
      </c>
      <c r="U1557" s="507">
        <v>0.85</v>
      </c>
      <c r="V1557" s="76">
        <v>0</v>
      </c>
      <c r="W1557" s="76">
        <v>0</v>
      </c>
      <c r="X1557" s="76"/>
      <c r="Y1557" s="519" t="s">
        <v>469</v>
      </c>
    </row>
    <row r="1558" spans="1:25" x14ac:dyDescent="0.25">
      <c r="A1558" s="75" t="str">
        <f t="shared" si="53"/>
        <v>Pago_de_Hipoteca PF Premier Pago_Bajo_Puntual Si 11</v>
      </c>
      <c r="B1558" s="75" t="str">
        <f t="shared" si="52"/>
        <v>Pago_de_Hipoteca PF Premier Pago_Bajo_Puntual Si 11 0.103</v>
      </c>
      <c r="C1558" s="75" t="s">
        <v>173</v>
      </c>
      <c r="D1558" s="75" t="s">
        <v>132</v>
      </c>
      <c r="E1558" s="75" t="s">
        <v>143</v>
      </c>
      <c r="F1558" s="75"/>
      <c r="G1558" s="75"/>
      <c r="H1558" s="75"/>
      <c r="I1558" s="75" t="s">
        <v>170</v>
      </c>
      <c r="J1558" s="76">
        <v>11</v>
      </c>
      <c r="K1558" s="519" t="s">
        <v>387</v>
      </c>
      <c r="L1558" s="520">
        <v>11.92</v>
      </c>
      <c r="M1558" s="520">
        <v>12.58</v>
      </c>
      <c r="N1558" s="507">
        <v>0.10299999999999999</v>
      </c>
      <c r="O1558" s="507">
        <v>0.1</v>
      </c>
      <c r="P1558" s="507">
        <v>0.112</v>
      </c>
      <c r="Q1558" s="78">
        <v>0.44</v>
      </c>
      <c r="R1558" s="78">
        <v>0.31740000000000002</v>
      </c>
      <c r="S1558" s="69">
        <v>0</v>
      </c>
      <c r="T1558" s="69">
        <v>0</v>
      </c>
      <c r="U1558" s="507">
        <v>0.85</v>
      </c>
      <c r="V1558" s="76">
        <v>0</v>
      </c>
      <c r="W1558" s="76">
        <v>0</v>
      </c>
      <c r="X1558" s="76" t="s">
        <v>147</v>
      </c>
      <c r="Y1558" s="519" t="s">
        <v>469</v>
      </c>
    </row>
    <row r="1559" spans="1:25" x14ac:dyDescent="0.25">
      <c r="A1559" s="75" t="str">
        <f t="shared" si="53"/>
        <v>Pago_de_Hipoteca PF Premier Pago_Bajo_Puntual 11</v>
      </c>
      <c r="B1559" s="75" t="str">
        <f t="shared" si="52"/>
        <v>Pago_de_Hipoteca PF Premier Pago_Bajo_Puntual 11 0.106</v>
      </c>
      <c r="C1559" s="75" t="s">
        <v>173</v>
      </c>
      <c r="D1559" s="75" t="s">
        <v>132</v>
      </c>
      <c r="E1559" s="75" t="s">
        <v>143</v>
      </c>
      <c r="F1559" s="75"/>
      <c r="G1559" s="75"/>
      <c r="H1559" s="75"/>
      <c r="I1559" s="75" t="s">
        <v>170</v>
      </c>
      <c r="J1559" s="76">
        <v>11</v>
      </c>
      <c r="K1559" s="519">
        <v>3</v>
      </c>
      <c r="L1559" s="520">
        <v>12.09</v>
      </c>
      <c r="M1559" s="520">
        <v>12.75</v>
      </c>
      <c r="N1559" s="507">
        <v>0.106</v>
      </c>
      <c r="O1559" s="507">
        <v>0.10299999999999999</v>
      </c>
      <c r="P1559" s="507">
        <v>0.11799999999999999</v>
      </c>
      <c r="Q1559" s="78">
        <v>0.44</v>
      </c>
      <c r="R1559" s="78">
        <v>0.31740000000000002</v>
      </c>
      <c r="S1559" s="69">
        <v>0</v>
      </c>
      <c r="T1559" s="69">
        <v>0</v>
      </c>
      <c r="U1559" s="507">
        <v>0.85</v>
      </c>
      <c r="V1559" s="76">
        <v>0</v>
      </c>
      <c r="W1559" s="76">
        <v>0</v>
      </c>
      <c r="X1559" s="76"/>
      <c r="Y1559" s="519" t="s">
        <v>469</v>
      </c>
    </row>
    <row r="1560" spans="1:25" x14ac:dyDescent="0.25">
      <c r="A1560" s="75" t="str">
        <f t="shared" si="53"/>
        <v>Pago_de_Hipoteca PF Premier Pago_Bajo_Puntual Si 10</v>
      </c>
      <c r="B1560" s="75" t="str">
        <f t="shared" si="52"/>
        <v>Pago_de_Hipoteca PF Premier Pago_Bajo_Puntual Si 10 0.103</v>
      </c>
      <c r="C1560" s="75" t="s">
        <v>173</v>
      </c>
      <c r="D1560" s="75" t="s">
        <v>132</v>
      </c>
      <c r="E1560" s="75" t="s">
        <v>143</v>
      </c>
      <c r="F1560" s="75"/>
      <c r="G1560" s="75"/>
      <c r="H1560" s="75"/>
      <c r="I1560" s="75" t="s">
        <v>170</v>
      </c>
      <c r="J1560" s="76">
        <v>10</v>
      </c>
      <c r="K1560" s="519" t="s">
        <v>387</v>
      </c>
      <c r="L1560" s="520">
        <v>12.62</v>
      </c>
      <c r="M1560" s="520">
        <v>13.28</v>
      </c>
      <c r="N1560" s="507">
        <v>0.10299999999999999</v>
      </c>
      <c r="O1560" s="507">
        <v>0.1</v>
      </c>
      <c r="P1560" s="507">
        <v>0.112</v>
      </c>
      <c r="Q1560" s="78">
        <v>0.44</v>
      </c>
      <c r="R1560" s="78">
        <v>0.31740000000000002</v>
      </c>
      <c r="S1560" s="69">
        <v>0</v>
      </c>
      <c r="T1560" s="69">
        <v>0</v>
      </c>
      <c r="U1560" s="507">
        <v>0.85</v>
      </c>
      <c r="V1560" s="76">
        <v>0</v>
      </c>
      <c r="W1560" s="76">
        <v>0</v>
      </c>
      <c r="X1560" s="76" t="s">
        <v>147</v>
      </c>
      <c r="Y1560" s="519" t="s">
        <v>469</v>
      </c>
    </row>
    <row r="1561" spans="1:25" x14ac:dyDescent="0.25">
      <c r="A1561" s="75" t="str">
        <f t="shared" si="53"/>
        <v>Pago_de_Hipoteca PF Premier Pago_Bajo_Puntual 10</v>
      </c>
      <c r="B1561" s="75" t="str">
        <f t="shared" si="52"/>
        <v>Pago_de_Hipoteca PF Premier Pago_Bajo_Puntual 10 0.106</v>
      </c>
      <c r="C1561" s="75" t="s">
        <v>173</v>
      </c>
      <c r="D1561" s="75" t="s">
        <v>132</v>
      </c>
      <c r="E1561" s="75" t="s">
        <v>143</v>
      </c>
      <c r="F1561" s="75"/>
      <c r="G1561" s="75"/>
      <c r="H1561" s="75"/>
      <c r="I1561" s="75" t="s">
        <v>170</v>
      </c>
      <c r="J1561" s="76">
        <v>10</v>
      </c>
      <c r="K1561" s="519">
        <v>3</v>
      </c>
      <c r="L1561" s="520">
        <v>12.78</v>
      </c>
      <c r="M1561" s="520">
        <v>13.44</v>
      </c>
      <c r="N1561" s="507">
        <v>0.106</v>
      </c>
      <c r="O1561" s="507">
        <v>0.10299999999999999</v>
      </c>
      <c r="P1561" s="507">
        <v>0.11799999999999999</v>
      </c>
      <c r="Q1561" s="78">
        <v>0.44</v>
      </c>
      <c r="R1561" s="78">
        <v>0.31740000000000002</v>
      </c>
      <c r="S1561" s="69">
        <v>0</v>
      </c>
      <c r="T1561" s="69">
        <v>0</v>
      </c>
      <c r="U1561" s="507">
        <v>0.85</v>
      </c>
      <c r="V1561" s="76">
        <v>0</v>
      </c>
      <c r="W1561" s="76">
        <v>0</v>
      </c>
      <c r="X1561" s="76"/>
      <c r="Y1561" s="519" t="s">
        <v>469</v>
      </c>
    </row>
    <row r="1562" spans="1:25" x14ac:dyDescent="0.25">
      <c r="A1562" s="75" t="str">
        <f t="shared" si="53"/>
        <v>Pago_de_Hipoteca PF Premier Pago_Bajo_Puntual Si 9</v>
      </c>
      <c r="B1562" s="75" t="str">
        <f t="shared" si="52"/>
        <v>Pago_de_Hipoteca PF Premier Pago_Bajo_Puntual Si 9 0.103</v>
      </c>
      <c r="C1562" s="75" t="s">
        <v>173</v>
      </c>
      <c r="D1562" s="75" t="s">
        <v>132</v>
      </c>
      <c r="E1562" s="75" t="s">
        <v>143</v>
      </c>
      <c r="F1562" s="75"/>
      <c r="G1562" s="75"/>
      <c r="H1562" s="75"/>
      <c r="I1562" s="75" t="s">
        <v>170</v>
      </c>
      <c r="J1562" s="76">
        <v>9</v>
      </c>
      <c r="K1562" s="519" t="s">
        <v>387</v>
      </c>
      <c r="L1562" s="520">
        <v>13.49</v>
      </c>
      <c r="M1562" s="520">
        <v>14.15</v>
      </c>
      <c r="N1562" s="507">
        <v>0.10299999999999999</v>
      </c>
      <c r="O1562" s="507">
        <v>0.1</v>
      </c>
      <c r="P1562" s="507">
        <v>0.112</v>
      </c>
      <c r="Q1562" s="78">
        <v>0.44</v>
      </c>
      <c r="R1562" s="78">
        <v>0.31740000000000002</v>
      </c>
      <c r="S1562" s="69">
        <v>0</v>
      </c>
      <c r="T1562" s="69">
        <v>0</v>
      </c>
      <c r="U1562" s="507">
        <v>0.85</v>
      </c>
      <c r="V1562" s="76">
        <v>0</v>
      </c>
      <c r="W1562" s="76">
        <v>0</v>
      </c>
      <c r="X1562" s="76" t="s">
        <v>147</v>
      </c>
      <c r="Y1562" s="519" t="s">
        <v>469</v>
      </c>
    </row>
    <row r="1563" spans="1:25" x14ac:dyDescent="0.25">
      <c r="A1563" s="75" t="str">
        <f t="shared" si="53"/>
        <v>Pago_de_Hipoteca PF Premier Pago_Bajo_Puntual 9</v>
      </c>
      <c r="B1563" s="75" t="str">
        <f t="shared" si="52"/>
        <v>Pago_de_Hipoteca PF Premier Pago_Bajo_Puntual 9 0.106</v>
      </c>
      <c r="C1563" s="75" t="s">
        <v>173</v>
      </c>
      <c r="D1563" s="75" t="s">
        <v>132</v>
      </c>
      <c r="E1563" s="75" t="s">
        <v>143</v>
      </c>
      <c r="F1563" s="75"/>
      <c r="G1563" s="75"/>
      <c r="H1563" s="75"/>
      <c r="I1563" s="75" t="s">
        <v>170</v>
      </c>
      <c r="J1563" s="76">
        <v>9</v>
      </c>
      <c r="K1563" s="519">
        <v>3</v>
      </c>
      <c r="L1563" s="520">
        <v>13.65</v>
      </c>
      <c r="M1563" s="520">
        <v>14.31</v>
      </c>
      <c r="N1563" s="507">
        <v>0.106</v>
      </c>
      <c r="O1563" s="507">
        <v>0.10299999999999999</v>
      </c>
      <c r="P1563" s="507">
        <v>0.11799999999999999</v>
      </c>
      <c r="Q1563" s="78">
        <v>0.44</v>
      </c>
      <c r="R1563" s="78">
        <v>0.31740000000000002</v>
      </c>
      <c r="S1563" s="69">
        <v>0</v>
      </c>
      <c r="T1563" s="69">
        <v>0</v>
      </c>
      <c r="U1563" s="507">
        <v>0.85</v>
      </c>
      <c r="V1563" s="76">
        <v>0</v>
      </c>
      <c r="W1563" s="76">
        <v>0</v>
      </c>
      <c r="X1563" s="76"/>
      <c r="Y1563" s="519" t="s">
        <v>469</v>
      </c>
    </row>
    <row r="1564" spans="1:25" x14ac:dyDescent="0.25">
      <c r="A1564" s="75" t="str">
        <f t="shared" si="53"/>
        <v>Pago_de_Hipoteca PF Premier Pago_Bajo_Puntual Si 8</v>
      </c>
      <c r="B1564" s="75" t="str">
        <f t="shared" si="52"/>
        <v>Pago_de_Hipoteca PF Premier Pago_Bajo_Puntual Si 8 0.103</v>
      </c>
      <c r="C1564" s="75" t="s">
        <v>173</v>
      </c>
      <c r="D1564" s="75" t="s">
        <v>132</v>
      </c>
      <c r="E1564" s="75" t="s">
        <v>143</v>
      </c>
      <c r="F1564" s="75"/>
      <c r="G1564" s="75"/>
      <c r="H1564" s="75"/>
      <c r="I1564" s="75" t="s">
        <v>170</v>
      </c>
      <c r="J1564" s="76">
        <v>8</v>
      </c>
      <c r="K1564" s="519" t="s">
        <v>387</v>
      </c>
      <c r="L1564" s="520">
        <v>14.59</v>
      </c>
      <c r="M1564" s="520">
        <v>15.25</v>
      </c>
      <c r="N1564" s="507">
        <v>0.10299999999999999</v>
      </c>
      <c r="O1564" s="507">
        <v>0.1</v>
      </c>
      <c r="P1564" s="507">
        <v>0.112</v>
      </c>
      <c r="Q1564" s="78">
        <v>0.44</v>
      </c>
      <c r="R1564" s="78">
        <v>0.31740000000000002</v>
      </c>
      <c r="S1564" s="69">
        <v>0</v>
      </c>
      <c r="T1564" s="69">
        <v>0</v>
      </c>
      <c r="U1564" s="507">
        <v>0.85</v>
      </c>
      <c r="V1564" s="76">
        <v>0</v>
      </c>
      <c r="W1564" s="76">
        <v>0</v>
      </c>
      <c r="X1564" s="76" t="s">
        <v>147</v>
      </c>
      <c r="Y1564" s="519" t="s">
        <v>469</v>
      </c>
    </row>
    <row r="1565" spans="1:25" x14ac:dyDescent="0.25">
      <c r="A1565" s="75" t="str">
        <f t="shared" si="53"/>
        <v>Pago_de_Hipoteca PF Premier Pago_Bajo_Puntual 8</v>
      </c>
      <c r="B1565" s="75" t="str">
        <f t="shared" si="52"/>
        <v>Pago_de_Hipoteca PF Premier Pago_Bajo_Puntual 8 0.106</v>
      </c>
      <c r="C1565" s="75" t="s">
        <v>173</v>
      </c>
      <c r="D1565" s="75" t="s">
        <v>132</v>
      </c>
      <c r="E1565" s="75" t="s">
        <v>143</v>
      </c>
      <c r="F1565" s="75"/>
      <c r="G1565" s="75"/>
      <c r="H1565" s="75"/>
      <c r="I1565" s="75" t="s">
        <v>170</v>
      </c>
      <c r="J1565" s="76">
        <v>8</v>
      </c>
      <c r="K1565" s="519">
        <v>3</v>
      </c>
      <c r="L1565" s="520">
        <v>14.74</v>
      </c>
      <c r="M1565" s="520">
        <v>15.4</v>
      </c>
      <c r="N1565" s="507">
        <v>0.106</v>
      </c>
      <c r="O1565" s="507">
        <v>0.10299999999999999</v>
      </c>
      <c r="P1565" s="507">
        <v>0.11799999999999999</v>
      </c>
      <c r="Q1565" s="78">
        <v>0.44</v>
      </c>
      <c r="R1565" s="78">
        <v>0.31740000000000002</v>
      </c>
      <c r="S1565" s="69">
        <v>0</v>
      </c>
      <c r="T1565" s="69">
        <v>0</v>
      </c>
      <c r="U1565" s="507">
        <v>0.85</v>
      </c>
      <c r="V1565" s="76">
        <v>0</v>
      </c>
      <c r="W1565" s="76">
        <v>0</v>
      </c>
      <c r="X1565" s="76"/>
      <c r="Y1565" s="519" t="s">
        <v>469</v>
      </c>
    </row>
    <row r="1566" spans="1:25" x14ac:dyDescent="0.25">
      <c r="A1566" s="75" t="str">
        <f t="shared" si="53"/>
        <v>Pago_de_Hipoteca PF Premier Pago_Bajo_Puntual Si 7</v>
      </c>
      <c r="B1566" s="75" t="str">
        <f t="shared" si="52"/>
        <v>Pago_de_Hipoteca PF Premier Pago_Bajo_Puntual Si 7 0.103</v>
      </c>
      <c r="C1566" s="75" t="s">
        <v>173</v>
      </c>
      <c r="D1566" s="75" t="s">
        <v>132</v>
      </c>
      <c r="E1566" s="75" t="s">
        <v>143</v>
      </c>
      <c r="F1566" s="75"/>
      <c r="G1566" s="75"/>
      <c r="H1566" s="75"/>
      <c r="I1566" s="75" t="s">
        <v>170</v>
      </c>
      <c r="J1566" s="76">
        <v>7</v>
      </c>
      <c r="K1566" s="519" t="s">
        <v>387</v>
      </c>
      <c r="L1566" s="520">
        <v>16.03</v>
      </c>
      <c r="M1566" s="520">
        <v>16.690000000000001</v>
      </c>
      <c r="N1566" s="507">
        <v>0.10299999999999999</v>
      </c>
      <c r="O1566" s="507">
        <v>0.1</v>
      </c>
      <c r="P1566" s="507">
        <v>0.112</v>
      </c>
      <c r="Q1566" s="78">
        <v>0.44</v>
      </c>
      <c r="R1566" s="78">
        <v>0.31740000000000002</v>
      </c>
      <c r="S1566" s="69">
        <v>0</v>
      </c>
      <c r="T1566" s="69">
        <v>0</v>
      </c>
      <c r="U1566" s="507">
        <v>0.85</v>
      </c>
      <c r="V1566" s="76">
        <v>0</v>
      </c>
      <c r="W1566" s="76">
        <v>0</v>
      </c>
      <c r="X1566" s="76" t="s">
        <v>147</v>
      </c>
      <c r="Y1566" s="519" t="s">
        <v>469</v>
      </c>
    </row>
    <row r="1567" spans="1:25" x14ac:dyDescent="0.25">
      <c r="A1567" s="75" t="str">
        <f t="shared" si="53"/>
        <v>Pago_de_Hipoteca PF Premier Pago_Bajo_Puntual 7</v>
      </c>
      <c r="B1567" s="75" t="str">
        <f t="shared" si="52"/>
        <v>Pago_de_Hipoteca PF Premier Pago_Bajo_Puntual 7 0.106</v>
      </c>
      <c r="C1567" s="75" t="s">
        <v>173</v>
      </c>
      <c r="D1567" s="75" t="s">
        <v>132</v>
      </c>
      <c r="E1567" s="75" t="s">
        <v>143</v>
      </c>
      <c r="F1567" s="75"/>
      <c r="G1567" s="75"/>
      <c r="H1567" s="75"/>
      <c r="I1567" s="75" t="s">
        <v>170</v>
      </c>
      <c r="J1567" s="76">
        <v>7</v>
      </c>
      <c r="K1567" s="519">
        <v>3</v>
      </c>
      <c r="L1567" s="520">
        <v>16.18</v>
      </c>
      <c r="M1567" s="520">
        <v>16.84</v>
      </c>
      <c r="N1567" s="507">
        <v>0.106</v>
      </c>
      <c r="O1567" s="507">
        <v>0.10299999999999999</v>
      </c>
      <c r="P1567" s="507">
        <v>0.11799999999999999</v>
      </c>
      <c r="Q1567" s="78">
        <v>0.44</v>
      </c>
      <c r="R1567" s="78">
        <v>0.31740000000000002</v>
      </c>
      <c r="S1567" s="69">
        <v>0</v>
      </c>
      <c r="T1567" s="69">
        <v>0</v>
      </c>
      <c r="U1567" s="507">
        <v>0.85</v>
      </c>
      <c r="V1567" s="76">
        <v>0</v>
      </c>
      <c r="W1567" s="76">
        <v>0</v>
      </c>
      <c r="X1567" s="76"/>
      <c r="Y1567" s="519" t="s">
        <v>469</v>
      </c>
    </row>
    <row r="1568" spans="1:25" x14ac:dyDescent="0.25">
      <c r="A1568" s="75" t="str">
        <f t="shared" si="53"/>
        <v>Pago_de_Hipoteca PF Premier Pago_Bajo_Puntual Si 6</v>
      </c>
      <c r="B1568" s="75" t="str">
        <f t="shared" si="52"/>
        <v>Pago_de_Hipoteca PF Premier Pago_Bajo_Puntual Si 6 0.103</v>
      </c>
      <c r="C1568" s="75" t="s">
        <v>173</v>
      </c>
      <c r="D1568" s="75" t="s">
        <v>132</v>
      </c>
      <c r="E1568" s="75" t="s">
        <v>143</v>
      </c>
      <c r="F1568" s="75"/>
      <c r="G1568" s="75"/>
      <c r="H1568" s="75"/>
      <c r="I1568" s="75" t="s">
        <v>170</v>
      </c>
      <c r="J1568" s="76">
        <v>6</v>
      </c>
      <c r="K1568" s="519" t="s">
        <v>387</v>
      </c>
      <c r="L1568" s="520">
        <v>17.97</v>
      </c>
      <c r="M1568" s="520">
        <v>18.63</v>
      </c>
      <c r="N1568" s="507">
        <v>0.10299999999999999</v>
      </c>
      <c r="O1568" s="507">
        <v>0.1</v>
      </c>
      <c r="P1568" s="507">
        <v>0.112</v>
      </c>
      <c r="Q1568" s="78">
        <v>0.44</v>
      </c>
      <c r="R1568" s="78">
        <v>0.31740000000000002</v>
      </c>
      <c r="S1568" s="69">
        <v>0</v>
      </c>
      <c r="T1568" s="69">
        <v>0</v>
      </c>
      <c r="U1568" s="507">
        <v>0.85</v>
      </c>
      <c r="V1568" s="76">
        <v>0</v>
      </c>
      <c r="W1568" s="76">
        <v>0</v>
      </c>
      <c r="X1568" s="76" t="s">
        <v>147</v>
      </c>
      <c r="Y1568" s="519" t="s">
        <v>469</v>
      </c>
    </row>
    <row r="1569" spans="1:25" x14ac:dyDescent="0.25">
      <c r="A1569" s="75" t="str">
        <f t="shared" si="53"/>
        <v>Pago_de_Hipoteca PF Premier Pago_Bajo_Puntual 6</v>
      </c>
      <c r="B1569" s="75" t="str">
        <f t="shared" si="52"/>
        <v>Pago_de_Hipoteca PF Premier Pago_Bajo_Puntual 6 0.106</v>
      </c>
      <c r="C1569" s="75" t="s">
        <v>173</v>
      </c>
      <c r="D1569" s="75" t="s">
        <v>132</v>
      </c>
      <c r="E1569" s="75" t="s">
        <v>143</v>
      </c>
      <c r="F1569" s="75"/>
      <c r="G1569" s="75"/>
      <c r="H1569" s="75"/>
      <c r="I1569" s="75" t="s">
        <v>170</v>
      </c>
      <c r="J1569" s="76">
        <v>6</v>
      </c>
      <c r="K1569" s="519">
        <v>3</v>
      </c>
      <c r="L1569" s="520">
        <v>18.12</v>
      </c>
      <c r="M1569" s="520">
        <v>18.78</v>
      </c>
      <c r="N1569" s="507">
        <v>0.106</v>
      </c>
      <c r="O1569" s="507">
        <v>0.10299999999999999</v>
      </c>
      <c r="P1569" s="507">
        <v>0.11799999999999999</v>
      </c>
      <c r="Q1569" s="78">
        <v>0.44</v>
      </c>
      <c r="R1569" s="78">
        <v>0.31740000000000002</v>
      </c>
      <c r="S1569" s="69">
        <v>0</v>
      </c>
      <c r="T1569" s="69">
        <v>0</v>
      </c>
      <c r="U1569" s="507">
        <v>0.85</v>
      </c>
      <c r="V1569" s="76">
        <v>0</v>
      </c>
      <c r="W1569" s="76">
        <v>0</v>
      </c>
      <c r="X1569" s="76"/>
      <c r="Y1569" s="519" t="s">
        <v>469</v>
      </c>
    </row>
    <row r="1570" spans="1:25" x14ac:dyDescent="0.25">
      <c r="A1570" s="75" t="str">
        <f t="shared" si="53"/>
        <v>Pago_de_Hipoteca PF Premier Pago_Bajo_Puntual Si 5</v>
      </c>
      <c r="B1570" s="75" t="str">
        <f t="shared" si="52"/>
        <v>Pago_de_Hipoteca PF Premier Pago_Bajo_Puntual Si 5 0.103</v>
      </c>
      <c r="C1570" s="75" t="s">
        <v>173</v>
      </c>
      <c r="D1570" s="75" t="s">
        <v>132</v>
      </c>
      <c r="E1570" s="75" t="s">
        <v>143</v>
      </c>
      <c r="F1570" s="75"/>
      <c r="G1570" s="75"/>
      <c r="H1570" s="75"/>
      <c r="I1570" s="75" t="s">
        <v>170</v>
      </c>
      <c r="J1570" s="76">
        <v>5</v>
      </c>
      <c r="K1570" s="519" t="s">
        <v>387</v>
      </c>
      <c r="L1570" s="520">
        <v>20.72</v>
      </c>
      <c r="M1570" s="520">
        <v>21.38</v>
      </c>
      <c r="N1570" s="507">
        <v>0.10299999999999999</v>
      </c>
      <c r="O1570" s="507">
        <v>0.1</v>
      </c>
      <c r="P1570" s="507">
        <v>0.112</v>
      </c>
      <c r="Q1570" s="78">
        <v>0.44</v>
      </c>
      <c r="R1570" s="78">
        <v>0.31740000000000002</v>
      </c>
      <c r="S1570" s="69">
        <v>0</v>
      </c>
      <c r="T1570" s="69">
        <v>0</v>
      </c>
      <c r="U1570" s="507">
        <v>0.85</v>
      </c>
      <c r="V1570" s="76">
        <v>0</v>
      </c>
      <c r="W1570" s="76">
        <v>0</v>
      </c>
      <c r="X1570" s="76" t="s">
        <v>147</v>
      </c>
      <c r="Y1570" s="519" t="s">
        <v>469</v>
      </c>
    </row>
    <row r="1571" spans="1:25" x14ac:dyDescent="0.25">
      <c r="A1571" s="75" t="str">
        <f t="shared" si="53"/>
        <v>Pago_de_Hipoteca PF Premier Pago_Bajo_Puntual 5</v>
      </c>
      <c r="B1571" s="75" t="str">
        <f t="shared" si="52"/>
        <v>Pago_de_Hipoteca PF Premier Pago_Bajo_Puntual 5 0.106</v>
      </c>
      <c r="C1571" s="75" t="s">
        <v>173</v>
      </c>
      <c r="D1571" s="75" t="s">
        <v>132</v>
      </c>
      <c r="E1571" s="75" t="s">
        <v>143</v>
      </c>
      <c r="F1571" s="75"/>
      <c r="G1571" s="75"/>
      <c r="H1571" s="75"/>
      <c r="I1571" s="75" t="s">
        <v>170</v>
      </c>
      <c r="J1571" s="76">
        <v>5</v>
      </c>
      <c r="K1571" s="519">
        <v>3</v>
      </c>
      <c r="L1571" s="520">
        <v>20.86</v>
      </c>
      <c r="M1571" s="520">
        <v>21.52</v>
      </c>
      <c r="N1571" s="507">
        <v>0.106</v>
      </c>
      <c r="O1571" s="507">
        <v>0.10299999999999999</v>
      </c>
      <c r="P1571" s="507">
        <v>0.11799999999999999</v>
      </c>
      <c r="Q1571" s="78">
        <v>0.44</v>
      </c>
      <c r="R1571" s="78">
        <v>0.31740000000000002</v>
      </c>
      <c r="S1571" s="69">
        <v>0</v>
      </c>
      <c r="T1571" s="69">
        <v>0</v>
      </c>
      <c r="U1571" s="507">
        <v>0.85</v>
      </c>
      <c r="V1571" s="76">
        <v>0</v>
      </c>
      <c r="W1571" s="76">
        <v>0</v>
      </c>
      <c r="X1571" s="76"/>
      <c r="Y1571" s="519" t="s">
        <v>469</v>
      </c>
    </row>
    <row r="1572" spans="1:25" x14ac:dyDescent="0.25">
      <c r="A1572" s="75" t="str">
        <f t="shared" si="53"/>
        <v>Pago_de_Hipoteca PF Premier Pago_Fijo_Puntual 20</v>
      </c>
      <c r="B1572" s="75" t="str">
        <f t="shared" si="52"/>
        <v>Pago_de_Hipoteca PF Premier Pago_Fijo_Puntual 20 0.0965</v>
      </c>
      <c r="C1572" s="75" t="s">
        <v>173</v>
      </c>
      <c r="D1572" s="75" t="s">
        <v>132</v>
      </c>
      <c r="E1572" s="75" t="s">
        <v>143</v>
      </c>
      <c r="F1572" s="75"/>
      <c r="G1572" s="75"/>
      <c r="H1572" s="75"/>
      <c r="I1572" s="75" t="s">
        <v>171</v>
      </c>
      <c r="J1572" s="76">
        <v>20</v>
      </c>
      <c r="K1572" s="516" t="s">
        <v>385</v>
      </c>
      <c r="L1572" s="517">
        <v>9.66</v>
      </c>
      <c r="M1572" s="517">
        <v>10.32</v>
      </c>
      <c r="N1572" s="518">
        <v>9.6500000000000002E-2</v>
      </c>
      <c r="O1572" s="518">
        <v>9.1999999999999998E-2</v>
      </c>
      <c r="P1572" s="518">
        <v>0.10249999999999999</v>
      </c>
      <c r="Q1572" s="78">
        <v>0.44</v>
      </c>
      <c r="R1572" s="78">
        <v>0.31740000000000002</v>
      </c>
      <c r="S1572" s="69">
        <v>0</v>
      </c>
      <c r="T1572" s="69">
        <v>0</v>
      </c>
      <c r="U1572" s="518">
        <v>0.7</v>
      </c>
      <c r="V1572" s="76">
        <v>0</v>
      </c>
      <c r="W1572" s="76">
        <v>0</v>
      </c>
      <c r="X1572" s="76"/>
      <c r="Y1572" s="516" t="s">
        <v>470</v>
      </c>
    </row>
    <row r="1573" spans="1:25" x14ac:dyDescent="0.25">
      <c r="A1573" s="75" t="str">
        <f t="shared" si="53"/>
        <v>Pago_de_Hipoteca PF Premier Pago_Fijo_Puntual 20</v>
      </c>
      <c r="B1573" s="75" t="str">
        <f t="shared" si="52"/>
        <v>Pago_de_Hipoteca PF Premier Pago_Fijo_Puntual 20 0.103</v>
      </c>
      <c r="C1573" s="75" t="s">
        <v>173</v>
      </c>
      <c r="D1573" s="75" t="s">
        <v>132</v>
      </c>
      <c r="E1573" s="75" t="s">
        <v>143</v>
      </c>
      <c r="F1573" s="75"/>
      <c r="G1573" s="75"/>
      <c r="H1573" s="75"/>
      <c r="I1573" s="75" t="s">
        <v>171</v>
      </c>
      <c r="J1573" s="76">
        <v>20</v>
      </c>
      <c r="K1573" s="516" t="s">
        <v>386</v>
      </c>
      <c r="L1573" s="517">
        <v>10.16</v>
      </c>
      <c r="M1573" s="517">
        <v>10.82</v>
      </c>
      <c r="N1573" s="518">
        <v>0.10299999999999999</v>
      </c>
      <c r="O1573" s="518">
        <v>0.1</v>
      </c>
      <c r="P1573" s="518">
        <v>0.112</v>
      </c>
      <c r="Q1573" s="78">
        <v>0.44</v>
      </c>
      <c r="R1573" s="78">
        <v>0.31740000000000002</v>
      </c>
      <c r="S1573" s="69">
        <v>0</v>
      </c>
      <c r="T1573" s="69">
        <v>0</v>
      </c>
      <c r="U1573" s="518">
        <v>0.7</v>
      </c>
      <c r="V1573" s="76">
        <v>0</v>
      </c>
      <c r="W1573" s="76">
        <v>0</v>
      </c>
      <c r="X1573" s="76"/>
      <c r="Y1573" s="516" t="s">
        <v>470</v>
      </c>
    </row>
    <row r="1574" spans="1:25" x14ac:dyDescent="0.25">
      <c r="A1574" s="75" t="str">
        <f t="shared" si="53"/>
        <v>Pago_de_Hipoteca PF Premier Pago_Fijo_Puntual 19</v>
      </c>
      <c r="B1574" s="75" t="str">
        <f t="shared" ref="B1574:B1636" si="54">CONCATENATE(A1574," ",N1574)</f>
        <v>Pago_de_Hipoteca PF Premier Pago_Fijo_Puntual 19 0.0965</v>
      </c>
      <c r="C1574" s="75" t="s">
        <v>173</v>
      </c>
      <c r="D1574" s="75" t="s">
        <v>132</v>
      </c>
      <c r="E1574" s="75" t="s">
        <v>143</v>
      </c>
      <c r="F1574" s="75"/>
      <c r="G1574" s="75"/>
      <c r="H1574" s="75"/>
      <c r="I1574" s="75" t="s">
        <v>171</v>
      </c>
      <c r="J1574" s="76">
        <v>19</v>
      </c>
      <c r="K1574" s="516" t="s">
        <v>385</v>
      </c>
      <c r="L1574" s="517">
        <v>9.82</v>
      </c>
      <c r="M1574" s="517">
        <v>10.48</v>
      </c>
      <c r="N1574" s="518">
        <v>9.6500000000000002E-2</v>
      </c>
      <c r="O1574" s="518">
        <v>9.1999999999999998E-2</v>
      </c>
      <c r="P1574" s="518">
        <v>0.10249999999999999</v>
      </c>
      <c r="Q1574" s="78">
        <v>0.44</v>
      </c>
      <c r="R1574" s="78">
        <v>0.31740000000000002</v>
      </c>
      <c r="S1574" s="69">
        <v>0</v>
      </c>
      <c r="T1574" s="69">
        <v>0</v>
      </c>
      <c r="U1574" s="518">
        <v>0.7</v>
      </c>
      <c r="V1574" s="76">
        <v>0</v>
      </c>
      <c r="W1574" s="76">
        <v>0</v>
      </c>
      <c r="X1574" s="76"/>
      <c r="Y1574" s="516" t="s">
        <v>470</v>
      </c>
    </row>
    <row r="1575" spans="1:25" x14ac:dyDescent="0.25">
      <c r="A1575" s="75" t="str">
        <f t="shared" ref="A1575:A1637" si="55">TRIM(CONCATENATE(C1575," ",D1575," ",E1575," ",F1575," ",G1575," ",I1575," ",X1575," ",J1575))</f>
        <v>Pago_de_Hipoteca PF Premier Pago_Fijo_Puntual 19</v>
      </c>
      <c r="B1575" s="75" t="str">
        <f t="shared" si="54"/>
        <v>Pago_de_Hipoteca PF Premier Pago_Fijo_Puntual 19 0.103</v>
      </c>
      <c r="C1575" s="75" t="s">
        <v>173</v>
      </c>
      <c r="D1575" s="75" t="s">
        <v>132</v>
      </c>
      <c r="E1575" s="75" t="s">
        <v>143</v>
      </c>
      <c r="F1575" s="75"/>
      <c r="G1575" s="75"/>
      <c r="H1575" s="75"/>
      <c r="I1575" s="75" t="s">
        <v>171</v>
      </c>
      <c r="J1575" s="76">
        <v>19</v>
      </c>
      <c r="K1575" s="516" t="s">
        <v>386</v>
      </c>
      <c r="L1575" s="517">
        <v>10.3</v>
      </c>
      <c r="M1575" s="517">
        <v>10.96</v>
      </c>
      <c r="N1575" s="518">
        <v>0.10299999999999999</v>
      </c>
      <c r="O1575" s="518">
        <v>0.1</v>
      </c>
      <c r="P1575" s="518">
        <v>0.112</v>
      </c>
      <c r="Q1575" s="78">
        <v>0.44</v>
      </c>
      <c r="R1575" s="78">
        <v>0.31740000000000002</v>
      </c>
      <c r="S1575" s="69">
        <v>0</v>
      </c>
      <c r="T1575" s="69">
        <v>0</v>
      </c>
      <c r="U1575" s="518">
        <v>0.7</v>
      </c>
      <c r="V1575" s="76">
        <v>0</v>
      </c>
      <c r="W1575" s="76">
        <v>0</v>
      </c>
      <c r="X1575" s="76"/>
      <c r="Y1575" s="516" t="s">
        <v>470</v>
      </c>
    </row>
    <row r="1576" spans="1:25" x14ac:dyDescent="0.25">
      <c r="A1576" s="75" t="str">
        <f t="shared" si="55"/>
        <v>Pago_de_Hipoteca PF Premier Pago_Fijo_Puntual 18</v>
      </c>
      <c r="B1576" s="75" t="str">
        <f t="shared" si="54"/>
        <v>Pago_de_Hipoteca PF Premier Pago_Fijo_Puntual 18 0.0965</v>
      </c>
      <c r="C1576" s="75" t="s">
        <v>173</v>
      </c>
      <c r="D1576" s="75" t="s">
        <v>132</v>
      </c>
      <c r="E1576" s="75" t="s">
        <v>143</v>
      </c>
      <c r="F1576" s="75"/>
      <c r="G1576" s="75"/>
      <c r="H1576" s="75"/>
      <c r="I1576" s="75" t="s">
        <v>171</v>
      </c>
      <c r="J1576" s="76">
        <v>18</v>
      </c>
      <c r="K1576" s="516" t="s">
        <v>385</v>
      </c>
      <c r="L1576" s="517">
        <v>10</v>
      </c>
      <c r="M1576" s="517">
        <v>10.66</v>
      </c>
      <c r="N1576" s="518">
        <v>9.6500000000000002E-2</v>
      </c>
      <c r="O1576" s="518">
        <v>9.1999999999999998E-2</v>
      </c>
      <c r="P1576" s="518">
        <v>0.10249999999999999</v>
      </c>
      <c r="Q1576" s="78">
        <v>0.44</v>
      </c>
      <c r="R1576" s="78">
        <v>0.31740000000000002</v>
      </c>
      <c r="S1576" s="69">
        <v>0</v>
      </c>
      <c r="T1576" s="69">
        <v>0</v>
      </c>
      <c r="U1576" s="518">
        <v>0.7</v>
      </c>
      <c r="V1576" s="76">
        <v>0</v>
      </c>
      <c r="W1576" s="76">
        <v>0</v>
      </c>
      <c r="X1576" s="76"/>
      <c r="Y1576" s="516" t="s">
        <v>470</v>
      </c>
    </row>
    <row r="1577" spans="1:25" x14ac:dyDescent="0.25">
      <c r="A1577" s="75" t="str">
        <f t="shared" si="55"/>
        <v>Pago_de_Hipoteca PF Premier Pago_Fijo_Puntual 18</v>
      </c>
      <c r="B1577" s="75" t="str">
        <f t="shared" si="54"/>
        <v>Pago_de_Hipoteca PF Premier Pago_Fijo_Puntual 18 0.103</v>
      </c>
      <c r="C1577" s="75" t="s">
        <v>173</v>
      </c>
      <c r="D1577" s="75" t="s">
        <v>132</v>
      </c>
      <c r="E1577" s="75" t="s">
        <v>143</v>
      </c>
      <c r="F1577" s="75"/>
      <c r="G1577" s="75"/>
      <c r="H1577" s="75"/>
      <c r="I1577" s="75" t="s">
        <v>171</v>
      </c>
      <c r="J1577" s="76">
        <v>18</v>
      </c>
      <c r="K1577" s="516" t="s">
        <v>386</v>
      </c>
      <c r="L1577" s="517">
        <v>10.47</v>
      </c>
      <c r="M1577" s="517">
        <v>11.13</v>
      </c>
      <c r="N1577" s="518">
        <v>0.10299999999999999</v>
      </c>
      <c r="O1577" s="518">
        <v>0.1</v>
      </c>
      <c r="P1577" s="518">
        <v>0.112</v>
      </c>
      <c r="Q1577" s="78">
        <v>0.44</v>
      </c>
      <c r="R1577" s="78">
        <v>0.31740000000000002</v>
      </c>
      <c r="S1577" s="69">
        <v>0</v>
      </c>
      <c r="T1577" s="69">
        <v>0</v>
      </c>
      <c r="U1577" s="518">
        <v>0.7</v>
      </c>
      <c r="V1577" s="76">
        <v>0</v>
      </c>
      <c r="W1577" s="76">
        <v>0</v>
      </c>
      <c r="X1577" s="76"/>
      <c r="Y1577" s="516" t="s">
        <v>470</v>
      </c>
    </row>
    <row r="1578" spans="1:25" x14ac:dyDescent="0.25">
      <c r="A1578" s="75" t="str">
        <f t="shared" si="55"/>
        <v>Pago_de_Hipoteca PF Premier Pago_Fijo_Puntual 17</v>
      </c>
      <c r="B1578" s="75" t="str">
        <f t="shared" si="54"/>
        <v>Pago_de_Hipoteca PF Premier Pago_Fijo_Puntual 17 0.0965</v>
      </c>
      <c r="C1578" s="75" t="s">
        <v>173</v>
      </c>
      <c r="D1578" s="75" t="s">
        <v>132</v>
      </c>
      <c r="E1578" s="75" t="s">
        <v>143</v>
      </c>
      <c r="F1578" s="75"/>
      <c r="G1578" s="75"/>
      <c r="H1578" s="75"/>
      <c r="I1578" s="75" t="s">
        <v>171</v>
      </c>
      <c r="J1578" s="76">
        <v>17</v>
      </c>
      <c r="K1578" s="516" t="s">
        <v>385</v>
      </c>
      <c r="L1578" s="517">
        <v>10.210000000000001</v>
      </c>
      <c r="M1578" s="517">
        <v>10.87</v>
      </c>
      <c r="N1578" s="518">
        <v>9.6500000000000002E-2</v>
      </c>
      <c r="O1578" s="518">
        <v>9.1999999999999998E-2</v>
      </c>
      <c r="P1578" s="518">
        <v>0.10249999999999999</v>
      </c>
      <c r="Q1578" s="78">
        <v>0.44</v>
      </c>
      <c r="R1578" s="78">
        <v>0.31740000000000002</v>
      </c>
      <c r="S1578" s="69">
        <v>0</v>
      </c>
      <c r="T1578" s="69">
        <v>0</v>
      </c>
      <c r="U1578" s="518">
        <v>0.7</v>
      </c>
      <c r="V1578" s="76">
        <v>0</v>
      </c>
      <c r="W1578" s="76">
        <v>0</v>
      </c>
      <c r="X1578" s="76"/>
      <c r="Y1578" s="516" t="s">
        <v>470</v>
      </c>
    </row>
    <row r="1579" spans="1:25" x14ac:dyDescent="0.25">
      <c r="A1579" s="75" t="str">
        <f t="shared" si="55"/>
        <v>Pago_de_Hipoteca PF Premier Pago_Fijo_Puntual 17</v>
      </c>
      <c r="B1579" s="75" t="str">
        <f t="shared" si="54"/>
        <v>Pago_de_Hipoteca PF Premier Pago_Fijo_Puntual 17 0.103</v>
      </c>
      <c r="C1579" s="75" t="s">
        <v>173</v>
      </c>
      <c r="D1579" s="75" t="s">
        <v>132</v>
      </c>
      <c r="E1579" s="75" t="s">
        <v>143</v>
      </c>
      <c r="F1579" s="75"/>
      <c r="G1579" s="75"/>
      <c r="H1579" s="75"/>
      <c r="I1579" s="75" t="s">
        <v>171</v>
      </c>
      <c r="J1579" s="76">
        <v>17</v>
      </c>
      <c r="K1579" s="516" t="s">
        <v>386</v>
      </c>
      <c r="L1579" s="517">
        <v>10.67</v>
      </c>
      <c r="M1579" s="517">
        <v>11.33</v>
      </c>
      <c r="N1579" s="518">
        <v>0.10299999999999999</v>
      </c>
      <c r="O1579" s="518">
        <v>0.1</v>
      </c>
      <c r="P1579" s="518">
        <v>0.112</v>
      </c>
      <c r="Q1579" s="78">
        <v>0.44</v>
      </c>
      <c r="R1579" s="78">
        <v>0.31740000000000002</v>
      </c>
      <c r="S1579" s="69">
        <v>0</v>
      </c>
      <c r="T1579" s="69">
        <v>0</v>
      </c>
      <c r="U1579" s="518">
        <v>0.7</v>
      </c>
      <c r="V1579" s="76">
        <v>0</v>
      </c>
      <c r="W1579" s="76">
        <v>0</v>
      </c>
      <c r="X1579" s="76"/>
      <c r="Y1579" s="516" t="s">
        <v>470</v>
      </c>
    </row>
    <row r="1580" spans="1:25" x14ac:dyDescent="0.25">
      <c r="A1580" s="75" t="str">
        <f t="shared" si="55"/>
        <v>Pago_de_Hipoteca PF Premier Pago_Fijo_Puntual 16</v>
      </c>
      <c r="B1580" s="75" t="str">
        <f t="shared" si="54"/>
        <v>Pago_de_Hipoteca PF Premier Pago_Fijo_Puntual 16 0.0965</v>
      </c>
      <c r="C1580" s="75" t="s">
        <v>173</v>
      </c>
      <c r="D1580" s="75" t="s">
        <v>132</v>
      </c>
      <c r="E1580" s="75" t="s">
        <v>143</v>
      </c>
      <c r="F1580" s="75"/>
      <c r="G1580" s="75"/>
      <c r="H1580" s="75"/>
      <c r="I1580" s="75" t="s">
        <v>171</v>
      </c>
      <c r="J1580" s="76">
        <v>16</v>
      </c>
      <c r="K1580" s="516" t="s">
        <v>385</v>
      </c>
      <c r="L1580" s="517">
        <v>10.45</v>
      </c>
      <c r="M1580" s="517">
        <v>11.11</v>
      </c>
      <c r="N1580" s="518">
        <v>9.6500000000000002E-2</v>
      </c>
      <c r="O1580" s="518">
        <v>9.1999999999999998E-2</v>
      </c>
      <c r="P1580" s="518">
        <v>0.10249999999999999</v>
      </c>
      <c r="Q1580" s="78">
        <v>0.44</v>
      </c>
      <c r="R1580" s="78">
        <v>0.31740000000000002</v>
      </c>
      <c r="S1580" s="69">
        <v>0</v>
      </c>
      <c r="T1580" s="69">
        <v>0</v>
      </c>
      <c r="U1580" s="518">
        <v>0.7</v>
      </c>
      <c r="V1580" s="76">
        <v>0</v>
      </c>
      <c r="W1580" s="76">
        <v>0</v>
      </c>
      <c r="X1580" s="76"/>
      <c r="Y1580" s="516" t="s">
        <v>470</v>
      </c>
    </row>
    <row r="1581" spans="1:25" x14ac:dyDescent="0.25">
      <c r="A1581" s="75" t="str">
        <f t="shared" si="55"/>
        <v>Pago_de_Hipoteca PF Premier Pago_Fijo_Puntual 16</v>
      </c>
      <c r="B1581" s="75" t="str">
        <f t="shared" si="54"/>
        <v>Pago_de_Hipoteca PF Premier Pago_Fijo_Puntual 16 0.103</v>
      </c>
      <c r="C1581" s="75" t="s">
        <v>173</v>
      </c>
      <c r="D1581" s="75" t="s">
        <v>132</v>
      </c>
      <c r="E1581" s="75" t="s">
        <v>143</v>
      </c>
      <c r="F1581" s="75"/>
      <c r="G1581" s="75"/>
      <c r="H1581" s="75"/>
      <c r="I1581" s="75" t="s">
        <v>171</v>
      </c>
      <c r="J1581" s="76">
        <v>16</v>
      </c>
      <c r="K1581" s="516" t="s">
        <v>386</v>
      </c>
      <c r="L1581" s="517">
        <v>10.9</v>
      </c>
      <c r="M1581" s="517">
        <v>11.56</v>
      </c>
      <c r="N1581" s="518">
        <v>0.10299999999999999</v>
      </c>
      <c r="O1581" s="518">
        <v>0.1</v>
      </c>
      <c r="P1581" s="518">
        <v>0.112</v>
      </c>
      <c r="Q1581" s="78">
        <v>0.44</v>
      </c>
      <c r="R1581" s="78">
        <v>0.31740000000000002</v>
      </c>
      <c r="S1581" s="69">
        <v>0</v>
      </c>
      <c r="T1581" s="69">
        <v>0</v>
      </c>
      <c r="U1581" s="518">
        <v>0.7</v>
      </c>
      <c r="V1581" s="76">
        <v>0</v>
      </c>
      <c r="W1581" s="76">
        <v>0</v>
      </c>
      <c r="X1581" s="76"/>
      <c r="Y1581" s="516" t="s">
        <v>470</v>
      </c>
    </row>
    <row r="1582" spans="1:25" x14ac:dyDescent="0.25">
      <c r="A1582" s="75" t="str">
        <f t="shared" si="55"/>
        <v>Pago_de_Hipoteca PF Premier Pago_Fijo_Puntual 15</v>
      </c>
      <c r="B1582" s="75" t="str">
        <f t="shared" si="54"/>
        <v>Pago_de_Hipoteca PF Premier Pago_Fijo_Puntual 15 0.0965</v>
      </c>
      <c r="C1582" s="75" t="s">
        <v>173</v>
      </c>
      <c r="D1582" s="75" t="s">
        <v>132</v>
      </c>
      <c r="E1582" s="75" t="s">
        <v>143</v>
      </c>
      <c r="F1582" s="75"/>
      <c r="G1582" s="75"/>
      <c r="H1582" s="75"/>
      <c r="I1582" s="75" t="s">
        <v>171</v>
      </c>
      <c r="J1582" s="76">
        <v>15</v>
      </c>
      <c r="K1582" s="516" t="s">
        <v>385</v>
      </c>
      <c r="L1582" s="517">
        <v>10.73</v>
      </c>
      <c r="M1582" s="517">
        <v>11.39</v>
      </c>
      <c r="N1582" s="518">
        <v>9.6500000000000002E-2</v>
      </c>
      <c r="O1582" s="518">
        <v>9.1999999999999998E-2</v>
      </c>
      <c r="P1582" s="518">
        <v>0.10249999999999999</v>
      </c>
      <c r="Q1582" s="78">
        <v>0.44</v>
      </c>
      <c r="R1582" s="78">
        <v>0.31740000000000002</v>
      </c>
      <c r="S1582" s="69">
        <v>0</v>
      </c>
      <c r="T1582" s="69">
        <v>0</v>
      </c>
      <c r="U1582" s="518">
        <v>0.7</v>
      </c>
      <c r="V1582" s="76">
        <v>0</v>
      </c>
      <c r="W1582" s="76">
        <v>0</v>
      </c>
      <c r="X1582" s="76"/>
      <c r="Y1582" s="516" t="s">
        <v>470</v>
      </c>
    </row>
    <row r="1583" spans="1:25" x14ac:dyDescent="0.25">
      <c r="A1583" s="75" t="str">
        <f t="shared" si="55"/>
        <v>Pago_de_Hipoteca PF Premier Pago_Fijo_Puntual 15</v>
      </c>
      <c r="B1583" s="75" t="str">
        <f t="shared" si="54"/>
        <v>Pago_de_Hipoteca PF Premier Pago_Fijo_Puntual 15 0.103</v>
      </c>
      <c r="C1583" s="75" t="s">
        <v>173</v>
      </c>
      <c r="D1583" s="75" t="s">
        <v>132</v>
      </c>
      <c r="E1583" s="75" t="s">
        <v>143</v>
      </c>
      <c r="F1583" s="75"/>
      <c r="G1583" s="75"/>
      <c r="H1583" s="75"/>
      <c r="I1583" s="75" t="s">
        <v>171</v>
      </c>
      <c r="J1583" s="76">
        <v>15</v>
      </c>
      <c r="K1583" s="516" t="s">
        <v>386</v>
      </c>
      <c r="L1583" s="517">
        <v>11.18</v>
      </c>
      <c r="M1583" s="517">
        <v>11.84</v>
      </c>
      <c r="N1583" s="518">
        <v>0.10299999999999999</v>
      </c>
      <c r="O1583" s="518">
        <v>0.1</v>
      </c>
      <c r="P1583" s="518">
        <v>0.112</v>
      </c>
      <c r="Q1583" s="78">
        <v>0.44</v>
      </c>
      <c r="R1583" s="78">
        <v>0.31740000000000002</v>
      </c>
      <c r="S1583" s="69">
        <v>0</v>
      </c>
      <c r="T1583" s="69">
        <v>0</v>
      </c>
      <c r="U1583" s="518">
        <v>0.7</v>
      </c>
      <c r="V1583" s="76">
        <v>0</v>
      </c>
      <c r="W1583" s="76">
        <v>0</v>
      </c>
      <c r="X1583" s="76"/>
      <c r="Y1583" s="516" t="s">
        <v>470</v>
      </c>
    </row>
    <row r="1584" spans="1:25" x14ac:dyDescent="0.25">
      <c r="A1584" s="75" t="str">
        <f t="shared" si="55"/>
        <v>Pago_de_Hipoteca PF Premier Pago_Fijo_Puntual 14</v>
      </c>
      <c r="B1584" s="75" t="str">
        <f t="shared" si="54"/>
        <v>Pago_de_Hipoteca PF Premier Pago_Fijo_Puntual 14 0.0965</v>
      </c>
      <c r="C1584" s="75" t="s">
        <v>173</v>
      </c>
      <c r="D1584" s="75" t="s">
        <v>132</v>
      </c>
      <c r="E1584" s="75" t="s">
        <v>143</v>
      </c>
      <c r="F1584" s="75"/>
      <c r="G1584" s="75"/>
      <c r="H1584" s="75"/>
      <c r="I1584" s="75" t="s">
        <v>171</v>
      </c>
      <c r="J1584" s="76">
        <v>14</v>
      </c>
      <c r="K1584" s="516" t="s">
        <v>385</v>
      </c>
      <c r="L1584" s="517">
        <v>11.06</v>
      </c>
      <c r="M1584" s="517">
        <v>11.72</v>
      </c>
      <c r="N1584" s="518">
        <v>9.6500000000000002E-2</v>
      </c>
      <c r="O1584" s="518">
        <v>9.1999999999999998E-2</v>
      </c>
      <c r="P1584" s="518">
        <v>0.10249999999999999</v>
      </c>
      <c r="Q1584" s="78">
        <v>0.44</v>
      </c>
      <c r="R1584" s="78">
        <v>0.31740000000000002</v>
      </c>
      <c r="S1584" s="69">
        <v>0</v>
      </c>
      <c r="T1584" s="69">
        <v>0</v>
      </c>
      <c r="U1584" s="518">
        <v>0.7</v>
      </c>
      <c r="V1584" s="76">
        <v>0</v>
      </c>
      <c r="W1584" s="76">
        <v>0</v>
      </c>
      <c r="X1584" s="76"/>
      <c r="Y1584" s="516" t="s">
        <v>470</v>
      </c>
    </row>
    <row r="1585" spans="1:25" x14ac:dyDescent="0.25">
      <c r="A1585" s="75" t="str">
        <f t="shared" si="55"/>
        <v>Pago_de_Hipoteca PF Premier Pago_Fijo_Puntual 14</v>
      </c>
      <c r="B1585" s="75" t="str">
        <f t="shared" si="54"/>
        <v>Pago_de_Hipoteca PF Premier Pago_Fijo_Puntual 14 0.103</v>
      </c>
      <c r="C1585" s="75" t="s">
        <v>173</v>
      </c>
      <c r="D1585" s="75" t="s">
        <v>132</v>
      </c>
      <c r="E1585" s="75" t="s">
        <v>143</v>
      </c>
      <c r="F1585" s="75"/>
      <c r="G1585" s="75"/>
      <c r="H1585" s="75"/>
      <c r="I1585" s="75" t="s">
        <v>171</v>
      </c>
      <c r="J1585" s="76">
        <v>14</v>
      </c>
      <c r="K1585" s="516" t="s">
        <v>386</v>
      </c>
      <c r="L1585" s="517">
        <v>11.49</v>
      </c>
      <c r="M1585" s="517">
        <v>12.15</v>
      </c>
      <c r="N1585" s="518">
        <v>0.10299999999999999</v>
      </c>
      <c r="O1585" s="518">
        <v>0.1</v>
      </c>
      <c r="P1585" s="518">
        <v>0.112</v>
      </c>
      <c r="Q1585" s="78">
        <v>0.44</v>
      </c>
      <c r="R1585" s="78">
        <v>0.31740000000000002</v>
      </c>
      <c r="S1585" s="69">
        <v>0</v>
      </c>
      <c r="T1585" s="69">
        <v>0</v>
      </c>
      <c r="U1585" s="518">
        <v>0.7</v>
      </c>
      <c r="V1585" s="76">
        <v>0</v>
      </c>
      <c r="W1585" s="76">
        <v>0</v>
      </c>
      <c r="X1585" s="76"/>
      <c r="Y1585" s="516" t="s">
        <v>470</v>
      </c>
    </row>
    <row r="1586" spans="1:25" x14ac:dyDescent="0.25">
      <c r="A1586" s="75" t="str">
        <f t="shared" si="55"/>
        <v>Pago_de_Hipoteca PF Premier Pago_Fijo_Puntual 13</v>
      </c>
      <c r="B1586" s="75" t="str">
        <f t="shared" si="54"/>
        <v>Pago_de_Hipoteca PF Premier Pago_Fijo_Puntual 13 0.0965</v>
      </c>
      <c r="C1586" s="75" t="s">
        <v>173</v>
      </c>
      <c r="D1586" s="75" t="s">
        <v>132</v>
      </c>
      <c r="E1586" s="75" t="s">
        <v>143</v>
      </c>
      <c r="F1586" s="75"/>
      <c r="G1586" s="75"/>
      <c r="H1586" s="75"/>
      <c r="I1586" s="75" t="s">
        <v>171</v>
      </c>
      <c r="J1586" s="76">
        <v>13</v>
      </c>
      <c r="K1586" s="516" t="s">
        <v>385</v>
      </c>
      <c r="L1586" s="517">
        <v>11.45</v>
      </c>
      <c r="M1586" s="517">
        <v>12.11</v>
      </c>
      <c r="N1586" s="518">
        <v>9.6500000000000002E-2</v>
      </c>
      <c r="O1586" s="518">
        <v>9.1999999999999998E-2</v>
      </c>
      <c r="P1586" s="518">
        <v>0.10249999999999999</v>
      </c>
      <c r="Q1586" s="78">
        <v>0.44</v>
      </c>
      <c r="R1586" s="78">
        <v>0.31740000000000002</v>
      </c>
      <c r="S1586" s="69">
        <v>0</v>
      </c>
      <c r="T1586" s="69">
        <v>0</v>
      </c>
      <c r="U1586" s="518">
        <v>0.7</v>
      </c>
      <c r="V1586" s="76">
        <v>0</v>
      </c>
      <c r="W1586" s="76">
        <v>0</v>
      </c>
      <c r="X1586" s="76"/>
      <c r="Y1586" s="516" t="s">
        <v>470</v>
      </c>
    </row>
    <row r="1587" spans="1:25" x14ac:dyDescent="0.25">
      <c r="A1587" s="75" t="str">
        <f t="shared" si="55"/>
        <v>Pago_de_Hipoteca PF Premier Pago_Fijo_Puntual 13</v>
      </c>
      <c r="B1587" s="75" t="str">
        <f t="shared" si="54"/>
        <v>Pago_de_Hipoteca PF Premier Pago_Fijo_Puntual 13 0.103</v>
      </c>
      <c r="C1587" s="75" t="s">
        <v>173</v>
      </c>
      <c r="D1587" s="75" t="s">
        <v>132</v>
      </c>
      <c r="E1587" s="75" t="s">
        <v>143</v>
      </c>
      <c r="F1587" s="75"/>
      <c r="G1587" s="75"/>
      <c r="H1587" s="75"/>
      <c r="I1587" s="75" t="s">
        <v>171</v>
      </c>
      <c r="J1587" s="76">
        <v>13</v>
      </c>
      <c r="K1587" s="516" t="s">
        <v>386</v>
      </c>
      <c r="L1587" s="517">
        <v>11.86</v>
      </c>
      <c r="M1587" s="517">
        <v>12.52</v>
      </c>
      <c r="N1587" s="518">
        <v>0.10299999999999999</v>
      </c>
      <c r="O1587" s="518">
        <v>0.1</v>
      </c>
      <c r="P1587" s="518">
        <v>0.112</v>
      </c>
      <c r="Q1587" s="78">
        <v>0.44</v>
      </c>
      <c r="R1587" s="78">
        <v>0.31740000000000002</v>
      </c>
      <c r="S1587" s="69">
        <v>0</v>
      </c>
      <c r="T1587" s="69">
        <v>0</v>
      </c>
      <c r="U1587" s="518">
        <v>0.7</v>
      </c>
      <c r="V1587" s="76">
        <v>0</v>
      </c>
      <c r="W1587" s="76">
        <v>0</v>
      </c>
      <c r="X1587" s="76"/>
      <c r="Y1587" s="516" t="s">
        <v>470</v>
      </c>
    </row>
    <row r="1588" spans="1:25" x14ac:dyDescent="0.25">
      <c r="A1588" s="75" t="str">
        <f t="shared" si="55"/>
        <v>Pago_de_Hipoteca PF Premier Pago_Fijo_Puntual 12</v>
      </c>
      <c r="B1588" s="75" t="str">
        <f t="shared" si="54"/>
        <v>Pago_de_Hipoteca PF Premier Pago_Fijo_Puntual 12 0.0965</v>
      </c>
      <c r="C1588" s="75" t="s">
        <v>173</v>
      </c>
      <c r="D1588" s="75" t="s">
        <v>132</v>
      </c>
      <c r="E1588" s="75" t="s">
        <v>143</v>
      </c>
      <c r="F1588" s="75"/>
      <c r="G1588" s="75"/>
      <c r="H1588" s="75"/>
      <c r="I1588" s="75" t="s">
        <v>171</v>
      </c>
      <c r="J1588" s="76">
        <v>12</v>
      </c>
      <c r="K1588" s="516" t="s">
        <v>385</v>
      </c>
      <c r="L1588" s="517">
        <v>11.91</v>
      </c>
      <c r="M1588" s="517">
        <v>12.57</v>
      </c>
      <c r="N1588" s="518">
        <v>9.6500000000000002E-2</v>
      </c>
      <c r="O1588" s="518">
        <v>9.1999999999999998E-2</v>
      </c>
      <c r="P1588" s="518">
        <v>0.10249999999999999</v>
      </c>
      <c r="Q1588" s="78">
        <v>0.44</v>
      </c>
      <c r="R1588" s="78">
        <v>0.31740000000000002</v>
      </c>
      <c r="S1588" s="69">
        <v>0</v>
      </c>
      <c r="T1588" s="69">
        <v>0</v>
      </c>
      <c r="U1588" s="518">
        <v>0.7</v>
      </c>
      <c r="V1588" s="76">
        <v>0</v>
      </c>
      <c r="W1588" s="76">
        <v>0</v>
      </c>
      <c r="X1588" s="76"/>
      <c r="Y1588" s="516" t="s">
        <v>470</v>
      </c>
    </row>
    <row r="1589" spans="1:25" x14ac:dyDescent="0.25">
      <c r="A1589" s="75" t="str">
        <f t="shared" si="55"/>
        <v>Pago_de_Hipoteca PF Premier Pago_Fijo_Puntual 12</v>
      </c>
      <c r="B1589" s="75" t="str">
        <f t="shared" si="54"/>
        <v>Pago_de_Hipoteca PF Premier Pago_Fijo_Puntual 12 0.103</v>
      </c>
      <c r="C1589" s="75" t="s">
        <v>173</v>
      </c>
      <c r="D1589" s="75" t="s">
        <v>132</v>
      </c>
      <c r="E1589" s="75" t="s">
        <v>143</v>
      </c>
      <c r="F1589" s="75"/>
      <c r="G1589" s="75"/>
      <c r="H1589" s="75"/>
      <c r="I1589" s="75" t="s">
        <v>171</v>
      </c>
      <c r="J1589" s="76">
        <v>12</v>
      </c>
      <c r="K1589" s="516" t="s">
        <v>386</v>
      </c>
      <c r="L1589" s="517">
        <v>12.31</v>
      </c>
      <c r="M1589" s="517">
        <v>12.97</v>
      </c>
      <c r="N1589" s="518">
        <v>0.10299999999999999</v>
      </c>
      <c r="O1589" s="518">
        <v>0.1</v>
      </c>
      <c r="P1589" s="518">
        <v>0.112</v>
      </c>
      <c r="Q1589" s="78">
        <v>0.44</v>
      </c>
      <c r="R1589" s="78">
        <v>0.31740000000000002</v>
      </c>
      <c r="S1589" s="69">
        <v>0</v>
      </c>
      <c r="T1589" s="69">
        <v>0</v>
      </c>
      <c r="U1589" s="518">
        <v>0.7</v>
      </c>
      <c r="V1589" s="76">
        <v>0</v>
      </c>
      <c r="W1589" s="76">
        <v>0</v>
      </c>
      <c r="X1589" s="76"/>
      <c r="Y1589" s="516" t="s">
        <v>470</v>
      </c>
    </row>
    <row r="1590" spans="1:25" x14ac:dyDescent="0.25">
      <c r="A1590" s="75" t="str">
        <f t="shared" si="55"/>
        <v>Pago_de_Hipoteca PF Premier Pago_Fijo_Puntual 11</v>
      </c>
      <c r="B1590" s="75" t="str">
        <f t="shared" si="54"/>
        <v>Pago_de_Hipoteca PF Premier Pago_Fijo_Puntual 11 0.0965</v>
      </c>
      <c r="C1590" s="75" t="s">
        <v>173</v>
      </c>
      <c r="D1590" s="75" t="s">
        <v>132</v>
      </c>
      <c r="E1590" s="75" t="s">
        <v>143</v>
      </c>
      <c r="F1590" s="75"/>
      <c r="G1590" s="75"/>
      <c r="H1590" s="75"/>
      <c r="I1590" s="75" t="s">
        <v>171</v>
      </c>
      <c r="J1590" s="76">
        <v>11</v>
      </c>
      <c r="K1590" s="516" t="s">
        <v>385</v>
      </c>
      <c r="L1590" s="517">
        <v>12.47</v>
      </c>
      <c r="M1590" s="517">
        <v>13.13</v>
      </c>
      <c r="N1590" s="518">
        <v>9.6500000000000002E-2</v>
      </c>
      <c r="O1590" s="518">
        <v>9.1999999999999998E-2</v>
      </c>
      <c r="P1590" s="518">
        <v>0.10249999999999999</v>
      </c>
      <c r="Q1590" s="78">
        <v>0.44</v>
      </c>
      <c r="R1590" s="78">
        <v>0.31740000000000002</v>
      </c>
      <c r="S1590" s="69">
        <v>0</v>
      </c>
      <c r="T1590" s="69">
        <v>0</v>
      </c>
      <c r="U1590" s="518">
        <v>0.7</v>
      </c>
      <c r="V1590" s="76">
        <v>0</v>
      </c>
      <c r="W1590" s="76">
        <v>0</v>
      </c>
      <c r="X1590" s="76"/>
      <c r="Y1590" s="516" t="s">
        <v>470</v>
      </c>
    </row>
    <row r="1591" spans="1:25" x14ac:dyDescent="0.25">
      <c r="A1591" s="75" t="str">
        <f t="shared" si="55"/>
        <v>Pago_de_Hipoteca PF Premier Pago_Fijo_Puntual 11</v>
      </c>
      <c r="B1591" s="75" t="str">
        <f t="shared" si="54"/>
        <v>Pago_de_Hipoteca PF Premier Pago_Fijo_Puntual 11 0.103</v>
      </c>
      <c r="C1591" s="75" t="s">
        <v>173</v>
      </c>
      <c r="D1591" s="75" t="s">
        <v>132</v>
      </c>
      <c r="E1591" s="75" t="s">
        <v>143</v>
      </c>
      <c r="F1591" s="75"/>
      <c r="G1591" s="75"/>
      <c r="H1591" s="75"/>
      <c r="I1591" s="75" t="s">
        <v>171</v>
      </c>
      <c r="J1591" s="76">
        <v>11</v>
      </c>
      <c r="K1591" s="516" t="s">
        <v>386</v>
      </c>
      <c r="L1591" s="517">
        <v>12.86</v>
      </c>
      <c r="M1591" s="517">
        <v>13.52</v>
      </c>
      <c r="N1591" s="518">
        <v>0.10299999999999999</v>
      </c>
      <c r="O1591" s="518">
        <v>0.1</v>
      </c>
      <c r="P1591" s="518">
        <v>0.112</v>
      </c>
      <c r="Q1591" s="78">
        <v>0.44</v>
      </c>
      <c r="R1591" s="78">
        <v>0.31740000000000002</v>
      </c>
      <c r="S1591" s="69">
        <v>0</v>
      </c>
      <c r="T1591" s="69">
        <v>0</v>
      </c>
      <c r="U1591" s="518">
        <v>0.7</v>
      </c>
      <c r="V1591" s="76">
        <v>0</v>
      </c>
      <c r="W1591" s="76">
        <v>0</v>
      </c>
      <c r="X1591" s="76"/>
      <c r="Y1591" s="516" t="s">
        <v>470</v>
      </c>
    </row>
    <row r="1592" spans="1:25" x14ac:dyDescent="0.25">
      <c r="A1592" s="75" t="str">
        <f t="shared" si="55"/>
        <v>Pago_de_Hipoteca PF Premier Pago_Fijo_Puntual 10</v>
      </c>
      <c r="B1592" s="75" t="str">
        <f t="shared" si="54"/>
        <v>Pago_de_Hipoteca PF Premier Pago_Fijo_Puntual 10 0.0965</v>
      </c>
      <c r="C1592" s="75" t="s">
        <v>173</v>
      </c>
      <c r="D1592" s="75" t="s">
        <v>132</v>
      </c>
      <c r="E1592" s="75" t="s">
        <v>143</v>
      </c>
      <c r="F1592" s="75"/>
      <c r="G1592" s="75"/>
      <c r="H1592" s="75"/>
      <c r="I1592" s="75" t="s">
        <v>171</v>
      </c>
      <c r="J1592" s="76">
        <v>10</v>
      </c>
      <c r="K1592" s="516" t="s">
        <v>385</v>
      </c>
      <c r="L1592" s="517">
        <v>13.16</v>
      </c>
      <c r="M1592" s="517">
        <v>13.82</v>
      </c>
      <c r="N1592" s="518">
        <v>9.6500000000000002E-2</v>
      </c>
      <c r="O1592" s="518">
        <v>9.1999999999999998E-2</v>
      </c>
      <c r="P1592" s="518">
        <v>0.10249999999999999</v>
      </c>
      <c r="Q1592" s="78">
        <v>0.44</v>
      </c>
      <c r="R1592" s="78">
        <v>0.31740000000000002</v>
      </c>
      <c r="S1592" s="69">
        <v>0</v>
      </c>
      <c r="T1592" s="69">
        <v>0</v>
      </c>
      <c r="U1592" s="518">
        <v>0.7</v>
      </c>
      <c r="V1592" s="76">
        <v>0</v>
      </c>
      <c r="W1592" s="76">
        <v>0</v>
      </c>
      <c r="X1592" s="76"/>
      <c r="Y1592" s="516" t="s">
        <v>470</v>
      </c>
    </row>
    <row r="1593" spans="1:25" x14ac:dyDescent="0.25">
      <c r="A1593" s="75" t="str">
        <f t="shared" si="55"/>
        <v>Pago_de_Hipoteca PF Premier Pago_Fijo_Puntual 10</v>
      </c>
      <c r="B1593" s="75" t="str">
        <f t="shared" si="54"/>
        <v>Pago_de_Hipoteca PF Premier Pago_Fijo_Puntual 10 0.103</v>
      </c>
      <c r="C1593" s="75" t="s">
        <v>173</v>
      </c>
      <c r="D1593" s="75" t="s">
        <v>132</v>
      </c>
      <c r="E1593" s="75" t="s">
        <v>143</v>
      </c>
      <c r="F1593" s="75"/>
      <c r="G1593" s="75"/>
      <c r="H1593" s="75"/>
      <c r="I1593" s="75" t="s">
        <v>171</v>
      </c>
      <c r="J1593" s="76">
        <v>10</v>
      </c>
      <c r="K1593" s="516" t="s">
        <v>386</v>
      </c>
      <c r="L1593" s="517">
        <v>13.54</v>
      </c>
      <c r="M1593" s="517">
        <v>14.2</v>
      </c>
      <c r="N1593" s="518">
        <v>0.10299999999999999</v>
      </c>
      <c r="O1593" s="518">
        <v>0.1</v>
      </c>
      <c r="P1593" s="518">
        <v>0.112</v>
      </c>
      <c r="Q1593" s="78">
        <v>0.44</v>
      </c>
      <c r="R1593" s="78">
        <v>0.31740000000000002</v>
      </c>
      <c r="S1593" s="69">
        <v>0</v>
      </c>
      <c r="T1593" s="69">
        <v>0</v>
      </c>
      <c r="U1593" s="518">
        <v>0.7</v>
      </c>
      <c r="V1593" s="76">
        <v>0</v>
      </c>
      <c r="W1593" s="76">
        <v>0</v>
      </c>
      <c r="X1593" s="76"/>
      <c r="Y1593" s="516" t="s">
        <v>470</v>
      </c>
    </row>
    <row r="1594" spans="1:25" x14ac:dyDescent="0.25">
      <c r="A1594" s="75" t="str">
        <f t="shared" si="55"/>
        <v>Pago_de_Hipoteca PF Premier Pago_Fijo_Puntual 9</v>
      </c>
      <c r="B1594" s="75" t="str">
        <f t="shared" si="54"/>
        <v>Pago_de_Hipoteca PF Premier Pago_Fijo_Puntual 9 0.0965</v>
      </c>
      <c r="C1594" s="75" t="s">
        <v>173</v>
      </c>
      <c r="D1594" s="75" t="s">
        <v>132</v>
      </c>
      <c r="E1594" s="75" t="s">
        <v>143</v>
      </c>
      <c r="F1594" s="75"/>
      <c r="G1594" s="75"/>
      <c r="H1594" s="75"/>
      <c r="I1594" s="75" t="s">
        <v>171</v>
      </c>
      <c r="J1594" s="76">
        <v>9</v>
      </c>
      <c r="K1594" s="516" t="s">
        <v>385</v>
      </c>
      <c r="L1594" s="517">
        <v>14.01</v>
      </c>
      <c r="M1594" s="517">
        <v>14.67</v>
      </c>
      <c r="N1594" s="518">
        <v>9.6500000000000002E-2</v>
      </c>
      <c r="O1594" s="518">
        <v>9.1999999999999998E-2</v>
      </c>
      <c r="P1594" s="518">
        <v>0.10249999999999999</v>
      </c>
      <c r="Q1594" s="78">
        <v>0.44</v>
      </c>
      <c r="R1594" s="78">
        <v>0.31740000000000002</v>
      </c>
      <c r="S1594" s="69">
        <v>0</v>
      </c>
      <c r="T1594" s="69">
        <v>0</v>
      </c>
      <c r="U1594" s="518">
        <v>0.7</v>
      </c>
      <c r="V1594" s="76">
        <v>0</v>
      </c>
      <c r="W1594" s="76">
        <v>0</v>
      </c>
      <c r="X1594" s="76"/>
      <c r="Y1594" s="516" t="s">
        <v>470</v>
      </c>
    </row>
    <row r="1595" spans="1:25" x14ac:dyDescent="0.25">
      <c r="A1595" s="75" t="str">
        <f t="shared" si="55"/>
        <v>Pago_de_Hipoteca PF Premier Pago_Fijo_Puntual 9</v>
      </c>
      <c r="B1595" s="75" t="str">
        <f t="shared" si="54"/>
        <v>Pago_de_Hipoteca PF Premier Pago_Fijo_Puntual 9 0.103</v>
      </c>
      <c r="C1595" s="75" t="s">
        <v>173</v>
      </c>
      <c r="D1595" s="75" t="s">
        <v>132</v>
      </c>
      <c r="E1595" s="75" t="s">
        <v>143</v>
      </c>
      <c r="F1595" s="75"/>
      <c r="G1595" s="75"/>
      <c r="H1595" s="75"/>
      <c r="I1595" s="75" t="s">
        <v>171</v>
      </c>
      <c r="J1595" s="76">
        <v>9</v>
      </c>
      <c r="K1595" s="516" t="s">
        <v>386</v>
      </c>
      <c r="L1595" s="517">
        <v>14.37</v>
      </c>
      <c r="M1595" s="517">
        <v>15.03</v>
      </c>
      <c r="N1595" s="518">
        <v>0.10299999999999999</v>
      </c>
      <c r="O1595" s="518">
        <v>0.1</v>
      </c>
      <c r="P1595" s="518">
        <v>0.112</v>
      </c>
      <c r="Q1595" s="78">
        <v>0.44</v>
      </c>
      <c r="R1595" s="78">
        <v>0.31740000000000002</v>
      </c>
      <c r="S1595" s="69">
        <v>0</v>
      </c>
      <c r="T1595" s="69">
        <v>0</v>
      </c>
      <c r="U1595" s="518">
        <v>0.7</v>
      </c>
      <c r="V1595" s="76">
        <v>0</v>
      </c>
      <c r="W1595" s="76">
        <v>0</v>
      </c>
      <c r="X1595" s="76"/>
      <c r="Y1595" s="516" t="s">
        <v>470</v>
      </c>
    </row>
    <row r="1596" spans="1:25" x14ac:dyDescent="0.25">
      <c r="A1596" s="75" t="str">
        <f t="shared" si="55"/>
        <v>Pago_de_Hipoteca PF Premier Pago_Fijo_Puntual 8</v>
      </c>
      <c r="B1596" s="75" t="str">
        <f t="shared" si="54"/>
        <v>Pago_de_Hipoteca PF Premier Pago_Fijo_Puntual 8 0.0965</v>
      </c>
      <c r="C1596" s="75" t="s">
        <v>173</v>
      </c>
      <c r="D1596" s="75" t="s">
        <v>132</v>
      </c>
      <c r="E1596" s="75" t="s">
        <v>143</v>
      </c>
      <c r="F1596" s="75"/>
      <c r="G1596" s="75"/>
      <c r="H1596" s="75"/>
      <c r="I1596" s="75" t="s">
        <v>171</v>
      </c>
      <c r="J1596" s="76">
        <v>8</v>
      </c>
      <c r="K1596" s="516" t="s">
        <v>385</v>
      </c>
      <c r="L1596" s="517">
        <v>15.09</v>
      </c>
      <c r="M1596" s="517">
        <v>15.75</v>
      </c>
      <c r="N1596" s="518">
        <v>9.6500000000000002E-2</v>
      </c>
      <c r="O1596" s="518">
        <v>9.1999999999999998E-2</v>
      </c>
      <c r="P1596" s="518">
        <v>0.10249999999999999</v>
      </c>
      <c r="Q1596" s="78">
        <v>0.44</v>
      </c>
      <c r="R1596" s="78">
        <v>0.31740000000000002</v>
      </c>
      <c r="S1596" s="69">
        <v>0</v>
      </c>
      <c r="T1596" s="69">
        <v>0</v>
      </c>
      <c r="U1596" s="518">
        <v>0.7</v>
      </c>
      <c r="V1596" s="76">
        <v>0</v>
      </c>
      <c r="W1596" s="76">
        <v>0</v>
      </c>
      <c r="X1596" s="76"/>
      <c r="Y1596" s="516" t="s">
        <v>470</v>
      </c>
    </row>
    <row r="1597" spans="1:25" x14ac:dyDescent="0.25">
      <c r="A1597" s="75" t="str">
        <f t="shared" si="55"/>
        <v>Pago_de_Hipoteca PF Premier Pago_Fijo_Puntual 8</v>
      </c>
      <c r="B1597" s="75" t="str">
        <f t="shared" si="54"/>
        <v>Pago_de_Hipoteca PF Premier Pago_Fijo_Puntual 8 0.103</v>
      </c>
      <c r="C1597" s="75" t="s">
        <v>173</v>
      </c>
      <c r="D1597" s="75" t="s">
        <v>132</v>
      </c>
      <c r="E1597" s="75" t="s">
        <v>143</v>
      </c>
      <c r="F1597" s="75"/>
      <c r="G1597" s="75"/>
      <c r="H1597" s="75"/>
      <c r="I1597" s="75" t="s">
        <v>171</v>
      </c>
      <c r="J1597" s="76">
        <v>8</v>
      </c>
      <c r="K1597" s="516" t="s">
        <v>386</v>
      </c>
      <c r="L1597" s="517">
        <v>15.44</v>
      </c>
      <c r="M1597" s="517">
        <v>16.100000000000001</v>
      </c>
      <c r="N1597" s="518">
        <v>0.10299999999999999</v>
      </c>
      <c r="O1597" s="518">
        <v>0.1</v>
      </c>
      <c r="P1597" s="518">
        <v>0.112</v>
      </c>
      <c r="Q1597" s="78">
        <v>0.44</v>
      </c>
      <c r="R1597" s="78">
        <v>0.31740000000000002</v>
      </c>
      <c r="S1597" s="69">
        <v>0</v>
      </c>
      <c r="T1597" s="69">
        <v>0</v>
      </c>
      <c r="U1597" s="518">
        <v>0.7</v>
      </c>
      <c r="V1597" s="76">
        <v>0</v>
      </c>
      <c r="W1597" s="76">
        <v>0</v>
      </c>
      <c r="X1597" s="76"/>
      <c r="Y1597" s="516" t="s">
        <v>470</v>
      </c>
    </row>
    <row r="1598" spans="1:25" x14ac:dyDescent="0.25">
      <c r="A1598" s="75" t="str">
        <f t="shared" si="55"/>
        <v>Pago_de_Hipoteca PF Premier Pago_Fijo_Puntual 7</v>
      </c>
      <c r="B1598" s="75" t="str">
        <f t="shared" si="54"/>
        <v>Pago_de_Hipoteca PF Premier Pago_Fijo_Puntual 7 0.0965</v>
      </c>
      <c r="C1598" s="75" t="s">
        <v>173</v>
      </c>
      <c r="D1598" s="75" t="s">
        <v>132</v>
      </c>
      <c r="E1598" s="75" t="s">
        <v>143</v>
      </c>
      <c r="F1598" s="75"/>
      <c r="G1598" s="75"/>
      <c r="H1598" s="75"/>
      <c r="I1598" s="75" t="s">
        <v>171</v>
      </c>
      <c r="J1598" s="76">
        <v>7</v>
      </c>
      <c r="K1598" s="516" t="s">
        <v>385</v>
      </c>
      <c r="L1598" s="517">
        <v>16.5</v>
      </c>
      <c r="M1598" s="517">
        <v>17.16</v>
      </c>
      <c r="N1598" s="518">
        <v>9.6500000000000002E-2</v>
      </c>
      <c r="O1598" s="518">
        <v>9.1999999999999998E-2</v>
      </c>
      <c r="P1598" s="518">
        <v>0.10249999999999999</v>
      </c>
      <c r="Q1598" s="78">
        <v>0.44</v>
      </c>
      <c r="R1598" s="78">
        <v>0.31740000000000002</v>
      </c>
      <c r="S1598" s="69">
        <v>0</v>
      </c>
      <c r="T1598" s="69">
        <v>0</v>
      </c>
      <c r="U1598" s="518">
        <v>0.7</v>
      </c>
      <c r="V1598" s="76">
        <v>0</v>
      </c>
      <c r="W1598" s="76">
        <v>0</v>
      </c>
      <c r="X1598" s="76"/>
      <c r="Y1598" s="516" t="s">
        <v>470</v>
      </c>
    </row>
    <row r="1599" spans="1:25" x14ac:dyDescent="0.25">
      <c r="A1599" s="75" t="str">
        <f t="shared" si="55"/>
        <v>Pago_de_Hipoteca PF Premier Pago_Fijo_Puntual 7</v>
      </c>
      <c r="B1599" s="75" t="str">
        <f t="shared" si="54"/>
        <v>Pago_de_Hipoteca PF Premier Pago_Fijo_Puntual 7 0.103</v>
      </c>
      <c r="C1599" s="75" t="s">
        <v>173</v>
      </c>
      <c r="D1599" s="75" t="s">
        <v>132</v>
      </c>
      <c r="E1599" s="75" t="s">
        <v>143</v>
      </c>
      <c r="F1599" s="75"/>
      <c r="G1599" s="75"/>
      <c r="H1599" s="75"/>
      <c r="I1599" s="75" t="s">
        <v>171</v>
      </c>
      <c r="J1599" s="76">
        <v>7</v>
      </c>
      <c r="K1599" s="516" t="s">
        <v>386</v>
      </c>
      <c r="L1599" s="517">
        <v>16.84</v>
      </c>
      <c r="M1599" s="517">
        <v>17.5</v>
      </c>
      <c r="N1599" s="518">
        <v>0.10299999999999999</v>
      </c>
      <c r="O1599" s="518">
        <v>0.1</v>
      </c>
      <c r="P1599" s="518">
        <v>0.112</v>
      </c>
      <c r="Q1599" s="78">
        <v>0.44</v>
      </c>
      <c r="R1599" s="78">
        <v>0.31740000000000002</v>
      </c>
      <c r="S1599" s="69">
        <v>0</v>
      </c>
      <c r="T1599" s="69">
        <v>0</v>
      </c>
      <c r="U1599" s="518">
        <v>0.7</v>
      </c>
      <c r="V1599" s="76">
        <v>0</v>
      </c>
      <c r="W1599" s="76">
        <v>0</v>
      </c>
      <c r="X1599" s="76"/>
      <c r="Y1599" s="516" t="s">
        <v>470</v>
      </c>
    </row>
    <row r="1600" spans="1:25" x14ac:dyDescent="0.25">
      <c r="A1600" s="75" t="str">
        <f t="shared" si="55"/>
        <v>Pago_de_Hipoteca PF Premier Pago_Fijo_Puntual 6</v>
      </c>
      <c r="B1600" s="75" t="str">
        <f t="shared" si="54"/>
        <v>Pago_de_Hipoteca PF Premier Pago_Fijo_Puntual 6 0.0965</v>
      </c>
      <c r="C1600" s="75" t="s">
        <v>173</v>
      </c>
      <c r="D1600" s="75" t="s">
        <v>132</v>
      </c>
      <c r="E1600" s="75" t="s">
        <v>143</v>
      </c>
      <c r="F1600" s="75"/>
      <c r="G1600" s="75"/>
      <c r="H1600" s="75"/>
      <c r="I1600" s="75" t="s">
        <v>171</v>
      </c>
      <c r="J1600" s="76">
        <v>6</v>
      </c>
      <c r="K1600" s="516" t="s">
        <v>385</v>
      </c>
      <c r="L1600" s="517">
        <v>18.41</v>
      </c>
      <c r="M1600" s="517">
        <v>19.07</v>
      </c>
      <c r="N1600" s="518">
        <v>9.6500000000000002E-2</v>
      </c>
      <c r="O1600" s="518">
        <v>9.1999999999999998E-2</v>
      </c>
      <c r="P1600" s="518">
        <v>0.10249999999999999</v>
      </c>
      <c r="Q1600" s="78">
        <v>0.44</v>
      </c>
      <c r="R1600" s="78">
        <v>0.31740000000000002</v>
      </c>
      <c r="S1600" s="69">
        <v>0</v>
      </c>
      <c r="T1600" s="69">
        <v>0</v>
      </c>
      <c r="U1600" s="518">
        <v>0.7</v>
      </c>
      <c r="V1600" s="76">
        <v>0</v>
      </c>
      <c r="W1600" s="76">
        <v>0</v>
      </c>
      <c r="X1600" s="76"/>
      <c r="Y1600" s="516" t="s">
        <v>470</v>
      </c>
    </row>
    <row r="1601" spans="1:25" x14ac:dyDescent="0.25">
      <c r="A1601" s="75" t="str">
        <f t="shared" si="55"/>
        <v>Pago_de_Hipoteca PF Premier Pago_Fijo_Puntual 6</v>
      </c>
      <c r="B1601" s="75" t="str">
        <f t="shared" si="54"/>
        <v>Pago_de_Hipoteca PF Premier Pago_Fijo_Puntual 6 0.103</v>
      </c>
      <c r="C1601" s="75" t="s">
        <v>173</v>
      </c>
      <c r="D1601" s="75" t="s">
        <v>132</v>
      </c>
      <c r="E1601" s="75" t="s">
        <v>143</v>
      </c>
      <c r="F1601" s="75"/>
      <c r="G1601" s="75"/>
      <c r="H1601" s="75"/>
      <c r="I1601" s="75" t="s">
        <v>171</v>
      </c>
      <c r="J1601" s="76">
        <v>6</v>
      </c>
      <c r="K1601" s="516" t="s">
        <v>386</v>
      </c>
      <c r="L1601" s="517">
        <v>18.739999999999998</v>
      </c>
      <c r="M1601" s="517">
        <v>19.399999999999999</v>
      </c>
      <c r="N1601" s="518">
        <v>0.10299999999999999</v>
      </c>
      <c r="O1601" s="518">
        <v>0.1</v>
      </c>
      <c r="P1601" s="518">
        <v>0.112</v>
      </c>
      <c r="Q1601" s="78">
        <v>0.44</v>
      </c>
      <c r="R1601" s="78">
        <v>0.31740000000000002</v>
      </c>
      <c r="S1601" s="69">
        <v>0</v>
      </c>
      <c r="T1601" s="69">
        <v>0</v>
      </c>
      <c r="U1601" s="518">
        <v>0.7</v>
      </c>
      <c r="V1601" s="76">
        <v>0</v>
      </c>
      <c r="W1601" s="76">
        <v>0</v>
      </c>
      <c r="X1601" s="76"/>
      <c r="Y1601" s="516" t="s">
        <v>470</v>
      </c>
    </row>
    <row r="1602" spans="1:25" x14ac:dyDescent="0.25">
      <c r="A1602" s="75" t="str">
        <f t="shared" si="55"/>
        <v>Pago_de_Hipoteca PF Premier Pago_Fijo_Puntual 5</v>
      </c>
      <c r="B1602" s="75" t="str">
        <f t="shared" si="54"/>
        <v>Pago_de_Hipoteca PF Premier Pago_Fijo_Puntual 5 0.0965</v>
      </c>
      <c r="C1602" s="75" t="s">
        <v>173</v>
      </c>
      <c r="D1602" s="75" t="s">
        <v>132</v>
      </c>
      <c r="E1602" s="75" t="s">
        <v>143</v>
      </c>
      <c r="F1602" s="75"/>
      <c r="G1602" s="75"/>
      <c r="H1602" s="75"/>
      <c r="I1602" s="75" t="s">
        <v>171</v>
      </c>
      <c r="J1602" s="76">
        <v>5</v>
      </c>
      <c r="K1602" s="516" t="s">
        <v>385</v>
      </c>
      <c r="L1602" s="517">
        <v>21.12</v>
      </c>
      <c r="M1602" s="517">
        <v>21.78</v>
      </c>
      <c r="N1602" s="518">
        <v>9.6500000000000002E-2</v>
      </c>
      <c r="O1602" s="518">
        <v>9.1999999999999998E-2</v>
      </c>
      <c r="P1602" s="518">
        <v>0.10249999999999999</v>
      </c>
      <c r="Q1602" s="78">
        <v>0.44</v>
      </c>
      <c r="R1602" s="78">
        <v>0.31740000000000002</v>
      </c>
      <c r="S1602" s="69">
        <v>0</v>
      </c>
      <c r="T1602" s="69">
        <v>0</v>
      </c>
      <c r="U1602" s="518">
        <v>0.7</v>
      </c>
      <c r="V1602" s="76">
        <v>0</v>
      </c>
      <c r="W1602" s="76">
        <v>0</v>
      </c>
      <c r="X1602" s="76"/>
      <c r="Y1602" s="516" t="s">
        <v>470</v>
      </c>
    </row>
    <row r="1603" spans="1:25" x14ac:dyDescent="0.25">
      <c r="A1603" s="75" t="str">
        <f t="shared" si="55"/>
        <v>Pago_de_Hipoteca PF Premier Pago_Fijo_Puntual 5</v>
      </c>
      <c r="B1603" s="75" t="str">
        <f t="shared" si="54"/>
        <v>Pago_de_Hipoteca PF Premier Pago_Fijo_Puntual 5 0.103</v>
      </c>
      <c r="C1603" s="75" t="s">
        <v>173</v>
      </c>
      <c r="D1603" s="75" t="s">
        <v>132</v>
      </c>
      <c r="E1603" s="75" t="s">
        <v>143</v>
      </c>
      <c r="F1603" s="75"/>
      <c r="G1603" s="75"/>
      <c r="H1603" s="75"/>
      <c r="I1603" s="75" t="s">
        <v>171</v>
      </c>
      <c r="J1603" s="76">
        <v>5</v>
      </c>
      <c r="K1603" s="516" t="s">
        <v>386</v>
      </c>
      <c r="L1603" s="517">
        <v>21.44</v>
      </c>
      <c r="M1603" s="517">
        <v>22.1</v>
      </c>
      <c r="N1603" s="518">
        <v>0.10299999999999999</v>
      </c>
      <c r="O1603" s="518">
        <v>0.1</v>
      </c>
      <c r="P1603" s="518">
        <v>0.112</v>
      </c>
      <c r="Q1603" s="78">
        <v>0.44</v>
      </c>
      <c r="R1603" s="78">
        <v>0.31740000000000002</v>
      </c>
      <c r="S1603" s="69">
        <v>0</v>
      </c>
      <c r="T1603" s="69">
        <v>0</v>
      </c>
      <c r="U1603" s="518">
        <v>0.7</v>
      </c>
      <c r="V1603" s="76">
        <v>0</v>
      </c>
      <c r="W1603" s="76">
        <v>0</v>
      </c>
      <c r="X1603" s="76"/>
      <c r="Y1603" s="516" t="s">
        <v>470</v>
      </c>
    </row>
    <row r="1604" spans="1:25" x14ac:dyDescent="0.25">
      <c r="A1604" s="75" t="str">
        <f t="shared" si="55"/>
        <v>Pago_de_Hipoteca PF Premier Pago_Bajo_Puntual 20</v>
      </c>
      <c r="B1604" s="75" t="str">
        <f t="shared" si="54"/>
        <v>Pago_de_Hipoteca PF Premier Pago_Bajo_Puntual 20 0.0965</v>
      </c>
      <c r="C1604" s="75" t="s">
        <v>173</v>
      </c>
      <c r="D1604" s="75" t="s">
        <v>132</v>
      </c>
      <c r="E1604" s="75" t="s">
        <v>143</v>
      </c>
      <c r="F1604" s="75"/>
      <c r="G1604" s="75"/>
      <c r="H1604" s="75"/>
      <c r="I1604" s="75" t="s">
        <v>170</v>
      </c>
      <c r="J1604" s="76">
        <v>20</v>
      </c>
      <c r="K1604" s="516" t="s">
        <v>385</v>
      </c>
      <c r="L1604" s="517">
        <v>8.52</v>
      </c>
      <c r="M1604" s="517">
        <v>9.18</v>
      </c>
      <c r="N1604" s="518">
        <v>9.6500000000000002E-2</v>
      </c>
      <c r="O1604" s="518">
        <v>9.1999999999999998E-2</v>
      </c>
      <c r="P1604" s="518">
        <v>0.10249999999999999</v>
      </c>
      <c r="Q1604" s="78">
        <v>0.44</v>
      </c>
      <c r="R1604" s="78">
        <v>0.31740000000000002</v>
      </c>
      <c r="S1604" s="69">
        <v>0</v>
      </c>
      <c r="T1604" s="69">
        <v>0</v>
      </c>
      <c r="U1604" s="518">
        <v>0.7</v>
      </c>
      <c r="V1604" s="76">
        <v>0</v>
      </c>
      <c r="W1604" s="76">
        <v>0</v>
      </c>
      <c r="X1604" s="76"/>
      <c r="Y1604" s="516" t="s">
        <v>470</v>
      </c>
    </row>
    <row r="1605" spans="1:25" x14ac:dyDescent="0.25">
      <c r="A1605" s="75" t="str">
        <f t="shared" si="55"/>
        <v>Pago_de_Hipoteca PF Premier Pago_Bajo_Puntual 20</v>
      </c>
      <c r="B1605" s="75" t="str">
        <f t="shared" si="54"/>
        <v>Pago_de_Hipoteca PF Premier Pago_Bajo_Puntual 20 0.103</v>
      </c>
      <c r="C1605" s="75" t="s">
        <v>173</v>
      </c>
      <c r="D1605" s="75" t="s">
        <v>132</v>
      </c>
      <c r="E1605" s="75" t="s">
        <v>143</v>
      </c>
      <c r="F1605" s="75"/>
      <c r="G1605" s="75"/>
      <c r="H1605" s="75"/>
      <c r="I1605" s="75" t="s">
        <v>170</v>
      </c>
      <c r="J1605" s="76">
        <v>20</v>
      </c>
      <c r="K1605" s="516" t="s">
        <v>386</v>
      </c>
      <c r="L1605" s="517">
        <v>9</v>
      </c>
      <c r="M1605" s="517">
        <v>9.66</v>
      </c>
      <c r="N1605" s="518">
        <v>0.10299999999999999</v>
      </c>
      <c r="O1605" s="518">
        <v>0.1</v>
      </c>
      <c r="P1605" s="518">
        <v>0.112</v>
      </c>
      <c r="Q1605" s="78">
        <v>0.44</v>
      </c>
      <c r="R1605" s="78">
        <v>0.31740000000000002</v>
      </c>
      <c r="S1605" s="69">
        <v>0</v>
      </c>
      <c r="T1605" s="69">
        <v>0</v>
      </c>
      <c r="U1605" s="518">
        <v>0.7</v>
      </c>
      <c r="V1605" s="76">
        <v>0</v>
      </c>
      <c r="W1605" s="76">
        <v>0</v>
      </c>
      <c r="X1605" s="76"/>
      <c r="Y1605" s="516" t="s">
        <v>470</v>
      </c>
    </row>
    <row r="1606" spans="1:25" x14ac:dyDescent="0.25">
      <c r="A1606" s="75" t="str">
        <f t="shared" si="55"/>
        <v>Pago_de_Hipoteca PF Premier Pago_Bajo_Puntual 19</v>
      </c>
      <c r="B1606" s="75" t="str">
        <f t="shared" si="54"/>
        <v>Pago_de_Hipoteca PF Premier Pago_Bajo_Puntual 19 0.0965</v>
      </c>
      <c r="C1606" s="75" t="s">
        <v>173</v>
      </c>
      <c r="D1606" s="75" t="s">
        <v>132</v>
      </c>
      <c r="E1606" s="75" t="s">
        <v>143</v>
      </c>
      <c r="F1606" s="75"/>
      <c r="G1606" s="75"/>
      <c r="H1606" s="75"/>
      <c r="I1606" s="75" t="s">
        <v>170</v>
      </c>
      <c r="J1606" s="76">
        <v>19</v>
      </c>
      <c r="K1606" s="516" t="s">
        <v>385</v>
      </c>
      <c r="L1606" s="517">
        <v>8.6999999999999993</v>
      </c>
      <c r="M1606" s="517">
        <v>9.36</v>
      </c>
      <c r="N1606" s="518">
        <v>9.6500000000000002E-2</v>
      </c>
      <c r="O1606" s="518">
        <v>9.1999999999999998E-2</v>
      </c>
      <c r="P1606" s="518">
        <v>0.10249999999999999</v>
      </c>
      <c r="Q1606" s="78">
        <v>0.44</v>
      </c>
      <c r="R1606" s="78">
        <v>0.31740000000000002</v>
      </c>
      <c r="S1606" s="69">
        <v>0</v>
      </c>
      <c r="T1606" s="69">
        <v>0</v>
      </c>
      <c r="U1606" s="518">
        <v>0.7</v>
      </c>
      <c r="V1606" s="76">
        <v>0</v>
      </c>
      <c r="W1606" s="76">
        <v>0</v>
      </c>
      <c r="X1606" s="76"/>
      <c r="Y1606" s="516" t="s">
        <v>470</v>
      </c>
    </row>
    <row r="1607" spans="1:25" x14ac:dyDescent="0.25">
      <c r="A1607" s="75" t="str">
        <f t="shared" si="55"/>
        <v>Pago_de_Hipoteca PF Premier Pago_Bajo_Puntual 19</v>
      </c>
      <c r="B1607" s="75" t="str">
        <f t="shared" si="54"/>
        <v>Pago_de_Hipoteca PF Premier Pago_Bajo_Puntual 19 0.103</v>
      </c>
      <c r="C1607" s="75" t="s">
        <v>173</v>
      </c>
      <c r="D1607" s="75" t="s">
        <v>132</v>
      </c>
      <c r="E1607" s="75" t="s">
        <v>143</v>
      </c>
      <c r="F1607" s="75"/>
      <c r="G1607" s="75"/>
      <c r="H1607" s="75"/>
      <c r="I1607" s="75" t="s">
        <v>170</v>
      </c>
      <c r="J1607" s="76">
        <v>19</v>
      </c>
      <c r="K1607" s="516" t="s">
        <v>386</v>
      </c>
      <c r="L1607" s="517">
        <v>9.17</v>
      </c>
      <c r="M1607" s="517">
        <v>9.83</v>
      </c>
      <c r="N1607" s="518">
        <v>0.10299999999999999</v>
      </c>
      <c r="O1607" s="518">
        <v>0.1</v>
      </c>
      <c r="P1607" s="518">
        <v>0.112</v>
      </c>
      <c r="Q1607" s="78">
        <v>0.44</v>
      </c>
      <c r="R1607" s="78">
        <v>0.31740000000000002</v>
      </c>
      <c r="S1607" s="69">
        <v>0</v>
      </c>
      <c r="T1607" s="69">
        <v>0</v>
      </c>
      <c r="U1607" s="518">
        <v>0.7</v>
      </c>
      <c r="V1607" s="76">
        <v>0</v>
      </c>
      <c r="W1607" s="76">
        <v>0</v>
      </c>
      <c r="X1607" s="76"/>
      <c r="Y1607" s="516" t="s">
        <v>470</v>
      </c>
    </row>
    <row r="1608" spans="1:25" x14ac:dyDescent="0.25">
      <c r="A1608" s="75" t="str">
        <f t="shared" si="55"/>
        <v>Pago_de_Hipoteca PF Premier Pago_Bajo_Puntual 18</v>
      </c>
      <c r="B1608" s="75" t="str">
        <f t="shared" si="54"/>
        <v>Pago_de_Hipoteca PF Premier Pago_Bajo_Puntual 18 0.0965</v>
      </c>
      <c r="C1608" s="75" t="s">
        <v>173</v>
      </c>
      <c r="D1608" s="75" t="s">
        <v>132</v>
      </c>
      <c r="E1608" s="75" t="s">
        <v>143</v>
      </c>
      <c r="F1608" s="75"/>
      <c r="G1608" s="75"/>
      <c r="H1608" s="75"/>
      <c r="I1608" s="75" t="s">
        <v>170</v>
      </c>
      <c r="J1608" s="76">
        <v>18</v>
      </c>
      <c r="K1608" s="516" t="s">
        <v>385</v>
      </c>
      <c r="L1608" s="517">
        <v>8.9</v>
      </c>
      <c r="M1608" s="517">
        <v>9.56</v>
      </c>
      <c r="N1608" s="518">
        <v>9.6500000000000002E-2</v>
      </c>
      <c r="O1608" s="518">
        <v>9.1999999999999998E-2</v>
      </c>
      <c r="P1608" s="518">
        <v>0.10249999999999999</v>
      </c>
      <c r="Q1608" s="78">
        <v>0.44</v>
      </c>
      <c r="R1608" s="78">
        <v>0.31740000000000002</v>
      </c>
      <c r="S1608" s="69">
        <v>0</v>
      </c>
      <c r="T1608" s="69">
        <v>0</v>
      </c>
      <c r="U1608" s="518">
        <v>0.7</v>
      </c>
      <c r="V1608" s="76">
        <v>0</v>
      </c>
      <c r="W1608" s="76">
        <v>0</v>
      </c>
      <c r="X1608" s="76"/>
      <c r="Y1608" s="516" t="s">
        <v>470</v>
      </c>
    </row>
    <row r="1609" spans="1:25" x14ac:dyDescent="0.25">
      <c r="A1609" s="75" t="str">
        <f t="shared" si="55"/>
        <v>Pago_de_Hipoteca PF Premier Pago_Bajo_Puntual 18</v>
      </c>
      <c r="B1609" s="75" t="str">
        <f t="shared" si="54"/>
        <v>Pago_de_Hipoteca PF Premier Pago_Bajo_Puntual 18 0.103</v>
      </c>
      <c r="C1609" s="75" t="s">
        <v>173</v>
      </c>
      <c r="D1609" s="75" t="s">
        <v>132</v>
      </c>
      <c r="E1609" s="75" t="s">
        <v>143</v>
      </c>
      <c r="F1609" s="75"/>
      <c r="G1609" s="75"/>
      <c r="H1609" s="75"/>
      <c r="I1609" s="75" t="s">
        <v>170</v>
      </c>
      <c r="J1609" s="76">
        <v>18</v>
      </c>
      <c r="K1609" s="516" t="s">
        <v>386</v>
      </c>
      <c r="L1609" s="517">
        <v>9.36</v>
      </c>
      <c r="M1609" s="517">
        <v>10.02</v>
      </c>
      <c r="N1609" s="518">
        <v>0.10299999999999999</v>
      </c>
      <c r="O1609" s="518">
        <v>0.1</v>
      </c>
      <c r="P1609" s="518">
        <v>0.112</v>
      </c>
      <c r="Q1609" s="78">
        <v>0.44</v>
      </c>
      <c r="R1609" s="78">
        <v>0.31740000000000002</v>
      </c>
      <c r="S1609" s="69">
        <v>0</v>
      </c>
      <c r="T1609" s="69">
        <v>0</v>
      </c>
      <c r="U1609" s="518">
        <v>0.7</v>
      </c>
      <c r="V1609" s="76">
        <v>0</v>
      </c>
      <c r="W1609" s="76">
        <v>0</v>
      </c>
      <c r="X1609" s="76"/>
      <c r="Y1609" s="516" t="s">
        <v>470</v>
      </c>
    </row>
    <row r="1610" spans="1:25" x14ac:dyDescent="0.25">
      <c r="A1610" s="75" t="str">
        <f t="shared" si="55"/>
        <v>Pago_de_Hipoteca PF Premier Pago_Bajo_Puntual 17</v>
      </c>
      <c r="B1610" s="75" t="str">
        <f t="shared" si="54"/>
        <v>Pago_de_Hipoteca PF Premier Pago_Bajo_Puntual 17 0.0965</v>
      </c>
      <c r="C1610" s="75" t="s">
        <v>173</v>
      </c>
      <c r="D1610" s="75" t="s">
        <v>132</v>
      </c>
      <c r="E1610" s="75" t="s">
        <v>143</v>
      </c>
      <c r="F1610" s="75"/>
      <c r="G1610" s="75"/>
      <c r="H1610" s="75"/>
      <c r="I1610" s="75" t="s">
        <v>170</v>
      </c>
      <c r="J1610" s="76">
        <v>17</v>
      </c>
      <c r="K1610" s="516" t="s">
        <v>385</v>
      </c>
      <c r="L1610" s="517">
        <v>9.1300000000000008</v>
      </c>
      <c r="M1610" s="517">
        <v>9.7899999999999991</v>
      </c>
      <c r="N1610" s="518">
        <v>9.6500000000000002E-2</v>
      </c>
      <c r="O1610" s="518">
        <v>9.1999999999999998E-2</v>
      </c>
      <c r="P1610" s="518">
        <v>0.10249999999999999</v>
      </c>
      <c r="Q1610" s="78">
        <v>0.44</v>
      </c>
      <c r="R1610" s="78">
        <v>0.31740000000000002</v>
      </c>
      <c r="S1610" s="69">
        <v>0</v>
      </c>
      <c r="T1610" s="69">
        <v>0</v>
      </c>
      <c r="U1610" s="518">
        <v>0.7</v>
      </c>
      <c r="V1610" s="76">
        <v>0</v>
      </c>
      <c r="W1610" s="76">
        <v>0</v>
      </c>
      <c r="X1610" s="76"/>
      <c r="Y1610" s="516" t="s">
        <v>470</v>
      </c>
    </row>
    <row r="1611" spans="1:25" x14ac:dyDescent="0.25">
      <c r="A1611" s="75" t="str">
        <f t="shared" si="55"/>
        <v>Pago_de_Hipoteca PF Premier Pago_Bajo_Puntual 17</v>
      </c>
      <c r="B1611" s="75" t="str">
        <f t="shared" si="54"/>
        <v>Pago_de_Hipoteca PF Premier Pago_Bajo_Puntual 17 0.103</v>
      </c>
      <c r="C1611" s="75" t="s">
        <v>173</v>
      </c>
      <c r="D1611" s="75" t="s">
        <v>132</v>
      </c>
      <c r="E1611" s="75" t="s">
        <v>143</v>
      </c>
      <c r="F1611" s="75"/>
      <c r="G1611" s="75"/>
      <c r="H1611" s="75"/>
      <c r="I1611" s="75" t="s">
        <v>170</v>
      </c>
      <c r="J1611" s="76">
        <v>17</v>
      </c>
      <c r="K1611" s="516" t="s">
        <v>386</v>
      </c>
      <c r="L1611" s="517">
        <v>9.58</v>
      </c>
      <c r="M1611" s="517">
        <v>10.24</v>
      </c>
      <c r="N1611" s="518">
        <v>0.10299999999999999</v>
      </c>
      <c r="O1611" s="518">
        <v>0.1</v>
      </c>
      <c r="P1611" s="518">
        <v>0.112</v>
      </c>
      <c r="Q1611" s="78">
        <v>0.44</v>
      </c>
      <c r="R1611" s="78">
        <v>0.31740000000000002</v>
      </c>
      <c r="S1611" s="69">
        <v>0</v>
      </c>
      <c r="T1611" s="69">
        <v>0</v>
      </c>
      <c r="U1611" s="518">
        <v>0.7</v>
      </c>
      <c r="V1611" s="76">
        <v>0</v>
      </c>
      <c r="W1611" s="76">
        <v>0</v>
      </c>
      <c r="X1611" s="76"/>
      <c r="Y1611" s="516" t="s">
        <v>470</v>
      </c>
    </row>
    <row r="1612" spans="1:25" x14ac:dyDescent="0.25">
      <c r="A1612" s="75" t="str">
        <f t="shared" si="55"/>
        <v>Pago_de_Hipoteca PF Premier Pago_Bajo_Puntual 16</v>
      </c>
      <c r="B1612" s="75" t="str">
        <f t="shared" si="54"/>
        <v>Pago_de_Hipoteca PF Premier Pago_Bajo_Puntual 16 0.0965</v>
      </c>
      <c r="C1612" s="75" t="s">
        <v>173</v>
      </c>
      <c r="D1612" s="75" t="s">
        <v>132</v>
      </c>
      <c r="E1612" s="75" t="s">
        <v>143</v>
      </c>
      <c r="F1612" s="75"/>
      <c r="G1612" s="75"/>
      <c r="H1612" s="75"/>
      <c r="I1612" s="75" t="s">
        <v>170</v>
      </c>
      <c r="J1612" s="76">
        <v>16</v>
      </c>
      <c r="K1612" s="516" t="s">
        <v>385</v>
      </c>
      <c r="L1612" s="517">
        <v>9.39</v>
      </c>
      <c r="M1612" s="517">
        <v>10.050000000000001</v>
      </c>
      <c r="N1612" s="518">
        <v>9.6500000000000002E-2</v>
      </c>
      <c r="O1612" s="518">
        <v>9.1999999999999998E-2</v>
      </c>
      <c r="P1612" s="518">
        <v>0.10249999999999999</v>
      </c>
      <c r="Q1612" s="78">
        <v>0.44</v>
      </c>
      <c r="R1612" s="78">
        <v>0.31740000000000002</v>
      </c>
      <c r="S1612" s="69">
        <v>0</v>
      </c>
      <c r="T1612" s="69">
        <v>0</v>
      </c>
      <c r="U1612" s="518">
        <v>0.7</v>
      </c>
      <c r="V1612" s="76">
        <v>0</v>
      </c>
      <c r="W1612" s="76">
        <v>0</v>
      </c>
      <c r="X1612" s="76"/>
      <c r="Y1612" s="516" t="s">
        <v>470</v>
      </c>
    </row>
    <row r="1613" spans="1:25" x14ac:dyDescent="0.25">
      <c r="A1613" s="75" t="str">
        <f t="shared" si="55"/>
        <v>Pago_de_Hipoteca PF Premier Pago_Bajo_Puntual 16</v>
      </c>
      <c r="B1613" s="75" t="str">
        <f t="shared" si="54"/>
        <v>Pago_de_Hipoteca PF Premier Pago_Bajo_Puntual 16 0.103</v>
      </c>
      <c r="C1613" s="75" t="s">
        <v>173</v>
      </c>
      <c r="D1613" s="75" t="s">
        <v>132</v>
      </c>
      <c r="E1613" s="75" t="s">
        <v>143</v>
      </c>
      <c r="F1613" s="75"/>
      <c r="G1613" s="75"/>
      <c r="H1613" s="75"/>
      <c r="I1613" s="75" t="s">
        <v>170</v>
      </c>
      <c r="J1613" s="76">
        <v>16</v>
      </c>
      <c r="K1613" s="516" t="s">
        <v>386</v>
      </c>
      <c r="L1613" s="517">
        <v>9.83</v>
      </c>
      <c r="M1613" s="517">
        <v>10.49</v>
      </c>
      <c r="N1613" s="518">
        <v>0.10299999999999999</v>
      </c>
      <c r="O1613" s="518">
        <v>0.1</v>
      </c>
      <c r="P1613" s="518">
        <v>0.112</v>
      </c>
      <c r="Q1613" s="78">
        <v>0.44</v>
      </c>
      <c r="R1613" s="78">
        <v>0.31740000000000002</v>
      </c>
      <c r="S1613" s="69">
        <v>0</v>
      </c>
      <c r="T1613" s="69">
        <v>0</v>
      </c>
      <c r="U1613" s="518">
        <v>0.7</v>
      </c>
      <c r="V1613" s="76">
        <v>0</v>
      </c>
      <c r="W1613" s="76">
        <v>0</v>
      </c>
      <c r="X1613" s="76"/>
      <c r="Y1613" s="516" t="s">
        <v>470</v>
      </c>
    </row>
    <row r="1614" spans="1:25" x14ac:dyDescent="0.25">
      <c r="A1614" s="75" t="str">
        <f t="shared" si="55"/>
        <v>Pago_de_Hipoteca PF Premier Pago_Bajo_Puntual 15</v>
      </c>
      <c r="B1614" s="75" t="str">
        <f t="shared" si="54"/>
        <v>Pago_de_Hipoteca PF Premier Pago_Bajo_Puntual 15 0.0965</v>
      </c>
      <c r="C1614" s="75" t="s">
        <v>173</v>
      </c>
      <c r="D1614" s="75" t="s">
        <v>132</v>
      </c>
      <c r="E1614" s="75" t="s">
        <v>143</v>
      </c>
      <c r="F1614" s="75"/>
      <c r="G1614" s="75"/>
      <c r="H1614" s="75"/>
      <c r="I1614" s="75" t="s">
        <v>170</v>
      </c>
      <c r="J1614" s="76">
        <v>15</v>
      </c>
      <c r="K1614" s="516" t="s">
        <v>385</v>
      </c>
      <c r="L1614" s="517">
        <v>9.6999999999999993</v>
      </c>
      <c r="M1614" s="517">
        <v>10.36</v>
      </c>
      <c r="N1614" s="518">
        <v>9.6500000000000002E-2</v>
      </c>
      <c r="O1614" s="518">
        <v>9.1999999999999998E-2</v>
      </c>
      <c r="P1614" s="518">
        <v>0.10249999999999999</v>
      </c>
      <c r="Q1614" s="78">
        <v>0.44</v>
      </c>
      <c r="R1614" s="78">
        <v>0.31740000000000002</v>
      </c>
      <c r="S1614" s="69">
        <v>0</v>
      </c>
      <c r="T1614" s="69">
        <v>0</v>
      </c>
      <c r="U1614" s="518">
        <v>0.7</v>
      </c>
      <c r="V1614" s="76">
        <v>0</v>
      </c>
      <c r="W1614" s="76">
        <v>0</v>
      </c>
      <c r="X1614" s="76"/>
      <c r="Y1614" s="516" t="s">
        <v>470</v>
      </c>
    </row>
    <row r="1615" spans="1:25" x14ac:dyDescent="0.25">
      <c r="A1615" s="75" t="str">
        <f t="shared" si="55"/>
        <v>Pago_de_Hipoteca PF Premier Pago_Bajo_Puntual 15</v>
      </c>
      <c r="B1615" s="75" t="str">
        <f t="shared" si="54"/>
        <v>Pago_de_Hipoteca PF Premier Pago_Bajo_Puntual 15 0.103</v>
      </c>
      <c r="C1615" s="75" t="s">
        <v>173</v>
      </c>
      <c r="D1615" s="75" t="s">
        <v>132</v>
      </c>
      <c r="E1615" s="75" t="s">
        <v>143</v>
      </c>
      <c r="F1615" s="75"/>
      <c r="G1615" s="75"/>
      <c r="H1615" s="75"/>
      <c r="I1615" s="75" t="s">
        <v>170</v>
      </c>
      <c r="J1615" s="76">
        <v>15</v>
      </c>
      <c r="K1615" s="516" t="s">
        <v>386</v>
      </c>
      <c r="L1615" s="517">
        <v>10.119999999999999</v>
      </c>
      <c r="M1615" s="517">
        <v>10.78</v>
      </c>
      <c r="N1615" s="518">
        <v>0.10299999999999999</v>
      </c>
      <c r="O1615" s="518">
        <v>0.1</v>
      </c>
      <c r="P1615" s="518">
        <v>0.112</v>
      </c>
      <c r="Q1615" s="78">
        <v>0.44</v>
      </c>
      <c r="R1615" s="78">
        <v>0.31740000000000002</v>
      </c>
      <c r="S1615" s="69">
        <v>0</v>
      </c>
      <c r="T1615" s="69">
        <v>0</v>
      </c>
      <c r="U1615" s="518">
        <v>0.7</v>
      </c>
      <c r="V1615" s="76">
        <v>0</v>
      </c>
      <c r="W1615" s="76">
        <v>0</v>
      </c>
      <c r="X1615" s="76"/>
      <c r="Y1615" s="516" t="s">
        <v>470</v>
      </c>
    </row>
    <row r="1616" spans="1:25" x14ac:dyDescent="0.25">
      <c r="A1616" s="75" t="str">
        <f t="shared" si="55"/>
        <v>Pago_de_Hipoteca PF Premier Pago_Bajo_Puntual 14</v>
      </c>
      <c r="B1616" s="75" t="str">
        <f t="shared" si="54"/>
        <v>Pago_de_Hipoteca PF Premier Pago_Bajo_Puntual 14 0.0965</v>
      </c>
      <c r="C1616" s="75" t="s">
        <v>173</v>
      </c>
      <c r="D1616" s="75" t="s">
        <v>132</v>
      </c>
      <c r="E1616" s="75" t="s">
        <v>143</v>
      </c>
      <c r="F1616" s="75"/>
      <c r="G1616" s="75"/>
      <c r="H1616" s="75"/>
      <c r="I1616" s="75" t="s">
        <v>170</v>
      </c>
      <c r="J1616" s="76">
        <v>14</v>
      </c>
      <c r="K1616" s="516" t="s">
        <v>385</v>
      </c>
      <c r="L1616" s="517">
        <v>10.050000000000001</v>
      </c>
      <c r="M1616" s="517">
        <v>10.71</v>
      </c>
      <c r="N1616" s="518">
        <v>9.6500000000000002E-2</v>
      </c>
      <c r="O1616" s="518">
        <v>9.1999999999999998E-2</v>
      </c>
      <c r="P1616" s="518">
        <v>0.10249999999999999</v>
      </c>
      <c r="Q1616" s="78">
        <v>0.44</v>
      </c>
      <c r="R1616" s="78">
        <v>0.31740000000000002</v>
      </c>
      <c r="S1616" s="69">
        <v>0</v>
      </c>
      <c r="T1616" s="69">
        <v>0</v>
      </c>
      <c r="U1616" s="518">
        <v>0.7</v>
      </c>
      <c r="V1616" s="76">
        <v>0</v>
      </c>
      <c r="W1616" s="76">
        <v>0</v>
      </c>
      <c r="X1616" s="76"/>
      <c r="Y1616" s="516" t="s">
        <v>470</v>
      </c>
    </row>
    <row r="1617" spans="1:25" x14ac:dyDescent="0.25">
      <c r="A1617" s="75" t="str">
        <f t="shared" si="55"/>
        <v>Pago_de_Hipoteca PF Premier Pago_Bajo_Puntual 14</v>
      </c>
      <c r="B1617" s="75" t="str">
        <f t="shared" si="54"/>
        <v>Pago_de_Hipoteca PF Premier Pago_Bajo_Puntual 14 0.103</v>
      </c>
      <c r="C1617" s="75" t="s">
        <v>173</v>
      </c>
      <c r="D1617" s="75" t="s">
        <v>132</v>
      </c>
      <c r="E1617" s="75" t="s">
        <v>143</v>
      </c>
      <c r="F1617" s="75"/>
      <c r="G1617" s="75"/>
      <c r="H1617" s="75"/>
      <c r="I1617" s="75" t="s">
        <v>170</v>
      </c>
      <c r="J1617" s="76">
        <v>14</v>
      </c>
      <c r="K1617" s="516" t="s">
        <v>386</v>
      </c>
      <c r="L1617" s="517">
        <v>10.46</v>
      </c>
      <c r="M1617" s="517">
        <v>11.12</v>
      </c>
      <c r="N1617" s="518">
        <v>0.10299999999999999</v>
      </c>
      <c r="O1617" s="518">
        <v>0.1</v>
      </c>
      <c r="P1617" s="518">
        <v>0.112</v>
      </c>
      <c r="Q1617" s="78">
        <v>0.44</v>
      </c>
      <c r="R1617" s="78">
        <v>0.31740000000000002</v>
      </c>
      <c r="S1617" s="69">
        <v>0</v>
      </c>
      <c r="T1617" s="69">
        <v>0</v>
      </c>
      <c r="U1617" s="518">
        <v>0.7</v>
      </c>
      <c r="V1617" s="76">
        <v>0</v>
      </c>
      <c r="W1617" s="76">
        <v>0</v>
      </c>
      <c r="X1617" s="76"/>
      <c r="Y1617" s="516" t="s">
        <v>470</v>
      </c>
    </row>
    <row r="1618" spans="1:25" x14ac:dyDescent="0.25">
      <c r="A1618" s="75" t="str">
        <f t="shared" si="55"/>
        <v>Pago_de_Hipoteca PF Premier Pago_Bajo_Puntual 13</v>
      </c>
      <c r="B1618" s="75" t="str">
        <f t="shared" si="54"/>
        <v>Pago_de_Hipoteca PF Premier Pago_Bajo_Puntual 13 0.0965</v>
      </c>
      <c r="C1618" s="75" t="s">
        <v>173</v>
      </c>
      <c r="D1618" s="75" t="s">
        <v>132</v>
      </c>
      <c r="E1618" s="75" t="s">
        <v>143</v>
      </c>
      <c r="F1618" s="75"/>
      <c r="G1618" s="75"/>
      <c r="H1618" s="75"/>
      <c r="I1618" s="75" t="s">
        <v>170</v>
      </c>
      <c r="J1618" s="76">
        <v>13</v>
      </c>
      <c r="K1618" s="516" t="s">
        <v>385</v>
      </c>
      <c r="L1618" s="517">
        <v>10.46</v>
      </c>
      <c r="M1618" s="517">
        <v>11.12</v>
      </c>
      <c r="N1618" s="518">
        <v>9.6500000000000002E-2</v>
      </c>
      <c r="O1618" s="518">
        <v>9.1999999999999998E-2</v>
      </c>
      <c r="P1618" s="518">
        <v>0.10249999999999999</v>
      </c>
      <c r="Q1618" s="78">
        <v>0.44</v>
      </c>
      <c r="R1618" s="78">
        <v>0.31740000000000002</v>
      </c>
      <c r="S1618" s="69">
        <v>0</v>
      </c>
      <c r="T1618" s="69">
        <v>0</v>
      </c>
      <c r="U1618" s="518">
        <v>0.7</v>
      </c>
      <c r="V1618" s="76">
        <v>0</v>
      </c>
      <c r="W1618" s="76">
        <v>0</v>
      </c>
      <c r="X1618" s="76"/>
      <c r="Y1618" s="516" t="s">
        <v>470</v>
      </c>
    </row>
    <row r="1619" spans="1:25" x14ac:dyDescent="0.25">
      <c r="A1619" s="75" t="str">
        <f t="shared" si="55"/>
        <v>Pago_de_Hipoteca PF Premier Pago_Bajo_Puntual 13</v>
      </c>
      <c r="B1619" s="75" t="str">
        <f t="shared" si="54"/>
        <v>Pago_de_Hipoteca PF Premier Pago_Bajo_Puntual 13 0.103</v>
      </c>
      <c r="C1619" s="75" t="s">
        <v>173</v>
      </c>
      <c r="D1619" s="75" t="s">
        <v>132</v>
      </c>
      <c r="E1619" s="75" t="s">
        <v>143</v>
      </c>
      <c r="F1619" s="75"/>
      <c r="G1619" s="75"/>
      <c r="H1619" s="75"/>
      <c r="I1619" s="75" t="s">
        <v>170</v>
      </c>
      <c r="J1619" s="76">
        <v>13</v>
      </c>
      <c r="K1619" s="516" t="s">
        <v>386</v>
      </c>
      <c r="L1619" s="517">
        <v>10.86</v>
      </c>
      <c r="M1619" s="517">
        <v>11.52</v>
      </c>
      <c r="N1619" s="518">
        <v>0.10299999999999999</v>
      </c>
      <c r="O1619" s="518">
        <v>0.1</v>
      </c>
      <c r="P1619" s="518">
        <v>0.112</v>
      </c>
      <c r="Q1619" s="78">
        <v>0.44</v>
      </c>
      <c r="R1619" s="78">
        <v>0.31740000000000002</v>
      </c>
      <c r="S1619" s="69">
        <v>0</v>
      </c>
      <c r="T1619" s="69">
        <v>0</v>
      </c>
      <c r="U1619" s="518">
        <v>0.7</v>
      </c>
      <c r="V1619" s="76">
        <v>0</v>
      </c>
      <c r="W1619" s="76">
        <v>0</v>
      </c>
      <c r="X1619" s="76"/>
      <c r="Y1619" s="516" t="s">
        <v>470</v>
      </c>
    </row>
    <row r="1620" spans="1:25" x14ac:dyDescent="0.25">
      <c r="A1620" s="75" t="str">
        <f t="shared" si="55"/>
        <v>Pago_de_Hipoteca PF Premier Pago_Bajo_Puntual 12</v>
      </c>
      <c r="B1620" s="75" t="str">
        <f t="shared" si="54"/>
        <v>Pago_de_Hipoteca PF Premier Pago_Bajo_Puntual 12 0.0965</v>
      </c>
      <c r="C1620" s="75" t="s">
        <v>173</v>
      </c>
      <c r="D1620" s="75" t="s">
        <v>132</v>
      </c>
      <c r="E1620" s="75" t="s">
        <v>143</v>
      </c>
      <c r="F1620" s="75"/>
      <c r="G1620" s="75"/>
      <c r="H1620" s="75"/>
      <c r="I1620" s="75" t="s">
        <v>170</v>
      </c>
      <c r="J1620" s="76">
        <v>12</v>
      </c>
      <c r="K1620" s="516" t="s">
        <v>385</v>
      </c>
      <c r="L1620" s="517">
        <v>10.95</v>
      </c>
      <c r="M1620" s="517">
        <v>11.61</v>
      </c>
      <c r="N1620" s="518">
        <v>9.6500000000000002E-2</v>
      </c>
      <c r="O1620" s="518">
        <v>9.1999999999999998E-2</v>
      </c>
      <c r="P1620" s="518">
        <v>0.10249999999999999</v>
      </c>
      <c r="Q1620" s="78">
        <v>0.44</v>
      </c>
      <c r="R1620" s="78">
        <v>0.31740000000000002</v>
      </c>
      <c r="S1620" s="69">
        <v>0</v>
      </c>
      <c r="T1620" s="69">
        <v>0</v>
      </c>
      <c r="U1620" s="518">
        <v>0.7</v>
      </c>
      <c r="V1620" s="76">
        <v>0</v>
      </c>
      <c r="W1620" s="76">
        <v>0</v>
      </c>
      <c r="X1620" s="76"/>
      <c r="Y1620" s="516" t="s">
        <v>470</v>
      </c>
    </row>
    <row r="1621" spans="1:25" x14ac:dyDescent="0.25">
      <c r="A1621" s="75" t="str">
        <f t="shared" si="55"/>
        <v>Pago_de_Hipoteca PF Premier Pago_Bajo_Puntual 12</v>
      </c>
      <c r="B1621" s="75" t="str">
        <f t="shared" si="54"/>
        <v>Pago_de_Hipoteca PF Premier Pago_Bajo_Puntual 12 0.103</v>
      </c>
      <c r="C1621" s="75" t="s">
        <v>173</v>
      </c>
      <c r="D1621" s="75" t="s">
        <v>132</v>
      </c>
      <c r="E1621" s="75" t="s">
        <v>143</v>
      </c>
      <c r="F1621" s="75"/>
      <c r="G1621" s="75"/>
      <c r="H1621" s="75"/>
      <c r="I1621" s="75" t="s">
        <v>170</v>
      </c>
      <c r="J1621" s="76">
        <v>12</v>
      </c>
      <c r="K1621" s="516" t="s">
        <v>386</v>
      </c>
      <c r="L1621" s="517">
        <v>11.34</v>
      </c>
      <c r="M1621" s="517">
        <v>12</v>
      </c>
      <c r="N1621" s="518">
        <v>0.10299999999999999</v>
      </c>
      <c r="O1621" s="518">
        <v>0.1</v>
      </c>
      <c r="P1621" s="518">
        <v>0.112</v>
      </c>
      <c r="Q1621" s="78">
        <v>0.44</v>
      </c>
      <c r="R1621" s="78">
        <v>0.31740000000000002</v>
      </c>
      <c r="S1621" s="69">
        <v>0</v>
      </c>
      <c r="T1621" s="69">
        <v>0</v>
      </c>
      <c r="U1621" s="518">
        <v>0.7</v>
      </c>
      <c r="V1621" s="76">
        <v>0</v>
      </c>
      <c r="W1621" s="76">
        <v>0</v>
      </c>
      <c r="X1621" s="76"/>
      <c r="Y1621" s="516" t="s">
        <v>470</v>
      </c>
    </row>
    <row r="1622" spans="1:25" x14ac:dyDescent="0.25">
      <c r="A1622" s="75" t="str">
        <f t="shared" si="55"/>
        <v>Pago_de_Hipoteca PF Premier Pago_Bajo_Puntual 11</v>
      </c>
      <c r="B1622" s="75" t="str">
        <f t="shared" si="54"/>
        <v>Pago_de_Hipoteca PF Premier Pago_Bajo_Puntual 11 0.0965</v>
      </c>
      <c r="C1622" s="75" t="s">
        <v>173</v>
      </c>
      <c r="D1622" s="75" t="s">
        <v>132</v>
      </c>
      <c r="E1622" s="75" t="s">
        <v>143</v>
      </c>
      <c r="F1622" s="75"/>
      <c r="G1622" s="75"/>
      <c r="H1622" s="75"/>
      <c r="I1622" s="75" t="s">
        <v>170</v>
      </c>
      <c r="J1622" s="76">
        <v>11</v>
      </c>
      <c r="K1622" s="516" t="s">
        <v>385</v>
      </c>
      <c r="L1622" s="517">
        <v>11.54</v>
      </c>
      <c r="M1622" s="517">
        <v>12.2</v>
      </c>
      <c r="N1622" s="518">
        <v>9.6500000000000002E-2</v>
      </c>
      <c r="O1622" s="518">
        <v>9.1999999999999998E-2</v>
      </c>
      <c r="P1622" s="518">
        <v>0.10249999999999999</v>
      </c>
      <c r="Q1622" s="78">
        <v>0.44</v>
      </c>
      <c r="R1622" s="78">
        <v>0.31740000000000002</v>
      </c>
      <c r="S1622" s="69">
        <v>0</v>
      </c>
      <c r="T1622" s="69">
        <v>0</v>
      </c>
      <c r="U1622" s="518">
        <v>0.7</v>
      </c>
      <c r="V1622" s="76">
        <v>0</v>
      </c>
      <c r="W1622" s="76">
        <v>0</v>
      </c>
      <c r="X1622" s="76"/>
      <c r="Y1622" s="516" t="s">
        <v>470</v>
      </c>
    </row>
    <row r="1623" spans="1:25" x14ac:dyDescent="0.25">
      <c r="A1623" s="75" t="str">
        <f t="shared" si="55"/>
        <v>Pago_de_Hipoteca PF Premier Pago_Bajo_Puntual 11</v>
      </c>
      <c r="B1623" s="75" t="str">
        <f t="shared" si="54"/>
        <v>Pago_de_Hipoteca PF Premier Pago_Bajo_Puntual 11 0.103</v>
      </c>
      <c r="C1623" s="75" t="s">
        <v>173</v>
      </c>
      <c r="D1623" s="75" t="s">
        <v>132</v>
      </c>
      <c r="E1623" s="75" t="s">
        <v>143</v>
      </c>
      <c r="F1623" s="75"/>
      <c r="G1623" s="75"/>
      <c r="H1623" s="75"/>
      <c r="I1623" s="75" t="s">
        <v>170</v>
      </c>
      <c r="J1623" s="76">
        <v>11</v>
      </c>
      <c r="K1623" s="516" t="s">
        <v>386</v>
      </c>
      <c r="L1623" s="517">
        <v>11.92</v>
      </c>
      <c r="M1623" s="517">
        <v>12.58</v>
      </c>
      <c r="N1623" s="518">
        <v>0.10299999999999999</v>
      </c>
      <c r="O1623" s="518">
        <v>0.1</v>
      </c>
      <c r="P1623" s="518">
        <v>0.112</v>
      </c>
      <c r="Q1623" s="78">
        <v>0.44</v>
      </c>
      <c r="R1623" s="78">
        <v>0.31740000000000002</v>
      </c>
      <c r="S1623" s="69">
        <v>0</v>
      </c>
      <c r="T1623" s="69">
        <v>0</v>
      </c>
      <c r="U1623" s="518">
        <v>0.7</v>
      </c>
      <c r="V1623" s="76">
        <v>0</v>
      </c>
      <c r="W1623" s="76">
        <v>0</v>
      </c>
      <c r="X1623" s="76"/>
      <c r="Y1623" s="516" t="s">
        <v>470</v>
      </c>
    </row>
    <row r="1624" spans="1:25" x14ac:dyDescent="0.25">
      <c r="A1624" s="75" t="str">
        <f t="shared" si="55"/>
        <v>Pago_de_Hipoteca PF Premier Pago_Bajo_Puntual 10</v>
      </c>
      <c r="B1624" s="75" t="str">
        <f t="shared" si="54"/>
        <v>Pago_de_Hipoteca PF Premier Pago_Bajo_Puntual 10 0.0965</v>
      </c>
      <c r="C1624" s="75" t="s">
        <v>173</v>
      </c>
      <c r="D1624" s="75" t="s">
        <v>132</v>
      </c>
      <c r="E1624" s="75" t="s">
        <v>143</v>
      </c>
      <c r="F1624" s="75"/>
      <c r="G1624" s="75"/>
      <c r="H1624" s="75"/>
      <c r="I1624" s="75" t="s">
        <v>170</v>
      </c>
      <c r="J1624" s="76">
        <v>10</v>
      </c>
      <c r="K1624" s="516" t="s">
        <v>385</v>
      </c>
      <c r="L1624" s="517">
        <v>12.25</v>
      </c>
      <c r="M1624" s="517">
        <v>12.91</v>
      </c>
      <c r="N1624" s="518">
        <v>9.6500000000000002E-2</v>
      </c>
      <c r="O1624" s="518">
        <v>9.1999999999999998E-2</v>
      </c>
      <c r="P1624" s="518">
        <v>0.10249999999999999</v>
      </c>
      <c r="Q1624" s="78">
        <v>0.44</v>
      </c>
      <c r="R1624" s="78">
        <v>0.31740000000000002</v>
      </c>
      <c r="S1624" s="69">
        <v>0</v>
      </c>
      <c r="T1624" s="69">
        <v>0</v>
      </c>
      <c r="U1624" s="518">
        <v>0.7</v>
      </c>
      <c r="V1624" s="76">
        <v>0</v>
      </c>
      <c r="W1624" s="76">
        <v>0</v>
      </c>
      <c r="X1624" s="76"/>
      <c r="Y1624" s="516" t="s">
        <v>470</v>
      </c>
    </row>
    <row r="1625" spans="1:25" x14ac:dyDescent="0.25">
      <c r="A1625" s="75" t="str">
        <f t="shared" si="55"/>
        <v>Pago_de_Hipoteca PF Premier Pago_Bajo_Puntual 10</v>
      </c>
      <c r="B1625" s="75" t="str">
        <f t="shared" si="54"/>
        <v>Pago_de_Hipoteca PF Premier Pago_Bajo_Puntual 10 0.103</v>
      </c>
      <c r="C1625" s="75" t="s">
        <v>173</v>
      </c>
      <c r="D1625" s="75" t="s">
        <v>132</v>
      </c>
      <c r="E1625" s="75" t="s">
        <v>143</v>
      </c>
      <c r="F1625" s="75"/>
      <c r="G1625" s="75"/>
      <c r="H1625" s="75"/>
      <c r="I1625" s="75" t="s">
        <v>170</v>
      </c>
      <c r="J1625" s="76">
        <v>10</v>
      </c>
      <c r="K1625" s="516" t="s">
        <v>386</v>
      </c>
      <c r="L1625" s="517">
        <v>12.62</v>
      </c>
      <c r="M1625" s="517">
        <v>13.28</v>
      </c>
      <c r="N1625" s="518">
        <v>0.10299999999999999</v>
      </c>
      <c r="O1625" s="518">
        <v>0.1</v>
      </c>
      <c r="P1625" s="518">
        <v>0.112</v>
      </c>
      <c r="Q1625" s="78">
        <v>0.44</v>
      </c>
      <c r="R1625" s="78">
        <v>0.31740000000000002</v>
      </c>
      <c r="S1625" s="69">
        <v>0</v>
      </c>
      <c r="T1625" s="69">
        <v>0</v>
      </c>
      <c r="U1625" s="518">
        <v>0.7</v>
      </c>
      <c r="V1625" s="76">
        <v>0</v>
      </c>
      <c r="W1625" s="76">
        <v>0</v>
      </c>
      <c r="X1625" s="76"/>
      <c r="Y1625" s="516" t="s">
        <v>470</v>
      </c>
    </row>
    <row r="1626" spans="1:25" x14ac:dyDescent="0.25">
      <c r="A1626" s="75" t="str">
        <f t="shared" si="55"/>
        <v>Pago_de_Hipoteca PF Premier Pago_Bajo_Puntual 9</v>
      </c>
      <c r="B1626" s="75" t="str">
        <f t="shared" si="54"/>
        <v>Pago_de_Hipoteca PF Premier Pago_Bajo_Puntual 9 0.0965</v>
      </c>
      <c r="C1626" s="75" t="s">
        <v>173</v>
      </c>
      <c r="D1626" s="75" t="s">
        <v>132</v>
      </c>
      <c r="E1626" s="75" t="s">
        <v>143</v>
      </c>
      <c r="F1626" s="75"/>
      <c r="G1626" s="75"/>
      <c r="H1626" s="75"/>
      <c r="I1626" s="75" t="s">
        <v>170</v>
      </c>
      <c r="J1626" s="76">
        <v>9</v>
      </c>
      <c r="K1626" s="516" t="s">
        <v>385</v>
      </c>
      <c r="L1626" s="517">
        <v>13.13</v>
      </c>
      <c r="M1626" s="517">
        <v>13.79</v>
      </c>
      <c r="N1626" s="518">
        <v>9.6500000000000002E-2</v>
      </c>
      <c r="O1626" s="518">
        <v>9.1999999999999998E-2</v>
      </c>
      <c r="P1626" s="518">
        <v>0.10249999999999999</v>
      </c>
      <c r="Q1626" s="78">
        <v>0.44</v>
      </c>
      <c r="R1626" s="78">
        <v>0.31740000000000002</v>
      </c>
      <c r="S1626" s="69">
        <v>0</v>
      </c>
      <c r="T1626" s="69">
        <v>0</v>
      </c>
      <c r="U1626" s="518">
        <v>0.7</v>
      </c>
      <c r="V1626" s="76">
        <v>0</v>
      </c>
      <c r="W1626" s="76">
        <v>0</v>
      </c>
      <c r="X1626" s="76"/>
      <c r="Y1626" s="516" t="s">
        <v>470</v>
      </c>
    </row>
    <row r="1627" spans="1:25" x14ac:dyDescent="0.25">
      <c r="A1627" s="75" t="str">
        <f t="shared" si="55"/>
        <v>Pago_de_Hipoteca PF Premier Pago_Bajo_Puntual 9</v>
      </c>
      <c r="B1627" s="75" t="str">
        <f t="shared" si="54"/>
        <v>Pago_de_Hipoteca PF Premier Pago_Bajo_Puntual 9 0.103</v>
      </c>
      <c r="C1627" s="75" t="s">
        <v>173</v>
      </c>
      <c r="D1627" s="75" t="s">
        <v>132</v>
      </c>
      <c r="E1627" s="75" t="s">
        <v>143</v>
      </c>
      <c r="F1627" s="75"/>
      <c r="G1627" s="75"/>
      <c r="H1627" s="75"/>
      <c r="I1627" s="75" t="s">
        <v>170</v>
      </c>
      <c r="J1627" s="76">
        <v>9</v>
      </c>
      <c r="K1627" s="516" t="s">
        <v>386</v>
      </c>
      <c r="L1627" s="517">
        <v>13.49</v>
      </c>
      <c r="M1627" s="517">
        <v>14.15</v>
      </c>
      <c r="N1627" s="518">
        <v>0.10299999999999999</v>
      </c>
      <c r="O1627" s="518">
        <v>0.1</v>
      </c>
      <c r="P1627" s="518">
        <v>0.112</v>
      </c>
      <c r="Q1627" s="78">
        <v>0.44</v>
      </c>
      <c r="R1627" s="78">
        <v>0.31740000000000002</v>
      </c>
      <c r="S1627" s="69">
        <v>0</v>
      </c>
      <c r="T1627" s="69">
        <v>0</v>
      </c>
      <c r="U1627" s="518">
        <v>0.7</v>
      </c>
      <c r="V1627" s="76">
        <v>0</v>
      </c>
      <c r="W1627" s="76">
        <v>0</v>
      </c>
      <c r="X1627" s="76"/>
      <c r="Y1627" s="516" t="s">
        <v>470</v>
      </c>
    </row>
    <row r="1628" spans="1:25" x14ac:dyDescent="0.25">
      <c r="A1628" s="75" t="str">
        <f t="shared" si="55"/>
        <v>Pago_de_Hipoteca PF Premier Pago_Bajo_Puntual 8</v>
      </c>
      <c r="B1628" s="75" t="str">
        <f t="shared" si="54"/>
        <v>Pago_de_Hipoteca PF Premier Pago_Bajo_Puntual 8 0.0965</v>
      </c>
      <c r="C1628" s="75" t="s">
        <v>173</v>
      </c>
      <c r="D1628" s="75" t="s">
        <v>132</v>
      </c>
      <c r="E1628" s="75" t="s">
        <v>143</v>
      </c>
      <c r="F1628" s="75"/>
      <c r="G1628" s="75"/>
      <c r="H1628" s="75"/>
      <c r="I1628" s="75" t="s">
        <v>170</v>
      </c>
      <c r="J1628" s="76">
        <v>8</v>
      </c>
      <c r="K1628" s="516" t="s">
        <v>385</v>
      </c>
      <c r="L1628" s="517">
        <v>14.25</v>
      </c>
      <c r="M1628" s="517">
        <v>14.91</v>
      </c>
      <c r="N1628" s="518">
        <v>9.6500000000000002E-2</v>
      </c>
      <c r="O1628" s="518">
        <v>9.1999999999999998E-2</v>
      </c>
      <c r="P1628" s="518">
        <v>0.10249999999999999</v>
      </c>
      <c r="Q1628" s="78">
        <v>0.44</v>
      </c>
      <c r="R1628" s="78">
        <v>0.31740000000000002</v>
      </c>
      <c r="S1628" s="69">
        <v>0</v>
      </c>
      <c r="T1628" s="69">
        <v>0</v>
      </c>
      <c r="U1628" s="518">
        <v>0.7</v>
      </c>
      <c r="V1628" s="76">
        <v>0</v>
      </c>
      <c r="W1628" s="76">
        <v>0</v>
      </c>
      <c r="X1628" s="76"/>
      <c r="Y1628" s="516" t="s">
        <v>470</v>
      </c>
    </row>
    <row r="1629" spans="1:25" x14ac:dyDescent="0.25">
      <c r="A1629" s="75" t="str">
        <f t="shared" si="55"/>
        <v>Pago_de_Hipoteca PF Premier Pago_Bajo_Puntual 8</v>
      </c>
      <c r="B1629" s="75" t="str">
        <f t="shared" si="54"/>
        <v>Pago_de_Hipoteca PF Premier Pago_Bajo_Puntual 8 0.103</v>
      </c>
      <c r="C1629" s="75" t="s">
        <v>173</v>
      </c>
      <c r="D1629" s="75" t="s">
        <v>132</v>
      </c>
      <c r="E1629" s="75" t="s">
        <v>143</v>
      </c>
      <c r="F1629" s="75"/>
      <c r="G1629" s="75"/>
      <c r="H1629" s="75"/>
      <c r="I1629" s="75" t="s">
        <v>170</v>
      </c>
      <c r="J1629" s="76">
        <v>8</v>
      </c>
      <c r="K1629" s="516" t="s">
        <v>386</v>
      </c>
      <c r="L1629" s="517">
        <v>14.59</v>
      </c>
      <c r="M1629" s="517">
        <v>15.25</v>
      </c>
      <c r="N1629" s="518">
        <v>0.10299999999999999</v>
      </c>
      <c r="O1629" s="518">
        <v>0.1</v>
      </c>
      <c r="P1629" s="518">
        <v>0.112</v>
      </c>
      <c r="Q1629" s="78">
        <v>0.44</v>
      </c>
      <c r="R1629" s="78">
        <v>0.31740000000000002</v>
      </c>
      <c r="S1629" s="69">
        <v>0</v>
      </c>
      <c r="T1629" s="69">
        <v>0</v>
      </c>
      <c r="U1629" s="518">
        <v>0.7</v>
      </c>
      <c r="V1629" s="76">
        <v>0</v>
      </c>
      <c r="W1629" s="76">
        <v>0</v>
      </c>
      <c r="X1629" s="76"/>
      <c r="Y1629" s="516" t="s">
        <v>470</v>
      </c>
    </row>
    <row r="1630" spans="1:25" x14ac:dyDescent="0.25">
      <c r="A1630" s="75" t="str">
        <f t="shared" si="55"/>
        <v>Pago_de_Hipoteca PF Premier Pago_Bajo_Puntual 7</v>
      </c>
      <c r="B1630" s="75" t="str">
        <f t="shared" si="54"/>
        <v>Pago_de_Hipoteca PF Premier Pago_Bajo_Puntual 7 0.0965</v>
      </c>
      <c r="C1630" s="75" t="s">
        <v>173</v>
      </c>
      <c r="D1630" s="75" t="s">
        <v>132</v>
      </c>
      <c r="E1630" s="75" t="s">
        <v>143</v>
      </c>
      <c r="F1630" s="75"/>
      <c r="G1630" s="75"/>
      <c r="H1630" s="75"/>
      <c r="I1630" s="75" t="s">
        <v>170</v>
      </c>
      <c r="J1630" s="76">
        <v>7</v>
      </c>
      <c r="K1630" s="516" t="s">
        <v>385</v>
      </c>
      <c r="L1630" s="517">
        <v>15.7</v>
      </c>
      <c r="M1630" s="517">
        <v>16.36</v>
      </c>
      <c r="N1630" s="518">
        <v>9.6500000000000002E-2</v>
      </c>
      <c r="O1630" s="518">
        <v>9.1999999999999998E-2</v>
      </c>
      <c r="P1630" s="518">
        <v>0.10249999999999999</v>
      </c>
      <c r="Q1630" s="78">
        <v>0.44</v>
      </c>
      <c r="R1630" s="78">
        <v>0.31740000000000002</v>
      </c>
      <c r="S1630" s="69">
        <v>0</v>
      </c>
      <c r="T1630" s="69">
        <v>0</v>
      </c>
      <c r="U1630" s="518">
        <v>0.7</v>
      </c>
      <c r="V1630" s="76">
        <v>0</v>
      </c>
      <c r="W1630" s="76">
        <v>0</v>
      </c>
      <c r="X1630" s="76"/>
      <c r="Y1630" s="516" t="s">
        <v>470</v>
      </c>
    </row>
    <row r="1631" spans="1:25" x14ac:dyDescent="0.25">
      <c r="A1631" s="75" t="str">
        <f t="shared" si="55"/>
        <v>Pago_de_Hipoteca PF Premier Pago_Bajo_Puntual 7</v>
      </c>
      <c r="B1631" s="75" t="str">
        <f t="shared" si="54"/>
        <v>Pago_de_Hipoteca PF Premier Pago_Bajo_Puntual 7 0.103</v>
      </c>
      <c r="C1631" s="75" t="s">
        <v>173</v>
      </c>
      <c r="D1631" s="75" t="s">
        <v>132</v>
      </c>
      <c r="E1631" s="75" t="s">
        <v>143</v>
      </c>
      <c r="F1631" s="75"/>
      <c r="G1631" s="75"/>
      <c r="H1631" s="75"/>
      <c r="I1631" s="75" t="s">
        <v>170</v>
      </c>
      <c r="J1631" s="76">
        <v>7</v>
      </c>
      <c r="K1631" s="516" t="s">
        <v>386</v>
      </c>
      <c r="L1631" s="517">
        <v>16.03</v>
      </c>
      <c r="M1631" s="517">
        <v>16.690000000000001</v>
      </c>
      <c r="N1631" s="518">
        <v>0.10299999999999999</v>
      </c>
      <c r="O1631" s="518">
        <v>0.1</v>
      </c>
      <c r="P1631" s="518">
        <v>0.112</v>
      </c>
      <c r="Q1631" s="78">
        <v>0.44</v>
      </c>
      <c r="R1631" s="78">
        <v>0.31740000000000002</v>
      </c>
      <c r="S1631" s="69">
        <v>0</v>
      </c>
      <c r="T1631" s="69">
        <v>0</v>
      </c>
      <c r="U1631" s="518">
        <v>0.7</v>
      </c>
      <c r="V1631" s="76">
        <v>0</v>
      </c>
      <c r="W1631" s="76">
        <v>0</v>
      </c>
      <c r="X1631" s="76"/>
      <c r="Y1631" s="516" t="s">
        <v>470</v>
      </c>
    </row>
    <row r="1632" spans="1:25" x14ac:dyDescent="0.25">
      <c r="A1632" s="75" t="str">
        <f t="shared" si="55"/>
        <v>Pago_de_Hipoteca PF Premier Pago_Bajo_Puntual 6</v>
      </c>
      <c r="B1632" s="75" t="str">
        <f t="shared" si="54"/>
        <v>Pago_de_Hipoteca PF Premier Pago_Bajo_Puntual 6 0.0965</v>
      </c>
      <c r="C1632" s="75" t="s">
        <v>173</v>
      </c>
      <c r="D1632" s="75" t="s">
        <v>132</v>
      </c>
      <c r="E1632" s="75" t="s">
        <v>143</v>
      </c>
      <c r="F1632" s="75"/>
      <c r="G1632" s="75"/>
      <c r="H1632" s="75"/>
      <c r="I1632" s="75" t="s">
        <v>170</v>
      </c>
      <c r="J1632" s="76">
        <v>6</v>
      </c>
      <c r="K1632" s="516" t="s">
        <v>385</v>
      </c>
      <c r="L1632" s="517">
        <v>17.649999999999999</v>
      </c>
      <c r="M1632" s="517">
        <v>18.309999999999999</v>
      </c>
      <c r="N1632" s="518">
        <v>9.6500000000000002E-2</v>
      </c>
      <c r="O1632" s="518">
        <v>9.1999999999999998E-2</v>
      </c>
      <c r="P1632" s="518">
        <v>0.10249999999999999</v>
      </c>
      <c r="Q1632" s="78">
        <v>0.44</v>
      </c>
      <c r="R1632" s="78">
        <v>0.31740000000000002</v>
      </c>
      <c r="S1632" s="69">
        <v>0</v>
      </c>
      <c r="T1632" s="69">
        <v>0</v>
      </c>
      <c r="U1632" s="518">
        <v>0.7</v>
      </c>
      <c r="V1632" s="76">
        <v>0</v>
      </c>
      <c r="W1632" s="76">
        <v>0</v>
      </c>
      <c r="X1632" s="76"/>
      <c r="Y1632" s="516" t="s">
        <v>470</v>
      </c>
    </row>
    <row r="1633" spans="1:25" x14ac:dyDescent="0.25">
      <c r="A1633" s="75" t="str">
        <f t="shared" si="55"/>
        <v>Pago_de_Hipoteca PF Premier Pago_Bajo_Puntual 6</v>
      </c>
      <c r="B1633" s="75" t="str">
        <f t="shared" si="54"/>
        <v>Pago_de_Hipoteca PF Premier Pago_Bajo_Puntual 6 0.103</v>
      </c>
      <c r="C1633" s="75" t="s">
        <v>173</v>
      </c>
      <c r="D1633" s="75" t="s">
        <v>132</v>
      </c>
      <c r="E1633" s="75" t="s">
        <v>143</v>
      </c>
      <c r="F1633" s="75"/>
      <c r="G1633" s="75"/>
      <c r="H1633" s="75"/>
      <c r="I1633" s="75" t="s">
        <v>170</v>
      </c>
      <c r="J1633" s="76">
        <v>6</v>
      </c>
      <c r="K1633" s="516" t="s">
        <v>386</v>
      </c>
      <c r="L1633" s="517">
        <v>17.97</v>
      </c>
      <c r="M1633" s="517">
        <v>18.63</v>
      </c>
      <c r="N1633" s="518">
        <v>0.10299999999999999</v>
      </c>
      <c r="O1633" s="518">
        <v>0.1</v>
      </c>
      <c r="P1633" s="518">
        <v>0.112</v>
      </c>
      <c r="Q1633" s="78">
        <v>0.44</v>
      </c>
      <c r="R1633" s="78">
        <v>0.31740000000000002</v>
      </c>
      <c r="S1633" s="69">
        <v>0</v>
      </c>
      <c r="T1633" s="69">
        <v>0</v>
      </c>
      <c r="U1633" s="518">
        <v>0.7</v>
      </c>
      <c r="V1633" s="76">
        <v>0</v>
      </c>
      <c r="W1633" s="76">
        <v>0</v>
      </c>
      <c r="X1633" s="76"/>
      <c r="Y1633" s="516" t="s">
        <v>470</v>
      </c>
    </row>
    <row r="1634" spans="1:25" x14ac:dyDescent="0.25">
      <c r="A1634" s="75" t="str">
        <f t="shared" si="55"/>
        <v>Pago_de_Hipoteca PF Premier Pago_Bajo_Puntual 5</v>
      </c>
      <c r="B1634" s="75" t="str">
        <f t="shared" si="54"/>
        <v>Pago_de_Hipoteca PF Premier Pago_Bajo_Puntual 5 0.0965</v>
      </c>
      <c r="C1634" s="75" t="s">
        <v>173</v>
      </c>
      <c r="D1634" s="75" t="s">
        <v>132</v>
      </c>
      <c r="E1634" s="75" t="s">
        <v>143</v>
      </c>
      <c r="F1634" s="75"/>
      <c r="G1634" s="75"/>
      <c r="H1634" s="75"/>
      <c r="I1634" s="75" t="s">
        <v>170</v>
      </c>
      <c r="J1634" s="76">
        <v>5</v>
      </c>
      <c r="K1634" s="516" t="s">
        <v>385</v>
      </c>
      <c r="L1634" s="517">
        <v>20.399999999999999</v>
      </c>
      <c r="M1634" s="517">
        <v>21.06</v>
      </c>
      <c r="N1634" s="518">
        <v>9.6500000000000002E-2</v>
      </c>
      <c r="O1634" s="518">
        <v>9.1999999999999998E-2</v>
      </c>
      <c r="P1634" s="518">
        <v>0.10249999999999999</v>
      </c>
      <c r="Q1634" s="78">
        <v>0.44</v>
      </c>
      <c r="R1634" s="78">
        <v>0.31740000000000002</v>
      </c>
      <c r="S1634" s="69">
        <v>0</v>
      </c>
      <c r="T1634" s="69">
        <v>0</v>
      </c>
      <c r="U1634" s="518">
        <v>0.7</v>
      </c>
      <c r="V1634" s="76">
        <v>0</v>
      </c>
      <c r="W1634" s="76">
        <v>0</v>
      </c>
      <c r="X1634" s="76"/>
      <c r="Y1634" s="516" t="s">
        <v>470</v>
      </c>
    </row>
    <row r="1635" spans="1:25" x14ac:dyDescent="0.25">
      <c r="A1635" s="75" t="str">
        <f t="shared" si="55"/>
        <v>Pago_de_Hipoteca PF Premier Pago_Bajo_Puntual 5</v>
      </c>
      <c r="B1635" s="75" t="str">
        <f t="shared" si="54"/>
        <v>Pago_de_Hipoteca PF Premier Pago_Bajo_Puntual 5 0.103</v>
      </c>
      <c r="C1635" s="75" t="s">
        <v>173</v>
      </c>
      <c r="D1635" s="75" t="s">
        <v>132</v>
      </c>
      <c r="E1635" s="75" t="s">
        <v>143</v>
      </c>
      <c r="F1635" s="75"/>
      <c r="G1635" s="75"/>
      <c r="H1635" s="75"/>
      <c r="I1635" s="75" t="s">
        <v>170</v>
      </c>
      <c r="J1635" s="76">
        <v>5</v>
      </c>
      <c r="K1635" s="516" t="s">
        <v>386</v>
      </c>
      <c r="L1635" s="517">
        <v>20.72</v>
      </c>
      <c r="M1635" s="517">
        <v>21.38</v>
      </c>
      <c r="N1635" s="518">
        <v>0.10299999999999999</v>
      </c>
      <c r="O1635" s="518">
        <v>0.1</v>
      </c>
      <c r="P1635" s="518">
        <v>0.112</v>
      </c>
      <c r="Q1635" s="78">
        <v>0.44</v>
      </c>
      <c r="R1635" s="78">
        <v>0.31740000000000002</v>
      </c>
      <c r="S1635" s="69">
        <v>0</v>
      </c>
      <c r="T1635" s="69">
        <v>0</v>
      </c>
      <c r="U1635" s="518">
        <v>0.7</v>
      </c>
      <c r="V1635" s="76">
        <v>0</v>
      </c>
      <c r="W1635" s="76">
        <v>0</v>
      </c>
      <c r="X1635" s="76"/>
      <c r="Y1635" s="516" t="s">
        <v>470</v>
      </c>
    </row>
    <row r="1636" spans="1:25" x14ac:dyDescent="0.25">
      <c r="A1636" s="75" t="str">
        <f t="shared" si="55"/>
        <v>Pago_de_Hipoteca PFAE No_Premier Normal Pago_Fijo_Puntual Si 20</v>
      </c>
      <c r="B1636" s="75" t="str">
        <f t="shared" si="54"/>
        <v>Pago_de_Hipoteca PFAE No_Premier Normal Pago_Fijo_Puntual Si 20 0.103</v>
      </c>
      <c r="C1636" s="75" t="s">
        <v>173</v>
      </c>
      <c r="D1636" s="75" t="s">
        <v>168</v>
      </c>
      <c r="E1636" s="75" t="s">
        <v>179</v>
      </c>
      <c r="F1636" s="75" t="s">
        <v>180</v>
      </c>
      <c r="G1636" s="75"/>
      <c r="H1636" s="75"/>
      <c r="I1636" s="75" t="s">
        <v>171</v>
      </c>
      <c r="J1636" s="76">
        <v>20</v>
      </c>
      <c r="K1636" s="519" t="s">
        <v>387</v>
      </c>
      <c r="L1636" s="520">
        <v>10.16</v>
      </c>
      <c r="M1636" s="520">
        <v>10.82</v>
      </c>
      <c r="N1636" s="507">
        <v>0.10299999999999999</v>
      </c>
      <c r="O1636" s="507">
        <v>0.1</v>
      </c>
      <c r="P1636" s="507">
        <v>0.112</v>
      </c>
      <c r="Q1636" s="78">
        <v>0.44</v>
      </c>
      <c r="R1636" s="78">
        <v>0.31740000000000002</v>
      </c>
      <c r="S1636" s="69">
        <v>0</v>
      </c>
      <c r="T1636" s="69">
        <v>0</v>
      </c>
      <c r="U1636" s="507">
        <v>0.85</v>
      </c>
      <c r="V1636" s="76">
        <v>0</v>
      </c>
      <c r="W1636" s="76">
        <v>0</v>
      </c>
      <c r="X1636" s="76" t="s">
        <v>147</v>
      </c>
      <c r="Y1636" s="519" t="s">
        <v>469</v>
      </c>
    </row>
    <row r="1637" spans="1:25" x14ac:dyDescent="0.25">
      <c r="A1637" s="75" t="str">
        <f t="shared" si="55"/>
        <v>Pago_de_Hipoteca PFAE No_Premier Normal Pago_Fijo_Puntual Si 19</v>
      </c>
      <c r="B1637" s="75" t="str">
        <f t="shared" ref="B1637:B1669" si="56">CONCATENATE(A1637," ",N1637)</f>
        <v>Pago_de_Hipoteca PFAE No_Premier Normal Pago_Fijo_Puntual Si 19 0.103</v>
      </c>
      <c r="C1637" s="75" t="s">
        <v>173</v>
      </c>
      <c r="D1637" s="75" t="s">
        <v>168</v>
      </c>
      <c r="E1637" s="75" t="s">
        <v>179</v>
      </c>
      <c r="F1637" s="75" t="s">
        <v>180</v>
      </c>
      <c r="G1637" s="75"/>
      <c r="H1637" s="75"/>
      <c r="I1637" s="75" t="s">
        <v>171</v>
      </c>
      <c r="J1637" s="76">
        <v>19</v>
      </c>
      <c r="K1637" s="519" t="s">
        <v>387</v>
      </c>
      <c r="L1637" s="520">
        <v>10.3</v>
      </c>
      <c r="M1637" s="520">
        <v>10.96</v>
      </c>
      <c r="N1637" s="507">
        <v>0.10299999999999999</v>
      </c>
      <c r="O1637" s="507">
        <v>0.1</v>
      </c>
      <c r="P1637" s="507">
        <v>0.112</v>
      </c>
      <c r="Q1637" s="78">
        <v>0.44</v>
      </c>
      <c r="R1637" s="78">
        <v>0.31740000000000002</v>
      </c>
      <c r="S1637" s="69">
        <v>0</v>
      </c>
      <c r="T1637" s="69">
        <v>0</v>
      </c>
      <c r="U1637" s="507">
        <v>0.85</v>
      </c>
      <c r="V1637" s="76">
        <v>0</v>
      </c>
      <c r="W1637" s="76">
        <v>0</v>
      </c>
      <c r="X1637" s="76" t="s">
        <v>147</v>
      </c>
      <c r="Y1637" s="519" t="s">
        <v>469</v>
      </c>
    </row>
    <row r="1638" spans="1:25" x14ac:dyDescent="0.25">
      <c r="A1638" s="75" t="str">
        <f t="shared" ref="A1638:A1670" si="57">TRIM(CONCATENATE(C1638," ",D1638," ",E1638," ",F1638," ",G1638," ",I1638," ",X1638," ",J1638))</f>
        <v>Pago_de_Hipoteca PFAE No_Premier Normal Pago_Fijo_Puntual Si 18</v>
      </c>
      <c r="B1638" s="75" t="str">
        <f t="shared" si="56"/>
        <v>Pago_de_Hipoteca PFAE No_Premier Normal Pago_Fijo_Puntual Si 18 0.103</v>
      </c>
      <c r="C1638" s="75" t="s">
        <v>173</v>
      </c>
      <c r="D1638" s="75" t="s">
        <v>168</v>
      </c>
      <c r="E1638" s="75" t="s">
        <v>179</v>
      </c>
      <c r="F1638" s="75" t="s">
        <v>180</v>
      </c>
      <c r="G1638" s="75"/>
      <c r="H1638" s="75"/>
      <c r="I1638" s="75" t="s">
        <v>171</v>
      </c>
      <c r="J1638" s="76">
        <v>18</v>
      </c>
      <c r="K1638" s="519" t="s">
        <v>387</v>
      </c>
      <c r="L1638" s="520">
        <v>10.47</v>
      </c>
      <c r="M1638" s="520">
        <v>11.13</v>
      </c>
      <c r="N1638" s="507">
        <v>0.10299999999999999</v>
      </c>
      <c r="O1638" s="507">
        <v>0.1</v>
      </c>
      <c r="P1638" s="507">
        <v>0.112</v>
      </c>
      <c r="Q1638" s="78">
        <v>0.44</v>
      </c>
      <c r="R1638" s="78">
        <v>0.31740000000000002</v>
      </c>
      <c r="S1638" s="69">
        <v>0</v>
      </c>
      <c r="T1638" s="69">
        <v>0</v>
      </c>
      <c r="U1638" s="507">
        <v>0.85</v>
      </c>
      <c r="V1638" s="76">
        <v>0</v>
      </c>
      <c r="W1638" s="76">
        <v>0</v>
      </c>
      <c r="X1638" s="76" t="s">
        <v>147</v>
      </c>
      <c r="Y1638" s="519" t="s">
        <v>469</v>
      </c>
    </row>
    <row r="1639" spans="1:25" x14ac:dyDescent="0.25">
      <c r="A1639" s="75" t="str">
        <f t="shared" si="57"/>
        <v>Pago_de_Hipoteca PFAE No_Premier Normal Pago_Fijo_Puntual Si 17</v>
      </c>
      <c r="B1639" s="75" t="str">
        <f t="shared" si="56"/>
        <v>Pago_de_Hipoteca PFAE No_Premier Normal Pago_Fijo_Puntual Si 17 0.103</v>
      </c>
      <c r="C1639" s="75" t="s">
        <v>173</v>
      </c>
      <c r="D1639" s="75" t="s">
        <v>168</v>
      </c>
      <c r="E1639" s="75" t="s">
        <v>179</v>
      </c>
      <c r="F1639" s="75" t="s">
        <v>180</v>
      </c>
      <c r="G1639" s="75"/>
      <c r="H1639" s="75"/>
      <c r="I1639" s="75" t="s">
        <v>171</v>
      </c>
      <c r="J1639" s="76">
        <v>17</v>
      </c>
      <c r="K1639" s="519" t="s">
        <v>387</v>
      </c>
      <c r="L1639" s="520">
        <v>10.67</v>
      </c>
      <c r="M1639" s="520">
        <v>11.33</v>
      </c>
      <c r="N1639" s="507">
        <v>0.10299999999999999</v>
      </c>
      <c r="O1639" s="507">
        <v>0.1</v>
      </c>
      <c r="P1639" s="507">
        <v>0.112</v>
      </c>
      <c r="Q1639" s="78">
        <v>0.44</v>
      </c>
      <c r="R1639" s="78">
        <v>0.31740000000000002</v>
      </c>
      <c r="S1639" s="69">
        <v>0</v>
      </c>
      <c r="T1639" s="69">
        <v>0</v>
      </c>
      <c r="U1639" s="507">
        <v>0.85</v>
      </c>
      <c r="V1639" s="76">
        <v>0</v>
      </c>
      <c r="W1639" s="76">
        <v>0</v>
      </c>
      <c r="X1639" s="76" t="s">
        <v>147</v>
      </c>
      <c r="Y1639" s="519" t="s">
        <v>469</v>
      </c>
    </row>
    <row r="1640" spans="1:25" x14ac:dyDescent="0.25">
      <c r="A1640" s="75" t="str">
        <f t="shared" si="57"/>
        <v>Pago_de_Hipoteca PFAE No_Premier Normal Pago_Fijo_Puntual Si 16</v>
      </c>
      <c r="B1640" s="75" t="str">
        <f t="shared" si="56"/>
        <v>Pago_de_Hipoteca PFAE No_Premier Normal Pago_Fijo_Puntual Si 16 0.103</v>
      </c>
      <c r="C1640" s="75" t="s">
        <v>173</v>
      </c>
      <c r="D1640" s="75" t="s">
        <v>168</v>
      </c>
      <c r="E1640" s="75" t="s">
        <v>179</v>
      </c>
      <c r="F1640" s="75" t="s">
        <v>180</v>
      </c>
      <c r="G1640" s="75"/>
      <c r="H1640" s="75"/>
      <c r="I1640" s="75" t="s">
        <v>171</v>
      </c>
      <c r="J1640" s="76">
        <v>16</v>
      </c>
      <c r="K1640" s="519" t="s">
        <v>387</v>
      </c>
      <c r="L1640" s="520">
        <v>10.9</v>
      </c>
      <c r="M1640" s="520">
        <v>11.56</v>
      </c>
      <c r="N1640" s="507">
        <v>0.10299999999999999</v>
      </c>
      <c r="O1640" s="507">
        <v>0.1</v>
      </c>
      <c r="P1640" s="507">
        <v>0.112</v>
      </c>
      <c r="Q1640" s="78">
        <v>0.44</v>
      </c>
      <c r="R1640" s="78">
        <v>0.31740000000000002</v>
      </c>
      <c r="S1640" s="69">
        <v>0</v>
      </c>
      <c r="T1640" s="69">
        <v>0</v>
      </c>
      <c r="U1640" s="507">
        <v>0.85</v>
      </c>
      <c r="V1640" s="76">
        <v>0</v>
      </c>
      <c r="W1640" s="76">
        <v>0</v>
      </c>
      <c r="X1640" s="76" t="s">
        <v>147</v>
      </c>
      <c r="Y1640" s="519" t="s">
        <v>469</v>
      </c>
    </row>
    <row r="1641" spans="1:25" x14ac:dyDescent="0.25">
      <c r="A1641" s="75" t="str">
        <f t="shared" si="57"/>
        <v>Pago_de_Hipoteca PFAE No_Premier Normal Pago_Fijo_Puntual Si 15</v>
      </c>
      <c r="B1641" s="75" t="str">
        <f t="shared" si="56"/>
        <v>Pago_de_Hipoteca PFAE No_Premier Normal Pago_Fijo_Puntual Si 15 0.103</v>
      </c>
      <c r="C1641" s="75" t="s">
        <v>173</v>
      </c>
      <c r="D1641" s="75" t="s">
        <v>168</v>
      </c>
      <c r="E1641" s="75" t="s">
        <v>179</v>
      </c>
      <c r="F1641" s="75" t="s">
        <v>180</v>
      </c>
      <c r="G1641" s="75"/>
      <c r="H1641" s="75"/>
      <c r="I1641" s="75" t="s">
        <v>171</v>
      </c>
      <c r="J1641" s="76">
        <v>15</v>
      </c>
      <c r="K1641" s="519" t="s">
        <v>387</v>
      </c>
      <c r="L1641" s="520">
        <v>11.18</v>
      </c>
      <c r="M1641" s="520">
        <v>11.84</v>
      </c>
      <c r="N1641" s="507">
        <v>0.10299999999999999</v>
      </c>
      <c r="O1641" s="507">
        <v>0.1</v>
      </c>
      <c r="P1641" s="507">
        <v>0.112</v>
      </c>
      <c r="Q1641" s="78">
        <v>0.44</v>
      </c>
      <c r="R1641" s="78">
        <v>0.31740000000000002</v>
      </c>
      <c r="S1641" s="69">
        <v>0</v>
      </c>
      <c r="T1641" s="69">
        <v>0</v>
      </c>
      <c r="U1641" s="507">
        <v>0.85</v>
      </c>
      <c r="V1641" s="76">
        <v>0</v>
      </c>
      <c r="W1641" s="76">
        <v>0</v>
      </c>
      <c r="X1641" s="76" t="s">
        <v>147</v>
      </c>
      <c r="Y1641" s="519" t="s">
        <v>469</v>
      </c>
    </row>
    <row r="1642" spans="1:25" x14ac:dyDescent="0.25">
      <c r="A1642" s="75" t="str">
        <f t="shared" si="57"/>
        <v>Pago_de_Hipoteca PFAE No_Premier Normal Pago_Fijo_Puntual Si 14</v>
      </c>
      <c r="B1642" s="75" t="str">
        <f t="shared" si="56"/>
        <v>Pago_de_Hipoteca PFAE No_Premier Normal Pago_Fijo_Puntual Si 14 0.103</v>
      </c>
      <c r="C1642" s="75" t="s">
        <v>173</v>
      </c>
      <c r="D1642" s="75" t="s">
        <v>168</v>
      </c>
      <c r="E1642" s="75" t="s">
        <v>179</v>
      </c>
      <c r="F1642" s="75" t="s">
        <v>180</v>
      </c>
      <c r="G1642" s="75"/>
      <c r="H1642" s="75"/>
      <c r="I1642" s="75" t="s">
        <v>171</v>
      </c>
      <c r="J1642" s="76">
        <v>14</v>
      </c>
      <c r="K1642" s="519" t="s">
        <v>387</v>
      </c>
      <c r="L1642" s="520">
        <v>11.49</v>
      </c>
      <c r="M1642" s="520">
        <v>12.15</v>
      </c>
      <c r="N1642" s="507">
        <v>0.10299999999999999</v>
      </c>
      <c r="O1642" s="507">
        <v>0.1</v>
      </c>
      <c r="P1642" s="507">
        <v>0.112</v>
      </c>
      <c r="Q1642" s="78">
        <v>0.44</v>
      </c>
      <c r="R1642" s="78">
        <v>0.31740000000000002</v>
      </c>
      <c r="S1642" s="69">
        <v>0</v>
      </c>
      <c r="T1642" s="69">
        <v>0</v>
      </c>
      <c r="U1642" s="507">
        <v>0.85</v>
      </c>
      <c r="V1642" s="76">
        <v>0</v>
      </c>
      <c r="W1642" s="76">
        <v>0</v>
      </c>
      <c r="X1642" s="76" t="s">
        <v>147</v>
      </c>
      <c r="Y1642" s="519" t="s">
        <v>469</v>
      </c>
    </row>
    <row r="1643" spans="1:25" x14ac:dyDescent="0.25">
      <c r="A1643" s="75" t="str">
        <f t="shared" si="57"/>
        <v>Pago_de_Hipoteca PFAE No_Premier Normal Pago_Fijo_Puntual Si 13</v>
      </c>
      <c r="B1643" s="75" t="str">
        <f t="shared" si="56"/>
        <v>Pago_de_Hipoteca PFAE No_Premier Normal Pago_Fijo_Puntual Si 13 0.103</v>
      </c>
      <c r="C1643" s="75" t="s">
        <v>173</v>
      </c>
      <c r="D1643" s="75" t="s">
        <v>168</v>
      </c>
      <c r="E1643" s="75" t="s">
        <v>179</v>
      </c>
      <c r="F1643" s="75" t="s">
        <v>180</v>
      </c>
      <c r="G1643" s="75"/>
      <c r="H1643" s="75"/>
      <c r="I1643" s="75" t="s">
        <v>171</v>
      </c>
      <c r="J1643" s="76">
        <v>13</v>
      </c>
      <c r="K1643" s="519" t="s">
        <v>387</v>
      </c>
      <c r="L1643" s="520">
        <v>11.86</v>
      </c>
      <c r="M1643" s="520">
        <v>12.52</v>
      </c>
      <c r="N1643" s="507">
        <v>0.10299999999999999</v>
      </c>
      <c r="O1643" s="507">
        <v>0.1</v>
      </c>
      <c r="P1643" s="507">
        <v>0.112</v>
      </c>
      <c r="Q1643" s="78">
        <v>0.44</v>
      </c>
      <c r="R1643" s="78">
        <v>0.31740000000000002</v>
      </c>
      <c r="S1643" s="69">
        <v>0</v>
      </c>
      <c r="T1643" s="69">
        <v>0</v>
      </c>
      <c r="U1643" s="507">
        <v>0.85</v>
      </c>
      <c r="V1643" s="76">
        <v>0</v>
      </c>
      <c r="W1643" s="76">
        <v>0</v>
      </c>
      <c r="X1643" s="76" t="s">
        <v>147</v>
      </c>
      <c r="Y1643" s="519" t="s">
        <v>469</v>
      </c>
    </row>
    <row r="1644" spans="1:25" x14ac:dyDescent="0.25">
      <c r="A1644" s="75" t="str">
        <f t="shared" si="57"/>
        <v>Pago_de_Hipoteca PFAE No_Premier Normal Pago_Fijo_Puntual Si 12</v>
      </c>
      <c r="B1644" s="75" t="str">
        <f t="shared" si="56"/>
        <v>Pago_de_Hipoteca PFAE No_Premier Normal Pago_Fijo_Puntual Si 12 0.103</v>
      </c>
      <c r="C1644" s="75" t="s">
        <v>173</v>
      </c>
      <c r="D1644" s="75" t="s">
        <v>168</v>
      </c>
      <c r="E1644" s="75" t="s">
        <v>179</v>
      </c>
      <c r="F1644" s="75" t="s">
        <v>180</v>
      </c>
      <c r="G1644" s="75"/>
      <c r="H1644" s="75"/>
      <c r="I1644" s="75" t="s">
        <v>171</v>
      </c>
      <c r="J1644" s="76">
        <v>12</v>
      </c>
      <c r="K1644" s="519" t="s">
        <v>387</v>
      </c>
      <c r="L1644" s="520">
        <v>12.31</v>
      </c>
      <c r="M1644" s="520">
        <v>12.97</v>
      </c>
      <c r="N1644" s="507">
        <v>0.10299999999999999</v>
      </c>
      <c r="O1644" s="507">
        <v>0.1</v>
      </c>
      <c r="P1644" s="507">
        <v>0.112</v>
      </c>
      <c r="Q1644" s="78">
        <v>0.44</v>
      </c>
      <c r="R1644" s="78">
        <v>0.31740000000000002</v>
      </c>
      <c r="S1644" s="69">
        <v>0</v>
      </c>
      <c r="T1644" s="69">
        <v>0</v>
      </c>
      <c r="U1644" s="507">
        <v>0.85</v>
      </c>
      <c r="V1644" s="76">
        <v>0</v>
      </c>
      <c r="W1644" s="76">
        <v>0</v>
      </c>
      <c r="X1644" s="76" t="s">
        <v>147</v>
      </c>
      <c r="Y1644" s="519" t="s">
        <v>469</v>
      </c>
    </row>
    <row r="1645" spans="1:25" x14ac:dyDescent="0.25">
      <c r="A1645" s="75" t="str">
        <f t="shared" si="57"/>
        <v>Pago_de_Hipoteca PFAE No_Premier Normal Pago_Fijo_Puntual Si 11</v>
      </c>
      <c r="B1645" s="75" t="str">
        <f t="shared" si="56"/>
        <v>Pago_de_Hipoteca PFAE No_Premier Normal Pago_Fijo_Puntual Si 11 0.103</v>
      </c>
      <c r="C1645" s="75" t="s">
        <v>173</v>
      </c>
      <c r="D1645" s="75" t="s">
        <v>168</v>
      </c>
      <c r="E1645" s="75" t="s">
        <v>179</v>
      </c>
      <c r="F1645" s="75" t="s">
        <v>180</v>
      </c>
      <c r="G1645" s="75"/>
      <c r="H1645" s="75"/>
      <c r="I1645" s="75" t="s">
        <v>171</v>
      </c>
      <c r="J1645" s="76">
        <v>11</v>
      </c>
      <c r="K1645" s="519" t="s">
        <v>387</v>
      </c>
      <c r="L1645" s="520">
        <v>12.86</v>
      </c>
      <c r="M1645" s="520">
        <v>13.52</v>
      </c>
      <c r="N1645" s="507">
        <v>0.10299999999999999</v>
      </c>
      <c r="O1645" s="507">
        <v>0.1</v>
      </c>
      <c r="P1645" s="507">
        <v>0.112</v>
      </c>
      <c r="Q1645" s="78">
        <v>0.44</v>
      </c>
      <c r="R1645" s="78">
        <v>0.31740000000000002</v>
      </c>
      <c r="S1645" s="69">
        <v>0</v>
      </c>
      <c r="T1645" s="69">
        <v>0</v>
      </c>
      <c r="U1645" s="507">
        <v>0.85</v>
      </c>
      <c r="V1645" s="76">
        <v>0</v>
      </c>
      <c r="W1645" s="76">
        <v>0</v>
      </c>
      <c r="X1645" s="76" t="s">
        <v>147</v>
      </c>
      <c r="Y1645" s="519" t="s">
        <v>469</v>
      </c>
    </row>
    <row r="1646" spans="1:25" x14ac:dyDescent="0.25">
      <c r="A1646" s="75" t="str">
        <f t="shared" si="57"/>
        <v>Pago_de_Hipoteca PFAE No_Premier Normal Pago_Fijo_Puntual Si 10</v>
      </c>
      <c r="B1646" s="75" t="str">
        <f t="shared" si="56"/>
        <v>Pago_de_Hipoteca PFAE No_Premier Normal Pago_Fijo_Puntual Si 10 0.103</v>
      </c>
      <c r="C1646" s="75" t="s">
        <v>173</v>
      </c>
      <c r="D1646" s="75" t="s">
        <v>168</v>
      </c>
      <c r="E1646" s="75" t="s">
        <v>179</v>
      </c>
      <c r="F1646" s="75" t="s">
        <v>180</v>
      </c>
      <c r="G1646" s="75"/>
      <c r="H1646" s="75"/>
      <c r="I1646" s="75" t="s">
        <v>171</v>
      </c>
      <c r="J1646" s="76">
        <v>10</v>
      </c>
      <c r="K1646" s="519" t="s">
        <v>387</v>
      </c>
      <c r="L1646" s="520">
        <v>13.54</v>
      </c>
      <c r="M1646" s="520">
        <v>14.2</v>
      </c>
      <c r="N1646" s="507">
        <v>0.10299999999999999</v>
      </c>
      <c r="O1646" s="507">
        <v>0.1</v>
      </c>
      <c r="P1646" s="507">
        <v>0.112</v>
      </c>
      <c r="Q1646" s="78">
        <v>0.44</v>
      </c>
      <c r="R1646" s="78">
        <v>0.31740000000000002</v>
      </c>
      <c r="S1646" s="69">
        <v>0</v>
      </c>
      <c r="T1646" s="69">
        <v>0</v>
      </c>
      <c r="U1646" s="507">
        <v>0.85</v>
      </c>
      <c r="V1646" s="76">
        <v>0</v>
      </c>
      <c r="W1646" s="76">
        <v>0</v>
      </c>
      <c r="X1646" s="76" t="s">
        <v>147</v>
      </c>
      <c r="Y1646" s="519" t="s">
        <v>469</v>
      </c>
    </row>
    <row r="1647" spans="1:25" x14ac:dyDescent="0.25">
      <c r="A1647" s="75" t="str">
        <f t="shared" si="57"/>
        <v>Pago_de_Hipoteca PFAE No_Premier Normal Pago_Fijo_Puntual Si 9</v>
      </c>
      <c r="B1647" s="75" t="str">
        <f t="shared" si="56"/>
        <v>Pago_de_Hipoteca PFAE No_Premier Normal Pago_Fijo_Puntual Si 9 0.103</v>
      </c>
      <c r="C1647" s="75" t="s">
        <v>173</v>
      </c>
      <c r="D1647" s="75" t="s">
        <v>168</v>
      </c>
      <c r="E1647" s="75" t="s">
        <v>179</v>
      </c>
      <c r="F1647" s="75" t="s">
        <v>180</v>
      </c>
      <c r="G1647" s="75"/>
      <c r="H1647" s="75"/>
      <c r="I1647" s="75" t="s">
        <v>171</v>
      </c>
      <c r="J1647" s="76">
        <v>9</v>
      </c>
      <c r="K1647" s="519" t="s">
        <v>387</v>
      </c>
      <c r="L1647" s="521">
        <v>14.37</v>
      </c>
      <c r="M1647" s="521">
        <v>15.03</v>
      </c>
      <c r="N1647" s="507">
        <v>0.10299999999999999</v>
      </c>
      <c r="O1647" s="507">
        <v>0.1</v>
      </c>
      <c r="P1647" s="507">
        <v>0.112</v>
      </c>
      <c r="Q1647" s="78">
        <v>0.44</v>
      </c>
      <c r="R1647" s="78">
        <v>0.31740000000000002</v>
      </c>
      <c r="S1647" s="69">
        <v>0</v>
      </c>
      <c r="T1647" s="69">
        <v>0</v>
      </c>
      <c r="U1647" s="507">
        <v>0.85</v>
      </c>
      <c r="V1647" s="76">
        <v>0</v>
      </c>
      <c r="W1647" s="76">
        <v>0</v>
      </c>
      <c r="X1647" s="76" t="s">
        <v>147</v>
      </c>
      <c r="Y1647" s="519" t="s">
        <v>469</v>
      </c>
    </row>
    <row r="1648" spans="1:25" x14ac:dyDescent="0.25">
      <c r="A1648" s="75" t="str">
        <f t="shared" si="57"/>
        <v>Pago_de_Hipoteca PFAE No_Premier Normal Pago_Fijo_Puntual Si 8</v>
      </c>
      <c r="B1648" s="75" t="str">
        <f t="shared" si="56"/>
        <v>Pago_de_Hipoteca PFAE No_Premier Normal Pago_Fijo_Puntual Si 8 0.103</v>
      </c>
      <c r="C1648" s="75" t="s">
        <v>173</v>
      </c>
      <c r="D1648" s="75" t="s">
        <v>168</v>
      </c>
      <c r="E1648" s="75" t="s">
        <v>179</v>
      </c>
      <c r="F1648" s="75" t="s">
        <v>180</v>
      </c>
      <c r="G1648" s="75"/>
      <c r="H1648" s="75"/>
      <c r="I1648" s="75" t="s">
        <v>171</v>
      </c>
      <c r="J1648" s="76">
        <v>8</v>
      </c>
      <c r="K1648" s="519" t="s">
        <v>387</v>
      </c>
      <c r="L1648" s="520">
        <v>15.44</v>
      </c>
      <c r="M1648" s="520">
        <v>16.100000000000001</v>
      </c>
      <c r="N1648" s="507">
        <v>0.10299999999999999</v>
      </c>
      <c r="O1648" s="507">
        <v>0.1</v>
      </c>
      <c r="P1648" s="507">
        <v>0.112</v>
      </c>
      <c r="Q1648" s="78">
        <v>0.44</v>
      </c>
      <c r="R1648" s="78">
        <v>0.31740000000000002</v>
      </c>
      <c r="S1648" s="69">
        <v>0</v>
      </c>
      <c r="T1648" s="69">
        <v>0</v>
      </c>
      <c r="U1648" s="507">
        <v>0.85</v>
      </c>
      <c r="V1648" s="76">
        <v>0</v>
      </c>
      <c r="W1648" s="76">
        <v>0</v>
      </c>
      <c r="X1648" s="76" t="s">
        <v>147</v>
      </c>
      <c r="Y1648" s="519" t="s">
        <v>469</v>
      </c>
    </row>
    <row r="1649" spans="1:25" x14ac:dyDescent="0.25">
      <c r="A1649" s="75" t="str">
        <f t="shared" si="57"/>
        <v>Pago_de_Hipoteca PFAE No_Premier Normal Pago_Fijo_Puntual Si 7</v>
      </c>
      <c r="B1649" s="75" t="str">
        <f t="shared" si="56"/>
        <v>Pago_de_Hipoteca PFAE No_Premier Normal Pago_Fijo_Puntual Si 7 0.103</v>
      </c>
      <c r="C1649" s="75" t="s">
        <v>173</v>
      </c>
      <c r="D1649" s="75" t="s">
        <v>168</v>
      </c>
      <c r="E1649" s="75" t="s">
        <v>179</v>
      </c>
      <c r="F1649" s="75" t="s">
        <v>180</v>
      </c>
      <c r="G1649" s="75"/>
      <c r="H1649" s="75"/>
      <c r="I1649" s="75" t="s">
        <v>171</v>
      </c>
      <c r="J1649" s="76">
        <v>7</v>
      </c>
      <c r="K1649" s="519" t="s">
        <v>387</v>
      </c>
      <c r="L1649" s="520">
        <v>16.84</v>
      </c>
      <c r="M1649" s="520">
        <v>17.5</v>
      </c>
      <c r="N1649" s="507">
        <v>0.10299999999999999</v>
      </c>
      <c r="O1649" s="507">
        <v>0.1</v>
      </c>
      <c r="P1649" s="507">
        <v>0.112</v>
      </c>
      <c r="Q1649" s="78">
        <v>0.44</v>
      </c>
      <c r="R1649" s="78">
        <v>0.31740000000000002</v>
      </c>
      <c r="S1649" s="69">
        <v>0</v>
      </c>
      <c r="T1649" s="69">
        <v>0</v>
      </c>
      <c r="U1649" s="507">
        <v>0.85</v>
      </c>
      <c r="V1649" s="76">
        <v>0</v>
      </c>
      <c r="W1649" s="76">
        <v>0</v>
      </c>
      <c r="X1649" s="76" t="s">
        <v>147</v>
      </c>
      <c r="Y1649" s="519" t="s">
        <v>469</v>
      </c>
    </row>
    <row r="1650" spans="1:25" x14ac:dyDescent="0.25">
      <c r="A1650" s="75" t="str">
        <f t="shared" si="57"/>
        <v>Pago_de_Hipoteca PFAE No_Premier Normal Pago_Fijo_Puntual Si 6</v>
      </c>
      <c r="B1650" s="75" t="str">
        <f t="shared" si="56"/>
        <v>Pago_de_Hipoteca PFAE No_Premier Normal Pago_Fijo_Puntual Si 6 0.103</v>
      </c>
      <c r="C1650" s="75" t="s">
        <v>173</v>
      </c>
      <c r="D1650" s="75" t="s">
        <v>168</v>
      </c>
      <c r="E1650" s="75" t="s">
        <v>179</v>
      </c>
      <c r="F1650" s="75" t="s">
        <v>180</v>
      </c>
      <c r="G1650" s="75"/>
      <c r="H1650" s="75"/>
      <c r="I1650" s="75" t="s">
        <v>171</v>
      </c>
      <c r="J1650" s="76">
        <v>6</v>
      </c>
      <c r="K1650" s="519" t="s">
        <v>387</v>
      </c>
      <c r="L1650" s="520">
        <v>18.739999999999998</v>
      </c>
      <c r="M1650" s="520">
        <v>19.399999999999999</v>
      </c>
      <c r="N1650" s="507">
        <v>0.10299999999999999</v>
      </c>
      <c r="O1650" s="507">
        <v>0.1</v>
      </c>
      <c r="P1650" s="507">
        <v>0.112</v>
      </c>
      <c r="Q1650" s="78">
        <v>0.44</v>
      </c>
      <c r="R1650" s="78">
        <v>0.31740000000000002</v>
      </c>
      <c r="S1650" s="69">
        <v>0</v>
      </c>
      <c r="T1650" s="69">
        <v>0</v>
      </c>
      <c r="U1650" s="507">
        <v>0.85</v>
      </c>
      <c r="V1650" s="76">
        <v>0</v>
      </c>
      <c r="W1650" s="76">
        <v>0</v>
      </c>
      <c r="X1650" s="76" t="s">
        <v>147</v>
      </c>
      <c r="Y1650" s="519" t="s">
        <v>469</v>
      </c>
    </row>
    <row r="1651" spans="1:25" x14ac:dyDescent="0.25">
      <c r="A1651" s="75" t="str">
        <f t="shared" si="57"/>
        <v>Pago_de_Hipoteca PFAE No_Premier Normal Pago_Fijo_Puntual Si 5</v>
      </c>
      <c r="B1651" s="75" t="str">
        <f t="shared" si="56"/>
        <v>Pago_de_Hipoteca PFAE No_Premier Normal Pago_Fijo_Puntual Si 5 0.103</v>
      </c>
      <c r="C1651" s="75" t="s">
        <v>173</v>
      </c>
      <c r="D1651" s="75" t="s">
        <v>168</v>
      </c>
      <c r="E1651" s="75" t="s">
        <v>179</v>
      </c>
      <c r="F1651" s="75" t="s">
        <v>180</v>
      </c>
      <c r="G1651" s="75"/>
      <c r="H1651" s="75"/>
      <c r="I1651" s="75" t="s">
        <v>171</v>
      </c>
      <c r="J1651" s="76">
        <v>5</v>
      </c>
      <c r="K1651" s="519" t="s">
        <v>387</v>
      </c>
      <c r="L1651" s="520">
        <v>21.44</v>
      </c>
      <c r="M1651" s="520">
        <v>22.1</v>
      </c>
      <c r="N1651" s="507">
        <v>0.10299999999999999</v>
      </c>
      <c r="O1651" s="507">
        <v>0.1</v>
      </c>
      <c r="P1651" s="507">
        <v>0.112</v>
      </c>
      <c r="Q1651" s="78">
        <v>0.44</v>
      </c>
      <c r="R1651" s="78">
        <v>0.31740000000000002</v>
      </c>
      <c r="S1651" s="69">
        <v>0</v>
      </c>
      <c r="T1651" s="69">
        <v>0</v>
      </c>
      <c r="U1651" s="507">
        <v>0.85</v>
      </c>
      <c r="V1651" s="76">
        <v>0</v>
      </c>
      <c r="W1651" s="76">
        <v>0</v>
      </c>
      <c r="X1651" s="76" t="s">
        <v>147</v>
      </c>
      <c r="Y1651" s="519" t="s">
        <v>469</v>
      </c>
    </row>
    <row r="1652" spans="1:25" x14ac:dyDescent="0.25">
      <c r="A1652" s="75" t="str">
        <f t="shared" si="57"/>
        <v>Pago_de_Hipoteca PFAE No_Premier Normal Pago_Bajo_Puntual Si 20</v>
      </c>
      <c r="B1652" s="75" t="str">
        <f t="shared" si="56"/>
        <v>Pago_de_Hipoteca PFAE No_Premier Normal Pago_Bajo_Puntual Si 20 0.103</v>
      </c>
      <c r="C1652" s="75" t="s">
        <v>173</v>
      </c>
      <c r="D1652" s="75" t="s">
        <v>168</v>
      </c>
      <c r="E1652" s="75" t="s">
        <v>179</v>
      </c>
      <c r="F1652" s="75" t="s">
        <v>180</v>
      </c>
      <c r="G1652" s="75"/>
      <c r="H1652" s="75"/>
      <c r="I1652" s="75" t="s">
        <v>170</v>
      </c>
      <c r="J1652" s="76">
        <v>20</v>
      </c>
      <c r="K1652" s="519" t="s">
        <v>387</v>
      </c>
      <c r="L1652" s="520">
        <v>9</v>
      </c>
      <c r="M1652" s="520">
        <v>9.66</v>
      </c>
      <c r="N1652" s="507">
        <v>0.10299999999999999</v>
      </c>
      <c r="O1652" s="507">
        <v>0.1</v>
      </c>
      <c r="P1652" s="507">
        <v>0.112</v>
      </c>
      <c r="Q1652" s="78">
        <v>0.44</v>
      </c>
      <c r="R1652" s="78">
        <v>0.31740000000000002</v>
      </c>
      <c r="S1652" s="69">
        <v>0</v>
      </c>
      <c r="T1652" s="69">
        <v>0</v>
      </c>
      <c r="U1652" s="507">
        <v>0.85</v>
      </c>
      <c r="V1652" s="76">
        <v>0</v>
      </c>
      <c r="W1652" s="76">
        <v>0</v>
      </c>
      <c r="X1652" s="76" t="s">
        <v>147</v>
      </c>
      <c r="Y1652" s="519" t="s">
        <v>469</v>
      </c>
    </row>
    <row r="1653" spans="1:25" x14ac:dyDescent="0.25">
      <c r="A1653" s="75" t="str">
        <f t="shared" si="57"/>
        <v>Pago_de_Hipoteca PFAE No_Premier Normal Pago_Bajo_Puntual Si 19</v>
      </c>
      <c r="B1653" s="75" t="str">
        <f t="shared" si="56"/>
        <v>Pago_de_Hipoteca PFAE No_Premier Normal Pago_Bajo_Puntual Si 19 0.103</v>
      </c>
      <c r="C1653" s="75" t="s">
        <v>173</v>
      </c>
      <c r="D1653" s="75" t="s">
        <v>168</v>
      </c>
      <c r="E1653" s="75" t="s">
        <v>179</v>
      </c>
      <c r="F1653" s="75" t="s">
        <v>180</v>
      </c>
      <c r="G1653" s="75"/>
      <c r="H1653" s="75"/>
      <c r="I1653" s="75" t="s">
        <v>170</v>
      </c>
      <c r="J1653" s="76">
        <v>19</v>
      </c>
      <c r="K1653" s="519" t="s">
        <v>387</v>
      </c>
      <c r="L1653" s="520">
        <v>9.17</v>
      </c>
      <c r="M1653" s="520">
        <v>9.83</v>
      </c>
      <c r="N1653" s="507">
        <v>0.10299999999999999</v>
      </c>
      <c r="O1653" s="507">
        <v>0.1</v>
      </c>
      <c r="P1653" s="507">
        <v>0.112</v>
      </c>
      <c r="Q1653" s="78">
        <v>0.44</v>
      </c>
      <c r="R1653" s="78">
        <v>0.31740000000000002</v>
      </c>
      <c r="S1653" s="69">
        <v>0</v>
      </c>
      <c r="T1653" s="69">
        <v>0</v>
      </c>
      <c r="U1653" s="507">
        <v>0.85</v>
      </c>
      <c r="V1653" s="76">
        <v>0</v>
      </c>
      <c r="W1653" s="76">
        <v>0</v>
      </c>
      <c r="X1653" s="76" t="s">
        <v>147</v>
      </c>
      <c r="Y1653" s="519" t="s">
        <v>469</v>
      </c>
    </row>
    <row r="1654" spans="1:25" x14ac:dyDescent="0.25">
      <c r="A1654" s="75" t="str">
        <f t="shared" si="57"/>
        <v>Pago_de_Hipoteca PFAE No_Premier Normal Pago_Bajo_Puntual Si 18</v>
      </c>
      <c r="B1654" s="75" t="str">
        <f t="shared" si="56"/>
        <v>Pago_de_Hipoteca PFAE No_Premier Normal Pago_Bajo_Puntual Si 18 0.103</v>
      </c>
      <c r="C1654" s="75" t="s">
        <v>173</v>
      </c>
      <c r="D1654" s="75" t="s">
        <v>168</v>
      </c>
      <c r="E1654" s="75" t="s">
        <v>179</v>
      </c>
      <c r="F1654" s="75" t="s">
        <v>180</v>
      </c>
      <c r="G1654" s="75"/>
      <c r="H1654" s="75"/>
      <c r="I1654" s="75" t="s">
        <v>170</v>
      </c>
      <c r="J1654" s="76">
        <v>18</v>
      </c>
      <c r="K1654" s="519" t="s">
        <v>387</v>
      </c>
      <c r="L1654" s="520">
        <v>9.36</v>
      </c>
      <c r="M1654" s="520">
        <v>10.02</v>
      </c>
      <c r="N1654" s="507">
        <v>0.10299999999999999</v>
      </c>
      <c r="O1654" s="507">
        <v>0.1</v>
      </c>
      <c r="P1654" s="507">
        <v>0.112</v>
      </c>
      <c r="Q1654" s="78">
        <v>0.44</v>
      </c>
      <c r="R1654" s="78">
        <v>0.31740000000000002</v>
      </c>
      <c r="S1654" s="69">
        <v>0</v>
      </c>
      <c r="T1654" s="69">
        <v>0</v>
      </c>
      <c r="U1654" s="507">
        <v>0.85</v>
      </c>
      <c r="V1654" s="76">
        <v>0</v>
      </c>
      <c r="W1654" s="76">
        <v>0</v>
      </c>
      <c r="X1654" s="76" t="s">
        <v>147</v>
      </c>
      <c r="Y1654" s="519" t="s">
        <v>469</v>
      </c>
    </row>
    <row r="1655" spans="1:25" x14ac:dyDescent="0.25">
      <c r="A1655" s="75" t="str">
        <f t="shared" si="57"/>
        <v>Pago_de_Hipoteca PFAE No_Premier Normal Pago_Bajo_Puntual Si 17</v>
      </c>
      <c r="B1655" s="75" t="str">
        <f t="shared" si="56"/>
        <v>Pago_de_Hipoteca PFAE No_Premier Normal Pago_Bajo_Puntual Si 17 0.103</v>
      </c>
      <c r="C1655" s="75" t="s">
        <v>173</v>
      </c>
      <c r="D1655" s="75" t="s">
        <v>168</v>
      </c>
      <c r="E1655" s="75" t="s">
        <v>179</v>
      </c>
      <c r="F1655" s="75" t="s">
        <v>180</v>
      </c>
      <c r="G1655" s="75"/>
      <c r="H1655" s="75"/>
      <c r="I1655" s="75" t="s">
        <v>170</v>
      </c>
      <c r="J1655" s="76">
        <v>17</v>
      </c>
      <c r="K1655" s="519" t="s">
        <v>387</v>
      </c>
      <c r="L1655" s="520">
        <v>9.58</v>
      </c>
      <c r="M1655" s="520">
        <v>10.24</v>
      </c>
      <c r="N1655" s="507">
        <v>0.10299999999999999</v>
      </c>
      <c r="O1655" s="507">
        <v>0.1</v>
      </c>
      <c r="P1655" s="507">
        <v>0.112</v>
      </c>
      <c r="Q1655" s="78">
        <v>0.44</v>
      </c>
      <c r="R1655" s="78">
        <v>0.31740000000000002</v>
      </c>
      <c r="S1655" s="69">
        <v>0</v>
      </c>
      <c r="T1655" s="69">
        <v>0</v>
      </c>
      <c r="U1655" s="507">
        <v>0.85</v>
      </c>
      <c r="V1655" s="76">
        <v>0</v>
      </c>
      <c r="W1655" s="76">
        <v>0</v>
      </c>
      <c r="X1655" s="76" t="s">
        <v>147</v>
      </c>
      <c r="Y1655" s="519" t="s">
        <v>469</v>
      </c>
    </row>
    <row r="1656" spans="1:25" x14ac:dyDescent="0.25">
      <c r="A1656" s="75" t="str">
        <f t="shared" si="57"/>
        <v>Pago_de_Hipoteca PFAE No_Premier Normal Pago_Bajo_Puntual Si 16</v>
      </c>
      <c r="B1656" s="75" t="str">
        <f t="shared" si="56"/>
        <v>Pago_de_Hipoteca PFAE No_Premier Normal Pago_Bajo_Puntual Si 16 0.103</v>
      </c>
      <c r="C1656" s="75" t="s">
        <v>173</v>
      </c>
      <c r="D1656" s="75" t="s">
        <v>168</v>
      </c>
      <c r="E1656" s="75" t="s">
        <v>179</v>
      </c>
      <c r="F1656" s="75" t="s">
        <v>180</v>
      </c>
      <c r="G1656" s="75"/>
      <c r="H1656" s="75"/>
      <c r="I1656" s="75" t="s">
        <v>170</v>
      </c>
      <c r="J1656" s="76">
        <v>16</v>
      </c>
      <c r="K1656" s="519" t="s">
        <v>387</v>
      </c>
      <c r="L1656" s="520">
        <v>9.83</v>
      </c>
      <c r="M1656" s="520">
        <v>10.49</v>
      </c>
      <c r="N1656" s="507">
        <v>0.10299999999999999</v>
      </c>
      <c r="O1656" s="507">
        <v>0.1</v>
      </c>
      <c r="P1656" s="507">
        <v>0.112</v>
      </c>
      <c r="Q1656" s="78">
        <v>0.44</v>
      </c>
      <c r="R1656" s="78">
        <v>0.31740000000000002</v>
      </c>
      <c r="S1656" s="69">
        <v>0</v>
      </c>
      <c r="T1656" s="69">
        <v>0</v>
      </c>
      <c r="U1656" s="507">
        <v>0.85</v>
      </c>
      <c r="V1656" s="76">
        <v>0</v>
      </c>
      <c r="W1656" s="76">
        <v>0</v>
      </c>
      <c r="X1656" s="76" t="s">
        <v>147</v>
      </c>
      <c r="Y1656" s="519" t="s">
        <v>469</v>
      </c>
    </row>
    <row r="1657" spans="1:25" x14ac:dyDescent="0.25">
      <c r="A1657" s="75" t="str">
        <f t="shared" si="57"/>
        <v>Pago_de_Hipoteca PFAE No_Premier Normal Pago_Bajo_Puntual Si 15</v>
      </c>
      <c r="B1657" s="75" t="str">
        <f t="shared" si="56"/>
        <v>Pago_de_Hipoteca PFAE No_Premier Normal Pago_Bajo_Puntual Si 15 0.103</v>
      </c>
      <c r="C1657" s="75" t="s">
        <v>173</v>
      </c>
      <c r="D1657" s="75" t="s">
        <v>168</v>
      </c>
      <c r="E1657" s="75" t="s">
        <v>179</v>
      </c>
      <c r="F1657" s="75" t="s">
        <v>180</v>
      </c>
      <c r="G1657" s="75"/>
      <c r="H1657" s="75"/>
      <c r="I1657" s="75" t="s">
        <v>170</v>
      </c>
      <c r="J1657" s="76">
        <v>15</v>
      </c>
      <c r="K1657" s="519" t="s">
        <v>387</v>
      </c>
      <c r="L1657" s="520">
        <v>10.119999999999999</v>
      </c>
      <c r="M1657" s="520">
        <v>10.78</v>
      </c>
      <c r="N1657" s="507">
        <v>0.10299999999999999</v>
      </c>
      <c r="O1657" s="507">
        <v>0.1</v>
      </c>
      <c r="P1657" s="507">
        <v>0.112</v>
      </c>
      <c r="Q1657" s="78">
        <v>0.44</v>
      </c>
      <c r="R1657" s="78">
        <v>0.31740000000000002</v>
      </c>
      <c r="S1657" s="69">
        <v>0</v>
      </c>
      <c r="T1657" s="69">
        <v>0</v>
      </c>
      <c r="U1657" s="507">
        <v>0.85</v>
      </c>
      <c r="V1657" s="76">
        <v>0</v>
      </c>
      <c r="W1657" s="76">
        <v>0</v>
      </c>
      <c r="X1657" s="76" t="s">
        <v>147</v>
      </c>
      <c r="Y1657" s="519" t="s">
        <v>469</v>
      </c>
    </row>
    <row r="1658" spans="1:25" x14ac:dyDescent="0.25">
      <c r="A1658" s="75" t="str">
        <f t="shared" si="57"/>
        <v>Pago_de_Hipoteca PFAE No_Premier Normal Pago_Bajo_Puntual Si 14</v>
      </c>
      <c r="B1658" s="75" t="str">
        <f t="shared" si="56"/>
        <v>Pago_de_Hipoteca PFAE No_Premier Normal Pago_Bajo_Puntual Si 14 0.103</v>
      </c>
      <c r="C1658" s="75" t="s">
        <v>173</v>
      </c>
      <c r="D1658" s="75" t="s">
        <v>168</v>
      </c>
      <c r="E1658" s="75" t="s">
        <v>179</v>
      </c>
      <c r="F1658" s="75" t="s">
        <v>180</v>
      </c>
      <c r="G1658" s="75"/>
      <c r="H1658" s="75"/>
      <c r="I1658" s="75" t="s">
        <v>170</v>
      </c>
      <c r="J1658" s="76">
        <v>14</v>
      </c>
      <c r="K1658" s="519" t="s">
        <v>387</v>
      </c>
      <c r="L1658" s="520">
        <v>10.46</v>
      </c>
      <c r="M1658" s="520">
        <v>11.12</v>
      </c>
      <c r="N1658" s="507">
        <v>0.10299999999999999</v>
      </c>
      <c r="O1658" s="507">
        <v>0.1</v>
      </c>
      <c r="P1658" s="507">
        <v>0.112</v>
      </c>
      <c r="Q1658" s="78">
        <v>0.44</v>
      </c>
      <c r="R1658" s="78">
        <v>0.31740000000000002</v>
      </c>
      <c r="S1658" s="69">
        <v>0</v>
      </c>
      <c r="T1658" s="69">
        <v>0</v>
      </c>
      <c r="U1658" s="507">
        <v>0.85</v>
      </c>
      <c r="V1658" s="76">
        <v>0</v>
      </c>
      <c r="W1658" s="76">
        <v>0</v>
      </c>
      <c r="X1658" s="76" t="s">
        <v>147</v>
      </c>
      <c r="Y1658" s="519" t="s">
        <v>469</v>
      </c>
    </row>
    <row r="1659" spans="1:25" x14ac:dyDescent="0.25">
      <c r="A1659" s="75" t="str">
        <f t="shared" si="57"/>
        <v>Pago_de_Hipoteca PFAE No_Premier Normal Pago_Bajo_Puntual Si 13</v>
      </c>
      <c r="B1659" s="75" t="str">
        <f t="shared" si="56"/>
        <v>Pago_de_Hipoteca PFAE No_Premier Normal Pago_Bajo_Puntual Si 13 0.103</v>
      </c>
      <c r="C1659" s="75" t="s">
        <v>173</v>
      </c>
      <c r="D1659" s="75" t="s">
        <v>168</v>
      </c>
      <c r="E1659" s="75" t="s">
        <v>179</v>
      </c>
      <c r="F1659" s="75" t="s">
        <v>180</v>
      </c>
      <c r="G1659" s="75"/>
      <c r="H1659" s="75"/>
      <c r="I1659" s="75" t="s">
        <v>170</v>
      </c>
      <c r="J1659" s="76">
        <v>13</v>
      </c>
      <c r="K1659" s="519" t="s">
        <v>387</v>
      </c>
      <c r="L1659" s="520">
        <v>10.86</v>
      </c>
      <c r="M1659" s="520">
        <v>11.52</v>
      </c>
      <c r="N1659" s="507">
        <v>0.10299999999999999</v>
      </c>
      <c r="O1659" s="507">
        <v>0.1</v>
      </c>
      <c r="P1659" s="507">
        <v>0.112</v>
      </c>
      <c r="Q1659" s="78">
        <v>0.44</v>
      </c>
      <c r="R1659" s="78">
        <v>0.31740000000000002</v>
      </c>
      <c r="S1659" s="69">
        <v>0</v>
      </c>
      <c r="T1659" s="69">
        <v>0</v>
      </c>
      <c r="U1659" s="507">
        <v>0.85</v>
      </c>
      <c r="V1659" s="76">
        <v>0</v>
      </c>
      <c r="W1659" s="76">
        <v>0</v>
      </c>
      <c r="X1659" s="76" t="s">
        <v>147</v>
      </c>
      <c r="Y1659" s="519" t="s">
        <v>469</v>
      </c>
    </row>
    <row r="1660" spans="1:25" x14ac:dyDescent="0.25">
      <c r="A1660" s="75" t="str">
        <f t="shared" si="57"/>
        <v>Pago_de_Hipoteca PFAE No_Premier Normal Pago_Bajo_Puntual Si 12</v>
      </c>
      <c r="B1660" s="75" t="str">
        <f t="shared" si="56"/>
        <v>Pago_de_Hipoteca PFAE No_Premier Normal Pago_Bajo_Puntual Si 12 0.103</v>
      </c>
      <c r="C1660" s="75" t="s">
        <v>173</v>
      </c>
      <c r="D1660" s="75" t="s">
        <v>168</v>
      </c>
      <c r="E1660" s="75" t="s">
        <v>179</v>
      </c>
      <c r="F1660" s="75" t="s">
        <v>180</v>
      </c>
      <c r="G1660" s="75"/>
      <c r="H1660" s="75"/>
      <c r="I1660" s="75" t="s">
        <v>170</v>
      </c>
      <c r="J1660" s="76">
        <v>12</v>
      </c>
      <c r="K1660" s="519" t="s">
        <v>387</v>
      </c>
      <c r="L1660" s="520">
        <v>11.34</v>
      </c>
      <c r="M1660" s="520">
        <v>12</v>
      </c>
      <c r="N1660" s="507">
        <v>0.10299999999999999</v>
      </c>
      <c r="O1660" s="507">
        <v>0.1</v>
      </c>
      <c r="P1660" s="507">
        <v>0.112</v>
      </c>
      <c r="Q1660" s="78">
        <v>0.44</v>
      </c>
      <c r="R1660" s="78">
        <v>0.31740000000000002</v>
      </c>
      <c r="S1660" s="69">
        <v>0</v>
      </c>
      <c r="T1660" s="69">
        <v>0</v>
      </c>
      <c r="U1660" s="507">
        <v>0.85</v>
      </c>
      <c r="V1660" s="76">
        <v>0</v>
      </c>
      <c r="W1660" s="76">
        <v>0</v>
      </c>
      <c r="X1660" s="76" t="s">
        <v>147</v>
      </c>
      <c r="Y1660" s="519" t="s">
        <v>469</v>
      </c>
    </row>
    <row r="1661" spans="1:25" x14ac:dyDescent="0.25">
      <c r="A1661" s="75" t="str">
        <f t="shared" si="57"/>
        <v>Pago_de_Hipoteca PFAE No_Premier Normal Pago_Bajo_Puntual Si 11</v>
      </c>
      <c r="B1661" s="75" t="str">
        <f t="shared" si="56"/>
        <v>Pago_de_Hipoteca PFAE No_Premier Normal Pago_Bajo_Puntual Si 11 0.103</v>
      </c>
      <c r="C1661" s="75" t="s">
        <v>173</v>
      </c>
      <c r="D1661" s="75" t="s">
        <v>168</v>
      </c>
      <c r="E1661" s="75" t="s">
        <v>179</v>
      </c>
      <c r="F1661" s="75" t="s">
        <v>180</v>
      </c>
      <c r="G1661" s="75"/>
      <c r="H1661" s="75"/>
      <c r="I1661" s="75" t="s">
        <v>170</v>
      </c>
      <c r="J1661" s="76">
        <v>11</v>
      </c>
      <c r="K1661" s="519" t="s">
        <v>387</v>
      </c>
      <c r="L1661" s="520">
        <v>11.92</v>
      </c>
      <c r="M1661" s="520">
        <v>12.58</v>
      </c>
      <c r="N1661" s="507">
        <v>0.10299999999999999</v>
      </c>
      <c r="O1661" s="507">
        <v>0.1</v>
      </c>
      <c r="P1661" s="507">
        <v>0.112</v>
      </c>
      <c r="Q1661" s="78">
        <v>0.44</v>
      </c>
      <c r="R1661" s="78">
        <v>0.31740000000000002</v>
      </c>
      <c r="S1661" s="69">
        <v>0</v>
      </c>
      <c r="T1661" s="69">
        <v>0</v>
      </c>
      <c r="U1661" s="507">
        <v>0.85</v>
      </c>
      <c r="V1661" s="76">
        <v>0</v>
      </c>
      <c r="W1661" s="76">
        <v>0</v>
      </c>
      <c r="X1661" s="76" t="s">
        <v>147</v>
      </c>
      <c r="Y1661" s="519" t="s">
        <v>469</v>
      </c>
    </row>
    <row r="1662" spans="1:25" x14ac:dyDescent="0.25">
      <c r="A1662" s="75" t="str">
        <f t="shared" si="57"/>
        <v>Pago_de_Hipoteca PFAE No_Premier Normal Pago_Bajo_Puntual Si 10</v>
      </c>
      <c r="B1662" s="75" t="str">
        <f t="shared" si="56"/>
        <v>Pago_de_Hipoteca PFAE No_Premier Normal Pago_Bajo_Puntual Si 10 0.103</v>
      </c>
      <c r="C1662" s="75" t="s">
        <v>173</v>
      </c>
      <c r="D1662" s="75" t="s">
        <v>168</v>
      </c>
      <c r="E1662" s="75" t="s">
        <v>179</v>
      </c>
      <c r="F1662" s="75" t="s">
        <v>180</v>
      </c>
      <c r="G1662" s="75"/>
      <c r="H1662" s="75"/>
      <c r="I1662" s="75" t="s">
        <v>170</v>
      </c>
      <c r="J1662" s="76">
        <v>10</v>
      </c>
      <c r="K1662" s="519" t="s">
        <v>387</v>
      </c>
      <c r="L1662" s="520">
        <v>12.62</v>
      </c>
      <c r="M1662" s="520">
        <v>13.28</v>
      </c>
      <c r="N1662" s="507">
        <v>0.10299999999999999</v>
      </c>
      <c r="O1662" s="507">
        <v>0.1</v>
      </c>
      <c r="P1662" s="507">
        <v>0.112</v>
      </c>
      <c r="Q1662" s="78">
        <v>0.44</v>
      </c>
      <c r="R1662" s="78">
        <v>0.31740000000000002</v>
      </c>
      <c r="S1662" s="69">
        <v>0</v>
      </c>
      <c r="T1662" s="69">
        <v>0</v>
      </c>
      <c r="U1662" s="507">
        <v>0.85</v>
      </c>
      <c r="V1662" s="76">
        <v>0</v>
      </c>
      <c r="W1662" s="76">
        <v>0</v>
      </c>
      <c r="X1662" s="76" t="s">
        <v>147</v>
      </c>
      <c r="Y1662" s="519" t="s">
        <v>469</v>
      </c>
    </row>
    <row r="1663" spans="1:25" x14ac:dyDescent="0.25">
      <c r="A1663" s="75" t="str">
        <f t="shared" si="57"/>
        <v>Pago_de_Hipoteca PFAE No_Premier Normal Pago_Bajo_Puntual Si 9</v>
      </c>
      <c r="B1663" s="75" t="str">
        <f t="shared" si="56"/>
        <v>Pago_de_Hipoteca PFAE No_Premier Normal Pago_Bajo_Puntual Si 9 0.103</v>
      </c>
      <c r="C1663" s="75" t="s">
        <v>173</v>
      </c>
      <c r="D1663" s="75" t="s">
        <v>168</v>
      </c>
      <c r="E1663" s="75" t="s">
        <v>179</v>
      </c>
      <c r="F1663" s="75" t="s">
        <v>180</v>
      </c>
      <c r="G1663" s="75"/>
      <c r="H1663" s="75"/>
      <c r="I1663" s="75" t="s">
        <v>170</v>
      </c>
      <c r="J1663" s="76">
        <v>9</v>
      </c>
      <c r="K1663" s="519" t="s">
        <v>387</v>
      </c>
      <c r="L1663" s="520">
        <v>13.49</v>
      </c>
      <c r="M1663" s="520">
        <v>14.15</v>
      </c>
      <c r="N1663" s="507">
        <v>0.10299999999999999</v>
      </c>
      <c r="O1663" s="507">
        <v>0.1</v>
      </c>
      <c r="P1663" s="507">
        <v>0.112</v>
      </c>
      <c r="Q1663" s="78">
        <v>0.44</v>
      </c>
      <c r="R1663" s="78">
        <v>0.31740000000000002</v>
      </c>
      <c r="S1663" s="69">
        <v>0</v>
      </c>
      <c r="T1663" s="69">
        <v>0</v>
      </c>
      <c r="U1663" s="507">
        <v>0.85</v>
      </c>
      <c r="V1663" s="76">
        <v>0</v>
      </c>
      <c r="W1663" s="76">
        <v>0</v>
      </c>
      <c r="X1663" s="76" t="s">
        <v>147</v>
      </c>
      <c r="Y1663" s="519" t="s">
        <v>469</v>
      </c>
    </row>
    <row r="1664" spans="1:25" x14ac:dyDescent="0.25">
      <c r="A1664" s="75" t="str">
        <f t="shared" si="57"/>
        <v>Pago_de_Hipoteca PFAE No_Premier Normal Pago_Bajo_Puntual Si 8</v>
      </c>
      <c r="B1664" s="75" t="str">
        <f t="shared" si="56"/>
        <v>Pago_de_Hipoteca PFAE No_Premier Normal Pago_Bajo_Puntual Si 8 0.103</v>
      </c>
      <c r="C1664" s="75" t="s">
        <v>173</v>
      </c>
      <c r="D1664" s="75" t="s">
        <v>168</v>
      </c>
      <c r="E1664" s="75" t="s">
        <v>179</v>
      </c>
      <c r="F1664" s="75" t="s">
        <v>180</v>
      </c>
      <c r="G1664" s="75"/>
      <c r="H1664" s="75"/>
      <c r="I1664" s="75" t="s">
        <v>170</v>
      </c>
      <c r="J1664" s="76">
        <v>8</v>
      </c>
      <c r="K1664" s="519" t="s">
        <v>387</v>
      </c>
      <c r="L1664" s="520">
        <v>14.59</v>
      </c>
      <c r="M1664" s="520">
        <v>15.25</v>
      </c>
      <c r="N1664" s="507">
        <v>0.10299999999999999</v>
      </c>
      <c r="O1664" s="507">
        <v>0.1</v>
      </c>
      <c r="P1664" s="507">
        <v>0.112</v>
      </c>
      <c r="Q1664" s="78">
        <v>0.44</v>
      </c>
      <c r="R1664" s="78">
        <v>0.31740000000000002</v>
      </c>
      <c r="S1664" s="69">
        <v>0</v>
      </c>
      <c r="T1664" s="69">
        <v>0</v>
      </c>
      <c r="U1664" s="507">
        <v>0.85</v>
      </c>
      <c r="V1664" s="76">
        <v>0</v>
      </c>
      <c r="W1664" s="76">
        <v>0</v>
      </c>
      <c r="X1664" s="76" t="s">
        <v>147</v>
      </c>
      <c r="Y1664" s="519" t="s">
        <v>469</v>
      </c>
    </row>
    <row r="1665" spans="1:25" x14ac:dyDescent="0.25">
      <c r="A1665" s="75" t="str">
        <f t="shared" si="57"/>
        <v>Pago_de_Hipoteca PFAE No_Premier Normal Pago_Bajo_Puntual Si 7</v>
      </c>
      <c r="B1665" s="75" t="str">
        <f t="shared" si="56"/>
        <v>Pago_de_Hipoteca PFAE No_Premier Normal Pago_Bajo_Puntual Si 7 0.103</v>
      </c>
      <c r="C1665" s="75" t="s">
        <v>173</v>
      </c>
      <c r="D1665" s="75" t="s">
        <v>168</v>
      </c>
      <c r="E1665" s="75" t="s">
        <v>179</v>
      </c>
      <c r="F1665" s="75" t="s">
        <v>180</v>
      </c>
      <c r="G1665" s="75"/>
      <c r="H1665" s="75"/>
      <c r="I1665" s="75" t="s">
        <v>170</v>
      </c>
      <c r="J1665" s="76">
        <v>7</v>
      </c>
      <c r="K1665" s="519" t="s">
        <v>387</v>
      </c>
      <c r="L1665" s="520">
        <v>16.03</v>
      </c>
      <c r="M1665" s="520">
        <v>16.690000000000001</v>
      </c>
      <c r="N1665" s="507">
        <v>0.10299999999999999</v>
      </c>
      <c r="O1665" s="507">
        <v>0.1</v>
      </c>
      <c r="P1665" s="507">
        <v>0.112</v>
      </c>
      <c r="Q1665" s="78">
        <v>0.44</v>
      </c>
      <c r="R1665" s="78">
        <v>0.31740000000000002</v>
      </c>
      <c r="S1665" s="69">
        <v>0</v>
      </c>
      <c r="T1665" s="69">
        <v>0</v>
      </c>
      <c r="U1665" s="507">
        <v>0.85</v>
      </c>
      <c r="V1665" s="76">
        <v>0</v>
      </c>
      <c r="W1665" s="76">
        <v>0</v>
      </c>
      <c r="X1665" s="76" t="s">
        <v>147</v>
      </c>
      <c r="Y1665" s="519" t="s">
        <v>469</v>
      </c>
    </row>
    <row r="1666" spans="1:25" x14ac:dyDescent="0.25">
      <c r="A1666" s="75" t="str">
        <f t="shared" si="57"/>
        <v>Pago_de_Hipoteca PFAE No_Premier Normal Pago_Bajo_Puntual Si 6</v>
      </c>
      <c r="B1666" s="75" t="str">
        <f t="shared" si="56"/>
        <v>Pago_de_Hipoteca PFAE No_Premier Normal Pago_Bajo_Puntual Si 6 0.103</v>
      </c>
      <c r="C1666" s="75" t="s">
        <v>173</v>
      </c>
      <c r="D1666" s="75" t="s">
        <v>168</v>
      </c>
      <c r="E1666" s="75" t="s">
        <v>179</v>
      </c>
      <c r="F1666" s="75" t="s">
        <v>180</v>
      </c>
      <c r="G1666" s="75"/>
      <c r="H1666" s="75"/>
      <c r="I1666" s="75" t="s">
        <v>170</v>
      </c>
      <c r="J1666" s="76">
        <v>6</v>
      </c>
      <c r="K1666" s="519" t="s">
        <v>387</v>
      </c>
      <c r="L1666" s="520">
        <v>17.97</v>
      </c>
      <c r="M1666" s="520">
        <v>18.63</v>
      </c>
      <c r="N1666" s="507">
        <v>0.10299999999999999</v>
      </c>
      <c r="O1666" s="507">
        <v>0.1</v>
      </c>
      <c r="P1666" s="507">
        <v>0.112</v>
      </c>
      <c r="Q1666" s="78">
        <v>0.44</v>
      </c>
      <c r="R1666" s="78">
        <v>0.31740000000000002</v>
      </c>
      <c r="S1666" s="69">
        <v>0</v>
      </c>
      <c r="T1666" s="69">
        <v>0</v>
      </c>
      <c r="U1666" s="507">
        <v>0.85</v>
      </c>
      <c r="V1666" s="76">
        <v>0</v>
      </c>
      <c r="W1666" s="76">
        <v>0</v>
      </c>
      <c r="X1666" s="76" t="s">
        <v>147</v>
      </c>
      <c r="Y1666" s="519" t="s">
        <v>469</v>
      </c>
    </row>
    <row r="1667" spans="1:25" x14ac:dyDescent="0.25">
      <c r="A1667" s="75" t="str">
        <f t="shared" si="57"/>
        <v>Pago_de_Hipoteca PFAE No_Premier Normal Pago_Bajo_Puntual Si 5</v>
      </c>
      <c r="B1667" s="75" t="str">
        <f t="shared" si="56"/>
        <v>Pago_de_Hipoteca PFAE No_Premier Normal Pago_Bajo_Puntual Si 5 0.103</v>
      </c>
      <c r="C1667" s="75" t="s">
        <v>173</v>
      </c>
      <c r="D1667" s="75" t="s">
        <v>168</v>
      </c>
      <c r="E1667" s="75" t="s">
        <v>179</v>
      </c>
      <c r="F1667" s="75" t="s">
        <v>180</v>
      </c>
      <c r="G1667" s="75"/>
      <c r="H1667" s="75"/>
      <c r="I1667" s="75" t="s">
        <v>170</v>
      </c>
      <c r="J1667" s="76">
        <v>5</v>
      </c>
      <c r="K1667" s="519" t="s">
        <v>387</v>
      </c>
      <c r="L1667" s="520">
        <v>20.72</v>
      </c>
      <c r="M1667" s="520">
        <v>21.38</v>
      </c>
      <c r="N1667" s="507">
        <v>0.10299999999999999</v>
      </c>
      <c r="O1667" s="507">
        <v>0.1</v>
      </c>
      <c r="P1667" s="507">
        <v>0.112</v>
      </c>
      <c r="Q1667" s="78">
        <v>0.44</v>
      </c>
      <c r="R1667" s="78">
        <v>0.31740000000000002</v>
      </c>
      <c r="S1667" s="69">
        <v>0</v>
      </c>
      <c r="T1667" s="69">
        <v>0</v>
      </c>
      <c r="U1667" s="507">
        <v>0.85</v>
      </c>
      <c r="V1667" s="76">
        <v>0</v>
      </c>
      <c r="W1667" s="76">
        <v>0</v>
      </c>
      <c r="X1667" s="76" t="s">
        <v>147</v>
      </c>
      <c r="Y1667" s="519" t="s">
        <v>469</v>
      </c>
    </row>
    <row r="1668" spans="1:25" x14ac:dyDescent="0.25">
      <c r="A1668" s="75" t="str">
        <f t="shared" si="57"/>
        <v>Pago_de_Hipoteca PFAE No_Premier Normal Pago_Fijo_Puntual 20</v>
      </c>
      <c r="B1668" s="75" t="str">
        <f t="shared" si="56"/>
        <v>Pago_de_Hipoteca PFAE No_Premier Normal Pago_Fijo_Puntual 20 0.0965</v>
      </c>
      <c r="C1668" s="75" t="s">
        <v>173</v>
      </c>
      <c r="D1668" s="75" t="s">
        <v>168</v>
      </c>
      <c r="E1668" s="75" t="s">
        <v>179</v>
      </c>
      <c r="F1668" s="75" t="s">
        <v>180</v>
      </c>
      <c r="G1668" s="75"/>
      <c r="H1668" s="75"/>
      <c r="I1668" s="75" t="s">
        <v>171</v>
      </c>
      <c r="J1668" s="76">
        <v>20</v>
      </c>
      <c r="K1668" s="516" t="s">
        <v>385</v>
      </c>
      <c r="L1668" s="517">
        <v>9.66</v>
      </c>
      <c r="M1668" s="517">
        <v>10.32</v>
      </c>
      <c r="N1668" s="518">
        <v>9.6500000000000002E-2</v>
      </c>
      <c r="O1668" s="518">
        <v>9.1999999999999998E-2</v>
      </c>
      <c r="P1668" s="518">
        <v>0.10249999999999999</v>
      </c>
      <c r="Q1668" s="78">
        <v>0.44</v>
      </c>
      <c r="R1668" s="78">
        <v>0.31740000000000002</v>
      </c>
      <c r="S1668" s="69">
        <v>0</v>
      </c>
      <c r="T1668" s="69">
        <v>0</v>
      </c>
      <c r="U1668" s="518">
        <v>0.7</v>
      </c>
      <c r="V1668" s="76">
        <v>0</v>
      </c>
      <c r="W1668" s="76">
        <v>0</v>
      </c>
      <c r="X1668" s="76"/>
      <c r="Y1668" s="516" t="s">
        <v>470</v>
      </c>
    </row>
    <row r="1669" spans="1:25" x14ac:dyDescent="0.25">
      <c r="A1669" s="75" t="str">
        <f t="shared" si="57"/>
        <v>Pago_de_Hipoteca PFAE No_Premier Normal Pago_Fijo_Puntual 20</v>
      </c>
      <c r="B1669" s="75" t="str">
        <f t="shared" si="56"/>
        <v>Pago_de_Hipoteca PFAE No_Premier Normal Pago_Fijo_Puntual 20 0.103</v>
      </c>
      <c r="C1669" s="75" t="s">
        <v>173</v>
      </c>
      <c r="D1669" s="75" t="s">
        <v>168</v>
      </c>
      <c r="E1669" s="75" t="s">
        <v>179</v>
      </c>
      <c r="F1669" s="75" t="s">
        <v>180</v>
      </c>
      <c r="G1669" s="75"/>
      <c r="H1669" s="75"/>
      <c r="I1669" s="75" t="s">
        <v>171</v>
      </c>
      <c r="J1669" s="76">
        <v>20</v>
      </c>
      <c r="K1669" s="516" t="s">
        <v>386</v>
      </c>
      <c r="L1669" s="517">
        <v>10.16</v>
      </c>
      <c r="M1669" s="517">
        <v>10.82</v>
      </c>
      <c r="N1669" s="518">
        <v>0.10299999999999999</v>
      </c>
      <c r="O1669" s="518">
        <v>0.1</v>
      </c>
      <c r="P1669" s="518">
        <v>0.112</v>
      </c>
      <c r="Q1669" s="78">
        <v>0.44</v>
      </c>
      <c r="R1669" s="78">
        <v>0.31740000000000002</v>
      </c>
      <c r="S1669" s="69">
        <v>0</v>
      </c>
      <c r="T1669" s="69">
        <v>0</v>
      </c>
      <c r="U1669" s="518">
        <v>0.7</v>
      </c>
      <c r="V1669" s="76">
        <v>0</v>
      </c>
      <c r="W1669" s="76">
        <v>0</v>
      </c>
      <c r="X1669" s="76"/>
      <c r="Y1669" s="516" t="s">
        <v>470</v>
      </c>
    </row>
    <row r="1670" spans="1:25" x14ac:dyDescent="0.25">
      <c r="A1670" s="75" t="str">
        <f t="shared" si="57"/>
        <v>Pago_de_Hipoteca PFAE No_Premier Normal Pago_Fijo_Puntual 19</v>
      </c>
      <c r="B1670" s="75" t="str">
        <f t="shared" ref="B1670:B1732" si="58">CONCATENATE(A1670," ",N1670)</f>
        <v>Pago_de_Hipoteca PFAE No_Premier Normal Pago_Fijo_Puntual 19 0.0965</v>
      </c>
      <c r="C1670" s="75" t="s">
        <v>173</v>
      </c>
      <c r="D1670" s="75" t="s">
        <v>168</v>
      </c>
      <c r="E1670" s="75" t="s">
        <v>179</v>
      </c>
      <c r="F1670" s="75" t="s">
        <v>180</v>
      </c>
      <c r="G1670" s="75"/>
      <c r="H1670" s="75"/>
      <c r="I1670" s="75" t="s">
        <v>171</v>
      </c>
      <c r="J1670" s="76">
        <v>19</v>
      </c>
      <c r="K1670" s="516" t="s">
        <v>385</v>
      </c>
      <c r="L1670" s="517">
        <v>9.82</v>
      </c>
      <c r="M1670" s="517">
        <v>10.48</v>
      </c>
      <c r="N1670" s="518">
        <v>9.6500000000000002E-2</v>
      </c>
      <c r="O1670" s="518">
        <v>9.1999999999999998E-2</v>
      </c>
      <c r="P1670" s="518">
        <v>0.10249999999999999</v>
      </c>
      <c r="Q1670" s="78">
        <v>0.44</v>
      </c>
      <c r="R1670" s="78">
        <v>0.31740000000000002</v>
      </c>
      <c r="S1670" s="69">
        <v>0</v>
      </c>
      <c r="T1670" s="69">
        <v>0</v>
      </c>
      <c r="U1670" s="518">
        <v>0.7</v>
      </c>
      <c r="V1670" s="76">
        <v>0</v>
      </c>
      <c r="W1670" s="76">
        <v>0</v>
      </c>
      <c r="X1670" s="76"/>
      <c r="Y1670" s="516" t="s">
        <v>470</v>
      </c>
    </row>
    <row r="1671" spans="1:25" x14ac:dyDescent="0.25">
      <c r="A1671" s="75" t="str">
        <f t="shared" ref="A1671:A1733" si="59">TRIM(CONCATENATE(C1671," ",D1671," ",E1671," ",F1671," ",G1671," ",I1671," ",X1671," ",J1671))</f>
        <v>Pago_de_Hipoteca PFAE No_Premier Normal Pago_Fijo_Puntual 19</v>
      </c>
      <c r="B1671" s="75" t="str">
        <f t="shared" si="58"/>
        <v>Pago_de_Hipoteca PFAE No_Premier Normal Pago_Fijo_Puntual 19 0.103</v>
      </c>
      <c r="C1671" s="75" t="s">
        <v>173</v>
      </c>
      <c r="D1671" s="75" t="s">
        <v>168</v>
      </c>
      <c r="E1671" s="75" t="s">
        <v>179</v>
      </c>
      <c r="F1671" s="75" t="s">
        <v>180</v>
      </c>
      <c r="G1671" s="75"/>
      <c r="H1671" s="75"/>
      <c r="I1671" s="75" t="s">
        <v>171</v>
      </c>
      <c r="J1671" s="76">
        <v>19</v>
      </c>
      <c r="K1671" s="516" t="s">
        <v>386</v>
      </c>
      <c r="L1671" s="517">
        <v>10.3</v>
      </c>
      <c r="M1671" s="517">
        <v>10.96</v>
      </c>
      <c r="N1671" s="518">
        <v>0.10299999999999999</v>
      </c>
      <c r="O1671" s="518">
        <v>0.1</v>
      </c>
      <c r="P1671" s="518">
        <v>0.112</v>
      </c>
      <c r="Q1671" s="78">
        <v>0.44</v>
      </c>
      <c r="R1671" s="78">
        <v>0.31740000000000002</v>
      </c>
      <c r="S1671" s="69">
        <v>0</v>
      </c>
      <c r="T1671" s="69">
        <v>0</v>
      </c>
      <c r="U1671" s="518">
        <v>0.7</v>
      </c>
      <c r="V1671" s="76">
        <v>0</v>
      </c>
      <c r="W1671" s="76">
        <v>0</v>
      </c>
      <c r="X1671" s="76"/>
      <c r="Y1671" s="516" t="s">
        <v>470</v>
      </c>
    </row>
    <row r="1672" spans="1:25" x14ac:dyDescent="0.25">
      <c r="A1672" s="75" t="str">
        <f t="shared" si="59"/>
        <v>Pago_de_Hipoteca PFAE No_Premier Normal Pago_Fijo_Puntual 18</v>
      </c>
      <c r="B1672" s="75" t="str">
        <f t="shared" si="58"/>
        <v>Pago_de_Hipoteca PFAE No_Premier Normal Pago_Fijo_Puntual 18 0.0965</v>
      </c>
      <c r="C1672" s="75" t="s">
        <v>173</v>
      </c>
      <c r="D1672" s="75" t="s">
        <v>168</v>
      </c>
      <c r="E1672" s="75" t="s">
        <v>179</v>
      </c>
      <c r="F1672" s="75" t="s">
        <v>180</v>
      </c>
      <c r="G1672" s="75"/>
      <c r="H1672" s="75"/>
      <c r="I1672" s="75" t="s">
        <v>171</v>
      </c>
      <c r="J1672" s="76">
        <v>18</v>
      </c>
      <c r="K1672" s="516" t="s">
        <v>385</v>
      </c>
      <c r="L1672" s="517">
        <v>10</v>
      </c>
      <c r="M1672" s="517">
        <v>10.66</v>
      </c>
      <c r="N1672" s="518">
        <v>9.6500000000000002E-2</v>
      </c>
      <c r="O1672" s="518">
        <v>9.1999999999999998E-2</v>
      </c>
      <c r="P1672" s="518">
        <v>0.10249999999999999</v>
      </c>
      <c r="Q1672" s="78">
        <v>0.44</v>
      </c>
      <c r="R1672" s="78">
        <v>0.31740000000000002</v>
      </c>
      <c r="S1672" s="69">
        <v>0</v>
      </c>
      <c r="T1672" s="69">
        <v>0</v>
      </c>
      <c r="U1672" s="518">
        <v>0.7</v>
      </c>
      <c r="V1672" s="76">
        <v>0</v>
      </c>
      <c r="W1672" s="76">
        <v>0</v>
      </c>
      <c r="X1672" s="76"/>
      <c r="Y1672" s="516" t="s">
        <v>470</v>
      </c>
    </row>
    <row r="1673" spans="1:25" x14ac:dyDescent="0.25">
      <c r="A1673" s="75" t="str">
        <f t="shared" si="59"/>
        <v>Pago_de_Hipoteca PFAE No_Premier Normal Pago_Fijo_Puntual 18</v>
      </c>
      <c r="B1673" s="75" t="str">
        <f t="shared" si="58"/>
        <v>Pago_de_Hipoteca PFAE No_Premier Normal Pago_Fijo_Puntual 18 0.103</v>
      </c>
      <c r="C1673" s="75" t="s">
        <v>173</v>
      </c>
      <c r="D1673" s="75" t="s">
        <v>168</v>
      </c>
      <c r="E1673" s="75" t="s">
        <v>179</v>
      </c>
      <c r="F1673" s="75" t="s">
        <v>180</v>
      </c>
      <c r="G1673" s="75"/>
      <c r="H1673" s="75"/>
      <c r="I1673" s="75" t="s">
        <v>171</v>
      </c>
      <c r="J1673" s="76">
        <v>18</v>
      </c>
      <c r="K1673" s="516" t="s">
        <v>386</v>
      </c>
      <c r="L1673" s="517">
        <v>10.47</v>
      </c>
      <c r="M1673" s="517">
        <v>11.13</v>
      </c>
      <c r="N1673" s="518">
        <v>0.10299999999999999</v>
      </c>
      <c r="O1673" s="518">
        <v>0.1</v>
      </c>
      <c r="P1673" s="518">
        <v>0.112</v>
      </c>
      <c r="Q1673" s="78">
        <v>0.44</v>
      </c>
      <c r="R1673" s="78">
        <v>0.31740000000000002</v>
      </c>
      <c r="S1673" s="69">
        <v>0</v>
      </c>
      <c r="T1673" s="69">
        <v>0</v>
      </c>
      <c r="U1673" s="518">
        <v>0.7</v>
      </c>
      <c r="V1673" s="76">
        <v>0</v>
      </c>
      <c r="W1673" s="76">
        <v>0</v>
      </c>
      <c r="X1673" s="76"/>
      <c r="Y1673" s="516" t="s">
        <v>470</v>
      </c>
    </row>
    <row r="1674" spans="1:25" x14ac:dyDescent="0.25">
      <c r="A1674" s="75" t="str">
        <f t="shared" si="59"/>
        <v>Pago_de_Hipoteca PFAE No_Premier Normal Pago_Fijo_Puntual 17</v>
      </c>
      <c r="B1674" s="75" t="str">
        <f t="shared" si="58"/>
        <v>Pago_de_Hipoteca PFAE No_Premier Normal Pago_Fijo_Puntual 17 0.0965</v>
      </c>
      <c r="C1674" s="75" t="s">
        <v>173</v>
      </c>
      <c r="D1674" s="75" t="s">
        <v>168</v>
      </c>
      <c r="E1674" s="75" t="s">
        <v>179</v>
      </c>
      <c r="F1674" s="75" t="s">
        <v>180</v>
      </c>
      <c r="G1674" s="75"/>
      <c r="H1674" s="75"/>
      <c r="I1674" s="75" t="s">
        <v>171</v>
      </c>
      <c r="J1674" s="76">
        <v>17</v>
      </c>
      <c r="K1674" s="516" t="s">
        <v>385</v>
      </c>
      <c r="L1674" s="517">
        <v>10.210000000000001</v>
      </c>
      <c r="M1674" s="517">
        <v>10.87</v>
      </c>
      <c r="N1674" s="518">
        <v>9.6500000000000002E-2</v>
      </c>
      <c r="O1674" s="518">
        <v>9.1999999999999998E-2</v>
      </c>
      <c r="P1674" s="518">
        <v>0.10249999999999999</v>
      </c>
      <c r="Q1674" s="78">
        <v>0.44</v>
      </c>
      <c r="R1674" s="78">
        <v>0.31740000000000002</v>
      </c>
      <c r="S1674" s="69">
        <v>0</v>
      </c>
      <c r="T1674" s="69">
        <v>0</v>
      </c>
      <c r="U1674" s="518">
        <v>0.7</v>
      </c>
      <c r="V1674" s="76">
        <v>0</v>
      </c>
      <c r="W1674" s="76">
        <v>0</v>
      </c>
      <c r="X1674" s="76"/>
      <c r="Y1674" s="516" t="s">
        <v>470</v>
      </c>
    </row>
    <row r="1675" spans="1:25" x14ac:dyDescent="0.25">
      <c r="A1675" s="75" t="str">
        <f t="shared" si="59"/>
        <v>Pago_de_Hipoteca PFAE No_Premier Normal Pago_Fijo_Puntual 17</v>
      </c>
      <c r="B1675" s="75" t="str">
        <f t="shared" si="58"/>
        <v>Pago_de_Hipoteca PFAE No_Premier Normal Pago_Fijo_Puntual 17 0.103</v>
      </c>
      <c r="C1675" s="75" t="s">
        <v>173</v>
      </c>
      <c r="D1675" s="75" t="s">
        <v>168</v>
      </c>
      <c r="E1675" s="75" t="s">
        <v>179</v>
      </c>
      <c r="F1675" s="75" t="s">
        <v>180</v>
      </c>
      <c r="G1675" s="75"/>
      <c r="H1675" s="75"/>
      <c r="I1675" s="75" t="s">
        <v>171</v>
      </c>
      <c r="J1675" s="76">
        <v>17</v>
      </c>
      <c r="K1675" s="516" t="s">
        <v>386</v>
      </c>
      <c r="L1675" s="517">
        <v>10.67</v>
      </c>
      <c r="M1675" s="517">
        <v>11.33</v>
      </c>
      <c r="N1675" s="518">
        <v>0.10299999999999999</v>
      </c>
      <c r="O1675" s="518">
        <v>0.1</v>
      </c>
      <c r="P1675" s="518">
        <v>0.112</v>
      </c>
      <c r="Q1675" s="78">
        <v>0.44</v>
      </c>
      <c r="R1675" s="78">
        <v>0.31740000000000002</v>
      </c>
      <c r="S1675" s="69">
        <v>0</v>
      </c>
      <c r="T1675" s="69">
        <v>0</v>
      </c>
      <c r="U1675" s="518">
        <v>0.7</v>
      </c>
      <c r="V1675" s="76">
        <v>0</v>
      </c>
      <c r="W1675" s="76">
        <v>0</v>
      </c>
      <c r="X1675" s="76"/>
      <c r="Y1675" s="516" t="s">
        <v>470</v>
      </c>
    </row>
    <row r="1676" spans="1:25" x14ac:dyDescent="0.25">
      <c r="A1676" s="75" t="str">
        <f t="shared" si="59"/>
        <v>Pago_de_Hipoteca PFAE No_Premier Normal Pago_Fijo_Puntual 16</v>
      </c>
      <c r="B1676" s="75" t="str">
        <f t="shared" si="58"/>
        <v>Pago_de_Hipoteca PFAE No_Premier Normal Pago_Fijo_Puntual 16 0.0965</v>
      </c>
      <c r="C1676" s="75" t="s">
        <v>173</v>
      </c>
      <c r="D1676" s="75" t="s">
        <v>168</v>
      </c>
      <c r="E1676" s="75" t="s">
        <v>179</v>
      </c>
      <c r="F1676" s="75" t="s">
        <v>180</v>
      </c>
      <c r="G1676" s="75"/>
      <c r="H1676" s="75"/>
      <c r="I1676" s="75" t="s">
        <v>171</v>
      </c>
      <c r="J1676" s="76">
        <v>16</v>
      </c>
      <c r="K1676" s="516" t="s">
        <v>385</v>
      </c>
      <c r="L1676" s="517">
        <v>10.45</v>
      </c>
      <c r="M1676" s="517">
        <v>11.11</v>
      </c>
      <c r="N1676" s="518">
        <v>9.6500000000000002E-2</v>
      </c>
      <c r="O1676" s="518">
        <v>9.1999999999999998E-2</v>
      </c>
      <c r="P1676" s="518">
        <v>0.10249999999999999</v>
      </c>
      <c r="Q1676" s="78">
        <v>0.44</v>
      </c>
      <c r="R1676" s="78">
        <v>0.31740000000000002</v>
      </c>
      <c r="S1676" s="69">
        <v>0</v>
      </c>
      <c r="T1676" s="69">
        <v>0</v>
      </c>
      <c r="U1676" s="518">
        <v>0.7</v>
      </c>
      <c r="V1676" s="76">
        <v>0</v>
      </c>
      <c r="W1676" s="76">
        <v>0</v>
      </c>
      <c r="X1676" s="76"/>
      <c r="Y1676" s="516" t="s">
        <v>470</v>
      </c>
    </row>
    <row r="1677" spans="1:25" x14ac:dyDescent="0.25">
      <c r="A1677" s="75" t="str">
        <f t="shared" si="59"/>
        <v>Pago_de_Hipoteca PFAE No_Premier Normal Pago_Fijo_Puntual 16</v>
      </c>
      <c r="B1677" s="75" t="str">
        <f t="shared" si="58"/>
        <v>Pago_de_Hipoteca PFAE No_Premier Normal Pago_Fijo_Puntual 16 0.103</v>
      </c>
      <c r="C1677" s="75" t="s">
        <v>173</v>
      </c>
      <c r="D1677" s="75" t="s">
        <v>168</v>
      </c>
      <c r="E1677" s="75" t="s">
        <v>179</v>
      </c>
      <c r="F1677" s="75" t="s">
        <v>180</v>
      </c>
      <c r="G1677" s="75"/>
      <c r="H1677" s="75"/>
      <c r="I1677" s="75" t="s">
        <v>171</v>
      </c>
      <c r="J1677" s="76">
        <v>16</v>
      </c>
      <c r="K1677" s="516" t="s">
        <v>386</v>
      </c>
      <c r="L1677" s="517">
        <v>10.9</v>
      </c>
      <c r="M1677" s="517">
        <v>11.56</v>
      </c>
      <c r="N1677" s="518">
        <v>0.10299999999999999</v>
      </c>
      <c r="O1677" s="518">
        <v>0.1</v>
      </c>
      <c r="P1677" s="518">
        <v>0.112</v>
      </c>
      <c r="Q1677" s="78">
        <v>0.44</v>
      </c>
      <c r="R1677" s="78">
        <v>0.31740000000000002</v>
      </c>
      <c r="S1677" s="69">
        <v>0</v>
      </c>
      <c r="T1677" s="69">
        <v>0</v>
      </c>
      <c r="U1677" s="518">
        <v>0.7</v>
      </c>
      <c r="V1677" s="76">
        <v>0</v>
      </c>
      <c r="W1677" s="76">
        <v>0</v>
      </c>
      <c r="X1677" s="76"/>
      <c r="Y1677" s="516" t="s">
        <v>470</v>
      </c>
    </row>
    <row r="1678" spans="1:25" x14ac:dyDescent="0.25">
      <c r="A1678" s="75" t="str">
        <f t="shared" si="59"/>
        <v>Pago_de_Hipoteca PFAE No_Premier Normal Pago_Fijo_Puntual 15</v>
      </c>
      <c r="B1678" s="75" t="str">
        <f t="shared" si="58"/>
        <v>Pago_de_Hipoteca PFAE No_Premier Normal Pago_Fijo_Puntual 15 0.0965</v>
      </c>
      <c r="C1678" s="75" t="s">
        <v>173</v>
      </c>
      <c r="D1678" s="75" t="s">
        <v>168</v>
      </c>
      <c r="E1678" s="75" t="s">
        <v>179</v>
      </c>
      <c r="F1678" s="75" t="s">
        <v>180</v>
      </c>
      <c r="G1678" s="75"/>
      <c r="H1678" s="75"/>
      <c r="I1678" s="75" t="s">
        <v>171</v>
      </c>
      <c r="J1678" s="76">
        <v>15</v>
      </c>
      <c r="K1678" s="516" t="s">
        <v>385</v>
      </c>
      <c r="L1678" s="517">
        <v>10.73</v>
      </c>
      <c r="M1678" s="517">
        <v>11.39</v>
      </c>
      <c r="N1678" s="518">
        <v>9.6500000000000002E-2</v>
      </c>
      <c r="O1678" s="518">
        <v>9.1999999999999998E-2</v>
      </c>
      <c r="P1678" s="518">
        <v>0.10249999999999999</v>
      </c>
      <c r="Q1678" s="78">
        <v>0.44</v>
      </c>
      <c r="R1678" s="78">
        <v>0.31740000000000002</v>
      </c>
      <c r="S1678" s="69">
        <v>0</v>
      </c>
      <c r="T1678" s="69">
        <v>0</v>
      </c>
      <c r="U1678" s="518">
        <v>0.7</v>
      </c>
      <c r="V1678" s="76">
        <v>0</v>
      </c>
      <c r="W1678" s="76">
        <v>0</v>
      </c>
      <c r="X1678" s="76"/>
      <c r="Y1678" s="516" t="s">
        <v>470</v>
      </c>
    </row>
    <row r="1679" spans="1:25" x14ac:dyDescent="0.25">
      <c r="A1679" s="75" t="str">
        <f t="shared" si="59"/>
        <v>Pago_de_Hipoteca PFAE No_Premier Normal Pago_Fijo_Puntual 15</v>
      </c>
      <c r="B1679" s="75" t="str">
        <f t="shared" si="58"/>
        <v>Pago_de_Hipoteca PFAE No_Premier Normal Pago_Fijo_Puntual 15 0.103</v>
      </c>
      <c r="C1679" s="75" t="s">
        <v>173</v>
      </c>
      <c r="D1679" s="75" t="s">
        <v>168</v>
      </c>
      <c r="E1679" s="75" t="s">
        <v>179</v>
      </c>
      <c r="F1679" s="75" t="s">
        <v>180</v>
      </c>
      <c r="G1679" s="75"/>
      <c r="H1679" s="75"/>
      <c r="I1679" s="75" t="s">
        <v>171</v>
      </c>
      <c r="J1679" s="76">
        <v>15</v>
      </c>
      <c r="K1679" s="516" t="s">
        <v>386</v>
      </c>
      <c r="L1679" s="517">
        <v>11.18</v>
      </c>
      <c r="M1679" s="517">
        <v>11.84</v>
      </c>
      <c r="N1679" s="518">
        <v>0.10299999999999999</v>
      </c>
      <c r="O1679" s="518">
        <v>0.1</v>
      </c>
      <c r="P1679" s="518">
        <v>0.112</v>
      </c>
      <c r="Q1679" s="78">
        <v>0.44</v>
      </c>
      <c r="R1679" s="78">
        <v>0.31740000000000002</v>
      </c>
      <c r="S1679" s="69">
        <v>0</v>
      </c>
      <c r="T1679" s="69">
        <v>0</v>
      </c>
      <c r="U1679" s="518">
        <v>0.7</v>
      </c>
      <c r="V1679" s="76">
        <v>0</v>
      </c>
      <c r="W1679" s="76">
        <v>0</v>
      </c>
      <c r="X1679" s="76"/>
      <c r="Y1679" s="516" t="s">
        <v>470</v>
      </c>
    </row>
    <row r="1680" spans="1:25" x14ac:dyDescent="0.25">
      <c r="A1680" s="75" t="str">
        <f t="shared" si="59"/>
        <v>Pago_de_Hipoteca PFAE No_Premier Normal Pago_Fijo_Puntual 14</v>
      </c>
      <c r="B1680" s="75" t="str">
        <f t="shared" si="58"/>
        <v>Pago_de_Hipoteca PFAE No_Premier Normal Pago_Fijo_Puntual 14 0.0965</v>
      </c>
      <c r="C1680" s="75" t="s">
        <v>173</v>
      </c>
      <c r="D1680" s="75" t="s">
        <v>168</v>
      </c>
      <c r="E1680" s="75" t="s">
        <v>179</v>
      </c>
      <c r="F1680" s="75" t="s">
        <v>180</v>
      </c>
      <c r="G1680" s="75"/>
      <c r="H1680" s="75"/>
      <c r="I1680" s="75" t="s">
        <v>171</v>
      </c>
      <c r="J1680" s="76">
        <v>14</v>
      </c>
      <c r="K1680" s="516" t="s">
        <v>385</v>
      </c>
      <c r="L1680" s="517">
        <v>11.06</v>
      </c>
      <c r="M1680" s="517">
        <v>11.72</v>
      </c>
      <c r="N1680" s="518">
        <v>9.6500000000000002E-2</v>
      </c>
      <c r="O1680" s="518">
        <v>9.1999999999999998E-2</v>
      </c>
      <c r="P1680" s="518">
        <v>0.10249999999999999</v>
      </c>
      <c r="Q1680" s="78">
        <v>0.44</v>
      </c>
      <c r="R1680" s="78">
        <v>0.31740000000000002</v>
      </c>
      <c r="S1680" s="69">
        <v>0</v>
      </c>
      <c r="T1680" s="69">
        <v>0</v>
      </c>
      <c r="U1680" s="518">
        <v>0.7</v>
      </c>
      <c r="V1680" s="76">
        <v>0</v>
      </c>
      <c r="W1680" s="76">
        <v>0</v>
      </c>
      <c r="X1680" s="76"/>
      <c r="Y1680" s="516" t="s">
        <v>470</v>
      </c>
    </row>
    <row r="1681" spans="1:25" x14ac:dyDescent="0.25">
      <c r="A1681" s="75" t="str">
        <f t="shared" si="59"/>
        <v>Pago_de_Hipoteca PFAE No_Premier Normal Pago_Fijo_Puntual 14</v>
      </c>
      <c r="B1681" s="75" t="str">
        <f t="shared" si="58"/>
        <v>Pago_de_Hipoteca PFAE No_Premier Normal Pago_Fijo_Puntual 14 0.103</v>
      </c>
      <c r="C1681" s="75" t="s">
        <v>173</v>
      </c>
      <c r="D1681" s="75" t="s">
        <v>168</v>
      </c>
      <c r="E1681" s="75" t="s">
        <v>179</v>
      </c>
      <c r="F1681" s="75" t="s">
        <v>180</v>
      </c>
      <c r="G1681" s="75"/>
      <c r="H1681" s="75"/>
      <c r="I1681" s="75" t="s">
        <v>171</v>
      </c>
      <c r="J1681" s="76">
        <v>14</v>
      </c>
      <c r="K1681" s="516" t="s">
        <v>386</v>
      </c>
      <c r="L1681" s="517">
        <v>11.49</v>
      </c>
      <c r="M1681" s="517">
        <v>12.15</v>
      </c>
      <c r="N1681" s="518">
        <v>0.10299999999999999</v>
      </c>
      <c r="O1681" s="518">
        <v>0.1</v>
      </c>
      <c r="P1681" s="518">
        <v>0.112</v>
      </c>
      <c r="Q1681" s="78">
        <v>0.44</v>
      </c>
      <c r="R1681" s="78">
        <v>0.31740000000000002</v>
      </c>
      <c r="S1681" s="69">
        <v>0</v>
      </c>
      <c r="T1681" s="69">
        <v>0</v>
      </c>
      <c r="U1681" s="518">
        <v>0.7</v>
      </c>
      <c r="V1681" s="76">
        <v>0</v>
      </c>
      <c r="W1681" s="76">
        <v>0</v>
      </c>
      <c r="X1681" s="76"/>
      <c r="Y1681" s="516" t="s">
        <v>470</v>
      </c>
    </row>
    <row r="1682" spans="1:25" x14ac:dyDescent="0.25">
      <c r="A1682" s="75" t="str">
        <f t="shared" si="59"/>
        <v>Pago_de_Hipoteca PFAE No_Premier Normal Pago_Fijo_Puntual 13</v>
      </c>
      <c r="B1682" s="75" t="str">
        <f t="shared" si="58"/>
        <v>Pago_de_Hipoteca PFAE No_Premier Normal Pago_Fijo_Puntual 13 0.0965</v>
      </c>
      <c r="C1682" s="75" t="s">
        <v>173</v>
      </c>
      <c r="D1682" s="75" t="s">
        <v>168</v>
      </c>
      <c r="E1682" s="75" t="s">
        <v>179</v>
      </c>
      <c r="F1682" s="75" t="s">
        <v>180</v>
      </c>
      <c r="G1682" s="75"/>
      <c r="H1682" s="75"/>
      <c r="I1682" s="75" t="s">
        <v>171</v>
      </c>
      <c r="J1682" s="76">
        <v>13</v>
      </c>
      <c r="K1682" s="516" t="s">
        <v>385</v>
      </c>
      <c r="L1682" s="517">
        <v>11.45</v>
      </c>
      <c r="M1682" s="517">
        <v>12.11</v>
      </c>
      <c r="N1682" s="518">
        <v>9.6500000000000002E-2</v>
      </c>
      <c r="O1682" s="518">
        <v>9.1999999999999998E-2</v>
      </c>
      <c r="P1682" s="518">
        <v>0.10249999999999999</v>
      </c>
      <c r="Q1682" s="78">
        <v>0.44</v>
      </c>
      <c r="R1682" s="78">
        <v>0.31740000000000002</v>
      </c>
      <c r="S1682" s="69">
        <v>0</v>
      </c>
      <c r="T1682" s="69">
        <v>0</v>
      </c>
      <c r="U1682" s="518">
        <v>0.7</v>
      </c>
      <c r="V1682" s="76">
        <v>0</v>
      </c>
      <c r="W1682" s="76">
        <v>0</v>
      </c>
      <c r="X1682" s="76"/>
      <c r="Y1682" s="516" t="s">
        <v>470</v>
      </c>
    </row>
    <row r="1683" spans="1:25" x14ac:dyDescent="0.25">
      <c r="A1683" s="75" t="str">
        <f t="shared" si="59"/>
        <v>Pago_de_Hipoteca PFAE No_Premier Normal Pago_Fijo_Puntual 13</v>
      </c>
      <c r="B1683" s="75" t="str">
        <f t="shared" si="58"/>
        <v>Pago_de_Hipoteca PFAE No_Premier Normal Pago_Fijo_Puntual 13 0.103</v>
      </c>
      <c r="C1683" s="75" t="s">
        <v>173</v>
      </c>
      <c r="D1683" s="75" t="s">
        <v>168</v>
      </c>
      <c r="E1683" s="75" t="s">
        <v>179</v>
      </c>
      <c r="F1683" s="75" t="s">
        <v>180</v>
      </c>
      <c r="G1683" s="75"/>
      <c r="H1683" s="75"/>
      <c r="I1683" s="75" t="s">
        <v>171</v>
      </c>
      <c r="J1683" s="76">
        <v>13</v>
      </c>
      <c r="K1683" s="516" t="s">
        <v>386</v>
      </c>
      <c r="L1683" s="517">
        <v>11.86</v>
      </c>
      <c r="M1683" s="517">
        <v>12.52</v>
      </c>
      <c r="N1683" s="518">
        <v>0.10299999999999999</v>
      </c>
      <c r="O1683" s="518">
        <v>0.1</v>
      </c>
      <c r="P1683" s="518">
        <v>0.112</v>
      </c>
      <c r="Q1683" s="78">
        <v>0.44</v>
      </c>
      <c r="R1683" s="78">
        <v>0.31740000000000002</v>
      </c>
      <c r="S1683" s="69">
        <v>0</v>
      </c>
      <c r="T1683" s="69">
        <v>0</v>
      </c>
      <c r="U1683" s="518">
        <v>0.7</v>
      </c>
      <c r="V1683" s="76">
        <v>0</v>
      </c>
      <c r="W1683" s="76">
        <v>0</v>
      </c>
      <c r="X1683" s="76"/>
      <c r="Y1683" s="516" t="s">
        <v>470</v>
      </c>
    </row>
    <row r="1684" spans="1:25" x14ac:dyDescent="0.25">
      <c r="A1684" s="75" t="str">
        <f t="shared" si="59"/>
        <v>Pago_de_Hipoteca PFAE No_Premier Normal Pago_Fijo_Puntual 12</v>
      </c>
      <c r="B1684" s="75" t="str">
        <f t="shared" si="58"/>
        <v>Pago_de_Hipoteca PFAE No_Premier Normal Pago_Fijo_Puntual 12 0.0965</v>
      </c>
      <c r="C1684" s="75" t="s">
        <v>173</v>
      </c>
      <c r="D1684" s="75" t="s">
        <v>168</v>
      </c>
      <c r="E1684" s="75" t="s">
        <v>179</v>
      </c>
      <c r="F1684" s="75" t="s">
        <v>180</v>
      </c>
      <c r="G1684" s="75"/>
      <c r="H1684" s="75"/>
      <c r="I1684" s="75" t="s">
        <v>171</v>
      </c>
      <c r="J1684" s="76">
        <v>12</v>
      </c>
      <c r="K1684" s="516" t="s">
        <v>385</v>
      </c>
      <c r="L1684" s="517">
        <v>11.91</v>
      </c>
      <c r="M1684" s="517">
        <v>12.57</v>
      </c>
      <c r="N1684" s="518">
        <v>9.6500000000000002E-2</v>
      </c>
      <c r="O1684" s="518">
        <v>9.1999999999999998E-2</v>
      </c>
      <c r="P1684" s="518">
        <v>0.10249999999999999</v>
      </c>
      <c r="Q1684" s="78">
        <v>0.44</v>
      </c>
      <c r="R1684" s="78">
        <v>0.31740000000000002</v>
      </c>
      <c r="S1684" s="69">
        <v>0</v>
      </c>
      <c r="T1684" s="69">
        <v>0</v>
      </c>
      <c r="U1684" s="518">
        <v>0.7</v>
      </c>
      <c r="V1684" s="76">
        <v>0</v>
      </c>
      <c r="W1684" s="76">
        <v>0</v>
      </c>
      <c r="X1684" s="76"/>
      <c r="Y1684" s="516" t="s">
        <v>470</v>
      </c>
    </row>
    <row r="1685" spans="1:25" x14ac:dyDescent="0.25">
      <c r="A1685" s="75" t="str">
        <f t="shared" si="59"/>
        <v>Pago_de_Hipoteca PFAE No_Premier Normal Pago_Fijo_Puntual 12</v>
      </c>
      <c r="B1685" s="75" t="str">
        <f t="shared" si="58"/>
        <v>Pago_de_Hipoteca PFAE No_Premier Normal Pago_Fijo_Puntual 12 0.103</v>
      </c>
      <c r="C1685" s="75" t="s">
        <v>173</v>
      </c>
      <c r="D1685" s="75" t="s">
        <v>168</v>
      </c>
      <c r="E1685" s="75" t="s">
        <v>179</v>
      </c>
      <c r="F1685" s="75" t="s">
        <v>180</v>
      </c>
      <c r="G1685" s="75"/>
      <c r="H1685" s="75"/>
      <c r="I1685" s="75" t="s">
        <v>171</v>
      </c>
      <c r="J1685" s="76">
        <v>12</v>
      </c>
      <c r="K1685" s="516" t="s">
        <v>386</v>
      </c>
      <c r="L1685" s="517">
        <v>12.31</v>
      </c>
      <c r="M1685" s="517">
        <v>12.97</v>
      </c>
      <c r="N1685" s="518">
        <v>0.10299999999999999</v>
      </c>
      <c r="O1685" s="518">
        <v>0.1</v>
      </c>
      <c r="P1685" s="518">
        <v>0.112</v>
      </c>
      <c r="Q1685" s="78">
        <v>0.44</v>
      </c>
      <c r="R1685" s="78">
        <v>0.31740000000000002</v>
      </c>
      <c r="S1685" s="69">
        <v>0</v>
      </c>
      <c r="T1685" s="69">
        <v>0</v>
      </c>
      <c r="U1685" s="518">
        <v>0.7</v>
      </c>
      <c r="V1685" s="76">
        <v>0</v>
      </c>
      <c r="W1685" s="76">
        <v>0</v>
      </c>
      <c r="X1685" s="76"/>
      <c r="Y1685" s="516" t="s">
        <v>470</v>
      </c>
    </row>
    <row r="1686" spans="1:25" x14ac:dyDescent="0.25">
      <c r="A1686" s="75" t="str">
        <f t="shared" si="59"/>
        <v>Pago_de_Hipoteca PFAE No_Premier Normal Pago_Fijo_Puntual 11</v>
      </c>
      <c r="B1686" s="75" t="str">
        <f t="shared" si="58"/>
        <v>Pago_de_Hipoteca PFAE No_Premier Normal Pago_Fijo_Puntual 11 0.0965</v>
      </c>
      <c r="C1686" s="75" t="s">
        <v>173</v>
      </c>
      <c r="D1686" s="75" t="s">
        <v>168</v>
      </c>
      <c r="E1686" s="75" t="s">
        <v>179</v>
      </c>
      <c r="F1686" s="75" t="s">
        <v>180</v>
      </c>
      <c r="G1686" s="75"/>
      <c r="H1686" s="75"/>
      <c r="I1686" s="75" t="s">
        <v>171</v>
      </c>
      <c r="J1686" s="76">
        <v>11</v>
      </c>
      <c r="K1686" s="516" t="s">
        <v>385</v>
      </c>
      <c r="L1686" s="517">
        <v>12.47</v>
      </c>
      <c r="M1686" s="517">
        <v>13.13</v>
      </c>
      <c r="N1686" s="518">
        <v>9.6500000000000002E-2</v>
      </c>
      <c r="O1686" s="518">
        <v>9.1999999999999998E-2</v>
      </c>
      <c r="P1686" s="518">
        <v>0.10249999999999999</v>
      </c>
      <c r="Q1686" s="78">
        <v>0.44</v>
      </c>
      <c r="R1686" s="78">
        <v>0.31740000000000002</v>
      </c>
      <c r="S1686" s="69">
        <v>0</v>
      </c>
      <c r="T1686" s="69">
        <v>0</v>
      </c>
      <c r="U1686" s="518">
        <v>0.7</v>
      </c>
      <c r="V1686" s="76">
        <v>0</v>
      </c>
      <c r="W1686" s="76">
        <v>0</v>
      </c>
      <c r="X1686" s="76"/>
      <c r="Y1686" s="516" t="s">
        <v>470</v>
      </c>
    </row>
    <row r="1687" spans="1:25" x14ac:dyDescent="0.25">
      <c r="A1687" s="75" t="str">
        <f t="shared" si="59"/>
        <v>Pago_de_Hipoteca PFAE No_Premier Normal Pago_Fijo_Puntual 11</v>
      </c>
      <c r="B1687" s="75" t="str">
        <f t="shared" si="58"/>
        <v>Pago_de_Hipoteca PFAE No_Premier Normal Pago_Fijo_Puntual 11 0.103</v>
      </c>
      <c r="C1687" s="75" t="s">
        <v>173</v>
      </c>
      <c r="D1687" s="75" t="s">
        <v>168</v>
      </c>
      <c r="E1687" s="75" t="s">
        <v>179</v>
      </c>
      <c r="F1687" s="75" t="s">
        <v>180</v>
      </c>
      <c r="G1687" s="75"/>
      <c r="H1687" s="75"/>
      <c r="I1687" s="75" t="s">
        <v>171</v>
      </c>
      <c r="J1687" s="76">
        <v>11</v>
      </c>
      <c r="K1687" s="516" t="s">
        <v>386</v>
      </c>
      <c r="L1687" s="517">
        <v>12.86</v>
      </c>
      <c r="M1687" s="517">
        <v>13.52</v>
      </c>
      <c r="N1687" s="518">
        <v>0.10299999999999999</v>
      </c>
      <c r="O1687" s="518">
        <v>0.1</v>
      </c>
      <c r="P1687" s="518">
        <v>0.112</v>
      </c>
      <c r="Q1687" s="78">
        <v>0.44</v>
      </c>
      <c r="R1687" s="78">
        <v>0.31740000000000002</v>
      </c>
      <c r="S1687" s="69">
        <v>0</v>
      </c>
      <c r="T1687" s="69">
        <v>0</v>
      </c>
      <c r="U1687" s="518">
        <v>0.7</v>
      </c>
      <c r="V1687" s="76">
        <v>0</v>
      </c>
      <c r="W1687" s="76">
        <v>0</v>
      </c>
      <c r="X1687" s="76"/>
      <c r="Y1687" s="516" t="s">
        <v>470</v>
      </c>
    </row>
    <row r="1688" spans="1:25" x14ac:dyDescent="0.25">
      <c r="A1688" s="75" t="str">
        <f t="shared" si="59"/>
        <v>Pago_de_Hipoteca PFAE No_Premier Normal Pago_Fijo_Puntual 10</v>
      </c>
      <c r="B1688" s="75" t="str">
        <f t="shared" si="58"/>
        <v>Pago_de_Hipoteca PFAE No_Premier Normal Pago_Fijo_Puntual 10 0.0965</v>
      </c>
      <c r="C1688" s="75" t="s">
        <v>173</v>
      </c>
      <c r="D1688" s="75" t="s">
        <v>168</v>
      </c>
      <c r="E1688" s="75" t="s">
        <v>179</v>
      </c>
      <c r="F1688" s="75" t="s">
        <v>180</v>
      </c>
      <c r="G1688" s="75"/>
      <c r="H1688" s="75"/>
      <c r="I1688" s="75" t="s">
        <v>171</v>
      </c>
      <c r="J1688" s="76">
        <v>10</v>
      </c>
      <c r="K1688" s="516" t="s">
        <v>385</v>
      </c>
      <c r="L1688" s="517">
        <v>13.16</v>
      </c>
      <c r="M1688" s="517">
        <v>13.82</v>
      </c>
      <c r="N1688" s="518">
        <v>9.6500000000000002E-2</v>
      </c>
      <c r="O1688" s="518">
        <v>9.1999999999999998E-2</v>
      </c>
      <c r="P1688" s="518">
        <v>0.10249999999999999</v>
      </c>
      <c r="Q1688" s="78">
        <v>0.44</v>
      </c>
      <c r="R1688" s="78">
        <v>0.31740000000000002</v>
      </c>
      <c r="S1688" s="69">
        <v>0</v>
      </c>
      <c r="T1688" s="69">
        <v>0</v>
      </c>
      <c r="U1688" s="518">
        <v>0.7</v>
      </c>
      <c r="V1688" s="76">
        <v>0</v>
      </c>
      <c r="W1688" s="76">
        <v>0</v>
      </c>
      <c r="X1688" s="76"/>
      <c r="Y1688" s="516" t="s">
        <v>470</v>
      </c>
    </row>
    <row r="1689" spans="1:25" x14ac:dyDescent="0.25">
      <c r="A1689" s="75" t="str">
        <f t="shared" si="59"/>
        <v>Pago_de_Hipoteca PFAE No_Premier Normal Pago_Fijo_Puntual 10</v>
      </c>
      <c r="B1689" s="75" t="str">
        <f t="shared" si="58"/>
        <v>Pago_de_Hipoteca PFAE No_Premier Normal Pago_Fijo_Puntual 10 0.103</v>
      </c>
      <c r="C1689" s="75" t="s">
        <v>173</v>
      </c>
      <c r="D1689" s="75" t="s">
        <v>168</v>
      </c>
      <c r="E1689" s="75" t="s">
        <v>179</v>
      </c>
      <c r="F1689" s="75" t="s">
        <v>180</v>
      </c>
      <c r="G1689" s="75"/>
      <c r="H1689" s="75"/>
      <c r="I1689" s="75" t="s">
        <v>171</v>
      </c>
      <c r="J1689" s="76">
        <v>10</v>
      </c>
      <c r="K1689" s="516" t="s">
        <v>386</v>
      </c>
      <c r="L1689" s="517">
        <v>13.54</v>
      </c>
      <c r="M1689" s="517">
        <v>14.2</v>
      </c>
      <c r="N1689" s="518">
        <v>0.10299999999999999</v>
      </c>
      <c r="O1689" s="518">
        <v>0.1</v>
      </c>
      <c r="P1689" s="518">
        <v>0.112</v>
      </c>
      <c r="Q1689" s="78">
        <v>0.44</v>
      </c>
      <c r="R1689" s="78">
        <v>0.31740000000000002</v>
      </c>
      <c r="S1689" s="69">
        <v>0</v>
      </c>
      <c r="T1689" s="69">
        <v>0</v>
      </c>
      <c r="U1689" s="518">
        <v>0.7</v>
      </c>
      <c r="V1689" s="76">
        <v>0</v>
      </c>
      <c r="W1689" s="76">
        <v>0</v>
      </c>
      <c r="X1689" s="76"/>
      <c r="Y1689" s="516" t="s">
        <v>470</v>
      </c>
    </row>
    <row r="1690" spans="1:25" x14ac:dyDescent="0.25">
      <c r="A1690" s="75" t="str">
        <f t="shared" si="59"/>
        <v>Pago_de_Hipoteca PFAE No_Premier Normal Pago_Fijo_Puntual 9</v>
      </c>
      <c r="B1690" s="75" t="str">
        <f t="shared" si="58"/>
        <v>Pago_de_Hipoteca PFAE No_Premier Normal Pago_Fijo_Puntual 9 0.0965</v>
      </c>
      <c r="C1690" s="75" t="s">
        <v>173</v>
      </c>
      <c r="D1690" s="75" t="s">
        <v>168</v>
      </c>
      <c r="E1690" s="75" t="s">
        <v>179</v>
      </c>
      <c r="F1690" s="75" t="s">
        <v>180</v>
      </c>
      <c r="G1690" s="75"/>
      <c r="H1690" s="75"/>
      <c r="I1690" s="75" t="s">
        <v>171</v>
      </c>
      <c r="J1690" s="76">
        <v>9</v>
      </c>
      <c r="K1690" s="516" t="s">
        <v>385</v>
      </c>
      <c r="L1690" s="517">
        <v>14.01</v>
      </c>
      <c r="M1690" s="517">
        <v>14.67</v>
      </c>
      <c r="N1690" s="518">
        <v>9.6500000000000002E-2</v>
      </c>
      <c r="O1690" s="518">
        <v>9.1999999999999998E-2</v>
      </c>
      <c r="P1690" s="518">
        <v>0.10249999999999999</v>
      </c>
      <c r="Q1690" s="78">
        <v>0.44</v>
      </c>
      <c r="R1690" s="78">
        <v>0.31740000000000002</v>
      </c>
      <c r="S1690" s="69">
        <v>0</v>
      </c>
      <c r="T1690" s="69">
        <v>0</v>
      </c>
      <c r="U1690" s="518">
        <v>0.7</v>
      </c>
      <c r="V1690" s="76">
        <v>0</v>
      </c>
      <c r="W1690" s="76">
        <v>0</v>
      </c>
      <c r="X1690" s="76"/>
      <c r="Y1690" s="516" t="s">
        <v>470</v>
      </c>
    </row>
    <row r="1691" spans="1:25" x14ac:dyDescent="0.25">
      <c r="A1691" s="75" t="str">
        <f t="shared" si="59"/>
        <v>Pago_de_Hipoteca PFAE No_Premier Normal Pago_Fijo_Puntual 9</v>
      </c>
      <c r="B1691" s="75" t="str">
        <f t="shared" si="58"/>
        <v>Pago_de_Hipoteca PFAE No_Premier Normal Pago_Fijo_Puntual 9 0.103</v>
      </c>
      <c r="C1691" s="75" t="s">
        <v>173</v>
      </c>
      <c r="D1691" s="75" t="s">
        <v>168</v>
      </c>
      <c r="E1691" s="75" t="s">
        <v>179</v>
      </c>
      <c r="F1691" s="75" t="s">
        <v>180</v>
      </c>
      <c r="G1691" s="75"/>
      <c r="H1691" s="75"/>
      <c r="I1691" s="75" t="s">
        <v>171</v>
      </c>
      <c r="J1691" s="76">
        <v>9</v>
      </c>
      <c r="K1691" s="516" t="s">
        <v>386</v>
      </c>
      <c r="L1691" s="517">
        <v>14.37</v>
      </c>
      <c r="M1691" s="517">
        <v>15.03</v>
      </c>
      <c r="N1691" s="518">
        <v>0.10299999999999999</v>
      </c>
      <c r="O1691" s="518">
        <v>0.1</v>
      </c>
      <c r="P1691" s="518">
        <v>0.112</v>
      </c>
      <c r="Q1691" s="78">
        <v>0.44</v>
      </c>
      <c r="R1691" s="78">
        <v>0.31740000000000002</v>
      </c>
      <c r="S1691" s="69">
        <v>0</v>
      </c>
      <c r="T1691" s="69">
        <v>0</v>
      </c>
      <c r="U1691" s="518">
        <v>0.7</v>
      </c>
      <c r="V1691" s="76">
        <v>0</v>
      </c>
      <c r="W1691" s="76">
        <v>0</v>
      </c>
      <c r="X1691" s="76"/>
      <c r="Y1691" s="516" t="s">
        <v>470</v>
      </c>
    </row>
    <row r="1692" spans="1:25" x14ac:dyDescent="0.25">
      <c r="A1692" s="75" t="str">
        <f t="shared" si="59"/>
        <v>Pago_de_Hipoteca PFAE No_Premier Normal Pago_Fijo_Puntual 8</v>
      </c>
      <c r="B1692" s="75" t="str">
        <f t="shared" si="58"/>
        <v>Pago_de_Hipoteca PFAE No_Premier Normal Pago_Fijo_Puntual 8 0.0965</v>
      </c>
      <c r="C1692" s="75" t="s">
        <v>173</v>
      </c>
      <c r="D1692" s="75" t="s">
        <v>168</v>
      </c>
      <c r="E1692" s="75" t="s">
        <v>179</v>
      </c>
      <c r="F1692" s="75" t="s">
        <v>180</v>
      </c>
      <c r="G1692" s="75"/>
      <c r="H1692" s="75"/>
      <c r="I1692" s="75" t="s">
        <v>171</v>
      </c>
      <c r="J1692" s="76">
        <v>8</v>
      </c>
      <c r="K1692" s="516" t="s">
        <v>385</v>
      </c>
      <c r="L1692" s="517">
        <v>15.09</v>
      </c>
      <c r="M1692" s="517">
        <v>15.75</v>
      </c>
      <c r="N1692" s="518">
        <v>9.6500000000000002E-2</v>
      </c>
      <c r="O1692" s="518">
        <v>9.1999999999999998E-2</v>
      </c>
      <c r="P1692" s="518">
        <v>0.10249999999999999</v>
      </c>
      <c r="Q1692" s="78">
        <v>0.44</v>
      </c>
      <c r="R1692" s="78">
        <v>0.31740000000000002</v>
      </c>
      <c r="S1692" s="69">
        <v>0</v>
      </c>
      <c r="T1692" s="69">
        <v>0</v>
      </c>
      <c r="U1692" s="518">
        <v>0.7</v>
      </c>
      <c r="V1692" s="76">
        <v>0</v>
      </c>
      <c r="W1692" s="76">
        <v>0</v>
      </c>
      <c r="X1692" s="76"/>
      <c r="Y1692" s="516" t="s">
        <v>470</v>
      </c>
    </row>
    <row r="1693" spans="1:25" x14ac:dyDescent="0.25">
      <c r="A1693" s="75" t="str">
        <f t="shared" si="59"/>
        <v>Pago_de_Hipoteca PFAE No_Premier Normal Pago_Fijo_Puntual 8</v>
      </c>
      <c r="B1693" s="75" t="str">
        <f t="shared" si="58"/>
        <v>Pago_de_Hipoteca PFAE No_Premier Normal Pago_Fijo_Puntual 8 0.103</v>
      </c>
      <c r="C1693" s="75" t="s">
        <v>173</v>
      </c>
      <c r="D1693" s="75" t="s">
        <v>168</v>
      </c>
      <c r="E1693" s="75" t="s">
        <v>179</v>
      </c>
      <c r="F1693" s="75" t="s">
        <v>180</v>
      </c>
      <c r="G1693" s="75"/>
      <c r="H1693" s="75"/>
      <c r="I1693" s="75" t="s">
        <v>171</v>
      </c>
      <c r="J1693" s="76">
        <v>8</v>
      </c>
      <c r="K1693" s="516" t="s">
        <v>386</v>
      </c>
      <c r="L1693" s="517">
        <v>15.44</v>
      </c>
      <c r="M1693" s="517">
        <v>16.100000000000001</v>
      </c>
      <c r="N1693" s="518">
        <v>0.10299999999999999</v>
      </c>
      <c r="O1693" s="518">
        <v>0.1</v>
      </c>
      <c r="P1693" s="518">
        <v>0.112</v>
      </c>
      <c r="Q1693" s="78">
        <v>0.44</v>
      </c>
      <c r="R1693" s="78">
        <v>0.31740000000000002</v>
      </c>
      <c r="S1693" s="69">
        <v>0</v>
      </c>
      <c r="T1693" s="69">
        <v>0</v>
      </c>
      <c r="U1693" s="518">
        <v>0.7</v>
      </c>
      <c r="V1693" s="76">
        <v>0</v>
      </c>
      <c r="W1693" s="76">
        <v>0</v>
      </c>
      <c r="X1693" s="76"/>
      <c r="Y1693" s="516" t="s">
        <v>470</v>
      </c>
    </row>
    <row r="1694" spans="1:25" x14ac:dyDescent="0.25">
      <c r="A1694" s="75" t="str">
        <f t="shared" si="59"/>
        <v>Pago_de_Hipoteca PFAE No_Premier Normal Pago_Fijo_Puntual 7</v>
      </c>
      <c r="B1694" s="75" t="str">
        <f t="shared" si="58"/>
        <v>Pago_de_Hipoteca PFAE No_Premier Normal Pago_Fijo_Puntual 7 0.0965</v>
      </c>
      <c r="C1694" s="75" t="s">
        <v>173</v>
      </c>
      <c r="D1694" s="75" t="s">
        <v>168</v>
      </c>
      <c r="E1694" s="75" t="s">
        <v>179</v>
      </c>
      <c r="F1694" s="75" t="s">
        <v>180</v>
      </c>
      <c r="G1694" s="75"/>
      <c r="H1694" s="75"/>
      <c r="I1694" s="75" t="s">
        <v>171</v>
      </c>
      <c r="J1694" s="76">
        <v>7</v>
      </c>
      <c r="K1694" s="516" t="s">
        <v>385</v>
      </c>
      <c r="L1694" s="517">
        <v>16.5</v>
      </c>
      <c r="M1694" s="517">
        <v>17.16</v>
      </c>
      <c r="N1694" s="518">
        <v>9.6500000000000002E-2</v>
      </c>
      <c r="O1694" s="518">
        <v>9.1999999999999998E-2</v>
      </c>
      <c r="P1694" s="518">
        <v>0.10249999999999999</v>
      </c>
      <c r="Q1694" s="78">
        <v>0.44</v>
      </c>
      <c r="R1694" s="78">
        <v>0.31740000000000002</v>
      </c>
      <c r="S1694" s="69">
        <v>0</v>
      </c>
      <c r="T1694" s="69">
        <v>0</v>
      </c>
      <c r="U1694" s="518">
        <v>0.7</v>
      </c>
      <c r="V1694" s="76">
        <v>0</v>
      </c>
      <c r="W1694" s="76">
        <v>0</v>
      </c>
      <c r="X1694" s="76"/>
      <c r="Y1694" s="516" t="s">
        <v>470</v>
      </c>
    </row>
    <row r="1695" spans="1:25" x14ac:dyDescent="0.25">
      <c r="A1695" s="75" t="str">
        <f t="shared" si="59"/>
        <v>Pago_de_Hipoteca PFAE No_Premier Normal Pago_Fijo_Puntual 7</v>
      </c>
      <c r="B1695" s="75" t="str">
        <f t="shared" si="58"/>
        <v>Pago_de_Hipoteca PFAE No_Premier Normal Pago_Fijo_Puntual 7 0.103</v>
      </c>
      <c r="C1695" s="75" t="s">
        <v>173</v>
      </c>
      <c r="D1695" s="75" t="s">
        <v>168</v>
      </c>
      <c r="E1695" s="75" t="s">
        <v>179</v>
      </c>
      <c r="F1695" s="75" t="s">
        <v>180</v>
      </c>
      <c r="G1695" s="75"/>
      <c r="H1695" s="75"/>
      <c r="I1695" s="75" t="s">
        <v>171</v>
      </c>
      <c r="J1695" s="76">
        <v>7</v>
      </c>
      <c r="K1695" s="516" t="s">
        <v>386</v>
      </c>
      <c r="L1695" s="517">
        <v>16.84</v>
      </c>
      <c r="M1695" s="517">
        <v>17.5</v>
      </c>
      <c r="N1695" s="518">
        <v>0.10299999999999999</v>
      </c>
      <c r="O1695" s="518">
        <v>0.1</v>
      </c>
      <c r="P1695" s="518">
        <v>0.112</v>
      </c>
      <c r="Q1695" s="78">
        <v>0.44</v>
      </c>
      <c r="R1695" s="78">
        <v>0.31740000000000002</v>
      </c>
      <c r="S1695" s="69">
        <v>0</v>
      </c>
      <c r="T1695" s="69">
        <v>0</v>
      </c>
      <c r="U1695" s="518">
        <v>0.7</v>
      </c>
      <c r="V1695" s="76">
        <v>0</v>
      </c>
      <c r="W1695" s="76">
        <v>0</v>
      </c>
      <c r="X1695" s="76"/>
      <c r="Y1695" s="516" t="s">
        <v>470</v>
      </c>
    </row>
    <row r="1696" spans="1:25" x14ac:dyDescent="0.25">
      <c r="A1696" s="75" t="str">
        <f t="shared" si="59"/>
        <v>Pago_de_Hipoteca PFAE No_Premier Normal Pago_Fijo_Puntual 6</v>
      </c>
      <c r="B1696" s="75" t="str">
        <f t="shared" si="58"/>
        <v>Pago_de_Hipoteca PFAE No_Premier Normal Pago_Fijo_Puntual 6 0.0965</v>
      </c>
      <c r="C1696" s="75" t="s">
        <v>173</v>
      </c>
      <c r="D1696" s="75" t="s">
        <v>168</v>
      </c>
      <c r="E1696" s="75" t="s">
        <v>179</v>
      </c>
      <c r="F1696" s="75" t="s">
        <v>180</v>
      </c>
      <c r="G1696" s="75"/>
      <c r="H1696" s="75"/>
      <c r="I1696" s="75" t="s">
        <v>171</v>
      </c>
      <c r="J1696" s="76">
        <v>6</v>
      </c>
      <c r="K1696" s="516" t="s">
        <v>385</v>
      </c>
      <c r="L1696" s="517">
        <v>18.41</v>
      </c>
      <c r="M1696" s="517">
        <v>19.07</v>
      </c>
      <c r="N1696" s="518">
        <v>9.6500000000000002E-2</v>
      </c>
      <c r="O1696" s="518">
        <v>9.1999999999999998E-2</v>
      </c>
      <c r="P1696" s="518">
        <v>0.10249999999999999</v>
      </c>
      <c r="Q1696" s="78">
        <v>0.44</v>
      </c>
      <c r="R1696" s="78">
        <v>0.31740000000000002</v>
      </c>
      <c r="S1696" s="69">
        <v>0</v>
      </c>
      <c r="T1696" s="69">
        <v>0</v>
      </c>
      <c r="U1696" s="518">
        <v>0.7</v>
      </c>
      <c r="V1696" s="76">
        <v>0</v>
      </c>
      <c r="W1696" s="76">
        <v>0</v>
      </c>
      <c r="X1696" s="76"/>
      <c r="Y1696" s="516" t="s">
        <v>470</v>
      </c>
    </row>
    <row r="1697" spans="1:25" x14ac:dyDescent="0.25">
      <c r="A1697" s="75" t="str">
        <f t="shared" si="59"/>
        <v>Pago_de_Hipoteca PFAE No_Premier Normal Pago_Fijo_Puntual 6</v>
      </c>
      <c r="B1697" s="75" t="str">
        <f t="shared" si="58"/>
        <v>Pago_de_Hipoteca PFAE No_Premier Normal Pago_Fijo_Puntual 6 0.103</v>
      </c>
      <c r="C1697" s="75" t="s">
        <v>173</v>
      </c>
      <c r="D1697" s="75" t="s">
        <v>168</v>
      </c>
      <c r="E1697" s="75" t="s">
        <v>179</v>
      </c>
      <c r="F1697" s="75" t="s">
        <v>180</v>
      </c>
      <c r="G1697" s="75"/>
      <c r="H1697" s="75"/>
      <c r="I1697" s="75" t="s">
        <v>171</v>
      </c>
      <c r="J1697" s="76">
        <v>6</v>
      </c>
      <c r="K1697" s="516" t="s">
        <v>386</v>
      </c>
      <c r="L1697" s="517">
        <v>18.739999999999998</v>
      </c>
      <c r="M1697" s="517">
        <v>19.399999999999999</v>
      </c>
      <c r="N1697" s="518">
        <v>0.10299999999999999</v>
      </c>
      <c r="O1697" s="518">
        <v>0.1</v>
      </c>
      <c r="P1697" s="518">
        <v>0.112</v>
      </c>
      <c r="Q1697" s="78">
        <v>0.44</v>
      </c>
      <c r="R1697" s="78">
        <v>0.31740000000000002</v>
      </c>
      <c r="S1697" s="69">
        <v>0</v>
      </c>
      <c r="T1697" s="69">
        <v>0</v>
      </c>
      <c r="U1697" s="518">
        <v>0.7</v>
      </c>
      <c r="V1697" s="76">
        <v>0</v>
      </c>
      <c r="W1697" s="76">
        <v>0</v>
      </c>
      <c r="X1697" s="76"/>
      <c r="Y1697" s="516" t="s">
        <v>470</v>
      </c>
    </row>
    <row r="1698" spans="1:25" x14ac:dyDescent="0.25">
      <c r="A1698" s="75" t="str">
        <f t="shared" si="59"/>
        <v>Pago_de_Hipoteca PFAE No_Premier Normal Pago_Fijo_Puntual 5</v>
      </c>
      <c r="B1698" s="75" t="str">
        <f t="shared" si="58"/>
        <v>Pago_de_Hipoteca PFAE No_Premier Normal Pago_Fijo_Puntual 5 0.0965</v>
      </c>
      <c r="C1698" s="75" t="s">
        <v>173</v>
      </c>
      <c r="D1698" s="75" t="s">
        <v>168</v>
      </c>
      <c r="E1698" s="75" t="s">
        <v>179</v>
      </c>
      <c r="F1698" s="75" t="s">
        <v>180</v>
      </c>
      <c r="G1698" s="75"/>
      <c r="H1698" s="75"/>
      <c r="I1698" s="75" t="s">
        <v>171</v>
      </c>
      <c r="J1698" s="76">
        <v>5</v>
      </c>
      <c r="K1698" s="516" t="s">
        <v>385</v>
      </c>
      <c r="L1698" s="517">
        <v>21.12</v>
      </c>
      <c r="M1698" s="517">
        <v>21.78</v>
      </c>
      <c r="N1698" s="518">
        <v>9.6500000000000002E-2</v>
      </c>
      <c r="O1698" s="518">
        <v>9.1999999999999998E-2</v>
      </c>
      <c r="P1698" s="518">
        <v>0.10249999999999999</v>
      </c>
      <c r="Q1698" s="78">
        <v>0.44</v>
      </c>
      <c r="R1698" s="78">
        <v>0.31740000000000002</v>
      </c>
      <c r="S1698" s="69">
        <v>0</v>
      </c>
      <c r="T1698" s="69">
        <v>0</v>
      </c>
      <c r="U1698" s="518">
        <v>0.7</v>
      </c>
      <c r="V1698" s="76">
        <v>0</v>
      </c>
      <c r="W1698" s="76">
        <v>0</v>
      </c>
      <c r="X1698" s="76"/>
      <c r="Y1698" s="516" t="s">
        <v>470</v>
      </c>
    </row>
    <row r="1699" spans="1:25" x14ac:dyDescent="0.25">
      <c r="A1699" s="75" t="str">
        <f t="shared" si="59"/>
        <v>Pago_de_Hipoteca PFAE No_Premier Normal Pago_Fijo_Puntual 5</v>
      </c>
      <c r="B1699" s="75" t="str">
        <f t="shared" si="58"/>
        <v>Pago_de_Hipoteca PFAE No_Premier Normal Pago_Fijo_Puntual 5 0.103</v>
      </c>
      <c r="C1699" s="75" t="s">
        <v>173</v>
      </c>
      <c r="D1699" s="75" t="s">
        <v>168</v>
      </c>
      <c r="E1699" s="75" t="s">
        <v>179</v>
      </c>
      <c r="F1699" s="75" t="s">
        <v>180</v>
      </c>
      <c r="G1699" s="75"/>
      <c r="H1699" s="75"/>
      <c r="I1699" s="75" t="s">
        <v>171</v>
      </c>
      <c r="J1699" s="76">
        <v>5</v>
      </c>
      <c r="K1699" s="516" t="s">
        <v>386</v>
      </c>
      <c r="L1699" s="517">
        <v>21.44</v>
      </c>
      <c r="M1699" s="517">
        <v>22.1</v>
      </c>
      <c r="N1699" s="518">
        <v>0.10299999999999999</v>
      </c>
      <c r="O1699" s="518">
        <v>0.1</v>
      </c>
      <c r="P1699" s="518">
        <v>0.112</v>
      </c>
      <c r="Q1699" s="78">
        <v>0.44</v>
      </c>
      <c r="R1699" s="78">
        <v>0.31740000000000002</v>
      </c>
      <c r="S1699" s="69">
        <v>0</v>
      </c>
      <c r="T1699" s="69">
        <v>0</v>
      </c>
      <c r="U1699" s="518">
        <v>0.7</v>
      </c>
      <c r="V1699" s="76">
        <v>0</v>
      </c>
      <c r="W1699" s="76">
        <v>0</v>
      </c>
      <c r="X1699" s="76"/>
      <c r="Y1699" s="516" t="s">
        <v>470</v>
      </c>
    </row>
    <row r="1700" spans="1:25" x14ac:dyDescent="0.25">
      <c r="A1700" s="75" t="str">
        <f t="shared" si="59"/>
        <v>Pago_de_Hipoteca PFAE No_Premier Normal Pago_Bajo_Puntual 20</v>
      </c>
      <c r="B1700" s="75" t="str">
        <f t="shared" si="58"/>
        <v>Pago_de_Hipoteca PFAE No_Premier Normal Pago_Bajo_Puntual 20 0.0965</v>
      </c>
      <c r="C1700" s="75" t="s">
        <v>173</v>
      </c>
      <c r="D1700" s="75" t="s">
        <v>168</v>
      </c>
      <c r="E1700" s="75" t="s">
        <v>179</v>
      </c>
      <c r="F1700" s="75" t="s">
        <v>180</v>
      </c>
      <c r="G1700" s="75"/>
      <c r="H1700" s="75"/>
      <c r="I1700" s="75" t="s">
        <v>170</v>
      </c>
      <c r="J1700" s="76">
        <v>20</v>
      </c>
      <c r="K1700" s="516" t="s">
        <v>385</v>
      </c>
      <c r="L1700" s="517">
        <v>8.52</v>
      </c>
      <c r="M1700" s="517">
        <v>9.18</v>
      </c>
      <c r="N1700" s="518">
        <v>9.6500000000000002E-2</v>
      </c>
      <c r="O1700" s="518">
        <v>9.1999999999999998E-2</v>
      </c>
      <c r="P1700" s="518">
        <v>0.10249999999999999</v>
      </c>
      <c r="Q1700" s="78">
        <v>0.44</v>
      </c>
      <c r="R1700" s="78">
        <v>0.31740000000000002</v>
      </c>
      <c r="S1700" s="69">
        <v>0</v>
      </c>
      <c r="T1700" s="69">
        <v>0</v>
      </c>
      <c r="U1700" s="518">
        <v>0.7</v>
      </c>
      <c r="V1700" s="76">
        <v>0</v>
      </c>
      <c r="W1700" s="76">
        <v>0</v>
      </c>
      <c r="X1700" s="76"/>
      <c r="Y1700" s="516" t="s">
        <v>470</v>
      </c>
    </row>
    <row r="1701" spans="1:25" x14ac:dyDescent="0.25">
      <c r="A1701" s="75" t="str">
        <f t="shared" si="59"/>
        <v>Pago_de_Hipoteca PFAE No_Premier Normal Pago_Bajo_Puntual 20</v>
      </c>
      <c r="B1701" s="75" t="str">
        <f t="shared" si="58"/>
        <v>Pago_de_Hipoteca PFAE No_Premier Normal Pago_Bajo_Puntual 20 0.103</v>
      </c>
      <c r="C1701" s="75" t="s">
        <v>173</v>
      </c>
      <c r="D1701" s="75" t="s">
        <v>168</v>
      </c>
      <c r="E1701" s="75" t="s">
        <v>179</v>
      </c>
      <c r="F1701" s="75" t="s">
        <v>180</v>
      </c>
      <c r="G1701" s="75"/>
      <c r="H1701" s="75"/>
      <c r="I1701" s="75" t="s">
        <v>170</v>
      </c>
      <c r="J1701" s="76">
        <v>20</v>
      </c>
      <c r="K1701" s="516" t="s">
        <v>386</v>
      </c>
      <c r="L1701" s="517">
        <v>9</v>
      </c>
      <c r="M1701" s="517">
        <v>9.66</v>
      </c>
      <c r="N1701" s="518">
        <v>0.10299999999999999</v>
      </c>
      <c r="O1701" s="518">
        <v>0.1</v>
      </c>
      <c r="P1701" s="518">
        <v>0.112</v>
      </c>
      <c r="Q1701" s="78">
        <v>0.44</v>
      </c>
      <c r="R1701" s="78">
        <v>0.31740000000000002</v>
      </c>
      <c r="S1701" s="69">
        <v>0</v>
      </c>
      <c r="T1701" s="69">
        <v>0</v>
      </c>
      <c r="U1701" s="518">
        <v>0.7</v>
      </c>
      <c r="V1701" s="76">
        <v>0</v>
      </c>
      <c r="W1701" s="76">
        <v>0</v>
      </c>
      <c r="X1701" s="76"/>
      <c r="Y1701" s="516" t="s">
        <v>470</v>
      </c>
    </row>
    <row r="1702" spans="1:25" x14ac:dyDescent="0.25">
      <c r="A1702" s="75" t="str">
        <f t="shared" si="59"/>
        <v>Pago_de_Hipoteca PFAE No_Premier Normal Pago_Bajo_Puntual 19</v>
      </c>
      <c r="B1702" s="75" t="str">
        <f t="shared" si="58"/>
        <v>Pago_de_Hipoteca PFAE No_Premier Normal Pago_Bajo_Puntual 19 0.0965</v>
      </c>
      <c r="C1702" s="75" t="s">
        <v>173</v>
      </c>
      <c r="D1702" s="75" t="s">
        <v>168</v>
      </c>
      <c r="E1702" s="75" t="s">
        <v>179</v>
      </c>
      <c r="F1702" s="75" t="s">
        <v>180</v>
      </c>
      <c r="G1702" s="75"/>
      <c r="H1702" s="75"/>
      <c r="I1702" s="75" t="s">
        <v>170</v>
      </c>
      <c r="J1702" s="76">
        <v>19</v>
      </c>
      <c r="K1702" s="516" t="s">
        <v>385</v>
      </c>
      <c r="L1702" s="517">
        <v>8.6999999999999993</v>
      </c>
      <c r="M1702" s="517">
        <v>9.36</v>
      </c>
      <c r="N1702" s="518">
        <v>9.6500000000000002E-2</v>
      </c>
      <c r="O1702" s="518">
        <v>9.1999999999999998E-2</v>
      </c>
      <c r="P1702" s="518">
        <v>0.10249999999999999</v>
      </c>
      <c r="Q1702" s="78">
        <v>0.44</v>
      </c>
      <c r="R1702" s="78">
        <v>0.31740000000000002</v>
      </c>
      <c r="S1702" s="69">
        <v>0</v>
      </c>
      <c r="T1702" s="69">
        <v>0</v>
      </c>
      <c r="U1702" s="518">
        <v>0.7</v>
      </c>
      <c r="V1702" s="76">
        <v>0</v>
      </c>
      <c r="W1702" s="76">
        <v>0</v>
      </c>
      <c r="X1702" s="76"/>
      <c r="Y1702" s="516" t="s">
        <v>470</v>
      </c>
    </row>
    <row r="1703" spans="1:25" x14ac:dyDescent="0.25">
      <c r="A1703" s="75" t="str">
        <f t="shared" si="59"/>
        <v>Pago_de_Hipoteca PFAE No_Premier Normal Pago_Bajo_Puntual 19</v>
      </c>
      <c r="B1703" s="75" t="str">
        <f t="shared" si="58"/>
        <v>Pago_de_Hipoteca PFAE No_Premier Normal Pago_Bajo_Puntual 19 0.103</v>
      </c>
      <c r="C1703" s="75" t="s">
        <v>173</v>
      </c>
      <c r="D1703" s="75" t="s">
        <v>168</v>
      </c>
      <c r="E1703" s="75" t="s">
        <v>179</v>
      </c>
      <c r="F1703" s="75" t="s">
        <v>180</v>
      </c>
      <c r="G1703" s="75"/>
      <c r="H1703" s="75"/>
      <c r="I1703" s="75" t="s">
        <v>170</v>
      </c>
      <c r="J1703" s="76">
        <v>19</v>
      </c>
      <c r="K1703" s="516" t="s">
        <v>386</v>
      </c>
      <c r="L1703" s="517">
        <v>9.17</v>
      </c>
      <c r="M1703" s="517">
        <v>9.83</v>
      </c>
      <c r="N1703" s="518">
        <v>0.10299999999999999</v>
      </c>
      <c r="O1703" s="518">
        <v>0.1</v>
      </c>
      <c r="P1703" s="518">
        <v>0.112</v>
      </c>
      <c r="Q1703" s="78">
        <v>0.44</v>
      </c>
      <c r="R1703" s="78">
        <v>0.31740000000000002</v>
      </c>
      <c r="S1703" s="69">
        <v>0</v>
      </c>
      <c r="T1703" s="69">
        <v>0</v>
      </c>
      <c r="U1703" s="518">
        <v>0.7</v>
      </c>
      <c r="V1703" s="76">
        <v>0</v>
      </c>
      <c r="W1703" s="76">
        <v>0</v>
      </c>
      <c r="X1703" s="76"/>
      <c r="Y1703" s="516" t="s">
        <v>470</v>
      </c>
    </row>
    <row r="1704" spans="1:25" x14ac:dyDescent="0.25">
      <c r="A1704" s="75" t="str">
        <f t="shared" si="59"/>
        <v>Pago_de_Hipoteca PFAE No_Premier Normal Pago_Bajo_Puntual 18</v>
      </c>
      <c r="B1704" s="75" t="str">
        <f t="shared" si="58"/>
        <v>Pago_de_Hipoteca PFAE No_Premier Normal Pago_Bajo_Puntual 18 0.0965</v>
      </c>
      <c r="C1704" s="75" t="s">
        <v>173</v>
      </c>
      <c r="D1704" s="75" t="s">
        <v>168</v>
      </c>
      <c r="E1704" s="75" t="s">
        <v>179</v>
      </c>
      <c r="F1704" s="75" t="s">
        <v>180</v>
      </c>
      <c r="G1704" s="75"/>
      <c r="H1704" s="75"/>
      <c r="I1704" s="75" t="s">
        <v>170</v>
      </c>
      <c r="J1704" s="76">
        <v>18</v>
      </c>
      <c r="K1704" s="516" t="s">
        <v>385</v>
      </c>
      <c r="L1704" s="517">
        <v>8.9</v>
      </c>
      <c r="M1704" s="517">
        <v>9.56</v>
      </c>
      <c r="N1704" s="518">
        <v>9.6500000000000002E-2</v>
      </c>
      <c r="O1704" s="518">
        <v>9.1999999999999998E-2</v>
      </c>
      <c r="P1704" s="518">
        <v>0.10249999999999999</v>
      </c>
      <c r="Q1704" s="78">
        <v>0.44</v>
      </c>
      <c r="R1704" s="78">
        <v>0.31740000000000002</v>
      </c>
      <c r="S1704" s="69">
        <v>0</v>
      </c>
      <c r="T1704" s="69">
        <v>0</v>
      </c>
      <c r="U1704" s="518">
        <v>0.7</v>
      </c>
      <c r="V1704" s="76">
        <v>0</v>
      </c>
      <c r="W1704" s="76">
        <v>0</v>
      </c>
      <c r="X1704" s="76"/>
      <c r="Y1704" s="516" t="s">
        <v>470</v>
      </c>
    </row>
    <row r="1705" spans="1:25" x14ac:dyDescent="0.25">
      <c r="A1705" s="75" t="str">
        <f t="shared" si="59"/>
        <v>Pago_de_Hipoteca PFAE No_Premier Normal Pago_Bajo_Puntual 18</v>
      </c>
      <c r="B1705" s="75" t="str">
        <f t="shared" si="58"/>
        <v>Pago_de_Hipoteca PFAE No_Premier Normal Pago_Bajo_Puntual 18 0.103</v>
      </c>
      <c r="C1705" s="75" t="s">
        <v>173</v>
      </c>
      <c r="D1705" s="75" t="s">
        <v>168</v>
      </c>
      <c r="E1705" s="75" t="s">
        <v>179</v>
      </c>
      <c r="F1705" s="75" t="s">
        <v>180</v>
      </c>
      <c r="G1705" s="75"/>
      <c r="H1705" s="75"/>
      <c r="I1705" s="75" t="s">
        <v>170</v>
      </c>
      <c r="J1705" s="76">
        <v>18</v>
      </c>
      <c r="K1705" s="516" t="s">
        <v>386</v>
      </c>
      <c r="L1705" s="517">
        <v>9.36</v>
      </c>
      <c r="M1705" s="517">
        <v>10.02</v>
      </c>
      <c r="N1705" s="518">
        <v>0.10299999999999999</v>
      </c>
      <c r="O1705" s="518">
        <v>0.1</v>
      </c>
      <c r="P1705" s="518">
        <v>0.112</v>
      </c>
      <c r="Q1705" s="78">
        <v>0.44</v>
      </c>
      <c r="R1705" s="78">
        <v>0.31740000000000002</v>
      </c>
      <c r="S1705" s="69">
        <v>0</v>
      </c>
      <c r="T1705" s="69">
        <v>0</v>
      </c>
      <c r="U1705" s="518">
        <v>0.7</v>
      </c>
      <c r="V1705" s="76">
        <v>0</v>
      </c>
      <c r="W1705" s="76">
        <v>0</v>
      </c>
      <c r="X1705" s="76"/>
      <c r="Y1705" s="516" t="s">
        <v>470</v>
      </c>
    </row>
    <row r="1706" spans="1:25" x14ac:dyDescent="0.25">
      <c r="A1706" s="75" t="str">
        <f t="shared" si="59"/>
        <v>Pago_de_Hipoteca PFAE No_Premier Normal Pago_Bajo_Puntual 17</v>
      </c>
      <c r="B1706" s="75" t="str">
        <f t="shared" si="58"/>
        <v>Pago_de_Hipoteca PFAE No_Premier Normal Pago_Bajo_Puntual 17 0.0965</v>
      </c>
      <c r="C1706" s="75" t="s">
        <v>173</v>
      </c>
      <c r="D1706" s="75" t="s">
        <v>168</v>
      </c>
      <c r="E1706" s="75" t="s">
        <v>179</v>
      </c>
      <c r="F1706" s="75" t="s">
        <v>180</v>
      </c>
      <c r="G1706" s="75"/>
      <c r="H1706" s="75"/>
      <c r="I1706" s="75" t="s">
        <v>170</v>
      </c>
      <c r="J1706" s="76">
        <v>17</v>
      </c>
      <c r="K1706" s="516" t="s">
        <v>385</v>
      </c>
      <c r="L1706" s="517">
        <v>9.1300000000000008</v>
      </c>
      <c r="M1706" s="517">
        <v>9.7899999999999991</v>
      </c>
      <c r="N1706" s="518">
        <v>9.6500000000000002E-2</v>
      </c>
      <c r="O1706" s="518">
        <v>9.1999999999999998E-2</v>
      </c>
      <c r="P1706" s="518">
        <v>0.10249999999999999</v>
      </c>
      <c r="Q1706" s="78">
        <v>0.44</v>
      </c>
      <c r="R1706" s="78">
        <v>0.31740000000000002</v>
      </c>
      <c r="S1706" s="69">
        <v>0</v>
      </c>
      <c r="T1706" s="69">
        <v>0</v>
      </c>
      <c r="U1706" s="518">
        <v>0.7</v>
      </c>
      <c r="V1706" s="76">
        <v>0</v>
      </c>
      <c r="W1706" s="76">
        <v>0</v>
      </c>
      <c r="X1706" s="76"/>
      <c r="Y1706" s="516" t="s">
        <v>470</v>
      </c>
    </row>
    <row r="1707" spans="1:25" x14ac:dyDescent="0.25">
      <c r="A1707" s="75" t="str">
        <f t="shared" si="59"/>
        <v>Pago_de_Hipoteca PFAE No_Premier Normal Pago_Bajo_Puntual 17</v>
      </c>
      <c r="B1707" s="75" t="str">
        <f t="shared" si="58"/>
        <v>Pago_de_Hipoteca PFAE No_Premier Normal Pago_Bajo_Puntual 17 0.103</v>
      </c>
      <c r="C1707" s="75" t="s">
        <v>173</v>
      </c>
      <c r="D1707" s="75" t="s">
        <v>168</v>
      </c>
      <c r="E1707" s="75" t="s">
        <v>179</v>
      </c>
      <c r="F1707" s="75" t="s">
        <v>180</v>
      </c>
      <c r="G1707" s="75"/>
      <c r="H1707" s="75"/>
      <c r="I1707" s="75" t="s">
        <v>170</v>
      </c>
      <c r="J1707" s="76">
        <v>17</v>
      </c>
      <c r="K1707" s="516" t="s">
        <v>386</v>
      </c>
      <c r="L1707" s="517">
        <v>9.58</v>
      </c>
      <c r="M1707" s="517">
        <v>10.24</v>
      </c>
      <c r="N1707" s="518">
        <v>0.10299999999999999</v>
      </c>
      <c r="O1707" s="518">
        <v>0.1</v>
      </c>
      <c r="P1707" s="518">
        <v>0.112</v>
      </c>
      <c r="Q1707" s="78">
        <v>0.44</v>
      </c>
      <c r="R1707" s="78">
        <v>0.31740000000000002</v>
      </c>
      <c r="S1707" s="69">
        <v>0</v>
      </c>
      <c r="T1707" s="69">
        <v>0</v>
      </c>
      <c r="U1707" s="518">
        <v>0.7</v>
      </c>
      <c r="V1707" s="76">
        <v>0</v>
      </c>
      <c r="W1707" s="76">
        <v>0</v>
      </c>
      <c r="X1707" s="76"/>
      <c r="Y1707" s="516" t="s">
        <v>470</v>
      </c>
    </row>
    <row r="1708" spans="1:25" x14ac:dyDescent="0.25">
      <c r="A1708" s="75" t="str">
        <f t="shared" si="59"/>
        <v>Pago_de_Hipoteca PFAE No_Premier Normal Pago_Bajo_Puntual 16</v>
      </c>
      <c r="B1708" s="75" t="str">
        <f t="shared" si="58"/>
        <v>Pago_de_Hipoteca PFAE No_Premier Normal Pago_Bajo_Puntual 16 0.0965</v>
      </c>
      <c r="C1708" s="75" t="s">
        <v>173</v>
      </c>
      <c r="D1708" s="75" t="s">
        <v>168</v>
      </c>
      <c r="E1708" s="75" t="s">
        <v>179</v>
      </c>
      <c r="F1708" s="75" t="s">
        <v>180</v>
      </c>
      <c r="G1708" s="75"/>
      <c r="H1708" s="75"/>
      <c r="I1708" s="75" t="s">
        <v>170</v>
      </c>
      <c r="J1708" s="76">
        <v>16</v>
      </c>
      <c r="K1708" s="516" t="s">
        <v>385</v>
      </c>
      <c r="L1708" s="517">
        <v>9.39</v>
      </c>
      <c r="M1708" s="517">
        <v>10.050000000000001</v>
      </c>
      <c r="N1708" s="518">
        <v>9.6500000000000002E-2</v>
      </c>
      <c r="O1708" s="518">
        <v>9.1999999999999998E-2</v>
      </c>
      <c r="P1708" s="518">
        <v>0.10249999999999999</v>
      </c>
      <c r="Q1708" s="78">
        <v>0.44</v>
      </c>
      <c r="R1708" s="78">
        <v>0.31740000000000002</v>
      </c>
      <c r="S1708" s="69">
        <v>0</v>
      </c>
      <c r="T1708" s="69">
        <v>0</v>
      </c>
      <c r="U1708" s="518">
        <v>0.7</v>
      </c>
      <c r="V1708" s="76">
        <v>0</v>
      </c>
      <c r="W1708" s="76">
        <v>0</v>
      </c>
      <c r="X1708" s="76"/>
      <c r="Y1708" s="516" t="s">
        <v>470</v>
      </c>
    </row>
    <row r="1709" spans="1:25" x14ac:dyDescent="0.25">
      <c r="A1709" s="75" t="str">
        <f t="shared" si="59"/>
        <v>Pago_de_Hipoteca PFAE No_Premier Normal Pago_Bajo_Puntual 16</v>
      </c>
      <c r="B1709" s="75" t="str">
        <f t="shared" si="58"/>
        <v>Pago_de_Hipoteca PFAE No_Premier Normal Pago_Bajo_Puntual 16 0.103</v>
      </c>
      <c r="C1709" s="75" t="s">
        <v>173</v>
      </c>
      <c r="D1709" s="75" t="s">
        <v>168</v>
      </c>
      <c r="E1709" s="75" t="s">
        <v>179</v>
      </c>
      <c r="F1709" s="75" t="s">
        <v>180</v>
      </c>
      <c r="G1709" s="75"/>
      <c r="H1709" s="75"/>
      <c r="I1709" s="75" t="s">
        <v>170</v>
      </c>
      <c r="J1709" s="76">
        <v>16</v>
      </c>
      <c r="K1709" s="516" t="s">
        <v>386</v>
      </c>
      <c r="L1709" s="517">
        <v>9.83</v>
      </c>
      <c r="M1709" s="517">
        <v>10.49</v>
      </c>
      <c r="N1709" s="518">
        <v>0.10299999999999999</v>
      </c>
      <c r="O1709" s="518">
        <v>0.1</v>
      </c>
      <c r="P1709" s="518">
        <v>0.112</v>
      </c>
      <c r="Q1709" s="78">
        <v>0.44</v>
      </c>
      <c r="R1709" s="78">
        <v>0.31740000000000002</v>
      </c>
      <c r="S1709" s="69">
        <v>0</v>
      </c>
      <c r="T1709" s="69">
        <v>0</v>
      </c>
      <c r="U1709" s="518">
        <v>0.7</v>
      </c>
      <c r="V1709" s="76">
        <v>0</v>
      </c>
      <c r="W1709" s="76">
        <v>0</v>
      </c>
      <c r="X1709" s="76"/>
      <c r="Y1709" s="516" t="s">
        <v>470</v>
      </c>
    </row>
    <row r="1710" spans="1:25" x14ac:dyDescent="0.25">
      <c r="A1710" s="75" t="str">
        <f t="shared" si="59"/>
        <v>Pago_de_Hipoteca PFAE No_Premier Normal Pago_Bajo_Puntual 15</v>
      </c>
      <c r="B1710" s="75" t="str">
        <f t="shared" si="58"/>
        <v>Pago_de_Hipoteca PFAE No_Premier Normal Pago_Bajo_Puntual 15 0.0965</v>
      </c>
      <c r="C1710" s="75" t="s">
        <v>173</v>
      </c>
      <c r="D1710" s="75" t="s">
        <v>168</v>
      </c>
      <c r="E1710" s="75" t="s">
        <v>179</v>
      </c>
      <c r="F1710" s="75" t="s">
        <v>180</v>
      </c>
      <c r="G1710" s="75"/>
      <c r="H1710" s="75"/>
      <c r="I1710" s="75" t="s">
        <v>170</v>
      </c>
      <c r="J1710" s="76">
        <v>15</v>
      </c>
      <c r="K1710" s="516" t="s">
        <v>385</v>
      </c>
      <c r="L1710" s="517">
        <v>9.6999999999999993</v>
      </c>
      <c r="M1710" s="517">
        <v>10.36</v>
      </c>
      <c r="N1710" s="518">
        <v>9.6500000000000002E-2</v>
      </c>
      <c r="O1710" s="518">
        <v>9.1999999999999998E-2</v>
      </c>
      <c r="P1710" s="518">
        <v>0.10249999999999999</v>
      </c>
      <c r="Q1710" s="78">
        <v>0.44</v>
      </c>
      <c r="R1710" s="78">
        <v>0.31740000000000002</v>
      </c>
      <c r="S1710" s="69">
        <v>0</v>
      </c>
      <c r="T1710" s="69">
        <v>0</v>
      </c>
      <c r="U1710" s="518">
        <v>0.7</v>
      </c>
      <c r="V1710" s="76">
        <v>0</v>
      </c>
      <c r="W1710" s="76">
        <v>0</v>
      </c>
      <c r="X1710" s="76"/>
      <c r="Y1710" s="516" t="s">
        <v>470</v>
      </c>
    </row>
    <row r="1711" spans="1:25" x14ac:dyDescent="0.25">
      <c r="A1711" s="75" t="str">
        <f t="shared" si="59"/>
        <v>Pago_de_Hipoteca PFAE No_Premier Normal Pago_Bajo_Puntual 15</v>
      </c>
      <c r="B1711" s="75" t="str">
        <f t="shared" si="58"/>
        <v>Pago_de_Hipoteca PFAE No_Premier Normal Pago_Bajo_Puntual 15 0.103</v>
      </c>
      <c r="C1711" s="75" t="s">
        <v>173</v>
      </c>
      <c r="D1711" s="75" t="s">
        <v>168</v>
      </c>
      <c r="E1711" s="75" t="s">
        <v>179</v>
      </c>
      <c r="F1711" s="75" t="s">
        <v>180</v>
      </c>
      <c r="G1711" s="75"/>
      <c r="H1711" s="75"/>
      <c r="I1711" s="75" t="s">
        <v>170</v>
      </c>
      <c r="J1711" s="76">
        <v>15</v>
      </c>
      <c r="K1711" s="516" t="s">
        <v>386</v>
      </c>
      <c r="L1711" s="517">
        <v>10.119999999999999</v>
      </c>
      <c r="M1711" s="517">
        <v>10.78</v>
      </c>
      <c r="N1711" s="518">
        <v>0.10299999999999999</v>
      </c>
      <c r="O1711" s="518">
        <v>0.1</v>
      </c>
      <c r="P1711" s="518">
        <v>0.112</v>
      </c>
      <c r="Q1711" s="78">
        <v>0.44</v>
      </c>
      <c r="R1711" s="78">
        <v>0.31740000000000002</v>
      </c>
      <c r="S1711" s="69">
        <v>0</v>
      </c>
      <c r="T1711" s="69">
        <v>0</v>
      </c>
      <c r="U1711" s="518">
        <v>0.7</v>
      </c>
      <c r="V1711" s="76">
        <v>0</v>
      </c>
      <c r="W1711" s="76">
        <v>0</v>
      </c>
      <c r="X1711" s="76"/>
      <c r="Y1711" s="516" t="s">
        <v>470</v>
      </c>
    </row>
    <row r="1712" spans="1:25" x14ac:dyDescent="0.25">
      <c r="A1712" s="75" t="str">
        <f t="shared" si="59"/>
        <v>Pago_de_Hipoteca PFAE No_Premier Normal Pago_Bajo_Puntual 14</v>
      </c>
      <c r="B1712" s="75" t="str">
        <f t="shared" si="58"/>
        <v>Pago_de_Hipoteca PFAE No_Premier Normal Pago_Bajo_Puntual 14 0.0965</v>
      </c>
      <c r="C1712" s="75" t="s">
        <v>173</v>
      </c>
      <c r="D1712" s="75" t="s">
        <v>168</v>
      </c>
      <c r="E1712" s="75" t="s">
        <v>179</v>
      </c>
      <c r="F1712" s="75" t="s">
        <v>180</v>
      </c>
      <c r="G1712" s="75"/>
      <c r="H1712" s="75"/>
      <c r="I1712" s="75" t="s">
        <v>170</v>
      </c>
      <c r="J1712" s="76">
        <v>14</v>
      </c>
      <c r="K1712" s="516" t="s">
        <v>385</v>
      </c>
      <c r="L1712" s="517">
        <v>10.050000000000001</v>
      </c>
      <c r="M1712" s="517">
        <v>10.71</v>
      </c>
      <c r="N1712" s="518">
        <v>9.6500000000000002E-2</v>
      </c>
      <c r="O1712" s="518">
        <v>9.1999999999999998E-2</v>
      </c>
      <c r="P1712" s="518">
        <v>0.10249999999999999</v>
      </c>
      <c r="Q1712" s="78">
        <v>0.44</v>
      </c>
      <c r="R1712" s="78">
        <v>0.31740000000000002</v>
      </c>
      <c r="S1712" s="69">
        <v>0</v>
      </c>
      <c r="T1712" s="69">
        <v>0</v>
      </c>
      <c r="U1712" s="518">
        <v>0.7</v>
      </c>
      <c r="V1712" s="76">
        <v>0</v>
      </c>
      <c r="W1712" s="76">
        <v>0</v>
      </c>
      <c r="X1712" s="76"/>
      <c r="Y1712" s="516" t="s">
        <v>470</v>
      </c>
    </row>
    <row r="1713" spans="1:25" x14ac:dyDescent="0.25">
      <c r="A1713" s="75" t="str">
        <f t="shared" si="59"/>
        <v>Pago_de_Hipoteca PFAE No_Premier Normal Pago_Bajo_Puntual 14</v>
      </c>
      <c r="B1713" s="75" t="str">
        <f t="shared" si="58"/>
        <v>Pago_de_Hipoteca PFAE No_Premier Normal Pago_Bajo_Puntual 14 0.103</v>
      </c>
      <c r="C1713" s="75" t="s">
        <v>173</v>
      </c>
      <c r="D1713" s="75" t="s">
        <v>168</v>
      </c>
      <c r="E1713" s="75" t="s">
        <v>179</v>
      </c>
      <c r="F1713" s="75" t="s">
        <v>180</v>
      </c>
      <c r="G1713" s="75"/>
      <c r="H1713" s="75"/>
      <c r="I1713" s="75" t="s">
        <v>170</v>
      </c>
      <c r="J1713" s="76">
        <v>14</v>
      </c>
      <c r="K1713" s="516" t="s">
        <v>386</v>
      </c>
      <c r="L1713" s="517">
        <v>10.46</v>
      </c>
      <c r="M1713" s="517">
        <v>11.12</v>
      </c>
      <c r="N1713" s="518">
        <v>0.10299999999999999</v>
      </c>
      <c r="O1713" s="518">
        <v>0.1</v>
      </c>
      <c r="P1713" s="518">
        <v>0.112</v>
      </c>
      <c r="Q1713" s="78">
        <v>0.44</v>
      </c>
      <c r="R1713" s="78">
        <v>0.31740000000000002</v>
      </c>
      <c r="S1713" s="69">
        <v>0</v>
      </c>
      <c r="T1713" s="69">
        <v>0</v>
      </c>
      <c r="U1713" s="518">
        <v>0.7</v>
      </c>
      <c r="V1713" s="76">
        <v>0</v>
      </c>
      <c r="W1713" s="76">
        <v>0</v>
      </c>
      <c r="X1713" s="76"/>
      <c r="Y1713" s="516" t="s">
        <v>470</v>
      </c>
    </row>
    <row r="1714" spans="1:25" x14ac:dyDescent="0.25">
      <c r="A1714" s="75" t="str">
        <f t="shared" si="59"/>
        <v>Pago_de_Hipoteca PFAE No_Premier Normal Pago_Bajo_Puntual 13</v>
      </c>
      <c r="B1714" s="75" t="str">
        <f t="shared" si="58"/>
        <v>Pago_de_Hipoteca PFAE No_Premier Normal Pago_Bajo_Puntual 13 0.0965</v>
      </c>
      <c r="C1714" s="75" t="s">
        <v>173</v>
      </c>
      <c r="D1714" s="75" t="s">
        <v>168</v>
      </c>
      <c r="E1714" s="75" t="s">
        <v>179</v>
      </c>
      <c r="F1714" s="75" t="s">
        <v>180</v>
      </c>
      <c r="G1714" s="75"/>
      <c r="H1714" s="75"/>
      <c r="I1714" s="75" t="s">
        <v>170</v>
      </c>
      <c r="J1714" s="76">
        <v>13</v>
      </c>
      <c r="K1714" s="516" t="s">
        <v>385</v>
      </c>
      <c r="L1714" s="517">
        <v>10.46</v>
      </c>
      <c r="M1714" s="517">
        <v>11.12</v>
      </c>
      <c r="N1714" s="518">
        <v>9.6500000000000002E-2</v>
      </c>
      <c r="O1714" s="518">
        <v>9.1999999999999998E-2</v>
      </c>
      <c r="P1714" s="518">
        <v>0.10249999999999999</v>
      </c>
      <c r="Q1714" s="78">
        <v>0.44</v>
      </c>
      <c r="R1714" s="78">
        <v>0.31740000000000002</v>
      </c>
      <c r="S1714" s="69">
        <v>0</v>
      </c>
      <c r="T1714" s="69">
        <v>0</v>
      </c>
      <c r="U1714" s="518">
        <v>0.7</v>
      </c>
      <c r="V1714" s="76">
        <v>0</v>
      </c>
      <c r="W1714" s="76">
        <v>0</v>
      </c>
      <c r="X1714" s="76"/>
      <c r="Y1714" s="516" t="s">
        <v>470</v>
      </c>
    </row>
    <row r="1715" spans="1:25" x14ac:dyDescent="0.25">
      <c r="A1715" s="75" t="str">
        <f t="shared" si="59"/>
        <v>Pago_de_Hipoteca PFAE No_Premier Normal Pago_Bajo_Puntual 13</v>
      </c>
      <c r="B1715" s="75" t="str">
        <f t="shared" si="58"/>
        <v>Pago_de_Hipoteca PFAE No_Premier Normal Pago_Bajo_Puntual 13 0.103</v>
      </c>
      <c r="C1715" s="75" t="s">
        <v>173</v>
      </c>
      <c r="D1715" s="75" t="s">
        <v>168</v>
      </c>
      <c r="E1715" s="75" t="s">
        <v>179</v>
      </c>
      <c r="F1715" s="75" t="s">
        <v>180</v>
      </c>
      <c r="G1715" s="75"/>
      <c r="H1715" s="75"/>
      <c r="I1715" s="75" t="s">
        <v>170</v>
      </c>
      <c r="J1715" s="76">
        <v>13</v>
      </c>
      <c r="K1715" s="516" t="s">
        <v>386</v>
      </c>
      <c r="L1715" s="517">
        <v>10.86</v>
      </c>
      <c r="M1715" s="517">
        <v>11.52</v>
      </c>
      <c r="N1715" s="518">
        <v>0.10299999999999999</v>
      </c>
      <c r="O1715" s="518">
        <v>0.1</v>
      </c>
      <c r="P1715" s="518">
        <v>0.112</v>
      </c>
      <c r="Q1715" s="78">
        <v>0.44</v>
      </c>
      <c r="R1715" s="78">
        <v>0.31740000000000002</v>
      </c>
      <c r="S1715" s="69">
        <v>0</v>
      </c>
      <c r="T1715" s="69">
        <v>0</v>
      </c>
      <c r="U1715" s="518">
        <v>0.7</v>
      </c>
      <c r="V1715" s="76">
        <v>0</v>
      </c>
      <c r="W1715" s="76">
        <v>0</v>
      </c>
      <c r="X1715" s="76"/>
      <c r="Y1715" s="516" t="s">
        <v>470</v>
      </c>
    </row>
    <row r="1716" spans="1:25" x14ac:dyDescent="0.25">
      <c r="A1716" s="75" t="str">
        <f t="shared" si="59"/>
        <v>Pago_de_Hipoteca PFAE No_Premier Normal Pago_Bajo_Puntual 12</v>
      </c>
      <c r="B1716" s="75" t="str">
        <f t="shared" si="58"/>
        <v>Pago_de_Hipoteca PFAE No_Premier Normal Pago_Bajo_Puntual 12 0.0965</v>
      </c>
      <c r="C1716" s="75" t="s">
        <v>173</v>
      </c>
      <c r="D1716" s="75" t="s">
        <v>168</v>
      </c>
      <c r="E1716" s="75" t="s">
        <v>179</v>
      </c>
      <c r="F1716" s="75" t="s">
        <v>180</v>
      </c>
      <c r="G1716" s="75"/>
      <c r="H1716" s="75"/>
      <c r="I1716" s="75" t="s">
        <v>170</v>
      </c>
      <c r="J1716" s="76">
        <v>12</v>
      </c>
      <c r="K1716" s="516" t="s">
        <v>385</v>
      </c>
      <c r="L1716" s="517">
        <v>10.95</v>
      </c>
      <c r="M1716" s="517">
        <v>11.61</v>
      </c>
      <c r="N1716" s="518">
        <v>9.6500000000000002E-2</v>
      </c>
      <c r="O1716" s="518">
        <v>9.1999999999999998E-2</v>
      </c>
      <c r="P1716" s="518">
        <v>0.10249999999999999</v>
      </c>
      <c r="Q1716" s="78">
        <v>0.44</v>
      </c>
      <c r="R1716" s="78">
        <v>0.31740000000000002</v>
      </c>
      <c r="S1716" s="69">
        <v>0</v>
      </c>
      <c r="T1716" s="69">
        <v>0</v>
      </c>
      <c r="U1716" s="518">
        <v>0.7</v>
      </c>
      <c r="V1716" s="76">
        <v>0</v>
      </c>
      <c r="W1716" s="76">
        <v>0</v>
      </c>
      <c r="X1716" s="76"/>
      <c r="Y1716" s="516" t="s">
        <v>470</v>
      </c>
    </row>
    <row r="1717" spans="1:25" x14ac:dyDescent="0.25">
      <c r="A1717" s="75" t="str">
        <f t="shared" si="59"/>
        <v>Pago_de_Hipoteca PFAE No_Premier Normal Pago_Bajo_Puntual 12</v>
      </c>
      <c r="B1717" s="75" t="str">
        <f t="shared" si="58"/>
        <v>Pago_de_Hipoteca PFAE No_Premier Normal Pago_Bajo_Puntual 12 0.103</v>
      </c>
      <c r="C1717" s="75" t="s">
        <v>173</v>
      </c>
      <c r="D1717" s="75" t="s">
        <v>168</v>
      </c>
      <c r="E1717" s="75" t="s">
        <v>179</v>
      </c>
      <c r="F1717" s="75" t="s">
        <v>180</v>
      </c>
      <c r="G1717" s="75"/>
      <c r="H1717" s="75"/>
      <c r="I1717" s="75" t="s">
        <v>170</v>
      </c>
      <c r="J1717" s="76">
        <v>12</v>
      </c>
      <c r="K1717" s="516" t="s">
        <v>386</v>
      </c>
      <c r="L1717" s="517">
        <v>11.34</v>
      </c>
      <c r="M1717" s="517">
        <v>12</v>
      </c>
      <c r="N1717" s="518">
        <v>0.10299999999999999</v>
      </c>
      <c r="O1717" s="518">
        <v>0.1</v>
      </c>
      <c r="P1717" s="518">
        <v>0.112</v>
      </c>
      <c r="Q1717" s="78">
        <v>0.44</v>
      </c>
      <c r="R1717" s="78">
        <v>0.31740000000000002</v>
      </c>
      <c r="S1717" s="69">
        <v>0</v>
      </c>
      <c r="T1717" s="69">
        <v>0</v>
      </c>
      <c r="U1717" s="518">
        <v>0.7</v>
      </c>
      <c r="V1717" s="76">
        <v>0</v>
      </c>
      <c r="W1717" s="76">
        <v>0</v>
      </c>
      <c r="X1717" s="76"/>
      <c r="Y1717" s="516" t="s">
        <v>470</v>
      </c>
    </row>
    <row r="1718" spans="1:25" x14ac:dyDescent="0.25">
      <c r="A1718" s="75" t="str">
        <f t="shared" si="59"/>
        <v>Pago_de_Hipoteca PFAE No_Premier Normal Pago_Bajo_Puntual 11</v>
      </c>
      <c r="B1718" s="75" t="str">
        <f t="shared" si="58"/>
        <v>Pago_de_Hipoteca PFAE No_Premier Normal Pago_Bajo_Puntual 11 0.0965</v>
      </c>
      <c r="C1718" s="75" t="s">
        <v>173</v>
      </c>
      <c r="D1718" s="75" t="s">
        <v>168</v>
      </c>
      <c r="E1718" s="75" t="s">
        <v>179</v>
      </c>
      <c r="F1718" s="75" t="s">
        <v>180</v>
      </c>
      <c r="G1718" s="75"/>
      <c r="H1718" s="75"/>
      <c r="I1718" s="75" t="s">
        <v>170</v>
      </c>
      <c r="J1718" s="76">
        <v>11</v>
      </c>
      <c r="K1718" s="516" t="s">
        <v>385</v>
      </c>
      <c r="L1718" s="517">
        <v>11.54</v>
      </c>
      <c r="M1718" s="517">
        <v>12.2</v>
      </c>
      <c r="N1718" s="518">
        <v>9.6500000000000002E-2</v>
      </c>
      <c r="O1718" s="518">
        <v>9.1999999999999998E-2</v>
      </c>
      <c r="P1718" s="518">
        <v>0.10249999999999999</v>
      </c>
      <c r="Q1718" s="78">
        <v>0.44</v>
      </c>
      <c r="R1718" s="78">
        <v>0.31740000000000002</v>
      </c>
      <c r="S1718" s="69">
        <v>0</v>
      </c>
      <c r="T1718" s="69">
        <v>0</v>
      </c>
      <c r="U1718" s="518">
        <v>0.7</v>
      </c>
      <c r="V1718" s="76">
        <v>0</v>
      </c>
      <c r="W1718" s="76">
        <v>0</v>
      </c>
      <c r="X1718" s="76"/>
      <c r="Y1718" s="516" t="s">
        <v>470</v>
      </c>
    </row>
    <row r="1719" spans="1:25" x14ac:dyDescent="0.25">
      <c r="A1719" s="75" t="str">
        <f t="shared" si="59"/>
        <v>Pago_de_Hipoteca PFAE No_Premier Normal Pago_Bajo_Puntual 11</v>
      </c>
      <c r="B1719" s="75" t="str">
        <f t="shared" si="58"/>
        <v>Pago_de_Hipoteca PFAE No_Premier Normal Pago_Bajo_Puntual 11 0.103</v>
      </c>
      <c r="C1719" s="75" t="s">
        <v>173</v>
      </c>
      <c r="D1719" s="75" t="s">
        <v>168</v>
      </c>
      <c r="E1719" s="75" t="s">
        <v>179</v>
      </c>
      <c r="F1719" s="75" t="s">
        <v>180</v>
      </c>
      <c r="G1719" s="75"/>
      <c r="H1719" s="75"/>
      <c r="I1719" s="75" t="s">
        <v>170</v>
      </c>
      <c r="J1719" s="76">
        <v>11</v>
      </c>
      <c r="K1719" s="516" t="s">
        <v>386</v>
      </c>
      <c r="L1719" s="517">
        <v>11.92</v>
      </c>
      <c r="M1719" s="517">
        <v>12.58</v>
      </c>
      <c r="N1719" s="518">
        <v>0.10299999999999999</v>
      </c>
      <c r="O1719" s="518">
        <v>0.1</v>
      </c>
      <c r="P1719" s="518">
        <v>0.112</v>
      </c>
      <c r="Q1719" s="78">
        <v>0.44</v>
      </c>
      <c r="R1719" s="78">
        <v>0.31740000000000002</v>
      </c>
      <c r="S1719" s="69">
        <v>0</v>
      </c>
      <c r="T1719" s="69">
        <v>0</v>
      </c>
      <c r="U1719" s="518">
        <v>0.7</v>
      </c>
      <c r="V1719" s="76">
        <v>0</v>
      </c>
      <c r="W1719" s="76">
        <v>0</v>
      </c>
      <c r="X1719" s="76"/>
      <c r="Y1719" s="516" t="s">
        <v>470</v>
      </c>
    </row>
    <row r="1720" spans="1:25" x14ac:dyDescent="0.25">
      <c r="A1720" s="75" t="str">
        <f t="shared" si="59"/>
        <v>Pago_de_Hipoteca PFAE No_Premier Normal Pago_Bajo_Puntual 10</v>
      </c>
      <c r="B1720" s="75" t="str">
        <f t="shared" si="58"/>
        <v>Pago_de_Hipoteca PFAE No_Premier Normal Pago_Bajo_Puntual 10 0.0965</v>
      </c>
      <c r="C1720" s="75" t="s">
        <v>173</v>
      </c>
      <c r="D1720" s="75" t="s">
        <v>168</v>
      </c>
      <c r="E1720" s="75" t="s">
        <v>179</v>
      </c>
      <c r="F1720" s="75" t="s">
        <v>180</v>
      </c>
      <c r="G1720" s="75"/>
      <c r="H1720" s="75"/>
      <c r="I1720" s="75" t="s">
        <v>170</v>
      </c>
      <c r="J1720" s="76">
        <v>10</v>
      </c>
      <c r="K1720" s="516" t="s">
        <v>385</v>
      </c>
      <c r="L1720" s="517">
        <v>12.25</v>
      </c>
      <c r="M1720" s="517">
        <v>12.91</v>
      </c>
      <c r="N1720" s="518">
        <v>9.6500000000000002E-2</v>
      </c>
      <c r="O1720" s="518">
        <v>9.1999999999999998E-2</v>
      </c>
      <c r="P1720" s="518">
        <v>0.10249999999999999</v>
      </c>
      <c r="Q1720" s="78">
        <v>0.44</v>
      </c>
      <c r="R1720" s="78">
        <v>0.31740000000000002</v>
      </c>
      <c r="S1720" s="69">
        <v>0</v>
      </c>
      <c r="T1720" s="69">
        <v>0</v>
      </c>
      <c r="U1720" s="518">
        <v>0.7</v>
      </c>
      <c r="V1720" s="76">
        <v>0</v>
      </c>
      <c r="W1720" s="76">
        <v>0</v>
      </c>
      <c r="X1720" s="76"/>
      <c r="Y1720" s="516" t="s">
        <v>470</v>
      </c>
    </row>
    <row r="1721" spans="1:25" x14ac:dyDescent="0.25">
      <c r="A1721" s="75" t="str">
        <f t="shared" si="59"/>
        <v>Pago_de_Hipoteca PFAE No_Premier Normal Pago_Bajo_Puntual 10</v>
      </c>
      <c r="B1721" s="75" t="str">
        <f t="shared" si="58"/>
        <v>Pago_de_Hipoteca PFAE No_Premier Normal Pago_Bajo_Puntual 10 0.103</v>
      </c>
      <c r="C1721" s="75" t="s">
        <v>173</v>
      </c>
      <c r="D1721" s="75" t="s">
        <v>168</v>
      </c>
      <c r="E1721" s="75" t="s">
        <v>179</v>
      </c>
      <c r="F1721" s="75" t="s">
        <v>180</v>
      </c>
      <c r="G1721" s="75"/>
      <c r="H1721" s="75"/>
      <c r="I1721" s="75" t="s">
        <v>170</v>
      </c>
      <c r="J1721" s="76">
        <v>10</v>
      </c>
      <c r="K1721" s="516" t="s">
        <v>386</v>
      </c>
      <c r="L1721" s="517">
        <v>12.62</v>
      </c>
      <c r="M1721" s="517">
        <v>13.28</v>
      </c>
      <c r="N1721" s="518">
        <v>0.10299999999999999</v>
      </c>
      <c r="O1721" s="518">
        <v>0.1</v>
      </c>
      <c r="P1721" s="518">
        <v>0.112</v>
      </c>
      <c r="Q1721" s="78">
        <v>0.44</v>
      </c>
      <c r="R1721" s="78">
        <v>0.31740000000000002</v>
      </c>
      <c r="S1721" s="69">
        <v>0</v>
      </c>
      <c r="T1721" s="69">
        <v>0</v>
      </c>
      <c r="U1721" s="518">
        <v>0.7</v>
      </c>
      <c r="V1721" s="76">
        <v>0</v>
      </c>
      <c r="W1721" s="76">
        <v>0</v>
      </c>
      <c r="X1721" s="76"/>
      <c r="Y1721" s="516" t="s">
        <v>470</v>
      </c>
    </row>
    <row r="1722" spans="1:25" x14ac:dyDescent="0.25">
      <c r="A1722" s="75" t="str">
        <f t="shared" si="59"/>
        <v>Pago_de_Hipoteca PFAE No_Premier Normal Pago_Bajo_Puntual 9</v>
      </c>
      <c r="B1722" s="75" t="str">
        <f t="shared" si="58"/>
        <v>Pago_de_Hipoteca PFAE No_Premier Normal Pago_Bajo_Puntual 9 0.0965</v>
      </c>
      <c r="C1722" s="75" t="s">
        <v>173</v>
      </c>
      <c r="D1722" s="75" t="s">
        <v>168</v>
      </c>
      <c r="E1722" s="75" t="s">
        <v>179</v>
      </c>
      <c r="F1722" s="75" t="s">
        <v>180</v>
      </c>
      <c r="G1722" s="75"/>
      <c r="H1722" s="75"/>
      <c r="I1722" s="75" t="s">
        <v>170</v>
      </c>
      <c r="J1722" s="76">
        <v>9</v>
      </c>
      <c r="K1722" s="516" t="s">
        <v>385</v>
      </c>
      <c r="L1722" s="517">
        <v>13.13</v>
      </c>
      <c r="M1722" s="517">
        <v>13.79</v>
      </c>
      <c r="N1722" s="518">
        <v>9.6500000000000002E-2</v>
      </c>
      <c r="O1722" s="518">
        <v>9.1999999999999998E-2</v>
      </c>
      <c r="P1722" s="518">
        <v>0.10249999999999999</v>
      </c>
      <c r="Q1722" s="78">
        <v>0.44</v>
      </c>
      <c r="R1722" s="78">
        <v>0.31740000000000002</v>
      </c>
      <c r="S1722" s="69">
        <v>0</v>
      </c>
      <c r="T1722" s="69">
        <v>0</v>
      </c>
      <c r="U1722" s="518">
        <v>0.7</v>
      </c>
      <c r="V1722" s="76">
        <v>0</v>
      </c>
      <c r="W1722" s="76">
        <v>0</v>
      </c>
      <c r="X1722" s="76"/>
      <c r="Y1722" s="516" t="s">
        <v>470</v>
      </c>
    </row>
    <row r="1723" spans="1:25" x14ac:dyDescent="0.25">
      <c r="A1723" s="75" t="str">
        <f t="shared" si="59"/>
        <v>Pago_de_Hipoteca PFAE No_Premier Normal Pago_Bajo_Puntual 9</v>
      </c>
      <c r="B1723" s="75" t="str">
        <f t="shared" si="58"/>
        <v>Pago_de_Hipoteca PFAE No_Premier Normal Pago_Bajo_Puntual 9 0.103</v>
      </c>
      <c r="C1723" s="75" t="s">
        <v>173</v>
      </c>
      <c r="D1723" s="75" t="s">
        <v>168</v>
      </c>
      <c r="E1723" s="75" t="s">
        <v>179</v>
      </c>
      <c r="F1723" s="75" t="s">
        <v>180</v>
      </c>
      <c r="G1723" s="75"/>
      <c r="H1723" s="75"/>
      <c r="I1723" s="75" t="s">
        <v>170</v>
      </c>
      <c r="J1723" s="76">
        <v>9</v>
      </c>
      <c r="K1723" s="516" t="s">
        <v>386</v>
      </c>
      <c r="L1723" s="517">
        <v>13.49</v>
      </c>
      <c r="M1723" s="517">
        <v>14.15</v>
      </c>
      <c r="N1723" s="518">
        <v>0.10299999999999999</v>
      </c>
      <c r="O1723" s="518">
        <v>0.1</v>
      </c>
      <c r="P1723" s="518">
        <v>0.112</v>
      </c>
      <c r="Q1723" s="78">
        <v>0.44</v>
      </c>
      <c r="R1723" s="78">
        <v>0.31740000000000002</v>
      </c>
      <c r="S1723" s="69">
        <v>0</v>
      </c>
      <c r="T1723" s="69">
        <v>0</v>
      </c>
      <c r="U1723" s="518">
        <v>0.7</v>
      </c>
      <c r="V1723" s="76">
        <v>0</v>
      </c>
      <c r="W1723" s="76">
        <v>0</v>
      </c>
      <c r="X1723" s="76"/>
      <c r="Y1723" s="516" t="s">
        <v>470</v>
      </c>
    </row>
    <row r="1724" spans="1:25" x14ac:dyDescent="0.25">
      <c r="A1724" s="75" t="str">
        <f t="shared" si="59"/>
        <v>Pago_de_Hipoteca PFAE No_Premier Normal Pago_Bajo_Puntual 8</v>
      </c>
      <c r="B1724" s="75" t="str">
        <f t="shared" si="58"/>
        <v>Pago_de_Hipoteca PFAE No_Premier Normal Pago_Bajo_Puntual 8 0.0965</v>
      </c>
      <c r="C1724" s="75" t="s">
        <v>173</v>
      </c>
      <c r="D1724" s="75" t="s">
        <v>168</v>
      </c>
      <c r="E1724" s="75" t="s">
        <v>179</v>
      </c>
      <c r="F1724" s="75" t="s">
        <v>180</v>
      </c>
      <c r="G1724" s="75"/>
      <c r="H1724" s="75"/>
      <c r="I1724" s="75" t="s">
        <v>170</v>
      </c>
      <c r="J1724" s="76">
        <v>8</v>
      </c>
      <c r="K1724" s="516" t="s">
        <v>385</v>
      </c>
      <c r="L1724" s="517">
        <v>14.25</v>
      </c>
      <c r="M1724" s="517">
        <v>14.91</v>
      </c>
      <c r="N1724" s="518">
        <v>9.6500000000000002E-2</v>
      </c>
      <c r="O1724" s="518">
        <v>9.1999999999999998E-2</v>
      </c>
      <c r="P1724" s="518">
        <v>0.10249999999999999</v>
      </c>
      <c r="Q1724" s="78">
        <v>0.44</v>
      </c>
      <c r="R1724" s="78">
        <v>0.31740000000000002</v>
      </c>
      <c r="S1724" s="69">
        <v>0</v>
      </c>
      <c r="T1724" s="69">
        <v>0</v>
      </c>
      <c r="U1724" s="518">
        <v>0.7</v>
      </c>
      <c r="V1724" s="76">
        <v>0</v>
      </c>
      <c r="W1724" s="76">
        <v>0</v>
      </c>
      <c r="X1724" s="76"/>
      <c r="Y1724" s="516" t="s">
        <v>470</v>
      </c>
    </row>
    <row r="1725" spans="1:25" x14ac:dyDescent="0.25">
      <c r="A1725" s="75" t="str">
        <f t="shared" si="59"/>
        <v>Pago_de_Hipoteca PFAE No_Premier Normal Pago_Bajo_Puntual 8</v>
      </c>
      <c r="B1725" s="75" t="str">
        <f t="shared" si="58"/>
        <v>Pago_de_Hipoteca PFAE No_Premier Normal Pago_Bajo_Puntual 8 0.103</v>
      </c>
      <c r="C1725" s="75" t="s">
        <v>173</v>
      </c>
      <c r="D1725" s="75" t="s">
        <v>168</v>
      </c>
      <c r="E1725" s="75" t="s">
        <v>179</v>
      </c>
      <c r="F1725" s="75" t="s">
        <v>180</v>
      </c>
      <c r="G1725" s="75"/>
      <c r="H1725" s="75"/>
      <c r="I1725" s="75" t="s">
        <v>170</v>
      </c>
      <c r="J1725" s="76">
        <v>8</v>
      </c>
      <c r="K1725" s="516" t="s">
        <v>386</v>
      </c>
      <c r="L1725" s="517">
        <v>14.59</v>
      </c>
      <c r="M1725" s="517">
        <v>15.25</v>
      </c>
      <c r="N1725" s="518">
        <v>0.10299999999999999</v>
      </c>
      <c r="O1725" s="518">
        <v>0.1</v>
      </c>
      <c r="P1725" s="518">
        <v>0.112</v>
      </c>
      <c r="Q1725" s="78">
        <v>0.44</v>
      </c>
      <c r="R1725" s="78">
        <v>0.31740000000000002</v>
      </c>
      <c r="S1725" s="69">
        <v>0</v>
      </c>
      <c r="T1725" s="69">
        <v>0</v>
      </c>
      <c r="U1725" s="518">
        <v>0.7</v>
      </c>
      <c r="V1725" s="76">
        <v>0</v>
      </c>
      <c r="W1725" s="76">
        <v>0</v>
      </c>
      <c r="X1725" s="76"/>
      <c r="Y1725" s="516" t="s">
        <v>470</v>
      </c>
    </row>
    <row r="1726" spans="1:25" x14ac:dyDescent="0.25">
      <c r="A1726" s="75" t="str">
        <f t="shared" si="59"/>
        <v>Pago_de_Hipoteca PFAE No_Premier Normal Pago_Bajo_Puntual 7</v>
      </c>
      <c r="B1726" s="75" t="str">
        <f t="shared" si="58"/>
        <v>Pago_de_Hipoteca PFAE No_Premier Normal Pago_Bajo_Puntual 7 0.0965</v>
      </c>
      <c r="C1726" s="75" t="s">
        <v>173</v>
      </c>
      <c r="D1726" s="75" t="s">
        <v>168</v>
      </c>
      <c r="E1726" s="75" t="s">
        <v>179</v>
      </c>
      <c r="F1726" s="75" t="s">
        <v>180</v>
      </c>
      <c r="G1726" s="75"/>
      <c r="H1726" s="75"/>
      <c r="I1726" s="75" t="s">
        <v>170</v>
      </c>
      <c r="J1726" s="76">
        <v>7</v>
      </c>
      <c r="K1726" s="516" t="s">
        <v>385</v>
      </c>
      <c r="L1726" s="517">
        <v>15.7</v>
      </c>
      <c r="M1726" s="517">
        <v>16.36</v>
      </c>
      <c r="N1726" s="518">
        <v>9.6500000000000002E-2</v>
      </c>
      <c r="O1726" s="518">
        <v>9.1999999999999998E-2</v>
      </c>
      <c r="P1726" s="518">
        <v>0.10249999999999999</v>
      </c>
      <c r="Q1726" s="78">
        <v>0.44</v>
      </c>
      <c r="R1726" s="78">
        <v>0.31740000000000002</v>
      </c>
      <c r="S1726" s="69">
        <v>0</v>
      </c>
      <c r="T1726" s="69">
        <v>0</v>
      </c>
      <c r="U1726" s="518">
        <v>0.7</v>
      </c>
      <c r="V1726" s="76">
        <v>0</v>
      </c>
      <c r="W1726" s="76">
        <v>0</v>
      </c>
      <c r="X1726" s="76"/>
      <c r="Y1726" s="516" t="s">
        <v>470</v>
      </c>
    </row>
    <row r="1727" spans="1:25" x14ac:dyDescent="0.25">
      <c r="A1727" s="75" t="str">
        <f t="shared" si="59"/>
        <v>Pago_de_Hipoteca PFAE No_Premier Normal Pago_Bajo_Puntual 7</v>
      </c>
      <c r="B1727" s="75" t="str">
        <f t="shared" si="58"/>
        <v>Pago_de_Hipoteca PFAE No_Premier Normal Pago_Bajo_Puntual 7 0.103</v>
      </c>
      <c r="C1727" s="75" t="s">
        <v>173</v>
      </c>
      <c r="D1727" s="75" t="s">
        <v>168</v>
      </c>
      <c r="E1727" s="75" t="s">
        <v>179</v>
      </c>
      <c r="F1727" s="75" t="s">
        <v>180</v>
      </c>
      <c r="G1727" s="75"/>
      <c r="H1727" s="75"/>
      <c r="I1727" s="75" t="s">
        <v>170</v>
      </c>
      <c r="J1727" s="76">
        <v>7</v>
      </c>
      <c r="K1727" s="516" t="s">
        <v>386</v>
      </c>
      <c r="L1727" s="517">
        <v>16.03</v>
      </c>
      <c r="M1727" s="517">
        <v>16.690000000000001</v>
      </c>
      <c r="N1727" s="518">
        <v>0.10299999999999999</v>
      </c>
      <c r="O1727" s="518">
        <v>0.1</v>
      </c>
      <c r="P1727" s="518">
        <v>0.112</v>
      </c>
      <c r="Q1727" s="78">
        <v>0.44</v>
      </c>
      <c r="R1727" s="78">
        <v>0.31740000000000002</v>
      </c>
      <c r="S1727" s="69">
        <v>0</v>
      </c>
      <c r="T1727" s="69">
        <v>0</v>
      </c>
      <c r="U1727" s="518">
        <v>0.7</v>
      </c>
      <c r="V1727" s="76">
        <v>0</v>
      </c>
      <c r="W1727" s="76">
        <v>0</v>
      </c>
      <c r="X1727" s="76"/>
      <c r="Y1727" s="516" t="s">
        <v>470</v>
      </c>
    </row>
    <row r="1728" spans="1:25" x14ac:dyDescent="0.25">
      <c r="A1728" s="75" t="str">
        <f t="shared" si="59"/>
        <v>Pago_de_Hipoteca PFAE No_Premier Normal Pago_Bajo_Puntual 6</v>
      </c>
      <c r="B1728" s="75" t="str">
        <f t="shared" si="58"/>
        <v>Pago_de_Hipoteca PFAE No_Premier Normal Pago_Bajo_Puntual 6 0.0965</v>
      </c>
      <c r="C1728" s="75" t="s">
        <v>173</v>
      </c>
      <c r="D1728" s="75" t="s">
        <v>168</v>
      </c>
      <c r="E1728" s="75" t="s">
        <v>179</v>
      </c>
      <c r="F1728" s="75" t="s">
        <v>180</v>
      </c>
      <c r="G1728" s="75"/>
      <c r="H1728" s="75"/>
      <c r="I1728" s="75" t="s">
        <v>170</v>
      </c>
      <c r="J1728" s="76">
        <v>6</v>
      </c>
      <c r="K1728" s="516" t="s">
        <v>385</v>
      </c>
      <c r="L1728" s="517">
        <v>17.649999999999999</v>
      </c>
      <c r="M1728" s="517">
        <v>18.309999999999999</v>
      </c>
      <c r="N1728" s="518">
        <v>9.6500000000000002E-2</v>
      </c>
      <c r="O1728" s="518">
        <v>9.1999999999999998E-2</v>
      </c>
      <c r="P1728" s="518">
        <v>0.10249999999999999</v>
      </c>
      <c r="Q1728" s="78">
        <v>0.44</v>
      </c>
      <c r="R1728" s="78">
        <v>0.31740000000000002</v>
      </c>
      <c r="S1728" s="69">
        <v>0</v>
      </c>
      <c r="T1728" s="69">
        <v>0</v>
      </c>
      <c r="U1728" s="518">
        <v>0.7</v>
      </c>
      <c r="V1728" s="76">
        <v>0</v>
      </c>
      <c r="W1728" s="76">
        <v>0</v>
      </c>
      <c r="X1728" s="76"/>
      <c r="Y1728" s="516" t="s">
        <v>470</v>
      </c>
    </row>
    <row r="1729" spans="1:25" x14ac:dyDescent="0.25">
      <c r="A1729" s="75" t="str">
        <f t="shared" si="59"/>
        <v>Pago_de_Hipoteca PFAE No_Premier Normal Pago_Bajo_Puntual 6</v>
      </c>
      <c r="B1729" s="75" t="str">
        <f t="shared" si="58"/>
        <v>Pago_de_Hipoteca PFAE No_Premier Normal Pago_Bajo_Puntual 6 0.103</v>
      </c>
      <c r="C1729" s="75" t="s">
        <v>173</v>
      </c>
      <c r="D1729" s="75" t="s">
        <v>168</v>
      </c>
      <c r="E1729" s="75" t="s">
        <v>179</v>
      </c>
      <c r="F1729" s="75" t="s">
        <v>180</v>
      </c>
      <c r="G1729" s="75"/>
      <c r="H1729" s="75"/>
      <c r="I1729" s="75" t="s">
        <v>170</v>
      </c>
      <c r="J1729" s="76">
        <v>6</v>
      </c>
      <c r="K1729" s="516" t="s">
        <v>386</v>
      </c>
      <c r="L1729" s="517">
        <v>17.97</v>
      </c>
      <c r="M1729" s="517">
        <v>18.63</v>
      </c>
      <c r="N1729" s="518">
        <v>0.10299999999999999</v>
      </c>
      <c r="O1729" s="518">
        <v>0.1</v>
      </c>
      <c r="P1729" s="518">
        <v>0.112</v>
      </c>
      <c r="Q1729" s="78">
        <v>0.44</v>
      </c>
      <c r="R1729" s="78">
        <v>0.31740000000000002</v>
      </c>
      <c r="S1729" s="69">
        <v>0</v>
      </c>
      <c r="T1729" s="69">
        <v>0</v>
      </c>
      <c r="U1729" s="518">
        <v>0.7</v>
      </c>
      <c r="V1729" s="76">
        <v>0</v>
      </c>
      <c r="W1729" s="76">
        <v>0</v>
      </c>
      <c r="X1729" s="76"/>
      <c r="Y1729" s="516" t="s">
        <v>470</v>
      </c>
    </row>
    <row r="1730" spans="1:25" x14ac:dyDescent="0.25">
      <c r="A1730" s="75" t="str">
        <f t="shared" si="59"/>
        <v>Pago_de_Hipoteca PFAE No_Premier Normal Pago_Bajo_Puntual 5</v>
      </c>
      <c r="B1730" s="75" t="str">
        <f t="shared" si="58"/>
        <v>Pago_de_Hipoteca PFAE No_Premier Normal Pago_Bajo_Puntual 5 0.0965</v>
      </c>
      <c r="C1730" s="75" t="s">
        <v>173</v>
      </c>
      <c r="D1730" s="75" t="s">
        <v>168</v>
      </c>
      <c r="E1730" s="75" t="s">
        <v>179</v>
      </c>
      <c r="F1730" s="75" t="s">
        <v>180</v>
      </c>
      <c r="G1730" s="75"/>
      <c r="H1730" s="75"/>
      <c r="I1730" s="75" t="s">
        <v>170</v>
      </c>
      <c r="J1730" s="76">
        <v>5</v>
      </c>
      <c r="K1730" s="516" t="s">
        <v>385</v>
      </c>
      <c r="L1730" s="517">
        <v>20.399999999999999</v>
      </c>
      <c r="M1730" s="517">
        <v>21.06</v>
      </c>
      <c r="N1730" s="518">
        <v>9.6500000000000002E-2</v>
      </c>
      <c r="O1730" s="518">
        <v>9.1999999999999998E-2</v>
      </c>
      <c r="P1730" s="518">
        <v>0.10249999999999999</v>
      </c>
      <c r="Q1730" s="78">
        <v>0.44</v>
      </c>
      <c r="R1730" s="78">
        <v>0.31740000000000002</v>
      </c>
      <c r="S1730" s="69">
        <v>0</v>
      </c>
      <c r="T1730" s="69">
        <v>0</v>
      </c>
      <c r="U1730" s="518">
        <v>0.7</v>
      </c>
      <c r="V1730" s="76">
        <v>0</v>
      </c>
      <c r="W1730" s="76">
        <v>0</v>
      </c>
      <c r="X1730" s="76"/>
      <c r="Y1730" s="516" t="s">
        <v>470</v>
      </c>
    </row>
    <row r="1731" spans="1:25" x14ac:dyDescent="0.25">
      <c r="A1731" s="75" t="str">
        <f t="shared" si="59"/>
        <v>Pago_de_Hipoteca PFAE No_Premier Normal Pago_Bajo_Puntual 5</v>
      </c>
      <c r="B1731" s="75" t="str">
        <f t="shared" si="58"/>
        <v>Pago_de_Hipoteca PFAE No_Premier Normal Pago_Bajo_Puntual 5 0.103</v>
      </c>
      <c r="C1731" s="75" t="s">
        <v>173</v>
      </c>
      <c r="D1731" s="75" t="s">
        <v>168</v>
      </c>
      <c r="E1731" s="75" t="s">
        <v>179</v>
      </c>
      <c r="F1731" s="75" t="s">
        <v>180</v>
      </c>
      <c r="G1731" s="75"/>
      <c r="H1731" s="75"/>
      <c r="I1731" s="75" t="s">
        <v>170</v>
      </c>
      <c r="J1731" s="76">
        <v>5</v>
      </c>
      <c r="K1731" s="516" t="s">
        <v>386</v>
      </c>
      <c r="L1731" s="517">
        <v>20.72</v>
      </c>
      <c r="M1731" s="517">
        <v>21.38</v>
      </c>
      <c r="N1731" s="518">
        <v>0.10299999999999999</v>
      </c>
      <c r="O1731" s="518">
        <v>0.1</v>
      </c>
      <c r="P1731" s="518">
        <v>0.112</v>
      </c>
      <c r="Q1731" s="78">
        <v>0.44</v>
      </c>
      <c r="R1731" s="78">
        <v>0.31740000000000002</v>
      </c>
      <c r="S1731" s="69">
        <v>0</v>
      </c>
      <c r="T1731" s="69">
        <v>0</v>
      </c>
      <c r="U1731" s="518">
        <v>0.7</v>
      </c>
      <c r="V1731" s="76">
        <v>0</v>
      </c>
      <c r="W1731" s="76">
        <v>0</v>
      </c>
      <c r="X1731" s="76"/>
      <c r="Y1731" s="516" t="s">
        <v>470</v>
      </c>
    </row>
    <row r="1732" spans="1:25" x14ac:dyDescent="0.25">
      <c r="A1732" s="75" t="str">
        <f t="shared" si="59"/>
        <v>Pago_de_Hipoteca PFAE Premier Pago_Fijo_Puntual Si 20</v>
      </c>
      <c r="B1732" s="75" t="str">
        <f t="shared" si="58"/>
        <v>Pago_de_Hipoteca PFAE Premier Pago_Fijo_Puntual Si 20 0.103</v>
      </c>
      <c r="C1732" s="75" t="s">
        <v>173</v>
      </c>
      <c r="D1732" s="75" t="s">
        <v>168</v>
      </c>
      <c r="E1732" s="75" t="s">
        <v>143</v>
      </c>
      <c r="F1732" s="75"/>
      <c r="G1732" s="75"/>
      <c r="H1732" s="75"/>
      <c r="I1732" s="75" t="s">
        <v>171</v>
      </c>
      <c r="J1732" s="76">
        <v>20</v>
      </c>
      <c r="K1732" s="519" t="s">
        <v>387</v>
      </c>
      <c r="L1732" s="520">
        <v>10.16</v>
      </c>
      <c r="M1732" s="520">
        <v>10.82</v>
      </c>
      <c r="N1732" s="507">
        <v>0.10299999999999999</v>
      </c>
      <c r="O1732" s="507">
        <v>0.1</v>
      </c>
      <c r="P1732" s="507">
        <v>0.112</v>
      </c>
      <c r="Q1732" s="78">
        <v>0.44</v>
      </c>
      <c r="R1732" s="78">
        <v>0.31740000000000002</v>
      </c>
      <c r="S1732" s="69">
        <v>0</v>
      </c>
      <c r="T1732" s="69">
        <v>0</v>
      </c>
      <c r="U1732" s="507">
        <v>0.85</v>
      </c>
      <c r="V1732" s="76">
        <v>0</v>
      </c>
      <c r="W1732" s="76">
        <v>0</v>
      </c>
      <c r="X1732" s="76" t="s">
        <v>147</v>
      </c>
      <c r="Y1732" s="519" t="s">
        <v>469</v>
      </c>
    </row>
    <row r="1733" spans="1:25" x14ac:dyDescent="0.25">
      <c r="A1733" s="75" t="str">
        <f t="shared" si="59"/>
        <v>Pago_de_Hipoteca PFAE Premier Pago_Fijo_Puntual Si 19</v>
      </c>
      <c r="B1733" s="75" t="str">
        <f t="shared" ref="B1733:B1765" si="60">CONCATENATE(A1733," ",N1733)</f>
        <v>Pago_de_Hipoteca PFAE Premier Pago_Fijo_Puntual Si 19 0.103</v>
      </c>
      <c r="C1733" s="75" t="s">
        <v>173</v>
      </c>
      <c r="D1733" s="75" t="s">
        <v>168</v>
      </c>
      <c r="E1733" s="75" t="s">
        <v>143</v>
      </c>
      <c r="F1733" s="75"/>
      <c r="G1733" s="75"/>
      <c r="H1733" s="75"/>
      <c r="I1733" s="75" t="s">
        <v>171</v>
      </c>
      <c r="J1733" s="76">
        <v>19</v>
      </c>
      <c r="K1733" s="519" t="s">
        <v>387</v>
      </c>
      <c r="L1733" s="520">
        <v>10.3</v>
      </c>
      <c r="M1733" s="520">
        <v>10.96</v>
      </c>
      <c r="N1733" s="507">
        <v>0.10299999999999999</v>
      </c>
      <c r="O1733" s="507">
        <v>0.1</v>
      </c>
      <c r="P1733" s="507">
        <v>0.112</v>
      </c>
      <c r="Q1733" s="78">
        <v>0.44</v>
      </c>
      <c r="R1733" s="78">
        <v>0.31740000000000002</v>
      </c>
      <c r="S1733" s="69">
        <v>0</v>
      </c>
      <c r="T1733" s="69">
        <v>0</v>
      </c>
      <c r="U1733" s="507">
        <v>0.85</v>
      </c>
      <c r="V1733" s="76">
        <v>0</v>
      </c>
      <c r="W1733" s="76">
        <v>0</v>
      </c>
      <c r="X1733" s="76" t="s">
        <v>147</v>
      </c>
      <c r="Y1733" s="519" t="s">
        <v>469</v>
      </c>
    </row>
    <row r="1734" spans="1:25" x14ac:dyDescent="0.25">
      <c r="A1734" s="75" t="str">
        <f t="shared" ref="A1734:A1766" si="61">TRIM(CONCATENATE(C1734," ",D1734," ",E1734," ",F1734," ",G1734," ",I1734," ",X1734," ",J1734))</f>
        <v>Pago_de_Hipoteca PFAE Premier Pago_Fijo_Puntual Si 18</v>
      </c>
      <c r="B1734" s="75" t="str">
        <f t="shared" si="60"/>
        <v>Pago_de_Hipoteca PFAE Premier Pago_Fijo_Puntual Si 18 0.103</v>
      </c>
      <c r="C1734" s="75" t="s">
        <v>173</v>
      </c>
      <c r="D1734" s="75" t="s">
        <v>168</v>
      </c>
      <c r="E1734" s="75" t="s">
        <v>143</v>
      </c>
      <c r="F1734" s="75"/>
      <c r="G1734" s="75"/>
      <c r="H1734" s="75"/>
      <c r="I1734" s="75" t="s">
        <v>171</v>
      </c>
      <c r="J1734" s="76">
        <v>18</v>
      </c>
      <c r="K1734" s="519" t="s">
        <v>387</v>
      </c>
      <c r="L1734" s="520">
        <v>10.47</v>
      </c>
      <c r="M1734" s="520">
        <v>11.13</v>
      </c>
      <c r="N1734" s="507">
        <v>0.10299999999999999</v>
      </c>
      <c r="O1734" s="507">
        <v>0.1</v>
      </c>
      <c r="P1734" s="507">
        <v>0.112</v>
      </c>
      <c r="Q1734" s="78">
        <v>0.44</v>
      </c>
      <c r="R1734" s="78">
        <v>0.31740000000000002</v>
      </c>
      <c r="S1734" s="69">
        <v>0</v>
      </c>
      <c r="T1734" s="69">
        <v>0</v>
      </c>
      <c r="U1734" s="507">
        <v>0.85</v>
      </c>
      <c r="V1734" s="76">
        <v>0</v>
      </c>
      <c r="W1734" s="76">
        <v>0</v>
      </c>
      <c r="X1734" s="76" t="s">
        <v>147</v>
      </c>
      <c r="Y1734" s="519" t="s">
        <v>469</v>
      </c>
    </row>
    <row r="1735" spans="1:25" x14ac:dyDescent="0.25">
      <c r="A1735" s="75" t="str">
        <f t="shared" si="61"/>
        <v>Pago_de_Hipoteca PFAE Premier Pago_Fijo_Puntual Si 17</v>
      </c>
      <c r="B1735" s="75" t="str">
        <f t="shared" si="60"/>
        <v>Pago_de_Hipoteca PFAE Premier Pago_Fijo_Puntual Si 17 0.103</v>
      </c>
      <c r="C1735" s="75" t="s">
        <v>173</v>
      </c>
      <c r="D1735" s="75" t="s">
        <v>168</v>
      </c>
      <c r="E1735" s="75" t="s">
        <v>143</v>
      </c>
      <c r="F1735" s="75"/>
      <c r="G1735" s="75"/>
      <c r="H1735" s="75"/>
      <c r="I1735" s="75" t="s">
        <v>171</v>
      </c>
      <c r="J1735" s="76">
        <v>17</v>
      </c>
      <c r="K1735" s="519" t="s">
        <v>387</v>
      </c>
      <c r="L1735" s="520">
        <v>10.67</v>
      </c>
      <c r="M1735" s="520">
        <v>11.33</v>
      </c>
      <c r="N1735" s="507">
        <v>0.10299999999999999</v>
      </c>
      <c r="O1735" s="507">
        <v>0.1</v>
      </c>
      <c r="P1735" s="507">
        <v>0.112</v>
      </c>
      <c r="Q1735" s="78">
        <v>0.44</v>
      </c>
      <c r="R1735" s="78">
        <v>0.31740000000000002</v>
      </c>
      <c r="S1735" s="69">
        <v>0</v>
      </c>
      <c r="T1735" s="69">
        <v>0</v>
      </c>
      <c r="U1735" s="507">
        <v>0.85</v>
      </c>
      <c r="V1735" s="76">
        <v>0</v>
      </c>
      <c r="W1735" s="76">
        <v>0</v>
      </c>
      <c r="X1735" s="76" t="s">
        <v>147</v>
      </c>
      <c r="Y1735" s="519" t="s">
        <v>469</v>
      </c>
    </row>
    <row r="1736" spans="1:25" x14ac:dyDescent="0.25">
      <c r="A1736" s="75" t="str">
        <f t="shared" si="61"/>
        <v>Pago_de_Hipoteca PFAE Premier Pago_Fijo_Puntual Si 16</v>
      </c>
      <c r="B1736" s="75" t="str">
        <f t="shared" si="60"/>
        <v>Pago_de_Hipoteca PFAE Premier Pago_Fijo_Puntual Si 16 0.103</v>
      </c>
      <c r="C1736" s="75" t="s">
        <v>173</v>
      </c>
      <c r="D1736" s="75" t="s">
        <v>168</v>
      </c>
      <c r="E1736" s="75" t="s">
        <v>143</v>
      </c>
      <c r="F1736" s="75"/>
      <c r="G1736" s="75"/>
      <c r="H1736" s="75"/>
      <c r="I1736" s="75" t="s">
        <v>171</v>
      </c>
      <c r="J1736" s="76">
        <v>16</v>
      </c>
      <c r="K1736" s="519" t="s">
        <v>387</v>
      </c>
      <c r="L1736" s="520">
        <v>10.9</v>
      </c>
      <c r="M1736" s="520">
        <v>11.56</v>
      </c>
      <c r="N1736" s="507">
        <v>0.10299999999999999</v>
      </c>
      <c r="O1736" s="507">
        <v>0.1</v>
      </c>
      <c r="P1736" s="507">
        <v>0.112</v>
      </c>
      <c r="Q1736" s="78">
        <v>0.44</v>
      </c>
      <c r="R1736" s="78">
        <v>0.31740000000000002</v>
      </c>
      <c r="S1736" s="69">
        <v>0</v>
      </c>
      <c r="T1736" s="69">
        <v>0</v>
      </c>
      <c r="U1736" s="507">
        <v>0.85</v>
      </c>
      <c r="V1736" s="76">
        <v>0</v>
      </c>
      <c r="W1736" s="76">
        <v>0</v>
      </c>
      <c r="X1736" s="76" t="s">
        <v>147</v>
      </c>
      <c r="Y1736" s="519" t="s">
        <v>469</v>
      </c>
    </row>
    <row r="1737" spans="1:25" x14ac:dyDescent="0.25">
      <c r="A1737" s="75" t="str">
        <f t="shared" si="61"/>
        <v>Pago_de_Hipoteca PFAE Premier Pago_Fijo_Puntual Si 15</v>
      </c>
      <c r="B1737" s="75" t="str">
        <f t="shared" si="60"/>
        <v>Pago_de_Hipoteca PFAE Premier Pago_Fijo_Puntual Si 15 0.103</v>
      </c>
      <c r="C1737" s="75" t="s">
        <v>173</v>
      </c>
      <c r="D1737" s="75" t="s">
        <v>168</v>
      </c>
      <c r="E1737" s="75" t="s">
        <v>143</v>
      </c>
      <c r="F1737" s="75"/>
      <c r="G1737" s="75"/>
      <c r="H1737" s="75"/>
      <c r="I1737" s="75" t="s">
        <v>171</v>
      </c>
      <c r="J1737" s="76">
        <v>15</v>
      </c>
      <c r="K1737" s="519" t="s">
        <v>387</v>
      </c>
      <c r="L1737" s="520">
        <v>11.18</v>
      </c>
      <c r="M1737" s="520">
        <v>11.84</v>
      </c>
      <c r="N1737" s="507">
        <v>0.10299999999999999</v>
      </c>
      <c r="O1737" s="507">
        <v>0.1</v>
      </c>
      <c r="P1737" s="507">
        <v>0.112</v>
      </c>
      <c r="Q1737" s="78">
        <v>0.44</v>
      </c>
      <c r="R1737" s="78">
        <v>0.31740000000000002</v>
      </c>
      <c r="S1737" s="69">
        <v>0</v>
      </c>
      <c r="T1737" s="69">
        <v>0</v>
      </c>
      <c r="U1737" s="507">
        <v>0.85</v>
      </c>
      <c r="V1737" s="76">
        <v>0</v>
      </c>
      <c r="W1737" s="76">
        <v>0</v>
      </c>
      <c r="X1737" s="76" t="s">
        <v>147</v>
      </c>
      <c r="Y1737" s="519" t="s">
        <v>469</v>
      </c>
    </row>
    <row r="1738" spans="1:25" x14ac:dyDescent="0.25">
      <c r="A1738" s="75" t="str">
        <f t="shared" si="61"/>
        <v>Pago_de_Hipoteca PFAE Premier Pago_Fijo_Puntual Si 14</v>
      </c>
      <c r="B1738" s="75" t="str">
        <f t="shared" si="60"/>
        <v>Pago_de_Hipoteca PFAE Premier Pago_Fijo_Puntual Si 14 0.103</v>
      </c>
      <c r="C1738" s="75" t="s">
        <v>173</v>
      </c>
      <c r="D1738" s="75" t="s">
        <v>168</v>
      </c>
      <c r="E1738" s="75" t="s">
        <v>143</v>
      </c>
      <c r="F1738" s="75"/>
      <c r="G1738" s="75"/>
      <c r="H1738" s="75"/>
      <c r="I1738" s="75" t="s">
        <v>171</v>
      </c>
      <c r="J1738" s="76">
        <v>14</v>
      </c>
      <c r="K1738" s="519" t="s">
        <v>387</v>
      </c>
      <c r="L1738" s="520">
        <v>11.49</v>
      </c>
      <c r="M1738" s="520">
        <v>12.15</v>
      </c>
      <c r="N1738" s="507">
        <v>0.10299999999999999</v>
      </c>
      <c r="O1738" s="507">
        <v>0.1</v>
      </c>
      <c r="P1738" s="507">
        <v>0.112</v>
      </c>
      <c r="Q1738" s="78">
        <v>0.44</v>
      </c>
      <c r="R1738" s="78">
        <v>0.31740000000000002</v>
      </c>
      <c r="S1738" s="69">
        <v>0</v>
      </c>
      <c r="T1738" s="69">
        <v>0</v>
      </c>
      <c r="U1738" s="507">
        <v>0.85</v>
      </c>
      <c r="V1738" s="76">
        <v>0</v>
      </c>
      <c r="W1738" s="76">
        <v>0</v>
      </c>
      <c r="X1738" s="76" t="s">
        <v>147</v>
      </c>
      <c r="Y1738" s="519" t="s">
        <v>469</v>
      </c>
    </row>
    <row r="1739" spans="1:25" x14ac:dyDescent="0.25">
      <c r="A1739" s="75" t="str">
        <f t="shared" si="61"/>
        <v>Pago_de_Hipoteca PFAE Premier Pago_Fijo_Puntual Si 13</v>
      </c>
      <c r="B1739" s="75" t="str">
        <f t="shared" si="60"/>
        <v>Pago_de_Hipoteca PFAE Premier Pago_Fijo_Puntual Si 13 0.103</v>
      </c>
      <c r="C1739" s="75" t="s">
        <v>173</v>
      </c>
      <c r="D1739" s="75" t="s">
        <v>168</v>
      </c>
      <c r="E1739" s="75" t="s">
        <v>143</v>
      </c>
      <c r="F1739" s="75"/>
      <c r="G1739" s="75"/>
      <c r="H1739" s="75"/>
      <c r="I1739" s="75" t="s">
        <v>171</v>
      </c>
      <c r="J1739" s="76">
        <v>13</v>
      </c>
      <c r="K1739" s="519" t="s">
        <v>387</v>
      </c>
      <c r="L1739" s="520">
        <v>11.86</v>
      </c>
      <c r="M1739" s="520">
        <v>12.52</v>
      </c>
      <c r="N1739" s="507">
        <v>0.10299999999999999</v>
      </c>
      <c r="O1739" s="507">
        <v>0.1</v>
      </c>
      <c r="P1739" s="507">
        <v>0.112</v>
      </c>
      <c r="Q1739" s="78">
        <v>0.44</v>
      </c>
      <c r="R1739" s="78">
        <v>0.31740000000000002</v>
      </c>
      <c r="S1739" s="69">
        <v>0</v>
      </c>
      <c r="T1739" s="69">
        <v>0</v>
      </c>
      <c r="U1739" s="507">
        <v>0.85</v>
      </c>
      <c r="V1739" s="76">
        <v>0</v>
      </c>
      <c r="W1739" s="76">
        <v>0</v>
      </c>
      <c r="X1739" s="76" t="s">
        <v>147</v>
      </c>
      <c r="Y1739" s="519" t="s">
        <v>469</v>
      </c>
    </row>
    <row r="1740" spans="1:25" x14ac:dyDescent="0.25">
      <c r="A1740" s="75" t="str">
        <f t="shared" si="61"/>
        <v>Pago_de_Hipoteca PFAE Premier Pago_Fijo_Puntual Si 12</v>
      </c>
      <c r="B1740" s="75" t="str">
        <f t="shared" si="60"/>
        <v>Pago_de_Hipoteca PFAE Premier Pago_Fijo_Puntual Si 12 0.103</v>
      </c>
      <c r="C1740" s="75" t="s">
        <v>173</v>
      </c>
      <c r="D1740" s="75" t="s">
        <v>168</v>
      </c>
      <c r="E1740" s="75" t="s">
        <v>143</v>
      </c>
      <c r="F1740" s="75"/>
      <c r="G1740" s="75"/>
      <c r="H1740" s="75"/>
      <c r="I1740" s="75" t="s">
        <v>171</v>
      </c>
      <c r="J1740" s="76">
        <v>12</v>
      </c>
      <c r="K1740" s="519" t="s">
        <v>387</v>
      </c>
      <c r="L1740" s="520">
        <v>12.31</v>
      </c>
      <c r="M1740" s="520">
        <v>12.97</v>
      </c>
      <c r="N1740" s="507">
        <v>0.10299999999999999</v>
      </c>
      <c r="O1740" s="507">
        <v>0.1</v>
      </c>
      <c r="P1740" s="507">
        <v>0.112</v>
      </c>
      <c r="Q1740" s="78">
        <v>0.44</v>
      </c>
      <c r="R1740" s="78">
        <v>0.31740000000000002</v>
      </c>
      <c r="S1740" s="69">
        <v>0</v>
      </c>
      <c r="T1740" s="69">
        <v>0</v>
      </c>
      <c r="U1740" s="507">
        <v>0.85</v>
      </c>
      <c r="V1740" s="76">
        <v>0</v>
      </c>
      <c r="W1740" s="76">
        <v>0</v>
      </c>
      <c r="X1740" s="76" t="s">
        <v>147</v>
      </c>
      <c r="Y1740" s="519" t="s">
        <v>469</v>
      </c>
    </row>
    <row r="1741" spans="1:25" x14ac:dyDescent="0.25">
      <c r="A1741" s="75" t="str">
        <f t="shared" si="61"/>
        <v>Pago_de_Hipoteca PFAE Premier Pago_Fijo_Puntual Si 11</v>
      </c>
      <c r="B1741" s="75" t="str">
        <f t="shared" si="60"/>
        <v>Pago_de_Hipoteca PFAE Premier Pago_Fijo_Puntual Si 11 0.103</v>
      </c>
      <c r="C1741" s="75" t="s">
        <v>173</v>
      </c>
      <c r="D1741" s="75" t="s">
        <v>168</v>
      </c>
      <c r="E1741" s="75" t="s">
        <v>143</v>
      </c>
      <c r="F1741" s="75"/>
      <c r="G1741" s="75"/>
      <c r="H1741" s="75"/>
      <c r="I1741" s="75" t="s">
        <v>171</v>
      </c>
      <c r="J1741" s="76">
        <v>11</v>
      </c>
      <c r="K1741" s="519" t="s">
        <v>387</v>
      </c>
      <c r="L1741" s="520">
        <v>12.86</v>
      </c>
      <c r="M1741" s="520">
        <v>13.52</v>
      </c>
      <c r="N1741" s="507">
        <v>0.10299999999999999</v>
      </c>
      <c r="O1741" s="507">
        <v>0.1</v>
      </c>
      <c r="P1741" s="507">
        <v>0.112</v>
      </c>
      <c r="Q1741" s="78">
        <v>0.44</v>
      </c>
      <c r="R1741" s="78">
        <v>0.31740000000000002</v>
      </c>
      <c r="S1741" s="69">
        <v>0</v>
      </c>
      <c r="T1741" s="69">
        <v>0</v>
      </c>
      <c r="U1741" s="507">
        <v>0.85</v>
      </c>
      <c r="V1741" s="76">
        <v>0</v>
      </c>
      <c r="W1741" s="76">
        <v>0</v>
      </c>
      <c r="X1741" s="76" t="s">
        <v>147</v>
      </c>
      <c r="Y1741" s="519" t="s">
        <v>469</v>
      </c>
    </row>
    <row r="1742" spans="1:25" x14ac:dyDescent="0.25">
      <c r="A1742" s="75" t="str">
        <f t="shared" si="61"/>
        <v>Pago_de_Hipoteca PFAE Premier Pago_Fijo_Puntual Si 10</v>
      </c>
      <c r="B1742" s="75" t="str">
        <f t="shared" si="60"/>
        <v>Pago_de_Hipoteca PFAE Premier Pago_Fijo_Puntual Si 10 0.103</v>
      </c>
      <c r="C1742" s="75" t="s">
        <v>173</v>
      </c>
      <c r="D1742" s="75" t="s">
        <v>168</v>
      </c>
      <c r="E1742" s="75" t="s">
        <v>143</v>
      </c>
      <c r="F1742" s="75"/>
      <c r="G1742" s="75"/>
      <c r="H1742" s="75"/>
      <c r="I1742" s="75" t="s">
        <v>171</v>
      </c>
      <c r="J1742" s="76">
        <v>10</v>
      </c>
      <c r="K1742" s="519" t="s">
        <v>387</v>
      </c>
      <c r="L1742" s="520">
        <v>13.54</v>
      </c>
      <c r="M1742" s="520">
        <v>14.2</v>
      </c>
      <c r="N1742" s="507">
        <v>0.10299999999999999</v>
      </c>
      <c r="O1742" s="507">
        <v>0.1</v>
      </c>
      <c r="P1742" s="507">
        <v>0.112</v>
      </c>
      <c r="Q1742" s="78">
        <v>0.44</v>
      </c>
      <c r="R1742" s="78">
        <v>0.31740000000000002</v>
      </c>
      <c r="S1742" s="69">
        <v>0</v>
      </c>
      <c r="T1742" s="69">
        <v>0</v>
      </c>
      <c r="U1742" s="507">
        <v>0.85</v>
      </c>
      <c r="V1742" s="76">
        <v>0</v>
      </c>
      <c r="W1742" s="76">
        <v>0</v>
      </c>
      <c r="X1742" s="76" t="s">
        <v>147</v>
      </c>
      <c r="Y1742" s="519" t="s">
        <v>469</v>
      </c>
    </row>
    <row r="1743" spans="1:25" x14ac:dyDescent="0.25">
      <c r="A1743" s="75" t="str">
        <f t="shared" si="61"/>
        <v>Pago_de_Hipoteca PFAE Premier Pago_Fijo_Puntual Si 9</v>
      </c>
      <c r="B1743" s="75" t="str">
        <f t="shared" si="60"/>
        <v>Pago_de_Hipoteca PFAE Premier Pago_Fijo_Puntual Si 9 0.103</v>
      </c>
      <c r="C1743" s="75" t="s">
        <v>173</v>
      </c>
      <c r="D1743" s="75" t="s">
        <v>168</v>
      </c>
      <c r="E1743" s="75" t="s">
        <v>143</v>
      </c>
      <c r="F1743" s="75"/>
      <c r="G1743" s="75"/>
      <c r="H1743" s="75"/>
      <c r="I1743" s="75" t="s">
        <v>171</v>
      </c>
      <c r="J1743" s="76">
        <v>9</v>
      </c>
      <c r="K1743" s="519" t="s">
        <v>387</v>
      </c>
      <c r="L1743" s="521">
        <v>14.37</v>
      </c>
      <c r="M1743" s="521">
        <v>15.03</v>
      </c>
      <c r="N1743" s="507">
        <v>0.10299999999999999</v>
      </c>
      <c r="O1743" s="507">
        <v>0.1</v>
      </c>
      <c r="P1743" s="507">
        <v>0.112</v>
      </c>
      <c r="Q1743" s="78">
        <v>0.44</v>
      </c>
      <c r="R1743" s="78">
        <v>0.31740000000000002</v>
      </c>
      <c r="S1743" s="69">
        <v>0</v>
      </c>
      <c r="T1743" s="69">
        <v>0</v>
      </c>
      <c r="U1743" s="507">
        <v>0.85</v>
      </c>
      <c r="V1743" s="76">
        <v>0</v>
      </c>
      <c r="W1743" s="76">
        <v>0</v>
      </c>
      <c r="X1743" s="76" t="s">
        <v>147</v>
      </c>
      <c r="Y1743" s="519" t="s">
        <v>469</v>
      </c>
    </row>
    <row r="1744" spans="1:25" x14ac:dyDescent="0.25">
      <c r="A1744" s="75" t="str">
        <f t="shared" si="61"/>
        <v>Pago_de_Hipoteca PFAE Premier Pago_Fijo_Puntual Si 8</v>
      </c>
      <c r="B1744" s="75" t="str">
        <f t="shared" si="60"/>
        <v>Pago_de_Hipoteca PFAE Premier Pago_Fijo_Puntual Si 8 0.103</v>
      </c>
      <c r="C1744" s="75" t="s">
        <v>173</v>
      </c>
      <c r="D1744" s="75" t="s">
        <v>168</v>
      </c>
      <c r="E1744" s="75" t="s">
        <v>143</v>
      </c>
      <c r="F1744" s="75"/>
      <c r="G1744" s="75"/>
      <c r="H1744" s="75"/>
      <c r="I1744" s="75" t="s">
        <v>171</v>
      </c>
      <c r="J1744" s="76">
        <v>8</v>
      </c>
      <c r="K1744" s="519" t="s">
        <v>387</v>
      </c>
      <c r="L1744" s="520">
        <v>15.44</v>
      </c>
      <c r="M1744" s="520">
        <v>16.100000000000001</v>
      </c>
      <c r="N1744" s="507">
        <v>0.10299999999999999</v>
      </c>
      <c r="O1744" s="507">
        <v>0.1</v>
      </c>
      <c r="P1744" s="507">
        <v>0.112</v>
      </c>
      <c r="Q1744" s="78">
        <v>0.44</v>
      </c>
      <c r="R1744" s="78">
        <v>0.31740000000000002</v>
      </c>
      <c r="S1744" s="69">
        <v>0</v>
      </c>
      <c r="T1744" s="69">
        <v>0</v>
      </c>
      <c r="U1744" s="507">
        <v>0.85</v>
      </c>
      <c r="V1744" s="76">
        <v>0</v>
      </c>
      <c r="W1744" s="76">
        <v>0</v>
      </c>
      <c r="X1744" s="76" t="s">
        <v>147</v>
      </c>
      <c r="Y1744" s="519" t="s">
        <v>469</v>
      </c>
    </row>
    <row r="1745" spans="1:25" x14ac:dyDescent="0.25">
      <c r="A1745" s="75" t="str">
        <f t="shared" si="61"/>
        <v>Pago_de_Hipoteca PFAE Premier Pago_Fijo_Puntual Si 7</v>
      </c>
      <c r="B1745" s="75" t="str">
        <f t="shared" si="60"/>
        <v>Pago_de_Hipoteca PFAE Premier Pago_Fijo_Puntual Si 7 0.103</v>
      </c>
      <c r="C1745" s="75" t="s">
        <v>173</v>
      </c>
      <c r="D1745" s="75" t="s">
        <v>168</v>
      </c>
      <c r="E1745" s="75" t="s">
        <v>143</v>
      </c>
      <c r="F1745" s="75"/>
      <c r="G1745" s="75"/>
      <c r="H1745" s="75"/>
      <c r="I1745" s="75" t="s">
        <v>171</v>
      </c>
      <c r="J1745" s="76">
        <v>7</v>
      </c>
      <c r="K1745" s="519" t="s">
        <v>387</v>
      </c>
      <c r="L1745" s="520">
        <v>16.84</v>
      </c>
      <c r="M1745" s="520">
        <v>17.5</v>
      </c>
      <c r="N1745" s="507">
        <v>0.10299999999999999</v>
      </c>
      <c r="O1745" s="507">
        <v>0.1</v>
      </c>
      <c r="P1745" s="507">
        <v>0.112</v>
      </c>
      <c r="Q1745" s="78">
        <v>0.44</v>
      </c>
      <c r="R1745" s="78">
        <v>0.31740000000000002</v>
      </c>
      <c r="S1745" s="69">
        <v>0</v>
      </c>
      <c r="T1745" s="69">
        <v>0</v>
      </c>
      <c r="U1745" s="507">
        <v>0.85</v>
      </c>
      <c r="V1745" s="76">
        <v>0</v>
      </c>
      <c r="W1745" s="76">
        <v>0</v>
      </c>
      <c r="X1745" s="76" t="s">
        <v>147</v>
      </c>
      <c r="Y1745" s="519" t="s">
        <v>469</v>
      </c>
    </row>
    <row r="1746" spans="1:25" x14ac:dyDescent="0.25">
      <c r="A1746" s="75" t="str">
        <f t="shared" si="61"/>
        <v>Pago_de_Hipoteca PFAE Premier Pago_Fijo_Puntual Si 6</v>
      </c>
      <c r="B1746" s="75" t="str">
        <f t="shared" si="60"/>
        <v>Pago_de_Hipoteca PFAE Premier Pago_Fijo_Puntual Si 6 0.103</v>
      </c>
      <c r="C1746" s="75" t="s">
        <v>173</v>
      </c>
      <c r="D1746" s="75" t="s">
        <v>168</v>
      </c>
      <c r="E1746" s="75" t="s">
        <v>143</v>
      </c>
      <c r="F1746" s="75"/>
      <c r="G1746" s="75"/>
      <c r="H1746" s="75"/>
      <c r="I1746" s="75" t="s">
        <v>171</v>
      </c>
      <c r="J1746" s="76">
        <v>6</v>
      </c>
      <c r="K1746" s="519" t="s">
        <v>387</v>
      </c>
      <c r="L1746" s="520">
        <v>18.739999999999998</v>
      </c>
      <c r="M1746" s="520">
        <v>19.399999999999999</v>
      </c>
      <c r="N1746" s="507">
        <v>0.10299999999999999</v>
      </c>
      <c r="O1746" s="507">
        <v>0.1</v>
      </c>
      <c r="P1746" s="507">
        <v>0.112</v>
      </c>
      <c r="Q1746" s="78">
        <v>0.44</v>
      </c>
      <c r="R1746" s="78">
        <v>0.31740000000000002</v>
      </c>
      <c r="S1746" s="69">
        <v>0</v>
      </c>
      <c r="T1746" s="69">
        <v>0</v>
      </c>
      <c r="U1746" s="507">
        <v>0.85</v>
      </c>
      <c r="V1746" s="76">
        <v>0</v>
      </c>
      <c r="W1746" s="76">
        <v>0</v>
      </c>
      <c r="X1746" s="76" t="s">
        <v>147</v>
      </c>
      <c r="Y1746" s="519" t="s">
        <v>469</v>
      </c>
    </row>
    <row r="1747" spans="1:25" x14ac:dyDescent="0.25">
      <c r="A1747" s="75" t="str">
        <f t="shared" si="61"/>
        <v>Pago_de_Hipoteca PFAE Premier Pago_Fijo_Puntual Si 5</v>
      </c>
      <c r="B1747" s="75" t="str">
        <f t="shared" si="60"/>
        <v>Pago_de_Hipoteca PFAE Premier Pago_Fijo_Puntual Si 5 0.103</v>
      </c>
      <c r="C1747" s="75" t="s">
        <v>173</v>
      </c>
      <c r="D1747" s="75" t="s">
        <v>168</v>
      </c>
      <c r="E1747" s="75" t="s">
        <v>143</v>
      </c>
      <c r="F1747" s="75"/>
      <c r="G1747" s="75"/>
      <c r="H1747" s="75"/>
      <c r="I1747" s="75" t="s">
        <v>171</v>
      </c>
      <c r="J1747" s="76">
        <v>5</v>
      </c>
      <c r="K1747" s="519" t="s">
        <v>387</v>
      </c>
      <c r="L1747" s="520">
        <v>21.44</v>
      </c>
      <c r="M1747" s="520">
        <v>22.1</v>
      </c>
      <c r="N1747" s="507">
        <v>0.10299999999999999</v>
      </c>
      <c r="O1747" s="507">
        <v>0.1</v>
      </c>
      <c r="P1747" s="507">
        <v>0.112</v>
      </c>
      <c r="Q1747" s="78">
        <v>0.44</v>
      </c>
      <c r="R1747" s="78">
        <v>0.31740000000000002</v>
      </c>
      <c r="S1747" s="69">
        <v>0</v>
      </c>
      <c r="T1747" s="69">
        <v>0</v>
      </c>
      <c r="U1747" s="507">
        <v>0.85</v>
      </c>
      <c r="V1747" s="76">
        <v>0</v>
      </c>
      <c r="W1747" s="76">
        <v>0</v>
      </c>
      <c r="X1747" s="76" t="s">
        <v>147</v>
      </c>
      <c r="Y1747" s="519" t="s">
        <v>469</v>
      </c>
    </row>
    <row r="1748" spans="1:25" x14ac:dyDescent="0.25">
      <c r="A1748" s="75" t="str">
        <f t="shared" si="61"/>
        <v>Pago_de_Hipoteca PFAE Premier Pago_Bajo_Puntual Si 20</v>
      </c>
      <c r="B1748" s="75" t="str">
        <f t="shared" si="60"/>
        <v>Pago_de_Hipoteca PFAE Premier Pago_Bajo_Puntual Si 20 0.103</v>
      </c>
      <c r="C1748" s="75" t="s">
        <v>173</v>
      </c>
      <c r="D1748" s="75" t="s">
        <v>168</v>
      </c>
      <c r="E1748" s="75" t="s">
        <v>143</v>
      </c>
      <c r="F1748" s="75"/>
      <c r="G1748" s="75"/>
      <c r="H1748" s="75"/>
      <c r="I1748" s="75" t="s">
        <v>170</v>
      </c>
      <c r="J1748" s="76">
        <v>20</v>
      </c>
      <c r="K1748" s="519" t="s">
        <v>387</v>
      </c>
      <c r="L1748" s="520">
        <v>9</v>
      </c>
      <c r="M1748" s="520">
        <v>9.66</v>
      </c>
      <c r="N1748" s="507">
        <v>0.10299999999999999</v>
      </c>
      <c r="O1748" s="507">
        <v>0.1</v>
      </c>
      <c r="P1748" s="507">
        <v>0.112</v>
      </c>
      <c r="Q1748" s="78">
        <v>0.44</v>
      </c>
      <c r="R1748" s="78">
        <v>0.31740000000000002</v>
      </c>
      <c r="S1748" s="69">
        <v>0</v>
      </c>
      <c r="T1748" s="69">
        <v>0</v>
      </c>
      <c r="U1748" s="507">
        <v>0.85</v>
      </c>
      <c r="V1748" s="76">
        <v>0</v>
      </c>
      <c r="W1748" s="76">
        <v>0</v>
      </c>
      <c r="X1748" s="76" t="s">
        <v>147</v>
      </c>
      <c r="Y1748" s="519" t="s">
        <v>469</v>
      </c>
    </row>
    <row r="1749" spans="1:25" x14ac:dyDescent="0.25">
      <c r="A1749" s="75" t="str">
        <f t="shared" si="61"/>
        <v>Pago_de_Hipoteca PFAE Premier Pago_Bajo_Puntual Si 19</v>
      </c>
      <c r="B1749" s="75" t="str">
        <f t="shared" si="60"/>
        <v>Pago_de_Hipoteca PFAE Premier Pago_Bajo_Puntual Si 19 0.103</v>
      </c>
      <c r="C1749" s="75" t="s">
        <v>173</v>
      </c>
      <c r="D1749" s="75" t="s">
        <v>168</v>
      </c>
      <c r="E1749" s="75" t="s">
        <v>143</v>
      </c>
      <c r="F1749" s="75"/>
      <c r="G1749" s="75"/>
      <c r="H1749" s="75"/>
      <c r="I1749" s="75" t="s">
        <v>170</v>
      </c>
      <c r="J1749" s="76">
        <v>19</v>
      </c>
      <c r="K1749" s="519" t="s">
        <v>387</v>
      </c>
      <c r="L1749" s="520">
        <v>9.17</v>
      </c>
      <c r="M1749" s="520">
        <v>9.83</v>
      </c>
      <c r="N1749" s="507">
        <v>0.10299999999999999</v>
      </c>
      <c r="O1749" s="507">
        <v>0.1</v>
      </c>
      <c r="P1749" s="507">
        <v>0.112</v>
      </c>
      <c r="Q1749" s="78">
        <v>0.44</v>
      </c>
      <c r="R1749" s="78">
        <v>0.31740000000000002</v>
      </c>
      <c r="S1749" s="69">
        <v>0</v>
      </c>
      <c r="T1749" s="69">
        <v>0</v>
      </c>
      <c r="U1749" s="507">
        <v>0.85</v>
      </c>
      <c r="V1749" s="76">
        <v>0</v>
      </c>
      <c r="W1749" s="76">
        <v>0</v>
      </c>
      <c r="X1749" s="76" t="s">
        <v>147</v>
      </c>
      <c r="Y1749" s="519" t="s">
        <v>469</v>
      </c>
    </row>
    <row r="1750" spans="1:25" x14ac:dyDescent="0.25">
      <c r="A1750" s="75" t="str">
        <f t="shared" si="61"/>
        <v>Pago_de_Hipoteca PFAE Premier Pago_Bajo_Puntual Si 18</v>
      </c>
      <c r="B1750" s="75" t="str">
        <f t="shared" si="60"/>
        <v>Pago_de_Hipoteca PFAE Premier Pago_Bajo_Puntual Si 18 0.103</v>
      </c>
      <c r="C1750" s="75" t="s">
        <v>173</v>
      </c>
      <c r="D1750" s="75" t="s">
        <v>168</v>
      </c>
      <c r="E1750" s="75" t="s">
        <v>143</v>
      </c>
      <c r="F1750" s="75"/>
      <c r="G1750" s="75"/>
      <c r="H1750" s="75"/>
      <c r="I1750" s="75" t="s">
        <v>170</v>
      </c>
      <c r="J1750" s="76">
        <v>18</v>
      </c>
      <c r="K1750" s="519" t="s">
        <v>387</v>
      </c>
      <c r="L1750" s="520">
        <v>9.36</v>
      </c>
      <c r="M1750" s="520">
        <v>10.02</v>
      </c>
      <c r="N1750" s="507">
        <v>0.10299999999999999</v>
      </c>
      <c r="O1750" s="507">
        <v>0.1</v>
      </c>
      <c r="P1750" s="507">
        <v>0.112</v>
      </c>
      <c r="Q1750" s="78">
        <v>0.44</v>
      </c>
      <c r="R1750" s="78">
        <v>0.31740000000000002</v>
      </c>
      <c r="S1750" s="69">
        <v>0</v>
      </c>
      <c r="T1750" s="69">
        <v>0</v>
      </c>
      <c r="U1750" s="507">
        <v>0.85</v>
      </c>
      <c r="V1750" s="76">
        <v>0</v>
      </c>
      <c r="W1750" s="76">
        <v>0</v>
      </c>
      <c r="X1750" s="76" t="s">
        <v>147</v>
      </c>
      <c r="Y1750" s="519" t="s">
        <v>469</v>
      </c>
    </row>
    <row r="1751" spans="1:25" x14ac:dyDescent="0.25">
      <c r="A1751" s="75" t="str">
        <f t="shared" si="61"/>
        <v>Pago_de_Hipoteca PFAE Premier Pago_Bajo_Puntual Si 17</v>
      </c>
      <c r="B1751" s="75" t="str">
        <f t="shared" si="60"/>
        <v>Pago_de_Hipoteca PFAE Premier Pago_Bajo_Puntual Si 17 0.103</v>
      </c>
      <c r="C1751" s="75" t="s">
        <v>173</v>
      </c>
      <c r="D1751" s="75" t="s">
        <v>168</v>
      </c>
      <c r="E1751" s="75" t="s">
        <v>143</v>
      </c>
      <c r="F1751" s="75"/>
      <c r="G1751" s="75"/>
      <c r="H1751" s="75"/>
      <c r="I1751" s="75" t="s">
        <v>170</v>
      </c>
      <c r="J1751" s="76">
        <v>17</v>
      </c>
      <c r="K1751" s="519" t="s">
        <v>387</v>
      </c>
      <c r="L1751" s="520">
        <v>9.58</v>
      </c>
      <c r="M1751" s="520">
        <v>10.24</v>
      </c>
      <c r="N1751" s="507">
        <v>0.10299999999999999</v>
      </c>
      <c r="O1751" s="507">
        <v>0.1</v>
      </c>
      <c r="P1751" s="507">
        <v>0.112</v>
      </c>
      <c r="Q1751" s="78">
        <v>0.44</v>
      </c>
      <c r="R1751" s="78">
        <v>0.31740000000000002</v>
      </c>
      <c r="S1751" s="69">
        <v>0</v>
      </c>
      <c r="T1751" s="69">
        <v>0</v>
      </c>
      <c r="U1751" s="507">
        <v>0.85</v>
      </c>
      <c r="V1751" s="76">
        <v>0</v>
      </c>
      <c r="W1751" s="76">
        <v>0</v>
      </c>
      <c r="X1751" s="76" t="s">
        <v>147</v>
      </c>
      <c r="Y1751" s="519" t="s">
        <v>469</v>
      </c>
    </row>
    <row r="1752" spans="1:25" x14ac:dyDescent="0.25">
      <c r="A1752" s="75" t="str">
        <f t="shared" si="61"/>
        <v>Pago_de_Hipoteca PFAE Premier Pago_Bajo_Puntual Si 16</v>
      </c>
      <c r="B1752" s="75" t="str">
        <f t="shared" si="60"/>
        <v>Pago_de_Hipoteca PFAE Premier Pago_Bajo_Puntual Si 16 0.103</v>
      </c>
      <c r="C1752" s="75" t="s">
        <v>173</v>
      </c>
      <c r="D1752" s="75" t="s">
        <v>168</v>
      </c>
      <c r="E1752" s="75" t="s">
        <v>143</v>
      </c>
      <c r="F1752" s="75"/>
      <c r="G1752" s="75"/>
      <c r="H1752" s="75"/>
      <c r="I1752" s="75" t="s">
        <v>170</v>
      </c>
      <c r="J1752" s="76">
        <v>16</v>
      </c>
      <c r="K1752" s="519" t="s">
        <v>387</v>
      </c>
      <c r="L1752" s="520">
        <v>9.83</v>
      </c>
      <c r="M1752" s="520">
        <v>10.49</v>
      </c>
      <c r="N1752" s="507">
        <v>0.10299999999999999</v>
      </c>
      <c r="O1752" s="507">
        <v>0.1</v>
      </c>
      <c r="P1752" s="507">
        <v>0.112</v>
      </c>
      <c r="Q1752" s="78">
        <v>0.44</v>
      </c>
      <c r="R1752" s="78">
        <v>0.31740000000000002</v>
      </c>
      <c r="S1752" s="69">
        <v>0</v>
      </c>
      <c r="T1752" s="69">
        <v>0</v>
      </c>
      <c r="U1752" s="507">
        <v>0.85</v>
      </c>
      <c r="V1752" s="76">
        <v>0</v>
      </c>
      <c r="W1752" s="76">
        <v>0</v>
      </c>
      <c r="X1752" s="76" t="s">
        <v>147</v>
      </c>
      <c r="Y1752" s="519" t="s">
        <v>469</v>
      </c>
    </row>
    <row r="1753" spans="1:25" x14ac:dyDescent="0.25">
      <c r="A1753" s="75" t="str">
        <f t="shared" si="61"/>
        <v>Pago_de_Hipoteca PFAE Premier Pago_Bajo_Puntual Si 15</v>
      </c>
      <c r="B1753" s="75" t="str">
        <f t="shared" si="60"/>
        <v>Pago_de_Hipoteca PFAE Premier Pago_Bajo_Puntual Si 15 0.103</v>
      </c>
      <c r="C1753" s="75" t="s">
        <v>173</v>
      </c>
      <c r="D1753" s="75" t="s">
        <v>168</v>
      </c>
      <c r="E1753" s="75" t="s">
        <v>143</v>
      </c>
      <c r="F1753" s="75"/>
      <c r="G1753" s="75"/>
      <c r="H1753" s="75"/>
      <c r="I1753" s="75" t="s">
        <v>170</v>
      </c>
      <c r="J1753" s="76">
        <v>15</v>
      </c>
      <c r="K1753" s="519" t="s">
        <v>387</v>
      </c>
      <c r="L1753" s="520">
        <v>10.119999999999999</v>
      </c>
      <c r="M1753" s="520">
        <v>10.78</v>
      </c>
      <c r="N1753" s="507">
        <v>0.10299999999999999</v>
      </c>
      <c r="O1753" s="507">
        <v>0.1</v>
      </c>
      <c r="P1753" s="507">
        <v>0.112</v>
      </c>
      <c r="Q1753" s="78">
        <v>0.44</v>
      </c>
      <c r="R1753" s="78">
        <v>0.31740000000000002</v>
      </c>
      <c r="S1753" s="69">
        <v>0</v>
      </c>
      <c r="T1753" s="69">
        <v>0</v>
      </c>
      <c r="U1753" s="507">
        <v>0.85</v>
      </c>
      <c r="V1753" s="76">
        <v>0</v>
      </c>
      <c r="W1753" s="76">
        <v>0</v>
      </c>
      <c r="X1753" s="76" t="s">
        <v>147</v>
      </c>
      <c r="Y1753" s="519" t="s">
        <v>469</v>
      </c>
    </row>
    <row r="1754" spans="1:25" x14ac:dyDescent="0.25">
      <c r="A1754" s="75" t="str">
        <f t="shared" si="61"/>
        <v>Pago_de_Hipoteca PFAE Premier Pago_Bajo_Puntual Si 14</v>
      </c>
      <c r="B1754" s="75" t="str">
        <f t="shared" si="60"/>
        <v>Pago_de_Hipoteca PFAE Premier Pago_Bajo_Puntual Si 14 0.103</v>
      </c>
      <c r="C1754" s="75" t="s">
        <v>173</v>
      </c>
      <c r="D1754" s="75" t="s">
        <v>168</v>
      </c>
      <c r="E1754" s="75" t="s">
        <v>143</v>
      </c>
      <c r="F1754" s="75"/>
      <c r="G1754" s="75"/>
      <c r="H1754" s="75"/>
      <c r="I1754" s="75" t="s">
        <v>170</v>
      </c>
      <c r="J1754" s="76">
        <v>14</v>
      </c>
      <c r="K1754" s="519" t="s">
        <v>387</v>
      </c>
      <c r="L1754" s="520">
        <v>10.46</v>
      </c>
      <c r="M1754" s="520">
        <v>11.12</v>
      </c>
      <c r="N1754" s="507">
        <v>0.10299999999999999</v>
      </c>
      <c r="O1754" s="507">
        <v>0.1</v>
      </c>
      <c r="P1754" s="507">
        <v>0.112</v>
      </c>
      <c r="Q1754" s="78">
        <v>0.44</v>
      </c>
      <c r="R1754" s="78">
        <v>0.31740000000000002</v>
      </c>
      <c r="S1754" s="69">
        <v>0</v>
      </c>
      <c r="T1754" s="69">
        <v>0</v>
      </c>
      <c r="U1754" s="507">
        <v>0.85</v>
      </c>
      <c r="V1754" s="76">
        <v>0</v>
      </c>
      <c r="W1754" s="76">
        <v>0</v>
      </c>
      <c r="X1754" s="76" t="s">
        <v>147</v>
      </c>
      <c r="Y1754" s="519" t="s">
        <v>469</v>
      </c>
    </row>
    <row r="1755" spans="1:25" x14ac:dyDescent="0.25">
      <c r="A1755" s="75" t="str">
        <f t="shared" si="61"/>
        <v>Pago_de_Hipoteca PFAE Premier Pago_Bajo_Puntual Si 13</v>
      </c>
      <c r="B1755" s="75" t="str">
        <f t="shared" si="60"/>
        <v>Pago_de_Hipoteca PFAE Premier Pago_Bajo_Puntual Si 13 0.103</v>
      </c>
      <c r="C1755" s="75" t="s">
        <v>173</v>
      </c>
      <c r="D1755" s="75" t="s">
        <v>168</v>
      </c>
      <c r="E1755" s="75" t="s">
        <v>143</v>
      </c>
      <c r="F1755" s="75"/>
      <c r="G1755" s="75"/>
      <c r="H1755" s="75"/>
      <c r="I1755" s="75" t="s">
        <v>170</v>
      </c>
      <c r="J1755" s="76">
        <v>13</v>
      </c>
      <c r="K1755" s="519" t="s">
        <v>387</v>
      </c>
      <c r="L1755" s="520">
        <v>10.86</v>
      </c>
      <c r="M1755" s="520">
        <v>11.52</v>
      </c>
      <c r="N1755" s="507">
        <v>0.10299999999999999</v>
      </c>
      <c r="O1755" s="507">
        <v>0.1</v>
      </c>
      <c r="P1755" s="507">
        <v>0.112</v>
      </c>
      <c r="Q1755" s="78">
        <v>0.44</v>
      </c>
      <c r="R1755" s="78">
        <v>0.31740000000000002</v>
      </c>
      <c r="S1755" s="69">
        <v>0</v>
      </c>
      <c r="T1755" s="69">
        <v>0</v>
      </c>
      <c r="U1755" s="507">
        <v>0.85</v>
      </c>
      <c r="V1755" s="76">
        <v>0</v>
      </c>
      <c r="W1755" s="76">
        <v>0</v>
      </c>
      <c r="X1755" s="76" t="s">
        <v>147</v>
      </c>
      <c r="Y1755" s="519" t="s">
        <v>469</v>
      </c>
    </row>
    <row r="1756" spans="1:25" x14ac:dyDescent="0.25">
      <c r="A1756" s="75" t="str">
        <f t="shared" si="61"/>
        <v>Pago_de_Hipoteca PFAE Premier Pago_Bajo_Puntual Si 12</v>
      </c>
      <c r="B1756" s="75" t="str">
        <f t="shared" si="60"/>
        <v>Pago_de_Hipoteca PFAE Premier Pago_Bajo_Puntual Si 12 0.103</v>
      </c>
      <c r="C1756" s="75" t="s">
        <v>173</v>
      </c>
      <c r="D1756" s="75" t="s">
        <v>168</v>
      </c>
      <c r="E1756" s="75" t="s">
        <v>143</v>
      </c>
      <c r="F1756" s="75"/>
      <c r="G1756" s="75"/>
      <c r="H1756" s="75"/>
      <c r="I1756" s="75" t="s">
        <v>170</v>
      </c>
      <c r="J1756" s="76">
        <v>12</v>
      </c>
      <c r="K1756" s="519" t="s">
        <v>387</v>
      </c>
      <c r="L1756" s="520">
        <v>11.34</v>
      </c>
      <c r="M1756" s="520">
        <v>12</v>
      </c>
      <c r="N1756" s="507">
        <v>0.10299999999999999</v>
      </c>
      <c r="O1756" s="507">
        <v>0.1</v>
      </c>
      <c r="P1756" s="507">
        <v>0.112</v>
      </c>
      <c r="Q1756" s="78">
        <v>0.44</v>
      </c>
      <c r="R1756" s="78">
        <v>0.31740000000000002</v>
      </c>
      <c r="S1756" s="69">
        <v>0</v>
      </c>
      <c r="T1756" s="69">
        <v>0</v>
      </c>
      <c r="U1756" s="507">
        <v>0.85</v>
      </c>
      <c r="V1756" s="76">
        <v>0</v>
      </c>
      <c r="W1756" s="76">
        <v>0</v>
      </c>
      <c r="X1756" s="76" t="s">
        <v>147</v>
      </c>
      <c r="Y1756" s="519" t="s">
        <v>469</v>
      </c>
    </row>
    <row r="1757" spans="1:25" x14ac:dyDescent="0.25">
      <c r="A1757" s="75" t="str">
        <f t="shared" si="61"/>
        <v>Pago_de_Hipoteca PFAE Premier Pago_Bajo_Puntual Si 11</v>
      </c>
      <c r="B1757" s="75" t="str">
        <f t="shared" si="60"/>
        <v>Pago_de_Hipoteca PFAE Premier Pago_Bajo_Puntual Si 11 0.103</v>
      </c>
      <c r="C1757" s="75" t="s">
        <v>173</v>
      </c>
      <c r="D1757" s="75" t="s">
        <v>168</v>
      </c>
      <c r="E1757" s="75" t="s">
        <v>143</v>
      </c>
      <c r="F1757" s="75"/>
      <c r="G1757" s="75"/>
      <c r="H1757" s="75"/>
      <c r="I1757" s="75" t="s">
        <v>170</v>
      </c>
      <c r="J1757" s="76">
        <v>11</v>
      </c>
      <c r="K1757" s="519" t="s">
        <v>387</v>
      </c>
      <c r="L1757" s="520">
        <v>11.92</v>
      </c>
      <c r="M1757" s="520">
        <v>12.58</v>
      </c>
      <c r="N1757" s="507">
        <v>0.10299999999999999</v>
      </c>
      <c r="O1757" s="507">
        <v>0.1</v>
      </c>
      <c r="P1757" s="507">
        <v>0.112</v>
      </c>
      <c r="Q1757" s="78">
        <v>0.44</v>
      </c>
      <c r="R1757" s="78">
        <v>0.31740000000000002</v>
      </c>
      <c r="S1757" s="69">
        <v>0</v>
      </c>
      <c r="T1757" s="69">
        <v>0</v>
      </c>
      <c r="U1757" s="507">
        <v>0.85</v>
      </c>
      <c r="V1757" s="76">
        <v>0</v>
      </c>
      <c r="W1757" s="76">
        <v>0</v>
      </c>
      <c r="X1757" s="76" t="s">
        <v>147</v>
      </c>
      <c r="Y1757" s="519" t="s">
        <v>469</v>
      </c>
    </row>
    <row r="1758" spans="1:25" x14ac:dyDescent="0.25">
      <c r="A1758" s="75" t="str">
        <f t="shared" si="61"/>
        <v>Pago_de_Hipoteca PFAE Premier Pago_Bajo_Puntual Si 10</v>
      </c>
      <c r="B1758" s="75" t="str">
        <f t="shared" si="60"/>
        <v>Pago_de_Hipoteca PFAE Premier Pago_Bajo_Puntual Si 10 0.103</v>
      </c>
      <c r="C1758" s="75" t="s">
        <v>173</v>
      </c>
      <c r="D1758" s="75" t="s">
        <v>168</v>
      </c>
      <c r="E1758" s="75" t="s">
        <v>143</v>
      </c>
      <c r="F1758" s="75"/>
      <c r="G1758" s="75"/>
      <c r="H1758" s="75"/>
      <c r="I1758" s="75" t="s">
        <v>170</v>
      </c>
      <c r="J1758" s="76">
        <v>10</v>
      </c>
      <c r="K1758" s="519" t="s">
        <v>387</v>
      </c>
      <c r="L1758" s="520">
        <v>12.62</v>
      </c>
      <c r="M1758" s="520">
        <v>13.28</v>
      </c>
      <c r="N1758" s="507">
        <v>0.10299999999999999</v>
      </c>
      <c r="O1758" s="507">
        <v>0.1</v>
      </c>
      <c r="P1758" s="507">
        <v>0.112</v>
      </c>
      <c r="Q1758" s="78">
        <v>0.44</v>
      </c>
      <c r="R1758" s="78">
        <v>0.31740000000000002</v>
      </c>
      <c r="S1758" s="69">
        <v>0</v>
      </c>
      <c r="T1758" s="69">
        <v>0</v>
      </c>
      <c r="U1758" s="507">
        <v>0.85</v>
      </c>
      <c r="V1758" s="76">
        <v>0</v>
      </c>
      <c r="W1758" s="76">
        <v>0</v>
      </c>
      <c r="X1758" s="76" t="s">
        <v>147</v>
      </c>
      <c r="Y1758" s="519" t="s">
        <v>469</v>
      </c>
    </row>
    <row r="1759" spans="1:25" x14ac:dyDescent="0.25">
      <c r="A1759" s="75" t="str">
        <f t="shared" si="61"/>
        <v>Pago_de_Hipoteca PFAE Premier Pago_Bajo_Puntual Si 9</v>
      </c>
      <c r="B1759" s="75" t="str">
        <f t="shared" si="60"/>
        <v>Pago_de_Hipoteca PFAE Premier Pago_Bajo_Puntual Si 9 0.103</v>
      </c>
      <c r="C1759" s="75" t="s">
        <v>173</v>
      </c>
      <c r="D1759" s="75" t="s">
        <v>168</v>
      </c>
      <c r="E1759" s="75" t="s">
        <v>143</v>
      </c>
      <c r="F1759" s="75"/>
      <c r="G1759" s="75"/>
      <c r="H1759" s="75"/>
      <c r="I1759" s="75" t="s">
        <v>170</v>
      </c>
      <c r="J1759" s="76">
        <v>9</v>
      </c>
      <c r="K1759" s="519" t="s">
        <v>387</v>
      </c>
      <c r="L1759" s="520">
        <v>13.49</v>
      </c>
      <c r="M1759" s="520">
        <v>14.15</v>
      </c>
      <c r="N1759" s="507">
        <v>0.10299999999999999</v>
      </c>
      <c r="O1759" s="507">
        <v>0.1</v>
      </c>
      <c r="P1759" s="507">
        <v>0.112</v>
      </c>
      <c r="Q1759" s="78">
        <v>0.44</v>
      </c>
      <c r="R1759" s="78">
        <v>0.31740000000000002</v>
      </c>
      <c r="S1759" s="69">
        <v>0</v>
      </c>
      <c r="T1759" s="69">
        <v>0</v>
      </c>
      <c r="U1759" s="507">
        <v>0.85</v>
      </c>
      <c r="V1759" s="76">
        <v>0</v>
      </c>
      <c r="W1759" s="76">
        <v>0</v>
      </c>
      <c r="X1759" s="76" t="s">
        <v>147</v>
      </c>
      <c r="Y1759" s="519" t="s">
        <v>469</v>
      </c>
    </row>
    <row r="1760" spans="1:25" x14ac:dyDescent="0.25">
      <c r="A1760" s="75" t="str">
        <f t="shared" si="61"/>
        <v>Pago_de_Hipoteca PFAE Premier Pago_Bajo_Puntual Si 8</v>
      </c>
      <c r="B1760" s="75" t="str">
        <f t="shared" si="60"/>
        <v>Pago_de_Hipoteca PFAE Premier Pago_Bajo_Puntual Si 8 0.103</v>
      </c>
      <c r="C1760" s="75" t="s">
        <v>173</v>
      </c>
      <c r="D1760" s="75" t="s">
        <v>168</v>
      </c>
      <c r="E1760" s="75" t="s">
        <v>143</v>
      </c>
      <c r="F1760" s="75"/>
      <c r="G1760" s="75"/>
      <c r="H1760" s="75"/>
      <c r="I1760" s="75" t="s">
        <v>170</v>
      </c>
      <c r="J1760" s="76">
        <v>8</v>
      </c>
      <c r="K1760" s="519" t="s">
        <v>387</v>
      </c>
      <c r="L1760" s="520">
        <v>14.59</v>
      </c>
      <c r="M1760" s="520">
        <v>15.25</v>
      </c>
      <c r="N1760" s="507">
        <v>0.10299999999999999</v>
      </c>
      <c r="O1760" s="507">
        <v>0.1</v>
      </c>
      <c r="P1760" s="507">
        <v>0.112</v>
      </c>
      <c r="Q1760" s="78">
        <v>0.44</v>
      </c>
      <c r="R1760" s="78">
        <v>0.31740000000000002</v>
      </c>
      <c r="S1760" s="69">
        <v>0</v>
      </c>
      <c r="T1760" s="69">
        <v>0</v>
      </c>
      <c r="U1760" s="507">
        <v>0.85</v>
      </c>
      <c r="V1760" s="76">
        <v>0</v>
      </c>
      <c r="W1760" s="76">
        <v>0</v>
      </c>
      <c r="X1760" s="76" t="s">
        <v>147</v>
      </c>
      <c r="Y1760" s="519" t="s">
        <v>469</v>
      </c>
    </row>
    <row r="1761" spans="1:25" x14ac:dyDescent="0.25">
      <c r="A1761" s="75" t="str">
        <f t="shared" si="61"/>
        <v>Pago_de_Hipoteca PFAE Premier Pago_Bajo_Puntual Si 7</v>
      </c>
      <c r="B1761" s="75" t="str">
        <f t="shared" si="60"/>
        <v>Pago_de_Hipoteca PFAE Premier Pago_Bajo_Puntual Si 7 0.103</v>
      </c>
      <c r="C1761" s="75" t="s">
        <v>173</v>
      </c>
      <c r="D1761" s="75" t="s">
        <v>168</v>
      </c>
      <c r="E1761" s="75" t="s">
        <v>143</v>
      </c>
      <c r="F1761" s="75"/>
      <c r="G1761" s="75"/>
      <c r="H1761" s="75"/>
      <c r="I1761" s="75" t="s">
        <v>170</v>
      </c>
      <c r="J1761" s="76">
        <v>7</v>
      </c>
      <c r="K1761" s="519" t="s">
        <v>387</v>
      </c>
      <c r="L1761" s="520">
        <v>16.03</v>
      </c>
      <c r="M1761" s="520">
        <v>16.690000000000001</v>
      </c>
      <c r="N1761" s="507">
        <v>0.10299999999999999</v>
      </c>
      <c r="O1761" s="507">
        <v>0.1</v>
      </c>
      <c r="P1761" s="507">
        <v>0.112</v>
      </c>
      <c r="Q1761" s="78">
        <v>0.44</v>
      </c>
      <c r="R1761" s="78">
        <v>0.31740000000000002</v>
      </c>
      <c r="S1761" s="69">
        <v>0</v>
      </c>
      <c r="T1761" s="69">
        <v>0</v>
      </c>
      <c r="U1761" s="507">
        <v>0.85</v>
      </c>
      <c r="V1761" s="76">
        <v>0</v>
      </c>
      <c r="W1761" s="76">
        <v>0</v>
      </c>
      <c r="X1761" s="76" t="s">
        <v>147</v>
      </c>
      <c r="Y1761" s="519" t="s">
        <v>469</v>
      </c>
    </row>
    <row r="1762" spans="1:25" x14ac:dyDescent="0.25">
      <c r="A1762" s="75" t="str">
        <f t="shared" si="61"/>
        <v>Pago_de_Hipoteca PFAE Premier Pago_Bajo_Puntual Si 6</v>
      </c>
      <c r="B1762" s="75" t="str">
        <f t="shared" si="60"/>
        <v>Pago_de_Hipoteca PFAE Premier Pago_Bajo_Puntual Si 6 0.103</v>
      </c>
      <c r="C1762" s="75" t="s">
        <v>173</v>
      </c>
      <c r="D1762" s="75" t="s">
        <v>168</v>
      </c>
      <c r="E1762" s="75" t="s">
        <v>143</v>
      </c>
      <c r="F1762" s="75"/>
      <c r="G1762" s="75"/>
      <c r="H1762" s="75"/>
      <c r="I1762" s="75" t="s">
        <v>170</v>
      </c>
      <c r="J1762" s="76">
        <v>6</v>
      </c>
      <c r="K1762" s="519" t="s">
        <v>387</v>
      </c>
      <c r="L1762" s="520">
        <v>17.97</v>
      </c>
      <c r="M1762" s="520">
        <v>18.63</v>
      </c>
      <c r="N1762" s="507">
        <v>0.10299999999999999</v>
      </c>
      <c r="O1762" s="507">
        <v>0.1</v>
      </c>
      <c r="P1762" s="507">
        <v>0.112</v>
      </c>
      <c r="Q1762" s="78">
        <v>0.44</v>
      </c>
      <c r="R1762" s="78">
        <v>0.31740000000000002</v>
      </c>
      <c r="S1762" s="69">
        <v>0</v>
      </c>
      <c r="T1762" s="69">
        <v>0</v>
      </c>
      <c r="U1762" s="507">
        <v>0.85</v>
      </c>
      <c r="V1762" s="76">
        <v>0</v>
      </c>
      <c r="W1762" s="76">
        <v>0</v>
      </c>
      <c r="X1762" s="76" t="s">
        <v>147</v>
      </c>
      <c r="Y1762" s="519" t="s">
        <v>469</v>
      </c>
    </row>
    <row r="1763" spans="1:25" x14ac:dyDescent="0.25">
      <c r="A1763" s="75" t="str">
        <f t="shared" si="61"/>
        <v>Pago_de_Hipoteca PFAE Premier Pago_Bajo_Puntual Si 5</v>
      </c>
      <c r="B1763" s="75" t="str">
        <f t="shared" si="60"/>
        <v>Pago_de_Hipoteca PFAE Premier Pago_Bajo_Puntual Si 5 0.103</v>
      </c>
      <c r="C1763" s="75" t="s">
        <v>173</v>
      </c>
      <c r="D1763" s="75" t="s">
        <v>168</v>
      </c>
      <c r="E1763" s="75" t="s">
        <v>143</v>
      </c>
      <c r="F1763" s="75"/>
      <c r="G1763" s="75"/>
      <c r="H1763" s="75"/>
      <c r="I1763" s="75" t="s">
        <v>170</v>
      </c>
      <c r="J1763" s="76">
        <v>5</v>
      </c>
      <c r="K1763" s="519" t="s">
        <v>387</v>
      </c>
      <c r="L1763" s="520">
        <v>20.72</v>
      </c>
      <c r="M1763" s="520">
        <v>21.38</v>
      </c>
      <c r="N1763" s="507">
        <v>0.10299999999999999</v>
      </c>
      <c r="O1763" s="507">
        <v>0.1</v>
      </c>
      <c r="P1763" s="507">
        <v>0.112</v>
      </c>
      <c r="Q1763" s="78">
        <v>0.44</v>
      </c>
      <c r="R1763" s="78">
        <v>0.31740000000000002</v>
      </c>
      <c r="S1763" s="69">
        <v>0</v>
      </c>
      <c r="T1763" s="69">
        <v>0</v>
      </c>
      <c r="U1763" s="507">
        <v>0.85</v>
      </c>
      <c r="V1763" s="76">
        <v>0</v>
      </c>
      <c r="W1763" s="76">
        <v>0</v>
      </c>
      <c r="X1763" s="76" t="s">
        <v>147</v>
      </c>
      <c r="Y1763" s="519" t="s">
        <v>469</v>
      </c>
    </row>
    <row r="1764" spans="1:25" x14ac:dyDescent="0.25">
      <c r="A1764" s="75" t="str">
        <f t="shared" si="61"/>
        <v>Pago_de_Hipoteca PFAE Premier Pago_Fijo_Puntual 20</v>
      </c>
      <c r="B1764" s="75" t="str">
        <f t="shared" si="60"/>
        <v>Pago_de_Hipoteca PFAE Premier Pago_Fijo_Puntual 20 0.0965</v>
      </c>
      <c r="C1764" s="75" t="s">
        <v>173</v>
      </c>
      <c r="D1764" s="75" t="s">
        <v>168</v>
      </c>
      <c r="E1764" s="75" t="s">
        <v>143</v>
      </c>
      <c r="F1764" s="75"/>
      <c r="G1764" s="75"/>
      <c r="H1764" s="75"/>
      <c r="I1764" s="75" t="s">
        <v>171</v>
      </c>
      <c r="J1764" s="76">
        <v>20</v>
      </c>
      <c r="K1764" s="516" t="s">
        <v>385</v>
      </c>
      <c r="L1764" s="517">
        <v>9.66</v>
      </c>
      <c r="M1764" s="517">
        <v>10.32</v>
      </c>
      <c r="N1764" s="518">
        <v>9.6500000000000002E-2</v>
      </c>
      <c r="O1764" s="518">
        <v>9.1999999999999998E-2</v>
      </c>
      <c r="P1764" s="518">
        <v>0.10249999999999999</v>
      </c>
      <c r="Q1764" s="78">
        <v>0.44</v>
      </c>
      <c r="R1764" s="78">
        <v>0.31740000000000002</v>
      </c>
      <c r="S1764" s="69">
        <v>0</v>
      </c>
      <c r="T1764" s="69">
        <v>0</v>
      </c>
      <c r="U1764" s="518">
        <v>0.7</v>
      </c>
      <c r="V1764" s="76">
        <v>0</v>
      </c>
      <c r="W1764" s="76">
        <v>0</v>
      </c>
      <c r="X1764" s="76"/>
      <c r="Y1764" s="516" t="s">
        <v>470</v>
      </c>
    </row>
    <row r="1765" spans="1:25" x14ac:dyDescent="0.25">
      <c r="A1765" s="75" t="str">
        <f t="shared" si="61"/>
        <v>Pago_de_Hipoteca PFAE Premier Pago_Fijo_Puntual 20</v>
      </c>
      <c r="B1765" s="75" t="str">
        <f t="shared" si="60"/>
        <v>Pago_de_Hipoteca PFAE Premier Pago_Fijo_Puntual 20 0.103</v>
      </c>
      <c r="C1765" s="75" t="s">
        <v>173</v>
      </c>
      <c r="D1765" s="75" t="s">
        <v>168</v>
      </c>
      <c r="E1765" s="75" t="s">
        <v>143</v>
      </c>
      <c r="F1765" s="75"/>
      <c r="G1765" s="75"/>
      <c r="H1765" s="75"/>
      <c r="I1765" s="75" t="s">
        <v>171</v>
      </c>
      <c r="J1765" s="76">
        <v>20</v>
      </c>
      <c r="K1765" s="516" t="s">
        <v>386</v>
      </c>
      <c r="L1765" s="517">
        <v>10.16</v>
      </c>
      <c r="M1765" s="517">
        <v>10.82</v>
      </c>
      <c r="N1765" s="518">
        <v>0.10299999999999999</v>
      </c>
      <c r="O1765" s="518">
        <v>0.1</v>
      </c>
      <c r="P1765" s="518">
        <v>0.112</v>
      </c>
      <c r="Q1765" s="78">
        <v>0.44</v>
      </c>
      <c r="R1765" s="78">
        <v>0.31740000000000002</v>
      </c>
      <c r="S1765" s="69">
        <v>0</v>
      </c>
      <c r="T1765" s="69">
        <v>0</v>
      </c>
      <c r="U1765" s="518">
        <v>0.7</v>
      </c>
      <c r="V1765" s="76">
        <v>0</v>
      </c>
      <c r="W1765" s="76">
        <v>0</v>
      </c>
      <c r="X1765" s="76"/>
      <c r="Y1765" s="516" t="s">
        <v>470</v>
      </c>
    </row>
    <row r="1766" spans="1:25" x14ac:dyDescent="0.25">
      <c r="A1766" s="75" t="str">
        <f t="shared" si="61"/>
        <v>Pago_de_Hipoteca PFAE Premier Pago_Fijo_Puntual 19</v>
      </c>
      <c r="B1766" s="75" t="str">
        <f t="shared" ref="B1766:B1828" si="62">CONCATENATE(A1766," ",N1766)</f>
        <v>Pago_de_Hipoteca PFAE Premier Pago_Fijo_Puntual 19 0.0965</v>
      </c>
      <c r="C1766" s="75" t="s">
        <v>173</v>
      </c>
      <c r="D1766" s="75" t="s">
        <v>168</v>
      </c>
      <c r="E1766" s="75" t="s">
        <v>143</v>
      </c>
      <c r="F1766" s="75"/>
      <c r="G1766" s="75"/>
      <c r="H1766" s="75"/>
      <c r="I1766" s="75" t="s">
        <v>171</v>
      </c>
      <c r="J1766" s="76">
        <v>19</v>
      </c>
      <c r="K1766" s="516" t="s">
        <v>385</v>
      </c>
      <c r="L1766" s="517">
        <v>9.82</v>
      </c>
      <c r="M1766" s="517">
        <v>10.48</v>
      </c>
      <c r="N1766" s="518">
        <v>9.6500000000000002E-2</v>
      </c>
      <c r="O1766" s="518">
        <v>9.1999999999999998E-2</v>
      </c>
      <c r="P1766" s="518">
        <v>0.10249999999999999</v>
      </c>
      <c r="Q1766" s="78">
        <v>0.44</v>
      </c>
      <c r="R1766" s="78">
        <v>0.31740000000000002</v>
      </c>
      <c r="S1766" s="69">
        <v>0</v>
      </c>
      <c r="T1766" s="69">
        <v>0</v>
      </c>
      <c r="U1766" s="518">
        <v>0.7</v>
      </c>
      <c r="V1766" s="76">
        <v>0</v>
      </c>
      <c r="W1766" s="76">
        <v>0</v>
      </c>
      <c r="X1766" s="76"/>
      <c r="Y1766" s="516" t="s">
        <v>470</v>
      </c>
    </row>
    <row r="1767" spans="1:25" x14ac:dyDescent="0.25">
      <c r="A1767" s="75" t="str">
        <f t="shared" ref="A1767:A1829" si="63">TRIM(CONCATENATE(C1767," ",D1767," ",E1767," ",F1767," ",G1767," ",I1767," ",X1767," ",J1767))</f>
        <v>Pago_de_Hipoteca PFAE Premier Pago_Fijo_Puntual 19</v>
      </c>
      <c r="B1767" s="75" t="str">
        <f t="shared" si="62"/>
        <v>Pago_de_Hipoteca PFAE Premier Pago_Fijo_Puntual 19 0.103</v>
      </c>
      <c r="C1767" s="75" t="s">
        <v>173</v>
      </c>
      <c r="D1767" s="75" t="s">
        <v>168</v>
      </c>
      <c r="E1767" s="75" t="s">
        <v>143</v>
      </c>
      <c r="F1767" s="75"/>
      <c r="G1767" s="75"/>
      <c r="H1767" s="75"/>
      <c r="I1767" s="75" t="s">
        <v>171</v>
      </c>
      <c r="J1767" s="76">
        <v>19</v>
      </c>
      <c r="K1767" s="516" t="s">
        <v>386</v>
      </c>
      <c r="L1767" s="517">
        <v>10.3</v>
      </c>
      <c r="M1767" s="517">
        <v>10.96</v>
      </c>
      <c r="N1767" s="518">
        <v>0.10299999999999999</v>
      </c>
      <c r="O1767" s="518">
        <v>0.1</v>
      </c>
      <c r="P1767" s="518">
        <v>0.112</v>
      </c>
      <c r="Q1767" s="78">
        <v>0.44</v>
      </c>
      <c r="R1767" s="78">
        <v>0.31740000000000002</v>
      </c>
      <c r="S1767" s="69">
        <v>0</v>
      </c>
      <c r="T1767" s="69">
        <v>0</v>
      </c>
      <c r="U1767" s="518">
        <v>0.7</v>
      </c>
      <c r="V1767" s="76">
        <v>0</v>
      </c>
      <c r="W1767" s="76">
        <v>0</v>
      </c>
      <c r="X1767" s="76"/>
      <c r="Y1767" s="516" t="s">
        <v>470</v>
      </c>
    </row>
    <row r="1768" spans="1:25" x14ac:dyDescent="0.25">
      <c r="A1768" s="75" t="str">
        <f t="shared" si="63"/>
        <v>Pago_de_Hipoteca PFAE Premier Pago_Fijo_Puntual 18</v>
      </c>
      <c r="B1768" s="75" t="str">
        <f t="shared" si="62"/>
        <v>Pago_de_Hipoteca PFAE Premier Pago_Fijo_Puntual 18 0.0965</v>
      </c>
      <c r="C1768" s="75" t="s">
        <v>173</v>
      </c>
      <c r="D1768" s="75" t="s">
        <v>168</v>
      </c>
      <c r="E1768" s="75" t="s">
        <v>143</v>
      </c>
      <c r="F1768" s="75"/>
      <c r="G1768" s="75"/>
      <c r="H1768" s="75"/>
      <c r="I1768" s="75" t="s">
        <v>171</v>
      </c>
      <c r="J1768" s="76">
        <v>18</v>
      </c>
      <c r="K1768" s="516" t="s">
        <v>385</v>
      </c>
      <c r="L1768" s="517">
        <v>10</v>
      </c>
      <c r="M1768" s="517">
        <v>10.66</v>
      </c>
      <c r="N1768" s="518">
        <v>9.6500000000000002E-2</v>
      </c>
      <c r="O1768" s="518">
        <v>9.1999999999999998E-2</v>
      </c>
      <c r="P1768" s="518">
        <v>0.10249999999999999</v>
      </c>
      <c r="Q1768" s="78">
        <v>0.44</v>
      </c>
      <c r="R1768" s="78">
        <v>0.31740000000000002</v>
      </c>
      <c r="S1768" s="69">
        <v>0</v>
      </c>
      <c r="T1768" s="69">
        <v>0</v>
      </c>
      <c r="U1768" s="518">
        <v>0.7</v>
      </c>
      <c r="V1768" s="76">
        <v>0</v>
      </c>
      <c r="W1768" s="76">
        <v>0</v>
      </c>
      <c r="X1768" s="76"/>
      <c r="Y1768" s="516" t="s">
        <v>470</v>
      </c>
    </row>
    <row r="1769" spans="1:25" x14ac:dyDescent="0.25">
      <c r="A1769" s="75" t="str">
        <f t="shared" si="63"/>
        <v>Pago_de_Hipoteca PFAE Premier Pago_Fijo_Puntual 18</v>
      </c>
      <c r="B1769" s="75" t="str">
        <f t="shared" si="62"/>
        <v>Pago_de_Hipoteca PFAE Premier Pago_Fijo_Puntual 18 0.103</v>
      </c>
      <c r="C1769" s="75" t="s">
        <v>173</v>
      </c>
      <c r="D1769" s="75" t="s">
        <v>168</v>
      </c>
      <c r="E1769" s="75" t="s">
        <v>143</v>
      </c>
      <c r="F1769" s="75"/>
      <c r="G1769" s="75"/>
      <c r="H1769" s="75"/>
      <c r="I1769" s="75" t="s">
        <v>171</v>
      </c>
      <c r="J1769" s="76">
        <v>18</v>
      </c>
      <c r="K1769" s="516" t="s">
        <v>386</v>
      </c>
      <c r="L1769" s="517">
        <v>10.47</v>
      </c>
      <c r="M1769" s="517">
        <v>11.13</v>
      </c>
      <c r="N1769" s="518">
        <v>0.10299999999999999</v>
      </c>
      <c r="O1769" s="518">
        <v>0.1</v>
      </c>
      <c r="P1769" s="518">
        <v>0.112</v>
      </c>
      <c r="Q1769" s="78">
        <v>0.44</v>
      </c>
      <c r="R1769" s="78">
        <v>0.31740000000000002</v>
      </c>
      <c r="S1769" s="69">
        <v>0</v>
      </c>
      <c r="T1769" s="69">
        <v>0</v>
      </c>
      <c r="U1769" s="518">
        <v>0.7</v>
      </c>
      <c r="V1769" s="76">
        <v>0</v>
      </c>
      <c r="W1769" s="76">
        <v>0</v>
      </c>
      <c r="X1769" s="76"/>
      <c r="Y1769" s="516" t="s">
        <v>470</v>
      </c>
    </row>
    <row r="1770" spans="1:25" x14ac:dyDescent="0.25">
      <c r="A1770" s="75" t="str">
        <f t="shared" si="63"/>
        <v>Pago_de_Hipoteca PFAE Premier Pago_Fijo_Puntual 17</v>
      </c>
      <c r="B1770" s="75" t="str">
        <f t="shared" si="62"/>
        <v>Pago_de_Hipoteca PFAE Premier Pago_Fijo_Puntual 17 0.0965</v>
      </c>
      <c r="C1770" s="75" t="s">
        <v>173</v>
      </c>
      <c r="D1770" s="75" t="s">
        <v>168</v>
      </c>
      <c r="E1770" s="75" t="s">
        <v>143</v>
      </c>
      <c r="F1770" s="75"/>
      <c r="G1770" s="75"/>
      <c r="H1770" s="75"/>
      <c r="I1770" s="75" t="s">
        <v>171</v>
      </c>
      <c r="J1770" s="76">
        <v>17</v>
      </c>
      <c r="K1770" s="516" t="s">
        <v>385</v>
      </c>
      <c r="L1770" s="517">
        <v>10.210000000000001</v>
      </c>
      <c r="M1770" s="517">
        <v>10.87</v>
      </c>
      <c r="N1770" s="518">
        <v>9.6500000000000002E-2</v>
      </c>
      <c r="O1770" s="518">
        <v>9.1999999999999998E-2</v>
      </c>
      <c r="P1770" s="518">
        <v>0.10249999999999999</v>
      </c>
      <c r="Q1770" s="78">
        <v>0.44</v>
      </c>
      <c r="R1770" s="78">
        <v>0.31740000000000002</v>
      </c>
      <c r="S1770" s="69">
        <v>0</v>
      </c>
      <c r="T1770" s="69">
        <v>0</v>
      </c>
      <c r="U1770" s="518">
        <v>0.7</v>
      </c>
      <c r="V1770" s="76">
        <v>0</v>
      </c>
      <c r="W1770" s="76">
        <v>0</v>
      </c>
      <c r="X1770" s="76"/>
      <c r="Y1770" s="516" t="s">
        <v>470</v>
      </c>
    </row>
    <row r="1771" spans="1:25" x14ac:dyDescent="0.25">
      <c r="A1771" s="75" t="str">
        <f t="shared" si="63"/>
        <v>Pago_de_Hipoteca PFAE Premier Pago_Fijo_Puntual 17</v>
      </c>
      <c r="B1771" s="75" t="str">
        <f t="shared" si="62"/>
        <v>Pago_de_Hipoteca PFAE Premier Pago_Fijo_Puntual 17 0.103</v>
      </c>
      <c r="C1771" s="75" t="s">
        <v>173</v>
      </c>
      <c r="D1771" s="75" t="s">
        <v>168</v>
      </c>
      <c r="E1771" s="75" t="s">
        <v>143</v>
      </c>
      <c r="F1771" s="75"/>
      <c r="G1771" s="75"/>
      <c r="H1771" s="75"/>
      <c r="I1771" s="75" t="s">
        <v>171</v>
      </c>
      <c r="J1771" s="76">
        <v>17</v>
      </c>
      <c r="K1771" s="516" t="s">
        <v>386</v>
      </c>
      <c r="L1771" s="517">
        <v>10.67</v>
      </c>
      <c r="M1771" s="517">
        <v>11.33</v>
      </c>
      <c r="N1771" s="518">
        <v>0.10299999999999999</v>
      </c>
      <c r="O1771" s="518">
        <v>0.1</v>
      </c>
      <c r="P1771" s="518">
        <v>0.112</v>
      </c>
      <c r="Q1771" s="78">
        <v>0.44</v>
      </c>
      <c r="R1771" s="78">
        <v>0.31740000000000002</v>
      </c>
      <c r="S1771" s="69">
        <v>0</v>
      </c>
      <c r="T1771" s="69">
        <v>0</v>
      </c>
      <c r="U1771" s="518">
        <v>0.7</v>
      </c>
      <c r="V1771" s="76">
        <v>0</v>
      </c>
      <c r="W1771" s="76">
        <v>0</v>
      </c>
      <c r="X1771" s="76"/>
      <c r="Y1771" s="516" t="s">
        <v>470</v>
      </c>
    </row>
    <row r="1772" spans="1:25" x14ac:dyDescent="0.25">
      <c r="A1772" s="75" t="str">
        <f t="shared" si="63"/>
        <v>Pago_de_Hipoteca PFAE Premier Pago_Fijo_Puntual 16</v>
      </c>
      <c r="B1772" s="75" t="str">
        <f t="shared" si="62"/>
        <v>Pago_de_Hipoteca PFAE Premier Pago_Fijo_Puntual 16 0.0965</v>
      </c>
      <c r="C1772" s="75" t="s">
        <v>173</v>
      </c>
      <c r="D1772" s="75" t="s">
        <v>168</v>
      </c>
      <c r="E1772" s="75" t="s">
        <v>143</v>
      </c>
      <c r="F1772" s="75"/>
      <c r="G1772" s="75"/>
      <c r="H1772" s="75"/>
      <c r="I1772" s="75" t="s">
        <v>171</v>
      </c>
      <c r="J1772" s="76">
        <v>16</v>
      </c>
      <c r="K1772" s="516" t="s">
        <v>385</v>
      </c>
      <c r="L1772" s="517">
        <v>10.45</v>
      </c>
      <c r="M1772" s="517">
        <v>11.11</v>
      </c>
      <c r="N1772" s="518">
        <v>9.6500000000000002E-2</v>
      </c>
      <c r="O1772" s="518">
        <v>9.1999999999999998E-2</v>
      </c>
      <c r="P1772" s="518">
        <v>0.10249999999999999</v>
      </c>
      <c r="Q1772" s="78">
        <v>0.44</v>
      </c>
      <c r="R1772" s="78">
        <v>0.31740000000000002</v>
      </c>
      <c r="S1772" s="69">
        <v>0</v>
      </c>
      <c r="T1772" s="69">
        <v>0</v>
      </c>
      <c r="U1772" s="518">
        <v>0.7</v>
      </c>
      <c r="V1772" s="76">
        <v>0</v>
      </c>
      <c r="W1772" s="76">
        <v>0</v>
      </c>
      <c r="X1772" s="76"/>
      <c r="Y1772" s="516" t="s">
        <v>470</v>
      </c>
    </row>
    <row r="1773" spans="1:25" x14ac:dyDescent="0.25">
      <c r="A1773" s="75" t="str">
        <f t="shared" si="63"/>
        <v>Pago_de_Hipoteca PFAE Premier Pago_Fijo_Puntual 16</v>
      </c>
      <c r="B1773" s="75" t="str">
        <f t="shared" si="62"/>
        <v>Pago_de_Hipoteca PFAE Premier Pago_Fijo_Puntual 16 0.103</v>
      </c>
      <c r="C1773" s="75" t="s">
        <v>173</v>
      </c>
      <c r="D1773" s="75" t="s">
        <v>168</v>
      </c>
      <c r="E1773" s="75" t="s">
        <v>143</v>
      </c>
      <c r="F1773" s="75"/>
      <c r="G1773" s="75"/>
      <c r="H1773" s="75"/>
      <c r="I1773" s="75" t="s">
        <v>171</v>
      </c>
      <c r="J1773" s="76">
        <v>16</v>
      </c>
      <c r="K1773" s="516" t="s">
        <v>386</v>
      </c>
      <c r="L1773" s="517">
        <v>10.9</v>
      </c>
      <c r="M1773" s="517">
        <v>11.56</v>
      </c>
      <c r="N1773" s="518">
        <v>0.10299999999999999</v>
      </c>
      <c r="O1773" s="518">
        <v>0.1</v>
      </c>
      <c r="P1773" s="518">
        <v>0.112</v>
      </c>
      <c r="Q1773" s="78">
        <v>0.44</v>
      </c>
      <c r="R1773" s="78">
        <v>0.31740000000000002</v>
      </c>
      <c r="S1773" s="69">
        <v>0</v>
      </c>
      <c r="T1773" s="69">
        <v>0</v>
      </c>
      <c r="U1773" s="518">
        <v>0.7</v>
      </c>
      <c r="V1773" s="76">
        <v>0</v>
      </c>
      <c r="W1773" s="76">
        <v>0</v>
      </c>
      <c r="X1773" s="76"/>
      <c r="Y1773" s="516" t="s">
        <v>470</v>
      </c>
    </row>
    <row r="1774" spans="1:25" x14ac:dyDescent="0.25">
      <c r="A1774" s="75" t="str">
        <f t="shared" si="63"/>
        <v>Pago_de_Hipoteca PFAE Premier Pago_Fijo_Puntual 15</v>
      </c>
      <c r="B1774" s="75" t="str">
        <f t="shared" si="62"/>
        <v>Pago_de_Hipoteca PFAE Premier Pago_Fijo_Puntual 15 0.0965</v>
      </c>
      <c r="C1774" s="75" t="s">
        <v>173</v>
      </c>
      <c r="D1774" s="75" t="s">
        <v>168</v>
      </c>
      <c r="E1774" s="75" t="s">
        <v>143</v>
      </c>
      <c r="F1774" s="75"/>
      <c r="G1774" s="75"/>
      <c r="H1774" s="75"/>
      <c r="I1774" s="75" t="s">
        <v>171</v>
      </c>
      <c r="J1774" s="76">
        <v>15</v>
      </c>
      <c r="K1774" s="516" t="s">
        <v>385</v>
      </c>
      <c r="L1774" s="517">
        <v>10.73</v>
      </c>
      <c r="M1774" s="517">
        <v>11.39</v>
      </c>
      <c r="N1774" s="518">
        <v>9.6500000000000002E-2</v>
      </c>
      <c r="O1774" s="518">
        <v>9.1999999999999998E-2</v>
      </c>
      <c r="P1774" s="518">
        <v>0.10249999999999999</v>
      </c>
      <c r="Q1774" s="78">
        <v>0.44</v>
      </c>
      <c r="R1774" s="78">
        <v>0.31740000000000002</v>
      </c>
      <c r="S1774" s="69">
        <v>0</v>
      </c>
      <c r="T1774" s="69">
        <v>0</v>
      </c>
      <c r="U1774" s="518">
        <v>0.7</v>
      </c>
      <c r="V1774" s="76">
        <v>0</v>
      </c>
      <c r="W1774" s="76">
        <v>0</v>
      </c>
      <c r="X1774" s="76"/>
      <c r="Y1774" s="516" t="s">
        <v>470</v>
      </c>
    </row>
    <row r="1775" spans="1:25" x14ac:dyDescent="0.25">
      <c r="A1775" s="75" t="str">
        <f t="shared" si="63"/>
        <v>Pago_de_Hipoteca PFAE Premier Pago_Fijo_Puntual 15</v>
      </c>
      <c r="B1775" s="75" t="str">
        <f t="shared" si="62"/>
        <v>Pago_de_Hipoteca PFAE Premier Pago_Fijo_Puntual 15 0.103</v>
      </c>
      <c r="C1775" s="75" t="s">
        <v>173</v>
      </c>
      <c r="D1775" s="75" t="s">
        <v>168</v>
      </c>
      <c r="E1775" s="75" t="s">
        <v>143</v>
      </c>
      <c r="F1775" s="75"/>
      <c r="G1775" s="75"/>
      <c r="H1775" s="75"/>
      <c r="I1775" s="75" t="s">
        <v>171</v>
      </c>
      <c r="J1775" s="76">
        <v>15</v>
      </c>
      <c r="K1775" s="516" t="s">
        <v>386</v>
      </c>
      <c r="L1775" s="517">
        <v>11.18</v>
      </c>
      <c r="M1775" s="517">
        <v>11.84</v>
      </c>
      <c r="N1775" s="518">
        <v>0.10299999999999999</v>
      </c>
      <c r="O1775" s="518">
        <v>0.1</v>
      </c>
      <c r="P1775" s="518">
        <v>0.112</v>
      </c>
      <c r="Q1775" s="78">
        <v>0.44</v>
      </c>
      <c r="R1775" s="78">
        <v>0.31740000000000002</v>
      </c>
      <c r="S1775" s="69">
        <v>0</v>
      </c>
      <c r="T1775" s="69">
        <v>0</v>
      </c>
      <c r="U1775" s="518">
        <v>0.7</v>
      </c>
      <c r="V1775" s="76">
        <v>0</v>
      </c>
      <c r="W1775" s="76">
        <v>0</v>
      </c>
      <c r="X1775" s="76"/>
      <c r="Y1775" s="516" t="s">
        <v>470</v>
      </c>
    </row>
    <row r="1776" spans="1:25" x14ac:dyDescent="0.25">
      <c r="A1776" s="75" t="str">
        <f t="shared" si="63"/>
        <v>Pago_de_Hipoteca PFAE Premier Pago_Fijo_Puntual 14</v>
      </c>
      <c r="B1776" s="75" t="str">
        <f t="shared" si="62"/>
        <v>Pago_de_Hipoteca PFAE Premier Pago_Fijo_Puntual 14 0.0965</v>
      </c>
      <c r="C1776" s="75" t="s">
        <v>173</v>
      </c>
      <c r="D1776" s="75" t="s">
        <v>168</v>
      </c>
      <c r="E1776" s="75" t="s">
        <v>143</v>
      </c>
      <c r="F1776" s="75"/>
      <c r="G1776" s="75"/>
      <c r="H1776" s="75"/>
      <c r="I1776" s="75" t="s">
        <v>171</v>
      </c>
      <c r="J1776" s="76">
        <v>14</v>
      </c>
      <c r="K1776" s="516" t="s">
        <v>385</v>
      </c>
      <c r="L1776" s="517">
        <v>11.06</v>
      </c>
      <c r="M1776" s="517">
        <v>11.72</v>
      </c>
      <c r="N1776" s="518">
        <v>9.6500000000000002E-2</v>
      </c>
      <c r="O1776" s="518">
        <v>9.1999999999999998E-2</v>
      </c>
      <c r="P1776" s="518">
        <v>0.10249999999999999</v>
      </c>
      <c r="Q1776" s="78">
        <v>0.44</v>
      </c>
      <c r="R1776" s="78">
        <v>0.31740000000000002</v>
      </c>
      <c r="S1776" s="69">
        <v>0</v>
      </c>
      <c r="T1776" s="69">
        <v>0</v>
      </c>
      <c r="U1776" s="518">
        <v>0.7</v>
      </c>
      <c r="V1776" s="76">
        <v>0</v>
      </c>
      <c r="W1776" s="76">
        <v>0</v>
      </c>
      <c r="X1776" s="76"/>
      <c r="Y1776" s="516" t="s">
        <v>470</v>
      </c>
    </row>
    <row r="1777" spans="1:25" x14ac:dyDescent="0.25">
      <c r="A1777" s="75" t="str">
        <f t="shared" si="63"/>
        <v>Pago_de_Hipoteca PFAE Premier Pago_Fijo_Puntual 14</v>
      </c>
      <c r="B1777" s="75" t="str">
        <f t="shared" si="62"/>
        <v>Pago_de_Hipoteca PFAE Premier Pago_Fijo_Puntual 14 0.103</v>
      </c>
      <c r="C1777" s="75" t="s">
        <v>173</v>
      </c>
      <c r="D1777" s="75" t="s">
        <v>168</v>
      </c>
      <c r="E1777" s="75" t="s">
        <v>143</v>
      </c>
      <c r="F1777" s="75"/>
      <c r="G1777" s="75"/>
      <c r="H1777" s="75"/>
      <c r="I1777" s="75" t="s">
        <v>171</v>
      </c>
      <c r="J1777" s="76">
        <v>14</v>
      </c>
      <c r="K1777" s="516" t="s">
        <v>386</v>
      </c>
      <c r="L1777" s="517">
        <v>11.49</v>
      </c>
      <c r="M1777" s="517">
        <v>12.15</v>
      </c>
      <c r="N1777" s="518">
        <v>0.10299999999999999</v>
      </c>
      <c r="O1777" s="518">
        <v>0.1</v>
      </c>
      <c r="P1777" s="518">
        <v>0.112</v>
      </c>
      <c r="Q1777" s="78">
        <v>0.44</v>
      </c>
      <c r="R1777" s="78">
        <v>0.31740000000000002</v>
      </c>
      <c r="S1777" s="69">
        <v>0</v>
      </c>
      <c r="T1777" s="69">
        <v>0</v>
      </c>
      <c r="U1777" s="518">
        <v>0.7</v>
      </c>
      <c r="V1777" s="76">
        <v>0</v>
      </c>
      <c r="W1777" s="76">
        <v>0</v>
      </c>
      <c r="X1777" s="76"/>
      <c r="Y1777" s="516" t="s">
        <v>470</v>
      </c>
    </row>
    <row r="1778" spans="1:25" x14ac:dyDescent="0.25">
      <c r="A1778" s="75" t="str">
        <f t="shared" si="63"/>
        <v>Pago_de_Hipoteca PFAE Premier Pago_Fijo_Puntual 13</v>
      </c>
      <c r="B1778" s="75" t="str">
        <f t="shared" si="62"/>
        <v>Pago_de_Hipoteca PFAE Premier Pago_Fijo_Puntual 13 0.0965</v>
      </c>
      <c r="C1778" s="75" t="s">
        <v>173</v>
      </c>
      <c r="D1778" s="75" t="s">
        <v>168</v>
      </c>
      <c r="E1778" s="75" t="s">
        <v>143</v>
      </c>
      <c r="F1778" s="75"/>
      <c r="G1778" s="75"/>
      <c r="H1778" s="75"/>
      <c r="I1778" s="75" t="s">
        <v>171</v>
      </c>
      <c r="J1778" s="76">
        <v>13</v>
      </c>
      <c r="K1778" s="516" t="s">
        <v>385</v>
      </c>
      <c r="L1778" s="517">
        <v>11.45</v>
      </c>
      <c r="M1778" s="517">
        <v>12.11</v>
      </c>
      <c r="N1778" s="518">
        <v>9.6500000000000002E-2</v>
      </c>
      <c r="O1778" s="518">
        <v>9.1999999999999998E-2</v>
      </c>
      <c r="P1778" s="518">
        <v>0.10249999999999999</v>
      </c>
      <c r="Q1778" s="78">
        <v>0.44</v>
      </c>
      <c r="R1778" s="78">
        <v>0.31740000000000002</v>
      </c>
      <c r="S1778" s="69">
        <v>0</v>
      </c>
      <c r="T1778" s="69">
        <v>0</v>
      </c>
      <c r="U1778" s="518">
        <v>0.7</v>
      </c>
      <c r="V1778" s="76">
        <v>0</v>
      </c>
      <c r="W1778" s="76">
        <v>0</v>
      </c>
      <c r="X1778" s="76"/>
      <c r="Y1778" s="516" t="s">
        <v>470</v>
      </c>
    </row>
    <row r="1779" spans="1:25" x14ac:dyDescent="0.25">
      <c r="A1779" s="75" t="str">
        <f t="shared" si="63"/>
        <v>Pago_de_Hipoteca PFAE Premier Pago_Fijo_Puntual 13</v>
      </c>
      <c r="B1779" s="75" t="str">
        <f t="shared" si="62"/>
        <v>Pago_de_Hipoteca PFAE Premier Pago_Fijo_Puntual 13 0.103</v>
      </c>
      <c r="C1779" s="75" t="s">
        <v>173</v>
      </c>
      <c r="D1779" s="75" t="s">
        <v>168</v>
      </c>
      <c r="E1779" s="75" t="s">
        <v>143</v>
      </c>
      <c r="F1779" s="75"/>
      <c r="G1779" s="75"/>
      <c r="H1779" s="75"/>
      <c r="I1779" s="75" t="s">
        <v>171</v>
      </c>
      <c r="J1779" s="76">
        <v>13</v>
      </c>
      <c r="K1779" s="516" t="s">
        <v>386</v>
      </c>
      <c r="L1779" s="517">
        <v>11.86</v>
      </c>
      <c r="M1779" s="517">
        <v>12.52</v>
      </c>
      <c r="N1779" s="518">
        <v>0.10299999999999999</v>
      </c>
      <c r="O1779" s="518">
        <v>0.1</v>
      </c>
      <c r="P1779" s="518">
        <v>0.112</v>
      </c>
      <c r="Q1779" s="78">
        <v>0.44</v>
      </c>
      <c r="R1779" s="78">
        <v>0.31740000000000002</v>
      </c>
      <c r="S1779" s="69">
        <v>0</v>
      </c>
      <c r="T1779" s="69">
        <v>0</v>
      </c>
      <c r="U1779" s="518">
        <v>0.7</v>
      </c>
      <c r="V1779" s="76">
        <v>0</v>
      </c>
      <c r="W1779" s="76">
        <v>0</v>
      </c>
      <c r="X1779" s="76"/>
      <c r="Y1779" s="516" t="s">
        <v>470</v>
      </c>
    </row>
    <row r="1780" spans="1:25" x14ac:dyDescent="0.25">
      <c r="A1780" s="75" t="str">
        <f t="shared" si="63"/>
        <v>Pago_de_Hipoteca PFAE Premier Pago_Fijo_Puntual 12</v>
      </c>
      <c r="B1780" s="75" t="str">
        <f t="shared" si="62"/>
        <v>Pago_de_Hipoteca PFAE Premier Pago_Fijo_Puntual 12 0.0965</v>
      </c>
      <c r="C1780" s="75" t="s">
        <v>173</v>
      </c>
      <c r="D1780" s="75" t="s">
        <v>168</v>
      </c>
      <c r="E1780" s="75" t="s">
        <v>143</v>
      </c>
      <c r="F1780" s="75"/>
      <c r="G1780" s="75"/>
      <c r="H1780" s="75"/>
      <c r="I1780" s="75" t="s">
        <v>171</v>
      </c>
      <c r="J1780" s="76">
        <v>12</v>
      </c>
      <c r="K1780" s="516" t="s">
        <v>385</v>
      </c>
      <c r="L1780" s="517">
        <v>11.91</v>
      </c>
      <c r="M1780" s="517">
        <v>12.57</v>
      </c>
      <c r="N1780" s="518">
        <v>9.6500000000000002E-2</v>
      </c>
      <c r="O1780" s="518">
        <v>9.1999999999999998E-2</v>
      </c>
      <c r="P1780" s="518">
        <v>0.10249999999999999</v>
      </c>
      <c r="Q1780" s="78">
        <v>0.44</v>
      </c>
      <c r="R1780" s="78">
        <v>0.31740000000000002</v>
      </c>
      <c r="S1780" s="69">
        <v>0</v>
      </c>
      <c r="T1780" s="69">
        <v>0</v>
      </c>
      <c r="U1780" s="518">
        <v>0.7</v>
      </c>
      <c r="V1780" s="76">
        <v>0</v>
      </c>
      <c r="W1780" s="76">
        <v>0</v>
      </c>
      <c r="X1780" s="76"/>
      <c r="Y1780" s="516" t="s">
        <v>470</v>
      </c>
    </row>
    <row r="1781" spans="1:25" x14ac:dyDescent="0.25">
      <c r="A1781" s="75" t="str">
        <f t="shared" si="63"/>
        <v>Pago_de_Hipoteca PFAE Premier Pago_Fijo_Puntual 12</v>
      </c>
      <c r="B1781" s="75" t="str">
        <f t="shared" si="62"/>
        <v>Pago_de_Hipoteca PFAE Premier Pago_Fijo_Puntual 12 0.103</v>
      </c>
      <c r="C1781" s="75" t="s">
        <v>173</v>
      </c>
      <c r="D1781" s="75" t="s">
        <v>168</v>
      </c>
      <c r="E1781" s="75" t="s">
        <v>143</v>
      </c>
      <c r="F1781" s="75"/>
      <c r="G1781" s="75"/>
      <c r="H1781" s="75"/>
      <c r="I1781" s="75" t="s">
        <v>171</v>
      </c>
      <c r="J1781" s="76">
        <v>12</v>
      </c>
      <c r="K1781" s="516" t="s">
        <v>386</v>
      </c>
      <c r="L1781" s="517">
        <v>12.31</v>
      </c>
      <c r="M1781" s="517">
        <v>12.97</v>
      </c>
      <c r="N1781" s="518">
        <v>0.10299999999999999</v>
      </c>
      <c r="O1781" s="518">
        <v>0.1</v>
      </c>
      <c r="P1781" s="518">
        <v>0.112</v>
      </c>
      <c r="Q1781" s="78">
        <v>0.44</v>
      </c>
      <c r="R1781" s="78">
        <v>0.31740000000000002</v>
      </c>
      <c r="S1781" s="69">
        <v>0</v>
      </c>
      <c r="T1781" s="69">
        <v>0</v>
      </c>
      <c r="U1781" s="518">
        <v>0.7</v>
      </c>
      <c r="V1781" s="76">
        <v>0</v>
      </c>
      <c r="W1781" s="76">
        <v>0</v>
      </c>
      <c r="X1781" s="76"/>
      <c r="Y1781" s="516" t="s">
        <v>470</v>
      </c>
    </row>
    <row r="1782" spans="1:25" x14ac:dyDescent="0.25">
      <c r="A1782" s="75" t="str">
        <f t="shared" si="63"/>
        <v>Pago_de_Hipoteca PFAE Premier Pago_Fijo_Puntual 11</v>
      </c>
      <c r="B1782" s="75" t="str">
        <f t="shared" si="62"/>
        <v>Pago_de_Hipoteca PFAE Premier Pago_Fijo_Puntual 11 0.0965</v>
      </c>
      <c r="C1782" s="75" t="s">
        <v>173</v>
      </c>
      <c r="D1782" s="75" t="s">
        <v>168</v>
      </c>
      <c r="E1782" s="75" t="s">
        <v>143</v>
      </c>
      <c r="F1782" s="75"/>
      <c r="G1782" s="75"/>
      <c r="H1782" s="75"/>
      <c r="I1782" s="75" t="s">
        <v>171</v>
      </c>
      <c r="J1782" s="76">
        <v>11</v>
      </c>
      <c r="K1782" s="516" t="s">
        <v>385</v>
      </c>
      <c r="L1782" s="517">
        <v>12.47</v>
      </c>
      <c r="M1782" s="517">
        <v>13.13</v>
      </c>
      <c r="N1782" s="518">
        <v>9.6500000000000002E-2</v>
      </c>
      <c r="O1782" s="518">
        <v>9.1999999999999998E-2</v>
      </c>
      <c r="P1782" s="518">
        <v>0.10249999999999999</v>
      </c>
      <c r="Q1782" s="78">
        <v>0.44</v>
      </c>
      <c r="R1782" s="78">
        <v>0.31740000000000002</v>
      </c>
      <c r="S1782" s="69">
        <v>0</v>
      </c>
      <c r="T1782" s="69">
        <v>0</v>
      </c>
      <c r="U1782" s="518">
        <v>0.7</v>
      </c>
      <c r="V1782" s="76">
        <v>0</v>
      </c>
      <c r="W1782" s="76">
        <v>0</v>
      </c>
      <c r="X1782" s="76"/>
      <c r="Y1782" s="516" t="s">
        <v>470</v>
      </c>
    </row>
    <row r="1783" spans="1:25" x14ac:dyDescent="0.25">
      <c r="A1783" s="75" t="str">
        <f t="shared" si="63"/>
        <v>Pago_de_Hipoteca PFAE Premier Pago_Fijo_Puntual 11</v>
      </c>
      <c r="B1783" s="75" t="str">
        <f t="shared" si="62"/>
        <v>Pago_de_Hipoteca PFAE Premier Pago_Fijo_Puntual 11 0.103</v>
      </c>
      <c r="C1783" s="75" t="s">
        <v>173</v>
      </c>
      <c r="D1783" s="75" t="s">
        <v>168</v>
      </c>
      <c r="E1783" s="75" t="s">
        <v>143</v>
      </c>
      <c r="F1783" s="75"/>
      <c r="G1783" s="75"/>
      <c r="H1783" s="75"/>
      <c r="I1783" s="75" t="s">
        <v>171</v>
      </c>
      <c r="J1783" s="76">
        <v>11</v>
      </c>
      <c r="K1783" s="516" t="s">
        <v>386</v>
      </c>
      <c r="L1783" s="517">
        <v>12.86</v>
      </c>
      <c r="M1783" s="517">
        <v>13.52</v>
      </c>
      <c r="N1783" s="518">
        <v>0.10299999999999999</v>
      </c>
      <c r="O1783" s="518">
        <v>0.1</v>
      </c>
      <c r="P1783" s="518">
        <v>0.112</v>
      </c>
      <c r="Q1783" s="78">
        <v>0.44</v>
      </c>
      <c r="R1783" s="78">
        <v>0.31740000000000002</v>
      </c>
      <c r="S1783" s="69">
        <v>0</v>
      </c>
      <c r="T1783" s="69">
        <v>0</v>
      </c>
      <c r="U1783" s="518">
        <v>0.7</v>
      </c>
      <c r="V1783" s="76">
        <v>0</v>
      </c>
      <c r="W1783" s="76">
        <v>0</v>
      </c>
      <c r="X1783" s="76"/>
      <c r="Y1783" s="516" t="s">
        <v>470</v>
      </c>
    </row>
    <row r="1784" spans="1:25" x14ac:dyDescent="0.25">
      <c r="A1784" s="75" t="str">
        <f t="shared" si="63"/>
        <v>Pago_de_Hipoteca PFAE Premier Pago_Fijo_Puntual 10</v>
      </c>
      <c r="B1784" s="75" t="str">
        <f t="shared" si="62"/>
        <v>Pago_de_Hipoteca PFAE Premier Pago_Fijo_Puntual 10 0.0965</v>
      </c>
      <c r="C1784" s="75" t="s">
        <v>173</v>
      </c>
      <c r="D1784" s="75" t="s">
        <v>168</v>
      </c>
      <c r="E1784" s="75" t="s">
        <v>143</v>
      </c>
      <c r="F1784" s="75"/>
      <c r="G1784" s="75"/>
      <c r="H1784" s="75"/>
      <c r="I1784" s="75" t="s">
        <v>171</v>
      </c>
      <c r="J1784" s="76">
        <v>10</v>
      </c>
      <c r="K1784" s="516" t="s">
        <v>385</v>
      </c>
      <c r="L1784" s="517">
        <v>13.16</v>
      </c>
      <c r="M1784" s="517">
        <v>13.82</v>
      </c>
      <c r="N1784" s="518">
        <v>9.6500000000000002E-2</v>
      </c>
      <c r="O1784" s="518">
        <v>9.1999999999999998E-2</v>
      </c>
      <c r="P1784" s="518">
        <v>0.10249999999999999</v>
      </c>
      <c r="Q1784" s="78">
        <v>0.44</v>
      </c>
      <c r="R1784" s="78">
        <v>0.31740000000000002</v>
      </c>
      <c r="S1784" s="69">
        <v>0</v>
      </c>
      <c r="T1784" s="69">
        <v>0</v>
      </c>
      <c r="U1784" s="518">
        <v>0.7</v>
      </c>
      <c r="V1784" s="76">
        <v>0</v>
      </c>
      <c r="W1784" s="76">
        <v>0</v>
      </c>
      <c r="X1784" s="76"/>
      <c r="Y1784" s="516" t="s">
        <v>470</v>
      </c>
    </row>
    <row r="1785" spans="1:25" x14ac:dyDescent="0.25">
      <c r="A1785" s="75" t="str">
        <f t="shared" si="63"/>
        <v>Pago_de_Hipoteca PFAE Premier Pago_Fijo_Puntual 10</v>
      </c>
      <c r="B1785" s="75" t="str">
        <f t="shared" si="62"/>
        <v>Pago_de_Hipoteca PFAE Premier Pago_Fijo_Puntual 10 0.103</v>
      </c>
      <c r="C1785" s="75" t="s">
        <v>173</v>
      </c>
      <c r="D1785" s="75" t="s">
        <v>168</v>
      </c>
      <c r="E1785" s="75" t="s">
        <v>143</v>
      </c>
      <c r="F1785" s="75"/>
      <c r="G1785" s="75"/>
      <c r="H1785" s="75"/>
      <c r="I1785" s="75" t="s">
        <v>171</v>
      </c>
      <c r="J1785" s="76">
        <v>10</v>
      </c>
      <c r="K1785" s="516" t="s">
        <v>386</v>
      </c>
      <c r="L1785" s="517">
        <v>13.54</v>
      </c>
      <c r="M1785" s="517">
        <v>14.2</v>
      </c>
      <c r="N1785" s="518">
        <v>0.10299999999999999</v>
      </c>
      <c r="O1785" s="518">
        <v>0.1</v>
      </c>
      <c r="P1785" s="518">
        <v>0.112</v>
      </c>
      <c r="Q1785" s="78">
        <v>0.44</v>
      </c>
      <c r="R1785" s="78">
        <v>0.31740000000000002</v>
      </c>
      <c r="S1785" s="69">
        <v>0</v>
      </c>
      <c r="T1785" s="69">
        <v>0</v>
      </c>
      <c r="U1785" s="518">
        <v>0.7</v>
      </c>
      <c r="V1785" s="76">
        <v>0</v>
      </c>
      <c r="W1785" s="76">
        <v>0</v>
      </c>
      <c r="X1785" s="76"/>
      <c r="Y1785" s="516" t="s">
        <v>470</v>
      </c>
    </row>
    <row r="1786" spans="1:25" x14ac:dyDescent="0.25">
      <c r="A1786" s="75" t="str">
        <f t="shared" si="63"/>
        <v>Pago_de_Hipoteca PFAE Premier Pago_Fijo_Puntual 9</v>
      </c>
      <c r="B1786" s="75" t="str">
        <f t="shared" si="62"/>
        <v>Pago_de_Hipoteca PFAE Premier Pago_Fijo_Puntual 9 0.0965</v>
      </c>
      <c r="C1786" s="75" t="s">
        <v>173</v>
      </c>
      <c r="D1786" s="75" t="s">
        <v>168</v>
      </c>
      <c r="E1786" s="75" t="s">
        <v>143</v>
      </c>
      <c r="F1786" s="75"/>
      <c r="G1786" s="75"/>
      <c r="H1786" s="75"/>
      <c r="I1786" s="75" t="s">
        <v>171</v>
      </c>
      <c r="J1786" s="76">
        <v>9</v>
      </c>
      <c r="K1786" s="516" t="s">
        <v>385</v>
      </c>
      <c r="L1786" s="517">
        <v>14.01</v>
      </c>
      <c r="M1786" s="517">
        <v>14.67</v>
      </c>
      <c r="N1786" s="518">
        <v>9.6500000000000002E-2</v>
      </c>
      <c r="O1786" s="518">
        <v>9.1999999999999998E-2</v>
      </c>
      <c r="P1786" s="518">
        <v>0.10249999999999999</v>
      </c>
      <c r="Q1786" s="78">
        <v>0.44</v>
      </c>
      <c r="R1786" s="78">
        <v>0.31740000000000002</v>
      </c>
      <c r="S1786" s="69">
        <v>0</v>
      </c>
      <c r="T1786" s="69">
        <v>0</v>
      </c>
      <c r="U1786" s="518">
        <v>0.7</v>
      </c>
      <c r="V1786" s="76">
        <v>0</v>
      </c>
      <c r="W1786" s="76">
        <v>0</v>
      </c>
      <c r="X1786" s="76"/>
      <c r="Y1786" s="516" t="s">
        <v>470</v>
      </c>
    </row>
    <row r="1787" spans="1:25" x14ac:dyDescent="0.25">
      <c r="A1787" s="75" t="str">
        <f t="shared" si="63"/>
        <v>Pago_de_Hipoteca PFAE Premier Pago_Fijo_Puntual 9</v>
      </c>
      <c r="B1787" s="75" t="str">
        <f t="shared" si="62"/>
        <v>Pago_de_Hipoteca PFAE Premier Pago_Fijo_Puntual 9 0.103</v>
      </c>
      <c r="C1787" s="75" t="s">
        <v>173</v>
      </c>
      <c r="D1787" s="75" t="s">
        <v>168</v>
      </c>
      <c r="E1787" s="75" t="s">
        <v>143</v>
      </c>
      <c r="F1787" s="75"/>
      <c r="G1787" s="75"/>
      <c r="H1787" s="75"/>
      <c r="I1787" s="75" t="s">
        <v>171</v>
      </c>
      <c r="J1787" s="76">
        <v>9</v>
      </c>
      <c r="K1787" s="516" t="s">
        <v>386</v>
      </c>
      <c r="L1787" s="517">
        <v>14.37</v>
      </c>
      <c r="M1787" s="517">
        <v>15.03</v>
      </c>
      <c r="N1787" s="518">
        <v>0.10299999999999999</v>
      </c>
      <c r="O1787" s="518">
        <v>0.1</v>
      </c>
      <c r="P1787" s="518">
        <v>0.112</v>
      </c>
      <c r="Q1787" s="78">
        <v>0.44</v>
      </c>
      <c r="R1787" s="78">
        <v>0.31740000000000002</v>
      </c>
      <c r="S1787" s="69">
        <v>0</v>
      </c>
      <c r="T1787" s="69">
        <v>0</v>
      </c>
      <c r="U1787" s="518">
        <v>0.7</v>
      </c>
      <c r="V1787" s="76">
        <v>0</v>
      </c>
      <c r="W1787" s="76">
        <v>0</v>
      </c>
      <c r="X1787" s="76"/>
      <c r="Y1787" s="516" t="s">
        <v>470</v>
      </c>
    </row>
    <row r="1788" spans="1:25" x14ac:dyDescent="0.25">
      <c r="A1788" s="75" t="str">
        <f t="shared" si="63"/>
        <v>Pago_de_Hipoteca PFAE Premier Pago_Fijo_Puntual 8</v>
      </c>
      <c r="B1788" s="75" t="str">
        <f t="shared" si="62"/>
        <v>Pago_de_Hipoteca PFAE Premier Pago_Fijo_Puntual 8 0.0965</v>
      </c>
      <c r="C1788" s="75" t="s">
        <v>173</v>
      </c>
      <c r="D1788" s="75" t="s">
        <v>168</v>
      </c>
      <c r="E1788" s="75" t="s">
        <v>143</v>
      </c>
      <c r="F1788" s="75"/>
      <c r="G1788" s="75"/>
      <c r="H1788" s="75"/>
      <c r="I1788" s="75" t="s">
        <v>171</v>
      </c>
      <c r="J1788" s="76">
        <v>8</v>
      </c>
      <c r="K1788" s="516" t="s">
        <v>385</v>
      </c>
      <c r="L1788" s="517">
        <v>15.09</v>
      </c>
      <c r="M1788" s="517">
        <v>15.75</v>
      </c>
      <c r="N1788" s="518">
        <v>9.6500000000000002E-2</v>
      </c>
      <c r="O1788" s="518">
        <v>9.1999999999999998E-2</v>
      </c>
      <c r="P1788" s="518">
        <v>0.10249999999999999</v>
      </c>
      <c r="Q1788" s="78">
        <v>0.44</v>
      </c>
      <c r="R1788" s="78">
        <v>0.31740000000000002</v>
      </c>
      <c r="S1788" s="69">
        <v>0</v>
      </c>
      <c r="T1788" s="69">
        <v>0</v>
      </c>
      <c r="U1788" s="518">
        <v>0.7</v>
      </c>
      <c r="V1788" s="76">
        <v>0</v>
      </c>
      <c r="W1788" s="76">
        <v>0</v>
      </c>
      <c r="X1788" s="76"/>
      <c r="Y1788" s="516" t="s">
        <v>470</v>
      </c>
    </row>
    <row r="1789" spans="1:25" x14ac:dyDescent="0.25">
      <c r="A1789" s="75" t="str">
        <f t="shared" si="63"/>
        <v>Pago_de_Hipoteca PFAE Premier Pago_Fijo_Puntual 8</v>
      </c>
      <c r="B1789" s="75" t="str">
        <f t="shared" si="62"/>
        <v>Pago_de_Hipoteca PFAE Premier Pago_Fijo_Puntual 8 0.103</v>
      </c>
      <c r="C1789" s="75" t="s">
        <v>173</v>
      </c>
      <c r="D1789" s="75" t="s">
        <v>168</v>
      </c>
      <c r="E1789" s="75" t="s">
        <v>143</v>
      </c>
      <c r="F1789" s="75"/>
      <c r="G1789" s="75"/>
      <c r="H1789" s="75"/>
      <c r="I1789" s="75" t="s">
        <v>171</v>
      </c>
      <c r="J1789" s="76">
        <v>8</v>
      </c>
      <c r="K1789" s="516" t="s">
        <v>386</v>
      </c>
      <c r="L1789" s="517">
        <v>15.44</v>
      </c>
      <c r="M1789" s="517">
        <v>16.100000000000001</v>
      </c>
      <c r="N1789" s="518">
        <v>0.10299999999999999</v>
      </c>
      <c r="O1789" s="518">
        <v>0.1</v>
      </c>
      <c r="P1789" s="518">
        <v>0.112</v>
      </c>
      <c r="Q1789" s="78">
        <v>0.44</v>
      </c>
      <c r="R1789" s="78">
        <v>0.31740000000000002</v>
      </c>
      <c r="S1789" s="69">
        <v>0</v>
      </c>
      <c r="T1789" s="69">
        <v>0</v>
      </c>
      <c r="U1789" s="518">
        <v>0.7</v>
      </c>
      <c r="V1789" s="76">
        <v>0</v>
      </c>
      <c r="W1789" s="76">
        <v>0</v>
      </c>
      <c r="X1789" s="76"/>
      <c r="Y1789" s="516" t="s">
        <v>470</v>
      </c>
    </row>
    <row r="1790" spans="1:25" x14ac:dyDescent="0.25">
      <c r="A1790" s="75" t="str">
        <f t="shared" si="63"/>
        <v>Pago_de_Hipoteca PFAE Premier Pago_Fijo_Puntual 7</v>
      </c>
      <c r="B1790" s="75" t="str">
        <f t="shared" si="62"/>
        <v>Pago_de_Hipoteca PFAE Premier Pago_Fijo_Puntual 7 0.0965</v>
      </c>
      <c r="C1790" s="75" t="s">
        <v>173</v>
      </c>
      <c r="D1790" s="75" t="s">
        <v>168</v>
      </c>
      <c r="E1790" s="75" t="s">
        <v>143</v>
      </c>
      <c r="F1790" s="75"/>
      <c r="G1790" s="75"/>
      <c r="H1790" s="75"/>
      <c r="I1790" s="75" t="s">
        <v>171</v>
      </c>
      <c r="J1790" s="76">
        <v>7</v>
      </c>
      <c r="K1790" s="516" t="s">
        <v>385</v>
      </c>
      <c r="L1790" s="517">
        <v>16.5</v>
      </c>
      <c r="M1790" s="517">
        <v>17.16</v>
      </c>
      <c r="N1790" s="518">
        <v>9.6500000000000002E-2</v>
      </c>
      <c r="O1790" s="518">
        <v>9.1999999999999998E-2</v>
      </c>
      <c r="P1790" s="518">
        <v>0.10249999999999999</v>
      </c>
      <c r="Q1790" s="78">
        <v>0.44</v>
      </c>
      <c r="R1790" s="78">
        <v>0.31740000000000002</v>
      </c>
      <c r="S1790" s="69">
        <v>0</v>
      </c>
      <c r="T1790" s="69">
        <v>0</v>
      </c>
      <c r="U1790" s="518">
        <v>0.7</v>
      </c>
      <c r="V1790" s="76">
        <v>0</v>
      </c>
      <c r="W1790" s="76">
        <v>0</v>
      </c>
      <c r="X1790" s="76"/>
      <c r="Y1790" s="516" t="s">
        <v>470</v>
      </c>
    </row>
    <row r="1791" spans="1:25" x14ac:dyDescent="0.25">
      <c r="A1791" s="75" t="str">
        <f t="shared" si="63"/>
        <v>Pago_de_Hipoteca PFAE Premier Pago_Fijo_Puntual 7</v>
      </c>
      <c r="B1791" s="75" t="str">
        <f t="shared" si="62"/>
        <v>Pago_de_Hipoteca PFAE Premier Pago_Fijo_Puntual 7 0.103</v>
      </c>
      <c r="C1791" s="75" t="s">
        <v>173</v>
      </c>
      <c r="D1791" s="75" t="s">
        <v>168</v>
      </c>
      <c r="E1791" s="75" t="s">
        <v>143</v>
      </c>
      <c r="F1791" s="75"/>
      <c r="G1791" s="75"/>
      <c r="H1791" s="75"/>
      <c r="I1791" s="75" t="s">
        <v>171</v>
      </c>
      <c r="J1791" s="76">
        <v>7</v>
      </c>
      <c r="K1791" s="516" t="s">
        <v>386</v>
      </c>
      <c r="L1791" s="517">
        <v>16.84</v>
      </c>
      <c r="M1791" s="517">
        <v>17.5</v>
      </c>
      <c r="N1791" s="518">
        <v>0.10299999999999999</v>
      </c>
      <c r="O1791" s="518">
        <v>0.1</v>
      </c>
      <c r="P1791" s="518">
        <v>0.112</v>
      </c>
      <c r="Q1791" s="78">
        <v>0.44</v>
      </c>
      <c r="R1791" s="78">
        <v>0.31740000000000002</v>
      </c>
      <c r="S1791" s="69">
        <v>0</v>
      </c>
      <c r="T1791" s="69">
        <v>0</v>
      </c>
      <c r="U1791" s="518">
        <v>0.7</v>
      </c>
      <c r="V1791" s="76">
        <v>0</v>
      </c>
      <c r="W1791" s="76">
        <v>0</v>
      </c>
      <c r="X1791" s="76"/>
      <c r="Y1791" s="516" t="s">
        <v>470</v>
      </c>
    </row>
    <row r="1792" spans="1:25" x14ac:dyDescent="0.25">
      <c r="A1792" s="75" t="str">
        <f t="shared" si="63"/>
        <v>Pago_de_Hipoteca PFAE Premier Pago_Fijo_Puntual 6</v>
      </c>
      <c r="B1792" s="75" t="str">
        <f t="shared" si="62"/>
        <v>Pago_de_Hipoteca PFAE Premier Pago_Fijo_Puntual 6 0.0965</v>
      </c>
      <c r="C1792" s="75" t="s">
        <v>173</v>
      </c>
      <c r="D1792" s="75" t="s">
        <v>168</v>
      </c>
      <c r="E1792" s="75" t="s">
        <v>143</v>
      </c>
      <c r="F1792" s="75"/>
      <c r="G1792" s="75"/>
      <c r="H1792" s="75"/>
      <c r="I1792" s="75" t="s">
        <v>171</v>
      </c>
      <c r="J1792" s="76">
        <v>6</v>
      </c>
      <c r="K1792" s="516" t="s">
        <v>385</v>
      </c>
      <c r="L1792" s="517">
        <v>18.41</v>
      </c>
      <c r="M1792" s="517">
        <v>19.07</v>
      </c>
      <c r="N1792" s="518">
        <v>9.6500000000000002E-2</v>
      </c>
      <c r="O1792" s="518">
        <v>9.1999999999999998E-2</v>
      </c>
      <c r="P1792" s="518">
        <v>0.10249999999999999</v>
      </c>
      <c r="Q1792" s="78">
        <v>0.44</v>
      </c>
      <c r="R1792" s="78">
        <v>0.31740000000000002</v>
      </c>
      <c r="S1792" s="69">
        <v>0</v>
      </c>
      <c r="T1792" s="69">
        <v>0</v>
      </c>
      <c r="U1792" s="518">
        <v>0.7</v>
      </c>
      <c r="V1792" s="76">
        <v>0</v>
      </c>
      <c r="W1792" s="76">
        <v>0</v>
      </c>
      <c r="X1792" s="76"/>
      <c r="Y1792" s="516" t="s">
        <v>470</v>
      </c>
    </row>
    <row r="1793" spans="1:25" x14ac:dyDescent="0.25">
      <c r="A1793" s="75" t="str">
        <f t="shared" si="63"/>
        <v>Pago_de_Hipoteca PFAE Premier Pago_Fijo_Puntual 6</v>
      </c>
      <c r="B1793" s="75" t="str">
        <f t="shared" si="62"/>
        <v>Pago_de_Hipoteca PFAE Premier Pago_Fijo_Puntual 6 0.103</v>
      </c>
      <c r="C1793" s="75" t="s">
        <v>173</v>
      </c>
      <c r="D1793" s="75" t="s">
        <v>168</v>
      </c>
      <c r="E1793" s="75" t="s">
        <v>143</v>
      </c>
      <c r="F1793" s="75"/>
      <c r="G1793" s="75"/>
      <c r="H1793" s="75"/>
      <c r="I1793" s="75" t="s">
        <v>171</v>
      </c>
      <c r="J1793" s="76">
        <v>6</v>
      </c>
      <c r="K1793" s="516" t="s">
        <v>386</v>
      </c>
      <c r="L1793" s="517">
        <v>18.739999999999998</v>
      </c>
      <c r="M1793" s="517">
        <v>19.399999999999999</v>
      </c>
      <c r="N1793" s="518">
        <v>0.10299999999999999</v>
      </c>
      <c r="O1793" s="518">
        <v>0.1</v>
      </c>
      <c r="P1793" s="518">
        <v>0.112</v>
      </c>
      <c r="Q1793" s="78">
        <v>0.44</v>
      </c>
      <c r="R1793" s="78">
        <v>0.31740000000000002</v>
      </c>
      <c r="S1793" s="69">
        <v>0</v>
      </c>
      <c r="T1793" s="69">
        <v>0</v>
      </c>
      <c r="U1793" s="518">
        <v>0.7</v>
      </c>
      <c r="V1793" s="76">
        <v>0</v>
      </c>
      <c r="W1793" s="76">
        <v>0</v>
      </c>
      <c r="X1793" s="76"/>
      <c r="Y1793" s="516" t="s">
        <v>470</v>
      </c>
    </row>
    <row r="1794" spans="1:25" x14ac:dyDescent="0.25">
      <c r="A1794" s="75" t="str">
        <f t="shared" si="63"/>
        <v>Pago_de_Hipoteca PFAE Premier Pago_Fijo_Puntual 5</v>
      </c>
      <c r="B1794" s="75" t="str">
        <f t="shared" si="62"/>
        <v>Pago_de_Hipoteca PFAE Premier Pago_Fijo_Puntual 5 0.0965</v>
      </c>
      <c r="C1794" s="75" t="s">
        <v>173</v>
      </c>
      <c r="D1794" s="75" t="s">
        <v>168</v>
      </c>
      <c r="E1794" s="75" t="s">
        <v>143</v>
      </c>
      <c r="F1794" s="75"/>
      <c r="G1794" s="75"/>
      <c r="H1794" s="75"/>
      <c r="I1794" s="75" t="s">
        <v>171</v>
      </c>
      <c r="J1794" s="76">
        <v>5</v>
      </c>
      <c r="K1794" s="516" t="s">
        <v>385</v>
      </c>
      <c r="L1794" s="517">
        <v>21.12</v>
      </c>
      <c r="M1794" s="517">
        <v>21.78</v>
      </c>
      <c r="N1794" s="518">
        <v>9.6500000000000002E-2</v>
      </c>
      <c r="O1794" s="518">
        <v>9.1999999999999998E-2</v>
      </c>
      <c r="P1794" s="518">
        <v>0.10249999999999999</v>
      </c>
      <c r="Q1794" s="78">
        <v>0.44</v>
      </c>
      <c r="R1794" s="78">
        <v>0.31740000000000002</v>
      </c>
      <c r="S1794" s="69">
        <v>0</v>
      </c>
      <c r="T1794" s="69">
        <v>0</v>
      </c>
      <c r="U1794" s="518">
        <v>0.7</v>
      </c>
      <c r="V1794" s="76">
        <v>0</v>
      </c>
      <c r="W1794" s="76">
        <v>0</v>
      </c>
      <c r="X1794" s="76"/>
      <c r="Y1794" s="516" t="s">
        <v>470</v>
      </c>
    </row>
    <row r="1795" spans="1:25" x14ac:dyDescent="0.25">
      <c r="A1795" s="75" t="str">
        <f t="shared" si="63"/>
        <v>Pago_de_Hipoteca PFAE Premier Pago_Fijo_Puntual 5</v>
      </c>
      <c r="B1795" s="75" t="str">
        <f t="shared" si="62"/>
        <v>Pago_de_Hipoteca PFAE Premier Pago_Fijo_Puntual 5 0.103</v>
      </c>
      <c r="C1795" s="75" t="s">
        <v>173</v>
      </c>
      <c r="D1795" s="75" t="s">
        <v>168</v>
      </c>
      <c r="E1795" s="75" t="s">
        <v>143</v>
      </c>
      <c r="F1795" s="75"/>
      <c r="G1795" s="75"/>
      <c r="H1795" s="75"/>
      <c r="I1795" s="75" t="s">
        <v>171</v>
      </c>
      <c r="J1795" s="76">
        <v>5</v>
      </c>
      <c r="K1795" s="516" t="s">
        <v>386</v>
      </c>
      <c r="L1795" s="517">
        <v>21.44</v>
      </c>
      <c r="M1795" s="517">
        <v>22.1</v>
      </c>
      <c r="N1795" s="518">
        <v>0.10299999999999999</v>
      </c>
      <c r="O1795" s="518">
        <v>0.1</v>
      </c>
      <c r="P1795" s="518">
        <v>0.112</v>
      </c>
      <c r="Q1795" s="78">
        <v>0.44</v>
      </c>
      <c r="R1795" s="78">
        <v>0.31740000000000002</v>
      </c>
      <c r="S1795" s="69">
        <v>0</v>
      </c>
      <c r="T1795" s="69">
        <v>0</v>
      </c>
      <c r="U1795" s="518">
        <v>0.7</v>
      </c>
      <c r="V1795" s="76">
        <v>0</v>
      </c>
      <c r="W1795" s="76">
        <v>0</v>
      </c>
      <c r="X1795" s="76"/>
      <c r="Y1795" s="516" t="s">
        <v>470</v>
      </c>
    </row>
    <row r="1796" spans="1:25" x14ac:dyDescent="0.25">
      <c r="A1796" s="75" t="str">
        <f t="shared" si="63"/>
        <v>Pago_de_Hipoteca PFAE Premier Pago_Bajo_Puntual 20</v>
      </c>
      <c r="B1796" s="75" t="str">
        <f t="shared" si="62"/>
        <v>Pago_de_Hipoteca PFAE Premier Pago_Bajo_Puntual 20 0.0965</v>
      </c>
      <c r="C1796" s="75" t="s">
        <v>173</v>
      </c>
      <c r="D1796" s="75" t="s">
        <v>168</v>
      </c>
      <c r="E1796" s="75" t="s">
        <v>143</v>
      </c>
      <c r="F1796" s="75"/>
      <c r="G1796" s="75"/>
      <c r="H1796" s="75"/>
      <c r="I1796" s="75" t="s">
        <v>170</v>
      </c>
      <c r="J1796" s="76">
        <v>20</v>
      </c>
      <c r="K1796" s="516" t="s">
        <v>385</v>
      </c>
      <c r="L1796" s="517">
        <v>8.52</v>
      </c>
      <c r="M1796" s="517">
        <v>9.18</v>
      </c>
      <c r="N1796" s="518">
        <v>9.6500000000000002E-2</v>
      </c>
      <c r="O1796" s="518">
        <v>9.1999999999999998E-2</v>
      </c>
      <c r="P1796" s="518">
        <v>0.10249999999999999</v>
      </c>
      <c r="Q1796" s="78">
        <v>0.44</v>
      </c>
      <c r="R1796" s="78">
        <v>0.31740000000000002</v>
      </c>
      <c r="S1796" s="69">
        <v>0</v>
      </c>
      <c r="T1796" s="69">
        <v>0</v>
      </c>
      <c r="U1796" s="518">
        <v>0.7</v>
      </c>
      <c r="V1796" s="76">
        <v>0</v>
      </c>
      <c r="W1796" s="76">
        <v>0</v>
      </c>
      <c r="X1796" s="76"/>
      <c r="Y1796" s="516" t="s">
        <v>470</v>
      </c>
    </row>
    <row r="1797" spans="1:25" x14ac:dyDescent="0.25">
      <c r="A1797" s="75" t="str">
        <f t="shared" si="63"/>
        <v>Pago_de_Hipoteca PFAE Premier Pago_Bajo_Puntual 20</v>
      </c>
      <c r="B1797" s="75" t="str">
        <f t="shared" si="62"/>
        <v>Pago_de_Hipoteca PFAE Premier Pago_Bajo_Puntual 20 0.103</v>
      </c>
      <c r="C1797" s="75" t="s">
        <v>173</v>
      </c>
      <c r="D1797" s="75" t="s">
        <v>168</v>
      </c>
      <c r="E1797" s="75" t="s">
        <v>143</v>
      </c>
      <c r="F1797" s="75"/>
      <c r="G1797" s="75"/>
      <c r="H1797" s="75"/>
      <c r="I1797" s="75" t="s">
        <v>170</v>
      </c>
      <c r="J1797" s="76">
        <v>20</v>
      </c>
      <c r="K1797" s="516" t="s">
        <v>386</v>
      </c>
      <c r="L1797" s="517">
        <v>9</v>
      </c>
      <c r="M1797" s="517">
        <v>9.66</v>
      </c>
      <c r="N1797" s="518">
        <v>0.10299999999999999</v>
      </c>
      <c r="O1797" s="518">
        <v>0.1</v>
      </c>
      <c r="P1797" s="518">
        <v>0.112</v>
      </c>
      <c r="Q1797" s="78">
        <v>0.44</v>
      </c>
      <c r="R1797" s="78">
        <v>0.31740000000000002</v>
      </c>
      <c r="S1797" s="69">
        <v>0</v>
      </c>
      <c r="T1797" s="69">
        <v>0</v>
      </c>
      <c r="U1797" s="518">
        <v>0.7</v>
      </c>
      <c r="V1797" s="76">
        <v>0</v>
      </c>
      <c r="W1797" s="76">
        <v>0</v>
      </c>
      <c r="X1797" s="76"/>
      <c r="Y1797" s="516" t="s">
        <v>470</v>
      </c>
    </row>
    <row r="1798" spans="1:25" x14ac:dyDescent="0.25">
      <c r="A1798" s="75" t="str">
        <f t="shared" si="63"/>
        <v>Pago_de_Hipoteca PFAE Premier Pago_Bajo_Puntual 19</v>
      </c>
      <c r="B1798" s="75" t="str">
        <f t="shared" si="62"/>
        <v>Pago_de_Hipoteca PFAE Premier Pago_Bajo_Puntual 19 0.0965</v>
      </c>
      <c r="C1798" s="75" t="s">
        <v>173</v>
      </c>
      <c r="D1798" s="75" t="s">
        <v>168</v>
      </c>
      <c r="E1798" s="75" t="s">
        <v>143</v>
      </c>
      <c r="F1798" s="75"/>
      <c r="G1798" s="75"/>
      <c r="H1798" s="75"/>
      <c r="I1798" s="75" t="s">
        <v>170</v>
      </c>
      <c r="J1798" s="76">
        <v>19</v>
      </c>
      <c r="K1798" s="516" t="s">
        <v>385</v>
      </c>
      <c r="L1798" s="517">
        <v>8.6999999999999993</v>
      </c>
      <c r="M1798" s="517">
        <v>9.36</v>
      </c>
      <c r="N1798" s="518">
        <v>9.6500000000000002E-2</v>
      </c>
      <c r="O1798" s="518">
        <v>9.1999999999999998E-2</v>
      </c>
      <c r="P1798" s="518">
        <v>0.10249999999999999</v>
      </c>
      <c r="Q1798" s="78">
        <v>0.44</v>
      </c>
      <c r="R1798" s="78">
        <v>0.31740000000000002</v>
      </c>
      <c r="S1798" s="69">
        <v>0</v>
      </c>
      <c r="T1798" s="69">
        <v>0</v>
      </c>
      <c r="U1798" s="518">
        <v>0.7</v>
      </c>
      <c r="V1798" s="76">
        <v>0</v>
      </c>
      <c r="W1798" s="76">
        <v>0</v>
      </c>
      <c r="X1798" s="76"/>
      <c r="Y1798" s="516" t="s">
        <v>470</v>
      </c>
    </row>
    <row r="1799" spans="1:25" x14ac:dyDescent="0.25">
      <c r="A1799" s="75" t="str">
        <f t="shared" si="63"/>
        <v>Pago_de_Hipoteca PFAE Premier Pago_Bajo_Puntual 19</v>
      </c>
      <c r="B1799" s="75" t="str">
        <f t="shared" si="62"/>
        <v>Pago_de_Hipoteca PFAE Premier Pago_Bajo_Puntual 19 0.103</v>
      </c>
      <c r="C1799" s="75" t="s">
        <v>173</v>
      </c>
      <c r="D1799" s="75" t="s">
        <v>168</v>
      </c>
      <c r="E1799" s="75" t="s">
        <v>143</v>
      </c>
      <c r="F1799" s="75"/>
      <c r="G1799" s="75"/>
      <c r="H1799" s="75"/>
      <c r="I1799" s="75" t="s">
        <v>170</v>
      </c>
      <c r="J1799" s="76">
        <v>19</v>
      </c>
      <c r="K1799" s="516" t="s">
        <v>386</v>
      </c>
      <c r="L1799" s="517">
        <v>9.17</v>
      </c>
      <c r="M1799" s="517">
        <v>9.83</v>
      </c>
      <c r="N1799" s="518">
        <v>0.10299999999999999</v>
      </c>
      <c r="O1799" s="518">
        <v>0.1</v>
      </c>
      <c r="P1799" s="518">
        <v>0.112</v>
      </c>
      <c r="Q1799" s="78">
        <v>0.44</v>
      </c>
      <c r="R1799" s="78">
        <v>0.31740000000000002</v>
      </c>
      <c r="S1799" s="69">
        <v>0</v>
      </c>
      <c r="T1799" s="69">
        <v>0</v>
      </c>
      <c r="U1799" s="518">
        <v>0.7</v>
      </c>
      <c r="V1799" s="76">
        <v>0</v>
      </c>
      <c r="W1799" s="76">
        <v>0</v>
      </c>
      <c r="X1799" s="76"/>
      <c r="Y1799" s="516" t="s">
        <v>470</v>
      </c>
    </row>
    <row r="1800" spans="1:25" x14ac:dyDescent="0.25">
      <c r="A1800" s="75" t="str">
        <f t="shared" si="63"/>
        <v>Pago_de_Hipoteca PFAE Premier Pago_Bajo_Puntual 18</v>
      </c>
      <c r="B1800" s="75" t="str">
        <f t="shared" si="62"/>
        <v>Pago_de_Hipoteca PFAE Premier Pago_Bajo_Puntual 18 0.0965</v>
      </c>
      <c r="C1800" s="75" t="s">
        <v>173</v>
      </c>
      <c r="D1800" s="75" t="s">
        <v>168</v>
      </c>
      <c r="E1800" s="75" t="s">
        <v>143</v>
      </c>
      <c r="F1800" s="75"/>
      <c r="G1800" s="75"/>
      <c r="H1800" s="75"/>
      <c r="I1800" s="75" t="s">
        <v>170</v>
      </c>
      <c r="J1800" s="76">
        <v>18</v>
      </c>
      <c r="K1800" s="516" t="s">
        <v>385</v>
      </c>
      <c r="L1800" s="517">
        <v>8.9</v>
      </c>
      <c r="M1800" s="517">
        <v>9.56</v>
      </c>
      <c r="N1800" s="518">
        <v>9.6500000000000002E-2</v>
      </c>
      <c r="O1800" s="518">
        <v>9.1999999999999998E-2</v>
      </c>
      <c r="P1800" s="518">
        <v>0.10249999999999999</v>
      </c>
      <c r="Q1800" s="78">
        <v>0.44</v>
      </c>
      <c r="R1800" s="78">
        <v>0.31740000000000002</v>
      </c>
      <c r="S1800" s="69">
        <v>0</v>
      </c>
      <c r="T1800" s="69">
        <v>0</v>
      </c>
      <c r="U1800" s="518">
        <v>0.7</v>
      </c>
      <c r="V1800" s="76">
        <v>0</v>
      </c>
      <c r="W1800" s="76">
        <v>0</v>
      </c>
      <c r="X1800" s="76"/>
      <c r="Y1800" s="516" t="s">
        <v>470</v>
      </c>
    </row>
    <row r="1801" spans="1:25" x14ac:dyDescent="0.25">
      <c r="A1801" s="75" t="str">
        <f t="shared" si="63"/>
        <v>Pago_de_Hipoteca PFAE Premier Pago_Bajo_Puntual 18</v>
      </c>
      <c r="B1801" s="75" t="str">
        <f t="shared" si="62"/>
        <v>Pago_de_Hipoteca PFAE Premier Pago_Bajo_Puntual 18 0.103</v>
      </c>
      <c r="C1801" s="75" t="s">
        <v>173</v>
      </c>
      <c r="D1801" s="75" t="s">
        <v>168</v>
      </c>
      <c r="E1801" s="75" t="s">
        <v>143</v>
      </c>
      <c r="F1801" s="75"/>
      <c r="G1801" s="75"/>
      <c r="H1801" s="75"/>
      <c r="I1801" s="75" t="s">
        <v>170</v>
      </c>
      <c r="J1801" s="76">
        <v>18</v>
      </c>
      <c r="K1801" s="516" t="s">
        <v>386</v>
      </c>
      <c r="L1801" s="517">
        <v>9.36</v>
      </c>
      <c r="M1801" s="517">
        <v>10.02</v>
      </c>
      <c r="N1801" s="518">
        <v>0.10299999999999999</v>
      </c>
      <c r="O1801" s="518">
        <v>0.1</v>
      </c>
      <c r="P1801" s="518">
        <v>0.112</v>
      </c>
      <c r="Q1801" s="78">
        <v>0.44</v>
      </c>
      <c r="R1801" s="78">
        <v>0.31740000000000002</v>
      </c>
      <c r="S1801" s="69">
        <v>0</v>
      </c>
      <c r="T1801" s="69">
        <v>0</v>
      </c>
      <c r="U1801" s="518">
        <v>0.7</v>
      </c>
      <c r="V1801" s="76">
        <v>0</v>
      </c>
      <c r="W1801" s="76">
        <v>0</v>
      </c>
      <c r="X1801" s="76"/>
      <c r="Y1801" s="516" t="s">
        <v>470</v>
      </c>
    </row>
    <row r="1802" spans="1:25" x14ac:dyDescent="0.25">
      <c r="A1802" s="75" t="str">
        <f t="shared" si="63"/>
        <v>Pago_de_Hipoteca PFAE Premier Pago_Bajo_Puntual 17</v>
      </c>
      <c r="B1802" s="75" t="str">
        <f t="shared" si="62"/>
        <v>Pago_de_Hipoteca PFAE Premier Pago_Bajo_Puntual 17 0.0965</v>
      </c>
      <c r="C1802" s="75" t="s">
        <v>173</v>
      </c>
      <c r="D1802" s="75" t="s">
        <v>168</v>
      </c>
      <c r="E1802" s="75" t="s">
        <v>143</v>
      </c>
      <c r="F1802" s="75"/>
      <c r="G1802" s="75"/>
      <c r="H1802" s="75"/>
      <c r="I1802" s="75" t="s">
        <v>170</v>
      </c>
      <c r="J1802" s="76">
        <v>17</v>
      </c>
      <c r="K1802" s="516" t="s">
        <v>385</v>
      </c>
      <c r="L1802" s="517">
        <v>9.1300000000000008</v>
      </c>
      <c r="M1802" s="517">
        <v>9.7899999999999991</v>
      </c>
      <c r="N1802" s="518">
        <v>9.6500000000000002E-2</v>
      </c>
      <c r="O1802" s="518">
        <v>9.1999999999999998E-2</v>
      </c>
      <c r="P1802" s="518">
        <v>0.10249999999999999</v>
      </c>
      <c r="Q1802" s="78">
        <v>0.44</v>
      </c>
      <c r="R1802" s="78">
        <v>0.31740000000000002</v>
      </c>
      <c r="S1802" s="69">
        <v>0</v>
      </c>
      <c r="T1802" s="69">
        <v>0</v>
      </c>
      <c r="U1802" s="518">
        <v>0.7</v>
      </c>
      <c r="V1802" s="76">
        <v>0</v>
      </c>
      <c r="W1802" s="76">
        <v>0</v>
      </c>
      <c r="X1802" s="76"/>
      <c r="Y1802" s="516" t="s">
        <v>470</v>
      </c>
    </row>
    <row r="1803" spans="1:25" x14ac:dyDescent="0.25">
      <c r="A1803" s="75" t="str">
        <f t="shared" si="63"/>
        <v>Pago_de_Hipoteca PFAE Premier Pago_Bajo_Puntual 17</v>
      </c>
      <c r="B1803" s="75" t="str">
        <f t="shared" si="62"/>
        <v>Pago_de_Hipoteca PFAE Premier Pago_Bajo_Puntual 17 0.103</v>
      </c>
      <c r="C1803" s="75" t="s">
        <v>173</v>
      </c>
      <c r="D1803" s="75" t="s">
        <v>168</v>
      </c>
      <c r="E1803" s="75" t="s">
        <v>143</v>
      </c>
      <c r="F1803" s="75"/>
      <c r="G1803" s="75"/>
      <c r="H1803" s="75"/>
      <c r="I1803" s="75" t="s">
        <v>170</v>
      </c>
      <c r="J1803" s="76">
        <v>17</v>
      </c>
      <c r="K1803" s="516" t="s">
        <v>386</v>
      </c>
      <c r="L1803" s="517">
        <v>9.58</v>
      </c>
      <c r="M1803" s="517">
        <v>10.24</v>
      </c>
      <c r="N1803" s="518">
        <v>0.10299999999999999</v>
      </c>
      <c r="O1803" s="518">
        <v>0.1</v>
      </c>
      <c r="P1803" s="518">
        <v>0.112</v>
      </c>
      <c r="Q1803" s="78">
        <v>0.44</v>
      </c>
      <c r="R1803" s="78">
        <v>0.31740000000000002</v>
      </c>
      <c r="S1803" s="69">
        <v>0</v>
      </c>
      <c r="T1803" s="69">
        <v>0</v>
      </c>
      <c r="U1803" s="518">
        <v>0.7</v>
      </c>
      <c r="V1803" s="76">
        <v>0</v>
      </c>
      <c r="W1803" s="76">
        <v>0</v>
      </c>
      <c r="X1803" s="76"/>
      <c r="Y1803" s="516" t="s">
        <v>470</v>
      </c>
    </row>
    <row r="1804" spans="1:25" x14ac:dyDescent="0.25">
      <c r="A1804" s="75" t="str">
        <f t="shared" si="63"/>
        <v>Pago_de_Hipoteca PFAE Premier Pago_Bajo_Puntual 16</v>
      </c>
      <c r="B1804" s="75" t="str">
        <f t="shared" si="62"/>
        <v>Pago_de_Hipoteca PFAE Premier Pago_Bajo_Puntual 16 0.0965</v>
      </c>
      <c r="C1804" s="75" t="s">
        <v>173</v>
      </c>
      <c r="D1804" s="75" t="s">
        <v>168</v>
      </c>
      <c r="E1804" s="75" t="s">
        <v>143</v>
      </c>
      <c r="F1804" s="75"/>
      <c r="G1804" s="75"/>
      <c r="H1804" s="75"/>
      <c r="I1804" s="75" t="s">
        <v>170</v>
      </c>
      <c r="J1804" s="76">
        <v>16</v>
      </c>
      <c r="K1804" s="516" t="s">
        <v>385</v>
      </c>
      <c r="L1804" s="517">
        <v>9.39</v>
      </c>
      <c r="M1804" s="517">
        <v>10.050000000000001</v>
      </c>
      <c r="N1804" s="518">
        <v>9.6500000000000002E-2</v>
      </c>
      <c r="O1804" s="518">
        <v>9.1999999999999998E-2</v>
      </c>
      <c r="P1804" s="518">
        <v>0.10249999999999999</v>
      </c>
      <c r="Q1804" s="78">
        <v>0.44</v>
      </c>
      <c r="R1804" s="78">
        <v>0.31740000000000002</v>
      </c>
      <c r="S1804" s="69">
        <v>0</v>
      </c>
      <c r="T1804" s="69">
        <v>0</v>
      </c>
      <c r="U1804" s="518">
        <v>0.7</v>
      </c>
      <c r="V1804" s="76">
        <v>0</v>
      </c>
      <c r="W1804" s="76">
        <v>0</v>
      </c>
      <c r="X1804" s="76"/>
      <c r="Y1804" s="516" t="s">
        <v>470</v>
      </c>
    </row>
    <row r="1805" spans="1:25" x14ac:dyDescent="0.25">
      <c r="A1805" s="75" t="str">
        <f t="shared" si="63"/>
        <v>Pago_de_Hipoteca PFAE Premier Pago_Bajo_Puntual 16</v>
      </c>
      <c r="B1805" s="75" t="str">
        <f t="shared" si="62"/>
        <v>Pago_de_Hipoteca PFAE Premier Pago_Bajo_Puntual 16 0.103</v>
      </c>
      <c r="C1805" s="75" t="s">
        <v>173</v>
      </c>
      <c r="D1805" s="75" t="s">
        <v>168</v>
      </c>
      <c r="E1805" s="75" t="s">
        <v>143</v>
      </c>
      <c r="F1805" s="75"/>
      <c r="G1805" s="75"/>
      <c r="H1805" s="75"/>
      <c r="I1805" s="75" t="s">
        <v>170</v>
      </c>
      <c r="J1805" s="76">
        <v>16</v>
      </c>
      <c r="K1805" s="516" t="s">
        <v>386</v>
      </c>
      <c r="L1805" s="517">
        <v>9.83</v>
      </c>
      <c r="M1805" s="517">
        <v>10.49</v>
      </c>
      <c r="N1805" s="518">
        <v>0.10299999999999999</v>
      </c>
      <c r="O1805" s="518">
        <v>0.1</v>
      </c>
      <c r="P1805" s="518">
        <v>0.112</v>
      </c>
      <c r="Q1805" s="78">
        <v>0.44</v>
      </c>
      <c r="R1805" s="78">
        <v>0.31740000000000002</v>
      </c>
      <c r="S1805" s="69">
        <v>0</v>
      </c>
      <c r="T1805" s="69">
        <v>0</v>
      </c>
      <c r="U1805" s="518">
        <v>0.7</v>
      </c>
      <c r="V1805" s="76">
        <v>0</v>
      </c>
      <c r="W1805" s="76">
        <v>0</v>
      </c>
      <c r="X1805" s="76"/>
      <c r="Y1805" s="516" t="s">
        <v>470</v>
      </c>
    </row>
    <row r="1806" spans="1:25" x14ac:dyDescent="0.25">
      <c r="A1806" s="75" t="str">
        <f t="shared" si="63"/>
        <v>Pago_de_Hipoteca PFAE Premier Pago_Bajo_Puntual 15</v>
      </c>
      <c r="B1806" s="75" t="str">
        <f t="shared" si="62"/>
        <v>Pago_de_Hipoteca PFAE Premier Pago_Bajo_Puntual 15 0.0965</v>
      </c>
      <c r="C1806" s="75" t="s">
        <v>173</v>
      </c>
      <c r="D1806" s="75" t="s">
        <v>168</v>
      </c>
      <c r="E1806" s="75" t="s">
        <v>143</v>
      </c>
      <c r="F1806" s="75"/>
      <c r="G1806" s="75"/>
      <c r="H1806" s="75"/>
      <c r="I1806" s="75" t="s">
        <v>170</v>
      </c>
      <c r="J1806" s="76">
        <v>15</v>
      </c>
      <c r="K1806" s="516" t="s">
        <v>385</v>
      </c>
      <c r="L1806" s="517">
        <v>9.6999999999999993</v>
      </c>
      <c r="M1806" s="517">
        <v>10.36</v>
      </c>
      <c r="N1806" s="518">
        <v>9.6500000000000002E-2</v>
      </c>
      <c r="O1806" s="518">
        <v>9.1999999999999998E-2</v>
      </c>
      <c r="P1806" s="518">
        <v>0.10249999999999999</v>
      </c>
      <c r="Q1806" s="78">
        <v>0.44</v>
      </c>
      <c r="R1806" s="78">
        <v>0.31740000000000002</v>
      </c>
      <c r="S1806" s="69">
        <v>0</v>
      </c>
      <c r="T1806" s="69">
        <v>0</v>
      </c>
      <c r="U1806" s="518">
        <v>0.7</v>
      </c>
      <c r="V1806" s="76">
        <v>0</v>
      </c>
      <c r="W1806" s="76">
        <v>0</v>
      </c>
      <c r="X1806" s="76"/>
      <c r="Y1806" s="516" t="s">
        <v>470</v>
      </c>
    </row>
    <row r="1807" spans="1:25" x14ac:dyDescent="0.25">
      <c r="A1807" s="75" t="str">
        <f t="shared" si="63"/>
        <v>Pago_de_Hipoteca PFAE Premier Pago_Bajo_Puntual 15</v>
      </c>
      <c r="B1807" s="75" t="str">
        <f t="shared" si="62"/>
        <v>Pago_de_Hipoteca PFAE Premier Pago_Bajo_Puntual 15 0.103</v>
      </c>
      <c r="C1807" s="75" t="s">
        <v>173</v>
      </c>
      <c r="D1807" s="75" t="s">
        <v>168</v>
      </c>
      <c r="E1807" s="75" t="s">
        <v>143</v>
      </c>
      <c r="F1807" s="75"/>
      <c r="G1807" s="75"/>
      <c r="H1807" s="75"/>
      <c r="I1807" s="75" t="s">
        <v>170</v>
      </c>
      <c r="J1807" s="76">
        <v>15</v>
      </c>
      <c r="K1807" s="516" t="s">
        <v>386</v>
      </c>
      <c r="L1807" s="517">
        <v>10.119999999999999</v>
      </c>
      <c r="M1807" s="517">
        <v>10.78</v>
      </c>
      <c r="N1807" s="518">
        <v>0.10299999999999999</v>
      </c>
      <c r="O1807" s="518">
        <v>0.1</v>
      </c>
      <c r="P1807" s="518">
        <v>0.112</v>
      </c>
      <c r="Q1807" s="78">
        <v>0.44</v>
      </c>
      <c r="R1807" s="78">
        <v>0.31740000000000002</v>
      </c>
      <c r="S1807" s="69">
        <v>0</v>
      </c>
      <c r="T1807" s="69">
        <v>0</v>
      </c>
      <c r="U1807" s="518">
        <v>0.7</v>
      </c>
      <c r="V1807" s="76">
        <v>0</v>
      </c>
      <c r="W1807" s="76">
        <v>0</v>
      </c>
      <c r="X1807" s="76"/>
      <c r="Y1807" s="516" t="s">
        <v>470</v>
      </c>
    </row>
    <row r="1808" spans="1:25" x14ac:dyDescent="0.25">
      <c r="A1808" s="75" t="str">
        <f t="shared" si="63"/>
        <v>Pago_de_Hipoteca PFAE Premier Pago_Bajo_Puntual 14</v>
      </c>
      <c r="B1808" s="75" t="str">
        <f t="shared" si="62"/>
        <v>Pago_de_Hipoteca PFAE Premier Pago_Bajo_Puntual 14 0.0965</v>
      </c>
      <c r="C1808" s="75" t="s">
        <v>173</v>
      </c>
      <c r="D1808" s="75" t="s">
        <v>168</v>
      </c>
      <c r="E1808" s="75" t="s">
        <v>143</v>
      </c>
      <c r="F1808" s="75"/>
      <c r="G1808" s="75"/>
      <c r="H1808" s="75"/>
      <c r="I1808" s="75" t="s">
        <v>170</v>
      </c>
      <c r="J1808" s="76">
        <v>14</v>
      </c>
      <c r="K1808" s="516" t="s">
        <v>385</v>
      </c>
      <c r="L1808" s="517">
        <v>10.050000000000001</v>
      </c>
      <c r="M1808" s="517">
        <v>10.71</v>
      </c>
      <c r="N1808" s="518">
        <v>9.6500000000000002E-2</v>
      </c>
      <c r="O1808" s="518">
        <v>9.1999999999999998E-2</v>
      </c>
      <c r="P1808" s="518">
        <v>0.10249999999999999</v>
      </c>
      <c r="Q1808" s="78">
        <v>0.44</v>
      </c>
      <c r="R1808" s="78">
        <v>0.31740000000000002</v>
      </c>
      <c r="S1808" s="69">
        <v>0</v>
      </c>
      <c r="T1808" s="69">
        <v>0</v>
      </c>
      <c r="U1808" s="518">
        <v>0.7</v>
      </c>
      <c r="V1808" s="76">
        <v>0</v>
      </c>
      <c r="W1808" s="76">
        <v>0</v>
      </c>
      <c r="X1808" s="76"/>
      <c r="Y1808" s="516" t="s">
        <v>470</v>
      </c>
    </row>
    <row r="1809" spans="1:25" x14ac:dyDescent="0.25">
      <c r="A1809" s="75" t="str">
        <f t="shared" si="63"/>
        <v>Pago_de_Hipoteca PFAE Premier Pago_Bajo_Puntual 14</v>
      </c>
      <c r="B1809" s="75" t="str">
        <f t="shared" si="62"/>
        <v>Pago_de_Hipoteca PFAE Premier Pago_Bajo_Puntual 14 0.103</v>
      </c>
      <c r="C1809" s="75" t="s">
        <v>173</v>
      </c>
      <c r="D1809" s="75" t="s">
        <v>168</v>
      </c>
      <c r="E1809" s="75" t="s">
        <v>143</v>
      </c>
      <c r="F1809" s="75"/>
      <c r="G1809" s="75"/>
      <c r="H1809" s="75"/>
      <c r="I1809" s="75" t="s">
        <v>170</v>
      </c>
      <c r="J1809" s="76">
        <v>14</v>
      </c>
      <c r="K1809" s="516" t="s">
        <v>386</v>
      </c>
      <c r="L1809" s="517">
        <v>10.46</v>
      </c>
      <c r="M1809" s="517">
        <v>11.12</v>
      </c>
      <c r="N1809" s="518">
        <v>0.10299999999999999</v>
      </c>
      <c r="O1809" s="518">
        <v>0.1</v>
      </c>
      <c r="P1809" s="518">
        <v>0.112</v>
      </c>
      <c r="Q1809" s="78">
        <v>0.44</v>
      </c>
      <c r="R1809" s="78">
        <v>0.31740000000000002</v>
      </c>
      <c r="S1809" s="69">
        <v>0</v>
      </c>
      <c r="T1809" s="69">
        <v>0</v>
      </c>
      <c r="U1809" s="518">
        <v>0.7</v>
      </c>
      <c r="V1809" s="76">
        <v>0</v>
      </c>
      <c r="W1809" s="76">
        <v>0</v>
      </c>
      <c r="X1809" s="76"/>
      <c r="Y1809" s="516" t="s">
        <v>470</v>
      </c>
    </row>
    <row r="1810" spans="1:25" x14ac:dyDescent="0.25">
      <c r="A1810" s="75" t="str">
        <f t="shared" si="63"/>
        <v>Pago_de_Hipoteca PFAE Premier Pago_Bajo_Puntual 13</v>
      </c>
      <c r="B1810" s="75" t="str">
        <f t="shared" si="62"/>
        <v>Pago_de_Hipoteca PFAE Premier Pago_Bajo_Puntual 13 0.0965</v>
      </c>
      <c r="C1810" s="75" t="s">
        <v>173</v>
      </c>
      <c r="D1810" s="75" t="s">
        <v>168</v>
      </c>
      <c r="E1810" s="75" t="s">
        <v>143</v>
      </c>
      <c r="F1810" s="75"/>
      <c r="G1810" s="75"/>
      <c r="H1810" s="75"/>
      <c r="I1810" s="75" t="s">
        <v>170</v>
      </c>
      <c r="J1810" s="76">
        <v>13</v>
      </c>
      <c r="K1810" s="516" t="s">
        <v>385</v>
      </c>
      <c r="L1810" s="517">
        <v>10.46</v>
      </c>
      <c r="M1810" s="517">
        <v>11.12</v>
      </c>
      <c r="N1810" s="518">
        <v>9.6500000000000002E-2</v>
      </c>
      <c r="O1810" s="518">
        <v>9.1999999999999998E-2</v>
      </c>
      <c r="P1810" s="518">
        <v>0.10249999999999999</v>
      </c>
      <c r="Q1810" s="78">
        <v>0.44</v>
      </c>
      <c r="R1810" s="78">
        <v>0.31740000000000002</v>
      </c>
      <c r="S1810" s="69">
        <v>0</v>
      </c>
      <c r="T1810" s="69">
        <v>0</v>
      </c>
      <c r="U1810" s="518">
        <v>0.7</v>
      </c>
      <c r="V1810" s="76">
        <v>0</v>
      </c>
      <c r="W1810" s="76">
        <v>0</v>
      </c>
      <c r="X1810" s="76"/>
      <c r="Y1810" s="516" t="s">
        <v>470</v>
      </c>
    </row>
    <row r="1811" spans="1:25" x14ac:dyDescent="0.25">
      <c r="A1811" s="75" t="str">
        <f t="shared" si="63"/>
        <v>Pago_de_Hipoteca PFAE Premier Pago_Bajo_Puntual 13</v>
      </c>
      <c r="B1811" s="75" t="str">
        <f t="shared" si="62"/>
        <v>Pago_de_Hipoteca PFAE Premier Pago_Bajo_Puntual 13 0.103</v>
      </c>
      <c r="C1811" s="75" t="s">
        <v>173</v>
      </c>
      <c r="D1811" s="75" t="s">
        <v>168</v>
      </c>
      <c r="E1811" s="75" t="s">
        <v>143</v>
      </c>
      <c r="F1811" s="75"/>
      <c r="G1811" s="75"/>
      <c r="H1811" s="75"/>
      <c r="I1811" s="75" t="s">
        <v>170</v>
      </c>
      <c r="J1811" s="76">
        <v>13</v>
      </c>
      <c r="K1811" s="516" t="s">
        <v>386</v>
      </c>
      <c r="L1811" s="517">
        <v>10.86</v>
      </c>
      <c r="M1811" s="517">
        <v>11.52</v>
      </c>
      <c r="N1811" s="518">
        <v>0.10299999999999999</v>
      </c>
      <c r="O1811" s="518">
        <v>0.1</v>
      </c>
      <c r="P1811" s="518">
        <v>0.112</v>
      </c>
      <c r="Q1811" s="78">
        <v>0.44</v>
      </c>
      <c r="R1811" s="78">
        <v>0.31740000000000002</v>
      </c>
      <c r="S1811" s="69">
        <v>0</v>
      </c>
      <c r="T1811" s="69">
        <v>0</v>
      </c>
      <c r="U1811" s="518">
        <v>0.7</v>
      </c>
      <c r="V1811" s="76">
        <v>0</v>
      </c>
      <c r="W1811" s="76">
        <v>0</v>
      </c>
      <c r="X1811" s="76"/>
      <c r="Y1811" s="516" t="s">
        <v>470</v>
      </c>
    </row>
    <row r="1812" spans="1:25" x14ac:dyDescent="0.25">
      <c r="A1812" s="75" t="str">
        <f t="shared" si="63"/>
        <v>Pago_de_Hipoteca PFAE Premier Pago_Bajo_Puntual 12</v>
      </c>
      <c r="B1812" s="75" t="str">
        <f t="shared" si="62"/>
        <v>Pago_de_Hipoteca PFAE Premier Pago_Bajo_Puntual 12 0.0965</v>
      </c>
      <c r="C1812" s="75" t="s">
        <v>173</v>
      </c>
      <c r="D1812" s="75" t="s">
        <v>168</v>
      </c>
      <c r="E1812" s="75" t="s">
        <v>143</v>
      </c>
      <c r="F1812" s="75"/>
      <c r="G1812" s="75"/>
      <c r="H1812" s="75"/>
      <c r="I1812" s="75" t="s">
        <v>170</v>
      </c>
      <c r="J1812" s="76">
        <v>12</v>
      </c>
      <c r="K1812" s="516" t="s">
        <v>385</v>
      </c>
      <c r="L1812" s="517">
        <v>10.95</v>
      </c>
      <c r="M1812" s="517">
        <v>11.61</v>
      </c>
      <c r="N1812" s="518">
        <v>9.6500000000000002E-2</v>
      </c>
      <c r="O1812" s="518">
        <v>9.1999999999999998E-2</v>
      </c>
      <c r="P1812" s="518">
        <v>0.10249999999999999</v>
      </c>
      <c r="Q1812" s="78">
        <v>0.44</v>
      </c>
      <c r="R1812" s="78">
        <v>0.31740000000000002</v>
      </c>
      <c r="S1812" s="69">
        <v>0</v>
      </c>
      <c r="T1812" s="69">
        <v>0</v>
      </c>
      <c r="U1812" s="518">
        <v>0.7</v>
      </c>
      <c r="V1812" s="76">
        <v>0</v>
      </c>
      <c r="W1812" s="76">
        <v>0</v>
      </c>
      <c r="X1812" s="76"/>
      <c r="Y1812" s="516" t="s">
        <v>470</v>
      </c>
    </row>
    <row r="1813" spans="1:25" x14ac:dyDescent="0.25">
      <c r="A1813" s="75" t="str">
        <f t="shared" si="63"/>
        <v>Pago_de_Hipoteca PFAE Premier Pago_Bajo_Puntual 12</v>
      </c>
      <c r="B1813" s="75" t="str">
        <f t="shared" si="62"/>
        <v>Pago_de_Hipoteca PFAE Premier Pago_Bajo_Puntual 12 0.103</v>
      </c>
      <c r="C1813" s="75" t="s">
        <v>173</v>
      </c>
      <c r="D1813" s="75" t="s">
        <v>168</v>
      </c>
      <c r="E1813" s="75" t="s">
        <v>143</v>
      </c>
      <c r="F1813" s="75"/>
      <c r="G1813" s="75"/>
      <c r="H1813" s="75"/>
      <c r="I1813" s="75" t="s">
        <v>170</v>
      </c>
      <c r="J1813" s="76">
        <v>12</v>
      </c>
      <c r="K1813" s="516" t="s">
        <v>386</v>
      </c>
      <c r="L1813" s="517">
        <v>11.34</v>
      </c>
      <c r="M1813" s="517">
        <v>12</v>
      </c>
      <c r="N1813" s="518">
        <v>0.10299999999999999</v>
      </c>
      <c r="O1813" s="518">
        <v>0.1</v>
      </c>
      <c r="P1813" s="518">
        <v>0.112</v>
      </c>
      <c r="Q1813" s="78">
        <v>0.44</v>
      </c>
      <c r="R1813" s="78">
        <v>0.31740000000000002</v>
      </c>
      <c r="S1813" s="69">
        <v>0</v>
      </c>
      <c r="T1813" s="69">
        <v>0</v>
      </c>
      <c r="U1813" s="518">
        <v>0.7</v>
      </c>
      <c r="V1813" s="76">
        <v>0</v>
      </c>
      <c r="W1813" s="76">
        <v>0</v>
      </c>
      <c r="X1813" s="76"/>
      <c r="Y1813" s="516" t="s">
        <v>470</v>
      </c>
    </row>
    <row r="1814" spans="1:25" x14ac:dyDescent="0.25">
      <c r="A1814" s="75" t="str">
        <f t="shared" si="63"/>
        <v>Pago_de_Hipoteca PFAE Premier Pago_Bajo_Puntual 11</v>
      </c>
      <c r="B1814" s="75" t="str">
        <f t="shared" si="62"/>
        <v>Pago_de_Hipoteca PFAE Premier Pago_Bajo_Puntual 11 0.0965</v>
      </c>
      <c r="C1814" s="75" t="s">
        <v>173</v>
      </c>
      <c r="D1814" s="75" t="s">
        <v>168</v>
      </c>
      <c r="E1814" s="75" t="s">
        <v>143</v>
      </c>
      <c r="F1814" s="75"/>
      <c r="G1814" s="75"/>
      <c r="H1814" s="75"/>
      <c r="I1814" s="75" t="s">
        <v>170</v>
      </c>
      <c r="J1814" s="76">
        <v>11</v>
      </c>
      <c r="K1814" s="516" t="s">
        <v>385</v>
      </c>
      <c r="L1814" s="517">
        <v>11.54</v>
      </c>
      <c r="M1814" s="517">
        <v>12.2</v>
      </c>
      <c r="N1814" s="518">
        <v>9.6500000000000002E-2</v>
      </c>
      <c r="O1814" s="518">
        <v>9.1999999999999998E-2</v>
      </c>
      <c r="P1814" s="518">
        <v>0.10249999999999999</v>
      </c>
      <c r="Q1814" s="78">
        <v>0.44</v>
      </c>
      <c r="R1814" s="78">
        <v>0.31740000000000002</v>
      </c>
      <c r="S1814" s="69">
        <v>0</v>
      </c>
      <c r="T1814" s="69">
        <v>0</v>
      </c>
      <c r="U1814" s="518">
        <v>0.7</v>
      </c>
      <c r="V1814" s="76">
        <v>0</v>
      </c>
      <c r="W1814" s="76">
        <v>0</v>
      </c>
      <c r="X1814" s="76"/>
      <c r="Y1814" s="516" t="s">
        <v>470</v>
      </c>
    </row>
    <row r="1815" spans="1:25" x14ac:dyDescent="0.25">
      <c r="A1815" s="75" t="str">
        <f t="shared" si="63"/>
        <v>Pago_de_Hipoteca PFAE Premier Pago_Bajo_Puntual 11</v>
      </c>
      <c r="B1815" s="75" t="str">
        <f t="shared" si="62"/>
        <v>Pago_de_Hipoteca PFAE Premier Pago_Bajo_Puntual 11 0.103</v>
      </c>
      <c r="C1815" s="75" t="s">
        <v>173</v>
      </c>
      <c r="D1815" s="75" t="s">
        <v>168</v>
      </c>
      <c r="E1815" s="75" t="s">
        <v>143</v>
      </c>
      <c r="F1815" s="75"/>
      <c r="G1815" s="75"/>
      <c r="H1815" s="75"/>
      <c r="I1815" s="75" t="s">
        <v>170</v>
      </c>
      <c r="J1815" s="76">
        <v>11</v>
      </c>
      <c r="K1815" s="516" t="s">
        <v>386</v>
      </c>
      <c r="L1815" s="517">
        <v>11.92</v>
      </c>
      <c r="M1815" s="517">
        <v>12.58</v>
      </c>
      <c r="N1815" s="518">
        <v>0.10299999999999999</v>
      </c>
      <c r="O1815" s="518">
        <v>0.1</v>
      </c>
      <c r="P1815" s="518">
        <v>0.112</v>
      </c>
      <c r="Q1815" s="78">
        <v>0.44</v>
      </c>
      <c r="R1815" s="78">
        <v>0.31740000000000002</v>
      </c>
      <c r="S1815" s="69">
        <v>0</v>
      </c>
      <c r="T1815" s="69">
        <v>0</v>
      </c>
      <c r="U1815" s="518">
        <v>0.7</v>
      </c>
      <c r="V1815" s="76">
        <v>0</v>
      </c>
      <c r="W1815" s="76">
        <v>0</v>
      </c>
      <c r="X1815" s="76"/>
      <c r="Y1815" s="516" t="s">
        <v>470</v>
      </c>
    </row>
    <row r="1816" spans="1:25" x14ac:dyDescent="0.25">
      <c r="A1816" s="75" t="str">
        <f t="shared" si="63"/>
        <v>Pago_de_Hipoteca PFAE Premier Pago_Bajo_Puntual 10</v>
      </c>
      <c r="B1816" s="75" t="str">
        <f t="shared" si="62"/>
        <v>Pago_de_Hipoteca PFAE Premier Pago_Bajo_Puntual 10 0.0965</v>
      </c>
      <c r="C1816" s="75" t="s">
        <v>173</v>
      </c>
      <c r="D1816" s="75" t="s">
        <v>168</v>
      </c>
      <c r="E1816" s="75" t="s">
        <v>143</v>
      </c>
      <c r="F1816" s="75"/>
      <c r="G1816" s="75"/>
      <c r="H1816" s="75"/>
      <c r="I1816" s="75" t="s">
        <v>170</v>
      </c>
      <c r="J1816" s="76">
        <v>10</v>
      </c>
      <c r="K1816" s="516" t="s">
        <v>385</v>
      </c>
      <c r="L1816" s="517">
        <v>12.25</v>
      </c>
      <c r="M1816" s="517">
        <v>12.91</v>
      </c>
      <c r="N1816" s="518">
        <v>9.6500000000000002E-2</v>
      </c>
      <c r="O1816" s="518">
        <v>9.1999999999999998E-2</v>
      </c>
      <c r="P1816" s="518">
        <v>0.10249999999999999</v>
      </c>
      <c r="Q1816" s="78">
        <v>0.44</v>
      </c>
      <c r="R1816" s="78">
        <v>0.31740000000000002</v>
      </c>
      <c r="S1816" s="69">
        <v>0</v>
      </c>
      <c r="T1816" s="69">
        <v>0</v>
      </c>
      <c r="U1816" s="518">
        <v>0.7</v>
      </c>
      <c r="V1816" s="76">
        <v>0</v>
      </c>
      <c r="W1816" s="76">
        <v>0</v>
      </c>
      <c r="X1816" s="76"/>
      <c r="Y1816" s="516" t="s">
        <v>470</v>
      </c>
    </row>
    <row r="1817" spans="1:25" x14ac:dyDescent="0.25">
      <c r="A1817" s="75" t="str">
        <f t="shared" si="63"/>
        <v>Pago_de_Hipoteca PFAE Premier Pago_Bajo_Puntual 10</v>
      </c>
      <c r="B1817" s="75" t="str">
        <f t="shared" si="62"/>
        <v>Pago_de_Hipoteca PFAE Premier Pago_Bajo_Puntual 10 0.103</v>
      </c>
      <c r="C1817" s="75" t="s">
        <v>173</v>
      </c>
      <c r="D1817" s="75" t="s">
        <v>168</v>
      </c>
      <c r="E1817" s="75" t="s">
        <v>143</v>
      </c>
      <c r="F1817" s="75"/>
      <c r="G1817" s="75"/>
      <c r="H1817" s="75"/>
      <c r="I1817" s="75" t="s">
        <v>170</v>
      </c>
      <c r="J1817" s="76">
        <v>10</v>
      </c>
      <c r="K1817" s="516" t="s">
        <v>386</v>
      </c>
      <c r="L1817" s="517">
        <v>12.62</v>
      </c>
      <c r="M1817" s="517">
        <v>13.28</v>
      </c>
      <c r="N1817" s="518">
        <v>0.10299999999999999</v>
      </c>
      <c r="O1817" s="518">
        <v>0.1</v>
      </c>
      <c r="P1817" s="518">
        <v>0.112</v>
      </c>
      <c r="Q1817" s="78">
        <v>0.44</v>
      </c>
      <c r="R1817" s="78">
        <v>0.31740000000000002</v>
      </c>
      <c r="S1817" s="69">
        <v>0</v>
      </c>
      <c r="T1817" s="69">
        <v>0</v>
      </c>
      <c r="U1817" s="518">
        <v>0.7</v>
      </c>
      <c r="V1817" s="76">
        <v>0</v>
      </c>
      <c r="W1817" s="76">
        <v>0</v>
      </c>
      <c r="X1817" s="76"/>
      <c r="Y1817" s="516" t="s">
        <v>470</v>
      </c>
    </row>
    <row r="1818" spans="1:25" x14ac:dyDescent="0.25">
      <c r="A1818" s="75" t="str">
        <f t="shared" si="63"/>
        <v>Pago_de_Hipoteca PFAE Premier Pago_Bajo_Puntual 9</v>
      </c>
      <c r="B1818" s="75" t="str">
        <f t="shared" si="62"/>
        <v>Pago_de_Hipoteca PFAE Premier Pago_Bajo_Puntual 9 0.0965</v>
      </c>
      <c r="C1818" s="75" t="s">
        <v>173</v>
      </c>
      <c r="D1818" s="75" t="s">
        <v>168</v>
      </c>
      <c r="E1818" s="75" t="s">
        <v>143</v>
      </c>
      <c r="F1818" s="75"/>
      <c r="G1818" s="75"/>
      <c r="H1818" s="75"/>
      <c r="I1818" s="75" t="s">
        <v>170</v>
      </c>
      <c r="J1818" s="76">
        <v>9</v>
      </c>
      <c r="K1818" s="516" t="s">
        <v>385</v>
      </c>
      <c r="L1818" s="517">
        <v>13.13</v>
      </c>
      <c r="M1818" s="517">
        <v>13.79</v>
      </c>
      <c r="N1818" s="518">
        <v>9.6500000000000002E-2</v>
      </c>
      <c r="O1818" s="518">
        <v>9.1999999999999998E-2</v>
      </c>
      <c r="P1818" s="518">
        <v>0.10249999999999999</v>
      </c>
      <c r="Q1818" s="78">
        <v>0.44</v>
      </c>
      <c r="R1818" s="78">
        <v>0.31740000000000002</v>
      </c>
      <c r="S1818" s="69">
        <v>0</v>
      </c>
      <c r="T1818" s="69">
        <v>0</v>
      </c>
      <c r="U1818" s="518">
        <v>0.7</v>
      </c>
      <c r="V1818" s="76">
        <v>0</v>
      </c>
      <c r="W1818" s="76">
        <v>0</v>
      </c>
      <c r="X1818" s="76"/>
      <c r="Y1818" s="516" t="s">
        <v>470</v>
      </c>
    </row>
    <row r="1819" spans="1:25" x14ac:dyDescent="0.25">
      <c r="A1819" s="75" t="str">
        <f t="shared" si="63"/>
        <v>Pago_de_Hipoteca PFAE Premier Pago_Bajo_Puntual 9</v>
      </c>
      <c r="B1819" s="75" t="str">
        <f t="shared" si="62"/>
        <v>Pago_de_Hipoteca PFAE Premier Pago_Bajo_Puntual 9 0.103</v>
      </c>
      <c r="C1819" s="75" t="s">
        <v>173</v>
      </c>
      <c r="D1819" s="75" t="s">
        <v>168</v>
      </c>
      <c r="E1819" s="75" t="s">
        <v>143</v>
      </c>
      <c r="F1819" s="75"/>
      <c r="G1819" s="75"/>
      <c r="H1819" s="75"/>
      <c r="I1819" s="75" t="s">
        <v>170</v>
      </c>
      <c r="J1819" s="76">
        <v>9</v>
      </c>
      <c r="K1819" s="516" t="s">
        <v>386</v>
      </c>
      <c r="L1819" s="517">
        <v>13.49</v>
      </c>
      <c r="M1819" s="517">
        <v>14.15</v>
      </c>
      <c r="N1819" s="518">
        <v>0.10299999999999999</v>
      </c>
      <c r="O1819" s="518">
        <v>0.1</v>
      </c>
      <c r="P1819" s="518">
        <v>0.112</v>
      </c>
      <c r="Q1819" s="78">
        <v>0.44</v>
      </c>
      <c r="R1819" s="78">
        <v>0.31740000000000002</v>
      </c>
      <c r="S1819" s="69">
        <v>0</v>
      </c>
      <c r="T1819" s="69">
        <v>0</v>
      </c>
      <c r="U1819" s="518">
        <v>0.7</v>
      </c>
      <c r="V1819" s="76">
        <v>0</v>
      </c>
      <c r="W1819" s="76">
        <v>0</v>
      </c>
      <c r="X1819" s="76"/>
      <c r="Y1819" s="516" t="s">
        <v>470</v>
      </c>
    </row>
    <row r="1820" spans="1:25" x14ac:dyDescent="0.25">
      <c r="A1820" s="75" t="str">
        <f t="shared" si="63"/>
        <v>Pago_de_Hipoteca PFAE Premier Pago_Bajo_Puntual 8</v>
      </c>
      <c r="B1820" s="75" t="str">
        <f t="shared" si="62"/>
        <v>Pago_de_Hipoteca PFAE Premier Pago_Bajo_Puntual 8 0.0965</v>
      </c>
      <c r="C1820" s="75" t="s">
        <v>173</v>
      </c>
      <c r="D1820" s="75" t="s">
        <v>168</v>
      </c>
      <c r="E1820" s="75" t="s">
        <v>143</v>
      </c>
      <c r="F1820" s="75"/>
      <c r="G1820" s="75"/>
      <c r="H1820" s="75"/>
      <c r="I1820" s="75" t="s">
        <v>170</v>
      </c>
      <c r="J1820" s="76">
        <v>8</v>
      </c>
      <c r="K1820" s="516" t="s">
        <v>385</v>
      </c>
      <c r="L1820" s="517">
        <v>14.25</v>
      </c>
      <c r="M1820" s="517">
        <v>14.91</v>
      </c>
      <c r="N1820" s="518">
        <v>9.6500000000000002E-2</v>
      </c>
      <c r="O1820" s="518">
        <v>9.1999999999999998E-2</v>
      </c>
      <c r="P1820" s="518">
        <v>0.10249999999999999</v>
      </c>
      <c r="Q1820" s="78">
        <v>0.44</v>
      </c>
      <c r="R1820" s="78">
        <v>0.31740000000000002</v>
      </c>
      <c r="S1820" s="69">
        <v>0</v>
      </c>
      <c r="T1820" s="69">
        <v>0</v>
      </c>
      <c r="U1820" s="518">
        <v>0.7</v>
      </c>
      <c r="V1820" s="76">
        <v>0</v>
      </c>
      <c r="W1820" s="76">
        <v>0</v>
      </c>
      <c r="X1820" s="76"/>
      <c r="Y1820" s="516" t="s">
        <v>470</v>
      </c>
    </row>
    <row r="1821" spans="1:25" x14ac:dyDescent="0.25">
      <c r="A1821" s="75" t="str">
        <f t="shared" si="63"/>
        <v>Pago_de_Hipoteca PFAE Premier Pago_Bajo_Puntual 8</v>
      </c>
      <c r="B1821" s="75" t="str">
        <f t="shared" si="62"/>
        <v>Pago_de_Hipoteca PFAE Premier Pago_Bajo_Puntual 8 0.103</v>
      </c>
      <c r="C1821" s="75" t="s">
        <v>173</v>
      </c>
      <c r="D1821" s="75" t="s">
        <v>168</v>
      </c>
      <c r="E1821" s="75" t="s">
        <v>143</v>
      </c>
      <c r="F1821" s="75"/>
      <c r="G1821" s="75"/>
      <c r="H1821" s="75"/>
      <c r="I1821" s="75" t="s">
        <v>170</v>
      </c>
      <c r="J1821" s="76">
        <v>8</v>
      </c>
      <c r="K1821" s="516" t="s">
        <v>386</v>
      </c>
      <c r="L1821" s="517">
        <v>14.59</v>
      </c>
      <c r="M1821" s="517">
        <v>15.25</v>
      </c>
      <c r="N1821" s="518">
        <v>0.10299999999999999</v>
      </c>
      <c r="O1821" s="518">
        <v>0.1</v>
      </c>
      <c r="P1821" s="518">
        <v>0.112</v>
      </c>
      <c r="Q1821" s="78">
        <v>0.44</v>
      </c>
      <c r="R1821" s="78">
        <v>0.31740000000000002</v>
      </c>
      <c r="S1821" s="69">
        <v>0</v>
      </c>
      <c r="T1821" s="69">
        <v>0</v>
      </c>
      <c r="U1821" s="518">
        <v>0.7</v>
      </c>
      <c r="V1821" s="76">
        <v>0</v>
      </c>
      <c r="W1821" s="76">
        <v>0</v>
      </c>
      <c r="X1821" s="76"/>
      <c r="Y1821" s="516" t="s">
        <v>470</v>
      </c>
    </row>
    <row r="1822" spans="1:25" x14ac:dyDescent="0.25">
      <c r="A1822" s="75" t="str">
        <f t="shared" si="63"/>
        <v>Pago_de_Hipoteca PFAE Premier Pago_Bajo_Puntual 7</v>
      </c>
      <c r="B1822" s="75" t="str">
        <f t="shared" si="62"/>
        <v>Pago_de_Hipoteca PFAE Premier Pago_Bajo_Puntual 7 0.0965</v>
      </c>
      <c r="C1822" s="75" t="s">
        <v>173</v>
      </c>
      <c r="D1822" s="75" t="s">
        <v>168</v>
      </c>
      <c r="E1822" s="75" t="s">
        <v>143</v>
      </c>
      <c r="F1822" s="75"/>
      <c r="G1822" s="75"/>
      <c r="H1822" s="75"/>
      <c r="I1822" s="75" t="s">
        <v>170</v>
      </c>
      <c r="J1822" s="76">
        <v>7</v>
      </c>
      <c r="K1822" s="516" t="s">
        <v>385</v>
      </c>
      <c r="L1822" s="517">
        <v>15.7</v>
      </c>
      <c r="M1822" s="517">
        <v>16.36</v>
      </c>
      <c r="N1822" s="518">
        <v>9.6500000000000002E-2</v>
      </c>
      <c r="O1822" s="518">
        <v>9.1999999999999998E-2</v>
      </c>
      <c r="P1822" s="518">
        <v>0.10249999999999999</v>
      </c>
      <c r="Q1822" s="78">
        <v>0.44</v>
      </c>
      <c r="R1822" s="78">
        <v>0.31740000000000002</v>
      </c>
      <c r="S1822" s="69">
        <v>0</v>
      </c>
      <c r="T1822" s="69">
        <v>0</v>
      </c>
      <c r="U1822" s="518">
        <v>0.7</v>
      </c>
      <c r="V1822" s="76">
        <v>0</v>
      </c>
      <c r="W1822" s="76">
        <v>0</v>
      </c>
      <c r="X1822" s="76"/>
      <c r="Y1822" s="516" t="s">
        <v>470</v>
      </c>
    </row>
    <row r="1823" spans="1:25" x14ac:dyDescent="0.25">
      <c r="A1823" s="75" t="str">
        <f t="shared" si="63"/>
        <v>Pago_de_Hipoteca PFAE Premier Pago_Bajo_Puntual 7</v>
      </c>
      <c r="B1823" s="75" t="str">
        <f t="shared" si="62"/>
        <v>Pago_de_Hipoteca PFAE Premier Pago_Bajo_Puntual 7 0.103</v>
      </c>
      <c r="C1823" s="75" t="s">
        <v>173</v>
      </c>
      <c r="D1823" s="75" t="s">
        <v>168</v>
      </c>
      <c r="E1823" s="75" t="s">
        <v>143</v>
      </c>
      <c r="F1823" s="75"/>
      <c r="G1823" s="75"/>
      <c r="H1823" s="75"/>
      <c r="I1823" s="75" t="s">
        <v>170</v>
      </c>
      <c r="J1823" s="76">
        <v>7</v>
      </c>
      <c r="K1823" s="516" t="s">
        <v>386</v>
      </c>
      <c r="L1823" s="517">
        <v>16.03</v>
      </c>
      <c r="M1823" s="517">
        <v>16.690000000000001</v>
      </c>
      <c r="N1823" s="518">
        <v>0.10299999999999999</v>
      </c>
      <c r="O1823" s="518">
        <v>0.1</v>
      </c>
      <c r="P1823" s="518">
        <v>0.112</v>
      </c>
      <c r="Q1823" s="78">
        <v>0.44</v>
      </c>
      <c r="R1823" s="78">
        <v>0.31740000000000002</v>
      </c>
      <c r="S1823" s="69">
        <v>0</v>
      </c>
      <c r="T1823" s="69">
        <v>0</v>
      </c>
      <c r="U1823" s="518">
        <v>0.7</v>
      </c>
      <c r="V1823" s="76">
        <v>0</v>
      </c>
      <c r="W1823" s="76">
        <v>0</v>
      </c>
      <c r="X1823" s="76"/>
      <c r="Y1823" s="516" t="s">
        <v>470</v>
      </c>
    </row>
    <row r="1824" spans="1:25" x14ac:dyDescent="0.25">
      <c r="A1824" s="75" t="str">
        <f t="shared" si="63"/>
        <v>Pago_de_Hipoteca PFAE Premier Pago_Bajo_Puntual 6</v>
      </c>
      <c r="B1824" s="75" t="str">
        <f t="shared" si="62"/>
        <v>Pago_de_Hipoteca PFAE Premier Pago_Bajo_Puntual 6 0.0965</v>
      </c>
      <c r="C1824" s="75" t="s">
        <v>173</v>
      </c>
      <c r="D1824" s="75" t="s">
        <v>168</v>
      </c>
      <c r="E1824" s="75" t="s">
        <v>143</v>
      </c>
      <c r="F1824" s="75"/>
      <c r="G1824" s="75"/>
      <c r="H1824" s="75"/>
      <c r="I1824" s="75" t="s">
        <v>170</v>
      </c>
      <c r="J1824" s="76">
        <v>6</v>
      </c>
      <c r="K1824" s="516" t="s">
        <v>385</v>
      </c>
      <c r="L1824" s="517">
        <v>17.649999999999999</v>
      </c>
      <c r="M1824" s="517">
        <v>18.309999999999999</v>
      </c>
      <c r="N1824" s="518">
        <v>9.6500000000000002E-2</v>
      </c>
      <c r="O1824" s="518">
        <v>9.1999999999999998E-2</v>
      </c>
      <c r="P1824" s="518">
        <v>0.10249999999999999</v>
      </c>
      <c r="Q1824" s="78">
        <v>0.44</v>
      </c>
      <c r="R1824" s="78">
        <v>0.31740000000000002</v>
      </c>
      <c r="S1824" s="69">
        <v>0</v>
      </c>
      <c r="T1824" s="69">
        <v>0</v>
      </c>
      <c r="U1824" s="518">
        <v>0.7</v>
      </c>
      <c r="V1824" s="76">
        <v>0</v>
      </c>
      <c r="W1824" s="76">
        <v>0</v>
      </c>
      <c r="X1824" s="76"/>
      <c r="Y1824" s="516" t="s">
        <v>470</v>
      </c>
    </row>
    <row r="1825" spans="1:25" x14ac:dyDescent="0.25">
      <c r="A1825" s="75" t="str">
        <f t="shared" si="63"/>
        <v>Pago_de_Hipoteca PFAE Premier Pago_Bajo_Puntual 6</v>
      </c>
      <c r="B1825" s="75" t="str">
        <f t="shared" si="62"/>
        <v>Pago_de_Hipoteca PFAE Premier Pago_Bajo_Puntual 6 0.103</v>
      </c>
      <c r="C1825" s="75" t="s">
        <v>173</v>
      </c>
      <c r="D1825" s="75" t="s">
        <v>168</v>
      </c>
      <c r="E1825" s="75" t="s">
        <v>143</v>
      </c>
      <c r="F1825" s="75"/>
      <c r="G1825" s="75"/>
      <c r="H1825" s="75"/>
      <c r="I1825" s="75" t="s">
        <v>170</v>
      </c>
      <c r="J1825" s="76">
        <v>6</v>
      </c>
      <c r="K1825" s="516" t="s">
        <v>386</v>
      </c>
      <c r="L1825" s="517">
        <v>17.97</v>
      </c>
      <c r="M1825" s="517">
        <v>18.63</v>
      </c>
      <c r="N1825" s="518">
        <v>0.10299999999999999</v>
      </c>
      <c r="O1825" s="518">
        <v>0.1</v>
      </c>
      <c r="P1825" s="518">
        <v>0.112</v>
      </c>
      <c r="Q1825" s="78">
        <v>0.44</v>
      </c>
      <c r="R1825" s="78">
        <v>0.31740000000000002</v>
      </c>
      <c r="S1825" s="69">
        <v>0</v>
      </c>
      <c r="T1825" s="69">
        <v>0</v>
      </c>
      <c r="U1825" s="518">
        <v>0.7</v>
      </c>
      <c r="V1825" s="76">
        <v>0</v>
      </c>
      <c r="W1825" s="76">
        <v>0</v>
      </c>
      <c r="X1825" s="76"/>
      <c r="Y1825" s="516" t="s">
        <v>470</v>
      </c>
    </row>
    <row r="1826" spans="1:25" x14ac:dyDescent="0.25">
      <c r="A1826" s="75" t="str">
        <f t="shared" si="63"/>
        <v>Pago_de_Hipoteca PFAE Premier Pago_Bajo_Puntual 5</v>
      </c>
      <c r="B1826" s="75" t="str">
        <f t="shared" si="62"/>
        <v>Pago_de_Hipoteca PFAE Premier Pago_Bajo_Puntual 5 0.0965</v>
      </c>
      <c r="C1826" s="75" t="s">
        <v>173</v>
      </c>
      <c r="D1826" s="75" t="s">
        <v>168</v>
      </c>
      <c r="E1826" s="75" t="s">
        <v>143</v>
      </c>
      <c r="F1826" s="75"/>
      <c r="G1826" s="75"/>
      <c r="H1826" s="75"/>
      <c r="I1826" s="75" t="s">
        <v>170</v>
      </c>
      <c r="J1826" s="76">
        <v>5</v>
      </c>
      <c r="K1826" s="516" t="s">
        <v>385</v>
      </c>
      <c r="L1826" s="517">
        <v>20.399999999999999</v>
      </c>
      <c r="M1826" s="517">
        <v>21.06</v>
      </c>
      <c r="N1826" s="518">
        <v>9.6500000000000002E-2</v>
      </c>
      <c r="O1826" s="518">
        <v>9.1999999999999998E-2</v>
      </c>
      <c r="P1826" s="518">
        <v>0.10249999999999999</v>
      </c>
      <c r="Q1826" s="78">
        <v>0.44</v>
      </c>
      <c r="R1826" s="78">
        <v>0.31740000000000002</v>
      </c>
      <c r="S1826" s="69">
        <v>0</v>
      </c>
      <c r="T1826" s="69">
        <v>0</v>
      </c>
      <c r="U1826" s="518">
        <v>0.7</v>
      </c>
      <c r="V1826" s="76">
        <v>0</v>
      </c>
      <c r="W1826" s="76">
        <v>0</v>
      </c>
      <c r="X1826" s="76"/>
      <c r="Y1826" s="516" t="s">
        <v>470</v>
      </c>
    </row>
    <row r="1827" spans="1:25" x14ac:dyDescent="0.25">
      <c r="A1827" s="75" t="str">
        <f t="shared" si="63"/>
        <v>Pago_de_Hipoteca PFAE Premier Pago_Bajo_Puntual 5</v>
      </c>
      <c r="B1827" s="75" t="str">
        <f t="shared" si="62"/>
        <v>Pago_de_Hipoteca PFAE Premier Pago_Bajo_Puntual 5 0.103</v>
      </c>
      <c r="C1827" s="75" t="s">
        <v>173</v>
      </c>
      <c r="D1827" s="75" t="s">
        <v>168</v>
      </c>
      <c r="E1827" s="75" t="s">
        <v>143</v>
      </c>
      <c r="F1827" s="75"/>
      <c r="G1827" s="75"/>
      <c r="H1827" s="75"/>
      <c r="I1827" s="75" t="s">
        <v>170</v>
      </c>
      <c r="J1827" s="76">
        <v>5</v>
      </c>
      <c r="K1827" s="516" t="s">
        <v>386</v>
      </c>
      <c r="L1827" s="517">
        <v>20.72</v>
      </c>
      <c r="M1827" s="517">
        <v>21.38</v>
      </c>
      <c r="N1827" s="518">
        <v>0.10299999999999999</v>
      </c>
      <c r="O1827" s="518">
        <v>0.1</v>
      </c>
      <c r="P1827" s="518">
        <v>0.112</v>
      </c>
      <c r="Q1827" s="78">
        <v>0.44</v>
      </c>
      <c r="R1827" s="78">
        <v>0.31740000000000002</v>
      </c>
      <c r="S1827" s="69">
        <v>0</v>
      </c>
      <c r="T1827" s="69">
        <v>0</v>
      </c>
      <c r="U1827" s="518">
        <v>0.7</v>
      </c>
      <c r="V1827" s="76">
        <v>0</v>
      </c>
      <c r="W1827" s="76">
        <v>0</v>
      </c>
      <c r="X1827" s="76"/>
      <c r="Y1827" s="516" t="s">
        <v>470</v>
      </c>
    </row>
    <row r="1828" spans="1:25" x14ac:dyDescent="0.25">
      <c r="A1828" s="75" t="str">
        <f t="shared" si="63"/>
        <v>Pago_de_Hipoteca PROF No_Premier Normal Pago_Fijo_Puntual Si 20</v>
      </c>
      <c r="B1828" s="75" t="str">
        <f t="shared" si="62"/>
        <v>Pago_de_Hipoteca PROF No_Premier Normal Pago_Fijo_Puntual Si 20 0.103</v>
      </c>
      <c r="C1828" s="75" t="s">
        <v>173</v>
      </c>
      <c r="D1828" s="75" t="s">
        <v>169</v>
      </c>
      <c r="E1828" s="75" t="s">
        <v>179</v>
      </c>
      <c r="F1828" s="75" t="s">
        <v>180</v>
      </c>
      <c r="G1828" s="75"/>
      <c r="H1828" s="75"/>
      <c r="I1828" s="75" t="s">
        <v>171</v>
      </c>
      <c r="J1828" s="76">
        <v>20</v>
      </c>
      <c r="K1828" s="519" t="s">
        <v>387</v>
      </c>
      <c r="L1828" s="520">
        <v>10.16</v>
      </c>
      <c r="M1828" s="520">
        <v>10.82</v>
      </c>
      <c r="N1828" s="507">
        <v>0.10299999999999999</v>
      </c>
      <c r="O1828" s="507">
        <v>0.1</v>
      </c>
      <c r="P1828" s="507">
        <v>0.112</v>
      </c>
      <c r="Q1828" s="78">
        <v>0.44</v>
      </c>
      <c r="R1828" s="78">
        <v>0.31740000000000002</v>
      </c>
      <c r="S1828" s="69">
        <v>0</v>
      </c>
      <c r="T1828" s="69">
        <v>0</v>
      </c>
      <c r="U1828" s="507">
        <v>0.85</v>
      </c>
      <c r="V1828" s="76">
        <v>0</v>
      </c>
      <c r="W1828" s="76">
        <v>0</v>
      </c>
      <c r="X1828" s="76" t="s">
        <v>147</v>
      </c>
      <c r="Y1828" s="519" t="s">
        <v>469</v>
      </c>
    </row>
    <row r="1829" spans="1:25" x14ac:dyDescent="0.25">
      <c r="A1829" s="75" t="str">
        <f t="shared" si="63"/>
        <v>Pago_de_Hipoteca PROF No_Premier Normal Pago_Fijo_Puntual Si 19</v>
      </c>
      <c r="B1829" s="75" t="str">
        <f t="shared" ref="B1829:B1861" si="64">CONCATENATE(A1829," ",N1829)</f>
        <v>Pago_de_Hipoteca PROF No_Premier Normal Pago_Fijo_Puntual Si 19 0.103</v>
      </c>
      <c r="C1829" s="75" t="s">
        <v>173</v>
      </c>
      <c r="D1829" s="75" t="s">
        <v>169</v>
      </c>
      <c r="E1829" s="75" t="s">
        <v>179</v>
      </c>
      <c r="F1829" s="75" t="s">
        <v>180</v>
      </c>
      <c r="G1829" s="75"/>
      <c r="H1829" s="75"/>
      <c r="I1829" s="75" t="s">
        <v>171</v>
      </c>
      <c r="J1829" s="76">
        <v>19</v>
      </c>
      <c r="K1829" s="519" t="s">
        <v>387</v>
      </c>
      <c r="L1829" s="520">
        <v>10.3</v>
      </c>
      <c r="M1829" s="520">
        <v>10.96</v>
      </c>
      <c r="N1829" s="507">
        <v>0.10299999999999999</v>
      </c>
      <c r="O1829" s="507">
        <v>0.1</v>
      </c>
      <c r="P1829" s="507">
        <v>0.112</v>
      </c>
      <c r="Q1829" s="78">
        <v>0.44</v>
      </c>
      <c r="R1829" s="78">
        <v>0.31740000000000002</v>
      </c>
      <c r="S1829" s="69">
        <v>0</v>
      </c>
      <c r="T1829" s="69">
        <v>0</v>
      </c>
      <c r="U1829" s="507">
        <v>0.85</v>
      </c>
      <c r="V1829" s="76">
        <v>0</v>
      </c>
      <c r="W1829" s="76">
        <v>0</v>
      </c>
      <c r="X1829" s="76" t="s">
        <v>147</v>
      </c>
      <c r="Y1829" s="519" t="s">
        <v>469</v>
      </c>
    </row>
    <row r="1830" spans="1:25" x14ac:dyDescent="0.25">
      <c r="A1830" s="75" t="str">
        <f t="shared" ref="A1830:A1862" si="65">TRIM(CONCATENATE(C1830," ",D1830," ",E1830," ",F1830," ",G1830," ",I1830," ",X1830," ",J1830))</f>
        <v>Pago_de_Hipoteca PROF No_Premier Normal Pago_Fijo_Puntual Si 18</v>
      </c>
      <c r="B1830" s="75" t="str">
        <f t="shared" si="64"/>
        <v>Pago_de_Hipoteca PROF No_Premier Normal Pago_Fijo_Puntual Si 18 0.103</v>
      </c>
      <c r="C1830" s="75" t="s">
        <v>173</v>
      </c>
      <c r="D1830" s="75" t="s">
        <v>169</v>
      </c>
      <c r="E1830" s="75" t="s">
        <v>179</v>
      </c>
      <c r="F1830" s="75" t="s">
        <v>180</v>
      </c>
      <c r="G1830" s="75"/>
      <c r="H1830" s="75"/>
      <c r="I1830" s="75" t="s">
        <v>171</v>
      </c>
      <c r="J1830" s="76">
        <v>18</v>
      </c>
      <c r="K1830" s="519" t="s">
        <v>387</v>
      </c>
      <c r="L1830" s="520">
        <v>10.47</v>
      </c>
      <c r="M1830" s="520">
        <v>11.13</v>
      </c>
      <c r="N1830" s="507">
        <v>0.10299999999999999</v>
      </c>
      <c r="O1830" s="507">
        <v>0.1</v>
      </c>
      <c r="P1830" s="507">
        <v>0.112</v>
      </c>
      <c r="Q1830" s="78">
        <v>0.44</v>
      </c>
      <c r="R1830" s="78">
        <v>0.31740000000000002</v>
      </c>
      <c r="S1830" s="69">
        <v>0</v>
      </c>
      <c r="T1830" s="69">
        <v>0</v>
      </c>
      <c r="U1830" s="507">
        <v>0.85</v>
      </c>
      <c r="V1830" s="76">
        <v>0</v>
      </c>
      <c r="W1830" s="76">
        <v>0</v>
      </c>
      <c r="X1830" s="76" t="s">
        <v>147</v>
      </c>
      <c r="Y1830" s="519" t="s">
        <v>469</v>
      </c>
    </row>
    <row r="1831" spans="1:25" x14ac:dyDescent="0.25">
      <c r="A1831" s="75" t="str">
        <f t="shared" si="65"/>
        <v>Pago_de_Hipoteca PROF No_Premier Normal Pago_Fijo_Puntual Si 17</v>
      </c>
      <c r="B1831" s="75" t="str">
        <f t="shared" si="64"/>
        <v>Pago_de_Hipoteca PROF No_Premier Normal Pago_Fijo_Puntual Si 17 0.103</v>
      </c>
      <c r="C1831" s="75" t="s">
        <v>173</v>
      </c>
      <c r="D1831" s="75" t="s">
        <v>169</v>
      </c>
      <c r="E1831" s="75" t="s">
        <v>179</v>
      </c>
      <c r="F1831" s="75" t="s">
        <v>180</v>
      </c>
      <c r="G1831" s="75"/>
      <c r="H1831" s="75"/>
      <c r="I1831" s="75" t="s">
        <v>171</v>
      </c>
      <c r="J1831" s="76">
        <v>17</v>
      </c>
      <c r="K1831" s="519" t="s">
        <v>387</v>
      </c>
      <c r="L1831" s="520">
        <v>10.67</v>
      </c>
      <c r="M1831" s="520">
        <v>11.33</v>
      </c>
      <c r="N1831" s="507">
        <v>0.10299999999999999</v>
      </c>
      <c r="O1831" s="507">
        <v>0.1</v>
      </c>
      <c r="P1831" s="507">
        <v>0.112</v>
      </c>
      <c r="Q1831" s="78">
        <v>0.44</v>
      </c>
      <c r="R1831" s="78">
        <v>0.31740000000000002</v>
      </c>
      <c r="S1831" s="69">
        <v>0</v>
      </c>
      <c r="T1831" s="69">
        <v>0</v>
      </c>
      <c r="U1831" s="507">
        <v>0.85</v>
      </c>
      <c r="V1831" s="76">
        <v>0</v>
      </c>
      <c r="W1831" s="76">
        <v>0</v>
      </c>
      <c r="X1831" s="76" t="s">
        <v>147</v>
      </c>
      <c r="Y1831" s="519" t="s">
        <v>469</v>
      </c>
    </row>
    <row r="1832" spans="1:25" x14ac:dyDescent="0.25">
      <c r="A1832" s="75" t="str">
        <f t="shared" si="65"/>
        <v>Pago_de_Hipoteca PROF No_Premier Normal Pago_Fijo_Puntual Si 16</v>
      </c>
      <c r="B1832" s="75" t="str">
        <f t="shared" si="64"/>
        <v>Pago_de_Hipoteca PROF No_Premier Normal Pago_Fijo_Puntual Si 16 0.103</v>
      </c>
      <c r="C1832" s="75" t="s">
        <v>173</v>
      </c>
      <c r="D1832" s="75" t="s">
        <v>169</v>
      </c>
      <c r="E1832" s="75" t="s">
        <v>179</v>
      </c>
      <c r="F1832" s="75" t="s">
        <v>180</v>
      </c>
      <c r="G1832" s="75"/>
      <c r="H1832" s="75"/>
      <c r="I1832" s="75" t="s">
        <v>171</v>
      </c>
      <c r="J1832" s="76">
        <v>16</v>
      </c>
      <c r="K1832" s="519" t="s">
        <v>387</v>
      </c>
      <c r="L1832" s="520">
        <v>10.9</v>
      </c>
      <c r="M1832" s="520">
        <v>11.56</v>
      </c>
      <c r="N1832" s="507">
        <v>0.10299999999999999</v>
      </c>
      <c r="O1832" s="507">
        <v>0.1</v>
      </c>
      <c r="P1832" s="507">
        <v>0.112</v>
      </c>
      <c r="Q1832" s="78">
        <v>0.44</v>
      </c>
      <c r="R1832" s="78">
        <v>0.31740000000000002</v>
      </c>
      <c r="S1832" s="69">
        <v>0</v>
      </c>
      <c r="T1832" s="69">
        <v>0</v>
      </c>
      <c r="U1832" s="507">
        <v>0.85</v>
      </c>
      <c r="V1832" s="76">
        <v>0</v>
      </c>
      <c r="W1832" s="76">
        <v>0</v>
      </c>
      <c r="X1832" s="76" t="s">
        <v>147</v>
      </c>
      <c r="Y1832" s="519" t="s">
        <v>469</v>
      </c>
    </row>
    <row r="1833" spans="1:25" x14ac:dyDescent="0.25">
      <c r="A1833" s="75" t="str">
        <f t="shared" si="65"/>
        <v>Pago_de_Hipoteca PROF No_Premier Normal Pago_Fijo_Puntual Si 15</v>
      </c>
      <c r="B1833" s="75" t="str">
        <f t="shared" si="64"/>
        <v>Pago_de_Hipoteca PROF No_Premier Normal Pago_Fijo_Puntual Si 15 0.103</v>
      </c>
      <c r="C1833" s="75" t="s">
        <v>173</v>
      </c>
      <c r="D1833" s="75" t="s">
        <v>169</v>
      </c>
      <c r="E1833" s="75" t="s">
        <v>179</v>
      </c>
      <c r="F1833" s="75" t="s">
        <v>180</v>
      </c>
      <c r="G1833" s="75"/>
      <c r="H1833" s="75"/>
      <c r="I1833" s="75" t="s">
        <v>171</v>
      </c>
      <c r="J1833" s="76">
        <v>15</v>
      </c>
      <c r="K1833" s="519" t="s">
        <v>387</v>
      </c>
      <c r="L1833" s="520">
        <v>11.18</v>
      </c>
      <c r="M1833" s="520">
        <v>11.84</v>
      </c>
      <c r="N1833" s="507">
        <v>0.10299999999999999</v>
      </c>
      <c r="O1833" s="507">
        <v>0.1</v>
      </c>
      <c r="P1833" s="507">
        <v>0.112</v>
      </c>
      <c r="Q1833" s="78">
        <v>0.44</v>
      </c>
      <c r="R1833" s="78">
        <v>0.31740000000000002</v>
      </c>
      <c r="S1833" s="69">
        <v>0</v>
      </c>
      <c r="T1833" s="69">
        <v>0</v>
      </c>
      <c r="U1833" s="507">
        <v>0.85</v>
      </c>
      <c r="V1833" s="76">
        <v>0</v>
      </c>
      <c r="W1833" s="76">
        <v>0</v>
      </c>
      <c r="X1833" s="76" t="s">
        <v>147</v>
      </c>
      <c r="Y1833" s="519" t="s">
        <v>469</v>
      </c>
    </row>
    <row r="1834" spans="1:25" x14ac:dyDescent="0.25">
      <c r="A1834" s="75" t="str">
        <f t="shared" si="65"/>
        <v>Pago_de_Hipoteca PROF No_Premier Normal Pago_Fijo_Puntual Si 14</v>
      </c>
      <c r="B1834" s="75" t="str">
        <f t="shared" si="64"/>
        <v>Pago_de_Hipoteca PROF No_Premier Normal Pago_Fijo_Puntual Si 14 0.103</v>
      </c>
      <c r="C1834" s="75" t="s">
        <v>173</v>
      </c>
      <c r="D1834" s="75" t="s">
        <v>169</v>
      </c>
      <c r="E1834" s="75" t="s">
        <v>179</v>
      </c>
      <c r="F1834" s="75" t="s">
        <v>180</v>
      </c>
      <c r="G1834" s="75"/>
      <c r="H1834" s="75"/>
      <c r="I1834" s="75" t="s">
        <v>171</v>
      </c>
      <c r="J1834" s="76">
        <v>14</v>
      </c>
      <c r="K1834" s="519" t="s">
        <v>387</v>
      </c>
      <c r="L1834" s="520">
        <v>11.49</v>
      </c>
      <c r="M1834" s="520">
        <v>12.15</v>
      </c>
      <c r="N1834" s="507">
        <v>0.10299999999999999</v>
      </c>
      <c r="O1834" s="507">
        <v>0.1</v>
      </c>
      <c r="P1834" s="507">
        <v>0.112</v>
      </c>
      <c r="Q1834" s="78">
        <v>0.44</v>
      </c>
      <c r="R1834" s="78">
        <v>0.31740000000000002</v>
      </c>
      <c r="S1834" s="69">
        <v>0</v>
      </c>
      <c r="T1834" s="69">
        <v>0</v>
      </c>
      <c r="U1834" s="507">
        <v>0.85</v>
      </c>
      <c r="V1834" s="76">
        <v>0</v>
      </c>
      <c r="W1834" s="76">
        <v>0</v>
      </c>
      <c r="X1834" s="76" t="s">
        <v>147</v>
      </c>
      <c r="Y1834" s="519" t="s">
        <v>469</v>
      </c>
    </row>
    <row r="1835" spans="1:25" x14ac:dyDescent="0.25">
      <c r="A1835" s="75" t="str">
        <f t="shared" si="65"/>
        <v>Pago_de_Hipoteca PROF No_Premier Normal Pago_Fijo_Puntual Si 13</v>
      </c>
      <c r="B1835" s="75" t="str">
        <f t="shared" si="64"/>
        <v>Pago_de_Hipoteca PROF No_Premier Normal Pago_Fijo_Puntual Si 13 0.103</v>
      </c>
      <c r="C1835" s="75" t="s">
        <v>173</v>
      </c>
      <c r="D1835" s="75" t="s">
        <v>169</v>
      </c>
      <c r="E1835" s="75" t="s">
        <v>179</v>
      </c>
      <c r="F1835" s="75" t="s">
        <v>180</v>
      </c>
      <c r="G1835" s="75"/>
      <c r="H1835" s="75"/>
      <c r="I1835" s="75" t="s">
        <v>171</v>
      </c>
      <c r="J1835" s="76">
        <v>13</v>
      </c>
      <c r="K1835" s="519" t="s">
        <v>387</v>
      </c>
      <c r="L1835" s="520">
        <v>11.86</v>
      </c>
      <c r="M1835" s="520">
        <v>12.52</v>
      </c>
      <c r="N1835" s="507">
        <v>0.10299999999999999</v>
      </c>
      <c r="O1835" s="507">
        <v>0.1</v>
      </c>
      <c r="P1835" s="507">
        <v>0.112</v>
      </c>
      <c r="Q1835" s="78">
        <v>0.44</v>
      </c>
      <c r="R1835" s="78">
        <v>0.31740000000000002</v>
      </c>
      <c r="S1835" s="69">
        <v>0</v>
      </c>
      <c r="T1835" s="69">
        <v>0</v>
      </c>
      <c r="U1835" s="507">
        <v>0.85</v>
      </c>
      <c r="V1835" s="76">
        <v>0</v>
      </c>
      <c r="W1835" s="76">
        <v>0</v>
      </c>
      <c r="X1835" s="76" t="s">
        <v>147</v>
      </c>
      <c r="Y1835" s="519" t="s">
        <v>469</v>
      </c>
    </row>
    <row r="1836" spans="1:25" x14ac:dyDescent="0.25">
      <c r="A1836" s="75" t="str">
        <f t="shared" si="65"/>
        <v>Pago_de_Hipoteca PROF No_Premier Normal Pago_Fijo_Puntual Si 12</v>
      </c>
      <c r="B1836" s="75" t="str">
        <f t="shared" si="64"/>
        <v>Pago_de_Hipoteca PROF No_Premier Normal Pago_Fijo_Puntual Si 12 0.103</v>
      </c>
      <c r="C1836" s="75" t="s">
        <v>173</v>
      </c>
      <c r="D1836" s="75" t="s">
        <v>169</v>
      </c>
      <c r="E1836" s="75" t="s">
        <v>179</v>
      </c>
      <c r="F1836" s="75" t="s">
        <v>180</v>
      </c>
      <c r="G1836" s="75"/>
      <c r="H1836" s="75"/>
      <c r="I1836" s="75" t="s">
        <v>171</v>
      </c>
      <c r="J1836" s="76">
        <v>12</v>
      </c>
      <c r="K1836" s="519" t="s">
        <v>387</v>
      </c>
      <c r="L1836" s="520">
        <v>12.31</v>
      </c>
      <c r="M1836" s="520">
        <v>12.97</v>
      </c>
      <c r="N1836" s="507">
        <v>0.10299999999999999</v>
      </c>
      <c r="O1836" s="507">
        <v>0.1</v>
      </c>
      <c r="P1836" s="507">
        <v>0.112</v>
      </c>
      <c r="Q1836" s="78">
        <v>0.44</v>
      </c>
      <c r="R1836" s="78">
        <v>0.31740000000000002</v>
      </c>
      <c r="S1836" s="69">
        <v>0</v>
      </c>
      <c r="T1836" s="69">
        <v>0</v>
      </c>
      <c r="U1836" s="507">
        <v>0.85</v>
      </c>
      <c r="V1836" s="76">
        <v>0</v>
      </c>
      <c r="W1836" s="76">
        <v>0</v>
      </c>
      <c r="X1836" s="76" t="s">
        <v>147</v>
      </c>
      <c r="Y1836" s="519" t="s">
        <v>469</v>
      </c>
    </row>
    <row r="1837" spans="1:25" x14ac:dyDescent="0.25">
      <c r="A1837" s="75" t="str">
        <f t="shared" si="65"/>
        <v>Pago_de_Hipoteca PROF No_Premier Normal Pago_Fijo_Puntual Si 11</v>
      </c>
      <c r="B1837" s="75" t="str">
        <f t="shared" si="64"/>
        <v>Pago_de_Hipoteca PROF No_Premier Normal Pago_Fijo_Puntual Si 11 0.103</v>
      </c>
      <c r="C1837" s="75" t="s">
        <v>173</v>
      </c>
      <c r="D1837" s="75" t="s">
        <v>169</v>
      </c>
      <c r="E1837" s="75" t="s">
        <v>179</v>
      </c>
      <c r="F1837" s="75" t="s">
        <v>180</v>
      </c>
      <c r="G1837" s="75"/>
      <c r="H1837" s="75"/>
      <c r="I1837" s="75" t="s">
        <v>171</v>
      </c>
      <c r="J1837" s="76">
        <v>11</v>
      </c>
      <c r="K1837" s="519" t="s">
        <v>387</v>
      </c>
      <c r="L1837" s="520">
        <v>12.86</v>
      </c>
      <c r="M1837" s="520">
        <v>13.52</v>
      </c>
      <c r="N1837" s="507">
        <v>0.10299999999999999</v>
      </c>
      <c r="O1837" s="507">
        <v>0.1</v>
      </c>
      <c r="P1837" s="507">
        <v>0.112</v>
      </c>
      <c r="Q1837" s="78">
        <v>0.44</v>
      </c>
      <c r="R1837" s="78">
        <v>0.31740000000000002</v>
      </c>
      <c r="S1837" s="69">
        <v>0</v>
      </c>
      <c r="T1837" s="69">
        <v>0</v>
      </c>
      <c r="U1837" s="507">
        <v>0.85</v>
      </c>
      <c r="V1837" s="76">
        <v>0</v>
      </c>
      <c r="W1837" s="76">
        <v>0</v>
      </c>
      <c r="X1837" s="76" t="s">
        <v>147</v>
      </c>
      <c r="Y1837" s="519" t="s">
        <v>469</v>
      </c>
    </row>
    <row r="1838" spans="1:25" x14ac:dyDescent="0.25">
      <c r="A1838" s="75" t="str">
        <f t="shared" si="65"/>
        <v>Pago_de_Hipoteca PROF No_Premier Normal Pago_Fijo_Puntual Si 10</v>
      </c>
      <c r="B1838" s="75" t="str">
        <f t="shared" si="64"/>
        <v>Pago_de_Hipoteca PROF No_Premier Normal Pago_Fijo_Puntual Si 10 0.103</v>
      </c>
      <c r="C1838" s="75" t="s">
        <v>173</v>
      </c>
      <c r="D1838" s="75" t="s">
        <v>169</v>
      </c>
      <c r="E1838" s="75" t="s">
        <v>179</v>
      </c>
      <c r="F1838" s="75" t="s">
        <v>180</v>
      </c>
      <c r="G1838" s="75"/>
      <c r="H1838" s="75"/>
      <c r="I1838" s="75" t="s">
        <v>171</v>
      </c>
      <c r="J1838" s="76">
        <v>10</v>
      </c>
      <c r="K1838" s="519" t="s">
        <v>387</v>
      </c>
      <c r="L1838" s="520">
        <v>13.54</v>
      </c>
      <c r="M1838" s="520">
        <v>14.2</v>
      </c>
      <c r="N1838" s="507">
        <v>0.10299999999999999</v>
      </c>
      <c r="O1838" s="507">
        <v>0.1</v>
      </c>
      <c r="P1838" s="507">
        <v>0.112</v>
      </c>
      <c r="Q1838" s="78">
        <v>0.44</v>
      </c>
      <c r="R1838" s="78">
        <v>0.31740000000000002</v>
      </c>
      <c r="S1838" s="69">
        <v>0</v>
      </c>
      <c r="T1838" s="69">
        <v>0</v>
      </c>
      <c r="U1838" s="507">
        <v>0.85</v>
      </c>
      <c r="V1838" s="76">
        <v>0</v>
      </c>
      <c r="W1838" s="76">
        <v>0</v>
      </c>
      <c r="X1838" s="76" t="s">
        <v>147</v>
      </c>
      <c r="Y1838" s="519" t="s">
        <v>469</v>
      </c>
    </row>
    <row r="1839" spans="1:25" x14ac:dyDescent="0.25">
      <c r="A1839" s="75" t="str">
        <f t="shared" si="65"/>
        <v>Pago_de_Hipoteca PROF No_Premier Normal Pago_Fijo_Puntual Si 9</v>
      </c>
      <c r="B1839" s="75" t="str">
        <f t="shared" si="64"/>
        <v>Pago_de_Hipoteca PROF No_Premier Normal Pago_Fijo_Puntual Si 9 0.103</v>
      </c>
      <c r="C1839" s="75" t="s">
        <v>173</v>
      </c>
      <c r="D1839" s="75" t="s">
        <v>169</v>
      </c>
      <c r="E1839" s="75" t="s">
        <v>179</v>
      </c>
      <c r="F1839" s="75" t="s">
        <v>180</v>
      </c>
      <c r="G1839" s="75"/>
      <c r="H1839" s="75"/>
      <c r="I1839" s="75" t="s">
        <v>171</v>
      </c>
      <c r="J1839" s="76">
        <v>9</v>
      </c>
      <c r="K1839" s="519" t="s">
        <v>387</v>
      </c>
      <c r="L1839" s="521">
        <v>14.37</v>
      </c>
      <c r="M1839" s="521">
        <v>15.03</v>
      </c>
      <c r="N1839" s="507">
        <v>0.10299999999999999</v>
      </c>
      <c r="O1839" s="507">
        <v>0.1</v>
      </c>
      <c r="P1839" s="507">
        <v>0.112</v>
      </c>
      <c r="Q1839" s="78">
        <v>0.44</v>
      </c>
      <c r="R1839" s="78">
        <v>0.31740000000000002</v>
      </c>
      <c r="S1839" s="69">
        <v>0</v>
      </c>
      <c r="T1839" s="69">
        <v>0</v>
      </c>
      <c r="U1839" s="507">
        <v>0.85</v>
      </c>
      <c r="V1839" s="76">
        <v>0</v>
      </c>
      <c r="W1839" s="76">
        <v>0</v>
      </c>
      <c r="X1839" s="76" t="s">
        <v>147</v>
      </c>
      <c r="Y1839" s="519" t="s">
        <v>469</v>
      </c>
    </row>
    <row r="1840" spans="1:25" x14ac:dyDescent="0.25">
      <c r="A1840" s="75" t="str">
        <f t="shared" si="65"/>
        <v>Pago_de_Hipoteca PROF No_Premier Normal Pago_Fijo_Puntual Si 8</v>
      </c>
      <c r="B1840" s="75" t="str">
        <f t="shared" si="64"/>
        <v>Pago_de_Hipoteca PROF No_Premier Normal Pago_Fijo_Puntual Si 8 0.103</v>
      </c>
      <c r="C1840" s="75" t="s">
        <v>173</v>
      </c>
      <c r="D1840" s="75" t="s">
        <v>169</v>
      </c>
      <c r="E1840" s="75" t="s">
        <v>179</v>
      </c>
      <c r="F1840" s="75" t="s">
        <v>180</v>
      </c>
      <c r="G1840" s="75"/>
      <c r="H1840" s="75"/>
      <c r="I1840" s="75" t="s">
        <v>171</v>
      </c>
      <c r="J1840" s="76">
        <v>8</v>
      </c>
      <c r="K1840" s="519" t="s">
        <v>387</v>
      </c>
      <c r="L1840" s="520">
        <v>15.44</v>
      </c>
      <c r="M1840" s="520">
        <v>16.100000000000001</v>
      </c>
      <c r="N1840" s="507">
        <v>0.10299999999999999</v>
      </c>
      <c r="O1840" s="507">
        <v>0.1</v>
      </c>
      <c r="P1840" s="507">
        <v>0.112</v>
      </c>
      <c r="Q1840" s="78">
        <v>0.44</v>
      </c>
      <c r="R1840" s="78">
        <v>0.31740000000000002</v>
      </c>
      <c r="S1840" s="69">
        <v>0</v>
      </c>
      <c r="T1840" s="69">
        <v>0</v>
      </c>
      <c r="U1840" s="507">
        <v>0.85</v>
      </c>
      <c r="V1840" s="76">
        <v>0</v>
      </c>
      <c r="W1840" s="76">
        <v>0</v>
      </c>
      <c r="X1840" s="76" t="s">
        <v>147</v>
      </c>
      <c r="Y1840" s="519" t="s">
        <v>469</v>
      </c>
    </row>
    <row r="1841" spans="1:25" x14ac:dyDescent="0.25">
      <c r="A1841" s="75" t="str">
        <f t="shared" si="65"/>
        <v>Pago_de_Hipoteca PROF No_Premier Normal Pago_Fijo_Puntual Si 7</v>
      </c>
      <c r="B1841" s="75" t="str">
        <f t="shared" si="64"/>
        <v>Pago_de_Hipoteca PROF No_Premier Normal Pago_Fijo_Puntual Si 7 0.103</v>
      </c>
      <c r="C1841" s="75" t="s">
        <v>173</v>
      </c>
      <c r="D1841" s="75" t="s">
        <v>169</v>
      </c>
      <c r="E1841" s="75" t="s">
        <v>179</v>
      </c>
      <c r="F1841" s="75" t="s">
        <v>180</v>
      </c>
      <c r="G1841" s="75"/>
      <c r="H1841" s="75"/>
      <c r="I1841" s="75" t="s">
        <v>171</v>
      </c>
      <c r="J1841" s="76">
        <v>7</v>
      </c>
      <c r="K1841" s="519" t="s">
        <v>387</v>
      </c>
      <c r="L1841" s="520">
        <v>16.84</v>
      </c>
      <c r="M1841" s="520">
        <v>17.5</v>
      </c>
      <c r="N1841" s="507">
        <v>0.10299999999999999</v>
      </c>
      <c r="O1841" s="507">
        <v>0.1</v>
      </c>
      <c r="P1841" s="507">
        <v>0.112</v>
      </c>
      <c r="Q1841" s="78">
        <v>0.44</v>
      </c>
      <c r="R1841" s="78">
        <v>0.31740000000000002</v>
      </c>
      <c r="S1841" s="69">
        <v>0</v>
      </c>
      <c r="T1841" s="69">
        <v>0</v>
      </c>
      <c r="U1841" s="507">
        <v>0.85</v>
      </c>
      <c r="V1841" s="76">
        <v>0</v>
      </c>
      <c r="W1841" s="76">
        <v>0</v>
      </c>
      <c r="X1841" s="76" t="s">
        <v>147</v>
      </c>
      <c r="Y1841" s="519" t="s">
        <v>469</v>
      </c>
    </row>
    <row r="1842" spans="1:25" x14ac:dyDescent="0.25">
      <c r="A1842" s="75" t="str">
        <f t="shared" si="65"/>
        <v>Pago_de_Hipoteca PROF No_Premier Normal Pago_Fijo_Puntual Si 6</v>
      </c>
      <c r="B1842" s="75" t="str">
        <f t="shared" si="64"/>
        <v>Pago_de_Hipoteca PROF No_Premier Normal Pago_Fijo_Puntual Si 6 0.103</v>
      </c>
      <c r="C1842" s="75" t="s">
        <v>173</v>
      </c>
      <c r="D1842" s="75" t="s">
        <v>169</v>
      </c>
      <c r="E1842" s="75" t="s">
        <v>179</v>
      </c>
      <c r="F1842" s="75" t="s">
        <v>180</v>
      </c>
      <c r="G1842" s="75"/>
      <c r="H1842" s="75"/>
      <c r="I1842" s="75" t="s">
        <v>171</v>
      </c>
      <c r="J1842" s="76">
        <v>6</v>
      </c>
      <c r="K1842" s="519" t="s">
        <v>387</v>
      </c>
      <c r="L1842" s="520">
        <v>18.739999999999998</v>
      </c>
      <c r="M1842" s="520">
        <v>19.399999999999999</v>
      </c>
      <c r="N1842" s="507">
        <v>0.10299999999999999</v>
      </c>
      <c r="O1842" s="507">
        <v>0.1</v>
      </c>
      <c r="P1842" s="507">
        <v>0.112</v>
      </c>
      <c r="Q1842" s="78">
        <v>0.44</v>
      </c>
      <c r="R1842" s="78">
        <v>0.31740000000000002</v>
      </c>
      <c r="S1842" s="69">
        <v>0</v>
      </c>
      <c r="T1842" s="69">
        <v>0</v>
      </c>
      <c r="U1842" s="507">
        <v>0.85</v>
      </c>
      <c r="V1842" s="76">
        <v>0</v>
      </c>
      <c r="W1842" s="76">
        <v>0</v>
      </c>
      <c r="X1842" s="76" t="s">
        <v>147</v>
      </c>
      <c r="Y1842" s="519" t="s">
        <v>469</v>
      </c>
    </row>
    <row r="1843" spans="1:25" x14ac:dyDescent="0.25">
      <c r="A1843" s="75" t="str">
        <f t="shared" si="65"/>
        <v>Pago_de_Hipoteca PROF No_Premier Normal Pago_Fijo_Puntual Si 5</v>
      </c>
      <c r="B1843" s="75" t="str">
        <f t="shared" si="64"/>
        <v>Pago_de_Hipoteca PROF No_Premier Normal Pago_Fijo_Puntual Si 5 0.103</v>
      </c>
      <c r="C1843" s="75" t="s">
        <v>173</v>
      </c>
      <c r="D1843" s="75" t="s">
        <v>169</v>
      </c>
      <c r="E1843" s="75" t="s">
        <v>179</v>
      </c>
      <c r="F1843" s="75" t="s">
        <v>180</v>
      </c>
      <c r="G1843" s="75"/>
      <c r="H1843" s="75"/>
      <c r="I1843" s="75" t="s">
        <v>171</v>
      </c>
      <c r="J1843" s="76">
        <v>5</v>
      </c>
      <c r="K1843" s="519" t="s">
        <v>387</v>
      </c>
      <c r="L1843" s="520">
        <v>21.44</v>
      </c>
      <c r="M1843" s="520">
        <v>22.1</v>
      </c>
      <c r="N1843" s="507">
        <v>0.10299999999999999</v>
      </c>
      <c r="O1843" s="507">
        <v>0.1</v>
      </c>
      <c r="P1843" s="507">
        <v>0.112</v>
      </c>
      <c r="Q1843" s="78">
        <v>0.44</v>
      </c>
      <c r="R1843" s="78">
        <v>0.31740000000000002</v>
      </c>
      <c r="S1843" s="69">
        <v>0</v>
      </c>
      <c r="T1843" s="69">
        <v>0</v>
      </c>
      <c r="U1843" s="507">
        <v>0.85</v>
      </c>
      <c r="V1843" s="76">
        <v>0</v>
      </c>
      <c r="W1843" s="76">
        <v>0</v>
      </c>
      <c r="X1843" s="76" t="s">
        <v>147</v>
      </c>
      <c r="Y1843" s="519" t="s">
        <v>469</v>
      </c>
    </row>
    <row r="1844" spans="1:25" x14ac:dyDescent="0.25">
      <c r="A1844" s="75" t="str">
        <f t="shared" si="65"/>
        <v>Pago_de_Hipoteca PROF No_Premier Normal Pago_Bajo_Puntual Si 20</v>
      </c>
      <c r="B1844" s="75" t="str">
        <f t="shared" si="64"/>
        <v>Pago_de_Hipoteca PROF No_Premier Normal Pago_Bajo_Puntual Si 20 0.103</v>
      </c>
      <c r="C1844" s="75" t="s">
        <v>173</v>
      </c>
      <c r="D1844" s="75" t="s">
        <v>169</v>
      </c>
      <c r="E1844" s="75" t="s">
        <v>179</v>
      </c>
      <c r="F1844" s="75" t="s">
        <v>180</v>
      </c>
      <c r="G1844" s="75"/>
      <c r="H1844" s="75"/>
      <c r="I1844" s="75" t="s">
        <v>170</v>
      </c>
      <c r="J1844" s="76">
        <v>20</v>
      </c>
      <c r="K1844" s="519" t="s">
        <v>387</v>
      </c>
      <c r="L1844" s="520">
        <v>9</v>
      </c>
      <c r="M1844" s="520">
        <v>9.66</v>
      </c>
      <c r="N1844" s="507">
        <v>0.10299999999999999</v>
      </c>
      <c r="O1844" s="507">
        <v>0.1</v>
      </c>
      <c r="P1844" s="507">
        <v>0.112</v>
      </c>
      <c r="Q1844" s="78">
        <v>0.44</v>
      </c>
      <c r="R1844" s="78">
        <v>0.31740000000000002</v>
      </c>
      <c r="S1844" s="69">
        <v>0</v>
      </c>
      <c r="T1844" s="69">
        <v>0</v>
      </c>
      <c r="U1844" s="507">
        <v>0.85</v>
      </c>
      <c r="V1844" s="76">
        <v>0</v>
      </c>
      <c r="W1844" s="76">
        <v>0</v>
      </c>
      <c r="X1844" s="76" t="s">
        <v>147</v>
      </c>
      <c r="Y1844" s="519" t="s">
        <v>469</v>
      </c>
    </row>
    <row r="1845" spans="1:25" x14ac:dyDescent="0.25">
      <c r="A1845" s="75" t="str">
        <f t="shared" si="65"/>
        <v>Pago_de_Hipoteca PROF No_Premier Normal Pago_Bajo_Puntual Si 19</v>
      </c>
      <c r="B1845" s="75" t="str">
        <f t="shared" si="64"/>
        <v>Pago_de_Hipoteca PROF No_Premier Normal Pago_Bajo_Puntual Si 19 0.103</v>
      </c>
      <c r="C1845" s="75" t="s">
        <v>173</v>
      </c>
      <c r="D1845" s="75" t="s">
        <v>169</v>
      </c>
      <c r="E1845" s="75" t="s">
        <v>179</v>
      </c>
      <c r="F1845" s="75" t="s">
        <v>180</v>
      </c>
      <c r="G1845" s="75"/>
      <c r="H1845" s="75"/>
      <c r="I1845" s="75" t="s">
        <v>170</v>
      </c>
      <c r="J1845" s="76">
        <v>19</v>
      </c>
      <c r="K1845" s="519" t="s">
        <v>387</v>
      </c>
      <c r="L1845" s="520">
        <v>9.17</v>
      </c>
      <c r="M1845" s="520">
        <v>9.83</v>
      </c>
      <c r="N1845" s="507">
        <v>0.10299999999999999</v>
      </c>
      <c r="O1845" s="507">
        <v>0.1</v>
      </c>
      <c r="P1845" s="507">
        <v>0.112</v>
      </c>
      <c r="Q1845" s="78">
        <v>0.44</v>
      </c>
      <c r="R1845" s="78">
        <v>0.31740000000000002</v>
      </c>
      <c r="S1845" s="69">
        <v>0</v>
      </c>
      <c r="T1845" s="69">
        <v>0</v>
      </c>
      <c r="U1845" s="507">
        <v>0.85</v>
      </c>
      <c r="V1845" s="76">
        <v>0</v>
      </c>
      <c r="W1845" s="76">
        <v>0</v>
      </c>
      <c r="X1845" s="76" t="s">
        <v>147</v>
      </c>
      <c r="Y1845" s="519" t="s">
        <v>469</v>
      </c>
    </row>
    <row r="1846" spans="1:25" x14ac:dyDescent="0.25">
      <c r="A1846" s="75" t="str">
        <f t="shared" si="65"/>
        <v>Pago_de_Hipoteca PROF No_Premier Normal Pago_Bajo_Puntual Si 18</v>
      </c>
      <c r="B1846" s="75" t="str">
        <f t="shared" si="64"/>
        <v>Pago_de_Hipoteca PROF No_Premier Normal Pago_Bajo_Puntual Si 18 0.103</v>
      </c>
      <c r="C1846" s="75" t="s">
        <v>173</v>
      </c>
      <c r="D1846" s="75" t="s">
        <v>169</v>
      </c>
      <c r="E1846" s="75" t="s">
        <v>179</v>
      </c>
      <c r="F1846" s="75" t="s">
        <v>180</v>
      </c>
      <c r="G1846" s="75"/>
      <c r="H1846" s="75"/>
      <c r="I1846" s="75" t="s">
        <v>170</v>
      </c>
      <c r="J1846" s="76">
        <v>18</v>
      </c>
      <c r="K1846" s="519" t="s">
        <v>387</v>
      </c>
      <c r="L1846" s="520">
        <v>9.36</v>
      </c>
      <c r="M1846" s="520">
        <v>10.02</v>
      </c>
      <c r="N1846" s="507">
        <v>0.10299999999999999</v>
      </c>
      <c r="O1846" s="507">
        <v>0.1</v>
      </c>
      <c r="P1846" s="507">
        <v>0.112</v>
      </c>
      <c r="Q1846" s="78">
        <v>0.44</v>
      </c>
      <c r="R1846" s="78">
        <v>0.31740000000000002</v>
      </c>
      <c r="S1846" s="69">
        <v>0</v>
      </c>
      <c r="T1846" s="69">
        <v>0</v>
      </c>
      <c r="U1846" s="507">
        <v>0.85</v>
      </c>
      <c r="V1846" s="76">
        <v>0</v>
      </c>
      <c r="W1846" s="76">
        <v>0</v>
      </c>
      <c r="X1846" s="76" t="s">
        <v>147</v>
      </c>
      <c r="Y1846" s="519" t="s">
        <v>469</v>
      </c>
    </row>
    <row r="1847" spans="1:25" x14ac:dyDescent="0.25">
      <c r="A1847" s="75" t="str">
        <f t="shared" si="65"/>
        <v>Pago_de_Hipoteca PROF No_Premier Normal Pago_Bajo_Puntual Si 17</v>
      </c>
      <c r="B1847" s="75" t="str">
        <f t="shared" si="64"/>
        <v>Pago_de_Hipoteca PROF No_Premier Normal Pago_Bajo_Puntual Si 17 0.103</v>
      </c>
      <c r="C1847" s="75" t="s">
        <v>173</v>
      </c>
      <c r="D1847" s="75" t="s">
        <v>169</v>
      </c>
      <c r="E1847" s="75" t="s">
        <v>179</v>
      </c>
      <c r="F1847" s="75" t="s">
        <v>180</v>
      </c>
      <c r="G1847" s="75"/>
      <c r="H1847" s="75"/>
      <c r="I1847" s="75" t="s">
        <v>170</v>
      </c>
      <c r="J1847" s="76">
        <v>17</v>
      </c>
      <c r="K1847" s="519" t="s">
        <v>387</v>
      </c>
      <c r="L1847" s="520">
        <v>9.58</v>
      </c>
      <c r="M1847" s="520">
        <v>10.24</v>
      </c>
      <c r="N1847" s="507">
        <v>0.10299999999999999</v>
      </c>
      <c r="O1847" s="507">
        <v>0.1</v>
      </c>
      <c r="P1847" s="507">
        <v>0.112</v>
      </c>
      <c r="Q1847" s="78">
        <v>0.44</v>
      </c>
      <c r="R1847" s="78">
        <v>0.31740000000000002</v>
      </c>
      <c r="S1847" s="69">
        <v>0</v>
      </c>
      <c r="T1847" s="69">
        <v>0</v>
      </c>
      <c r="U1847" s="507">
        <v>0.85</v>
      </c>
      <c r="V1847" s="76">
        <v>0</v>
      </c>
      <c r="W1847" s="76">
        <v>0</v>
      </c>
      <c r="X1847" s="76" t="s">
        <v>147</v>
      </c>
      <c r="Y1847" s="519" t="s">
        <v>469</v>
      </c>
    </row>
    <row r="1848" spans="1:25" x14ac:dyDescent="0.25">
      <c r="A1848" s="75" t="str">
        <f t="shared" si="65"/>
        <v>Pago_de_Hipoteca PROF No_Premier Normal Pago_Bajo_Puntual Si 16</v>
      </c>
      <c r="B1848" s="75" t="str">
        <f t="shared" si="64"/>
        <v>Pago_de_Hipoteca PROF No_Premier Normal Pago_Bajo_Puntual Si 16 0.103</v>
      </c>
      <c r="C1848" s="75" t="s">
        <v>173</v>
      </c>
      <c r="D1848" s="75" t="s">
        <v>169</v>
      </c>
      <c r="E1848" s="75" t="s">
        <v>179</v>
      </c>
      <c r="F1848" s="75" t="s">
        <v>180</v>
      </c>
      <c r="G1848" s="75"/>
      <c r="H1848" s="75"/>
      <c r="I1848" s="75" t="s">
        <v>170</v>
      </c>
      <c r="J1848" s="76">
        <v>16</v>
      </c>
      <c r="K1848" s="519" t="s">
        <v>387</v>
      </c>
      <c r="L1848" s="520">
        <v>9.83</v>
      </c>
      <c r="M1848" s="520">
        <v>10.49</v>
      </c>
      <c r="N1848" s="507">
        <v>0.10299999999999999</v>
      </c>
      <c r="O1848" s="507">
        <v>0.1</v>
      </c>
      <c r="P1848" s="507">
        <v>0.112</v>
      </c>
      <c r="Q1848" s="78">
        <v>0.44</v>
      </c>
      <c r="R1848" s="78">
        <v>0.31740000000000002</v>
      </c>
      <c r="S1848" s="69">
        <v>0</v>
      </c>
      <c r="T1848" s="69">
        <v>0</v>
      </c>
      <c r="U1848" s="507">
        <v>0.85</v>
      </c>
      <c r="V1848" s="76">
        <v>0</v>
      </c>
      <c r="W1848" s="76">
        <v>0</v>
      </c>
      <c r="X1848" s="76" t="s">
        <v>147</v>
      </c>
      <c r="Y1848" s="519" t="s">
        <v>469</v>
      </c>
    </row>
    <row r="1849" spans="1:25" x14ac:dyDescent="0.25">
      <c r="A1849" s="75" t="str">
        <f t="shared" si="65"/>
        <v>Pago_de_Hipoteca PROF No_Premier Normal Pago_Bajo_Puntual Si 15</v>
      </c>
      <c r="B1849" s="75" t="str">
        <f t="shared" si="64"/>
        <v>Pago_de_Hipoteca PROF No_Premier Normal Pago_Bajo_Puntual Si 15 0.103</v>
      </c>
      <c r="C1849" s="75" t="s">
        <v>173</v>
      </c>
      <c r="D1849" s="75" t="s">
        <v>169</v>
      </c>
      <c r="E1849" s="75" t="s">
        <v>179</v>
      </c>
      <c r="F1849" s="75" t="s">
        <v>180</v>
      </c>
      <c r="G1849" s="75"/>
      <c r="H1849" s="75"/>
      <c r="I1849" s="75" t="s">
        <v>170</v>
      </c>
      <c r="J1849" s="76">
        <v>15</v>
      </c>
      <c r="K1849" s="519" t="s">
        <v>387</v>
      </c>
      <c r="L1849" s="520">
        <v>10.119999999999999</v>
      </c>
      <c r="M1849" s="520">
        <v>10.78</v>
      </c>
      <c r="N1849" s="507">
        <v>0.10299999999999999</v>
      </c>
      <c r="O1849" s="507">
        <v>0.1</v>
      </c>
      <c r="P1849" s="507">
        <v>0.112</v>
      </c>
      <c r="Q1849" s="78">
        <v>0.44</v>
      </c>
      <c r="R1849" s="78">
        <v>0.31740000000000002</v>
      </c>
      <c r="S1849" s="69">
        <v>0</v>
      </c>
      <c r="T1849" s="69">
        <v>0</v>
      </c>
      <c r="U1849" s="507">
        <v>0.85</v>
      </c>
      <c r="V1849" s="76">
        <v>0</v>
      </c>
      <c r="W1849" s="76">
        <v>0</v>
      </c>
      <c r="X1849" s="76" t="s">
        <v>147</v>
      </c>
      <c r="Y1849" s="519" t="s">
        <v>469</v>
      </c>
    </row>
    <row r="1850" spans="1:25" x14ac:dyDescent="0.25">
      <c r="A1850" s="75" t="str">
        <f t="shared" si="65"/>
        <v>Pago_de_Hipoteca PROF No_Premier Normal Pago_Bajo_Puntual Si 14</v>
      </c>
      <c r="B1850" s="75" t="str">
        <f t="shared" si="64"/>
        <v>Pago_de_Hipoteca PROF No_Premier Normal Pago_Bajo_Puntual Si 14 0.103</v>
      </c>
      <c r="C1850" s="75" t="s">
        <v>173</v>
      </c>
      <c r="D1850" s="75" t="s">
        <v>169</v>
      </c>
      <c r="E1850" s="75" t="s">
        <v>179</v>
      </c>
      <c r="F1850" s="75" t="s">
        <v>180</v>
      </c>
      <c r="G1850" s="75"/>
      <c r="H1850" s="75"/>
      <c r="I1850" s="75" t="s">
        <v>170</v>
      </c>
      <c r="J1850" s="76">
        <v>14</v>
      </c>
      <c r="K1850" s="519" t="s">
        <v>387</v>
      </c>
      <c r="L1850" s="520">
        <v>10.46</v>
      </c>
      <c r="M1850" s="520">
        <v>11.12</v>
      </c>
      <c r="N1850" s="507">
        <v>0.10299999999999999</v>
      </c>
      <c r="O1850" s="507">
        <v>0.1</v>
      </c>
      <c r="P1850" s="507">
        <v>0.112</v>
      </c>
      <c r="Q1850" s="78">
        <v>0.44</v>
      </c>
      <c r="R1850" s="78">
        <v>0.31740000000000002</v>
      </c>
      <c r="S1850" s="69">
        <v>0</v>
      </c>
      <c r="T1850" s="69">
        <v>0</v>
      </c>
      <c r="U1850" s="507">
        <v>0.85</v>
      </c>
      <c r="V1850" s="76">
        <v>0</v>
      </c>
      <c r="W1850" s="76">
        <v>0</v>
      </c>
      <c r="X1850" s="76" t="s">
        <v>147</v>
      </c>
      <c r="Y1850" s="519" t="s">
        <v>469</v>
      </c>
    </row>
    <row r="1851" spans="1:25" x14ac:dyDescent="0.25">
      <c r="A1851" s="75" t="str">
        <f t="shared" si="65"/>
        <v>Pago_de_Hipoteca PROF No_Premier Normal Pago_Bajo_Puntual Si 13</v>
      </c>
      <c r="B1851" s="75" t="str">
        <f t="shared" si="64"/>
        <v>Pago_de_Hipoteca PROF No_Premier Normal Pago_Bajo_Puntual Si 13 0.103</v>
      </c>
      <c r="C1851" s="75" t="s">
        <v>173</v>
      </c>
      <c r="D1851" s="75" t="s">
        <v>169</v>
      </c>
      <c r="E1851" s="75" t="s">
        <v>179</v>
      </c>
      <c r="F1851" s="75" t="s">
        <v>180</v>
      </c>
      <c r="G1851" s="75"/>
      <c r="H1851" s="75"/>
      <c r="I1851" s="75" t="s">
        <v>170</v>
      </c>
      <c r="J1851" s="76">
        <v>13</v>
      </c>
      <c r="K1851" s="519" t="s">
        <v>387</v>
      </c>
      <c r="L1851" s="520">
        <v>10.86</v>
      </c>
      <c r="M1851" s="520">
        <v>11.52</v>
      </c>
      <c r="N1851" s="507">
        <v>0.10299999999999999</v>
      </c>
      <c r="O1851" s="507">
        <v>0.1</v>
      </c>
      <c r="P1851" s="507">
        <v>0.112</v>
      </c>
      <c r="Q1851" s="78">
        <v>0.44</v>
      </c>
      <c r="R1851" s="78">
        <v>0.31740000000000002</v>
      </c>
      <c r="S1851" s="69">
        <v>0</v>
      </c>
      <c r="T1851" s="69">
        <v>0</v>
      </c>
      <c r="U1851" s="507">
        <v>0.85</v>
      </c>
      <c r="V1851" s="76">
        <v>0</v>
      </c>
      <c r="W1851" s="76">
        <v>0</v>
      </c>
      <c r="X1851" s="76" t="s">
        <v>147</v>
      </c>
      <c r="Y1851" s="519" t="s">
        <v>469</v>
      </c>
    </row>
    <row r="1852" spans="1:25" x14ac:dyDescent="0.25">
      <c r="A1852" s="75" t="str">
        <f t="shared" si="65"/>
        <v>Pago_de_Hipoteca PROF No_Premier Normal Pago_Bajo_Puntual Si 12</v>
      </c>
      <c r="B1852" s="75" t="str">
        <f t="shared" si="64"/>
        <v>Pago_de_Hipoteca PROF No_Premier Normal Pago_Bajo_Puntual Si 12 0.103</v>
      </c>
      <c r="C1852" s="75" t="s">
        <v>173</v>
      </c>
      <c r="D1852" s="75" t="s">
        <v>169</v>
      </c>
      <c r="E1852" s="75" t="s">
        <v>179</v>
      </c>
      <c r="F1852" s="75" t="s">
        <v>180</v>
      </c>
      <c r="G1852" s="75"/>
      <c r="H1852" s="75"/>
      <c r="I1852" s="75" t="s">
        <v>170</v>
      </c>
      <c r="J1852" s="76">
        <v>12</v>
      </c>
      <c r="K1852" s="519" t="s">
        <v>387</v>
      </c>
      <c r="L1852" s="520">
        <v>11.34</v>
      </c>
      <c r="M1852" s="520">
        <v>12</v>
      </c>
      <c r="N1852" s="507">
        <v>0.10299999999999999</v>
      </c>
      <c r="O1852" s="507">
        <v>0.1</v>
      </c>
      <c r="P1852" s="507">
        <v>0.112</v>
      </c>
      <c r="Q1852" s="78">
        <v>0.44</v>
      </c>
      <c r="R1852" s="78">
        <v>0.31740000000000002</v>
      </c>
      <c r="S1852" s="69">
        <v>0</v>
      </c>
      <c r="T1852" s="69">
        <v>0</v>
      </c>
      <c r="U1852" s="507">
        <v>0.85</v>
      </c>
      <c r="V1852" s="76">
        <v>0</v>
      </c>
      <c r="W1852" s="76">
        <v>0</v>
      </c>
      <c r="X1852" s="76" t="s">
        <v>147</v>
      </c>
      <c r="Y1852" s="519" t="s">
        <v>469</v>
      </c>
    </row>
    <row r="1853" spans="1:25" x14ac:dyDescent="0.25">
      <c r="A1853" s="75" t="str">
        <f t="shared" si="65"/>
        <v>Pago_de_Hipoteca PROF No_Premier Normal Pago_Bajo_Puntual Si 11</v>
      </c>
      <c r="B1853" s="75" t="str">
        <f t="shared" si="64"/>
        <v>Pago_de_Hipoteca PROF No_Premier Normal Pago_Bajo_Puntual Si 11 0.103</v>
      </c>
      <c r="C1853" s="75" t="s">
        <v>173</v>
      </c>
      <c r="D1853" s="75" t="s">
        <v>169</v>
      </c>
      <c r="E1853" s="75" t="s">
        <v>179</v>
      </c>
      <c r="F1853" s="75" t="s">
        <v>180</v>
      </c>
      <c r="G1853" s="75"/>
      <c r="H1853" s="75"/>
      <c r="I1853" s="75" t="s">
        <v>170</v>
      </c>
      <c r="J1853" s="76">
        <v>11</v>
      </c>
      <c r="K1853" s="519" t="s">
        <v>387</v>
      </c>
      <c r="L1853" s="520">
        <v>11.92</v>
      </c>
      <c r="M1853" s="520">
        <v>12.58</v>
      </c>
      <c r="N1853" s="507">
        <v>0.10299999999999999</v>
      </c>
      <c r="O1853" s="507">
        <v>0.1</v>
      </c>
      <c r="P1853" s="507">
        <v>0.112</v>
      </c>
      <c r="Q1853" s="78">
        <v>0.44</v>
      </c>
      <c r="R1853" s="78">
        <v>0.31740000000000002</v>
      </c>
      <c r="S1853" s="69">
        <v>0</v>
      </c>
      <c r="T1853" s="69">
        <v>0</v>
      </c>
      <c r="U1853" s="507">
        <v>0.85</v>
      </c>
      <c r="V1853" s="76">
        <v>0</v>
      </c>
      <c r="W1853" s="76">
        <v>0</v>
      </c>
      <c r="X1853" s="76" t="s">
        <v>147</v>
      </c>
      <c r="Y1853" s="519" t="s">
        <v>469</v>
      </c>
    </row>
    <row r="1854" spans="1:25" x14ac:dyDescent="0.25">
      <c r="A1854" s="75" t="str">
        <f t="shared" si="65"/>
        <v>Pago_de_Hipoteca PROF No_Premier Normal Pago_Bajo_Puntual Si 10</v>
      </c>
      <c r="B1854" s="75" t="str">
        <f t="shared" si="64"/>
        <v>Pago_de_Hipoteca PROF No_Premier Normal Pago_Bajo_Puntual Si 10 0.103</v>
      </c>
      <c r="C1854" s="75" t="s">
        <v>173</v>
      </c>
      <c r="D1854" s="75" t="s">
        <v>169</v>
      </c>
      <c r="E1854" s="75" t="s">
        <v>179</v>
      </c>
      <c r="F1854" s="75" t="s">
        <v>180</v>
      </c>
      <c r="G1854" s="75"/>
      <c r="H1854" s="75"/>
      <c r="I1854" s="75" t="s">
        <v>170</v>
      </c>
      <c r="J1854" s="76">
        <v>10</v>
      </c>
      <c r="K1854" s="519" t="s">
        <v>387</v>
      </c>
      <c r="L1854" s="520">
        <v>12.62</v>
      </c>
      <c r="M1854" s="520">
        <v>13.28</v>
      </c>
      <c r="N1854" s="507">
        <v>0.10299999999999999</v>
      </c>
      <c r="O1854" s="507">
        <v>0.1</v>
      </c>
      <c r="P1854" s="507">
        <v>0.112</v>
      </c>
      <c r="Q1854" s="78">
        <v>0.44</v>
      </c>
      <c r="R1854" s="78">
        <v>0.31740000000000002</v>
      </c>
      <c r="S1854" s="69">
        <v>0</v>
      </c>
      <c r="T1854" s="69">
        <v>0</v>
      </c>
      <c r="U1854" s="507">
        <v>0.85</v>
      </c>
      <c r="V1854" s="76">
        <v>0</v>
      </c>
      <c r="W1854" s="76">
        <v>0</v>
      </c>
      <c r="X1854" s="76" t="s">
        <v>147</v>
      </c>
      <c r="Y1854" s="519" t="s">
        <v>469</v>
      </c>
    </row>
    <row r="1855" spans="1:25" x14ac:dyDescent="0.25">
      <c r="A1855" s="75" t="str">
        <f t="shared" si="65"/>
        <v>Pago_de_Hipoteca PROF No_Premier Normal Pago_Bajo_Puntual Si 9</v>
      </c>
      <c r="B1855" s="75" t="str">
        <f t="shared" si="64"/>
        <v>Pago_de_Hipoteca PROF No_Premier Normal Pago_Bajo_Puntual Si 9 0.103</v>
      </c>
      <c r="C1855" s="75" t="s">
        <v>173</v>
      </c>
      <c r="D1855" s="75" t="s">
        <v>169</v>
      </c>
      <c r="E1855" s="75" t="s">
        <v>179</v>
      </c>
      <c r="F1855" s="75" t="s">
        <v>180</v>
      </c>
      <c r="G1855" s="75"/>
      <c r="H1855" s="75"/>
      <c r="I1855" s="75" t="s">
        <v>170</v>
      </c>
      <c r="J1855" s="76">
        <v>9</v>
      </c>
      <c r="K1855" s="519" t="s">
        <v>387</v>
      </c>
      <c r="L1855" s="520">
        <v>13.49</v>
      </c>
      <c r="M1855" s="520">
        <v>14.15</v>
      </c>
      <c r="N1855" s="507">
        <v>0.10299999999999999</v>
      </c>
      <c r="O1855" s="507">
        <v>0.1</v>
      </c>
      <c r="P1855" s="507">
        <v>0.112</v>
      </c>
      <c r="Q1855" s="78">
        <v>0.44</v>
      </c>
      <c r="R1855" s="78">
        <v>0.31740000000000002</v>
      </c>
      <c r="S1855" s="69">
        <v>0</v>
      </c>
      <c r="T1855" s="69">
        <v>0</v>
      </c>
      <c r="U1855" s="507">
        <v>0.85</v>
      </c>
      <c r="V1855" s="76">
        <v>0</v>
      </c>
      <c r="W1855" s="76">
        <v>0</v>
      </c>
      <c r="X1855" s="76" t="s">
        <v>147</v>
      </c>
      <c r="Y1855" s="519" t="s">
        <v>469</v>
      </c>
    </row>
    <row r="1856" spans="1:25" x14ac:dyDescent="0.25">
      <c r="A1856" s="75" t="str">
        <f t="shared" si="65"/>
        <v>Pago_de_Hipoteca PROF No_Premier Normal Pago_Bajo_Puntual Si 8</v>
      </c>
      <c r="B1856" s="75" t="str">
        <f t="shared" si="64"/>
        <v>Pago_de_Hipoteca PROF No_Premier Normal Pago_Bajo_Puntual Si 8 0.103</v>
      </c>
      <c r="C1856" s="75" t="s">
        <v>173</v>
      </c>
      <c r="D1856" s="75" t="s">
        <v>169</v>
      </c>
      <c r="E1856" s="75" t="s">
        <v>179</v>
      </c>
      <c r="F1856" s="75" t="s">
        <v>180</v>
      </c>
      <c r="G1856" s="75"/>
      <c r="H1856" s="75"/>
      <c r="I1856" s="75" t="s">
        <v>170</v>
      </c>
      <c r="J1856" s="76">
        <v>8</v>
      </c>
      <c r="K1856" s="519" t="s">
        <v>387</v>
      </c>
      <c r="L1856" s="520">
        <v>14.59</v>
      </c>
      <c r="M1856" s="520">
        <v>15.25</v>
      </c>
      <c r="N1856" s="507">
        <v>0.10299999999999999</v>
      </c>
      <c r="O1856" s="507">
        <v>0.1</v>
      </c>
      <c r="P1856" s="507">
        <v>0.112</v>
      </c>
      <c r="Q1856" s="78">
        <v>0.44</v>
      </c>
      <c r="R1856" s="78">
        <v>0.31740000000000002</v>
      </c>
      <c r="S1856" s="69">
        <v>0</v>
      </c>
      <c r="T1856" s="69">
        <v>0</v>
      </c>
      <c r="U1856" s="507">
        <v>0.85</v>
      </c>
      <c r="V1856" s="76">
        <v>0</v>
      </c>
      <c r="W1856" s="76">
        <v>0</v>
      </c>
      <c r="X1856" s="76" t="s">
        <v>147</v>
      </c>
      <c r="Y1856" s="519" t="s">
        <v>469</v>
      </c>
    </row>
    <row r="1857" spans="1:25" x14ac:dyDescent="0.25">
      <c r="A1857" s="75" t="str">
        <f t="shared" si="65"/>
        <v>Pago_de_Hipoteca PROF No_Premier Normal Pago_Bajo_Puntual Si 7</v>
      </c>
      <c r="B1857" s="75" t="str">
        <f t="shared" si="64"/>
        <v>Pago_de_Hipoteca PROF No_Premier Normal Pago_Bajo_Puntual Si 7 0.103</v>
      </c>
      <c r="C1857" s="75" t="s">
        <v>173</v>
      </c>
      <c r="D1857" s="75" t="s">
        <v>169</v>
      </c>
      <c r="E1857" s="75" t="s">
        <v>179</v>
      </c>
      <c r="F1857" s="75" t="s">
        <v>180</v>
      </c>
      <c r="G1857" s="75"/>
      <c r="H1857" s="75"/>
      <c r="I1857" s="75" t="s">
        <v>170</v>
      </c>
      <c r="J1857" s="76">
        <v>7</v>
      </c>
      <c r="K1857" s="519" t="s">
        <v>387</v>
      </c>
      <c r="L1857" s="520">
        <v>16.03</v>
      </c>
      <c r="M1857" s="520">
        <v>16.690000000000001</v>
      </c>
      <c r="N1857" s="507">
        <v>0.10299999999999999</v>
      </c>
      <c r="O1857" s="507">
        <v>0.1</v>
      </c>
      <c r="P1857" s="507">
        <v>0.112</v>
      </c>
      <c r="Q1857" s="78">
        <v>0.44</v>
      </c>
      <c r="R1857" s="78">
        <v>0.31740000000000002</v>
      </c>
      <c r="S1857" s="69">
        <v>0</v>
      </c>
      <c r="T1857" s="69">
        <v>0</v>
      </c>
      <c r="U1857" s="507">
        <v>0.85</v>
      </c>
      <c r="V1857" s="76">
        <v>0</v>
      </c>
      <c r="W1857" s="76">
        <v>0</v>
      </c>
      <c r="X1857" s="76" t="s">
        <v>147</v>
      </c>
      <c r="Y1857" s="519" t="s">
        <v>469</v>
      </c>
    </row>
    <row r="1858" spans="1:25" x14ac:dyDescent="0.25">
      <c r="A1858" s="75" t="str">
        <f t="shared" si="65"/>
        <v>Pago_de_Hipoteca PROF No_Premier Normal Pago_Bajo_Puntual Si 6</v>
      </c>
      <c r="B1858" s="75" t="str">
        <f t="shared" si="64"/>
        <v>Pago_de_Hipoteca PROF No_Premier Normal Pago_Bajo_Puntual Si 6 0.103</v>
      </c>
      <c r="C1858" s="75" t="s">
        <v>173</v>
      </c>
      <c r="D1858" s="75" t="s">
        <v>169</v>
      </c>
      <c r="E1858" s="75" t="s">
        <v>179</v>
      </c>
      <c r="F1858" s="75" t="s">
        <v>180</v>
      </c>
      <c r="G1858" s="75"/>
      <c r="H1858" s="75"/>
      <c r="I1858" s="75" t="s">
        <v>170</v>
      </c>
      <c r="J1858" s="76">
        <v>6</v>
      </c>
      <c r="K1858" s="519" t="s">
        <v>387</v>
      </c>
      <c r="L1858" s="520">
        <v>17.97</v>
      </c>
      <c r="M1858" s="520">
        <v>18.63</v>
      </c>
      <c r="N1858" s="507">
        <v>0.10299999999999999</v>
      </c>
      <c r="O1858" s="507">
        <v>0.1</v>
      </c>
      <c r="P1858" s="507">
        <v>0.112</v>
      </c>
      <c r="Q1858" s="78">
        <v>0.44</v>
      </c>
      <c r="R1858" s="78">
        <v>0.31740000000000002</v>
      </c>
      <c r="S1858" s="69">
        <v>0</v>
      </c>
      <c r="T1858" s="69">
        <v>0</v>
      </c>
      <c r="U1858" s="507">
        <v>0.85</v>
      </c>
      <c r="V1858" s="76">
        <v>0</v>
      </c>
      <c r="W1858" s="76">
        <v>0</v>
      </c>
      <c r="X1858" s="76" t="s">
        <v>147</v>
      </c>
      <c r="Y1858" s="519" t="s">
        <v>469</v>
      </c>
    </row>
    <row r="1859" spans="1:25" x14ac:dyDescent="0.25">
      <c r="A1859" s="75" t="str">
        <f t="shared" si="65"/>
        <v>Pago_de_Hipoteca PROF No_Premier Normal Pago_Bajo_Puntual Si 5</v>
      </c>
      <c r="B1859" s="75" t="str">
        <f t="shared" si="64"/>
        <v>Pago_de_Hipoteca PROF No_Premier Normal Pago_Bajo_Puntual Si 5 0.103</v>
      </c>
      <c r="C1859" s="75" t="s">
        <v>173</v>
      </c>
      <c r="D1859" s="75" t="s">
        <v>169</v>
      </c>
      <c r="E1859" s="75" t="s">
        <v>179</v>
      </c>
      <c r="F1859" s="75" t="s">
        <v>180</v>
      </c>
      <c r="G1859" s="75"/>
      <c r="H1859" s="75"/>
      <c r="I1859" s="75" t="s">
        <v>170</v>
      </c>
      <c r="J1859" s="76">
        <v>5</v>
      </c>
      <c r="K1859" s="519" t="s">
        <v>387</v>
      </c>
      <c r="L1859" s="520">
        <v>20.72</v>
      </c>
      <c r="M1859" s="520">
        <v>21.38</v>
      </c>
      <c r="N1859" s="507">
        <v>0.10299999999999999</v>
      </c>
      <c r="O1859" s="507">
        <v>0.1</v>
      </c>
      <c r="P1859" s="507">
        <v>0.112</v>
      </c>
      <c r="Q1859" s="78">
        <v>0.44</v>
      </c>
      <c r="R1859" s="78">
        <v>0.31740000000000002</v>
      </c>
      <c r="S1859" s="69">
        <v>0</v>
      </c>
      <c r="T1859" s="69">
        <v>0</v>
      </c>
      <c r="U1859" s="507">
        <v>0.85</v>
      </c>
      <c r="V1859" s="76">
        <v>0</v>
      </c>
      <c r="W1859" s="76">
        <v>0</v>
      </c>
      <c r="X1859" s="76" t="s">
        <v>147</v>
      </c>
      <c r="Y1859" s="519" t="s">
        <v>469</v>
      </c>
    </row>
    <row r="1860" spans="1:25" x14ac:dyDescent="0.25">
      <c r="A1860" s="75" t="str">
        <f t="shared" si="65"/>
        <v>Pago_de_Hipoteca PROF No_Premier Normal Pago_Fijo_Puntual 20</v>
      </c>
      <c r="B1860" s="75" t="str">
        <f t="shared" si="64"/>
        <v>Pago_de_Hipoteca PROF No_Premier Normal Pago_Fijo_Puntual 20 0.0965</v>
      </c>
      <c r="C1860" s="75" t="s">
        <v>173</v>
      </c>
      <c r="D1860" s="75" t="s">
        <v>169</v>
      </c>
      <c r="E1860" s="75" t="s">
        <v>179</v>
      </c>
      <c r="F1860" s="75" t="s">
        <v>180</v>
      </c>
      <c r="G1860" s="75"/>
      <c r="H1860" s="75"/>
      <c r="I1860" s="75" t="s">
        <v>171</v>
      </c>
      <c r="J1860" s="76">
        <v>20</v>
      </c>
      <c r="K1860" s="516" t="s">
        <v>385</v>
      </c>
      <c r="L1860" s="517">
        <v>9.66</v>
      </c>
      <c r="M1860" s="517">
        <v>10.32</v>
      </c>
      <c r="N1860" s="518">
        <v>9.6500000000000002E-2</v>
      </c>
      <c r="O1860" s="518">
        <v>9.1999999999999998E-2</v>
      </c>
      <c r="P1860" s="518">
        <v>0.10249999999999999</v>
      </c>
      <c r="Q1860" s="78">
        <v>0.44</v>
      </c>
      <c r="R1860" s="78">
        <v>0.31740000000000002</v>
      </c>
      <c r="S1860" s="69">
        <v>0</v>
      </c>
      <c r="T1860" s="69">
        <v>0</v>
      </c>
      <c r="U1860" s="518">
        <v>0.7</v>
      </c>
      <c r="V1860" s="76">
        <v>0</v>
      </c>
      <c r="W1860" s="76">
        <v>0</v>
      </c>
      <c r="X1860" s="76"/>
      <c r="Y1860" s="516" t="s">
        <v>470</v>
      </c>
    </row>
    <row r="1861" spans="1:25" x14ac:dyDescent="0.25">
      <c r="A1861" s="75" t="str">
        <f t="shared" si="65"/>
        <v>Pago_de_Hipoteca PROF No_Premier Normal Pago_Fijo_Puntual 20</v>
      </c>
      <c r="B1861" s="75" t="str">
        <f t="shared" si="64"/>
        <v>Pago_de_Hipoteca PROF No_Premier Normal Pago_Fijo_Puntual 20 0.103</v>
      </c>
      <c r="C1861" s="75" t="s">
        <v>173</v>
      </c>
      <c r="D1861" s="75" t="s">
        <v>169</v>
      </c>
      <c r="E1861" s="75" t="s">
        <v>179</v>
      </c>
      <c r="F1861" s="75" t="s">
        <v>180</v>
      </c>
      <c r="G1861" s="75"/>
      <c r="H1861" s="75"/>
      <c r="I1861" s="75" t="s">
        <v>171</v>
      </c>
      <c r="J1861" s="76">
        <v>20</v>
      </c>
      <c r="K1861" s="516" t="s">
        <v>386</v>
      </c>
      <c r="L1861" s="517">
        <v>10.16</v>
      </c>
      <c r="M1861" s="517">
        <v>10.82</v>
      </c>
      <c r="N1861" s="518">
        <v>0.10299999999999999</v>
      </c>
      <c r="O1861" s="518">
        <v>0.1</v>
      </c>
      <c r="P1861" s="518">
        <v>0.112</v>
      </c>
      <c r="Q1861" s="78">
        <v>0.44</v>
      </c>
      <c r="R1861" s="78">
        <v>0.31740000000000002</v>
      </c>
      <c r="S1861" s="69">
        <v>0</v>
      </c>
      <c r="T1861" s="69">
        <v>0</v>
      </c>
      <c r="U1861" s="518">
        <v>0.7</v>
      </c>
      <c r="V1861" s="76">
        <v>0</v>
      </c>
      <c r="W1861" s="76">
        <v>0</v>
      </c>
      <c r="X1861" s="76"/>
      <c r="Y1861" s="516" t="s">
        <v>470</v>
      </c>
    </row>
    <row r="1862" spans="1:25" x14ac:dyDescent="0.25">
      <c r="A1862" s="75" t="str">
        <f t="shared" si="65"/>
        <v>Pago_de_Hipoteca PROF No_Premier Normal Pago_Fijo_Puntual 19</v>
      </c>
      <c r="B1862" s="75" t="str">
        <f t="shared" ref="B1862:B1924" si="66">CONCATENATE(A1862," ",N1862)</f>
        <v>Pago_de_Hipoteca PROF No_Premier Normal Pago_Fijo_Puntual 19 0.0965</v>
      </c>
      <c r="C1862" s="75" t="s">
        <v>173</v>
      </c>
      <c r="D1862" s="75" t="s">
        <v>169</v>
      </c>
      <c r="E1862" s="75" t="s">
        <v>179</v>
      </c>
      <c r="F1862" s="75" t="s">
        <v>180</v>
      </c>
      <c r="G1862" s="75"/>
      <c r="H1862" s="75"/>
      <c r="I1862" s="75" t="s">
        <v>171</v>
      </c>
      <c r="J1862" s="76">
        <v>19</v>
      </c>
      <c r="K1862" s="516" t="s">
        <v>385</v>
      </c>
      <c r="L1862" s="517">
        <v>9.82</v>
      </c>
      <c r="M1862" s="517">
        <v>10.48</v>
      </c>
      <c r="N1862" s="518">
        <v>9.6500000000000002E-2</v>
      </c>
      <c r="O1862" s="518">
        <v>9.1999999999999998E-2</v>
      </c>
      <c r="P1862" s="518">
        <v>0.10249999999999999</v>
      </c>
      <c r="Q1862" s="78">
        <v>0.44</v>
      </c>
      <c r="R1862" s="78">
        <v>0.31740000000000002</v>
      </c>
      <c r="S1862" s="69">
        <v>0</v>
      </c>
      <c r="T1862" s="69">
        <v>0</v>
      </c>
      <c r="U1862" s="518">
        <v>0.7</v>
      </c>
      <c r="V1862" s="76">
        <v>0</v>
      </c>
      <c r="W1862" s="76">
        <v>0</v>
      </c>
      <c r="X1862" s="76"/>
      <c r="Y1862" s="516" t="s">
        <v>470</v>
      </c>
    </row>
    <row r="1863" spans="1:25" x14ac:dyDescent="0.25">
      <c r="A1863" s="75" t="str">
        <f t="shared" ref="A1863:A1925" si="67">TRIM(CONCATENATE(C1863," ",D1863," ",E1863," ",F1863," ",G1863," ",I1863," ",X1863," ",J1863))</f>
        <v>Pago_de_Hipoteca PROF No_Premier Normal Pago_Fijo_Puntual 19</v>
      </c>
      <c r="B1863" s="75" t="str">
        <f t="shared" si="66"/>
        <v>Pago_de_Hipoteca PROF No_Premier Normal Pago_Fijo_Puntual 19 0.103</v>
      </c>
      <c r="C1863" s="75" t="s">
        <v>173</v>
      </c>
      <c r="D1863" s="75" t="s">
        <v>169</v>
      </c>
      <c r="E1863" s="75" t="s">
        <v>179</v>
      </c>
      <c r="F1863" s="75" t="s">
        <v>180</v>
      </c>
      <c r="G1863" s="75"/>
      <c r="H1863" s="75"/>
      <c r="I1863" s="75" t="s">
        <v>171</v>
      </c>
      <c r="J1863" s="76">
        <v>19</v>
      </c>
      <c r="K1863" s="516" t="s">
        <v>386</v>
      </c>
      <c r="L1863" s="517">
        <v>10.3</v>
      </c>
      <c r="M1863" s="517">
        <v>10.96</v>
      </c>
      <c r="N1863" s="518">
        <v>0.10299999999999999</v>
      </c>
      <c r="O1863" s="518">
        <v>0.1</v>
      </c>
      <c r="P1863" s="518">
        <v>0.112</v>
      </c>
      <c r="Q1863" s="78">
        <v>0.44</v>
      </c>
      <c r="R1863" s="78">
        <v>0.31740000000000002</v>
      </c>
      <c r="S1863" s="69">
        <v>0</v>
      </c>
      <c r="T1863" s="69">
        <v>0</v>
      </c>
      <c r="U1863" s="518">
        <v>0.7</v>
      </c>
      <c r="V1863" s="76">
        <v>0</v>
      </c>
      <c r="W1863" s="76">
        <v>0</v>
      </c>
      <c r="X1863" s="76"/>
      <c r="Y1863" s="516" t="s">
        <v>470</v>
      </c>
    </row>
    <row r="1864" spans="1:25" x14ac:dyDescent="0.25">
      <c r="A1864" s="75" t="str">
        <f t="shared" si="67"/>
        <v>Pago_de_Hipoteca PROF No_Premier Normal Pago_Fijo_Puntual 18</v>
      </c>
      <c r="B1864" s="75" t="str">
        <f t="shared" si="66"/>
        <v>Pago_de_Hipoteca PROF No_Premier Normal Pago_Fijo_Puntual 18 0.0965</v>
      </c>
      <c r="C1864" s="75" t="s">
        <v>173</v>
      </c>
      <c r="D1864" s="75" t="s">
        <v>169</v>
      </c>
      <c r="E1864" s="75" t="s">
        <v>179</v>
      </c>
      <c r="F1864" s="75" t="s">
        <v>180</v>
      </c>
      <c r="G1864" s="75"/>
      <c r="H1864" s="75"/>
      <c r="I1864" s="75" t="s">
        <v>171</v>
      </c>
      <c r="J1864" s="76">
        <v>18</v>
      </c>
      <c r="K1864" s="516" t="s">
        <v>385</v>
      </c>
      <c r="L1864" s="517">
        <v>10</v>
      </c>
      <c r="M1864" s="517">
        <v>10.66</v>
      </c>
      <c r="N1864" s="518">
        <v>9.6500000000000002E-2</v>
      </c>
      <c r="O1864" s="518">
        <v>9.1999999999999998E-2</v>
      </c>
      <c r="P1864" s="518">
        <v>0.10249999999999999</v>
      </c>
      <c r="Q1864" s="78">
        <v>0.44</v>
      </c>
      <c r="R1864" s="78">
        <v>0.31740000000000002</v>
      </c>
      <c r="S1864" s="69">
        <v>0</v>
      </c>
      <c r="T1864" s="69">
        <v>0</v>
      </c>
      <c r="U1864" s="518">
        <v>0.7</v>
      </c>
      <c r="V1864" s="76">
        <v>0</v>
      </c>
      <c r="W1864" s="76">
        <v>0</v>
      </c>
      <c r="X1864" s="76"/>
      <c r="Y1864" s="516" t="s">
        <v>470</v>
      </c>
    </row>
    <row r="1865" spans="1:25" x14ac:dyDescent="0.25">
      <c r="A1865" s="75" t="str">
        <f t="shared" si="67"/>
        <v>Pago_de_Hipoteca PROF No_Premier Normal Pago_Fijo_Puntual 18</v>
      </c>
      <c r="B1865" s="75" t="str">
        <f t="shared" si="66"/>
        <v>Pago_de_Hipoteca PROF No_Premier Normal Pago_Fijo_Puntual 18 0.103</v>
      </c>
      <c r="C1865" s="75" t="s">
        <v>173</v>
      </c>
      <c r="D1865" s="75" t="s">
        <v>169</v>
      </c>
      <c r="E1865" s="75" t="s">
        <v>179</v>
      </c>
      <c r="F1865" s="75" t="s">
        <v>180</v>
      </c>
      <c r="G1865" s="75"/>
      <c r="H1865" s="75"/>
      <c r="I1865" s="75" t="s">
        <v>171</v>
      </c>
      <c r="J1865" s="76">
        <v>18</v>
      </c>
      <c r="K1865" s="516" t="s">
        <v>386</v>
      </c>
      <c r="L1865" s="517">
        <v>10.47</v>
      </c>
      <c r="M1865" s="517">
        <v>11.13</v>
      </c>
      <c r="N1865" s="518">
        <v>0.10299999999999999</v>
      </c>
      <c r="O1865" s="518">
        <v>0.1</v>
      </c>
      <c r="P1865" s="518">
        <v>0.112</v>
      </c>
      <c r="Q1865" s="78">
        <v>0.44</v>
      </c>
      <c r="R1865" s="78">
        <v>0.31740000000000002</v>
      </c>
      <c r="S1865" s="69">
        <v>0</v>
      </c>
      <c r="T1865" s="69">
        <v>0</v>
      </c>
      <c r="U1865" s="518">
        <v>0.7</v>
      </c>
      <c r="V1865" s="76">
        <v>0</v>
      </c>
      <c r="W1865" s="76">
        <v>0</v>
      </c>
      <c r="X1865" s="76"/>
      <c r="Y1865" s="516" t="s">
        <v>470</v>
      </c>
    </row>
    <row r="1866" spans="1:25" x14ac:dyDescent="0.25">
      <c r="A1866" s="75" t="str">
        <f t="shared" si="67"/>
        <v>Pago_de_Hipoteca PROF No_Premier Normal Pago_Fijo_Puntual 17</v>
      </c>
      <c r="B1866" s="75" t="str">
        <f t="shared" si="66"/>
        <v>Pago_de_Hipoteca PROF No_Premier Normal Pago_Fijo_Puntual 17 0.0965</v>
      </c>
      <c r="C1866" s="75" t="s">
        <v>173</v>
      </c>
      <c r="D1866" s="75" t="s">
        <v>169</v>
      </c>
      <c r="E1866" s="75" t="s">
        <v>179</v>
      </c>
      <c r="F1866" s="75" t="s">
        <v>180</v>
      </c>
      <c r="G1866" s="75"/>
      <c r="H1866" s="75"/>
      <c r="I1866" s="75" t="s">
        <v>171</v>
      </c>
      <c r="J1866" s="76">
        <v>17</v>
      </c>
      <c r="K1866" s="516" t="s">
        <v>385</v>
      </c>
      <c r="L1866" s="517">
        <v>10.210000000000001</v>
      </c>
      <c r="M1866" s="517">
        <v>10.87</v>
      </c>
      <c r="N1866" s="518">
        <v>9.6500000000000002E-2</v>
      </c>
      <c r="O1866" s="518">
        <v>9.1999999999999998E-2</v>
      </c>
      <c r="P1866" s="518">
        <v>0.10249999999999999</v>
      </c>
      <c r="Q1866" s="78">
        <v>0.44</v>
      </c>
      <c r="R1866" s="78">
        <v>0.31740000000000002</v>
      </c>
      <c r="S1866" s="69">
        <v>0</v>
      </c>
      <c r="T1866" s="69">
        <v>0</v>
      </c>
      <c r="U1866" s="518">
        <v>0.7</v>
      </c>
      <c r="V1866" s="76">
        <v>0</v>
      </c>
      <c r="W1866" s="76">
        <v>0</v>
      </c>
      <c r="X1866" s="76"/>
      <c r="Y1866" s="516" t="s">
        <v>470</v>
      </c>
    </row>
    <row r="1867" spans="1:25" x14ac:dyDescent="0.25">
      <c r="A1867" s="75" t="str">
        <f t="shared" si="67"/>
        <v>Pago_de_Hipoteca PROF No_Premier Normal Pago_Fijo_Puntual 17</v>
      </c>
      <c r="B1867" s="75" t="str">
        <f t="shared" si="66"/>
        <v>Pago_de_Hipoteca PROF No_Premier Normal Pago_Fijo_Puntual 17 0.103</v>
      </c>
      <c r="C1867" s="75" t="s">
        <v>173</v>
      </c>
      <c r="D1867" s="75" t="s">
        <v>169</v>
      </c>
      <c r="E1867" s="75" t="s">
        <v>179</v>
      </c>
      <c r="F1867" s="75" t="s">
        <v>180</v>
      </c>
      <c r="G1867" s="75"/>
      <c r="H1867" s="75"/>
      <c r="I1867" s="75" t="s">
        <v>171</v>
      </c>
      <c r="J1867" s="76">
        <v>17</v>
      </c>
      <c r="K1867" s="516" t="s">
        <v>386</v>
      </c>
      <c r="L1867" s="517">
        <v>10.67</v>
      </c>
      <c r="M1867" s="517">
        <v>11.33</v>
      </c>
      <c r="N1867" s="518">
        <v>0.10299999999999999</v>
      </c>
      <c r="O1867" s="518">
        <v>0.1</v>
      </c>
      <c r="P1867" s="518">
        <v>0.112</v>
      </c>
      <c r="Q1867" s="78">
        <v>0.44</v>
      </c>
      <c r="R1867" s="78">
        <v>0.31740000000000002</v>
      </c>
      <c r="S1867" s="69">
        <v>0</v>
      </c>
      <c r="T1867" s="69">
        <v>0</v>
      </c>
      <c r="U1867" s="518">
        <v>0.7</v>
      </c>
      <c r="V1867" s="76">
        <v>0</v>
      </c>
      <c r="W1867" s="76">
        <v>0</v>
      </c>
      <c r="X1867" s="76"/>
      <c r="Y1867" s="516" t="s">
        <v>470</v>
      </c>
    </row>
    <row r="1868" spans="1:25" x14ac:dyDescent="0.25">
      <c r="A1868" s="75" t="str">
        <f t="shared" si="67"/>
        <v>Pago_de_Hipoteca PROF No_Premier Normal Pago_Fijo_Puntual 16</v>
      </c>
      <c r="B1868" s="75" t="str">
        <f t="shared" si="66"/>
        <v>Pago_de_Hipoteca PROF No_Premier Normal Pago_Fijo_Puntual 16 0.0965</v>
      </c>
      <c r="C1868" s="75" t="s">
        <v>173</v>
      </c>
      <c r="D1868" s="75" t="s">
        <v>169</v>
      </c>
      <c r="E1868" s="75" t="s">
        <v>179</v>
      </c>
      <c r="F1868" s="75" t="s">
        <v>180</v>
      </c>
      <c r="G1868" s="75"/>
      <c r="H1868" s="75"/>
      <c r="I1868" s="75" t="s">
        <v>171</v>
      </c>
      <c r="J1868" s="76">
        <v>16</v>
      </c>
      <c r="K1868" s="516" t="s">
        <v>385</v>
      </c>
      <c r="L1868" s="517">
        <v>10.45</v>
      </c>
      <c r="M1868" s="517">
        <v>11.11</v>
      </c>
      <c r="N1868" s="518">
        <v>9.6500000000000002E-2</v>
      </c>
      <c r="O1868" s="518">
        <v>9.1999999999999998E-2</v>
      </c>
      <c r="P1868" s="518">
        <v>0.10249999999999999</v>
      </c>
      <c r="Q1868" s="78">
        <v>0.44</v>
      </c>
      <c r="R1868" s="78">
        <v>0.31740000000000002</v>
      </c>
      <c r="S1868" s="69">
        <v>0</v>
      </c>
      <c r="T1868" s="69">
        <v>0</v>
      </c>
      <c r="U1868" s="518">
        <v>0.7</v>
      </c>
      <c r="V1868" s="76">
        <v>0</v>
      </c>
      <c r="W1868" s="76">
        <v>0</v>
      </c>
      <c r="X1868" s="76"/>
      <c r="Y1868" s="516" t="s">
        <v>470</v>
      </c>
    </row>
    <row r="1869" spans="1:25" x14ac:dyDescent="0.25">
      <c r="A1869" s="75" t="str">
        <f t="shared" si="67"/>
        <v>Pago_de_Hipoteca PROF No_Premier Normal Pago_Fijo_Puntual 16</v>
      </c>
      <c r="B1869" s="75" t="str">
        <f t="shared" si="66"/>
        <v>Pago_de_Hipoteca PROF No_Premier Normal Pago_Fijo_Puntual 16 0.103</v>
      </c>
      <c r="C1869" s="75" t="s">
        <v>173</v>
      </c>
      <c r="D1869" s="75" t="s">
        <v>169</v>
      </c>
      <c r="E1869" s="75" t="s">
        <v>179</v>
      </c>
      <c r="F1869" s="75" t="s">
        <v>180</v>
      </c>
      <c r="G1869" s="75"/>
      <c r="H1869" s="75"/>
      <c r="I1869" s="75" t="s">
        <v>171</v>
      </c>
      <c r="J1869" s="76">
        <v>16</v>
      </c>
      <c r="K1869" s="516" t="s">
        <v>386</v>
      </c>
      <c r="L1869" s="517">
        <v>10.9</v>
      </c>
      <c r="M1869" s="517">
        <v>11.56</v>
      </c>
      <c r="N1869" s="518">
        <v>0.10299999999999999</v>
      </c>
      <c r="O1869" s="518">
        <v>0.1</v>
      </c>
      <c r="P1869" s="518">
        <v>0.112</v>
      </c>
      <c r="Q1869" s="78">
        <v>0.44</v>
      </c>
      <c r="R1869" s="78">
        <v>0.31740000000000002</v>
      </c>
      <c r="S1869" s="69">
        <v>0</v>
      </c>
      <c r="T1869" s="69">
        <v>0</v>
      </c>
      <c r="U1869" s="518">
        <v>0.7</v>
      </c>
      <c r="V1869" s="76">
        <v>0</v>
      </c>
      <c r="W1869" s="76">
        <v>0</v>
      </c>
      <c r="X1869" s="76"/>
      <c r="Y1869" s="516" t="s">
        <v>470</v>
      </c>
    </row>
    <row r="1870" spans="1:25" x14ac:dyDescent="0.25">
      <c r="A1870" s="75" t="str">
        <f t="shared" si="67"/>
        <v>Pago_de_Hipoteca PROF No_Premier Normal Pago_Fijo_Puntual 15</v>
      </c>
      <c r="B1870" s="75" t="str">
        <f t="shared" si="66"/>
        <v>Pago_de_Hipoteca PROF No_Premier Normal Pago_Fijo_Puntual 15 0.0965</v>
      </c>
      <c r="C1870" s="75" t="s">
        <v>173</v>
      </c>
      <c r="D1870" s="75" t="s">
        <v>169</v>
      </c>
      <c r="E1870" s="75" t="s">
        <v>179</v>
      </c>
      <c r="F1870" s="75" t="s">
        <v>180</v>
      </c>
      <c r="G1870" s="75"/>
      <c r="H1870" s="75"/>
      <c r="I1870" s="75" t="s">
        <v>171</v>
      </c>
      <c r="J1870" s="76">
        <v>15</v>
      </c>
      <c r="K1870" s="516" t="s">
        <v>385</v>
      </c>
      <c r="L1870" s="517">
        <v>10.73</v>
      </c>
      <c r="M1870" s="517">
        <v>11.39</v>
      </c>
      <c r="N1870" s="518">
        <v>9.6500000000000002E-2</v>
      </c>
      <c r="O1870" s="518">
        <v>9.1999999999999998E-2</v>
      </c>
      <c r="P1870" s="518">
        <v>0.10249999999999999</v>
      </c>
      <c r="Q1870" s="78">
        <v>0.44</v>
      </c>
      <c r="R1870" s="78">
        <v>0.31740000000000002</v>
      </c>
      <c r="S1870" s="69">
        <v>0</v>
      </c>
      <c r="T1870" s="69">
        <v>0</v>
      </c>
      <c r="U1870" s="518">
        <v>0.7</v>
      </c>
      <c r="V1870" s="76">
        <v>0</v>
      </c>
      <c r="W1870" s="76">
        <v>0</v>
      </c>
      <c r="X1870" s="76"/>
      <c r="Y1870" s="516" t="s">
        <v>470</v>
      </c>
    </row>
    <row r="1871" spans="1:25" x14ac:dyDescent="0.25">
      <c r="A1871" s="75" t="str">
        <f t="shared" si="67"/>
        <v>Pago_de_Hipoteca PROF No_Premier Normal Pago_Fijo_Puntual 15</v>
      </c>
      <c r="B1871" s="75" t="str">
        <f t="shared" si="66"/>
        <v>Pago_de_Hipoteca PROF No_Premier Normal Pago_Fijo_Puntual 15 0.103</v>
      </c>
      <c r="C1871" s="75" t="s">
        <v>173</v>
      </c>
      <c r="D1871" s="75" t="s">
        <v>169</v>
      </c>
      <c r="E1871" s="75" t="s">
        <v>179</v>
      </c>
      <c r="F1871" s="75" t="s">
        <v>180</v>
      </c>
      <c r="G1871" s="75"/>
      <c r="H1871" s="75"/>
      <c r="I1871" s="75" t="s">
        <v>171</v>
      </c>
      <c r="J1871" s="76">
        <v>15</v>
      </c>
      <c r="K1871" s="516" t="s">
        <v>386</v>
      </c>
      <c r="L1871" s="517">
        <v>11.18</v>
      </c>
      <c r="M1871" s="517">
        <v>11.84</v>
      </c>
      <c r="N1871" s="518">
        <v>0.10299999999999999</v>
      </c>
      <c r="O1871" s="518">
        <v>0.1</v>
      </c>
      <c r="P1871" s="518">
        <v>0.112</v>
      </c>
      <c r="Q1871" s="78">
        <v>0.44</v>
      </c>
      <c r="R1871" s="78">
        <v>0.31740000000000002</v>
      </c>
      <c r="S1871" s="69">
        <v>0</v>
      </c>
      <c r="T1871" s="69">
        <v>0</v>
      </c>
      <c r="U1871" s="518">
        <v>0.7</v>
      </c>
      <c r="V1871" s="76">
        <v>0</v>
      </c>
      <c r="W1871" s="76">
        <v>0</v>
      </c>
      <c r="X1871" s="76"/>
      <c r="Y1871" s="516" t="s">
        <v>470</v>
      </c>
    </row>
    <row r="1872" spans="1:25" x14ac:dyDescent="0.25">
      <c r="A1872" s="75" t="str">
        <f t="shared" si="67"/>
        <v>Pago_de_Hipoteca PROF No_Premier Normal Pago_Fijo_Puntual 14</v>
      </c>
      <c r="B1872" s="75" t="str">
        <f t="shared" si="66"/>
        <v>Pago_de_Hipoteca PROF No_Premier Normal Pago_Fijo_Puntual 14 0.0965</v>
      </c>
      <c r="C1872" s="75" t="s">
        <v>173</v>
      </c>
      <c r="D1872" s="75" t="s">
        <v>169</v>
      </c>
      <c r="E1872" s="75" t="s">
        <v>179</v>
      </c>
      <c r="F1872" s="75" t="s">
        <v>180</v>
      </c>
      <c r="G1872" s="75"/>
      <c r="H1872" s="75"/>
      <c r="I1872" s="75" t="s">
        <v>171</v>
      </c>
      <c r="J1872" s="76">
        <v>14</v>
      </c>
      <c r="K1872" s="516" t="s">
        <v>385</v>
      </c>
      <c r="L1872" s="517">
        <v>11.06</v>
      </c>
      <c r="M1872" s="517">
        <v>11.72</v>
      </c>
      <c r="N1872" s="518">
        <v>9.6500000000000002E-2</v>
      </c>
      <c r="O1872" s="518">
        <v>9.1999999999999998E-2</v>
      </c>
      <c r="P1872" s="518">
        <v>0.10249999999999999</v>
      </c>
      <c r="Q1872" s="78">
        <v>0.44</v>
      </c>
      <c r="R1872" s="78">
        <v>0.31740000000000002</v>
      </c>
      <c r="S1872" s="69">
        <v>0</v>
      </c>
      <c r="T1872" s="69">
        <v>0</v>
      </c>
      <c r="U1872" s="518">
        <v>0.7</v>
      </c>
      <c r="V1872" s="76">
        <v>0</v>
      </c>
      <c r="W1872" s="76">
        <v>0</v>
      </c>
      <c r="X1872" s="76"/>
      <c r="Y1872" s="516" t="s">
        <v>470</v>
      </c>
    </row>
    <row r="1873" spans="1:25" x14ac:dyDescent="0.25">
      <c r="A1873" s="75" t="str">
        <f t="shared" si="67"/>
        <v>Pago_de_Hipoteca PROF No_Premier Normal Pago_Fijo_Puntual 14</v>
      </c>
      <c r="B1873" s="75" t="str">
        <f t="shared" si="66"/>
        <v>Pago_de_Hipoteca PROF No_Premier Normal Pago_Fijo_Puntual 14 0.103</v>
      </c>
      <c r="C1873" s="75" t="s">
        <v>173</v>
      </c>
      <c r="D1873" s="75" t="s">
        <v>169</v>
      </c>
      <c r="E1873" s="75" t="s">
        <v>179</v>
      </c>
      <c r="F1873" s="75" t="s">
        <v>180</v>
      </c>
      <c r="G1873" s="75"/>
      <c r="H1873" s="75"/>
      <c r="I1873" s="75" t="s">
        <v>171</v>
      </c>
      <c r="J1873" s="76">
        <v>14</v>
      </c>
      <c r="K1873" s="516" t="s">
        <v>386</v>
      </c>
      <c r="L1873" s="517">
        <v>11.49</v>
      </c>
      <c r="M1873" s="517">
        <v>12.15</v>
      </c>
      <c r="N1873" s="518">
        <v>0.10299999999999999</v>
      </c>
      <c r="O1873" s="518">
        <v>0.1</v>
      </c>
      <c r="P1873" s="518">
        <v>0.112</v>
      </c>
      <c r="Q1873" s="78">
        <v>0.44</v>
      </c>
      <c r="R1873" s="78">
        <v>0.31740000000000002</v>
      </c>
      <c r="S1873" s="69">
        <v>0</v>
      </c>
      <c r="T1873" s="69">
        <v>0</v>
      </c>
      <c r="U1873" s="518">
        <v>0.7</v>
      </c>
      <c r="V1873" s="76">
        <v>0</v>
      </c>
      <c r="W1873" s="76">
        <v>0</v>
      </c>
      <c r="X1873" s="76"/>
      <c r="Y1873" s="516" t="s">
        <v>470</v>
      </c>
    </row>
    <row r="1874" spans="1:25" x14ac:dyDescent="0.25">
      <c r="A1874" s="75" t="str">
        <f t="shared" si="67"/>
        <v>Pago_de_Hipoteca PROF No_Premier Normal Pago_Fijo_Puntual 13</v>
      </c>
      <c r="B1874" s="75" t="str">
        <f t="shared" si="66"/>
        <v>Pago_de_Hipoteca PROF No_Premier Normal Pago_Fijo_Puntual 13 0.0965</v>
      </c>
      <c r="C1874" s="75" t="s">
        <v>173</v>
      </c>
      <c r="D1874" s="75" t="s">
        <v>169</v>
      </c>
      <c r="E1874" s="75" t="s">
        <v>179</v>
      </c>
      <c r="F1874" s="75" t="s">
        <v>180</v>
      </c>
      <c r="G1874" s="75"/>
      <c r="H1874" s="75"/>
      <c r="I1874" s="75" t="s">
        <v>171</v>
      </c>
      <c r="J1874" s="76">
        <v>13</v>
      </c>
      <c r="K1874" s="516" t="s">
        <v>385</v>
      </c>
      <c r="L1874" s="517">
        <v>11.45</v>
      </c>
      <c r="M1874" s="517">
        <v>12.11</v>
      </c>
      <c r="N1874" s="518">
        <v>9.6500000000000002E-2</v>
      </c>
      <c r="O1874" s="518">
        <v>9.1999999999999998E-2</v>
      </c>
      <c r="P1874" s="518">
        <v>0.10249999999999999</v>
      </c>
      <c r="Q1874" s="78">
        <v>0.44</v>
      </c>
      <c r="R1874" s="78">
        <v>0.31740000000000002</v>
      </c>
      <c r="S1874" s="69">
        <v>0</v>
      </c>
      <c r="T1874" s="69">
        <v>0</v>
      </c>
      <c r="U1874" s="518">
        <v>0.7</v>
      </c>
      <c r="V1874" s="76">
        <v>0</v>
      </c>
      <c r="W1874" s="76">
        <v>0</v>
      </c>
      <c r="X1874" s="76"/>
      <c r="Y1874" s="516" t="s">
        <v>470</v>
      </c>
    </row>
    <row r="1875" spans="1:25" x14ac:dyDescent="0.25">
      <c r="A1875" s="75" t="str">
        <f t="shared" si="67"/>
        <v>Pago_de_Hipoteca PROF No_Premier Normal Pago_Fijo_Puntual 13</v>
      </c>
      <c r="B1875" s="75" t="str">
        <f t="shared" si="66"/>
        <v>Pago_de_Hipoteca PROF No_Premier Normal Pago_Fijo_Puntual 13 0.103</v>
      </c>
      <c r="C1875" s="75" t="s">
        <v>173</v>
      </c>
      <c r="D1875" s="75" t="s">
        <v>169</v>
      </c>
      <c r="E1875" s="75" t="s">
        <v>179</v>
      </c>
      <c r="F1875" s="75" t="s">
        <v>180</v>
      </c>
      <c r="G1875" s="75"/>
      <c r="H1875" s="75"/>
      <c r="I1875" s="75" t="s">
        <v>171</v>
      </c>
      <c r="J1875" s="76">
        <v>13</v>
      </c>
      <c r="K1875" s="516" t="s">
        <v>386</v>
      </c>
      <c r="L1875" s="517">
        <v>11.86</v>
      </c>
      <c r="M1875" s="517">
        <v>12.52</v>
      </c>
      <c r="N1875" s="518">
        <v>0.10299999999999999</v>
      </c>
      <c r="O1875" s="518">
        <v>0.1</v>
      </c>
      <c r="P1875" s="518">
        <v>0.112</v>
      </c>
      <c r="Q1875" s="78">
        <v>0.44</v>
      </c>
      <c r="R1875" s="78">
        <v>0.31740000000000002</v>
      </c>
      <c r="S1875" s="69">
        <v>0</v>
      </c>
      <c r="T1875" s="69">
        <v>0</v>
      </c>
      <c r="U1875" s="518">
        <v>0.7</v>
      </c>
      <c r="V1875" s="76">
        <v>0</v>
      </c>
      <c r="W1875" s="76">
        <v>0</v>
      </c>
      <c r="X1875" s="76"/>
      <c r="Y1875" s="516" t="s">
        <v>470</v>
      </c>
    </row>
    <row r="1876" spans="1:25" x14ac:dyDescent="0.25">
      <c r="A1876" s="75" t="str">
        <f t="shared" si="67"/>
        <v>Pago_de_Hipoteca PROF No_Premier Normal Pago_Fijo_Puntual 12</v>
      </c>
      <c r="B1876" s="75" t="str">
        <f t="shared" si="66"/>
        <v>Pago_de_Hipoteca PROF No_Premier Normal Pago_Fijo_Puntual 12 0.0965</v>
      </c>
      <c r="C1876" s="75" t="s">
        <v>173</v>
      </c>
      <c r="D1876" s="75" t="s">
        <v>169</v>
      </c>
      <c r="E1876" s="75" t="s">
        <v>179</v>
      </c>
      <c r="F1876" s="75" t="s">
        <v>180</v>
      </c>
      <c r="G1876" s="75"/>
      <c r="H1876" s="75"/>
      <c r="I1876" s="75" t="s">
        <v>171</v>
      </c>
      <c r="J1876" s="76">
        <v>12</v>
      </c>
      <c r="K1876" s="516" t="s">
        <v>385</v>
      </c>
      <c r="L1876" s="517">
        <v>11.91</v>
      </c>
      <c r="M1876" s="517">
        <v>12.57</v>
      </c>
      <c r="N1876" s="518">
        <v>9.6500000000000002E-2</v>
      </c>
      <c r="O1876" s="518">
        <v>9.1999999999999998E-2</v>
      </c>
      <c r="P1876" s="518">
        <v>0.10249999999999999</v>
      </c>
      <c r="Q1876" s="78">
        <v>0.44</v>
      </c>
      <c r="R1876" s="78">
        <v>0.31740000000000002</v>
      </c>
      <c r="S1876" s="69">
        <v>0</v>
      </c>
      <c r="T1876" s="69">
        <v>0</v>
      </c>
      <c r="U1876" s="518">
        <v>0.7</v>
      </c>
      <c r="V1876" s="76">
        <v>0</v>
      </c>
      <c r="W1876" s="76">
        <v>0</v>
      </c>
      <c r="X1876" s="76"/>
      <c r="Y1876" s="516" t="s">
        <v>470</v>
      </c>
    </row>
    <row r="1877" spans="1:25" x14ac:dyDescent="0.25">
      <c r="A1877" s="75" t="str">
        <f t="shared" si="67"/>
        <v>Pago_de_Hipoteca PROF No_Premier Normal Pago_Fijo_Puntual 12</v>
      </c>
      <c r="B1877" s="75" t="str">
        <f t="shared" si="66"/>
        <v>Pago_de_Hipoteca PROF No_Premier Normal Pago_Fijo_Puntual 12 0.103</v>
      </c>
      <c r="C1877" s="75" t="s">
        <v>173</v>
      </c>
      <c r="D1877" s="75" t="s">
        <v>169</v>
      </c>
      <c r="E1877" s="75" t="s">
        <v>179</v>
      </c>
      <c r="F1877" s="75" t="s">
        <v>180</v>
      </c>
      <c r="G1877" s="75"/>
      <c r="H1877" s="75"/>
      <c r="I1877" s="75" t="s">
        <v>171</v>
      </c>
      <c r="J1877" s="76">
        <v>12</v>
      </c>
      <c r="K1877" s="516" t="s">
        <v>386</v>
      </c>
      <c r="L1877" s="517">
        <v>12.31</v>
      </c>
      <c r="M1877" s="517">
        <v>12.97</v>
      </c>
      <c r="N1877" s="518">
        <v>0.10299999999999999</v>
      </c>
      <c r="O1877" s="518">
        <v>0.1</v>
      </c>
      <c r="P1877" s="518">
        <v>0.112</v>
      </c>
      <c r="Q1877" s="78">
        <v>0.44</v>
      </c>
      <c r="R1877" s="78">
        <v>0.31740000000000002</v>
      </c>
      <c r="S1877" s="69">
        <v>0</v>
      </c>
      <c r="T1877" s="69">
        <v>0</v>
      </c>
      <c r="U1877" s="518">
        <v>0.7</v>
      </c>
      <c r="V1877" s="76">
        <v>0</v>
      </c>
      <c r="W1877" s="76">
        <v>0</v>
      </c>
      <c r="X1877" s="76"/>
      <c r="Y1877" s="516" t="s">
        <v>470</v>
      </c>
    </row>
    <row r="1878" spans="1:25" x14ac:dyDescent="0.25">
      <c r="A1878" s="75" t="str">
        <f t="shared" si="67"/>
        <v>Pago_de_Hipoteca PROF No_Premier Normal Pago_Fijo_Puntual 11</v>
      </c>
      <c r="B1878" s="75" t="str">
        <f t="shared" si="66"/>
        <v>Pago_de_Hipoteca PROF No_Premier Normal Pago_Fijo_Puntual 11 0.0965</v>
      </c>
      <c r="C1878" s="75" t="s">
        <v>173</v>
      </c>
      <c r="D1878" s="75" t="s">
        <v>169</v>
      </c>
      <c r="E1878" s="75" t="s">
        <v>179</v>
      </c>
      <c r="F1878" s="75" t="s">
        <v>180</v>
      </c>
      <c r="G1878" s="75"/>
      <c r="H1878" s="75"/>
      <c r="I1878" s="75" t="s">
        <v>171</v>
      </c>
      <c r="J1878" s="76">
        <v>11</v>
      </c>
      <c r="K1878" s="516" t="s">
        <v>385</v>
      </c>
      <c r="L1878" s="517">
        <v>12.47</v>
      </c>
      <c r="M1878" s="517">
        <v>13.13</v>
      </c>
      <c r="N1878" s="518">
        <v>9.6500000000000002E-2</v>
      </c>
      <c r="O1878" s="518">
        <v>9.1999999999999998E-2</v>
      </c>
      <c r="P1878" s="518">
        <v>0.10249999999999999</v>
      </c>
      <c r="Q1878" s="78">
        <v>0.44</v>
      </c>
      <c r="R1878" s="78">
        <v>0.31740000000000002</v>
      </c>
      <c r="S1878" s="69">
        <v>0</v>
      </c>
      <c r="T1878" s="69">
        <v>0</v>
      </c>
      <c r="U1878" s="518">
        <v>0.7</v>
      </c>
      <c r="V1878" s="76">
        <v>0</v>
      </c>
      <c r="W1878" s="76">
        <v>0</v>
      </c>
      <c r="X1878" s="76"/>
      <c r="Y1878" s="516" t="s">
        <v>470</v>
      </c>
    </row>
    <row r="1879" spans="1:25" x14ac:dyDescent="0.25">
      <c r="A1879" s="75" t="str">
        <f t="shared" si="67"/>
        <v>Pago_de_Hipoteca PROF No_Premier Normal Pago_Fijo_Puntual 11</v>
      </c>
      <c r="B1879" s="75" t="str">
        <f t="shared" si="66"/>
        <v>Pago_de_Hipoteca PROF No_Premier Normal Pago_Fijo_Puntual 11 0.103</v>
      </c>
      <c r="C1879" s="75" t="s">
        <v>173</v>
      </c>
      <c r="D1879" s="75" t="s">
        <v>169</v>
      </c>
      <c r="E1879" s="75" t="s">
        <v>179</v>
      </c>
      <c r="F1879" s="75" t="s">
        <v>180</v>
      </c>
      <c r="G1879" s="75"/>
      <c r="H1879" s="75"/>
      <c r="I1879" s="75" t="s">
        <v>171</v>
      </c>
      <c r="J1879" s="76">
        <v>11</v>
      </c>
      <c r="K1879" s="516" t="s">
        <v>386</v>
      </c>
      <c r="L1879" s="517">
        <v>12.86</v>
      </c>
      <c r="M1879" s="517">
        <v>13.52</v>
      </c>
      <c r="N1879" s="518">
        <v>0.10299999999999999</v>
      </c>
      <c r="O1879" s="518">
        <v>0.1</v>
      </c>
      <c r="P1879" s="518">
        <v>0.112</v>
      </c>
      <c r="Q1879" s="78">
        <v>0.44</v>
      </c>
      <c r="R1879" s="78">
        <v>0.31740000000000002</v>
      </c>
      <c r="S1879" s="69">
        <v>0</v>
      </c>
      <c r="T1879" s="69">
        <v>0</v>
      </c>
      <c r="U1879" s="518">
        <v>0.7</v>
      </c>
      <c r="V1879" s="76">
        <v>0</v>
      </c>
      <c r="W1879" s="76">
        <v>0</v>
      </c>
      <c r="X1879" s="76"/>
      <c r="Y1879" s="516" t="s">
        <v>470</v>
      </c>
    </row>
    <row r="1880" spans="1:25" x14ac:dyDescent="0.25">
      <c r="A1880" s="75" t="str">
        <f t="shared" si="67"/>
        <v>Pago_de_Hipoteca PROF No_Premier Normal Pago_Fijo_Puntual 10</v>
      </c>
      <c r="B1880" s="75" t="str">
        <f t="shared" si="66"/>
        <v>Pago_de_Hipoteca PROF No_Premier Normal Pago_Fijo_Puntual 10 0.0965</v>
      </c>
      <c r="C1880" s="75" t="s">
        <v>173</v>
      </c>
      <c r="D1880" s="75" t="s">
        <v>169</v>
      </c>
      <c r="E1880" s="75" t="s">
        <v>179</v>
      </c>
      <c r="F1880" s="75" t="s">
        <v>180</v>
      </c>
      <c r="G1880" s="75"/>
      <c r="H1880" s="75"/>
      <c r="I1880" s="75" t="s">
        <v>171</v>
      </c>
      <c r="J1880" s="76">
        <v>10</v>
      </c>
      <c r="K1880" s="516" t="s">
        <v>385</v>
      </c>
      <c r="L1880" s="517">
        <v>13.16</v>
      </c>
      <c r="M1880" s="517">
        <v>13.82</v>
      </c>
      <c r="N1880" s="518">
        <v>9.6500000000000002E-2</v>
      </c>
      <c r="O1880" s="518">
        <v>9.1999999999999998E-2</v>
      </c>
      <c r="P1880" s="518">
        <v>0.10249999999999999</v>
      </c>
      <c r="Q1880" s="78">
        <v>0.44</v>
      </c>
      <c r="R1880" s="78">
        <v>0.31740000000000002</v>
      </c>
      <c r="S1880" s="69">
        <v>0</v>
      </c>
      <c r="T1880" s="69">
        <v>0</v>
      </c>
      <c r="U1880" s="518">
        <v>0.7</v>
      </c>
      <c r="V1880" s="76">
        <v>0</v>
      </c>
      <c r="W1880" s="76">
        <v>0</v>
      </c>
      <c r="X1880" s="76"/>
      <c r="Y1880" s="516" t="s">
        <v>470</v>
      </c>
    </row>
    <row r="1881" spans="1:25" x14ac:dyDescent="0.25">
      <c r="A1881" s="75" t="str">
        <f t="shared" si="67"/>
        <v>Pago_de_Hipoteca PROF No_Premier Normal Pago_Fijo_Puntual 10</v>
      </c>
      <c r="B1881" s="75" t="str">
        <f t="shared" si="66"/>
        <v>Pago_de_Hipoteca PROF No_Premier Normal Pago_Fijo_Puntual 10 0.103</v>
      </c>
      <c r="C1881" s="75" t="s">
        <v>173</v>
      </c>
      <c r="D1881" s="75" t="s">
        <v>169</v>
      </c>
      <c r="E1881" s="75" t="s">
        <v>179</v>
      </c>
      <c r="F1881" s="75" t="s">
        <v>180</v>
      </c>
      <c r="G1881" s="75"/>
      <c r="H1881" s="75"/>
      <c r="I1881" s="75" t="s">
        <v>171</v>
      </c>
      <c r="J1881" s="76">
        <v>10</v>
      </c>
      <c r="K1881" s="516" t="s">
        <v>386</v>
      </c>
      <c r="L1881" s="517">
        <v>13.54</v>
      </c>
      <c r="M1881" s="517">
        <v>14.2</v>
      </c>
      <c r="N1881" s="518">
        <v>0.10299999999999999</v>
      </c>
      <c r="O1881" s="518">
        <v>0.1</v>
      </c>
      <c r="P1881" s="518">
        <v>0.112</v>
      </c>
      <c r="Q1881" s="78">
        <v>0.44</v>
      </c>
      <c r="R1881" s="78">
        <v>0.31740000000000002</v>
      </c>
      <c r="S1881" s="69">
        <v>0</v>
      </c>
      <c r="T1881" s="69">
        <v>0</v>
      </c>
      <c r="U1881" s="518">
        <v>0.7</v>
      </c>
      <c r="V1881" s="76">
        <v>0</v>
      </c>
      <c r="W1881" s="76">
        <v>0</v>
      </c>
      <c r="X1881" s="76"/>
      <c r="Y1881" s="516" t="s">
        <v>470</v>
      </c>
    </row>
    <row r="1882" spans="1:25" x14ac:dyDescent="0.25">
      <c r="A1882" s="75" t="str">
        <f t="shared" si="67"/>
        <v>Pago_de_Hipoteca PROF No_Premier Normal Pago_Fijo_Puntual 9</v>
      </c>
      <c r="B1882" s="75" t="str">
        <f t="shared" si="66"/>
        <v>Pago_de_Hipoteca PROF No_Premier Normal Pago_Fijo_Puntual 9 0.0965</v>
      </c>
      <c r="C1882" s="75" t="s">
        <v>173</v>
      </c>
      <c r="D1882" s="75" t="s">
        <v>169</v>
      </c>
      <c r="E1882" s="75" t="s">
        <v>179</v>
      </c>
      <c r="F1882" s="75" t="s">
        <v>180</v>
      </c>
      <c r="G1882" s="75"/>
      <c r="H1882" s="75"/>
      <c r="I1882" s="75" t="s">
        <v>171</v>
      </c>
      <c r="J1882" s="76">
        <v>9</v>
      </c>
      <c r="K1882" s="516" t="s">
        <v>385</v>
      </c>
      <c r="L1882" s="517">
        <v>14.01</v>
      </c>
      <c r="M1882" s="517">
        <v>14.67</v>
      </c>
      <c r="N1882" s="518">
        <v>9.6500000000000002E-2</v>
      </c>
      <c r="O1882" s="518">
        <v>9.1999999999999998E-2</v>
      </c>
      <c r="P1882" s="518">
        <v>0.10249999999999999</v>
      </c>
      <c r="Q1882" s="78">
        <v>0.44</v>
      </c>
      <c r="R1882" s="78">
        <v>0.31740000000000002</v>
      </c>
      <c r="S1882" s="69">
        <v>0</v>
      </c>
      <c r="T1882" s="69">
        <v>0</v>
      </c>
      <c r="U1882" s="518">
        <v>0.7</v>
      </c>
      <c r="V1882" s="76">
        <v>0</v>
      </c>
      <c r="W1882" s="76">
        <v>0</v>
      </c>
      <c r="X1882" s="76"/>
      <c r="Y1882" s="516" t="s">
        <v>470</v>
      </c>
    </row>
    <row r="1883" spans="1:25" x14ac:dyDescent="0.25">
      <c r="A1883" s="75" t="str">
        <f t="shared" si="67"/>
        <v>Pago_de_Hipoteca PROF No_Premier Normal Pago_Fijo_Puntual 9</v>
      </c>
      <c r="B1883" s="75" t="str">
        <f t="shared" si="66"/>
        <v>Pago_de_Hipoteca PROF No_Premier Normal Pago_Fijo_Puntual 9 0.103</v>
      </c>
      <c r="C1883" s="75" t="s">
        <v>173</v>
      </c>
      <c r="D1883" s="75" t="s">
        <v>169</v>
      </c>
      <c r="E1883" s="75" t="s">
        <v>179</v>
      </c>
      <c r="F1883" s="75" t="s">
        <v>180</v>
      </c>
      <c r="G1883" s="75"/>
      <c r="H1883" s="75"/>
      <c r="I1883" s="75" t="s">
        <v>171</v>
      </c>
      <c r="J1883" s="76">
        <v>9</v>
      </c>
      <c r="K1883" s="516" t="s">
        <v>386</v>
      </c>
      <c r="L1883" s="517">
        <v>14.37</v>
      </c>
      <c r="M1883" s="517">
        <v>15.03</v>
      </c>
      <c r="N1883" s="518">
        <v>0.10299999999999999</v>
      </c>
      <c r="O1883" s="518">
        <v>0.1</v>
      </c>
      <c r="P1883" s="518">
        <v>0.112</v>
      </c>
      <c r="Q1883" s="78">
        <v>0.44</v>
      </c>
      <c r="R1883" s="78">
        <v>0.31740000000000002</v>
      </c>
      <c r="S1883" s="69">
        <v>0</v>
      </c>
      <c r="T1883" s="69">
        <v>0</v>
      </c>
      <c r="U1883" s="518">
        <v>0.7</v>
      </c>
      <c r="V1883" s="76">
        <v>0</v>
      </c>
      <c r="W1883" s="76">
        <v>0</v>
      </c>
      <c r="X1883" s="76"/>
      <c r="Y1883" s="516" t="s">
        <v>470</v>
      </c>
    </row>
    <row r="1884" spans="1:25" x14ac:dyDescent="0.25">
      <c r="A1884" s="75" t="str">
        <f t="shared" si="67"/>
        <v>Pago_de_Hipoteca PROF No_Premier Normal Pago_Fijo_Puntual 8</v>
      </c>
      <c r="B1884" s="75" t="str">
        <f t="shared" si="66"/>
        <v>Pago_de_Hipoteca PROF No_Premier Normal Pago_Fijo_Puntual 8 0.0965</v>
      </c>
      <c r="C1884" s="75" t="s">
        <v>173</v>
      </c>
      <c r="D1884" s="75" t="s">
        <v>169</v>
      </c>
      <c r="E1884" s="75" t="s">
        <v>179</v>
      </c>
      <c r="F1884" s="75" t="s">
        <v>180</v>
      </c>
      <c r="G1884" s="75"/>
      <c r="H1884" s="75"/>
      <c r="I1884" s="75" t="s">
        <v>171</v>
      </c>
      <c r="J1884" s="76">
        <v>8</v>
      </c>
      <c r="K1884" s="516" t="s">
        <v>385</v>
      </c>
      <c r="L1884" s="517">
        <v>15.09</v>
      </c>
      <c r="M1884" s="517">
        <v>15.75</v>
      </c>
      <c r="N1884" s="518">
        <v>9.6500000000000002E-2</v>
      </c>
      <c r="O1884" s="518">
        <v>9.1999999999999998E-2</v>
      </c>
      <c r="P1884" s="518">
        <v>0.10249999999999999</v>
      </c>
      <c r="Q1884" s="78">
        <v>0.44</v>
      </c>
      <c r="R1884" s="78">
        <v>0.31740000000000002</v>
      </c>
      <c r="S1884" s="69">
        <v>0</v>
      </c>
      <c r="T1884" s="69">
        <v>0</v>
      </c>
      <c r="U1884" s="518">
        <v>0.7</v>
      </c>
      <c r="V1884" s="76">
        <v>0</v>
      </c>
      <c r="W1884" s="76">
        <v>0</v>
      </c>
      <c r="X1884" s="76"/>
      <c r="Y1884" s="516" t="s">
        <v>470</v>
      </c>
    </row>
    <row r="1885" spans="1:25" x14ac:dyDescent="0.25">
      <c r="A1885" s="75" t="str">
        <f t="shared" si="67"/>
        <v>Pago_de_Hipoteca PROF No_Premier Normal Pago_Fijo_Puntual 8</v>
      </c>
      <c r="B1885" s="75" t="str">
        <f t="shared" si="66"/>
        <v>Pago_de_Hipoteca PROF No_Premier Normal Pago_Fijo_Puntual 8 0.103</v>
      </c>
      <c r="C1885" s="75" t="s">
        <v>173</v>
      </c>
      <c r="D1885" s="75" t="s">
        <v>169</v>
      </c>
      <c r="E1885" s="75" t="s">
        <v>179</v>
      </c>
      <c r="F1885" s="75" t="s">
        <v>180</v>
      </c>
      <c r="G1885" s="75"/>
      <c r="H1885" s="75"/>
      <c r="I1885" s="75" t="s">
        <v>171</v>
      </c>
      <c r="J1885" s="76">
        <v>8</v>
      </c>
      <c r="K1885" s="516" t="s">
        <v>386</v>
      </c>
      <c r="L1885" s="517">
        <v>15.44</v>
      </c>
      <c r="M1885" s="517">
        <v>16.100000000000001</v>
      </c>
      <c r="N1885" s="518">
        <v>0.10299999999999999</v>
      </c>
      <c r="O1885" s="518">
        <v>0.1</v>
      </c>
      <c r="P1885" s="518">
        <v>0.112</v>
      </c>
      <c r="Q1885" s="78">
        <v>0.44</v>
      </c>
      <c r="R1885" s="78">
        <v>0.31740000000000002</v>
      </c>
      <c r="S1885" s="69">
        <v>0</v>
      </c>
      <c r="T1885" s="69">
        <v>0</v>
      </c>
      <c r="U1885" s="518">
        <v>0.7</v>
      </c>
      <c r="V1885" s="76">
        <v>0</v>
      </c>
      <c r="W1885" s="76">
        <v>0</v>
      </c>
      <c r="X1885" s="76"/>
      <c r="Y1885" s="516" t="s">
        <v>470</v>
      </c>
    </row>
    <row r="1886" spans="1:25" x14ac:dyDescent="0.25">
      <c r="A1886" s="75" t="str">
        <f t="shared" si="67"/>
        <v>Pago_de_Hipoteca PROF No_Premier Normal Pago_Fijo_Puntual 7</v>
      </c>
      <c r="B1886" s="75" t="str">
        <f t="shared" si="66"/>
        <v>Pago_de_Hipoteca PROF No_Premier Normal Pago_Fijo_Puntual 7 0.0965</v>
      </c>
      <c r="C1886" s="75" t="s">
        <v>173</v>
      </c>
      <c r="D1886" s="75" t="s">
        <v>169</v>
      </c>
      <c r="E1886" s="75" t="s">
        <v>179</v>
      </c>
      <c r="F1886" s="75" t="s">
        <v>180</v>
      </c>
      <c r="G1886" s="75"/>
      <c r="H1886" s="75"/>
      <c r="I1886" s="75" t="s">
        <v>171</v>
      </c>
      <c r="J1886" s="76">
        <v>7</v>
      </c>
      <c r="K1886" s="516" t="s">
        <v>385</v>
      </c>
      <c r="L1886" s="517">
        <v>16.5</v>
      </c>
      <c r="M1886" s="517">
        <v>17.16</v>
      </c>
      <c r="N1886" s="518">
        <v>9.6500000000000002E-2</v>
      </c>
      <c r="O1886" s="518">
        <v>9.1999999999999998E-2</v>
      </c>
      <c r="P1886" s="518">
        <v>0.10249999999999999</v>
      </c>
      <c r="Q1886" s="78">
        <v>0.44</v>
      </c>
      <c r="R1886" s="78">
        <v>0.31740000000000002</v>
      </c>
      <c r="S1886" s="69">
        <v>0</v>
      </c>
      <c r="T1886" s="69">
        <v>0</v>
      </c>
      <c r="U1886" s="518">
        <v>0.7</v>
      </c>
      <c r="V1886" s="76">
        <v>0</v>
      </c>
      <c r="W1886" s="76">
        <v>0</v>
      </c>
      <c r="X1886" s="76"/>
      <c r="Y1886" s="516" t="s">
        <v>470</v>
      </c>
    </row>
    <row r="1887" spans="1:25" x14ac:dyDescent="0.25">
      <c r="A1887" s="75" t="str">
        <f t="shared" si="67"/>
        <v>Pago_de_Hipoteca PROF No_Premier Normal Pago_Fijo_Puntual 7</v>
      </c>
      <c r="B1887" s="75" t="str">
        <f t="shared" si="66"/>
        <v>Pago_de_Hipoteca PROF No_Premier Normal Pago_Fijo_Puntual 7 0.103</v>
      </c>
      <c r="C1887" s="75" t="s">
        <v>173</v>
      </c>
      <c r="D1887" s="75" t="s">
        <v>169</v>
      </c>
      <c r="E1887" s="75" t="s">
        <v>179</v>
      </c>
      <c r="F1887" s="75" t="s">
        <v>180</v>
      </c>
      <c r="G1887" s="75"/>
      <c r="H1887" s="75"/>
      <c r="I1887" s="75" t="s">
        <v>171</v>
      </c>
      <c r="J1887" s="76">
        <v>7</v>
      </c>
      <c r="K1887" s="516" t="s">
        <v>386</v>
      </c>
      <c r="L1887" s="517">
        <v>16.84</v>
      </c>
      <c r="M1887" s="517">
        <v>17.5</v>
      </c>
      <c r="N1887" s="518">
        <v>0.10299999999999999</v>
      </c>
      <c r="O1887" s="518">
        <v>0.1</v>
      </c>
      <c r="P1887" s="518">
        <v>0.112</v>
      </c>
      <c r="Q1887" s="78">
        <v>0.44</v>
      </c>
      <c r="R1887" s="78">
        <v>0.31740000000000002</v>
      </c>
      <c r="S1887" s="69">
        <v>0</v>
      </c>
      <c r="T1887" s="69">
        <v>0</v>
      </c>
      <c r="U1887" s="518">
        <v>0.7</v>
      </c>
      <c r="V1887" s="76">
        <v>0</v>
      </c>
      <c r="W1887" s="76">
        <v>0</v>
      </c>
      <c r="X1887" s="76"/>
      <c r="Y1887" s="516" t="s">
        <v>470</v>
      </c>
    </row>
    <row r="1888" spans="1:25" x14ac:dyDescent="0.25">
      <c r="A1888" s="75" t="str">
        <f t="shared" si="67"/>
        <v>Pago_de_Hipoteca PROF No_Premier Normal Pago_Fijo_Puntual 6</v>
      </c>
      <c r="B1888" s="75" t="str">
        <f t="shared" si="66"/>
        <v>Pago_de_Hipoteca PROF No_Premier Normal Pago_Fijo_Puntual 6 0.0965</v>
      </c>
      <c r="C1888" s="75" t="s">
        <v>173</v>
      </c>
      <c r="D1888" s="75" t="s">
        <v>169</v>
      </c>
      <c r="E1888" s="75" t="s">
        <v>179</v>
      </c>
      <c r="F1888" s="75" t="s">
        <v>180</v>
      </c>
      <c r="G1888" s="75"/>
      <c r="H1888" s="75"/>
      <c r="I1888" s="75" t="s">
        <v>171</v>
      </c>
      <c r="J1888" s="76">
        <v>6</v>
      </c>
      <c r="K1888" s="516" t="s">
        <v>385</v>
      </c>
      <c r="L1888" s="517">
        <v>18.41</v>
      </c>
      <c r="M1888" s="517">
        <v>19.07</v>
      </c>
      <c r="N1888" s="518">
        <v>9.6500000000000002E-2</v>
      </c>
      <c r="O1888" s="518">
        <v>9.1999999999999998E-2</v>
      </c>
      <c r="P1888" s="518">
        <v>0.10249999999999999</v>
      </c>
      <c r="Q1888" s="78">
        <v>0.44</v>
      </c>
      <c r="R1888" s="78">
        <v>0.31740000000000002</v>
      </c>
      <c r="S1888" s="69">
        <v>0</v>
      </c>
      <c r="T1888" s="69">
        <v>0</v>
      </c>
      <c r="U1888" s="518">
        <v>0.7</v>
      </c>
      <c r="V1888" s="76">
        <v>0</v>
      </c>
      <c r="W1888" s="76">
        <v>0</v>
      </c>
      <c r="X1888" s="76"/>
      <c r="Y1888" s="516" t="s">
        <v>470</v>
      </c>
    </row>
    <row r="1889" spans="1:25" x14ac:dyDescent="0.25">
      <c r="A1889" s="75" t="str">
        <f t="shared" si="67"/>
        <v>Pago_de_Hipoteca PROF No_Premier Normal Pago_Fijo_Puntual 6</v>
      </c>
      <c r="B1889" s="75" t="str">
        <f t="shared" si="66"/>
        <v>Pago_de_Hipoteca PROF No_Premier Normal Pago_Fijo_Puntual 6 0.103</v>
      </c>
      <c r="C1889" s="75" t="s">
        <v>173</v>
      </c>
      <c r="D1889" s="75" t="s">
        <v>169</v>
      </c>
      <c r="E1889" s="75" t="s">
        <v>179</v>
      </c>
      <c r="F1889" s="75" t="s">
        <v>180</v>
      </c>
      <c r="G1889" s="75"/>
      <c r="H1889" s="75"/>
      <c r="I1889" s="75" t="s">
        <v>171</v>
      </c>
      <c r="J1889" s="76">
        <v>6</v>
      </c>
      <c r="K1889" s="516" t="s">
        <v>386</v>
      </c>
      <c r="L1889" s="517">
        <v>18.739999999999998</v>
      </c>
      <c r="M1889" s="517">
        <v>19.399999999999999</v>
      </c>
      <c r="N1889" s="518">
        <v>0.10299999999999999</v>
      </c>
      <c r="O1889" s="518">
        <v>0.1</v>
      </c>
      <c r="P1889" s="518">
        <v>0.112</v>
      </c>
      <c r="Q1889" s="78">
        <v>0.44</v>
      </c>
      <c r="R1889" s="78">
        <v>0.31740000000000002</v>
      </c>
      <c r="S1889" s="69">
        <v>0</v>
      </c>
      <c r="T1889" s="69">
        <v>0</v>
      </c>
      <c r="U1889" s="518">
        <v>0.7</v>
      </c>
      <c r="V1889" s="76">
        <v>0</v>
      </c>
      <c r="W1889" s="76">
        <v>0</v>
      </c>
      <c r="X1889" s="76"/>
      <c r="Y1889" s="516" t="s">
        <v>470</v>
      </c>
    </row>
    <row r="1890" spans="1:25" x14ac:dyDescent="0.25">
      <c r="A1890" s="75" t="str">
        <f t="shared" si="67"/>
        <v>Pago_de_Hipoteca PROF No_Premier Normal Pago_Fijo_Puntual 5</v>
      </c>
      <c r="B1890" s="75" t="str">
        <f t="shared" si="66"/>
        <v>Pago_de_Hipoteca PROF No_Premier Normal Pago_Fijo_Puntual 5 0.0965</v>
      </c>
      <c r="C1890" s="75" t="s">
        <v>173</v>
      </c>
      <c r="D1890" s="75" t="s">
        <v>169</v>
      </c>
      <c r="E1890" s="75" t="s">
        <v>179</v>
      </c>
      <c r="F1890" s="75" t="s">
        <v>180</v>
      </c>
      <c r="G1890" s="75"/>
      <c r="H1890" s="75"/>
      <c r="I1890" s="75" t="s">
        <v>171</v>
      </c>
      <c r="J1890" s="76">
        <v>5</v>
      </c>
      <c r="K1890" s="516" t="s">
        <v>385</v>
      </c>
      <c r="L1890" s="517">
        <v>21.12</v>
      </c>
      <c r="M1890" s="517">
        <v>21.78</v>
      </c>
      <c r="N1890" s="518">
        <v>9.6500000000000002E-2</v>
      </c>
      <c r="O1890" s="518">
        <v>9.1999999999999998E-2</v>
      </c>
      <c r="P1890" s="518">
        <v>0.10249999999999999</v>
      </c>
      <c r="Q1890" s="78">
        <v>0.44</v>
      </c>
      <c r="R1890" s="78">
        <v>0.31740000000000002</v>
      </c>
      <c r="S1890" s="69">
        <v>0</v>
      </c>
      <c r="T1890" s="69">
        <v>0</v>
      </c>
      <c r="U1890" s="518">
        <v>0.7</v>
      </c>
      <c r="V1890" s="76">
        <v>0</v>
      </c>
      <c r="W1890" s="76">
        <v>0</v>
      </c>
      <c r="X1890" s="76"/>
      <c r="Y1890" s="516" t="s">
        <v>470</v>
      </c>
    </row>
    <row r="1891" spans="1:25" x14ac:dyDescent="0.25">
      <c r="A1891" s="75" t="str">
        <f t="shared" si="67"/>
        <v>Pago_de_Hipoteca PROF No_Premier Normal Pago_Fijo_Puntual 5</v>
      </c>
      <c r="B1891" s="75" t="str">
        <f t="shared" si="66"/>
        <v>Pago_de_Hipoteca PROF No_Premier Normal Pago_Fijo_Puntual 5 0.103</v>
      </c>
      <c r="C1891" s="75" t="s">
        <v>173</v>
      </c>
      <c r="D1891" s="75" t="s">
        <v>169</v>
      </c>
      <c r="E1891" s="75" t="s">
        <v>179</v>
      </c>
      <c r="F1891" s="75" t="s">
        <v>180</v>
      </c>
      <c r="G1891" s="75"/>
      <c r="H1891" s="75"/>
      <c r="I1891" s="75" t="s">
        <v>171</v>
      </c>
      <c r="J1891" s="76">
        <v>5</v>
      </c>
      <c r="K1891" s="516" t="s">
        <v>386</v>
      </c>
      <c r="L1891" s="517">
        <v>21.44</v>
      </c>
      <c r="M1891" s="517">
        <v>22.1</v>
      </c>
      <c r="N1891" s="518">
        <v>0.10299999999999999</v>
      </c>
      <c r="O1891" s="518">
        <v>0.1</v>
      </c>
      <c r="P1891" s="518">
        <v>0.112</v>
      </c>
      <c r="Q1891" s="78">
        <v>0.44</v>
      </c>
      <c r="R1891" s="78">
        <v>0.31740000000000002</v>
      </c>
      <c r="S1891" s="69">
        <v>0</v>
      </c>
      <c r="T1891" s="69">
        <v>0</v>
      </c>
      <c r="U1891" s="518">
        <v>0.7</v>
      </c>
      <c r="V1891" s="76">
        <v>0</v>
      </c>
      <c r="W1891" s="76">
        <v>0</v>
      </c>
      <c r="X1891" s="76"/>
      <c r="Y1891" s="516" t="s">
        <v>470</v>
      </c>
    </row>
    <row r="1892" spans="1:25" x14ac:dyDescent="0.25">
      <c r="A1892" s="75" t="str">
        <f t="shared" si="67"/>
        <v>Pago_de_Hipoteca PROF No_Premier Normal Pago_Bajo_Puntual 20</v>
      </c>
      <c r="B1892" s="75" t="str">
        <f t="shared" si="66"/>
        <v>Pago_de_Hipoteca PROF No_Premier Normal Pago_Bajo_Puntual 20 0.0965</v>
      </c>
      <c r="C1892" s="75" t="s">
        <v>173</v>
      </c>
      <c r="D1892" s="75" t="s">
        <v>169</v>
      </c>
      <c r="E1892" s="75" t="s">
        <v>179</v>
      </c>
      <c r="F1892" s="75" t="s">
        <v>180</v>
      </c>
      <c r="G1892" s="75"/>
      <c r="H1892" s="75"/>
      <c r="I1892" s="75" t="s">
        <v>170</v>
      </c>
      <c r="J1892" s="76">
        <v>20</v>
      </c>
      <c r="K1892" s="516" t="s">
        <v>385</v>
      </c>
      <c r="L1892" s="517">
        <v>8.52</v>
      </c>
      <c r="M1892" s="517">
        <v>9.18</v>
      </c>
      <c r="N1892" s="518">
        <v>9.6500000000000002E-2</v>
      </c>
      <c r="O1892" s="518">
        <v>9.1999999999999998E-2</v>
      </c>
      <c r="P1892" s="518">
        <v>0.10249999999999999</v>
      </c>
      <c r="Q1892" s="78">
        <v>0.44</v>
      </c>
      <c r="R1892" s="78">
        <v>0.31740000000000002</v>
      </c>
      <c r="S1892" s="69">
        <v>0</v>
      </c>
      <c r="T1892" s="69">
        <v>0</v>
      </c>
      <c r="U1892" s="518">
        <v>0.7</v>
      </c>
      <c r="V1892" s="76">
        <v>0</v>
      </c>
      <c r="W1892" s="76">
        <v>0</v>
      </c>
      <c r="X1892" s="76"/>
      <c r="Y1892" s="516" t="s">
        <v>470</v>
      </c>
    </row>
    <row r="1893" spans="1:25" x14ac:dyDescent="0.25">
      <c r="A1893" s="75" t="str">
        <f t="shared" si="67"/>
        <v>Pago_de_Hipoteca PROF No_Premier Normal Pago_Bajo_Puntual 20</v>
      </c>
      <c r="B1893" s="75" t="str">
        <f t="shared" si="66"/>
        <v>Pago_de_Hipoteca PROF No_Premier Normal Pago_Bajo_Puntual 20 0.103</v>
      </c>
      <c r="C1893" s="75" t="s">
        <v>173</v>
      </c>
      <c r="D1893" s="75" t="s">
        <v>169</v>
      </c>
      <c r="E1893" s="75" t="s">
        <v>179</v>
      </c>
      <c r="F1893" s="75" t="s">
        <v>180</v>
      </c>
      <c r="G1893" s="75"/>
      <c r="H1893" s="75"/>
      <c r="I1893" s="75" t="s">
        <v>170</v>
      </c>
      <c r="J1893" s="76">
        <v>20</v>
      </c>
      <c r="K1893" s="516" t="s">
        <v>386</v>
      </c>
      <c r="L1893" s="517">
        <v>9</v>
      </c>
      <c r="M1893" s="517">
        <v>9.66</v>
      </c>
      <c r="N1893" s="518">
        <v>0.10299999999999999</v>
      </c>
      <c r="O1893" s="518">
        <v>0.1</v>
      </c>
      <c r="P1893" s="518">
        <v>0.112</v>
      </c>
      <c r="Q1893" s="78">
        <v>0.44</v>
      </c>
      <c r="R1893" s="78">
        <v>0.31740000000000002</v>
      </c>
      <c r="S1893" s="69">
        <v>0</v>
      </c>
      <c r="T1893" s="69">
        <v>0</v>
      </c>
      <c r="U1893" s="518">
        <v>0.7</v>
      </c>
      <c r="V1893" s="76">
        <v>0</v>
      </c>
      <c r="W1893" s="76">
        <v>0</v>
      </c>
      <c r="X1893" s="76"/>
      <c r="Y1893" s="516" t="s">
        <v>470</v>
      </c>
    </row>
    <row r="1894" spans="1:25" x14ac:dyDescent="0.25">
      <c r="A1894" s="75" t="str">
        <f t="shared" si="67"/>
        <v>Pago_de_Hipoteca PROF No_Premier Normal Pago_Bajo_Puntual 19</v>
      </c>
      <c r="B1894" s="75" t="str">
        <f t="shared" si="66"/>
        <v>Pago_de_Hipoteca PROF No_Premier Normal Pago_Bajo_Puntual 19 0.0965</v>
      </c>
      <c r="C1894" s="75" t="s">
        <v>173</v>
      </c>
      <c r="D1894" s="75" t="s">
        <v>169</v>
      </c>
      <c r="E1894" s="75" t="s">
        <v>179</v>
      </c>
      <c r="F1894" s="75" t="s">
        <v>180</v>
      </c>
      <c r="G1894" s="75"/>
      <c r="H1894" s="75"/>
      <c r="I1894" s="75" t="s">
        <v>170</v>
      </c>
      <c r="J1894" s="76">
        <v>19</v>
      </c>
      <c r="K1894" s="516" t="s">
        <v>385</v>
      </c>
      <c r="L1894" s="517">
        <v>8.6999999999999993</v>
      </c>
      <c r="M1894" s="517">
        <v>9.36</v>
      </c>
      <c r="N1894" s="518">
        <v>9.6500000000000002E-2</v>
      </c>
      <c r="O1894" s="518">
        <v>9.1999999999999998E-2</v>
      </c>
      <c r="P1894" s="518">
        <v>0.10249999999999999</v>
      </c>
      <c r="Q1894" s="78">
        <v>0.44</v>
      </c>
      <c r="R1894" s="78">
        <v>0.31740000000000002</v>
      </c>
      <c r="S1894" s="69">
        <v>0</v>
      </c>
      <c r="T1894" s="69">
        <v>0</v>
      </c>
      <c r="U1894" s="518">
        <v>0.7</v>
      </c>
      <c r="V1894" s="76">
        <v>0</v>
      </c>
      <c r="W1894" s="76">
        <v>0</v>
      </c>
      <c r="X1894" s="76"/>
      <c r="Y1894" s="516" t="s">
        <v>470</v>
      </c>
    </row>
    <row r="1895" spans="1:25" x14ac:dyDescent="0.25">
      <c r="A1895" s="75" t="str">
        <f t="shared" si="67"/>
        <v>Pago_de_Hipoteca PROF No_Premier Normal Pago_Bajo_Puntual 19</v>
      </c>
      <c r="B1895" s="75" t="str">
        <f t="shared" si="66"/>
        <v>Pago_de_Hipoteca PROF No_Premier Normal Pago_Bajo_Puntual 19 0.103</v>
      </c>
      <c r="C1895" s="75" t="s">
        <v>173</v>
      </c>
      <c r="D1895" s="75" t="s">
        <v>169</v>
      </c>
      <c r="E1895" s="75" t="s">
        <v>179</v>
      </c>
      <c r="F1895" s="75" t="s">
        <v>180</v>
      </c>
      <c r="G1895" s="75"/>
      <c r="H1895" s="75"/>
      <c r="I1895" s="75" t="s">
        <v>170</v>
      </c>
      <c r="J1895" s="76">
        <v>19</v>
      </c>
      <c r="K1895" s="516" t="s">
        <v>386</v>
      </c>
      <c r="L1895" s="517">
        <v>9.17</v>
      </c>
      <c r="M1895" s="517">
        <v>9.83</v>
      </c>
      <c r="N1895" s="518">
        <v>0.10299999999999999</v>
      </c>
      <c r="O1895" s="518">
        <v>0.1</v>
      </c>
      <c r="P1895" s="518">
        <v>0.112</v>
      </c>
      <c r="Q1895" s="78">
        <v>0.44</v>
      </c>
      <c r="R1895" s="78">
        <v>0.31740000000000002</v>
      </c>
      <c r="S1895" s="69">
        <v>0</v>
      </c>
      <c r="T1895" s="69">
        <v>0</v>
      </c>
      <c r="U1895" s="518">
        <v>0.7</v>
      </c>
      <c r="V1895" s="76">
        <v>0</v>
      </c>
      <c r="W1895" s="76">
        <v>0</v>
      </c>
      <c r="X1895" s="76"/>
      <c r="Y1895" s="516" t="s">
        <v>470</v>
      </c>
    </row>
    <row r="1896" spans="1:25" x14ac:dyDescent="0.25">
      <c r="A1896" s="75" t="str">
        <f t="shared" si="67"/>
        <v>Pago_de_Hipoteca PROF No_Premier Normal Pago_Bajo_Puntual 18</v>
      </c>
      <c r="B1896" s="75" t="str">
        <f t="shared" si="66"/>
        <v>Pago_de_Hipoteca PROF No_Premier Normal Pago_Bajo_Puntual 18 0.0965</v>
      </c>
      <c r="C1896" s="75" t="s">
        <v>173</v>
      </c>
      <c r="D1896" s="75" t="s">
        <v>169</v>
      </c>
      <c r="E1896" s="75" t="s">
        <v>179</v>
      </c>
      <c r="F1896" s="75" t="s">
        <v>180</v>
      </c>
      <c r="G1896" s="75"/>
      <c r="H1896" s="75"/>
      <c r="I1896" s="75" t="s">
        <v>170</v>
      </c>
      <c r="J1896" s="76">
        <v>18</v>
      </c>
      <c r="K1896" s="516" t="s">
        <v>385</v>
      </c>
      <c r="L1896" s="517">
        <v>8.9</v>
      </c>
      <c r="M1896" s="517">
        <v>9.56</v>
      </c>
      <c r="N1896" s="518">
        <v>9.6500000000000002E-2</v>
      </c>
      <c r="O1896" s="518">
        <v>9.1999999999999998E-2</v>
      </c>
      <c r="P1896" s="518">
        <v>0.10249999999999999</v>
      </c>
      <c r="Q1896" s="78">
        <v>0.44</v>
      </c>
      <c r="R1896" s="78">
        <v>0.31740000000000002</v>
      </c>
      <c r="S1896" s="69">
        <v>0</v>
      </c>
      <c r="T1896" s="69">
        <v>0</v>
      </c>
      <c r="U1896" s="518">
        <v>0.7</v>
      </c>
      <c r="V1896" s="76">
        <v>0</v>
      </c>
      <c r="W1896" s="76">
        <v>0</v>
      </c>
      <c r="X1896" s="76"/>
      <c r="Y1896" s="516" t="s">
        <v>470</v>
      </c>
    </row>
    <row r="1897" spans="1:25" x14ac:dyDescent="0.25">
      <c r="A1897" s="75" t="str">
        <f t="shared" si="67"/>
        <v>Pago_de_Hipoteca PROF No_Premier Normal Pago_Bajo_Puntual 18</v>
      </c>
      <c r="B1897" s="75" t="str">
        <f t="shared" si="66"/>
        <v>Pago_de_Hipoteca PROF No_Premier Normal Pago_Bajo_Puntual 18 0.103</v>
      </c>
      <c r="C1897" s="75" t="s">
        <v>173</v>
      </c>
      <c r="D1897" s="75" t="s">
        <v>169</v>
      </c>
      <c r="E1897" s="75" t="s">
        <v>179</v>
      </c>
      <c r="F1897" s="75" t="s">
        <v>180</v>
      </c>
      <c r="G1897" s="75"/>
      <c r="H1897" s="75"/>
      <c r="I1897" s="75" t="s">
        <v>170</v>
      </c>
      <c r="J1897" s="76">
        <v>18</v>
      </c>
      <c r="K1897" s="516" t="s">
        <v>386</v>
      </c>
      <c r="L1897" s="517">
        <v>9.36</v>
      </c>
      <c r="M1897" s="517">
        <v>10.02</v>
      </c>
      <c r="N1897" s="518">
        <v>0.10299999999999999</v>
      </c>
      <c r="O1897" s="518">
        <v>0.1</v>
      </c>
      <c r="P1897" s="518">
        <v>0.112</v>
      </c>
      <c r="Q1897" s="78">
        <v>0.44</v>
      </c>
      <c r="R1897" s="78">
        <v>0.31740000000000002</v>
      </c>
      <c r="S1897" s="69">
        <v>0</v>
      </c>
      <c r="T1897" s="69">
        <v>0</v>
      </c>
      <c r="U1897" s="518">
        <v>0.7</v>
      </c>
      <c r="V1897" s="76">
        <v>0</v>
      </c>
      <c r="W1897" s="76">
        <v>0</v>
      </c>
      <c r="X1897" s="76"/>
      <c r="Y1897" s="516" t="s">
        <v>470</v>
      </c>
    </row>
    <row r="1898" spans="1:25" x14ac:dyDescent="0.25">
      <c r="A1898" s="75" t="str">
        <f t="shared" si="67"/>
        <v>Pago_de_Hipoteca PROF No_Premier Normal Pago_Bajo_Puntual 17</v>
      </c>
      <c r="B1898" s="75" t="str">
        <f t="shared" si="66"/>
        <v>Pago_de_Hipoteca PROF No_Premier Normal Pago_Bajo_Puntual 17 0.0965</v>
      </c>
      <c r="C1898" s="75" t="s">
        <v>173</v>
      </c>
      <c r="D1898" s="75" t="s">
        <v>169</v>
      </c>
      <c r="E1898" s="75" t="s">
        <v>179</v>
      </c>
      <c r="F1898" s="75" t="s">
        <v>180</v>
      </c>
      <c r="G1898" s="75"/>
      <c r="H1898" s="75"/>
      <c r="I1898" s="75" t="s">
        <v>170</v>
      </c>
      <c r="J1898" s="76">
        <v>17</v>
      </c>
      <c r="K1898" s="516" t="s">
        <v>385</v>
      </c>
      <c r="L1898" s="517">
        <v>9.1300000000000008</v>
      </c>
      <c r="M1898" s="517">
        <v>9.7899999999999991</v>
      </c>
      <c r="N1898" s="518">
        <v>9.6500000000000002E-2</v>
      </c>
      <c r="O1898" s="518">
        <v>9.1999999999999998E-2</v>
      </c>
      <c r="P1898" s="518">
        <v>0.10249999999999999</v>
      </c>
      <c r="Q1898" s="78">
        <v>0.44</v>
      </c>
      <c r="R1898" s="78">
        <v>0.31740000000000002</v>
      </c>
      <c r="S1898" s="69">
        <v>0</v>
      </c>
      <c r="T1898" s="69">
        <v>0</v>
      </c>
      <c r="U1898" s="518">
        <v>0.7</v>
      </c>
      <c r="V1898" s="76">
        <v>0</v>
      </c>
      <c r="W1898" s="76">
        <v>0</v>
      </c>
      <c r="X1898" s="76"/>
      <c r="Y1898" s="516" t="s">
        <v>470</v>
      </c>
    </row>
    <row r="1899" spans="1:25" x14ac:dyDescent="0.25">
      <c r="A1899" s="75" t="str">
        <f t="shared" si="67"/>
        <v>Pago_de_Hipoteca PROF No_Premier Normal Pago_Bajo_Puntual 17</v>
      </c>
      <c r="B1899" s="75" t="str">
        <f t="shared" si="66"/>
        <v>Pago_de_Hipoteca PROF No_Premier Normal Pago_Bajo_Puntual 17 0.103</v>
      </c>
      <c r="C1899" s="75" t="s">
        <v>173</v>
      </c>
      <c r="D1899" s="75" t="s">
        <v>169</v>
      </c>
      <c r="E1899" s="75" t="s">
        <v>179</v>
      </c>
      <c r="F1899" s="75" t="s">
        <v>180</v>
      </c>
      <c r="G1899" s="75"/>
      <c r="H1899" s="75"/>
      <c r="I1899" s="75" t="s">
        <v>170</v>
      </c>
      <c r="J1899" s="76">
        <v>17</v>
      </c>
      <c r="K1899" s="516" t="s">
        <v>386</v>
      </c>
      <c r="L1899" s="517">
        <v>9.58</v>
      </c>
      <c r="M1899" s="517">
        <v>10.24</v>
      </c>
      <c r="N1899" s="518">
        <v>0.10299999999999999</v>
      </c>
      <c r="O1899" s="518">
        <v>0.1</v>
      </c>
      <c r="P1899" s="518">
        <v>0.112</v>
      </c>
      <c r="Q1899" s="78">
        <v>0.44</v>
      </c>
      <c r="R1899" s="78">
        <v>0.31740000000000002</v>
      </c>
      <c r="S1899" s="69">
        <v>0</v>
      </c>
      <c r="T1899" s="69">
        <v>0</v>
      </c>
      <c r="U1899" s="518">
        <v>0.7</v>
      </c>
      <c r="V1899" s="76">
        <v>0</v>
      </c>
      <c r="W1899" s="76">
        <v>0</v>
      </c>
      <c r="X1899" s="76"/>
      <c r="Y1899" s="516" t="s">
        <v>470</v>
      </c>
    </row>
    <row r="1900" spans="1:25" x14ac:dyDescent="0.25">
      <c r="A1900" s="75" t="str">
        <f t="shared" si="67"/>
        <v>Pago_de_Hipoteca PROF No_Premier Normal Pago_Bajo_Puntual 16</v>
      </c>
      <c r="B1900" s="75" t="str">
        <f t="shared" si="66"/>
        <v>Pago_de_Hipoteca PROF No_Premier Normal Pago_Bajo_Puntual 16 0.0965</v>
      </c>
      <c r="C1900" s="75" t="s">
        <v>173</v>
      </c>
      <c r="D1900" s="75" t="s">
        <v>169</v>
      </c>
      <c r="E1900" s="75" t="s">
        <v>179</v>
      </c>
      <c r="F1900" s="75" t="s">
        <v>180</v>
      </c>
      <c r="G1900" s="75"/>
      <c r="H1900" s="75"/>
      <c r="I1900" s="75" t="s">
        <v>170</v>
      </c>
      <c r="J1900" s="76">
        <v>16</v>
      </c>
      <c r="K1900" s="516" t="s">
        <v>385</v>
      </c>
      <c r="L1900" s="517">
        <v>9.39</v>
      </c>
      <c r="M1900" s="517">
        <v>10.050000000000001</v>
      </c>
      <c r="N1900" s="518">
        <v>9.6500000000000002E-2</v>
      </c>
      <c r="O1900" s="518">
        <v>9.1999999999999998E-2</v>
      </c>
      <c r="P1900" s="518">
        <v>0.10249999999999999</v>
      </c>
      <c r="Q1900" s="78">
        <v>0.44</v>
      </c>
      <c r="R1900" s="78">
        <v>0.31740000000000002</v>
      </c>
      <c r="S1900" s="69">
        <v>0</v>
      </c>
      <c r="T1900" s="69">
        <v>0</v>
      </c>
      <c r="U1900" s="518">
        <v>0.7</v>
      </c>
      <c r="V1900" s="76">
        <v>0</v>
      </c>
      <c r="W1900" s="76">
        <v>0</v>
      </c>
      <c r="X1900" s="76"/>
      <c r="Y1900" s="516" t="s">
        <v>470</v>
      </c>
    </row>
    <row r="1901" spans="1:25" x14ac:dyDescent="0.25">
      <c r="A1901" s="75" t="str">
        <f t="shared" si="67"/>
        <v>Pago_de_Hipoteca PROF No_Premier Normal Pago_Bajo_Puntual 16</v>
      </c>
      <c r="B1901" s="75" t="str">
        <f t="shared" si="66"/>
        <v>Pago_de_Hipoteca PROF No_Premier Normal Pago_Bajo_Puntual 16 0.103</v>
      </c>
      <c r="C1901" s="75" t="s">
        <v>173</v>
      </c>
      <c r="D1901" s="75" t="s">
        <v>169</v>
      </c>
      <c r="E1901" s="75" t="s">
        <v>179</v>
      </c>
      <c r="F1901" s="75" t="s">
        <v>180</v>
      </c>
      <c r="G1901" s="75"/>
      <c r="H1901" s="75"/>
      <c r="I1901" s="75" t="s">
        <v>170</v>
      </c>
      <c r="J1901" s="76">
        <v>16</v>
      </c>
      <c r="K1901" s="516" t="s">
        <v>386</v>
      </c>
      <c r="L1901" s="517">
        <v>9.83</v>
      </c>
      <c r="M1901" s="517">
        <v>10.49</v>
      </c>
      <c r="N1901" s="518">
        <v>0.10299999999999999</v>
      </c>
      <c r="O1901" s="518">
        <v>0.1</v>
      </c>
      <c r="P1901" s="518">
        <v>0.112</v>
      </c>
      <c r="Q1901" s="78">
        <v>0.44</v>
      </c>
      <c r="R1901" s="78">
        <v>0.31740000000000002</v>
      </c>
      <c r="S1901" s="69">
        <v>0</v>
      </c>
      <c r="T1901" s="69">
        <v>0</v>
      </c>
      <c r="U1901" s="518">
        <v>0.7</v>
      </c>
      <c r="V1901" s="76">
        <v>0</v>
      </c>
      <c r="W1901" s="76">
        <v>0</v>
      </c>
      <c r="X1901" s="76"/>
      <c r="Y1901" s="516" t="s">
        <v>470</v>
      </c>
    </row>
    <row r="1902" spans="1:25" x14ac:dyDescent="0.25">
      <c r="A1902" s="75" t="str">
        <f t="shared" si="67"/>
        <v>Pago_de_Hipoteca PROF No_Premier Normal Pago_Bajo_Puntual 15</v>
      </c>
      <c r="B1902" s="75" t="str">
        <f t="shared" si="66"/>
        <v>Pago_de_Hipoteca PROF No_Premier Normal Pago_Bajo_Puntual 15 0.0965</v>
      </c>
      <c r="C1902" s="75" t="s">
        <v>173</v>
      </c>
      <c r="D1902" s="75" t="s">
        <v>169</v>
      </c>
      <c r="E1902" s="75" t="s">
        <v>179</v>
      </c>
      <c r="F1902" s="75" t="s">
        <v>180</v>
      </c>
      <c r="G1902" s="75"/>
      <c r="H1902" s="75"/>
      <c r="I1902" s="75" t="s">
        <v>170</v>
      </c>
      <c r="J1902" s="76">
        <v>15</v>
      </c>
      <c r="K1902" s="516" t="s">
        <v>385</v>
      </c>
      <c r="L1902" s="517">
        <v>9.6999999999999993</v>
      </c>
      <c r="M1902" s="517">
        <v>10.36</v>
      </c>
      <c r="N1902" s="518">
        <v>9.6500000000000002E-2</v>
      </c>
      <c r="O1902" s="518">
        <v>9.1999999999999998E-2</v>
      </c>
      <c r="P1902" s="518">
        <v>0.10249999999999999</v>
      </c>
      <c r="Q1902" s="78">
        <v>0.44</v>
      </c>
      <c r="R1902" s="78">
        <v>0.31740000000000002</v>
      </c>
      <c r="S1902" s="69">
        <v>0</v>
      </c>
      <c r="T1902" s="69">
        <v>0</v>
      </c>
      <c r="U1902" s="518">
        <v>0.7</v>
      </c>
      <c r="V1902" s="76">
        <v>0</v>
      </c>
      <c r="W1902" s="76">
        <v>0</v>
      </c>
      <c r="X1902" s="76"/>
      <c r="Y1902" s="516" t="s">
        <v>470</v>
      </c>
    </row>
    <row r="1903" spans="1:25" x14ac:dyDescent="0.25">
      <c r="A1903" s="75" t="str">
        <f t="shared" si="67"/>
        <v>Pago_de_Hipoteca PROF No_Premier Normal Pago_Bajo_Puntual 15</v>
      </c>
      <c r="B1903" s="75" t="str">
        <f t="shared" si="66"/>
        <v>Pago_de_Hipoteca PROF No_Premier Normal Pago_Bajo_Puntual 15 0.103</v>
      </c>
      <c r="C1903" s="75" t="s">
        <v>173</v>
      </c>
      <c r="D1903" s="75" t="s">
        <v>169</v>
      </c>
      <c r="E1903" s="75" t="s">
        <v>179</v>
      </c>
      <c r="F1903" s="75" t="s">
        <v>180</v>
      </c>
      <c r="G1903" s="75"/>
      <c r="H1903" s="75"/>
      <c r="I1903" s="75" t="s">
        <v>170</v>
      </c>
      <c r="J1903" s="76">
        <v>15</v>
      </c>
      <c r="K1903" s="516" t="s">
        <v>386</v>
      </c>
      <c r="L1903" s="517">
        <v>10.119999999999999</v>
      </c>
      <c r="M1903" s="517">
        <v>10.78</v>
      </c>
      <c r="N1903" s="518">
        <v>0.10299999999999999</v>
      </c>
      <c r="O1903" s="518">
        <v>0.1</v>
      </c>
      <c r="P1903" s="518">
        <v>0.112</v>
      </c>
      <c r="Q1903" s="78">
        <v>0.44</v>
      </c>
      <c r="R1903" s="78">
        <v>0.31740000000000002</v>
      </c>
      <c r="S1903" s="69">
        <v>0</v>
      </c>
      <c r="T1903" s="69">
        <v>0</v>
      </c>
      <c r="U1903" s="518">
        <v>0.7</v>
      </c>
      <c r="V1903" s="76">
        <v>0</v>
      </c>
      <c r="W1903" s="76">
        <v>0</v>
      </c>
      <c r="X1903" s="76"/>
      <c r="Y1903" s="516" t="s">
        <v>470</v>
      </c>
    </row>
    <row r="1904" spans="1:25" x14ac:dyDescent="0.25">
      <c r="A1904" s="75" t="str">
        <f t="shared" si="67"/>
        <v>Pago_de_Hipoteca PROF No_Premier Normal Pago_Bajo_Puntual 14</v>
      </c>
      <c r="B1904" s="75" t="str">
        <f t="shared" si="66"/>
        <v>Pago_de_Hipoteca PROF No_Premier Normal Pago_Bajo_Puntual 14 0.0965</v>
      </c>
      <c r="C1904" s="75" t="s">
        <v>173</v>
      </c>
      <c r="D1904" s="75" t="s">
        <v>169</v>
      </c>
      <c r="E1904" s="75" t="s">
        <v>179</v>
      </c>
      <c r="F1904" s="75" t="s">
        <v>180</v>
      </c>
      <c r="G1904" s="75"/>
      <c r="H1904" s="75"/>
      <c r="I1904" s="75" t="s">
        <v>170</v>
      </c>
      <c r="J1904" s="76">
        <v>14</v>
      </c>
      <c r="K1904" s="516" t="s">
        <v>385</v>
      </c>
      <c r="L1904" s="517">
        <v>10.050000000000001</v>
      </c>
      <c r="M1904" s="517">
        <v>10.71</v>
      </c>
      <c r="N1904" s="518">
        <v>9.6500000000000002E-2</v>
      </c>
      <c r="O1904" s="518">
        <v>9.1999999999999998E-2</v>
      </c>
      <c r="P1904" s="518">
        <v>0.10249999999999999</v>
      </c>
      <c r="Q1904" s="78">
        <v>0.44</v>
      </c>
      <c r="R1904" s="78">
        <v>0.31740000000000002</v>
      </c>
      <c r="S1904" s="69">
        <v>0</v>
      </c>
      <c r="T1904" s="69">
        <v>0</v>
      </c>
      <c r="U1904" s="518">
        <v>0.7</v>
      </c>
      <c r="V1904" s="76">
        <v>0</v>
      </c>
      <c r="W1904" s="76">
        <v>0</v>
      </c>
      <c r="X1904" s="76"/>
      <c r="Y1904" s="516" t="s">
        <v>470</v>
      </c>
    </row>
    <row r="1905" spans="1:25" x14ac:dyDescent="0.25">
      <c r="A1905" s="75" t="str">
        <f t="shared" si="67"/>
        <v>Pago_de_Hipoteca PROF No_Premier Normal Pago_Bajo_Puntual 14</v>
      </c>
      <c r="B1905" s="75" t="str">
        <f t="shared" si="66"/>
        <v>Pago_de_Hipoteca PROF No_Premier Normal Pago_Bajo_Puntual 14 0.103</v>
      </c>
      <c r="C1905" s="75" t="s">
        <v>173</v>
      </c>
      <c r="D1905" s="75" t="s">
        <v>169</v>
      </c>
      <c r="E1905" s="75" t="s">
        <v>179</v>
      </c>
      <c r="F1905" s="75" t="s">
        <v>180</v>
      </c>
      <c r="G1905" s="75"/>
      <c r="H1905" s="75"/>
      <c r="I1905" s="75" t="s">
        <v>170</v>
      </c>
      <c r="J1905" s="76">
        <v>14</v>
      </c>
      <c r="K1905" s="516" t="s">
        <v>386</v>
      </c>
      <c r="L1905" s="517">
        <v>10.46</v>
      </c>
      <c r="M1905" s="517">
        <v>11.12</v>
      </c>
      <c r="N1905" s="518">
        <v>0.10299999999999999</v>
      </c>
      <c r="O1905" s="518">
        <v>0.1</v>
      </c>
      <c r="P1905" s="518">
        <v>0.112</v>
      </c>
      <c r="Q1905" s="78">
        <v>0.44</v>
      </c>
      <c r="R1905" s="78">
        <v>0.31740000000000002</v>
      </c>
      <c r="S1905" s="69">
        <v>0</v>
      </c>
      <c r="T1905" s="69">
        <v>0</v>
      </c>
      <c r="U1905" s="518">
        <v>0.7</v>
      </c>
      <c r="V1905" s="76">
        <v>0</v>
      </c>
      <c r="W1905" s="76">
        <v>0</v>
      </c>
      <c r="X1905" s="76"/>
      <c r="Y1905" s="516" t="s">
        <v>470</v>
      </c>
    </row>
    <row r="1906" spans="1:25" x14ac:dyDescent="0.25">
      <c r="A1906" s="75" t="str">
        <f t="shared" si="67"/>
        <v>Pago_de_Hipoteca PROF No_Premier Normal Pago_Bajo_Puntual 13</v>
      </c>
      <c r="B1906" s="75" t="str">
        <f t="shared" si="66"/>
        <v>Pago_de_Hipoteca PROF No_Premier Normal Pago_Bajo_Puntual 13 0.0965</v>
      </c>
      <c r="C1906" s="75" t="s">
        <v>173</v>
      </c>
      <c r="D1906" s="75" t="s">
        <v>169</v>
      </c>
      <c r="E1906" s="75" t="s">
        <v>179</v>
      </c>
      <c r="F1906" s="75" t="s">
        <v>180</v>
      </c>
      <c r="G1906" s="75"/>
      <c r="H1906" s="75"/>
      <c r="I1906" s="75" t="s">
        <v>170</v>
      </c>
      <c r="J1906" s="76">
        <v>13</v>
      </c>
      <c r="K1906" s="516" t="s">
        <v>385</v>
      </c>
      <c r="L1906" s="517">
        <v>10.46</v>
      </c>
      <c r="M1906" s="517">
        <v>11.12</v>
      </c>
      <c r="N1906" s="518">
        <v>9.6500000000000002E-2</v>
      </c>
      <c r="O1906" s="518">
        <v>9.1999999999999998E-2</v>
      </c>
      <c r="P1906" s="518">
        <v>0.10249999999999999</v>
      </c>
      <c r="Q1906" s="78">
        <v>0.44</v>
      </c>
      <c r="R1906" s="78">
        <v>0.31740000000000002</v>
      </c>
      <c r="S1906" s="69">
        <v>0</v>
      </c>
      <c r="T1906" s="69">
        <v>0</v>
      </c>
      <c r="U1906" s="518">
        <v>0.7</v>
      </c>
      <c r="V1906" s="76">
        <v>0</v>
      </c>
      <c r="W1906" s="76">
        <v>0</v>
      </c>
      <c r="X1906" s="76"/>
      <c r="Y1906" s="516" t="s">
        <v>470</v>
      </c>
    </row>
    <row r="1907" spans="1:25" x14ac:dyDescent="0.25">
      <c r="A1907" s="75" t="str">
        <f t="shared" si="67"/>
        <v>Pago_de_Hipoteca PROF No_Premier Normal Pago_Bajo_Puntual 13</v>
      </c>
      <c r="B1907" s="75" t="str">
        <f t="shared" si="66"/>
        <v>Pago_de_Hipoteca PROF No_Premier Normal Pago_Bajo_Puntual 13 0.103</v>
      </c>
      <c r="C1907" s="75" t="s">
        <v>173</v>
      </c>
      <c r="D1907" s="75" t="s">
        <v>169</v>
      </c>
      <c r="E1907" s="75" t="s">
        <v>179</v>
      </c>
      <c r="F1907" s="75" t="s">
        <v>180</v>
      </c>
      <c r="G1907" s="75"/>
      <c r="H1907" s="75"/>
      <c r="I1907" s="75" t="s">
        <v>170</v>
      </c>
      <c r="J1907" s="76">
        <v>13</v>
      </c>
      <c r="K1907" s="516" t="s">
        <v>386</v>
      </c>
      <c r="L1907" s="517">
        <v>10.86</v>
      </c>
      <c r="M1907" s="517">
        <v>11.52</v>
      </c>
      <c r="N1907" s="518">
        <v>0.10299999999999999</v>
      </c>
      <c r="O1907" s="518">
        <v>0.1</v>
      </c>
      <c r="P1907" s="518">
        <v>0.112</v>
      </c>
      <c r="Q1907" s="78">
        <v>0.44</v>
      </c>
      <c r="R1907" s="78">
        <v>0.31740000000000002</v>
      </c>
      <c r="S1907" s="69">
        <v>0</v>
      </c>
      <c r="T1907" s="69">
        <v>0</v>
      </c>
      <c r="U1907" s="518">
        <v>0.7</v>
      </c>
      <c r="V1907" s="76">
        <v>0</v>
      </c>
      <c r="W1907" s="76">
        <v>0</v>
      </c>
      <c r="X1907" s="76"/>
      <c r="Y1907" s="516" t="s">
        <v>470</v>
      </c>
    </row>
    <row r="1908" spans="1:25" x14ac:dyDescent="0.25">
      <c r="A1908" s="75" t="str">
        <f t="shared" si="67"/>
        <v>Pago_de_Hipoteca PROF No_Premier Normal Pago_Bajo_Puntual 12</v>
      </c>
      <c r="B1908" s="75" t="str">
        <f t="shared" si="66"/>
        <v>Pago_de_Hipoteca PROF No_Premier Normal Pago_Bajo_Puntual 12 0.0965</v>
      </c>
      <c r="C1908" s="75" t="s">
        <v>173</v>
      </c>
      <c r="D1908" s="75" t="s">
        <v>169</v>
      </c>
      <c r="E1908" s="75" t="s">
        <v>179</v>
      </c>
      <c r="F1908" s="75" t="s">
        <v>180</v>
      </c>
      <c r="G1908" s="75"/>
      <c r="H1908" s="75"/>
      <c r="I1908" s="75" t="s">
        <v>170</v>
      </c>
      <c r="J1908" s="76">
        <v>12</v>
      </c>
      <c r="K1908" s="516" t="s">
        <v>385</v>
      </c>
      <c r="L1908" s="517">
        <v>10.95</v>
      </c>
      <c r="M1908" s="517">
        <v>11.61</v>
      </c>
      <c r="N1908" s="518">
        <v>9.6500000000000002E-2</v>
      </c>
      <c r="O1908" s="518">
        <v>9.1999999999999998E-2</v>
      </c>
      <c r="P1908" s="518">
        <v>0.10249999999999999</v>
      </c>
      <c r="Q1908" s="78">
        <v>0.44</v>
      </c>
      <c r="R1908" s="78">
        <v>0.31740000000000002</v>
      </c>
      <c r="S1908" s="69">
        <v>0</v>
      </c>
      <c r="T1908" s="69">
        <v>0</v>
      </c>
      <c r="U1908" s="518">
        <v>0.7</v>
      </c>
      <c r="V1908" s="76">
        <v>0</v>
      </c>
      <c r="W1908" s="76">
        <v>0</v>
      </c>
      <c r="X1908" s="76"/>
      <c r="Y1908" s="516" t="s">
        <v>470</v>
      </c>
    </row>
    <row r="1909" spans="1:25" x14ac:dyDescent="0.25">
      <c r="A1909" s="75" t="str">
        <f t="shared" si="67"/>
        <v>Pago_de_Hipoteca PROF No_Premier Normal Pago_Bajo_Puntual 12</v>
      </c>
      <c r="B1909" s="75" t="str">
        <f t="shared" si="66"/>
        <v>Pago_de_Hipoteca PROF No_Premier Normal Pago_Bajo_Puntual 12 0.103</v>
      </c>
      <c r="C1909" s="75" t="s">
        <v>173</v>
      </c>
      <c r="D1909" s="75" t="s">
        <v>169</v>
      </c>
      <c r="E1909" s="75" t="s">
        <v>179</v>
      </c>
      <c r="F1909" s="75" t="s">
        <v>180</v>
      </c>
      <c r="G1909" s="75"/>
      <c r="H1909" s="75"/>
      <c r="I1909" s="75" t="s">
        <v>170</v>
      </c>
      <c r="J1909" s="76">
        <v>12</v>
      </c>
      <c r="K1909" s="516" t="s">
        <v>386</v>
      </c>
      <c r="L1909" s="517">
        <v>11.34</v>
      </c>
      <c r="M1909" s="517">
        <v>12</v>
      </c>
      <c r="N1909" s="518">
        <v>0.10299999999999999</v>
      </c>
      <c r="O1909" s="518">
        <v>0.1</v>
      </c>
      <c r="P1909" s="518">
        <v>0.112</v>
      </c>
      <c r="Q1909" s="78">
        <v>0.44</v>
      </c>
      <c r="R1909" s="78">
        <v>0.31740000000000002</v>
      </c>
      <c r="S1909" s="69">
        <v>0</v>
      </c>
      <c r="T1909" s="69">
        <v>0</v>
      </c>
      <c r="U1909" s="518">
        <v>0.7</v>
      </c>
      <c r="V1909" s="76">
        <v>0</v>
      </c>
      <c r="W1909" s="76">
        <v>0</v>
      </c>
      <c r="X1909" s="76"/>
      <c r="Y1909" s="516" t="s">
        <v>470</v>
      </c>
    </row>
    <row r="1910" spans="1:25" x14ac:dyDescent="0.25">
      <c r="A1910" s="75" t="str">
        <f t="shared" si="67"/>
        <v>Pago_de_Hipoteca PROF No_Premier Normal Pago_Bajo_Puntual 11</v>
      </c>
      <c r="B1910" s="75" t="str">
        <f t="shared" si="66"/>
        <v>Pago_de_Hipoteca PROF No_Premier Normal Pago_Bajo_Puntual 11 0.0965</v>
      </c>
      <c r="C1910" s="75" t="s">
        <v>173</v>
      </c>
      <c r="D1910" s="75" t="s">
        <v>169</v>
      </c>
      <c r="E1910" s="75" t="s">
        <v>179</v>
      </c>
      <c r="F1910" s="75" t="s">
        <v>180</v>
      </c>
      <c r="G1910" s="75"/>
      <c r="H1910" s="75"/>
      <c r="I1910" s="75" t="s">
        <v>170</v>
      </c>
      <c r="J1910" s="76">
        <v>11</v>
      </c>
      <c r="K1910" s="516" t="s">
        <v>385</v>
      </c>
      <c r="L1910" s="517">
        <v>11.54</v>
      </c>
      <c r="M1910" s="517">
        <v>12.2</v>
      </c>
      <c r="N1910" s="518">
        <v>9.6500000000000002E-2</v>
      </c>
      <c r="O1910" s="518">
        <v>9.1999999999999998E-2</v>
      </c>
      <c r="P1910" s="518">
        <v>0.10249999999999999</v>
      </c>
      <c r="Q1910" s="78">
        <v>0.44</v>
      </c>
      <c r="R1910" s="78">
        <v>0.31740000000000002</v>
      </c>
      <c r="S1910" s="69">
        <v>0</v>
      </c>
      <c r="T1910" s="69">
        <v>0</v>
      </c>
      <c r="U1910" s="518">
        <v>0.7</v>
      </c>
      <c r="V1910" s="76">
        <v>0</v>
      </c>
      <c r="W1910" s="76">
        <v>0</v>
      </c>
      <c r="X1910" s="76"/>
      <c r="Y1910" s="516" t="s">
        <v>470</v>
      </c>
    </row>
    <row r="1911" spans="1:25" x14ac:dyDescent="0.25">
      <c r="A1911" s="75" t="str">
        <f t="shared" si="67"/>
        <v>Pago_de_Hipoteca PROF No_Premier Normal Pago_Bajo_Puntual 11</v>
      </c>
      <c r="B1911" s="75" t="str">
        <f t="shared" si="66"/>
        <v>Pago_de_Hipoteca PROF No_Premier Normal Pago_Bajo_Puntual 11 0.103</v>
      </c>
      <c r="C1911" s="75" t="s">
        <v>173</v>
      </c>
      <c r="D1911" s="75" t="s">
        <v>169</v>
      </c>
      <c r="E1911" s="75" t="s">
        <v>179</v>
      </c>
      <c r="F1911" s="75" t="s">
        <v>180</v>
      </c>
      <c r="G1911" s="75"/>
      <c r="H1911" s="75"/>
      <c r="I1911" s="75" t="s">
        <v>170</v>
      </c>
      <c r="J1911" s="76">
        <v>11</v>
      </c>
      <c r="K1911" s="516" t="s">
        <v>386</v>
      </c>
      <c r="L1911" s="517">
        <v>11.92</v>
      </c>
      <c r="M1911" s="517">
        <v>12.58</v>
      </c>
      <c r="N1911" s="518">
        <v>0.10299999999999999</v>
      </c>
      <c r="O1911" s="518">
        <v>0.1</v>
      </c>
      <c r="P1911" s="518">
        <v>0.112</v>
      </c>
      <c r="Q1911" s="78">
        <v>0.44</v>
      </c>
      <c r="R1911" s="78">
        <v>0.31740000000000002</v>
      </c>
      <c r="S1911" s="69">
        <v>0</v>
      </c>
      <c r="T1911" s="69">
        <v>0</v>
      </c>
      <c r="U1911" s="518">
        <v>0.7</v>
      </c>
      <c r="V1911" s="76">
        <v>0</v>
      </c>
      <c r="W1911" s="76">
        <v>0</v>
      </c>
      <c r="X1911" s="76"/>
      <c r="Y1911" s="516" t="s">
        <v>470</v>
      </c>
    </row>
    <row r="1912" spans="1:25" x14ac:dyDescent="0.25">
      <c r="A1912" s="75" t="str">
        <f t="shared" si="67"/>
        <v>Pago_de_Hipoteca PROF No_Premier Normal Pago_Bajo_Puntual 10</v>
      </c>
      <c r="B1912" s="75" t="str">
        <f t="shared" si="66"/>
        <v>Pago_de_Hipoteca PROF No_Premier Normal Pago_Bajo_Puntual 10 0.0965</v>
      </c>
      <c r="C1912" s="75" t="s">
        <v>173</v>
      </c>
      <c r="D1912" s="75" t="s">
        <v>169</v>
      </c>
      <c r="E1912" s="75" t="s">
        <v>179</v>
      </c>
      <c r="F1912" s="75" t="s">
        <v>180</v>
      </c>
      <c r="G1912" s="75"/>
      <c r="H1912" s="75"/>
      <c r="I1912" s="75" t="s">
        <v>170</v>
      </c>
      <c r="J1912" s="76">
        <v>10</v>
      </c>
      <c r="K1912" s="516" t="s">
        <v>385</v>
      </c>
      <c r="L1912" s="517">
        <v>12.25</v>
      </c>
      <c r="M1912" s="517">
        <v>12.91</v>
      </c>
      <c r="N1912" s="518">
        <v>9.6500000000000002E-2</v>
      </c>
      <c r="O1912" s="518">
        <v>9.1999999999999998E-2</v>
      </c>
      <c r="P1912" s="518">
        <v>0.10249999999999999</v>
      </c>
      <c r="Q1912" s="78">
        <v>0.44</v>
      </c>
      <c r="R1912" s="78">
        <v>0.31740000000000002</v>
      </c>
      <c r="S1912" s="69">
        <v>0</v>
      </c>
      <c r="T1912" s="69">
        <v>0</v>
      </c>
      <c r="U1912" s="518">
        <v>0.7</v>
      </c>
      <c r="V1912" s="76">
        <v>0</v>
      </c>
      <c r="W1912" s="76">
        <v>0</v>
      </c>
      <c r="X1912" s="76"/>
      <c r="Y1912" s="516" t="s">
        <v>470</v>
      </c>
    </row>
    <row r="1913" spans="1:25" x14ac:dyDescent="0.25">
      <c r="A1913" s="75" t="str">
        <f t="shared" si="67"/>
        <v>Pago_de_Hipoteca PROF No_Premier Normal Pago_Bajo_Puntual 10</v>
      </c>
      <c r="B1913" s="75" t="str">
        <f t="shared" si="66"/>
        <v>Pago_de_Hipoteca PROF No_Premier Normal Pago_Bajo_Puntual 10 0.103</v>
      </c>
      <c r="C1913" s="75" t="s">
        <v>173</v>
      </c>
      <c r="D1913" s="75" t="s">
        <v>169</v>
      </c>
      <c r="E1913" s="75" t="s">
        <v>179</v>
      </c>
      <c r="F1913" s="75" t="s">
        <v>180</v>
      </c>
      <c r="G1913" s="75"/>
      <c r="H1913" s="75"/>
      <c r="I1913" s="75" t="s">
        <v>170</v>
      </c>
      <c r="J1913" s="76">
        <v>10</v>
      </c>
      <c r="K1913" s="516" t="s">
        <v>386</v>
      </c>
      <c r="L1913" s="517">
        <v>12.62</v>
      </c>
      <c r="M1913" s="517">
        <v>13.28</v>
      </c>
      <c r="N1913" s="518">
        <v>0.10299999999999999</v>
      </c>
      <c r="O1913" s="518">
        <v>0.1</v>
      </c>
      <c r="P1913" s="518">
        <v>0.112</v>
      </c>
      <c r="Q1913" s="78">
        <v>0.44</v>
      </c>
      <c r="R1913" s="78">
        <v>0.31740000000000002</v>
      </c>
      <c r="S1913" s="69">
        <v>0</v>
      </c>
      <c r="T1913" s="69">
        <v>0</v>
      </c>
      <c r="U1913" s="518">
        <v>0.7</v>
      </c>
      <c r="V1913" s="76">
        <v>0</v>
      </c>
      <c r="W1913" s="76">
        <v>0</v>
      </c>
      <c r="X1913" s="76"/>
      <c r="Y1913" s="516" t="s">
        <v>470</v>
      </c>
    </row>
    <row r="1914" spans="1:25" x14ac:dyDescent="0.25">
      <c r="A1914" s="75" t="str">
        <f t="shared" si="67"/>
        <v>Pago_de_Hipoteca PROF No_Premier Normal Pago_Bajo_Puntual 9</v>
      </c>
      <c r="B1914" s="75" t="str">
        <f t="shared" si="66"/>
        <v>Pago_de_Hipoteca PROF No_Premier Normal Pago_Bajo_Puntual 9 0.0965</v>
      </c>
      <c r="C1914" s="75" t="s">
        <v>173</v>
      </c>
      <c r="D1914" s="75" t="s">
        <v>169</v>
      </c>
      <c r="E1914" s="75" t="s">
        <v>179</v>
      </c>
      <c r="F1914" s="75" t="s">
        <v>180</v>
      </c>
      <c r="G1914" s="75"/>
      <c r="H1914" s="75"/>
      <c r="I1914" s="75" t="s">
        <v>170</v>
      </c>
      <c r="J1914" s="76">
        <v>9</v>
      </c>
      <c r="K1914" s="516" t="s">
        <v>385</v>
      </c>
      <c r="L1914" s="517">
        <v>13.13</v>
      </c>
      <c r="M1914" s="517">
        <v>13.79</v>
      </c>
      <c r="N1914" s="518">
        <v>9.6500000000000002E-2</v>
      </c>
      <c r="O1914" s="518">
        <v>9.1999999999999998E-2</v>
      </c>
      <c r="P1914" s="518">
        <v>0.10249999999999999</v>
      </c>
      <c r="Q1914" s="78">
        <v>0.44</v>
      </c>
      <c r="R1914" s="78">
        <v>0.31740000000000002</v>
      </c>
      <c r="S1914" s="69">
        <v>0</v>
      </c>
      <c r="T1914" s="69">
        <v>0</v>
      </c>
      <c r="U1914" s="518">
        <v>0.7</v>
      </c>
      <c r="V1914" s="76">
        <v>0</v>
      </c>
      <c r="W1914" s="76">
        <v>0</v>
      </c>
      <c r="X1914" s="76"/>
      <c r="Y1914" s="516" t="s">
        <v>470</v>
      </c>
    </row>
    <row r="1915" spans="1:25" x14ac:dyDescent="0.25">
      <c r="A1915" s="75" t="str">
        <f t="shared" si="67"/>
        <v>Pago_de_Hipoteca PROF No_Premier Normal Pago_Bajo_Puntual 9</v>
      </c>
      <c r="B1915" s="75" t="str">
        <f t="shared" si="66"/>
        <v>Pago_de_Hipoteca PROF No_Premier Normal Pago_Bajo_Puntual 9 0.103</v>
      </c>
      <c r="C1915" s="75" t="s">
        <v>173</v>
      </c>
      <c r="D1915" s="75" t="s">
        <v>169</v>
      </c>
      <c r="E1915" s="75" t="s">
        <v>179</v>
      </c>
      <c r="F1915" s="75" t="s">
        <v>180</v>
      </c>
      <c r="G1915" s="75"/>
      <c r="H1915" s="75"/>
      <c r="I1915" s="75" t="s">
        <v>170</v>
      </c>
      <c r="J1915" s="76">
        <v>9</v>
      </c>
      <c r="K1915" s="516" t="s">
        <v>386</v>
      </c>
      <c r="L1915" s="517">
        <v>13.49</v>
      </c>
      <c r="M1915" s="517">
        <v>14.15</v>
      </c>
      <c r="N1915" s="518">
        <v>0.10299999999999999</v>
      </c>
      <c r="O1915" s="518">
        <v>0.1</v>
      </c>
      <c r="P1915" s="518">
        <v>0.112</v>
      </c>
      <c r="Q1915" s="78">
        <v>0.44</v>
      </c>
      <c r="R1915" s="78">
        <v>0.31740000000000002</v>
      </c>
      <c r="S1915" s="69">
        <v>0</v>
      </c>
      <c r="T1915" s="69">
        <v>0</v>
      </c>
      <c r="U1915" s="518">
        <v>0.7</v>
      </c>
      <c r="V1915" s="76">
        <v>0</v>
      </c>
      <c r="W1915" s="76">
        <v>0</v>
      </c>
      <c r="X1915" s="76"/>
      <c r="Y1915" s="516" t="s">
        <v>470</v>
      </c>
    </row>
    <row r="1916" spans="1:25" x14ac:dyDescent="0.25">
      <c r="A1916" s="75" t="str">
        <f t="shared" si="67"/>
        <v>Pago_de_Hipoteca PROF No_Premier Normal Pago_Bajo_Puntual 8</v>
      </c>
      <c r="B1916" s="75" t="str">
        <f t="shared" si="66"/>
        <v>Pago_de_Hipoteca PROF No_Premier Normal Pago_Bajo_Puntual 8 0.0965</v>
      </c>
      <c r="C1916" s="75" t="s">
        <v>173</v>
      </c>
      <c r="D1916" s="75" t="s">
        <v>169</v>
      </c>
      <c r="E1916" s="75" t="s">
        <v>179</v>
      </c>
      <c r="F1916" s="75" t="s">
        <v>180</v>
      </c>
      <c r="G1916" s="75"/>
      <c r="H1916" s="75"/>
      <c r="I1916" s="75" t="s">
        <v>170</v>
      </c>
      <c r="J1916" s="76">
        <v>8</v>
      </c>
      <c r="K1916" s="516" t="s">
        <v>385</v>
      </c>
      <c r="L1916" s="517">
        <v>14.25</v>
      </c>
      <c r="M1916" s="517">
        <v>14.91</v>
      </c>
      <c r="N1916" s="518">
        <v>9.6500000000000002E-2</v>
      </c>
      <c r="O1916" s="518">
        <v>9.1999999999999998E-2</v>
      </c>
      <c r="P1916" s="518">
        <v>0.10249999999999999</v>
      </c>
      <c r="Q1916" s="78">
        <v>0.44</v>
      </c>
      <c r="R1916" s="78">
        <v>0.31740000000000002</v>
      </c>
      <c r="S1916" s="69">
        <v>0</v>
      </c>
      <c r="T1916" s="69">
        <v>0</v>
      </c>
      <c r="U1916" s="518">
        <v>0.7</v>
      </c>
      <c r="V1916" s="76">
        <v>0</v>
      </c>
      <c r="W1916" s="76">
        <v>0</v>
      </c>
      <c r="X1916" s="76"/>
      <c r="Y1916" s="516" t="s">
        <v>470</v>
      </c>
    </row>
    <row r="1917" spans="1:25" x14ac:dyDescent="0.25">
      <c r="A1917" s="75" t="str">
        <f t="shared" si="67"/>
        <v>Pago_de_Hipoteca PROF No_Premier Normal Pago_Bajo_Puntual 8</v>
      </c>
      <c r="B1917" s="75" t="str">
        <f t="shared" si="66"/>
        <v>Pago_de_Hipoteca PROF No_Premier Normal Pago_Bajo_Puntual 8 0.103</v>
      </c>
      <c r="C1917" s="75" t="s">
        <v>173</v>
      </c>
      <c r="D1917" s="75" t="s">
        <v>169</v>
      </c>
      <c r="E1917" s="75" t="s">
        <v>179</v>
      </c>
      <c r="F1917" s="75" t="s">
        <v>180</v>
      </c>
      <c r="G1917" s="75"/>
      <c r="H1917" s="75"/>
      <c r="I1917" s="75" t="s">
        <v>170</v>
      </c>
      <c r="J1917" s="76">
        <v>8</v>
      </c>
      <c r="K1917" s="516" t="s">
        <v>386</v>
      </c>
      <c r="L1917" s="517">
        <v>14.59</v>
      </c>
      <c r="M1917" s="517">
        <v>15.25</v>
      </c>
      <c r="N1917" s="518">
        <v>0.10299999999999999</v>
      </c>
      <c r="O1917" s="518">
        <v>0.1</v>
      </c>
      <c r="P1917" s="518">
        <v>0.112</v>
      </c>
      <c r="Q1917" s="78">
        <v>0.44</v>
      </c>
      <c r="R1917" s="78">
        <v>0.31740000000000002</v>
      </c>
      <c r="S1917" s="69">
        <v>0</v>
      </c>
      <c r="T1917" s="69">
        <v>0</v>
      </c>
      <c r="U1917" s="518">
        <v>0.7</v>
      </c>
      <c r="V1917" s="76">
        <v>0</v>
      </c>
      <c r="W1917" s="76">
        <v>0</v>
      </c>
      <c r="X1917" s="76"/>
      <c r="Y1917" s="516" t="s">
        <v>470</v>
      </c>
    </row>
    <row r="1918" spans="1:25" x14ac:dyDescent="0.25">
      <c r="A1918" s="75" t="str">
        <f t="shared" si="67"/>
        <v>Pago_de_Hipoteca PROF No_Premier Normal Pago_Bajo_Puntual 7</v>
      </c>
      <c r="B1918" s="75" t="str">
        <f t="shared" si="66"/>
        <v>Pago_de_Hipoteca PROF No_Premier Normal Pago_Bajo_Puntual 7 0.0965</v>
      </c>
      <c r="C1918" s="75" t="s">
        <v>173</v>
      </c>
      <c r="D1918" s="75" t="s">
        <v>169</v>
      </c>
      <c r="E1918" s="75" t="s">
        <v>179</v>
      </c>
      <c r="F1918" s="75" t="s">
        <v>180</v>
      </c>
      <c r="G1918" s="75"/>
      <c r="H1918" s="75"/>
      <c r="I1918" s="75" t="s">
        <v>170</v>
      </c>
      <c r="J1918" s="76">
        <v>7</v>
      </c>
      <c r="K1918" s="516" t="s">
        <v>385</v>
      </c>
      <c r="L1918" s="517">
        <v>15.7</v>
      </c>
      <c r="M1918" s="517">
        <v>16.36</v>
      </c>
      <c r="N1918" s="518">
        <v>9.6500000000000002E-2</v>
      </c>
      <c r="O1918" s="518">
        <v>9.1999999999999998E-2</v>
      </c>
      <c r="P1918" s="518">
        <v>0.10249999999999999</v>
      </c>
      <c r="Q1918" s="78">
        <v>0.44</v>
      </c>
      <c r="R1918" s="78">
        <v>0.31740000000000002</v>
      </c>
      <c r="S1918" s="69">
        <v>0</v>
      </c>
      <c r="T1918" s="69">
        <v>0</v>
      </c>
      <c r="U1918" s="518">
        <v>0.7</v>
      </c>
      <c r="V1918" s="76">
        <v>0</v>
      </c>
      <c r="W1918" s="76">
        <v>0</v>
      </c>
      <c r="X1918" s="76"/>
      <c r="Y1918" s="516" t="s">
        <v>470</v>
      </c>
    </row>
    <row r="1919" spans="1:25" x14ac:dyDescent="0.25">
      <c r="A1919" s="75" t="str">
        <f t="shared" si="67"/>
        <v>Pago_de_Hipoteca PROF No_Premier Normal Pago_Bajo_Puntual 7</v>
      </c>
      <c r="B1919" s="75" t="str">
        <f t="shared" si="66"/>
        <v>Pago_de_Hipoteca PROF No_Premier Normal Pago_Bajo_Puntual 7 0.103</v>
      </c>
      <c r="C1919" s="75" t="s">
        <v>173</v>
      </c>
      <c r="D1919" s="75" t="s">
        <v>169</v>
      </c>
      <c r="E1919" s="75" t="s">
        <v>179</v>
      </c>
      <c r="F1919" s="75" t="s">
        <v>180</v>
      </c>
      <c r="G1919" s="75"/>
      <c r="H1919" s="75"/>
      <c r="I1919" s="75" t="s">
        <v>170</v>
      </c>
      <c r="J1919" s="76">
        <v>7</v>
      </c>
      <c r="K1919" s="516" t="s">
        <v>386</v>
      </c>
      <c r="L1919" s="517">
        <v>16.03</v>
      </c>
      <c r="M1919" s="517">
        <v>16.690000000000001</v>
      </c>
      <c r="N1919" s="518">
        <v>0.10299999999999999</v>
      </c>
      <c r="O1919" s="518">
        <v>0.1</v>
      </c>
      <c r="P1919" s="518">
        <v>0.112</v>
      </c>
      <c r="Q1919" s="78">
        <v>0.44</v>
      </c>
      <c r="R1919" s="78">
        <v>0.31740000000000002</v>
      </c>
      <c r="S1919" s="69">
        <v>0</v>
      </c>
      <c r="T1919" s="69">
        <v>0</v>
      </c>
      <c r="U1919" s="518">
        <v>0.7</v>
      </c>
      <c r="V1919" s="76">
        <v>0</v>
      </c>
      <c r="W1919" s="76">
        <v>0</v>
      </c>
      <c r="X1919" s="76"/>
      <c r="Y1919" s="516" t="s">
        <v>470</v>
      </c>
    </row>
    <row r="1920" spans="1:25" x14ac:dyDescent="0.25">
      <c r="A1920" s="75" t="str">
        <f t="shared" si="67"/>
        <v>Pago_de_Hipoteca PROF No_Premier Normal Pago_Bajo_Puntual 6</v>
      </c>
      <c r="B1920" s="75" t="str">
        <f t="shared" si="66"/>
        <v>Pago_de_Hipoteca PROF No_Premier Normal Pago_Bajo_Puntual 6 0.0965</v>
      </c>
      <c r="C1920" s="75" t="s">
        <v>173</v>
      </c>
      <c r="D1920" s="75" t="s">
        <v>169</v>
      </c>
      <c r="E1920" s="75" t="s">
        <v>179</v>
      </c>
      <c r="F1920" s="75" t="s">
        <v>180</v>
      </c>
      <c r="G1920" s="75"/>
      <c r="H1920" s="75"/>
      <c r="I1920" s="75" t="s">
        <v>170</v>
      </c>
      <c r="J1920" s="76">
        <v>6</v>
      </c>
      <c r="K1920" s="516" t="s">
        <v>385</v>
      </c>
      <c r="L1920" s="517">
        <v>17.649999999999999</v>
      </c>
      <c r="M1920" s="517">
        <v>18.309999999999999</v>
      </c>
      <c r="N1920" s="518">
        <v>9.6500000000000002E-2</v>
      </c>
      <c r="O1920" s="518">
        <v>9.1999999999999998E-2</v>
      </c>
      <c r="P1920" s="518">
        <v>0.10249999999999999</v>
      </c>
      <c r="Q1920" s="78">
        <v>0.44</v>
      </c>
      <c r="R1920" s="78">
        <v>0.31740000000000002</v>
      </c>
      <c r="S1920" s="69">
        <v>0</v>
      </c>
      <c r="T1920" s="69">
        <v>0</v>
      </c>
      <c r="U1920" s="518">
        <v>0.7</v>
      </c>
      <c r="V1920" s="76">
        <v>0</v>
      </c>
      <c r="W1920" s="76">
        <v>0</v>
      </c>
      <c r="X1920" s="76"/>
      <c r="Y1920" s="516" t="s">
        <v>470</v>
      </c>
    </row>
    <row r="1921" spans="1:25" x14ac:dyDescent="0.25">
      <c r="A1921" s="75" t="str">
        <f t="shared" si="67"/>
        <v>Pago_de_Hipoteca PROF No_Premier Normal Pago_Bajo_Puntual 6</v>
      </c>
      <c r="B1921" s="75" t="str">
        <f t="shared" si="66"/>
        <v>Pago_de_Hipoteca PROF No_Premier Normal Pago_Bajo_Puntual 6 0.103</v>
      </c>
      <c r="C1921" s="75" t="s">
        <v>173</v>
      </c>
      <c r="D1921" s="75" t="s">
        <v>169</v>
      </c>
      <c r="E1921" s="75" t="s">
        <v>179</v>
      </c>
      <c r="F1921" s="75" t="s">
        <v>180</v>
      </c>
      <c r="G1921" s="75"/>
      <c r="H1921" s="75"/>
      <c r="I1921" s="75" t="s">
        <v>170</v>
      </c>
      <c r="J1921" s="76">
        <v>6</v>
      </c>
      <c r="K1921" s="516" t="s">
        <v>386</v>
      </c>
      <c r="L1921" s="517">
        <v>17.97</v>
      </c>
      <c r="M1921" s="517">
        <v>18.63</v>
      </c>
      <c r="N1921" s="518">
        <v>0.10299999999999999</v>
      </c>
      <c r="O1921" s="518">
        <v>0.1</v>
      </c>
      <c r="P1921" s="518">
        <v>0.112</v>
      </c>
      <c r="Q1921" s="78">
        <v>0.44</v>
      </c>
      <c r="R1921" s="78">
        <v>0.31740000000000002</v>
      </c>
      <c r="S1921" s="69">
        <v>0</v>
      </c>
      <c r="T1921" s="69">
        <v>0</v>
      </c>
      <c r="U1921" s="518">
        <v>0.7</v>
      </c>
      <c r="V1921" s="76">
        <v>0</v>
      </c>
      <c r="W1921" s="76">
        <v>0</v>
      </c>
      <c r="X1921" s="76"/>
      <c r="Y1921" s="516" t="s">
        <v>470</v>
      </c>
    </row>
    <row r="1922" spans="1:25" x14ac:dyDescent="0.25">
      <c r="A1922" s="75" t="str">
        <f t="shared" si="67"/>
        <v>Pago_de_Hipoteca PROF No_Premier Normal Pago_Bajo_Puntual 5</v>
      </c>
      <c r="B1922" s="75" t="str">
        <f t="shared" si="66"/>
        <v>Pago_de_Hipoteca PROF No_Premier Normal Pago_Bajo_Puntual 5 0.0965</v>
      </c>
      <c r="C1922" s="75" t="s">
        <v>173</v>
      </c>
      <c r="D1922" s="75" t="s">
        <v>169</v>
      </c>
      <c r="E1922" s="75" t="s">
        <v>179</v>
      </c>
      <c r="F1922" s="75" t="s">
        <v>180</v>
      </c>
      <c r="G1922" s="75"/>
      <c r="H1922" s="75"/>
      <c r="I1922" s="75" t="s">
        <v>170</v>
      </c>
      <c r="J1922" s="76">
        <v>5</v>
      </c>
      <c r="K1922" s="516" t="s">
        <v>385</v>
      </c>
      <c r="L1922" s="517">
        <v>20.399999999999999</v>
      </c>
      <c r="M1922" s="517">
        <v>21.06</v>
      </c>
      <c r="N1922" s="518">
        <v>9.6500000000000002E-2</v>
      </c>
      <c r="O1922" s="518">
        <v>9.1999999999999998E-2</v>
      </c>
      <c r="P1922" s="518">
        <v>0.10249999999999999</v>
      </c>
      <c r="Q1922" s="78">
        <v>0.44</v>
      </c>
      <c r="R1922" s="78">
        <v>0.31740000000000002</v>
      </c>
      <c r="S1922" s="69">
        <v>0</v>
      </c>
      <c r="T1922" s="69">
        <v>0</v>
      </c>
      <c r="U1922" s="518">
        <v>0.7</v>
      </c>
      <c r="V1922" s="76">
        <v>0</v>
      </c>
      <c r="W1922" s="76">
        <v>0</v>
      </c>
      <c r="X1922" s="76"/>
      <c r="Y1922" s="516" t="s">
        <v>470</v>
      </c>
    </row>
    <row r="1923" spans="1:25" x14ac:dyDescent="0.25">
      <c r="A1923" s="75" t="str">
        <f t="shared" si="67"/>
        <v>Pago_de_Hipoteca PROF No_Premier Normal Pago_Bajo_Puntual 5</v>
      </c>
      <c r="B1923" s="75" t="str">
        <f t="shared" si="66"/>
        <v>Pago_de_Hipoteca PROF No_Premier Normal Pago_Bajo_Puntual 5 0.103</v>
      </c>
      <c r="C1923" s="75" t="s">
        <v>173</v>
      </c>
      <c r="D1923" s="75" t="s">
        <v>169</v>
      </c>
      <c r="E1923" s="75" t="s">
        <v>179</v>
      </c>
      <c r="F1923" s="75" t="s">
        <v>180</v>
      </c>
      <c r="G1923" s="75"/>
      <c r="H1923" s="75"/>
      <c r="I1923" s="75" t="s">
        <v>170</v>
      </c>
      <c r="J1923" s="76">
        <v>5</v>
      </c>
      <c r="K1923" s="516" t="s">
        <v>386</v>
      </c>
      <c r="L1923" s="517">
        <v>20.72</v>
      </c>
      <c r="M1923" s="517">
        <v>21.38</v>
      </c>
      <c r="N1923" s="518">
        <v>0.10299999999999999</v>
      </c>
      <c r="O1923" s="518">
        <v>0.1</v>
      </c>
      <c r="P1923" s="518">
        <v>0.112</v>
      </c>
      <c r="Q1923" s="78">
        <v>0.44</v>
      </c>
      <c r="R1923" s="78">
        <v>0.31740000000000002</v>
      </c>
      <c r="S1923" s="69">
        <v>0</v>
      </c>
      <c r="T1923" s="69">
        <v>0</v>
      </c>
      <c r="U1923" s="518">
        <v>0.7</v>
      </c>
      <c r="V1923" s="76">
        <v>0</v>
      </c>
      <c r="W1923" s="76">
        <v>0</v>
      </c>
      <c r="X1923" s="76"/>
      <c r="Y1923" s="516" t="s">
        <v>470</v>
      </c>
    </row>
    <row r="1924" spans="1:25" x14ac:dyDescent="0.25">
      <c r="A1924" s="75" t="str">
        <f t="shared" si="67"/>
        <v>Pago_de_Hipoteca PROF Premier Pago_Fijo_Puntual Si 20</v>
      </c>
      <c r="B1924" s="75" t="str">
        <f t="shared" si="66"/>
        <v>Pago_de_Hipoteca PROF Premier Pago_Fijo_Puntual Si 20 0.103</v>
      </c>
      <c r="C1924" s="75" t="s">
        <v>173</v>
      </c>
      <c r="D1924" s="75" t="s">
        <v>169</v>
      </c>
      <c r="E1924" s="75" t="s">
        <v>143</v>
      </c>
      <c r="F1924" s="75"/>
      <c r="G1924" s="75"/>
      <c r="H1924" s="75"/>
      <c r="I1924" s="75" t="s">
        <v>171</v>
      </c>
      <c r="J1924" s="76">
        <v>20</v>
      </c>
      <c r="K1924" s="519" t="s">
        <v>387</v>
      </c>
      <c r="L1924" s="520">
        <v>10.16</v>
      </c>
      <c r="M1924" s="520">
        <v>10.82</v>
      </c>
      <c r="N1924" s="507">
        <v>0.10299999999999999</v>
      </c>
      <c r="O1924" s="507">
        <v>0.1</v>
      </c>
      <c r="P1924" s="507">
        <v>0.112</v>
      </c>
      <c r="Q1924" s="78">
        <v>0.44</v>
      </c>
      <c r="R1924" s="78">
        <v>0.31740000000000002</v>
      </c>
      <c r="S1924" s="69">
        <v>0</v>
      </c>
      <c r="T1924" s="69">
        <v>0</v>
      </c>
      <c r="U1924" s="507">
        <v>0.85</v>
      </c>
      <c r="V1924" s="76">
        <v>0</v>
      </c>
      <c r="W1924" s="76">
        <v>0</v>
      </c>
      <c r="X1924" s="76" t="s">
        <v>147</v>
      </c>
      <c r="Y1924" s="519" t="s">
        <v>469</v>
      </c>
    </row>
    <row r="1925" spans="1:25" x14ac:dyDescent="0.25">
      <c r="A1925" s="75" t="str">
        <f t="shared" si="67"/>
        <v>Pago_de_Hipoteca PROF Premier Pago_Fijo_Puntual Si 19</v>
      </c>
      <c r="B1925" s="75" t="str">
        <f t="shared" ref="B1925:B1957" si="68">CONCATENATE(A1925," ",N1925)</f>
        <v>Pago_de_Hipoteca PROF Premier Pago_Fijo_Puntual Si 19 0.103</v>
      </c>
      <c r="C1925" s="75" t="s">
        <v>173</v>
      </c>
      <c r="D1925" s="75" t="s">
        <v>169</v>
      </c>
      <c r="E1925" s="75" t="s">
        <v>143</v>
      </c>
      <c r="F1925" s="75"/>
      <c r="G1925" s="75"/>
      <c r="H1925" s="75"/>
      <c r="I1925" s="75" t="s">
        <v>171</v>
      </c>
      <c r="J1925" s="76">
        <v>19</v>
      </c>
      <c r="K1925" s="519" t="s">
        <v>387</v>
      </c>
      <c r="L1925" s="520">
        <v>10.3</v>
      </c>
      <c r="M1925" s="520">
        <v>10.96</v>
      </c>
      <c r="N1925" s="507">
        <v>0.10299999999999999</v>
      </c>
      <c r="O1925" s="507">
        <v>0.1</v>
      </c>
      <c r="P1925" s="507">
        <v>0.112</v>
      </c>
      <c r="Q1925" s="78">
        <v>0.44</v>
      </c>
      <c r="R1925" s="78">
        <v>0.31740000000000002</v>
      </c>
      <c r="S1925" s="69">
        <v>0</v>
      </c>
      <c r="T1925" s="69">
        <v>0</v>
      </c>
      <c r="U1925" s="507">
        <v>0.85</v>
      </c>
      <c r="V1925" s="76">
        <v>0</v>
      </c>
      <c r="W1925" s="76">
        <v>0</v>
      </c>
      <c r="X1925" s="76" t="s">
        <v>147</v>
      </c>
      <c r="Y1925" s="519" t="s">
        <v>469</v>
      </c>
    </row>
    <row r="1926" spans="1:25" x14ac:dyDescent="0.25">
      <c r="A1926" s="75" t="str">
        <f t="shared" ref="A1926:A1958" si="69">TRIM(CONCATENATE(C1926," ",D1926," ",E1926," ",F1926," ",G1926," ",I1926," ",X1926," ",J1926))</f>
        <v>Pago_de_Hipoteca PROF Premier Pago_Fijo_Puntual Si 18</v>
      </c>
      <c r="B1926" s="75" t="str">
        <f t="shared" si="68"/>
        <v>Pago_de_Hipoteca PROF Premier Pago_Fijo_Puntual Si 18 0.103</v>
      </c>
      <c r="C1926" s="75" t="s">
        <v>173</v>
      </c>
      <c r="D1926" s="75" t="s">
        <v>169</v>
      </c>
      <c r="E1926" s="75" t="s">
        <v>143</v>
      </c>
      <c r="F1926" s="75"/>
      <c r="G1926" s="75"/>
      <c r="H1926" s="75"/>
      <c r="I1926" s="75" t="s">
        <v>171</v>
      </c>
      <c r="J1926" s="76">
        <v>18</v>
      </c>
      <c r="K1926" s="519" t="s">
        <v>387</v>
      </c>
      <c r="L1926" s="520">
        <v>10.47</v>
      </c>
      <c r="M1926" s="520">
        <v>11.13</v>
      </c>
      <c r="N1926" s="507">
        <v>0.10299999999999999</v>
      </c>
      <c r="O1926" s="507">
        <v>0.1</v>
      </c>
      <c r="P1926" s="507">
        <v>0.112</v>
      </c>
      <c r="Q1926" s="78">
        <v>0.44</v>
      </c>
      <c r="R1926" s="78">
        <v>0.31740000000000002</v>
      </c>
      <c r="S1926" s="69">
        <v>0</v>
      </c>
      <c r="T1926" s="69">
        <v>0</v>
      </c>
      <c r="U1926" s="507">
        <v>0.85</v>
      </c>
      <c r="V1926" s="76">
        <v>0</v>
      </c>
      <c r="W1926" s="76">
        <v>0</v>
      </c>
      <c r="X1926" s="76" t="s">
        <v>147</v>
      </c>
      <c r="Y1926" s="519" t="s">
        <v>469</v>
      </c>
    </row>
    <row r="1927" spans="1:25" x14ac:dyDescent="0.25">
      <c r="A1927" s="75" t="str">
        <f t="shared" si="69"/>
        <v>Pago_de_Hipoteca PROF Premier Pago_Fijo_Puntual Si 17</v>
      </c>
      <c r="B1927" s="75" t="str">
        <f t="shared" si="68"/>
        <v>Pago_de_Hipoteca PROF Premier Pago_Fijo_Puntual Si 17 0.103</v>
      </c>
      <c r="C1927" s="75" t="s">
        <v>173</v>
      </c>
      <c r="D1927" s="75" t="s">
        <v>169</v>
      </c>
      <c r="E1927" s="75" t="s">
        <v>143</v>
      </c>
      <c r="F1927" s="75"/>
      <c r="G1927" s="75"/>
      <c r="H1927" s="75"/>
      <c r="I1927" s="75" t="s">
        <v>171</v>
      </c>
      <c r="J1927" s="76">
        <v>17</v>
      </c>
      <c r="K1927" s="519" t="s">
        <v>387</v>
      </c>
      <c r="L1927" s="520">
        <v>10.67</v>
      </c>
      <c r="M1927" s="520">
        <v>11.33</v>
      </c>
      <c r="N1927" s="507">
        <v>0.10299999999999999</v>
      </c>
      <c r="O1927" s="507">
        <v>0.1</v>
      </c>
      <c r="P1927" s="507">
        <v>0.112</v>
      </c>
      <c r="Q1927" s="78">
        <v>0.44</v>
      </c>
      <c r="R1927" s="78">
        <v>0.31740000000000002</v>
      </c>
      <c r="S1927" s="69">
        <v>0</v>
      </c>
      <c r="T1927" s="69">
        <v>0</v>
      </c>
      <c r="U1927" s="507">
        <v>0.85</v>
      </c>
      <c r="V1927" s="76">
        <v>0</v>
      </c>
      <c r="W1927" s="76">
        <v>0</v>
      </c>
      <c r="X1927" s="76" t="s">
        <v>147</v>
      </c>
      <c r="Y1927" s="519" t="s">
        <v>469</v>
      </c>
    </row>
    <row r="1928" spans="1:25" x14ac:dyDescent="0.25">
      <c r="A1928" s="75" t="str">
        <f t="shared" si="69"/>
        <v>Pago_de_Hipoteca PROF Premier Pago_Fijo_Puntual Si 16</v>
      </c>
      <c r="B1928" s="75" t="str">
        <f t="shared" si="68"/>
        <v>Pago_de_Hipoteca PROF Premier Pago_Fijo_Puntual Si 16 0.103</v>
      </c>
      <c r="C1928" s="75" t="s">
        <v>173</v>
      </c>
      <c r="D1928" s="75" t="s">
        <v>169</v>
      </c>
      <c r="E1928" s="75" t="s">
        <v>143</v>
      </c>
      <c r="F1928" s="75"/>
      <c r="G1928" s="75"/>
      <c r="H1928" s="75"/>
      <c r="I1928" s="75" t="s">
        <v>171</v>
      </c>
      <c r="J1928" s="76">
        <v>16</v>
      </c>
      <c r="K1928" s="519" t="s">
        <v>387</v>
      </c>
      <c r="L1928" s="520">
        <v>10.9</v>
      </c>
      <c r="M1928" s="520">
        <v>11.56</v>
      </c>
      <c r="N1928" s="507">
        <v>0.10299999999999999</v>
      </c>
      <c r="O1928" s="507">
        <v>0.1</v>
      </c>
      <c r="P1928" s="507">
        <v>0.112</v>
      </c>
      <c r="Q1928" s="78">
        <v>0.44</v>
      </c>
      <c r="R1928" s="78">
        <v>0.31740000000000002</v>
      </c>
      <c r="S1928" s="69">
        <v>0</v>
      </c>
      <c r="T1928" s="69">
        <v>0</v>
      </c>
      <c r="U1928" s="507">
        <v>0.85</v>
      </c>
      <c r="V1928" s="76">
        <v>0</v>
      </c>
      <c r="W1928" s="76">
        <v>0</v>
      </c>
      <c r="X1928" s="76" t="s">
        <v>147</v>
      </c>
      <c r="Y1928" s="519" t="s">
        <v>469</v>
      </c>
    </row>
    <row r="1929" spans="1:25" x14ac:dyDescent="0.25">
      <c r="A1929" s="75" t="str">
        <f t="shared" si="69"/>
        <v>Pago_de_Hipoteca PROF Premier Pago_Fijo_Puntual Si 15</v>
      </c>
      <c r="B1929" s="75" t="str">
        <f t="shared" si="68"/>
        <v>Pago_de_Hipoteca PROF Premier Pago_Fijo_Puntual Si 15 0.103</v>
      </c>
      <c r="C1929" s="75" t="s">
        <v>173</v>
      </c>
      <c r="D1929" s="75" t="s">
        <v>169</v>
      </c>
      <c r="E1929" s="75" t="s">
        <v>143</v>
      </c>
      <c r="F1929" s="75"/>
      <c r="G1929" s="75"/>
      <c r="H1929" s="75"/>
      <c r="I1929" s="75" t="s">
        <v>171</v>
      </c>
      <c r="J1929" s="76">
        <v>15</v>
      </c>
      <c r="K1929" s="519" t="s">
        <v>387</v>
      </c>
      <c r="L1929" s="520">
        <v>11.18</v>
      </c>
      <c r="M1929" s="520">
        <v>11.84</v>
      </c>
      <c r="N1929" s="507">
        <v>0.10299999999999999</v>
      </c>
      <c r="O1929" s="507">
        <v>0.1</v>
      </c>
      <c r="P1929" s="507">
        <v>0.112</v>
      </c>
      <c r="Q1929" s="78">
        <v>0.44</v>
      </c>
      <c r="R1929" s="78">
        <v>0.31740000000000002</v>
      </c>
      <c r="S1929" s="69">
        <v>0</v>
      </c>
      <c r="T1929" s="69">
        <v>0</v>
      </c>
      <c r="U1929" s="507">
        <v>0.85</v>
      </c>
      <c r="V1929" s="76">
        <v>0</v>
      </c>
      <c r="W1929" s="76">
        <v>0</v>
      </c>
      <c r="X1929" s="76" t="s">
        <v>147</v>
      </c>
      <c r="Y1929" s="519" t="s">
        <v>469</v>
      </c>
    </row>
    <row r="1930" spans="1:25" x14ac:dyDescent="0.25">
      <c r="A1930" s="75" t="str">
        <f t="shared" si="69"/>
        <v>Pago_de_Hipoteca PROF Premier Pago_Fijo_Puntual Si 14</v>
      </c>
      <c r="B1930" s="75" t="str">
        <f t="shared" si="68"/>
        <v>Pago_de_Hipoteca PROF Premier Pago_Fijo_Puntual Si 14 0.103</v>
      </c>
      <c r="C1930" s="75" t="s">
        <v>173</v>
      </c>
      <c r="D1930" s="75" t="s">
        <v>169</v>
      </c>
      <c r="E1930" s="75" t="s">
        <v>143</v>
      </c>
      <c r="F1930" s="75"/>
      <c r="G1930" s="75"/>
      <c r="H1930" s="75"/>
      <c r="I1930" s="75" t="s">
        <v>171</v>
      </c>
      <c r="J1930" s="76">
        <v>14</v>
      </c>
      <c r="K1930" s="519" t="s">
        <v>387</v>
      </c>
      <c r="L1930" s="520">
        <v>11.49</v>
      </c>
      <c r="M1930" s="520">
        <v>12.15</v>
      </c>
      <c r="N1930" s="507">
        <v>0.10299999999999999</v>
      </c>
      <c r="O1930" s="507">
        <v>0.1</v>
      </c>
      <c r="P1930" s="507">
        <v>0.112</v>
      </c>
      <c r="Q1930" s="78">
        <v>0.44</v>
      </c>
      <c r="R1930" s="78">
        <v>0.31740000000000002</v>
      </c>
      <c r="S1930" s="69">
        <v>0</v>
      </c>
      <c r="T1930" s="69">
        <v>0</v>
      </c>
      <c r="U1930" s="507">
        <v>0.85</v>
      </c>
      <c r="V1930" s="76">
        <v>0</v>
      </c>
      <c r="W1930" s="76">
        <v>0</v>
      </c>
      <c r="X1930" s="76" t="s">
        <v>147</v>
      </c>
      <c r="Y1930" s="519" t="s">
        <v>469</v>
      </c>
    </row>
    <row r="1931" spans="1:25" x14ac:dyDescent="0.25">
      <c r="A1931" s="75" t="str">
        <f t="shared" si="69"/>
        <v>Pago_de_Hipoteca PROF Premier Pago_Fijo_Puntual Si 13</v>
      </c>
      <c r="B1931" s="75" t="str">
        <f t="shared" si="68"/>
        <v>Pago_de_Hipoteca PROF Premier Pago_Fijo_Puntual Si 13 0.103</v>
      </c>
      <c r="C1931" s="75" t="s">
        <v>173</v>
      </c>
      <c r="D1931" s="75" t="s">
        <v>169</v>
      </c>
      <c r="E1931" s="75" t="s">
        <v>143</v>
      </c>
      <c r="F1931" s="75"/>
      <c r="G1931" s="75"/>
      <c r="H1931" s="75"/>
      <c r="I1931" s="75" t="s">
        <v>171</v>
      </c>
      <c r="J1931" s="76">
        <v>13</v>
      </c>
      <c r="K1931" s="519" t="s">
        <v>387</v>
      </c>
      <c r="L1931" s="520">
        <v>11.86</v>
      </c>
      <c r="M1931" s="520">
        <v>12.52</v>
      </c>
      <c r="N1931" s="507">
        <v>0.10299999999999999</v>
      </c>
      <c r="O1931" s="507">
        <v>0.1</v>
      </c>
      <c r="P1931" s="507">
        <v>0.112</v>
      </c>
      <c r="Q1931" s="78">
        <v>0.44</v>
      </c>
      <c r="R1931" s="78">
        <v>0.31740000000000002</v>
      </c>
      <c r="S1931" s="69">
        <v>0</v>
      </c>
      <c r="T1931" s="69">
        <v>0</v>
      </c>
      <c r="U1931" s="507">
        <v>0.85</v>
      </c>
      <c r="V1931" s="76">
        <v>0</v>
      </c>
      <c r="W1931" s="76">
        <v>0</v>
      </c>
      <c r="X1931" s="76" t="s">
        <v>147</v>
      </c>
      <c r="Y1931" s="519" t="s">
        <v>469</v>
      </c>
    </row>
    <row r="1932" spans="1:25" x14ac:dyDescent="0.25">
      <c r="A1932" s="75" t="str">
        <f t="shared" si="69"/>
        <v>Pago_de_Hipoteca PROF Premier Pago_Fijo_Puntual Si 12</v>
      </c>
      <c r="B1932" s="75" t="str">
        <f t="shared" si="68"/>
        <v>Pago_de_Hipoteca PROF Premier Pago_Fijo_Puntual Si 12 0.103</v>
      </c>
      <c r="C1932" s="75" t="s">
        <v>173</v>
      </c>
      <c r="D1932" s="75" t="s">
        <v>169</v>
      </c>
      <c r="E1932" s="75" t="s">
        <v>143</v>
      </c>
      <c r="F1932" s="75"/>
      <c r="G1932" s="75"/>
      <c r="H1932" s="75"/>
      <c r="I1932" s="75" t="s">
        <v>171</v>
      </c>
      <c r="J1932" s="76">
        <v>12</v>
      </c>
      <c r="K1932" s="519" t="s">
        <v>387</v>
      </c>
      <c r="L1932" s="520">
        <v>12.31</v>
      </c>
      <c r="M1932" s="520">
        <v>12.97</v>
      </c>
      <c r="N1932" s="507">
        <v>0.10299999999999999</v>
      </c>
      <c r="O1932" s="507">
        <v>0.1</v>
      </c>
      <c r="P1932" s="507">
        <v>0.112</v>
      </c>
      <c r="Q1932" s="78">
        <v>0.44</v>
      </c>
      <c r="R1932" s="78">
        <v>0.31740000000000002</v>
      </c>
      <c r="S1932" s="69">
        <v>0</v>
      </c>
      <c r="T1932" s="69">
        <v>0</v>
      </c>
      <c r="U1932" s="507">
        <v>0.85</v>
      </c>
      <c r="V1932" s="76">
        <v>0</v>
      </c>
      <c r="W1932" s="76">
        <v>0</v>
      </c>
      <c r="X1932" s="76" t="s">
        <v>147</v>
      </c>
      <c r="Y1932" s="519" t="s">
        <v>469</v>
      </c>
    </row>
    <row r="1933" spans="1:25" x14ac:dyDescent="0.25">
      <c r="A1933" s="75" t="str">
        <f t="shared" si="69"/>
        <v>Pago_de_Hipoteca PROF Premier Pago_Fijo_Puntual Si 11</v>
      </c>
      <c r="B1933" s="75" t="str">
        <f t="shared" si="68"/>
        <v>Pago_de_Hipoteca PROF Premier Pago_Fijo_Puntual Si 11 0.103</v>
      </c>
      <c r="C1933" s="75" t="s">
        <v>173</v>
      </c>
      <c r="D1933" s="75" t="s">
        <v>169</v>
      </c>
      <c r="E1933" s="75" t="s">
        <v>143</v>
      </c>
      <c r="F1933" s="75"/>
      <c r="G1933" s="75"/>
      <c r="H1933" s="75"/>
      <c r="I1933" s="75" t="s">
        <v>171</v>
      </c>
      <c r="J1933" s="76">
        <v>11</v>
      </c>
      <c r="K1933" s="519" t="s">
        <v>387</v>
      </c>
      <c r="L1933" s="520">
        <v>12.86</v>
      </c>
      <c r="M1933" s="520">
        <v>13.52</v>
      </c>
      <c r="N1933" s="507">
        <v>0.10299999999999999</v>
      </c>
      <c r="O1933" s="507">
        <v>0.1</v>
      </c>
      <c r="P1933" s="507">
        <v>0.112</v>
      </c>
      <c r="Q1933" s="78">
        <v>0.44</v>
      </c>
      <c r="R1933" s="78">
        <v>0.31740000000000002</v>
      </c>
      <c r="S1933" s="69">
        <v>0</v>
      </c>
      <c r="T1933" s="69">
        <v>0</v>
      </c>
      <c r="U1933" s="507">
        <v>0.85</v>
      </c>
      <c r="V1933" s="76">
        <v>0</v>
      </c>
      <c r="W1933" s="76">
        <v>0</v>
      </c>
      <c r="X1933" s="76" t="s">
        <v>147</v>
      </c>
      <c r="Y1933" s="519" t="s">
        <v>469</v>
      </c>
    </row>
    <row r="1934" spans="1:25" x14ac:dyDescent="0.25">
      <c r="A1934" s="75" t="str">
        <f t="shared" si="69"/>
        <v>Pago_de_Hipoteca PROF Premier Pago_Fijo_Puntual Si 10</v>
      </c>
      <c r="B1934" s="75" t="str">
        <f t="shared" si="68"/>
        <v>Pago_de_Hipoteca PROF Premier Pago_Fijo_Puntual Si 10 0.103</v>
      </c>
      <c r="C1934" s="75" t="s">
        <v>173</v>
      </c>
      <c r="D1934" s="75" t="s">
        <v>169</v>
      </c>
      <c r="E1934" s="75" t="s">
        <v>143</v>
      </c>
      <c r="F1934" s="75"/>
      <c r="G1934" s="75"/>
      <c r="H1934" s="75"/>
      <c r="I1934" s="75" t="s">
        <v>171</v>
      </c>
      <c r="J1934" s="76">
        <v>10</v>
      </c>
      <c r="K1934" s="519" t="s">
        <v>387</v>
      </c>
      <c r="L1934" s="520">
        <v>13.54</v>
      </c>
      <c r="M1934" s="520">
        <v>14.2</v>
      </c>
      <c r="N1934" s="507">
        <v>0.10299999999999999</v>
      </c>
      <c r="O1934" s="507">
        <v>0.1</v>
      </c>
      <c r="P1934" s="507">
        <v>0.112</v>
      </c>
      <c r="Q1934" s="78">
        <v>0.44</v>
      </c>
      <c r="R1934" s="78">
        <v>0.31740000000000002</v>
      </c>
      <c r="S1934" s="69">
        <v>0</v>
      </c>
      <c r="T1934" s="69">
        <v>0</v>
      </c>
      <c r="U1934" s="507">
        <v>0.85</v>
      </c>
      <c r="V1934" s="76">
        <v>0</v>
      </c>
      <c r="W1934" s="76">
        <v>0</v>
      </c>
      <c r="X1934" s="76" t="s">
        <v>147</v>
      </c>
      <c r="Y1934" s="519" t="s">
        <v>469</v>
      </c>
    </row>
    <row r="1935" spans="1:25" x14ac:dyDescent="0.25">
      <c r="A1935" s="75" t="str">
        <f t="shared" si="69"/>
        <v>Pago_de_Hipoteca PROF Premier Pago_Fijo_Puntual Si 9</v>
      </c>
      <c r="B1935" s="75" t="str">
        <f t="shared" si="68"/>
        <v>Pago_de_Hipoteca PROF Premier Pago_Fijo_Puntual Si 9 0.103</v>
      </c>
      <c r="C1935" s="75" t="s">
        <v>173</v>
      </c>
      <c r="D1935" s="75" t="s">
        <v>169</v>
      </c>
      <c r="E1935" s="75" t="s">
        <v>143</v>
      </c>
      <c r="F1935" s="75"/>
      <c r="G1935" s="75"/>
      <c r="H1935" s="75"/>
      <c r="I1935" s="75" t="s">
        <v>171</v>
      </c>
      <c r="J1935" s="76">
        <v>9</v>
      </c>
      <c r="K1935" s="519" t="s">
        <v>387</v>
      </c>
      <c r="L1935" s="521">
        <v>14.37</v>
      </c>
      <c r="M1935" s="521">
        <v>15.03</v>
      </c>
      <c r="N1935" s="507">
        <v>0.10299999999999999</v>
      </c>
      <c r="O1935" s="507">
        <v>0.1</v>
      </c>
      <c r="P1935" s="507">
        <v>0.112</v>
      </c>
      <c r="Q1935" s="78">
        <v>0.44</v>
      </c>
      <c r="R1935" s="78">
        <v>0.31740000000000002</v>
      </c>
      <c r="S1935" s="69">
        <v>0</v>
      </c>
      <c r="T1935" s="69">
        <v>0</v>
      </c>
      <c r="U1935" s="507">
        <v>0.85</v>
      </c>
      <c r="V1935" s="76">
        <v>0</v>
      </c>
      <c r="W1935" s="76">
        <v>0</v>
      </c>
      <c r="X1935" s="76" t="s">
        <v>147</v>
      </c>
      <c r="Y1935" s="519" t="s">
        <v>469</v>
      </c>
    </row>
    <row r="1936" spans="1:25" x14ac:dyDescent="0.25">
      <c r="A1936" s="75" t="str">
        <f t="shared" si="69"/>
        <v>Pago_de_Hipoteca PROF Premier Pago_Fijo_Puntual Si 8</v>
      </c>
      <c r="B1936" s="75" t="str">
        <f t="shared" si="68"/>
        <v>Pago_de_Hipoteca PROF Premier Pago_Fijo_Puntual Si 8 0.103</v>
      </c>
      <c r="C1936" s="75" t="s">
        <v>173</v>
      </c>
      <c r="D1936" s="75" t="s">
        <v>169</v>
      </c>
      <c r="E1936" s="75" t="s">
        <v>143</v>
      </c>
      <c r="F1936" s="75"/>
      <c r="G1936" s="75"/>
      <c r="H1936" s="75"/>
      <c r="I1936" s="75" t="s">
        <v>171</v>
      </c>
      <c r="J1936" s="76">
        <v>8</v>
      </c>
      <c r="K1936" s="519" t="s">
        <v>387</v>
      </c>
      <c r="L1936" s="520">
        <v>15.44</v>
      </c>
      <c r="M1936" s="520">
        <v>16.100000000000001</v>
      </c>
      <c r="N1936" s="507">
        <v>0.10299999999999999</v>
      </c>
      <c r="O1936" s="507">
        <v>0.1</v>
      </c>
      <c r="P1936" s="507">
        <v>0.112</v>
      </c>
      <c r="Q1936" s="78">
        <v>0.44</v>
      </c>
      <c r="R1936" s="78">
        <v>0.31740000000000002</v>
      </c>
      <c r="S1936" s="69">
        <v>0</v>
      </c>
      <c r="T1936" s="69">
        <v>0</v>
      </c>
      <c r="U1936" s="507">
        <v>0.85</v>
      </c>
      <c r="V1936" s="76">
        <v>0</v>
      </c>
      <c r="W1936" s="76">
        <v>0</v>
      </c>
      <c r="X1936" s="76" t="s">
        <v>147</v>
      </c>
      <c r="Y1936" s="519" t="s">
        <v>469</v>
      </c>
    </row>
    <row r="1937" spans="1:25" x14ac:dyDescent="0.25">
      <c r="A1937" s="75" t="str">
        <f t="shared" si="69"/>
        <v>Pago_de_Hipoteca PROF Premier Pago_Fijo_Puntual Si 7</v>
      </c>
      <c r="B1937" s="75" t="str">
        <f t="shared" si="68"/>
        <v>Pago_de_Hipoteca PROF Premier Pago_Fijo_Puntual Si 7 0.103</v>
      </c>
      <c r="C1937" s="75" t="s">
        <v>173</v>
      </c>
      <c r="D1937" s="75" t="s">
        <v>169</v>
      </c>
      <c r="E1937" s="75" t="s">
        <v>143</v>
      </c>
      <c r="F1937" s="75"/>
      <c r="G1937" s="75"/>
      <c r="H1937" s="75"/>
      <c r="I1937" s="75" t="s">
        <v>171</v>
      </c>
      <c r="J1937" s="76">
        <v>7</v>
      </c>
      <c r="K1937" s="519" t="s">
        <v>387</v>
      </c>
      <c r="L1937" s="520">
        <v>16.84</v>
      </c>
      <c r="M1937" s="520">
        <v>17.5</v>
      </c>
      <c r="N1937" s="507">
        <v>0.10299999999999999</v>
      </c>
      <c r="O1937" s="507">
        <v>0.1</v>
      </c>
      <c r="P1937" s="507">
        <v>0.112</v>
      </c>
      <c r="Q1937" s="78">
        <v>0.44</v>
      </c>
      <c r="R1937" s="78">
        <v>0.31740000000000002</v>
      </c>
      <c r="S1937" s="69">
        <v>0</v>
      </c>
      <c r="T1937" s="69">
        <v>0</v>
      </c>
      <c r="U1937" s="507">
        <v>0.85</v>
      </c>
      <c r="V1937" s="76">
        <v>0</v>
      </c>
      <c r="W1937" s="76">
        <v>0</v>
      </c>
      <c r="X1937" s="76" t="s">
        <v>147</v>
      </c>
      <c r="Y1937" s="519" t="s">
        <v>469</v>
      </c>
    </row>
    <row r="1938" spans="1:25" x14ac:dyDescent="0.25">
      <c r="A1938" s="75" t="str">
        <f t="shared" si="69"/>
        <v>Pago_de_Hipoteca PROF Premier Pago_Fijo_Puntual Si 6</v>
      </c>
      <c r="B1938" s="75" t="str">
        <f t="shared" si="68"/>
        <v>Pago_de_Hipoteca PROF Premier Pago_Fijo_Puntual Si 6 0.103</v>
      </c>
      <c r="C1938" s="75" t="s">
        <v>173</v>
      </c>
      <c r="D1938" s="75" t="s">
        <v>169</v>
      </c>
      <c r="E1938" s="75" t="s">
        <v>143</v>
      </c>
      <c r="F1938" s="75"/>
      <c r="G1938" s="75"/>
      <c r="H1938" s="75"/>
      <c r="I1938" s="75" t="s">
        <v>171</v>
      </c>
      <c r="J1938" s="76">
        <v>6</v>
      </c>
      <c r="K1938" s="519" t="s">
        <v>387</v>
      </c>
      <c r="L1938" s="520">
        <v>18.739999999999998</v>
      </c>
      <c r="M1938" s="520">
        <v>19.399999999999999</v>
      </c>
      <c r="N1938" s="507">
        <v>0.10299999999999999</v>
      </c>
      <c r="O1938" s="507">
        <v>0.1</v>
      </c>
      <c r="P1938" s="507">
        <v>0.112</v>
      </c>
      <c r="Q1938" s="78">
        <v>0.44</v>
      </c>
      <c r="R1938" s="78">
        <v>0.31740000000000002</v>
      </c>
      <c r="S1938" s="69">
        <v>0</v>
      </c>
      <c r="T1938" s="69">
        <v>0</v>
      </c>
      <c r="U1938" s="507">
        <v>0.85</v>
      </c>
      <c r="V1938" s="76">
        <v>0</v>
      </c>
      <c r="W1938" s="76">
        <v>0</v>
      </c>
      <c r="X1938" s="76" t="s">
        <v>147</v>
      </c>
      <c r="Y1938" s="519" t="s">
        <v>469</v>
      </c>
    </row>
    <row r="1939" spans="1:25" x14ac:dyDescent="0.25">
      <c r="A1939" s="75" t="str">
        <f t="shared" si="69"/>
        <v>Pago_de_Hipoteca PROF Premier Pago_Fijo_Puntual Si 5</v>
      </c>
      <c r="B1939" s="75" t="str">
        <f t="shared" si="68"/>
        <v>Pago_de_Hipoteca PROF Premier Pago_Fijo_Puntual Si 5 0.103</v>
      </c>
      <c r="C1939" s="75" t="s">
        <v>173</v>
      </c>
      <c r="D1939" s="75" t="s">
        <v>169</v>
      </c>
      <c r="E1939" s="75" t="s">
        <v>143</v>
      </c>
      <c r="F1939" s="75"/>
      <c r="G1939" s="75"/>
      <c r="H1939" s="75"/>
      <c r="I1939" s="75" t="s">
        <v>171</v>
      </c>
      <c r="J1939" s="76">
        <v>5</v>
      </c>
      <c r="K1939" s="519" t="s">
        <v>387</v>
      </c>
      <c r="L1939" s="520">
        <v>21.44</v>
      </c>
      <c r="M1939" s="520">
        <v>22.1</v>
      </c>
      <c r="N1939" s="507">
        <v>0.10299999999999999</v>
      </c>
      <c r="O1939" s="507">
        <v>0.1</v>
      </c>
      <c r="P1939" s="507">
        <v>0.112</v>
      </c>
      <c r="Q1939" s="78">
        <v>0.44</v>
      </c>
      <c r="R1939" s="78">
        <v>0.31740000000000002</v>
      </c>
      <c r="S1939" s="69">
        <v>0</v>
      </c>
      <c r="T1939" s="69">
        <v>0</v>
      </c>
      <c r="U1939" s="507">
        <v>0.85</v>
      </c>
      <c r="V1939" s="76">
        <v>0</v>
      </c>
      <c r="W1939" s="76">
        <v>0</v>
      </c>
      <c r="X1939" s="76" t="s">
        <v>147</v>
      </c>
      <c r="Y1939" s="519" t="s">
        <v>469</v>
      </c>
    </row>
    <row r="1940" spans="1:25" x14ac:dyDescent="0.25">
      <c r="A1940" s="75" t="str">
        <f t="shared" si="69"/>
        <v>Pago_de_Hipoteca PROF Premier Pago_Bajo_Puntual Si 20</v>
      </c>
      <c r="B1940" s="75" t="str">
        <f t="shared" si="68"/>
        <v>Pago_de_Hipoteca PROF Premier Pago_Bajo_Puntual Si 20 0.103</v>
      </c>
      <c r="C1940" s="75" t="s">
        <v>173</v>
      </c>
      <c r="D1940" s="75" t="s">
        <v>169</v>
      </c>
      <c r="E1940" s="75" t="s">
        <v>143</v>
      </c>
      <c r="F1940" s="75"/>
      <c r="G1940" s="75"/>
      <c r="H1940" s="75"/>
      <c r="I1940" s="75" t="s">
        <v>170</v>
      </c>
      <c r="J1940" s="76">
        <v>20</v>
      </c>
      <c r="K1940" s="519" t="s">
        <v>387</v>
      </c>
      <c r="L1940" s="520">
        <v>9</v>
      </c>
      <c r="M1940" s="520">
        <v>9.66</v>
      </c>
      <c r="N1940" s="507">
        <v>0.10299999999999999</v>
      </c>
      <c r="O1940" s="507">
        <v>0.1</v>
      </c>
      <c r="P1940" s="507">
        <v>0.112</v>
      </c>
      <c r="Q1940" s="78">
        <v>0.44</v>
      </c>
      <c r="R1940" s="78">
        <v>0.31740000000000002</v>
      </c>
      <c r="S1940" s="69">
        <v>0</v>
      </c>
      <c r="T1940" s="69">
        <v>0</v>
      </c>
      <c r="U1940" s="507">
        <v>0.85</v>
      </c>
      <c r="V1940" s="76">
        <v>0</v>
      </c>
      <c r="W1940" s="76">
        <v>0</v>
      </c>
      <c r="X1940" s="76" t="s">
        <v>147</v>
      </c>
      <c r="Y1940" s="519" t="s">
        <v>469</v>
      </c>
    </row>
    <row r="1941" spans="1:25" x14ac:dyDescent="0.25">
      <c r="A1941" s="75" t="str">
        <f t="shared" si="69"/>
        <v>Pago_de_Hipoteca PROF Premier Pago_Bajo_Puntual Si 19</v>
      </c>
      <c r="B1941" s="75" t="str">
        <f t="shared" si="68"/>
        <v>Pago_de_Hipoteca PROF Premier Pago_Bajo_Puntual Si 19 0.103</v>
      </c>
      <c r="C1941" s="75" t="s">
        <v>173</v>
      </c>
      <c r="D1941" s="75" t="s">
        <v>169</v>
      </c>
      <c r="E1941" s="75" t="s">
        <v>143</v>
      </c>
      <c r="F1941" s="75"/>
      <c r="G1941" s="75"/>
      <c r="H1941" s="75"/>
      <c r="I1941" s="75" t="s">
        <v>170</v>
      </c>
      <c r="J1941" s="76">
        <v>19</v>
      </c>
      <c r="K1941" s="519" t="s">
        <v>387</v>
      </c>
      <c r="L1941" s="520">
        <v>9.17</v>
      </c>
      <c r="M1941" s="520">
        <v>9.83</v>
      </c>
      <c r="N1941" s="507">
        <v>0.10299999999999999</v>
      </c>
      <c r="O1941" s="507">
        <v>0.1</v>
      </c>
      <c r="P1941" s="507">
        <v>0.112</v>
      </c>
      <c r="Q1941" s="78">
        <v>0.44</v>
      </c>
      <c r="R1941" s="78">
        <v>0.31740000000000002</v>
      </c>
      <c r="S1941" s="69">
        <v>0</v>
      </c>
      <c r="T1941" s="69">
        <v>0</v>
      </c>
      <c r="U1941" s="507">
        <v>0.85</v>
      </c>
      <c r="V1941" s="76">
        <v>0</v>
      </c>
      <c r="W1941" s="76">
        <v>0</v>
      </c>
      <c r="X1941" s="76" t="s">
        <v>147</v>
      </c>
      <c r="Y1941" s="519" t="s">
        <v>469</v>
      </c>
    </row>
    <row r="1942" spans="1:25" x14ac:dyDescent="0.25">
      <c r="A1942" s="75" t="str">
        <f t="shared" si="69"/>
        <v>Pago_de_Hipoteca PROF Premier Pago_Bajo_Puntual Si 18</v>
      </c>
      <c r="B1942" s="75" t="str">
        <f t="shared" si="68"/>
        <v>Pago_de_Hipoteca PROF Premier Pago_Bajo_Puntual Si 18 0.103</v>
      </c>
      <c r="C1942" s="75" t="s">
        <v>173</v>
      </c>
      <c r="D1942" s="75" t="s">
        <v>169</v>
      </c>
      <c r="E1942" s="75" t="s">
        <v>143</v>
      </c>
      <c r="F1942" s="75"/>
      <c r="G1942" s="75"/>
      <c r="H1942" s="75"/>
      <c r="I1942" s="75" t="s">
        <v>170</v>
      </c>
      <c r="J1942" s="76">
        <v>18</v>
      </c>
      <c r="K1942" s="519" t="s">
        <v>387</v>
      </c>
      <c r="L1942" s="520">
        <v>9.36</v>
      </c>
      <c r="M1942" s="520">
        <v>10.02</v>
      </c>
      <c r="N1942" s="507">
        <v>0.10299999999999999</v>
      </c>
      <c r="O1942" s="507">
        <v>0.1</v>
      </c>
      <c r="P1942" s="507">
        <v>0.112</v>
      </c>
      <c r="Q1942" s="78">
        <v>0.44</v>
      </c>
      <c r="R1942" s="78">
        <v>0.31740000000000002</v>
      </c>
      <c r="S1942" s="69">
        <v>0</v>
      </c>
      <c r="T1942" s="69">
        <v>0</v>
      </c>
      <c r="U1942" s="507">
        <v>0.85</v>
      </c>
      <c r="V1942" s="76">
        <v>0</v>
      </c>
      <c r="W1942" s="76">
        <v>0</v>
      </c>
      <c r="X1942" s="76" t="s">
        <v>147</v>
      </c>
      <c r="Y1942" s="519" t="s">
        <v>469</v>
      </c>
    </row>
    <row r="1943" spans="1:25" x14ac:dyDescent="0.25">
      <c r="A1943" s="75" t="str">
        <f t="shared" si="69"/>
        <v>Pago_de_Hipoteca PROF Premier Pago_Bajo_Puntual Si 17</v>
      </c>
      <c r="B1943" s="75" t="str">
        <f t="shared" si="68"/>
        <v>Pago_de_Hipoteca PROF Premier Pago_Bajo_Puntual Si 17 0.103</v>
      </c>
      <c r="C1943" s="75" t="s">
        <v>173</v>
      </c>
      <c r="D1943" s="75" t="s">
        <v>169</v>
      </c>
      <c r="E1943" s="75" t="s">
        <v>143</v>
      </c>
      <c r="F1943" s="75"/>
      <c r="G1943" s="75"/>
      <c r="H1943" s="75"/>
      <c r="I1943" s="75" t="s">
        <v>170</v>
      </c>
      <c r="J1943" s="76">
        <v>17</v>
      </c>
      <c r="K1943" s="519" t="s">
        <v>387</v>
      </c>
      <c r="L1943" s="520">
        <v>9.58</v>
      </c>
      <c r="M1943" s="520">
        <v>10.24</v>
      </c>
      <c r="N1943" s="507">
        <v>0.10299999999999999</v>
      </c>
      <c r="O1943" s="507">
        <v>0.1</v>
      </c>
      <c r="P1943" s="507">
        <v>0.112</v>
      </c>
      <c r="Q1943" s="78">
        <v>0.44</v>
      </c>
      <c r="R1943" s="78">
        <v>0.31740000000000002</v>
      </c>
      <c r="S1943" s="69">
        <v>0</v>
      </c>
      <c r="T1943" s="69">
        <v>0</v>
      </c>
      <c r="U1943" s="507">
        <v>0.85</v>
      </c>
      <c r="V1943" s="76">
        <v>0</v>
      </c>
      <c r="W1943" s="76">
        <v>0</v>
      </c>
      <c r="X1943" s="76" t="s">
        <v>147</v>
      </c>
      <c r="Y1943" s="519" t="s">
        <v>469</v>
      </c>
    </row>
    <row r="1944" spans="1:25" x14ac:dyDescent="0.25">
      <c r="A1944" s="75" t="str">
        <f t="shared" si="69"/>
        <v>Pago_de_Hipoteca PROF Premier Pago_Bajo_Puntual Si 16</v>
      </c>
      <c r="B1944" s="75" t="str">
        <f t="shared" si="68"/>
        <v>Pago_de_Hipoteca PROF Premier Pago_Bajo_Puntual Si 16 0.103</v>
      </c>
      <c r="C1944" s="75" t="s">
        <v>173</v>
      </c>
      <c r="D1944" s="75" t="s">
        <v>169</v>
      </c>
      <c r="E1944" s="75" t="s">
        <v>143</v>
      </c>
      <c r="F1944" s="75"/>
      <c r="G1944" s="75"/>
      <c r="H1944" s="75"/>
      <c r="I1944" s="75" t="s">
        <v>170</v>
      </c>
      <c r="J1944" s="76">
        <v>16</v>
      </c>
      <c r="K1944" s="519" t="s">
        <v>387</v>
      </c>
      <c r="L1944" s="520">
        <v>9.83</v>
      </c>
      <c r="M1944" s="520">
        <v>10.49</v>
      </c>
      <c r="N1944" s="507">
        <v>0.10299999999999999</v>
      </c>
      <c r="O1944" s="507">
        <v>0.1</v>
      </c>
      <c r="P1944" s="507">
        <v>0.112</v>
      </c>
      <c r="Q1944" s="78">
        <v>0.44</v>
      </c>
      <c r="R1944" s="78">
        <v>0.31740000000000002</v>
      </c>
      <c r="S1944" s="69">
        <v>0</v>
      </c>
      <c r="T1944" s="69">
        <v>0</v>
      </c>
      <c r="U1944" s="507">
        <v>0.85</v>
      </c>
      <c r="V1944" s="76">
        <v>0</v>
      </c>
      <c r="W1944" s="76">
        <v>0</v>
      </c>
      <c r="X1944" s="76" t="s">
        <v>147</v>
      </c>
      <c r="Y1944" s="519" t="s">
        <v>469</v>
      </c>
    </row>
    <row r="1945" spans="1:25" x14ac:dyDescent="0.25">
      <c r="A1945" s="75" t="str">
        <f t="shared" si="69"/>
        <v>Pago_de_Hipoteca PROF Premier Pago_Bajo_Puntual Si 15</v>
      </c>
      <c r="B1945" s="75" t="str">
        <f t="shared" si="68"/>
        <v>Pago_de_Hipoteca PROF Premier Pago_Bajo_Puntual Si 15 0.103</v>
      </c>
      <c r="C1945" s="75" t="s">
        <v>173</v>
      </c>
      <c r="D1945" s="75" t="s">
        <v>169</v>
      </c>
      <c r="E1945" s="75" t="s">
        <v>143</v>
      </c>
      <c r="F1945" s="75"/>
      <c r="G1945" s="75"/>
      <c r="H1945" s="75"/>
      <c r="I1945" s="75" t="s">
        <v>170</v>
      </c>
      <c r="J1945" s="76">
        <v>15</v>
      </c>
      <c r="K1945" s="519" t="s">
        <v>387</v>
      </c>
      <c r="L1945" s="520">
        <v>10.119999999999999</v>
      </c>
      <c r="M1945" s="520">
        <v>10.78</v>
      </c>
      <c r="N1945" s="507">
        <v>0.10299999999999999</v>
      </c>
      <c r="O1945" s="507">
        <v>0.1</v>
      </c>
      <c r="P1945" s="507">
        <v>0.112</v>
      </c>
      <c r="Q1945" s="78">
        <v>0.44</v>
      </c>
      <c r="R1945" s="78">
        <v>0.31740000000000002</v>
      </c>
      <c r="S1945" s="69">
        <v>0</v>
      </c>
      <c r="T1945" s="69">
        <v>0</v>
      </c>
      <c r="U1945" s="507">
        <v>0.85</v>
      </c>
      <c r="V1945" s="76">
        <v>0</v>
      </c>
      <c r="W1945" s="76">
        <v>0</v>
      </c>
      <c r="X1945" s="76" t="s">
        <v>147</v>
      </c>
      <c r="Y1945" s="519" t="s">
        <v>469</v>
      </c>
    </row>
    <row r="1946" spans="1:25" x14ac:dyDescent="0.25">
      <c r="A1946" s="75" t="str">
        <f t="shared" si="69"/>
        <v>Pago_de_Hipoteca PROF Premier Pago_Bajo_Puntual Si 14</v>
      </c>
      <c r="B1946" s="75" t="str">
        <f t="shared" si="68"/>
        <v>Pago_de_Hipoteca PROF Premier Pago_Bajo_Puntual Si 14 0.103</v>
      </c>
      <c r="C1946" s="75" t="s">
        <v>173</v>
      </c>
      <c r="D1946" s="75" t="s">
        <v>169</v>
      </c>
      <c r="E1946" s="75" t="s">
        <v>143</v>
      </c>
      <c r="F1946" s="75"/>
      <c r="G1946" s="75"/>
      <c r="H1946" s="75"/>
      <c r="I1946" s="75" t="s">
        <v>170</v>
      </c>
      <c r="J1946" s="76">
        <v>14</v>
      </c>
      <c r="K1946" s="519" t="s">
        <v>387</v>
      </c>
      <c r="L1946" s="520">
        <v>10.46</v>
      </c>
      <c r="M1946" s="520">
        <v>11.12</v>
      </c>
      <c r="N1946" s="507">
        <v>0.10299999999999999</v>
      </c>
      <c r="O1946" s="507">
        <v>0.1</v>
      </c>
      <c r="P1946" s="507">
        <v>0.112</v>
      </c>
      <c r="Q1946" s="78">
        <v>0.44</v>
      </c>
      <c r="R1946" s="78">
        <v>0.31740000000000002</v>
      </c>
      <c r="S1946" s="69">
        <v>0</v>
      </c>
      <c r="T1946" s="69">
        <v>0</v>
      </c>
      <c r="U1946" s="507">
        <v>0.85</v>
      </c>
      <c r="V1946" s="76">
        <v>0</v>
      </c>
      <c r="W1946" s="76">
        <v>0</v>
      </c>
      <c r="X1946" s="76" t="s">
        <v>147</v>
      </c>
      <c r="Y1946" s="519" t="s">
        <v>469</v>
      </c>
    </row>
    <row r="1947" spans="1:25" x14ac:dyDescent="0.25">
      <c r="A1947" s="75" t="str">
        <f t="shared" si="69"/>
        <v>Pago_de_Hipoteca PROF Premier Pago_Bajo_Puntual Si 13</v>
      </c>
      <c r="B1947" s="75" t="str">
        <f t="shared" si="68"/>
        <v>Pago_de_Hipoteca PROF Premier Pago_Bajo_Puntual Si 13 0.103</v>
      </c>
      <c r="C1947" s="75" t="s">
        <v>173</v>
      </c>
      <c r="D1947" s="75" t="s">
        <v>169</v>
      </c>
      <c r="E1947" s="75" t="s">
        <v>143</v>
      </c>
      <c r="F1947" s="75"/>
      <c r="G1947" s="75"/>
      <c r="H1947" s="75"/>
      <c r="I1947" s="75" t="s">
        <v>170</v>
      </c>
      <c r="J1947" s="76">
        <v>13</v>
      </c>
      <c r="K1947" s="519" t="s">
        <v>387</v>
      </c>
      <c r="L1947" s="520">
        <v>10.86</v>
      </c>
      <c r="M1947" s="520">
        <v>11.52</v>
      </c>
      <c r="N1947" s="507">
        <v>0.10299999999999999</v>
      </c>
      <c r="O1947" s="507">
        <v>0.1</v>
      </c>
      <c r="P1947" s="507">
        <v>0.112</v>
      </c>
      <c r="Q1947" s="78">
        <v>0.44</v>
      </c>
      <c r="R1947" s="78">
        <v>0.31740000000000002</v>
      </c>
      <c r="S1947" s="69">
        <v>0</v>
      </c>
      <c r="T1947" s="69">
        <v>0</v>
      </c>
      <c r="U1947" s="507">
        <v>0.85</v>
      </c>
      <c r="V1947" s="76">
        <v>0</v>
      </c>
      <c r="W1947" s="76">
        <v>0</v>
      </c>
      <c r="X1947" s="76" t="s">
        <v>147</v>
      </c>
      <c r="Y1947" s="519" t="s">
        <v>469</v>
      </c>
    </row>
    <row r="1948" spans="1:25" x14ac:dyDescent="0.25">
      <c r="A1948" s="75" t="str">
        <f t="shared" si="69"/>
        <v>Pago_de_Hipoteca PROF Premier Pago_Bajo_Puntual Si 12</v>
      </c>
      <c r="B1948" s="75" t="str">
        <f t="shared" si="68"/>
        <v>Pago_de_Hipoteca PROF Premier Pago_Bajo_Puntual Si 12 0.103</v>
      </c>
      <c r="C1948" s="75" t="s">
        <v>173</v>
      </c>
      <c r="D1948" s="75" t="s">
        <v>169</v>
      </c>
      <c r="E1948" s="75" t="s">
        <v>143</v>
      </c>
      <c r="F1948" s="75"/>
      <c r="G1948" s="75"/>
      <c r="H1948" s="75"/>
      <c r="I1948" s="75" t="s">
        <v>170</v>
      </c>
      <c r="J1948" s="76">
        <v>12</v>
      </c>
      <c r="K1948" s="519" t="s">
        <v>387</v>
      </c>
      <c r="L1948" s="520">
        <v>11.34</v>
      </c>
      <c r="M1948" s="520">
        <v>12</v>
      </c>
      <c r="N1948" s="507">
        <v>0.10299999999999999</v>
      </c>
      <c r="O1948" s="507">
        <v>0.1</v>
      </c>
      <c r="P1948" s="507">
        <v>0.112</v>
      </c>
      <c r="Q1948" s="78">
        <v>0.44</v>
      </c>
      <c r="R1948" s="78">
        <v>0.31740000000000002</v>
      </c>
      <c r="S1948" s="69">
        <v>0</v>
      </c>
      <c r="T1948" s="69">
        <v>0</v>
      </c>
      <c r="U1948" s="507">
        <v>0.85</v>
      </c>
      <c r="V1948" s="76">
        <v>0</v>
      </c>
      <c r="W1948" s="76">
        <v>0</v>
      </c>
      <c r="X1948" s="76" t="s">
        <v>147</v>
      </c>
      <c r="Y1948" s="519" t="s">
        <v>469</v>
      </c>
    </row>
    <row r="1949" spans="1:25" x14ac:dyDescent="0.25">
      <c r="A1949" s="75" t="str">
        <f t="shared" si="69"/>
        <v>Pago_de_Hipoteca PROF Premier Pago_Bajo_Puntual Si 11</v>
      </c>
      <c r="B1949" s="75" t="str">
        <f t="shared" si="68"/>
        <v>Pago_de_Hipoteca PROF Premier Pago_Bajo_Puntual Si 11 0.103</v>
      </c>
      <c r="C1949" s="75" t="s">
        <v>173</v>
      </c>
      <c r="D1949" s="75" t="s">
        <v>169</v>
      </c>
      <c r="E1949" s="75" t="s">
        <v>143</v>
      </c>
      <c r="F1949" s="75"/>
      <c r="G1949" s="75"/>
      <c r="H1949" s="75"/>
      <c r="I1949" s="75" t="s">
        <v>170</v>
      </c>
      <c r="J1949" s="76">
        <v>11</v>
      </c>
      <c r="K1949" s="519" t="s">
        <v>387</v>
      </c>
      <c r="L1949" s="520">
        <v>11.92</v>
      </c>
      <c r="M1949" s="520">
        <v>12.58</v>
      </c>
      <c r="N1949" s="507">
        <v>0.10299999999999999</v>
      </c>
      <c r="O1949" s="507">
        <v>0.1</v>
      </c>
      <c r="P1949" s="507">
        <v>0.112</v>
      </c>
      <c r="Q1949" s="78">
        <v>0.44</v>
      </c>
      <c r="R1949" s="78">
        <v>0.31740000000000002</v>
      </c>
      <c r="S1949" s="69">
        <v>0</v>
      </c>
      <c r="T1949" s="69">
        <v>0</v>
      </c>
      <c r="U1949" s="507">
        <v>0.85</v>
      </c>
      <c r="V1949" s="76">
        <v>0</v>
      </c>
      <c r="W1949" s="76">
        <v>0</v>
      </c>
      <c r="X1949" s="76" t="s">
        <v>147</v>
      </c>
      <c r="Y1949" s="519" t="s">
        <v>469</v>
      </c>
    </row>
    <row r="1950" spans="1:25" x14ac:dyDescent="0.25">
      <c r="A1950" s="75" t="str">
        <f t="shared" si="69"/>
        <v>Pago_de_Hipoteca PROF Premier Pago_Bajo_Puntual Si 10</v>
      </c>
      <c r="B1950" s="75" t="str">
        <f t="shared" si="68"/>
        <v>Pago_de_Hipoteca PROF Premier Pago_Bajo_Puntual Si 10 0.103</v>
      </c>
      <c r="C1950" s="75" t="s">
        <v>173</v>
      </c>
      <c r="D1950" s="75" t="s">
        <v>169</v>
      </c>
      <c r="E1950" s="75" t="s">
        <v>143</v>
      </c>
      <c r="F1950" s="75"/>
      <c r="G1950" s="75"/>
      <c r="H1950" s="75"/>
      <c r="I1950" s="75" t="s">
        <v>170</v>
      </c>
      <c r="J1950" s="76">
        <v>10</v>
      </c>
      <c r="K1950" s="519" t="s">
        <v>387</v>
      </c>
      <c r="L1950" s="520">
        <v>12.62</v>
      </c>
      <c r="M1950" s="520">
        <v>13.28</v>
      </c>
      <c r="N1950" s="507">
        <v>0.10299999999999999</v>
      </c>
      <c r="O1950" s="507">
        <v>0.1</v>
      </c>
      <c r="P1950" s="507">
        <v>0.112</v>
      </c>
      <c r="Q1950" s="78">
        <v>0.44</v>
      </c>
      <c r="R1950" s="78">
        <v>0.31740000000000002</v>
      </c>
      <c r="S1950" s="69">
        <v>0</v>
      </c>
      <c r="T1950" s="69">
        <v>0</v>
      </c>
      <c r="U1950" s="507">
        <v>0.85</v>
      </c>
      <c r="V1950" s="76">
        <v>0</v>
      </c>
      <c r="W1950" s="76">
        <v>0</v>
      </c>
      <c r="X1950" s="76" t="s">
        <v>147</v>
      </c>
      <c r="Y1950" s="519" t="s">
        <v>469</v>
      </c>
    </row>
    <row r="1951" spans="1:25" x14ac:dyDescent="0.25">
      <c r="A1951" s="75" t="str">
        <f t="shared" si="69"/>
        <v>Pago_de_Hipoteca PROF Premier Pago_Bajo_Puntual Si 9</v>
      </c>
      <c r="B1951" s="75" t="str">
        <f t="shared" si="68"/>
        <v>Pago_de_Hipoteca PROF Premier Pago_Bajo_Puntual Si 9 0.103</v>
      </c>
      <c r="C1951" s="75" t="s">
        <v>173</v>
      </c>
      <c r="D1951" s="75" t="s">
        <v>169</v>
      </c>
      <c r="E1951" s="75" t="s">
        <v>143</v>
      </c>
      <c r="F1951" s="75"/>
      <c r="G1951" s="75"/>
      <c r="H1951" s="75"/>
      <c r="I1951" s="75" t="s">
        <v>170</v>
      </c>
      <c r="J1951" s="76">
        <v>9</v>
      </c>
      <c r="K1951" s="519" t="s">
        <v>387</v>
      </c>
      <c r="L1951" s="520">
        <v>13.49</v>
      </c>
      <c r="M1951" s="520">
        <v>14.15</v>
      </c>
      <c r="N1951" s="507">
        <v>0.10299999999999999</v>
      </c>
      <c r="O1951" s="507">
        <v>0.1</v>
      </c>
      <c r="P1951" s="507">
        <v>0.112</v>
      </c>
      <c r="Q1951" s="78">
        <v>0.44</v>
      </c>
      <c r="R1951" s="78">
        <v>0.31740000000000002</v>
      </c>
      <c r="S1951" s="69">
        <v>0</v>
      </c>
      <c r="T1951" s="69">
        <v>0</v>
      </c>
      <c r="U1951" s="507">
        <v>0.85</v>
      </c>
      <c r="V1951" s="76">
        <v>0</v>
      </c>
      <c r="W1951" s="76">
        <v>0</v>
      </c>
      <c r="X1951" s="76" t="s">
        <v>147</v>
      </c>
      <c r="Y1951" s="519" t="s">
        <v>469</v>
      </c>
    </row>
    <row r="1952" spans="1:25" x14ac:dyDescent="0.25">
      <c r="A1952" s="75" t="str">
        <f t="shared" si="69"/>
        <v>Pago_de_Hipoteca PROF Premier Pago_Bajo_Puntual Si 8</v>
      </c>
      <c r="B1952" s="75" t="str">
        <f t="shared" si="68"/>
        <v>Pago_de_Hipoteca PROF Premier Pago_Bajo_Puntual Si 8 0.103</v>
      </c>
      <c r="C1952" s="75" t="s">
        <v>173</v>
      </c>
      <c r="D1952" s="75" t="s">
        <v>169</v>
      </c>
      <c r="E1952" s="75" t="s">
        <v>143</v>
      </c>
      <c r="F1952" s="75"/>
      <c r="G1952" s="75"/>
      <c r="H1952" s="75"/>
      <c r="I1952" s="75" t="s">
        <v>170</v>
      </c>
      <c r="J1952" s="76">
        <v>8</v>
      </c>
      <c r="K1952" s="519" t="s">
        <v>387</v>
      </c>
      <c r="L1952" s="520">
        <v>14.59</v>
      </c>
      <c r="M1952" s="520">
        <v>15.25</v>
      </c>
      <c r="N1952" s="507">
        <v>0.10299999999999999</v>
      </c>
      <c r="O1952" s="507">
        <v>0.1</v>
      </c>
      <c r="P1952" s="507">
        <v>0.112</v>
      </c>
      <c r="Q1952" s="78">
        <v>0.44</v>
      </c>
      <c r="R1952" s="78">
        <v>0.31740000000000002</v>
      </c>
      <c r="S1952" s="69">
        <v>0</v>
      </c>
      <c r="T1952" s="69">
        <v>0</v>
      </c>
      <c r="U1952" s="507">
        <v>0.85</v>
      </c>
      <c r="V1952" s="76">
        <v>0</v>
      </c>
      <c r="W1952" s="76">
        <v>0</v>
      </c>
      <c r="X1952" s="76" t="s">
        <v>147</v>
      </c>
      <c r="Y1952" s="519" t="s">
        <v>469</v>
      </c>
    </row>
    <row r="1953" spans="1:25" x14ac:dyDescent="0.25">
      <c r="A1953" s="75" t="str">
        <f t="shared" si="69"/>
        <v>Pago_de_Hipoteca PROF Premier Pago_Bajo_Puntual Si 7</v>
      </c>
      <c r="B1953" s="75" t="str">
        <f t="shared" si="68"/>
        <v>Pago_de_Hipoteca PROF Premier Pago_Bajo_Puntual Si 7 0.103</v>
      </c>
      <c r="C1953" s="75" t="s">
        <v>173</v>
      </c>
      <c r="D1953" s="75" t="s">
        <v>169</v>
      </c>
      <c r="E1953" s="75" t="s">
        <v>143</v>
      </c>
      <c r="F1953" s="75"/>
      <c r="G1953" s="75"/>
      <c r="H1953" s="75"/>
      <c r="I1953" s="75" t="s">
        <v>170</v>
      </c>
      <c r="J1953" s="76">
        <v>7</v>
      </c>
      <c r="K1953" s="519" t="s">
        <v>387</v>
      </c>
      <c r="L1953" s="520">
        <v>16.03</v>
      </c>
      <c r="M1953" s="520">
        <v>16.690000000000001</v>
      </c>
      <c r="N1953" s="507">
        <v>0.10299999999999999</v>
      </c>
      <c r="O1953" s="507">
        <v>0.1</v>
      </c>
      <c r="P1953" s="507">
        <v>0.112</v>
      </c>
      <c r="Q1953" s="78">
        <v>0.44</v>
      </c>
      <c r="R1953" s="78">
        <v>0.31740000000000002</v>
      </c>
      <c r="S1953" s="69">
        <v>0</v>
      </c>
      <c r="T1953" s="69">
        <v>0</v>
      </c>
      <c r="U1953" s="507">
        <v>0.85</v>
      </c>
      <c r="V1953" s="76">
        <v>0</v>
      </c>
      <c r="W1953" s="76">
        <v>0</v>
      </c>
      <c r="X1953" s="76" t="s">
        <v>147</v>
      </c>
      <c r="Y1953" s="519" t="s">
        <v>469</v>
      </c>
    </row>
    <row r="1954" spans="1:25" x14ac:dyDescent="0.25">
      <c r="A1954" s="75" t="str">
        <f t="shared" si="69"/>
        <v>Pago_de_Hipoteca PROF Premier Pago_Bajo_Puntual Si 6</v>
      </c>
      <c r="B1954" s="75" t="str">
        <f t="shared" si="68"/>
        <v>Pago_de_Hipoteca PROF Premier Pago_Bajo_Puntual Si 6 0.103</v>
      </c>
      <c r="C1954" s="75" t="s">
        <v>173</v>
      </c>
      <c r="D1954" s="75" t="s">
        <v>169</v>
      </c>
      <c r="E1954" s="75" t="s">
        <v>143</v>
      </c>
      <c r="F1954" s="75"/>
      <c r="G1954" s="75"/>
      <c r="H1954" s="75"/>
      <c r="I1954" s="75" t="s">
        <v>170</v>
      </c>
      <c r="J1954" s="76">
        <v>6</v>
      </c>
      <c r="K1954" s="519" t="s">
        <v>387</v>
      </c>
      <c r="L1954" s="520">
        <v>17.97</v>
      </c>
      <c r="M1954" s="520">
        <v>18.63</v>
      </c>
      <c r="N1954" s="507">
        <v>0.10299999999999999</v>
      </c>
      <c r="O1954" s="507">
        <v>0.1</v>
      </c>
      <c r="P1954" s="507">
        <v>0.112</v>
      </c>
      <c r="Q1954" s="78">
        <v>0.44</v>
      </c>
      <c r="R1954" s="78">
        <v>0.31740000000000002</v>
      </c>
      <c r="S1954" s="69">
        <v>0</v>
      </c>
      <c r="T1954" s="69">
        <v>0</v>
      </c>
      <c r="U1954" s="507">
        <v>0.85</v>
      </c>
      <c r="V1954" s="76">
        <v>0</v>
      </c>
      <c r="W1954" s="76">
        <v>0</v>
      </c>
      <c r="X1954" s="76" t="s">
        <v>147</v>
      </c>
      <c r="Y1954" s="519" t="s">
        <v>469</v>
      </c>
    </row>
    <row r="1955" spans="1:25" x14ac:dyDescent="0.25">
      <c r="A1955" s="75" t="str">
        <f t="shared" si="69"/>
        <v>Pago_de_Hipoteca PROF Premier Pago_Bajo_Puntual Si 5</v>
      </c>
      <c r="B1955" s="75" t="str">
        <f t="shared" si="68"/>
        <v>Pago_de_Hipoteca PROF Premier Pago_Bajo_Puntual Si 5 0.103</v>
      </c>
      <c r="C1955" s="75" t="s">
        <v>173</v>
      </c>
      <c r="D1955" s="75" t="s">
        <v>169</v>
      </c>
      <c r="E1955" s="75" t="s">
        <v>143</v>
      </c>
      <c r="F1955" s="75"/>
      <c r="G1955" s="75"/>
      <c r="H1955" s="75"/>
      <c r="I1955" s="75" t="s">
        <v>170</v>
      </c>
      <c r="J1955" s="76">
        <v>5</v>
      </c>
      <c r="K1955" s="519" t="s">
        <v>387</v>
      </c>
      <c r="L1955" s="520">
        <v>20.72</v>
      </c>
      <c r="M1955" s="520">
        <v>21.38</v>
      </c>
      <c r="N1955" s="507">
        <v>0.10299999999999999</v>
      </c>
      <c r="O1955" s="507">
        <v>0.1</v>
      </c>
      <c r="P1955" s="507">
        <v>0.112</v>
      </c>
      <c r="Q1955" s="78">
        <v>0.44</v>
      </c>
      <c r="R1955" s="78">
        <v>0.31740000000000002</v>
      </c>
      <c r="S1955" s="69">
        <v>0</v>
      </c>
      <c r="T1955" s="69">
        <v>0</v>
      </c>
      <c r="U1955" s="507">
        <v>0.85</v>
      </c>
      <c r="V1955" s="76">
        <v>0</v>
      </c>
      <c r="W1955" s="76">
        <v>0</v>
      </c>
      <c r="X1955" s="76" t="s">
        <v>147</v>
      </c>
      <c r="Y1955" s="519" t="s">
        <v>469</v>
      </c>
    </row>
    <row r="1956" spans="1:25" x14ac:dyDescent="0.25">
      <c r="A1956" s="75" t="str">
        <f t="shared" si="69"/>
        <v>Pago_de_Hipoteca PROF Premier Pago_Fijo_Puntual 20</v>
      </c>
      <c r="B1956" s="75" t="str">
        <f t="shared" si="68"/>
        <v>Pago_de_Hipoteca PROF Premier Pago_Fijo_Puntual 20 0.0965</v>
      </c>
      <c r="C1956" s="75" t="s">
        <v>173</v>
      </c>
      <c r="D1956" s="75" t="s">
        <v>169</v>
      </c>
      <c r="E1956" s="75" t="s">
        <v>143</v>
      </c>
      <c r="F1956" s="75"/>
      <c r="G1956" s="75"/>
      <c r="H1956" s="75"/>
      <c r="I1956" s="75" t="s">
        <v>171</v>
      </c>
      <c r="J1956" s="76">
        <v>20</v>
      </c>
      <c r="K1956" s="516" t="s">
        <v>385</v>
      </c>
      <c r="L1956" s="517">
        <v>9.66</v>
      </c>
      <c r="M1956" s="517">
        <v>10.32</v>
      </c>
      <c r="N1956" s="518">
        <v>9.6500000000000002E-2</v>
      </c>
      <c r="O1956" s="518">
        <v>9.1999999999999998E-2</v>
      </c>
      <c r="P1956" s="518">
        <v>0.10249999999999999</v>
      </c>
      <c r="Q1956" s="78">
        <v>0.44</v>
      </c>
      <c r="R1956" s="78">
        <v>0.31740000000000002</v>
      </c>
      <c r="S1956" s="69">
        <v>0</v>
      </c>
      <c r="T1956" s="69">
        <v>0</v>
      </c>
      <c r="U1956" s="518">
        <v>0.7</v>
      </c>
      <c r="V1956" s="76">
        <v>0</v>
      </c>
      <c r="W1956" s="76">
        <v>0</v>
      </c>
      <c r="X1956" s="76"/>
      <c r="Y1956" s="516" t="s">
        <v>470</v>
      </c>
    </row>
    <row r="1957" spans="1:25" x14ac:dyDescent="0.25">
      <c r="A1957" s="75" t="str">
        <f t="shared" si="69"/>
        <v>Pago_de_Hipoteca PROF Premier Pago_Fijo_Puntual 20</v>
      </c>
      <c r="B1957" s="75" t="str">
        <f t="shared" si="68"/>
        <v>Pago_de_Hipoteca PROF Premier Pago_Fijo_Puntual 20 0.103</v>
      </c>
      <c r="C1957" s="75" t="s">
        <v>173</v>
      </c>
      <c r="D1957" s="75" t="s">
        <v>169</v>
      </c>
      <c r="E1957" s="75" t="s">
        <v>143</v>
      </c>
      <c r="F1957" s="75"/>
      <c r="G1957" s="75"/>
      <c r="H1957" s="75"/>
      <c r="I1957" s="75" t="s">
        <v>171</v>
      </c>
      <c r="J1957" s="76">
        <v>20</v>
      </c>
      <c r="K1957" s="516" t="s">
        <v>386</v>
      </c>
      <c r="L1957" s="517">
        <v>10.16</v>
      </c>
      <c r="M1957" s="517">
        <v>10.82</v>
      </c>
      <c r="N1957" s="518">
        <v>0.10299999999999999</v>
      </c>
      <c r="O1957" s="518">
        <v>0.1</v>
      </c>
      <c r="P1957" s="518">
        <v>0.112</v>
      </c>
      <c r="Q1957" s="78">
        <v>0.44</v>
      </c>
      <c r="R1957" s="78">
        <v>0.31740000000000002</v>
      </c>
      <c r="S1957" s="69">
        <v>0</v>
      </c>
      <c r="T1957" s="69">
        <v>0</v>
      </c>
      <c r="U1957" s="518">
        <v>0.7</v>
      </c>
      <c r="V1957" s="76">
        <v>0</v>
      </c>
      <c r="W1957" s="76">
        <v>0</v>
      </c>
      <c r="X1957" s="76"/>
      <c r="Y1957" s="516" t="s">
        <v>470</v>
      </c>
    </row>
    <row r="1958" spans="1:25" x14ac:dyDescent="0.25">
      <c r="A1958" s="75" t="str">
        <f t="shared" si="69"/>
        <v>Pago_de_Hipoteca PROF Premier Pago_Fijo_Puntual 19</v>
      </c>
      <c r="B1958" s="75" t="str">
        <f t="shared" ref="B1958:B2021" si="70">CONCATENATE(A1958," ",N1958)</f>
        <v>Pago_de_Hipoteca PROF Premier Pago_Fijo_Puntual 19 0.0965</v>
      </c>
      <c r="C1958" s="75" t="s">
        <v>173</v>
      </c>
      <c r="D1958" s="75" t="s">
        <v>169</v>
      </c>
      <c r="E1958" s="75" t="s">
        <v>143</v>
      </c>
      <c r="F1958" s="75"/>
      <c r="G1958" s="75"/>
      <c r="H1958" s="75"/>
      <c r="I1958" s="75" t="s">
        <v>171</v>
      </c>
      <c r="J1958" s="76">
        <v>19</v>
      </c>
      <c r="K1958" s="516" t="s">
        <v>385</v>
      </c>
      <c r="L1958" s="517">
        <v>9.82</v>
      </c>
      <c r="M1958" s="517">
        <v>10.48</v>
      </c>
      <c r="N1958" s="518">
        <v>9.6500000000000002E-2</v>
      </c>
      <c r="O1958" s="518">
        <v>9.1999999999999998E-2</v>
      </c>
      <c r="P1958" s="518">
        <v>0.10249999999999999</v>
      </c>
      <c r="Q1958" s="78">
        <v>0.44</v>
      </c>
      <c r="R1958" s="78">
        <v>0.31740000000000002</v>
      </c>
      <c r="S1958" s="69">
        <v>0</v>
      </c>
      <c r="T1958" s="69">
        <v>0</v>
      </c>
      <c r="U1958" s="518">
        <v>0.7</v>
      </c>
      <c r="V1958" s="76">
        <v>0</v>
      </c>
      <c r="W1958" s="76">
        <v>0</v>
      </c>
      <c r="X1958" s="76"/>
      <c r="Y1958" s="516" t="s">
        <v>470</v>
      </c>
    </row>
    <row r="1959" spans="1:25" x14ac:dyDescent="0.25">
      <c r="A1959" s="75" t="str">
        <f t="shared" ref="A1959:A2022" si="71">TRIM(CONCATENATE(C1959," ",D1959," ",E1959," ",F1959," ",G1959," ",I1959," ",X1959," ",J1959))</f>
        <v>Pago_de_Hipoteca PROF Premier Pago_Fijo_Puntual 19</v>
      </c>
      <c r="B1959" s="75" t="str">
        <f t="shared" si="70"/>
        <v>Pago_de_Hipoteca PROF Premier Pago_Fijo_Puntual 19 0.103</v>
      </c>
      <c r="C1959" s="75" t="s">
        <v>173</v>
      </c>
      <c r="D1959" s="75" t="s">
        <v>169</v>
      </c>
      <c r="E1959" s="75" t="s">
        <v>143</v>
      </c>
      <c r="F1959" s="75"/>
      <c r="G1959" s="75"/>
      <c r="H1959" s="75"/>
      <c r="I1959" s="75" t="s">
        <v>171</v>
      </c>
      <c r="J1959" s="76">
        <v>19</v>
      </c>
      <c r="K1959" s="516" t="s">
        <v>386</v>
      </c>
      <c r="L1959" s="517">
        <v>10.3</v>
      </c>
      <c r="M1959" s="517">
        <v>10.96</v>
      </c>
      <c r="N1959" s="518">
        <v>0.10299999999999999</v>
      </c>
      <c r="O1959" s="518">
        <v>0.1</v>
      </c>
      <c r="P1959" s="518">
        <v>0.112</v>
      </c>
      <c r="Q1959" s="78">
        <v>0.44</v>
      </c>
      <c r="R1959" s="78">
        <v>0.31740000000000002</v>
      </c>
      <c r="S1959" s="69">
        <v>0</v>
      </c>
      <c r="T1959" s="69">
        <v>0</v>
      </c>
      <c r="U1959" s="518">
        <v>0.7</v>
      </c>
      <c r="V1959" s="76">
        <v>0</v>
      </c>
      <c r="W1959" s="76">
        <v>0</v>
      </c>
      <c r="X1959" s="76"/>
      <c r="Y1959" s="516" t="s">
        <v>470</v>
      </c>
    </row>
    <row r="1960" spans="1:25" x14ac:dyDescent="0.25">
      <c r="A1960" s="75" t="str">
        <f t="shared" si="71"/>
        <v>Pago_de_Hipoteca PROF Premier Pago_Fijo_Puntual 18</v>
      </c>
      <c r="B1960" s="75" t="str">
        <f t="shared" si="70"/>
        <v>Pago_de_Hipoteca PROF Premier Pago_Fijo_Puntual 18 0.0965</v>
      </c>
      <c r="C1960" s="75" t="s">
        <v>173</v>
      </c>
      <c r="D1960" s="75" t="s">
        <v>169</v>
      </c>
      <c r="E1960" s="75" t="s">
        <v>143</v>
      </c>
      <c r="F1960" s="75"/>
      <c r="G1960" s="75"/>
      <c r="H1960" s="75"/>
      <c r="I1960" s="75" t="s">
        <v>171</v>
      </c>
      <c r="J1960" s="76">
        <v>18</v>
      </c>
      <c r="K1960" s="516" t="s">
        <v>385</v>
      </c>
      <c r="L1960" s="517">
        <v>10</v>
      </c>
      <c r="M1960" s="517">
        <v>10.66</v>
      </c>
      <c r="N1960" s="518">
        <v>9.6500000000000002E-2</v>
      </c>
      <c r="O1960" s="518">
        <v>9.1999999999999998E-2</v>
      </c>
      <c r="P1960" s="518">
        <v>0.10249999999999999</v>
      </c>
      <c r="Q1960" s="78">
        <v>0.44</v>
      </c>
      <c r="R1960" s="78">
        <v>0.31740000000000002</v>
      </c>
      <c r="S1960" s="69">
        <v>0</v>
      </c>
      <c r="T1960" s="69">
        <v>0</v>
      </c>
      <c r="U1960" s="518">
        <v>0.7</v>
      </c>
      <c r="V1960" s="76">
        <v>0</v>
      </c>
      <c r="W1960" s="76">
        <v>0</v>
      </c>
      <c r="X1960" s="76"/>
      <c r="Y1960" s="516" t="s">
        <v>470</v>
      </c>
    </row>
    <row r="1961" spans="1:25" x14ac:dyDescent="0.25">
      <c r="A1961" s="75" t="str">
        <f t="shared" si="71"/>
        <v>Pago_de_Hipoteca PROF Premier Pago_Fijo_Puntual 18</v>
      </c>
      <c r="B1961" s="75" t="str">
        <f t="shared" si="70"/>
        <v>Pago_de_Hipoteca PROF Premier Pago_Fijo_Puntual 18 0.103</v>
      </c>
      <c r="C1961" s="75" t="s">
        <v>173</v>
      </c>
      <c r="D1961" s="75" t="s">
        <v>169</v>
      </c>
      <c r="E1961" s="75" t="s">
        <v>143</v>
      </c>
      <c r="F1961" s="75"/>
      <c r="G1961" s="75"/>
      <c r="H1961" s="75"/>
      <c r="I1961" s="75" t="s">
        <v>171</v>
      </c>
      <c r="J1961" s="76">
        <v>18</v>
      </c>
      <c r="K1961" s="516" t="s">
        <v>386</v>
      </c>
      <c r="L1961" s="517">
        <v>10.47</v>
      </c>
      <c r="M1961" s="517">
        <v>11.13</v>
      </c>
      <c r="N1961" s="518">
        <v>0.10299999999999999</v>
      </c>
      <c r="O1961" s="518">
        <v>0.1</v>
      </c>
      <c r="P1961" s="518">
        <v>0.112</v>
      </c>
      <c r="Q1961" s="78">
        <v>0.44</v>
      </c>
      <c r="R1961" s="78">
        <v>0.31740000000000002</v>
      </c>
      <c r="S1961" s="69">
        <v>0</v>
      </c>
      <c r="T1961" s="69">
        <v>0</v>
      </c>
      <c r="U1961" s="518">
        <v>0.7</v>
      </c>
      <c r="V1961" s="76">
        <v>0</v>
      </c>
      <c r="W1961" s="76">
        <v>0</v>
      </c>
      <c r="X1961" s="76"/>
      <c r="Y1961" s="516" t="s">
        <v>470</v>
      </c>
    </row>
    <row r="1962" spans="1:25" x14ac:dyDescent="0.25">
      <c r="A1962" s="75" t="str">
        <f t="shared" si="71"/>
        <v>Pago_de_Hipoteca PROF Premier Pago_Fijo_Puntual 17</v>
      </c>
      <c r="B1962" s="75" t="str">
        <f t="shared" si="70"/>
        <v>Pago_de_Hipoteca PROF Premier Pago_Fijo_Puntual 17 0.0965</v>
      </c>
      <c r="C1962" s="75" t="s">
        <v>173</v>
      </c>
      <c r="D1962" s="75" t="s">
        <v>169</v>
      </c>
      <c r="E1962" s="75" t="s">
        <v>143</v>
      </c>
      <c r="F1962" s="75"/>
      <c r="G1962" s="75"/>
      <c r="H1962" s="75"/>
      <c r="I1962" s="75" t="s">
        <v>171</v>
      </c>
      <c r="J1962" s="76">
        <v>17</v>
      </c>
      <c r="K1962" s="516" t="s">
        <v>385</v>
      </c>
      <c r="L1962" s="517">
        <v>10.210000000000001</v>
      </c>
      <c r="M1962" s="517">
        <v>10.87</v>
      </c>
      <c r="N1962" s="518">
        <v>9.6500000000000002E-2</v>
      </c>
      <c r="O1962" s="518">
        <v>9.1999999999999998E-2</v>
      </c>
      <c r="P1962" s="518">
        <v>0.10249999999999999</v>
      </c>
      <c r="Q1962" s="78">
        <v>0.44</v>
      </c>
      <c r="R1962" s="78">
        <v>0.31740000000000002</v>
      </c>
      <c r="S1962" s="69">
        <v>0</v>
      </c>
      <c r="T1962" s="69">
        <v>0</v>
      </c>
      <c r="U1962" s="518">
        <v>0.7</v>
      </c>
      <c r="V1962" s="76">
        <v>0</v>
      </c>
      <c r="W1962" s="76">
        <v>0</v>
      </c>
      <c r="X1962" s="76"/>
      <c r="Y1962" s="516" t="s">
        <v>470</v>
      </c>
    </row>
    <row r="1963" spans="1:25" x14ac:dyDescent="0.25">
      <c r="A1963" s="75" t="str">
        <f t="shared" si="71"/>
        <v>Pago_de_Hipoteca PROF Premier Pago_Fijo_Puntual 17</v>
      </c>
      <c r="B1963" s="75" t="str">
        <f t="shared" si="70"/>
        <v>Pago_de_Hipoteca PROF Premier Pago_Fijo_Puntual 17 0.103</v>
      </c>
      <c r="C1963" s="75" t="s">
        <v>173</v>
      </c>
      <c r="D1963" s="75" t="s">
        <v>169</v>
      </c>
      <c r="E1963" s="75" t="s">
        <v>143</v>
      </c>
      <c r="F1963" s="75"/>
      <c r="G1963" s="75"/>
      <c r="H1963" s="75"/>
      <c r="I1963" s="75" t="s">
        <v>171</v>
      </c>
      <c r="J1963" s="76">
        <v>17</v>
      </c>
      <c r="K1963" s="516" t="s">
        <v>386</v>
      </c>
      <c r="L1963" s="517">
        <v>10.67</v>
      </c>
      <c r="M1963" s="517">
        <v>11.33</v>
      </c>
      <c r="N1963" s="518">
        <v>0.10299999999999999</v>
      </c>
      <c r="O1963" s="518">
        <v>0.1</v>
      </c>
      <c r="P1963" s="518">
        <v>0.112</v>
      </c>
      <c r="Q1963" s="78">
        <v>0.44</v>
      </c>
      <c r="R1963" s="78">
        <v>0.31740000000000002</v>
      </c>
      <c r="S1963" s="69">
        <v>0</v>
      </c>
      <c r="T1963" s="69">
        <v>0</v>
      </c>
      <c r="U1963" s="518">
        <v>0.7</v>
      </c>
      <c r="V1963" s="76">
        <v>0</v>
      </c>
      <c r="W1963" s="76">
        <v>0</v>
      </c>
      <c r="X1963" s="76"/>
      <c r="Y1963" s="516" t="s">
        <v>470</v>
      </c>
    </row>
    <row r="1964" spans="1:25" x14ac:dyDescent="0.25">
      <c r="A1964" s="75" t="str">
        <f t="shared" si="71"/>
        <v>Pago_de_Hipoteca PROF Premier Pago_Fijo_Puntual 16</v>
      </c>
      <c r="B1964" s="75" t="str">
        <f t="shared" si="70"/>
        <v>Pago_de_Hipoteca PROF Premier Pago_Fijo_Puntual 16 0.0965</v>
      </c>
      <c r="C1964" s="75" t="s">
        <v>173</v>
      </c>
      <c r="D1964" s="75" t="s">
        <v>169</v>
      </c>
      <c r="E1964" s="75" t="s">
        <v>143</v>
      </c>
      <c r="F1964" s="75"/>
      <c r="G1964" s="75"/>
      <c r="H1964" s="75"/>
      <c r="I1964" s="75" t="s">
        <v>171</v>
      </c>
      <c r="J1964" s="76">
        <v>16</v>
      </c>
      <c r="K1964" s="516" t="s">
        <v>385</v>
      </c>
      <c r="L1964" s="517">
        <v>10.45</v>
      </c>
      <c r="M1964" s="517">
        <v>11.11</v>
      </c>
      <c r="N1964" s="518">
        <v>9.6500000000000002E-2</v>
      </c>
      <c r="O1964" s="518">
        <v>9.1999999999999998E-2</v>
      </c>
      <c r="P1964" s="518">
        <v>0.10249999999999999</v>
      </c>
      <c r="Q1964" s="78">
        <v>0.44</v>
      </c>
      <c r="R1964" s="78">
        <v>0.31740000000000002</v>
      </c>
      <c r="S1964" s="69">
        <v>0</v>
      </c>
      <c r="T1964" s="69">
        <v>0</v>
      </c>
      <c r="U1964" s="518">
        <v>0.7</v>
      </c>
      <c r="V1964" s="76">
        <v>0</v>
      </c>
      <c r="W1964" s="76">
        <v>0</v>
      </c>
      <c r="X1964" s="76"/>
      <c r="Y1964" s="516" t="s">
        <v>470</v>
      </c>
    </row>
    <row r="1965" spans="1:25" x14ac:dyDescent="0.25">
      <c r="A1965" s="75" t="str">
        <f t="shared" si="71"/>
        <v>Pago_de_Hipoteca PROF Premier Pago_Fijo_Puntual 16</v>
      </c>
      <c r="B1965" s="75" t="str">
        <f t="shared" si="70"/>
        <v>Pago_de_Hipoteca PROF Premier Pago_Fijo_Puntual 16 0.103</v>
      </c>
      <c r="C1965" s="75" t="s">
        <v>173</v>
      </c>
      <c r="D1965" s="75" t="s">
        <v>169</v>
      </c>
      <c r="E1965" s="75" t="s">
        <v>143</v>
      </c>
      <c r="F1965" s="75"/>
      <c r="G1965" s="75"/>
      <c r="H1965" s="75"/>
      <c r="I1965" s="75" t="s">
        <v>171</v>
      </c>
      <c r="J1965" s="76">
        <v>16</v>
      </c>
      <c r="K1965" s="516" t="s">
        <v>386</v>
      </c>
      <c r="L1965" s="517">
        <v>10.9</v>
      </c>
      <c r="M1965" s="517">
        <v>11.56</v>
      </c>
      <c r="N1965" s="518">
        <v>0.10299999999999999</v>
      </c>
      <c r="O1965" s="518">
        <v>0.1</v>
      </c>
      <c r="P1965" s="518">
        <v>0.112</v>
      </c>
      <c r="Q1965" s="78">
        <v>0.44</v>
      </c>
      <c r="R1965" s="78">
        <v>0.31740000000000002</v>
      </c>
      <c r="S1965" s="69">
        <v>0</v>
      </c>
      <c r="T1965" s="69">
        <v>0</v>
      </c>
      <c r="U1965" s="518">
        <v>0.7</v>
      </c>
      <c r="V1965" s="76">
        <v>0</v>
      </c>
      <c r="W1965" s="76">
        <v>0</v>
      </c>
      <c r="X1965" s="76"/>
      <c r="Y1965" s="516" t="s">
        <v>470</v>
      </c>
    </row>
    <row r="1966" spans="1:25" x14ac:dyDescent="0.25">
      <c r="A1966" s="75" t="str">
        <f t="shared" si="71"/>
        <v>Pago_de_Hipoteca PROF Premier Pago_Fijo_Puntual 15</v>
      </c>
      <c r="B1966" s="75" t="str">
        <f t="shared" si="70"/>
        <v>Pago_de_Hipoteca PROF Premier Pago_Fijo_Puntual 15 0.0965</v>
      </c>
      <c r="C1966" s="75" t="s">
        <v>173</v>
      </c>
      <c r="D1966" s="75" t="s">
        <v>169</v>
      </c>
      <c r="E1966" s="75" t="s">
        <v>143</v>
      </c>
      <c r="F1966" s="75"/>
      <c r="G1966" s="75"/>
      <c r="H1966" s="75"/>
      <c r="I1966" s="75" t="s">
        <v>171</v>
      </c>
      <c r="J1966" s="76">
        <v>15</v>
      </c>
      <c r="K1966" s="516" t="s">
        <v>385</v>
      </c>
      <c r="L1966" s="517">
        <v>10.73</v>
      </c>
      <c r="M1966" s="517">
        <v>11.39</v>
      </c>
      <c r="N1966" s="518">
        <v>9.6500000000000002E-2</v>
      </c>
      <c r="O1966" s="518">
        <v>9.1999999999999998E-2</v>
      </c>
      <c r="P1966" s="518">
        <v>0.10249999999999999</v>
      </c>
      <c r="Q1966" s="78">
        <v>0.44</v>
      </c>
      <c r="R1966" s="78">
        <v>0.31740000000000002</v>
      </c>
      <c r="S1966" s="69">
        <v>0</v>
      </c>
      <c r="T1966" s="69">
        <v>0</v>
      </c>
      <c r="U1966" s="518">
        <v>0.7</v>
      </c>
      <c r="V1966" s="76">
        <v>0</v>
      </c>
      <c r="W1966" s="76">
        <v>0</v>
      </c>
      <c r="X1966" s="76"/>
      <c r="Y1966" s="516" t="s">
        <v>470</v>
      </c>
    </row>
    <row r="1967" spans="1:25" x14ac:dyDescent="0.25">
      <c r="A1967" s="75" t="str">
        <f t="shared" si="71"/>
        <v>Pago_de_Hipoteca PROF Premier Pago_Fijo_Puntual 15</v>
      </c>
      <c r="B1967" s="75" t="str">
        <f t="shared" si="70"/>
        <v>Pago_de_Hipoteca PROF Premier Pago_Fijo_Puntual 15 0.103</v>
      </c>
      <c r="C1967" s="75" t="s">
        <v>173</v>
      </c>
      <c r="D1967" s="75" t="s">
        <v>169</v>
      </c>
      <c r="E1967" s="75" t="s">
        <v>143</v>
      </c>
      <c r="F1967" s="75"/>
      <c r="G1967" s="75"/>
      <c r="H1967" s="75"/>
      <c r="I1967" s="75" t="s">
        <v>171</v>
      </c>
      <c r="J1967" s="76">
        <v>15</v>
      </c>
      <c r="K1967" s="516" t="s">
        <v>386</v>
      </c>
      <c r="L1967" s="517">
        <v>11.18</v>
      </c>
      <c r="M1967" s="517">
        <v>11.84</v>
      </c>
      <c r="N1967" s="518">
        <v>0.10299999999999999</v>
      </c>
      <c r="O1967" s="518">
        <v>0.1</v>
      </c>
      <c r="P1967" s="518">
        <v>0.112</v>
      </c>
      <c r="Q1967" s="78">
        <v>0.44</v>
      </c>
      <c r="R1967" s="78">
        <v>0.31740000000000002</v>
      </c>
      <c r="S1967" s="69">
        <v>0</v>
      </c>
      <c r="T1967" s="69">
        <v>0</v>
      </c>
      <c r="U1967" s="518">
        <v>0.7</v>
      </c>
      <c r="V1967" s="76">
        <v>0</v>
      </c>
      <c r="W1967" s="76">
        <v>0</v>
      </c>
      <c r="X1967" s="76"/>
      <c r="Y1967" s="516" t="s">
        <v>470</v>
      </c>
    </row>
    <row r="1968" spans="1:25" x14ac:dyDescent="0.25">
      <c r="A1968" s="75" t="str">
        <f t="shared" si="71"/>
        <v>Pago_de_Hipoteca PROF Premier Pago_Fijo_Puntual 14</v>
      </c>
      <c r="B1968" s="75" t="str">
        <f t="shared" si="70"/>
        <v>Pago_de_Hipoteca PROF Premier Pago_Fijo_Puntual 14 0.0965</v>
      </c>
      <c r="C1968" s="75" t="s">
        <v>173</v>
      </c>
      <c r="D1968" s="75" t="s">
        <v>169</v>
      </c>
      <c r="E1968" s="75" t="s">
        <v>143</v>
      </c>
      <c r="F1968" s="75"/>
      <c r="G1968" s="75"/>
      <c r="H1968" s="75"/>
      <c r="I1968" s="75" t="s">
        <v>171</v>
      </c>
      <c r="J1968" s="76">
        <v>14</v>
      </c>
      <c r="K1968" s="516" t="s">
        <v>385</v>
      </c>
      <c r="L1968" s="517">
        <v>11.06</v>
      </c>
      <c r="M1968" s="517">
        <v>11.72</v>
      </c>
      <c r="N1968" s="518">
        <v>9.6500000000000002E-2</v>
      </c>
      <c r="O1968" s="518">
        <v>9.1999999999999998E-2</v>
      </c>
      <c r="P1968" s="518">
        <v>0.10249999999999999</v>
      </c>
      <c r="Q1968" s="78">
        <v>0.44</v>
      </c>
      <c r="R1968" s="78">
        <v>0.31740000000000002</v>
      </c>
      <c r="S1968" s="69">
        <v>0</v>
      </c>
      <c r="T1968" s="69">
        <v>0</v>
      </c>
      <c r="U1968" s="518">
        <v>0.7</v>
      </c>
      <c r="V1968" s="76">
        <v>0</v>
      </c>
      <c r="W1968" s="76">
        <v>0</v>
      </c>
      <c r="X1968" s="76"/>
      <c r="Y1968" s="516" t="s">
        <v>470</v>
      </c>
    </row>
    <row r="1969" spans="1:25" x14ac:dyDescent="0.25">
      <c r="A1969" s="75" t="str">
        <f t="shared" si="71"/>
        <v>Pago_de_Hipoteca PROF Premier Pago_Fijo_Puntual 14</v>
      </c>
      <c r="B1969" s="75" t="str">
        <f t="shared" si="70"/>
        <v>Pago_de_Hipoteca PROF Premier Pago_Fijo_Puntual 14 0.103</v>
      </c>
      <c r="C1969" s="75" t="s">
        <v>173</v>
      </c>
      <c r="D1969" s="75" t="s">
        <v>169</v>
      </c>
      <c r="E1969" s="75" t="s">
        <v>143</v>
      </c>
      <c r="F1969" s="75"/>
      <c r="G1969" s="75"/>
      <c r="H1969" s="75"/>
      <c r="I1969" s="75" t="s">
        <v>171</v>
      </c>
      <c r="J1969" s="76">
        <v>14</v>
      </c>
      <c r="K1969" s="516" t="s">
        <v>386</v>
      </c>
      <c r="L1969" s="517">
        <v>11.49</v>
      </c>
      <c r="M1969" s="517">
        <v>12.15</v>
      </c>
      <c r="N1969" s="518">
        <v>0.10299999999999999</v>
      </c>
      <c r="O1969" s="518">
        <v>0.1</v>
      </c>
      <c r="P1969" s="518">
        <v>0.112</v>
      </c>
      <c r="Q1969" s="78">
        <v>0.44</v>
      </c>
      <c r="R1969" s="78">
        <v>0.31740000000000002</v>
      </c>
      <c r="S1969" s="69">
        <v>0</v>
      </c>
      <c r="T1969" s="69">
        <v>0</v>
      </c>
      <c r="U1969" s="518">
        <v>0.7</v>
      </c>
      <c r="V1969" s="76">
        <v>0</v>
      </c>
      <c r="W1969" s="76">
        <v>0</v>
      </c>
      <c r="X1969" s="76"/>
      <c r="Y1969" s="516" t="s">
        <v>470</v>
      </c>
    </row>
    <row r="1970" spans="1:25" x14ac:dyDescent="0.25">
      <c r="A1970" s="75" t="str">
        <f t="shared" si="71"/>
        <v>Pago_de_Hipoteca PROF Premier Pago_Fijo_Puntual 13</v>
      </c>
      <c r="B1970" s="75" t="str">
        <f t="shared" si="70"/>
        <v>Pago_de_Hipoteca PROF Premier Pago_Fijo_Puntual 13 0.0965</v>
      </c>
      <c r="C1970" s="75" t="s">
        <v>173</v>
      </c>
      <c r="D1970" s="75" t="s">
        <v>169</v>
      </c>
      <c r="E1970" s="75" t="s">
        <v>143</v>
      </c>
      <c r="F1970" s="75"/>
      <c r="G1970" s="75"/>
      <c r="H1970" s="75"/>
      <c r="I1970" s="75" t="s">
        <v>171</v>
      </c>
      <c r="J1970" s="76">
        <v>13</v>
      </c>
      <c r="K1970" s="516" t="s">
        <v>385</v>
      </c>
      <c r="L1970" s="517">
        <v>11.45</v>
      </c>
      <c r="M1970" s="517">
        <v>12.11</v>
      </c>
      <c r="N1970" s="518">
        <v>9.6500000000000002E-2</v>
      </c>
      <c r="O1970" s="518">
        <v>9.1999999999999998E-2</v>
      </c>
      <c r="P1970" s="518">
        <v>0.10249999999999999</v>
      </c>
      <c r="Q1970" s="78">
        <v>0.44</v>
      </c>
      <c r="R1970" s="78">
        <v>0.31740000000000002</v>
      </c>
      <c r="S1970" s="69">
        <v>0</v>
      </c>
      <c r="T1970" s="69">
        <v>0</v>
      </c>
      <c r="U1970" s="518">
        <v>0.7</v>
      </c>
      <c r="V1970" s="76">
        <v>0</v>
      </c>
      <c r="W1970" s="76">
        <v>0</v>
      </c>
      <c r="X1970" s="76"/>
      <c r="Y1970" s="516" t="s">
        <v>470</v>
      </c>
    </row>
    <row r="1971" spans="1:25" x14ac:dyDescent="0.25">
      <c r="A1971" s="75" t="str">
        <f t="shared" si="71"/>
        <v>Pago_de_Hipoteca PROF Premier Pago_Fijo_Puntual 13</v>
      </c>
      <c r="B1971" s="75" t="str">
        <f t="shared" si="70"/>
        <v>Pago_de_Hipoteca PROF Premier Pago_Fijo_Puntual 13 0.103</v>
      </c>
      <c r="C1971" s="75" t="s">
        <v>173</v>
      </c>
      <c r="D1971" s="75" t="s">
        <v>169</v>
      </c>
      <c r="E1971" s="75" t="s">
        <v>143</v>
      </c>
      <c r="F1971" s="75"/>
      <c r="G1971" s="75"/>
      <c r="H1971" s="75"/>
      <c r="I1971" s="75" t="s">
        <v>171</v>
      </c>
      <c r="J1971" s="76">
        <v>13</v>
      </c>
      <c r="K1971" s="516" t="s">
        <v>386</v>
      </c>
      <c r="L1971" s="517">
        <v>11.86</v>
      </c>
      <c r="M1971" s="517">
        <v>12.52</v>
      </c>
      <c r="N1971" s="518">
        <v>0.10299999999999999</v>
      </c>
      <c r="O1971" s="518">
        <v>0.1</v>
      </c>
      <c r="P1971" s="518">
        <v>0.112</v>
      </c>
      <c r="Q1971" s="78">
        <v>0.44</v>
      </c>
      <c r="R1971" s="78">
        <v>0.31740000000000002</v>
      </c>
      <c r="S1971" s="69">
        <v>0</v>
      </c>
      <c r="T1971" s="69">
        <v>0</v>
      </c>
      <c r="U1971" s="518">
        <v>0.7</v>
      </c>
      <c r="V1971" s="76">
        <v>0</v>
      </c>
      <c r="W1971" s="76">
        <v>0</v>
      </c>
      <c r="X1971" s="76"/>
      <c r="Y1971" s="516" t="s">
        <v>470</v>
      </c>
    </row>
    <row r="1972" spans="1:25" x14ac:dyDescent="0.25">
      <c r="A1972" s="75" t="str">
        <f t="shared" si="71"/>
        <v>Pago_de_Hipoteca PROF Premier Pago_Fijo_Puntual 12</v>
      </c>
      <c r="B1972" s="75" t="str">
        <f t="shared" si="70"/>
        <v>Pago_de_Hipoteca PROF Premier Pago_Fijo_Puntual 12 0.0965</v>
      </c>
      <c r="C1972" s="75" t="s">
        <v>173</v>
      </c>
      <c r="D1972" s="75" t="s">
        <v>169</v>
      </c>
      <c r="E1972" s="75" t="s">
        <v>143</v>
      </c>
      <c r="F1972" s="75"/>
      <c r="G1972" s="75"/>
      <c r="H1972" s="75"/>
      <c r="I1972" s="75" t="s">
        <v>171</v>
      </c>
      <c r="J1972" s="76">
        <v>12</v>
      </c>
      <c r="K1972" s="516" t="s">
        <v>385</v>
      </c>
      <c r="L1972" s="517">
        <v>11.91</v>
      </c>
      <c r="M1972" s="517">
        <v>12.57</v>
      </c>
      <c r="N1972" s="518">
        <v>9.6500000000000002E-2</v>
      </c>
      <c r="O1972" s="518">
        <v>9.1999999999999998E-2</v>
      </c>
      <c r="P1972" s="518">
        <v>0.10249999999999999</v>
      </c>
      <c r="Q1972" s="78">
        <v>0.44</v>
      </c>
      <c r="R1972" s="78">
        <v>0.31740000000000002</v>
      </c>
      <c r="S1972" s="69">
        <v>0</v>
      </c>
      <c r="T1972" s="69">
        <v>0</v>
      </c>
      <c r="U1972" s="518">
        <v>0.7</v>
      </c>
      <c r="V1972" s="76">
        <v>0</v>
      </c>
      <c r="W1972" s="76">
        <v>0</v>
      </c>
      <c r="X1972" s="76"/>
      <c r="Y1972" s="516" t="s">
        <v>470</v>
      </c>
    </row>
    <row r="1973" spans="1:25" x14ac:dyDescent="0.25">
      <c r="A1973" s="75" t="str">
        <f t="shared" si="71"/>
        <v>Pago_de_Hipoteca PROF Premier Pago_Fijo_Puntual 12</v>
      </c>
      <c r="B1973" s="75" t="str">
        <f t="shared" si="70"/>
        <v>Pago_de_Hipoteca PROF Premier Pago_Fijo_Puntual 12 0.103</v>
      </c>
      <c r="C1973" s="75" t="s">
        <v>173</v>
      </c>
      <c r="D1973" s="75" t="s">
        <v>169</v>
      </c>
      <c r="E1973" s="75" t="s">
        <v>143</v>
      </c>
      <c r="F1973" s="75"/>
      <c r="G1973" s="75"/>
      <c r="H1973" s="75"/>
      <c r="I1973" s="75" t="s">
        <v>171</v>
      </c>
      <c r="J1973" s="76">
        <v>12</v>
      </c>
      <c r="K1973" s="516" t="s">
        <v>386</v>
      </c>
      <c r="L1973" s="517">
        <v>12.31</v>
      </c>
      <c r="M1973" s="517">
        <v>12.97</v>
      </c>
      <c r="N1973" s="518">
        <v>0.10299999999999999</v>
      </c>
      <c r="O1973" s="518">
        <v>0.1</v>
      </c>
      <c r="P1973" s="518">
        <v>0.112</v>
      </c>
      <c r="Q1973" s="78">
        <v>0.44</v>
      </c>
      <c r="R1973" s="78">
        <v>0.31740000000000002</v>
      </c>
      <c r="S1973" s="69">
        <v>0</v>
      </c>
      <c r="T1973" s="69">
        <v>0</v>
      </c>
      <c r="U1973" s="518">
        <v>0.7</v>
      </c>
      <c r="V1973" s="76">
        <v>0</v>
      </c>
      <c r="W1973" s="76">
        <v>0</v>
      </c>
      <c r="X1973" s="76"/>
      <c r="Y1973" s="516" t="s">
        <v>470</v>
      </c>
    </row>
    <row r="1974" spans="1:25" x14ac:dyDescent="0.25">
      <c r="A1974" s="75" t="str">
        <f t="shared" si="71"/>
        <v>Pago_de_Hipoteca PROF Premier Pago_Fijo_Puntual 11</v>
      </c>
      <c r="B1974" s="75" t="str">
        <f t="shared" si="70"/>
        <v>Pago_de_Hipoteca PROF Premier Pago_Fijo_Puntual 11 0.0965</v>
      </c>
      <c r="C1974" s="75" t="s">
        <v>173</v>
      </c>
      <c r="D1974" s="75" t="s">
        <v>169</v>
      </c>
      <c r="E1974" s="75" t="s">
        <v>143</v>
      </c>
      <c r="F1974" s="75"/>
      <c r="G1974" s="75"/>
      <c r="H1974" s="75"/>
      <c r="I1974" s="75" t="s">
        <v>171</v>
      </c>
      <c r="J1974" s="76">
        <v>11</v>
      </c>
      <c r="K1974" s="516" t="s">
        <v>385</v>
      </c>
      <c r="L1974" s="517">
        <v>12.47</v>
      </c>
      <c r="M1974" s="517">
        <v>13.13</v>
      </c>
      <c r="N1974" s="518">
        <v>9.6500000000000002E-2</v>
      </c>
      <c r="O1974" s="518">
        <v>9.1999999999999998E-2</v>
      </c>
      <c r="P1974" s="518">
        <v>0.10249999999999999</v>
      </c>
      <c r="Q1974" s="78">
        <v>0.44</v>
      </c>
      <c r="R1974" s="78">
        <v>0.31740000000000002</v>
      </c>
      <c r="S1974" s="69">
        <v>0</v>
      </c>
      <c r="T1974" s="69">
        <v>0</v>
      </c>
      <c r="U1974" s="518">
        <v>0.7</v>
      </c>
      <c r="V1974" s="76">
        <v>0</v>
      </c>
      <c r="W1974" s="76">
        <v>0</v>
      </c>
      <c r="X1974" s="76"/>
      <c r="Y1974" s="516" t="s">
        <v>470</v>
      </c>
    </row>
    <row r="1975" spans="1:25" x14ac:dyDescent="0.25">
      <c r="A1975" s="75" t="str">
        <f t="shared" si="71"/>
        <v>Pago_de_Hipoteca PROF Premier Pago_Fijo_Puntual 11</v>
      </c>
      <c r="B1975" s="75" t="str">
        <f t="shared" si="70"/>
        <v>Pago_de_Hipoteca PROF Premier Pago_Fijo_Puntual 11 0.103</v>
      </c>
      <c r="C1975" s="75" t="s">
        <v>173</v>
      </c>
      <c r="D1975" s="75" t="s">
        <v>169</v>
      </c>
      <c r="E1975" s="75" t="s">
        <v>143</v>
      </c>
      <c r="F1975" s="75"/>
      <c r="G1975" s="75"/>
      <c r="H1975" s="75"/>
      <c r="I1975" s="75" t="s">
        <v>171</v>
      </c>
      <c r="J1975" s="76">
        <v>11</v>
      </c>
      <c r="K1975" s="516" t="s">
        <v>386</v>
      </c>
      <c r="L1975" s="517">
        <v>12.86</v>
      </c>
      <c r="M1975" s="517">
        <v>13.52</v>
      </c>
      <c r="N1975" s="518">
        <v>0.10299999999999999</v>
      </c>
      <c r="O1975" s="518">
        <v>0.1</v>
      </c>
      <c r="P1975" s="518">
        <v>0.112</v>
      </c>
      <c r="Q1975" s="78">
        <v>0.44</v>
      </c>
      <c r="R1975" s="78">
        <v>0.31740000000000002</v>
      </c>
      <c r="S1975" s="69">
        <v>0</v>
      </c>
      <c r="T1975" s="69">
        <v>0</v>
      </c>
      <c r="U1975" s="518">
        <v>0.7</v>
      </c>
      <c r="V1975" s="76">
        <v>0</v>
      </c>
      <c r="W1975" s="76">
        <v>0</v>
      </c>
      <c r="X1975" s="76"/>
      <c r="Y1975" s="516" t="s">
        <v>470</v>
      </c>
    </row>
    <row r="1976" spans="1:25" x14ac:dyDescent="0.25">
      <c r="A1976" s="75" t="str">
        <f t="shared" si="71"/>
        <v>Pago_de_Hipoteca PROF Premier Pago_Fijo_Puntual 10</v>
      </c>
      <c r="B1976" s="75" t="str">
        <f t="shared" si="70"/>
        <v>Pago_de_Hipoteca PROF Premier Pago_Fijo_Puntual 10 0.0965</v>
      </c>
      <c r="C1976" s="75" t="s">
        <v>173</v>
      </c>
      <c r="D1976" s="75" t="s">
        <v>169</v>
      </c>
      <c r="E1976" s="75" t="s">
        <v>143</v>
      </c>
      <c r="F1976" s="75"/>
      <c r="G1976" s="75"/>
      <c r="H1976" s="75"/>
      <c r="I1976" s="75" t="s">
        <v>171</v>
      </c>
      <c r="J1976" s="76">
        <v>10</v>
      </c>
      <c r="K1976" s="516" t="s">
        <v>385</v>
      </c>
      <c r="L1976" s="517">
        <v>13.16</v>
      </c>
      <c r="M1976" s="517">
        <v>13.82</v>
      </c>
      <c r="N1976" s="518">
        <v>9.6500000000000002E-2</v>
      </c>
      <c r="O1976" s="518">
        <v>9.1999999999999998E-2</v>
      </c>
      <c r="P1976" s="518">
        <v>0.10249999999999999</v>
      </c>
      <c r="Q1976" s="78">
        <v>0.44</v>
      </c>
      <c r="R1976" s="78">
        <v>0.31740000000000002</v>
      </c>
      <c r="S1976" s="69">
        <v>0</v>
      </c>
      <c r="T1976" s="69">
        <v>0</v>
      </c>
      <c r="U1976" s="518">
        <v>0.7</v>
      </c>
      <c r="V1976" s="76">
        <v>0</v>
      </c>
      <c r="W1976" s="76">
        <v>0</v>
      </c>
      <c r="X1976" s="76"/>
      <c r="Y1976" s="516" t="s">
        <v>470</v>
      </c>
    </row>
    <row r="1977" spans="1:25" x14ac:dyDescent="0.25">
      <c r="A1977" s="75" t="str">
        <f t="shared" si="71"/>
        <v>Pago_de_Hipoteca PROF Premier Pago_Fijo_Puntual 10</v>
      </c>
      <c r="B1977" s="75" t="str">
        <f t="shared" si="70"/>
        <v>Pago_de_Hipoteca PROF Premier Pago_Fijo_Puntual 10 0.103</v>
      </c>
      <c r="C1977" s="75" t="s">
        <v>173</v>
      </c>
      <c r="D1977" s="75" t="s">
        <v>169</v>
      </c>
      <c r="E1977" s="75" t="s">
        <v>143</v>
      </c>
      <c r="F1977" s="75"/>
      <c r="G1977" s="75"/>
      <c r="H1977" s="75"/>
      <c r="I1977" s="75" t="s">
        <v>171</v>
      </c>
      <c r="J1977" s="76">
        <v>10</v>
      </c>
      <c r="K1977" s="516" t="s">
        <v>386</v>
      </c>
      <c r="L1977" s="517">
        <v>13.54</v>
      </c>
      <c r="M1977" s="517">
        <v>14.2</v>
      </c>
      <c r="N1977" s="518">
        <v>0.10299999999999999</v>
      </c>
      <c r="O1977" s="518">
        <v>0.1</v>
      </c>
      <c r="P1977" s="518">
        <v>0.112</v>
      </c>
      <c r="Q1977" s="78">
        <v>0.44</v>
      </c>
      <c r="R1977" s="78">
        <v>0.31740000000000002</v>
      </c>
      <c r="S1977" s="69">
        <v>0</v>
      </c>
      <c r="T1977" s="69">
        <v>0</v>
      </c>
      <c r="U1977" s="518">
        <v>0.7</v>
      </c>
      <c r="V1977" s="76">
        <v>0</v>
      </c>
      <c r="W1977" s="76">
        <v>0</v>
      </c>
      <c r="X1977" s="76"/>
      <c r="Y1977" s="516" t="s">
        <v>470</v>
      </c>
    </row>
    <row r="1978" spans="1:25" x14ac:dyDescent="0.25">
      <c r="A1978" s="75" t="str">
        <f t="shared" si="71"/>
        <v>Pago_de_Hipoteca PROF Premier Pago_Fijo_Puntual 9</v>
      </c>
      <c r="B1978" s="75" t="str">
        <f t="shared" si="70"/>
        <v>Pago_de_Hipoteca PROF Premier Pago_Fijo_Puntual 9 0.0965</v>
      </c>
      <c r="C1978" s="75" t="s">
        <v>173</v>
      </c>
      <c r="D1978" s="75" t="s">
        <v>169</v>
      </c>
      <c r="E1978" s="75" t="s">
        <v>143</v>
      </c>
      <c r="F1978" s="75"/>
      <c r="G1978" s="75"/>
      <c r="H1978" s="75"/>
      <c r="I1978" s="75" t="s">
        <v>171</v>
      </c>
      <c r="J1978" s="76">
        <v>9</v>
      </c>
      <c r="K1978" s="516" t="s">
        <v>385</v>
      </c>
      <c r="L1978" s="517">
        <v>14.01</v>
      </c>
      <c r="M1978" s="517">
        <v>14.67</v>
      </c>
      <c r="N1978" s="518">
        <v>9.6500000000000002E-2</v>
      </c>
      <c r="O1978" s="518">
        <v>9.1999999999999998E-2</v>
      </c>
      <c r="P1978" s="518">
        <v>0.10249999999999999</v>
      </c>
      <c r="Q1978" s="78">
        <v>0.44</v>
      </c>
      <c r="R1978" s="78">
        <v>0.31740000000000002</v>
      </c>
      <c r="S1978" s="69">
        <v>0</v>
      </c>
      <c r="T1978" s="69">
        <v>0</v>
      </c>
      <c r="U1978" s="518">
        <v>0.7</v>
      </c>
      <c r="V1978" s="76">
        <v>0</v>
      </c>
      <c r="W1978" s="76">
        <v>0</v>
      </c>
      <c r="X1978" s="76"/>
      <c r="Y1978" s="516" t="s">
        <v>470</v>
      </c>
    </row>
    <row r="1979" spans="1:25" x14ac:dyDescent="0.25">
      <c r="A1979" s="75" t="str">
        <f t="shared" si="71"/>
        <v>Pago_de_Hipoteca PROF Premier Pago_Fijo_Puntual 9</v>
      </c>
      <c r="B1979" s="75" t="str">
        <f t="shared" si="70"/>
        <v>Pago_de_Hipoteca PROF Premier Pago_Fijo_Puntual 9 0.103</v>
      </c>
      <c r="C1979" s="75" t="s">
        <v>173</v>
      </c>
      <c r="D1979" s="75" t="s">
        <v>169</v>
      </c>
      <c r="E1979" s="75" t="s">
        <v>143</v>
      </c>
      <c r="F1979" s="75"/>
      <c r="G1979" s="75"/>
      <c r="H1979" s="75"/>
      <c r="I1979" s="75" t="s">
        <v>171</v>
      </c>
      <c r="J1979" s="76">
        <v>9</v>
      </c>
      <c r="K1979" s="516" t="s">
        <v>386</v>
      </c>
      <c r="L1979" s="517">
        <v>14.37</v>
      </c>
      <c r="M1979" s="517">
        <v>15.03</v>
      </c>
      <c r="N1979" s="518">
        <v>0.10299999999999999</v>
      </c>
      <c r="O1979" s="518">
        <v>0.1</v>
      </c>
      <c r="P1979" s="518">
        <v>0.112</v>
      </c>
      <c r="Q1979" s="78">
        <v>0.44</v>
      </c>
      <c r="R1979" s="78">
        <v>0.31740000000000002</v>
      </c>
      <c r="S1979" s="69">
        <v>0</v>
      </c>
      <c r="T1979" s="69">
        <v>0</v>
      </c>
      <c r="U1979" s="518">
        <v>0.7</v>
      </c>
      <c r="V1979" s="76">
        <v>0</v>
      </c>
      <c r="W1979" s="76">
        <v>0</v>
      </c>
      <c r="X1979" s="76"/>
      <c r="Y1979" s="516" t="s">
        <v>470</v>
      </c>
    </row>
    <row r="1980" spans="1:25" x14ac:dyDescent="0.25">
      <c r="A1980" s="75" t="str">
        <f t="shared" si="71"/>
        <v>Pago_de_Hipoteca PROF Premier Pago_Fijo_Puntual 8</v>
      </c>
      <c r="B1980" s="75" t="str">
        <f t="shared" si="70"/>
        <v>Pago_de_Hipoteca PROF Premier Pago_Fijo_Puntual 8 0.0965</v>
      </c>
      <c r="C1980" s="75" t="s">
        <v>173</v>
      </c>
      <c r="D1980" s="75" t="s">
        <v>169</v>
      </c>
      <c r="E1980" s="75" t="s">
        <v>143</v>
      </c>
      <c r="F1980" s="75"/>
      <c r="G1980" s="75"/>
      <c r="H1980" s="75"/>
      <c r="I1980" s="75" t="s">
        <v>171</v>
      </c>
      <c r="J1980" s="76">
        <v>8</v>
      </c>
      <c r="K1980" s="516" t="s">
        <v>385</v>
      </c>
      <c r="L1980" s="517">
        <v>15.09</v>
      </c>
      <c r="M1980" s="517">
        <v>15.75</v>
      </c>
      <c r="N1980" s="518">
        <v>9.6500000000000002E-2</v>
      </c>
      <c r="O1980" s="518">
        <v>9.1999999999999998E-2</v>
      </c>
      <c r="P1980" s="518">
        <v>0.10249999999999999</v>
      </c>
      <c r="Q1980" s="78">
        <v>0.44</v>
      </c>
      <c r="R1980" s="78">
        <v>0.31740000000000002</v>
      </c>
      <c r="S1980" s="69">
        <v>0</v>
      </c>
      <c r="T1980" s="69">
        <v>0</v>
      </c>
      <c r="U1980" s="518">
        <v>0.7</v>
      </c>
      <c r="V1980" s="76">
        <v>0</v>
      </c>
      <c r="W1980" s="76">
        <v>0</v>
      </c>
      <c r="X1980" s="76"/>
      <c r="Y1980" s="516" t="s">
        <v>470</v>
      </c>
    </row>
    <row r="1981" spans="1:25" x14ac:dyDescent="0.25">
      <c r="A1981" s="75" t="str">
        <f t="shared" si="71"/>
        <v>Pago_de_Hipoteca PROF Premier Pago_Fijo_Puntual 8</v>
      </c>
      <c r="B1981" s="75" t="str">
        <f t="shared" si="70"/>
        <v>Pago_de_Hipoteca PROF Premier Pago_Fijo_Puntual 8 0.103</v>
      </c>
      <c r="C1981" s="75" t="s">
        <v>173</v>
      </c>
      <c r="D1981" s="75" t="s">
        <v>169</v>
      </c>
      <c r="E1981" s="75" t="s">
        <v>143</v>
      </c>
      <c r="F1981" s="75"/>
      <c r="G1981" s="75"/>
      <c r="H1981" s="75"/>
      <c r="I1981" s="75" t="s">
        <v>171</v>
      </c>
      <c r="J1981" s="76">
        <v>8</v>
      </c>
      <c r="K1981" s="516" t="s">
        <v>386</v>
      </c>
      <c r="L1981" s="517">
        <v>15.44</v>
      </c>
      <c r="M1981" s="517">
        <v>16.100000000000001</v>
      </c>
      <c r="N1981" s="518">
        <v>0.10299999999999999</v>
      </c>
      <c r="O1981" s="518">
        <v>0.1</v>
      </c>
      <c r="P1981" s="518">
        <v>0.112</v>
      </c>
      <c r="Q1981" s="78">
        <v>0.44</v>
      </c>
      <c r="R1981" s="78">
        <v>0.31740000000000002</v>
      </c>
      <c r="S1981" s="69">
        <v>0</v>
      </c>
      <c r="T1981" s="69">
        <v>0</v>
      </c>
      <c r="U1981" s="518">
        <v>0.7</v>
      </c>
      <c r="V1981" s="76">
        <v>0</v>
      </c>
      <c r="W1981" s="76">
        <v>0</v>
      </c>
      <c r="X1981" s="76"/>
      <c r="Y1981" s="516" t="s">
        <v>470</v>
      </c>
    </row>
    <row r="1982" spans="1:25" x14ac:dyDescent="0.25">
      <c r="A1982" s="75" t="str">
        <f t="shared" si="71"/>
        <v>Pago_de_Hipoteca PROF Premier Pago_Fijo_Puntual 7</v>
      </c>
      <c r="B1982" s="75" t="str">
        <f t="shared" si="70"/>
        <v>Pago_de_Hipoteca PROF Premier Pago_Fijo_Puntual 7 0.0965</v>
      </c>
      <c r="C1982" s="75" t="s">
        <v>173</v>
      </c>
      <c r="D1982" s="75" t="s">
        <v>169</v>
      </c>
      <c r="E1982" s="75" t="s">
        <v>143</v>
      </c>
      <c r="F1982" s="75"/>
      <c r="G1982" s="75"/>
      <c r="H1982" s="75"/>
      <c r="I1982" s="75" t="s">
        <v>171</v>
      </c>
      <c r="J1982" s="76">
        <v>7</v>
      </c>
      <c r="K1982" s="516" t="s">
        <v>385</v>
      </c>
      <c r="L1982" s="517">
        <v>16.5</v>
      </c>
      <c r="M1982" s="517">
        <v>17.16</v>
      </c>
      <c r="N1982" s="518">
        <v>9.6500000000000002E-2</v>
      </c>
      <c r="O1982" s="518">
        <v>9.1999999999999998E-2</v>
      </c>
      <c r="P1982" s="518">
        <v>0.10249999999999999</v>
      </c>
      <c r="Q1982" s="78">
        <v>0.44</v>
      </c>
      <c r="R1982" s="78">
        <v>0.31740000000000002</v>
      </c>
      <c r="S1982" s="69">
        <v>0</v>
      </c>
      <c r="T1982" s="69">
        <v>0</v>
      </c>
      <c r="U1982" s="518">
        <v>0.7</v>
      </c>
      <c r="V1982" s="76">
        <v>0</v>
      </c>
      <c r="W1982" s="76">
        <v>0</v>
      </c>
      <c r="X1982" s="76"/>
      <c r="Y1982" s="516" t="s">
        <v>470</v>
      </c>
    </row>
    <row r="1983" spans="1:25" x14ac:dyDescent="0.25">
      <c r="A1983" s="75" t="str">
        <f t="shared" si="71"/>
        <v>Pago_de_Hipoteca PROF Premier Pago_Fijo_Puntual 7</v>
      </c>
      <c r="B1983" s="75" t="str">
        <f t="shared" si="70"/>
        <v>Pago_de_Hipoteca PROF Premier Pago_Fijo_Puntual 7 0.103</v>
      </c>
      <c r="C1983" s="75" t="s">
        <v>173</v>
      </c>
      <c r="D1983" s="75" t="s">
        <v>169</v>
      </c>
      <c r="E1983" s="75" t="s">
        <v>143</v>
      </c>
      <c r="F1983" s="75"/>
      <c r="G1983" s="75"/>
      <c r="H1983" s="75"/>
      <c r="I1983" s="75" t="s">
        <v>171</v>
      </c>
      <c r="J1983" s="76">
        <v>7</v>
      </c>
      <c r="K1983" s="516" t="s">
        <v>386</v>
      </c>
      <c r="L1983" s="517">
        <v>16.84</v>
      </c>
      <c r="M1983" s="517">
        <v>17.5</v>
      </c>
      <c r="N1983" s="518">
        <v>0.10299999999999999</v>
      </c>
      <c r="O1983" s="518">
        <v>0.1</v>
      </c>
      <c r="P1983" s="518">
        <v>0.112</v>
      </c>
      <c r="Q1983" s="78">
        <v>0.44</v>
      </c>
      <c r="R1983" s="78">
        <v>0.31740000000000002</v>
      </c>
      <c r="S1983" s="69">
        <v>0</v>
      </c>
      <c r="T1983" s="69">
        <v>0</v>
      </c>
      <c r="U1983" s="518">
        <v>0.7</v>
      </c>
      <c r="V1983" s="76">
        <v>0</v>
      </c>
      <c r="W1983" s="76">
        <v>0</v>
      </c>
      <c r="X1983" s="76"/>
      <c r="Y1983" s="516" t="s">
        <v>470</v>
      </c>
    </row>
    <row r="1984" spans="1:25" x14ac:dyDescent="0.25">
      <c r="A1984" s="75" t="str">
        <f t="shared" si="71"/>
        <v>Pago_de_Hipoteca PROF Premier Pago_Fijo_Puntual 6</v>
      </c>
      <c r="B1984" s="75" t="str">
        <f t="shared" si="70"/>
        <v>Pago_de_Hipoteca PROF Premier Pago_Fijo_Puntual 6 0.0965</v>
      </c>
      <c r="C1984" s="75" t="s">
        <v>173</v>
      </c>
      <c r="D1984" s="75" t="s">
        <v>169</v>
      </c>
      <c r="E1984" s="75" t="s">
        <v>143</v>
      </c>
      <c r="F1984" s="75"/>
      <c r="G1984" s="75"/>
      <c r="H1984" s="75"/>
      <c r="I1984" s="75" t="s">
        <v>171</v>
      </c>
      <c r="J1984" s="76">
        <v>6</v>
      </c>
      <c r="K1984" s="516" t="s">
        <v>385</v>
      </c>
      <c r="L1984" s="517">
        <v>18.41</v>
      </c>
      <c r="M1984" s="517">
        <v>19.07</v>
      </c>
      <c r="N1984" s="518">
        <v>9.6500000000000002E-2</v>
      </c>
      <c r="O1984" s="518">
        <v>9.1999999999999998E-2</v>
      </c>
      <c r="P1984" s="518">
        <v>0.10249999999999999</v>
      </c>
      <c r="Q1984" s="78">
        <v>0.44</v>
      </c>
      <c r="R1984" s="78">
        <v>0.31740000000000002</v>
      </c>
      <c r="S1984" s="69">
        <v>0</v>
      </c>
      <c r="T1984" s="69">
        <v>0</v>
      </c>
      <c r="U1984" s="518">
        <v>0.7</v>
      </c>
      <c r="V1984" s="76">
        <v>0</v>
      </c>
      <c r="W1984" s="76">
        <v>0</v>
      </c>
      <c r="X1984" s="76"/>
      <c r="Y1984" s="516" t="s">
        <v>470</v>
      </c>
    </row>
    <row r="1985" spans="1:25" x14ac:dyDescent="0.25">
      <c r="A1985" s="75" t="str">
        <f t="shared" si="71"/>
        <v>Pago_de_Hipoteca PROF Premier Pago_Fijo_Puntual 6</v>
      </c>
      <c r="B1985" s="75" t="str">
        <f t="shared" si="70"/>
        <v>Pago_de_Hipoteca PROF Premier Pago_Fijo_Puntual 6 0.103</v>
      </c>
      <c r="C1985" s="75" t="s">
        <v>173</v>
      </c>
      <c r="D1985" s="75" t="s">
        <v>169</v>
      </c>
      <c r="E1985" s="75" t="s">
        <v>143</v>
      </c>
      <c r="F1985" s="75"/>
      <c r="G1985" s="75"/>
      <c r="H1985" s="75"/>
      <c r="I1985" s="75" t="s">
        <v>171</v>
      </c>
      <c r="J1985" s="76">
        <v>6</v>
      </c>
      <c r="K1985" s="516" t="s">
        <v>386</v>
      </c>
      <c r="L1985" s="517">
        <v>18.739999999999998</v>
      </c>
      <c r="M1985" s="517">
        <v>19.399999999999999</v>
      </c>
      <c r="N1985" s="518">
        <v>0.10299999999999999</v>
      </c>
      <c r="O1985" s="518">
        <v>0.1</v>
      </c>
      <c r="P1985" s="518">
        <v>0.112</v>
      </c>
      <c r="Q1985" s="78">
        <v>0.44</v>
      </c>
      <c r="R1985" s="78">
        <v>0.31740000000000002</v>
      </c>
      <c r="S1985" s="69">
        <v>0</v>
      </c>
      <c r="T1985" s="69">
        <v>0</v>
      </c>
      <c r="U1985" s="518">
        <v>0.7</v>
      </c>
      <c r="V1985" s="76">
        <v>0</v>
      </c>
      <c r="W1985" s="76">
        <v>0</v>
      </c>
      <c r="X1985" s="76"/>
      <c r="Y1985" s="516" t="s">
        <v>470</v>
      </c>
    </row>
    <row r="1986" spans="1:25" x14ac:dyDescent="0.25">
      <c r="A1986" s="75" t="str">
        <f t="shared" si="71"/>
        <v>Pago_de_Hipoteca PROF Premier Pago_Fijo_Puntual 5</v>
      </c>
      <c r="B1986" s="75" t="str">
        <f t="shared" si="70"/>
        <v>Pago_de_Hipoteca PROF Premier Pago_Fijo_Puntual 5 0.0965</v>
      </c>
      <c r="C1986" s="75" t="s">
        <v>173</v>
      </c>
      <c r="D1986" s="75" t="s">
        <v>169</v>
      </c>
      <c r="E1986" s="75" t="s">
        <v>143</v>
      </c>
      <c r="F1986" s="75"/>
      <c r="G1986" s="75"/>
      <c r="H1986" s="75"/>
      <c r="I1986" s="75" t="s">
        <v>171</v>
      </c>
      <c r="J1986" s="76">
        <v>5</v>
      </c>
      <c r="K1986" s="516" t="s">
        <v>385</v>
      </c>
      <c r="L1986" s="517">
        <v>21.12</v>
      </c>
      <c r="M1986" s="517">
        <v>21.78</v>
      </c>
      <c r="N1986" s="518">
        <v>9.6500000000000002E-2</v>
      </c>
      <c r="O1986" s="518">
        <v>9.1999999999999998E-2</v>
      </c>
      <c r="P1986" s="518">
        <v>0.10249999999999999</v>
      </c>
      <c r="Q1986" s="78">
        <v>0.44</v>
      </c>
      <c r="R1986" s="78">
        <v>0.31740000000000002</v>
      </c>
      <c r="S1986" s="69">
        <v>0</v>
      </c>
      <c r="T1986" s="69">
        <v>0</v>
      </c>
      <c r="U1986" s="518">
        <v>0.7</v>
      </c>
      <c r="V1986" s="76">
        <v>0</v>
      </c>
      <c r="W1986" s="76">
        <v>0</v>
      </c>
      <c r="X1986" s="76"/>
      <c r="Y1986" s="516" t="s">
        <v>470</v>
      </c>
    </row>
    <row r="1987" spans="1:25" x14ac:dyDescent="0.25">
      <c r="A1987" s="75" t="str">
        <f t="shared" si="71"/>
        <v>Pago_de_Hipoteca PROF Premier Pago_Fijo_Puntual 5</v>
      </c>
      <c r="B1987" s="75" t="str">
        <f t="shared" si="70"/>
        <v>Pago_de_Hipoteca PROF Premier Pago_Fijo_Puntual 5 0.103</v>
      </c>
      <c r="C1987" s="75" t="s">
        <v>173</v>
      </c>
      <c r="D1987" s="75" t="s">
        <v>169</v>
      </c>
      <c r="E1987" s="75" t="s">
        <v>143</v>
      </c>
      <c r="F1987" s="75"/>
      <c r="G1987" s="75"/>
      <c r="H1987" s="75"/>
      <c r="I1987" s="75" t="s">
        <v>171</v>
      </c>
      <c r="J1987" s="76">
        <v>5</v>
      </c>
      <c r="K1987" s="516" t="s">
        <v>386</v>
      </c>
      <c r="L1987" s="517">
        <v>21.44</v>
      </c>
      <c r="M1987" s="517">
        <v>22.1</v>
      </c>
      <c r="N1987" s="518">
        <v>0.10299999999999999</v>
      </c>
      <c r="O1987" s="518">
        <v>0.1</v>
      </c>
      <c r="P1987" s="518">
        <v>0.112</v>
      </c>
      <c r="Q1987" s="78">
        <v>0.44</v>
      </c>
      <c r="R1987" s="78">
        <v>0.31740000000000002</v>
      </c>
      <c r="S1987" s="69">
        <v>0</v>
      </c>
      <c r="T1987" s="69">
        <v>0</v>
      </c>
      <c r="U1987" s="518">
        <v>0.7</v>
      </c>
      <c r="V1987" s="76">
        <v>0</v>
      </c>
      <c r="W1987" s="76">
        <v>0</v>
      </c>
      <c r="X1987" s="76"/>
      <c r="Y1987" s="516" t="s">
        <v>470</v>
      </c>
    </row>
    <row r="1988" spans="1:25" x14ac:dyDescent="0.25">
      <c r="A1988" s="75" t="str">
        <f t="shared" si="71"/>
        <v>Pago_de_Hipoteca PROF Premier Pago_Bajo_Puntual 20</v>
      </c>
      <c r="B1988" s="75" t="str">
        <f t="shared" si="70"/>
        <v>Pago_de_Hipoteca PROF Premier Pago_Bajo_Puntual 20 0.0965</v>
      </c>
      <c r="C1988" s="75" t="s">
        <v>173</v>
      </c>
      <c r="D1988" s="75" t="s">
        <v>169</v>
      </c>
      <c r="E1988" s="75" t="s">
        <v>143</v>
      </c>
      <c r="F1988" s="75"/>
      <c r="G1988" s="75"/>
      <c r="H1988" s="75"/>
      <c r="I1988" s="75" t="s">
        <v>170</v>
      </c>
      <c r="J1988" s="76">
        <v>20</v>
      </c>
      <c r="K1988" s="516" t="s">
        <v>385</v>
      </c>
      <c r="L1988" s="517">
        <v>8.52</v>
      </c>
      <c r="M1988" s="517">
        <v>9.18</v>
      </c>
      <c r="N1988" s="518">
        <v>9.6500000000000002E-2</v>
      </c>
      <c r="O1988" s="518">
        <v>9.1999999999999998E-2</v>
      </c>
      <c r="P1988" s="518">
        <v>0.10249999999999999</v>
      </c>
      <c r="Q1988" s="78">
        <v>0.44</v>
      </c>
      <c r="R1988" s="78">
        <v>0.31740000000000002</v>
      </c>
      <c r="S1988" s="69">
        <v>0</v>
      </c>
      <c r="T1988" s="69">
        <v>0</v>
      </c>
      <c r="U1988" s="518">
        <v>0.7</v>
      </c>
      <c r="V1988" s="76">
        <v>0</v>
      </c>
      <c r="W1988" s="76">
        <v>0</v>
      </c>
      <c r="X1988" s="76"/>
      <c r="Y1988" s="516" t="s">
        <v>470</v>
      </c>
    </row>
    <row r="1989" spans="1:25" x14ac:dyDescent="0.25">
      <c r="A1989" s="75" t="str">
        <f t="shared" si="71"/>
        <v>Pago_de_Hipoteca PROF Premier Pago_Bajo_Puntual 20</v>
      </c>
      <c r="B1989" s="75" t="str">
        <f t="shared" si="70"/>
        <v>Pago_de_Hipoteca PROF Premier Pago_Bajo_Puntual 20 0.103</v>
      </c>
      <c r="C1989" s="75" t="s">
        <v>173</v>
      </c>
      <c r="D1989" s="75" t="s">
        <v>169</v>
      </c>
      <c r="E1989" s="75" t="s">
        <v>143</v>
      </c>
      <c r="F1989" s="75"/>
      <c r="G1989" s="75"/>
      <c r="H1989" s="75"/>
      <c r="I1989" s="75" t="s">
        <v>170</v>
      </c>
      <c r="J1989" s="76">
        <v>20</v>
      </c>
      <c r="K1989" s="516" t="s">
        <v>386</v>
      </c>
      <c r="L1989" s="517">
        <v>9</v>
      </c>
      <c r="M1989" s="517">
        <v>9.66</v>
      </c>
      <c r="N1989" s="518">
        <v>0.10299999999999999</v>
      </c>
      <c r="O1989" s="518">
        <v>0.1</v>
      </c>
      <c r="P1989" s="518">
        <v>0.112</v>
      </c>
      <c r="Q1989" s="78">
        <v>0.44</v>
      </c>
      <c r="R1989" s="78">
        <v>0.31740000000000002</v>
      </c>
      <c r="S1989" s="69">
        <v>0</v>
      </c>
      <c r="T1989" s="69">
        <v>0</v>
      </c>
      <c r="U1989" s="518">
        <v>0.7</v>
      </c>
      <c r="V1989" s="76">
        <v>0</v>
      </c>
      <c r="W1989" s="76">
        <v>0</v>
      </c>
      <c r="X1989" s="76"/>
      <c r="Y1989" s="516" t="s">
        <v>470</v>
      </c>
    </row>
    <row r="1990" spans="1:25" x14ac:dyDescent="0.25">
      <c r="A1990" s="75" t="str">
        <f t="shared" si="71"/>
        <v>Pago_de_Hipoteca PROF Premier Pago_Bajo_Puntual 19</v>
      </c>
      <c r="B1990" s="75" t="str">
        <f t="shared" si="70"/>
        <v>Pago_de_Hipoteca PROF Premier Pago_Bajo_Puntual 19 0.0965</v>
      </c>
      <c r="C1990" s="75" t="s">
        <v>173</v>
      </c>
      <c r="D1990" s="75" t="s">
        <v>169</v>
      </c>
      <c r="E1990" s="75" t="s">
        <v>143</v>
      </c>
      <c r="F1990" s="75"/>
      <c r="G1990" s="75"/>
      <c r="H1990" s="75"/>
      <c r="I1990" s="75" t="s">
        <v>170</v>
      </c>
      <c r="J1990" s="76">
        <v>19</v>
      </c>
      <c r="K1990" s="516" t="s">
        <v>385</v>
      </c>
      <c r="L1990" s="517">
        <v>8.6999999999999993</v>
      </c>
      <c r="M1990" s="517">
        <v>9.36</v>
      </c>
      <c r="N1990" s="518">
        <v>9.6500000000000002E-2</v>
      </c>
      <c r="O1990" s="518">
        <v>9.1999999999999998E-2</v>
      </c>
      <c r="P1990" s="518">
        <v>0.10249999999999999</v>
      </c>
      <c r="Q1990" s="78">
        <v>0.44</v>
      </c>
      <c r="R1990" s="78">
        <v>0.31740000000000002</v>
      </c>
      <c r="S1990" s="69">
        <v>0</v>
      </c>
      <c r="T1990" s="69">
        <v>0</v>
      </c>
      <c r="U1990" s="518">
        <v>0.7</v>
      </c>
      <c r="V1990" s="76">
        <v>0</v>
      </c>
      <c r="W1990" s="76">
        <v>0</v>
      </c>
      <c r="X1990" s="76"/>
      <c r="Y1990" s="516" t="s">
        <v>470</v>
      </c>
    </row>
    <row r="1991" spans="1:25" x14ac:dyDescent="0.25">
      <c r="A1991" s="75" t="str">
        <f t="shared" si="71"/>
        <v>Pago_de_Hipoteca PROF Premier Pago_Bajo_Puntual 19</v>
      </c>
      <c r="B1991" s="75" t="str">
        <f t="shared" si="70"/>
        <v>Pago_de_Hipoteca PROF Premier Pago_Bajo_Puntual 19 0.103</v>
      </c>
      <c r="C1991" s="75" t="s">
        <v>173</v>
      </c>
      <c r="D1991" s="75" t="s">
        <v>169</v>
      </c>
      <c r="E1991" s="75" t="s">
        <v>143</v>
      </c>
      <c r="F1991" s="75"/>
      <c r="G1991" s="75"/>
      <c r="H1991" s="75"/>
      <c r="I1991" s="75" t="s">
        <v>170</v>
      </c>
      <c r="J1991" s="76">
        <v>19</v>
      </c>
      <c r="K1991" s="516" t="s">
        <v>386</v>
      </c>
      <c r="L1991" s="517">
        <v>9.17</v>
      </c>
      <c r="M1991" s="517">
        <v>9.83</v>
      </c>
      <c r="N1991" s="518">
        <v>0.10299999999999999</v>
      </c>
      <c r="O1991" s="518">
        <v>0.1</v>
      </c>
      <c r="P1991" s="518">
        <v>0.112</v>
      </c>
      <c r="Q1991" s="78">
        <v>0.44</v>
      </c>
      <c r="R1991" s="78">
        <v>0.31740000000000002</v>
      </c>
      <c r="S1991" s="69">
        <v>0</v>
      </c>
      <c r="T1991" s="69">
        <v>0</v>
      </c>
      <c r="U1991" s="518">
        <v>0.7</v>
      </c>
      <c r="V1991" s="76">
        <v>0</v>
      </c>
      <c r="W1991" s="76">
        <v>0</v>
      </c>
      <c r="X1991" s="76"/>
      <c r="Y1991" s="516" t="s">
        <v>470</v>
      </c>
    </row>
    <row r="1992" spans="1:25" x14ac:dyDescent="0.25">
      <c r="A1992" s="75" t="str">
        <f t="shared" si="71"/>
        <v>Pago_de_Hipoteca PROF Premier Pago_Bajo_Puntual 18</v>
      </c>
      <c r="B1992" s="75" t="str">
        <f t="shared" si="70"/>
        <v>Pago_de_Hipoteca PROF Premier Pago_Bajo_Puntual 18 0.0965</v>
      </c>
      <c r="C1992" s="75" t="s">
        <v>173</v>
      </c>
      <c r="D1992" s="75" t="s">
        <v>169</v>
      </c>
      <c r="E1992" s="75" t="s">
        <v>143</v>
      </c>
      <c r="F1992" s="75"/>
      <c r="G1992" s="75"/>
      <c r="H1992" s="75"/>
      <c r="I1992" s="75" t="s">
        <v>170</v>
      </c>
      <c r="J1992" s="76">
        <v>18</v>
      </c>
      <c r="K1992" s="516" t="s">
        <v>385</v>
      </c>
      <c r="L1992" s="517">
        <v>8.9</v>
      </c>
      <c r="M1992" s="517">
        <v>9.56</v>
      </c>
      <c r="N1992" s="518">
        <v>9.6500000000000002E-2</v>
      </c>
      <c r="O1992" s="518">
        <v>9.1999999999999998E-2</v>
      </c>
      <c r="P1992" s="518">
        <v>0.10249999999999999</v>
      </c>
      <c r="Q1992" s="78">
        <v>0.44</v>
      </c>
      <c r="R1992" s="78">
        <v>0.31740000000000002</v>
      </c>
      <c r="S1992" s="69">
        <v>0</v>
      </c>
      <c r="T1992" s="69">
        <v>0</v>
      </c>
      <c r="U1992" s="518">
        <v>0.7</v>
      </c>
      <c r="V1992" s="76">
        <v>0</v>
      </c>
      <c r="W1992" s="76">
        <v>0</v>
      </c>
      <c r="X1992" s="76"/>
      <c r="Y1992" s="516" t="s">
        <v>470</v>
      </c>
    </row>
    <row r="1993" spans="1:25" x14ac:dyDescent="0.25">
      <c r="A1993" s="75" t="str">
        <f t="shared" si="71"/>
        <v>Pago_de_Hipoteca PROF Premier Pago_Bajo_Puntual 18</v>
      </c>
      <c r="B1993" s="75" t="str">
        <f t="shared" si="70"/>
        <v>Pago_de_Hipoteca PROF Premier Pago_Bajo_Puntual 18 0.103</v>
      </c>
      <c r="C1993" s="75" t="s">
        <v>173</v>
      </c>
      <c r="D1993" s="75" t="s">
        <v>169</v>
      </c>
      <c r="E1993" s="75" t="s">
        <v>143</v>
      </c>
      <c r="F1993" s="75"/>
      <c r="G1993" s="75"/>
      <c r="H1993" s="75"/>
      <c r="I1993" s="75" t="s">
        <v>170</v>
      </c>
      <c r="J1993" s="76">
        <v>18</v>
      </c>
      <c r="K1993" s="516" t="s">
        <v>386</v>
      </c>
      <c r="L1993" s="517">
        <v>9.36</v>
      </c>
      <c r="M1993" s="517">
        <v>10.02</v>
      </c>
      <c r="N1993" s="518">
        <v>0.10299999999999999</v>
      </c>
      <c r="O1993" s="518">
        <v>0.1</v>
      </c>
      <c r="P1993" s="518">
        <v>0.112</v>
      </c>
      <c r="Q1993" s="78">
        <v>0.44</v>
      </c>
      <c r="R1993" s="78">
        <v>0.31740000000000002</v>
      </c>
      <c r="S1993" s="69">
        <v>0</v>
      </c>
      <c r="T1993" s="69">
        <v>0</v>
      </c>
      <c r="U1993" s="518">
        <v>0.7</v>
      </c>
      <c r="V1993" s="76">
        <v>0</v>
      </c>
      <c r="W1993" s="76">
        <v>0</v>
      </c>
      <c r="X1993" s="76"/>
      <c r="Y1993" s="516" t="s">
        <v>470</v>
      </c>
    </row>
    <row r="1994" spans="1:25" x14ac:dyDescent="0.25">
      <c r="A1994" s="75" t="str">
        <f t="shared" si="71"/>
        <v>Pago_de_Hipoteca PROF Premier Pago_Bajo_Puntual 17</v>
      </c>
      <c r="B1994" s="75" t="str">
        <f t="shared" si="70"/>
        <v>Pago_de_Hipoteca PROF Premier Pago_Bajo_Puntual 17 0.0965</v>
      </c>
      <c r="C1994" s="75" t="s">
        <v>173</v>
      </c>
      <c r="D1994" s="75" t="s">
        <v>169</v>
      </c>
      <c r="E1994" s="75" t="s">
        <v>143</v>
      </c>
      <c r="F1994" s="75"/>
      <c r="G1994" s="75"/>
      <c r="H1994" s="75"/>
      <c r="I1994" s="75" t="s">
        <v>170</v>
      </c>
      <c r="J1994" s="76">
        <v>17</v>
      </c>
      <c r="K1994" s="516" t="s">
        <v>385</v>
      </c>
      <c r="L1994" s="517">
        <v>9.1300000000000008</v>
      </c>
      <c r="M1994" s="517">
        <v>9.7899999999999991</v>
      </c>
      <c r="N1994" s="518">
        <v>9.6500000000000002E-2</v>
      </c>
      <c r="O1994" s="518">
        <v>9.1999999999999998E-2</v>
      </c>
      <c r="P1994" s="518">
        <v>0.10249999999999999</v>
      </c>
      <c r="Q1994" s="78">
        <v>0.44</v>
      </c>
      <c r="R1994" s="78">
        <v>0.31740000000000002</v>
      </c>
      <c r="S1994" s="69">
        <v>0</v>
      </c>
      <c r="T1994" s="69">
        <v>0</v>
      </c>
      <c r="U1994" s="518">
        <v>0.7</v>
      </c>
      <c r="V1994" s="76">
        <v>0</v>
      </c>
      <c r="W1994" s="76">
        <v>0</v>
      </c>
      <c r="X1994" s="76"/>
      <c r="Y1994" s="516" t="s">
        <v>470</v>
      </c>
    </row>
    <row r="1995" spans="1:25" x14ac:dyDescent="0.25">
      <c r="A1995" s="75" t="str">
        <f t="shared" si="71"/>
        <v>Pago_de_Hipoteca PROF Premier Pago_Bajo_Puntual 17</v>
      </c>
      <c r="B1995" s="75" t="str">
        <f t="shared" si="70"/>
        <v>Pago_de_Hipoteca PROF Premier Pago_Bajo_Puntual 17 0.103</v>
      </c>
      <c r="C1995" s="75" t="s">
        <v>173</v>
      </c>
      <c r="D1995" s="75" t="s">
        <v>169</v>
      </c>
      <c r="E1995" s="75" t="s">
        <v>143</v>
      </c>
      <c r="F1995" s="75"/>
      <c r="G1995" s="75"/>
      <c r="H1995" s="75"/>
      <c r="I1995" s="75" t="s">
        <v>170</v>
      </c>
      <c r="J1995" s="76">
        <v>17</v>
      </c>
      <c r="K1995" s="516" t="s">
        <v>386</v>
      </c>
      <c r="L1995" s="517">
        <v>9.58</v>
      </c>
      <c r="M1995" s="517">
        <v>10.24</v>
      </c>
      <c r="N1995" s="518">
        <v>0.10299999999999999</v>
      </c>
      <c r="O1995" s="518">
        <v>0.1</v>
      </c>
      <c r="P1995" s="518">
        <v>0.112</v>
      </c>
      <c r="Q1995" s="78">
        <v>0.44</v>
      </c>
      <c r="R1995" s="78">
        <v>0.31740000000000002</v>
      </c>
      <c r="S1995" s="69">
        <v>0</v>
      </c>
      <c r="T1995" s="69">
        <v>0</v>
      </c>
      <c r="U1995" s="518">
        <v>0.7</v>
      </c>
      <c r="V1995" s="76">
        <v>0</v>
      </c>
      <c r="W1995" s="76">
        <v>0</v>
      </c>
      <c r="X1995" s="76"/>
      <c r="Y1995" s="516" t="s">
        <v>470</v>
      </c>
    </row>
    <row r="1996" spans="1:25" x14ac:dyDescent="0.25">
      <c r="A1996" s="75" t="str">
        <f t="shared" si="71"/>
        <v>Pago_de_Hipoteca PROF Premier Pago_Bajo_Puntual 16</v>
      </c>
      <c r="B1996" s="75" t="str">
        <f t="shared" si="70"/>
        <v>Pago_de_Hipoteca PROF Premier Pago_Bajo_Puntual 16 0.0965</v>
      </c>
      <c r="C1996" s="75" t="s">
        <v>173</v>
      </c>
      <c r="D1996" s="75" t="s">
        <v>169</v>
      </c>
      <c r="E1996" s="75" t="s">
        <v>143</v>
      </c>
      <c r="F1996" s="75"/>
      <c r="G1996" s="75"/>
      <c r="H1996" s="75"/>
      <c r="I1996" s="75" t="s">
        <v>170</v>
      </c>
      <c r="J1996" s="76">
        <v>16</v>
      </c>
      <c r="K1996" s="516" t="s">
        <v>385</v>
      </c>
      <c r="L1996" s="517">
        <v>9.39</v>
      </c>
      <c r="M1996" s="517">
        <v>10.050000000000001</v>
      </c>
      <c r="N1996" s="518">
        <v>9.6500000000000002E-2</v>
      </c>
      <c r="O1996" s="518">
        <v>9.1999999999999998E-2</v>
      </c>
      <c r="P1996" s="518">
        <v>0.10249999999999999</v>
      </c>
      <c r="Q1996" s="78">
        <v>0.44</v>
      </c>
      <c r="R1996" s="78">
        <v>0.31740000000000002</v>
      </c>
      <c r="S1996" s="69">
        <v>0</v>
      </c>
      <c r="T1996" s="69">
        <v>0</v>
      </c>
      <c r="U1996" s="518">
        <v>0.7</v>
      </c>
      <c r="V1996" s="76">
        <v>0</v>
      </c>
      <c r="W1996" s="76">
        <v>0</v>
      </c>
      <c r="X1996" s="76"/>
      <c r="Y1996" s="516" t="s">
        <v>470</v>
      </c>
    </row>
    <row r="1997" spans="1:25" x14ac:dyDescent="0.25">
      <c r="A1997" s="75" t="str">
        <f t="shared" si="71"/>
        <v>Pago_de_Hipoteca PROF Premier Pago_Bajo_Puntual 16</v>
      </c>
      <c r="B1997" s="75" t="str">
        <f t="shared" si="70"/>
        <v>Pago_de_Hipoteca PROF Premier Pago_Bajo_Puntual 16 0.103</v>
      </c>
      <c r="C1997" s="75" t="s">
        <v>173</v>
      </c>
      <c r="D1997" s="75" t="s">
        <v>169</v>
      </c>
      <c r="E1997" s="75" t="s">
        <v>143</v>
      </c>
      <c r="F1997" s="75"/>
      <c r="G1997" s="75"/>
      <c r="H1997" s="75"/>
      <c r="I1997" s="75" t="s">
        <v>170</v>
      </c>
      <c r="J1997" s="76">
        <v>16</v>
      </c>
      <c r="K1997" s="516" t="s">
        <v>386</v>
      </c>
      <c r="L1997" s="517">
        <v>9.83</v>
      </c>
      <c r="M1997" s="517">
        <v>10.49</v>
      </c>
      <c r="N1997" s="518">
        <v>0.10299999999999999</v>
      </c>
      <c r="O1997" s="518">
        <v>0.1</v>
      </c>
      <c r="P1997" s="518">
        <v>0.112</v>
      </c>
      <c r="Q1997" s="78">
        <v>0.44</v>
      </c>
      <c r="R1997" s="78">
        <v>0.31740000000000002</v>
      </c>
      <c r="S1997" s="69">
        <v>0</v>
      </c>
      <c r="T1997" s="69">
        <v>0</v>
      </c>
      <c r="U1997" s="518">
        <v>0.7</v>
      </c>
      <c r="V1997" s="76">
        <v>0</v>
      </c>
      <c r="W1997" s="76">
        <v>0</v>
      </c>
      <c r="X1997" s="76"/>
      <c r="Y1997" s="516" t="s">
        <v>470</v>
      </c>
    </row>
    <row r="1998" spans="1:25" x14ac:dyDescent="0.25">
      <c r="A1998" s="75" t="str">
        <f t="shared" si="71"/>
        <v>Pago_de_Hipoteca PROF Premier Pago_Bajo_Puntual 15</v>
      </c>
      <c r="B1998" s="75" t="str">
        <f t="shared" si="70"/>
        <v>Pago_de_Hipoteca PROF Premier Pago_Bajo_Puntual 15 0.0965</v>
      </c>
      <c r="C1998" s="75" t="s">
        <v>173</v>
      </c>
      <c r="D1998" s="75" t="s">
        <v>169</v>
      </c>
      <c r="E1998" s="75" t="s">
        <v>143</v>
      </c>
      <c r="F1998" s="75"/>
      <c r="G1998" s="75"/>
      <c r="H1998" s="75"/>
      <c r="I1998" s="75" t="s">
        <v>170</v>
      </c>
      <c r="J1998" s="76">
        <v>15</v>
      </c>
      <c r="K1998" s="516" t="s">
        <v>385</v>
      </c>
      <c r="L1998" s="517">
        <v>9.6999999999999993</v>
      </c>
      <c r="M1998" s="517">
        <v>10.36</v>
      </c>
      <c r="N1998" s="518">
        <v>9.6500000000000002E-2</v>
      </c>
      <c r="O1998" s="518">
        <v>9.1999999999999998E-2</v>
      </c>
      <c r="P1998" s="518">
        <v>0.10249999999999999</v>
      </c>
      <c r="Q1998" s="78">
        <v>0.44</v>
      </c>
      <c r="R1998" s="78">
        <v>0.31740000000000002</v>
      </c>
      <c r="S1998" s="69">
        <v>0</v>
      </c>
      <c r="T1998" s="69">
        <v>0</v>
      </c>
      <c r="U1998" s="518">
        <v>0.7</v>
      </c>
      <c r="V1998" s="76">
        <v>0</v>
      </c>
      <c r="W1998" s="76">
        <v>0</v>
      </c>
      <c r="X1998" s="76"/>
      <c r="Y1998" s="516" t="s">
        <v>470</v>
      </c>
    </row>
    <row r="1999" spans="1:25" x14ac:dyDescent="0.25">
      <c r="A1999" s="75" t="str">
        <f t="shared" si="71"/>
        <v>Pago_de_Hipoteca PROF Premier Pago_Bajo_Puntual 15</v>
      </c>
      <c r="B1999" s="75" t="str">
        <f t="shared" si="70"/>
        <v>Pago_de_Hipoteca PROF Premier Pago_Bajo_Puntual 15 0.103</v>
      </c>
      <c r="C1999" s="75" t="s">
        <v>173</v>
      </c>
      <c r="D1999" s="75" t="s">
        <v>169</v>
      </c>
      <c r="E1999" s="75" t="s">
        <v>143</v>
      </c>
      <c r="F1999" s="75"/>
      <c r="G1999" s="75"/>
      <c r="H1999" s="75"/>
      <c r="I1999" s="75" t="s">
        <v>170</v>
      </c>
      <c r="J1999" s="76">
        <v>15</v>
      </c>
      <c r="K1999" s="516" t="s">
        <v>386</v>
      </c>
      <c r="L1999" s="517">
        <v>10.119999999999999</v>
      </c>
      <c r="M1999" s="517">
        <v>10.78</v>
      </c>
      <c r="N1999" s="518">
        <v>0.10299999999999999</v>
      </c>
      <c r="O1999" s="518">
        <v>0.1</v>
      </c>
      <c r="P1999" s="518">
        <v>0.112</v>
      </c>
      <c r="Q1999" s="78">
        <v>0.44</v>
      </c>
      <c r="R1999" s="78">
        <v>0.31740000000000002</v>
      </c>
      <c r="S1999" s="69">
        <v>0</v>
      </c>
      <c r="T1999" s="69">
        <v>0</v>
      </c>
      <c r="U1999" s="518">
        <v>0.7</v>
      </c>
      <c r="V1999" s="76">
        <v>0</v>
      </c>
      <c r="W1999" s="76">
        <v>0</v>
      </c>
      <c r="X1999" s="76"/>
      <c r="Y1999" s="516" t="s">
        <v>470</v>
      </c>
    </row>
    <row r="2000" spans="1:25" x14ac:dyDescent="0.25">
      <c r="A2000" s="75" t="str">
        <f t="shared" si="71"/>
        <v>Pago_de_Hipoteca PROF Premier Pago_Bajo_Puntual 14</v>
      </c>
      <c r="B2000" s="75" t="str">
        <f t="shared" si="70"/>
        <v>Pago_de_Hipoteca PROF Premier Pago_Bajo_Puntual 14 0.0965</v>
      </c>
      <c r="C2000" s="75" t="s">
        <v>173</v>
      </c>
      <c r="D2000" s="75" t="s">
        <v>169</v>
      </c>
      <c r="E2000" s="75" t="s">
        <v>143</v>
      </c>
      <c r="F2000" s="75"/>
      <c r="G2000" s="75"/>
      <c r="H2000" s="75"/>
      <c r="I2000" s="75" t="s">
        <v>170</v>
      </c>
      <c r="J2000" s="76">
        <v>14</v>
      </c>
      <c r="K2000" s="516" t="s">
        <v>385</v>
      </c>
      <c r="L2000" s="517">
        <v>10.050000000000001</v>
      </c>
      <c r="M2000" s="517">
        <v>10.71</v>
      </c>
      <c r="N2000" s="518">
        <v>9.6500000000000002E-2</v>
      </c>
      <c r="O2000" s="518">
        <v>9.1999999999999998E-2</v>
      </c>
      <c r="P2000" s="518">
        <v>0.10249999999999999</v>
      </c>
      <c r="Q2000" s="78">
        <v>0.44</v>
      </c>
      <c r="R2000" s="78">
        <v>0.31740000000000002</v>
      </c>
      <c r="S2000" s="69">
        <v>0</v>
      </c>
      <c r="T2000" s="69">
        <v>0</v>
      </c>
      <c r="U2000" s="518">
        <v>0.7</v>
      </c>
      <c r="V2000" s="76">
        <v>0</v>
      </c>
      <c r="W2000" s="76">
        <v>0</v>
      </c>
      <c r="X2000" s="76"/>
      <c r="Y2000" s="516" t="s">
        <v>470</v>
      </c>
    </row>
    <row r="2001" spans="1:25" x14ac:dyDescent="0.25">
      <c r="A2001" s="75" t="str">
        <f t="shared" si="71"/>
        <v>Pago_de_Hipoteca PROF Premier Pago_Bajo_Puntual 14</v>
      </c>
      <c r="B2001" s="75" t="str">
        <f t="shared" si="70"/>
        <v>Pago_de_Hipoteca PROF Premier Pago_Bajo_Puntual 14 0.103</v>
      </c>
      <c r="C2001" s="75" t="s">
        <v>173</v>
      </c>
      <c r="D2001" s="75" t="s">
        <v>169</v>
      </c>
      <c r="E2001" s="75" t="s">
        <v>143</v>
      </c>
      <c r="F2001" s="75"/>
      <c r="G2001" s="75"/>
      <c r="H2001" s="75"/>
      <c r="I2001" s="75" t="s">
        <v>170</v>
      </c>
      <c r="J2001" s="76">
        <v>14</v>
      </c>
      <c r="K2001" s="516" t="s">
        <v>386</v>
      </c>
      <c r="L2001" s="517">
        <v>10.46</v>
      </c>
      <c r="M2001" s="517">
        <v>11.12</v>
      </c>
      <c r="N2001" s="518">
        <v>0.10299999999999999</v>
      </c>
      <c r="O2001" s="518">
        <v>0.1</v>
      </c>
      <c r="P2001" s="518">
        <v>0.112</v>
      </c>
      <c r="Q2001" s="78">
        <v>0.44</v>
      </c>
      <c r="R2001" s="78">
        <v>0.31740000000000002</v>
      </c>
      <c r="S2001" s="69">
        <v>0</v>
      </c>
      <c r="T2001" s="69">
        <v>0</v>
      </c>
      <c r="U2001" s="518">
        <v>0.7</v>
      </c>
      <c r="V2001" s="76">
        <v>0</v>
      </c>
      <c r="W2001" s="76">
        <v>0</v>
      </c>
      <c r="X2001" s="76"/>
      <c r="Y2001" s="516" t="s">
        <v>470</v>
      </c>
    </row>
    <row r="2002" spans="1:25" x14ac:dyDescent="0.25">
      <c r="A2002" s="75" t="str">
        <f t="shared" si="71"/>
        <v>Pago_de_Hipoteca PROF Premier Pago_Bajo_Puntual 13</v>
      </c>
      <c r="B2002" s="75" t="str">
        <f t="shared" si="70"/>
        <v>Pago_de_Hipoteca PROF Premier Pago_Bajo_Puntual 13 0.0965</v>
      </c>
      <c r="C2002" s="75" t="s">
        <v>173</v>
      </c>
      <c r="D2002" s="75" t="s">
        <v>169</v>
      </c>
      <c r="E2002" s="75" t="s">
        <v>143</v>
      </c>
      <c r="F2002" s="75"/>
      <c r="G2002" s="75"/>
      <c r="H2002" s="75"/>
      <c r="I2002" s="75" t="s">
        <v>170</v>
      </c>
      <c r="J2002" s="76">
        <v>13</v>
      </c>
      <c r="K2002" s="516" t="s">
        <v>385</v>
      </c>
      <c r="L2002" s="517">
        <v>10.46</v>
      </c>
      <c r="M2002" s="517">
        <v>11.12</v>
      </c>
      <c r="N2002" s="518">
        <v>9.6500000000000002E-2</v>
      </c>
      <c r="O2002" s="518">
        <v>9.1999999999999998E-2</v>
      </c>
      <c r="P2002" s="518">
        <v>0.10249999999999999</v>
      </c>
      <c r="Q2002" s="78">
        <v>0.44</v>
      </c>
      <c r="R2002" s="78">
        <v>0.31740000000000002</v>
      </c>
      <c r="S2002" s="69">
        <v>0</v>
      </c>
      <c r="T2002" s="69">
        <v>0</v>
      </c>
      <c r="U2002" s="518">
        <v>0.7</v>
      </c>
      <c r="V2002" s="76">
        <v>0</v>
      </c>
      <c r="W2002" s="76">
        <v>0</v>
      </c>
      <c r="X2002" s="76"/>
      <c r="Y2002" s="516" t="s">
        <v>470</v>
      </c>
    </row>
    <row r="2003" spans="1:25" x14ac:dyDescent="0.25">
      <c r="A2003" s="75" t="str">
        <f t="shared" si="71"/>
        <v>Pago_de_Hipoteca PROF Premier Pago_Bajo_Puntual 13</v>
      </c>
      <c r="B2003" s="75" t="str">
        <f t="shared" si="70"/>
        <v>Pago_de_Hipoteca PROF Premier Pago_Bajo_Puntual 13 0.103</v>
      </c>
      <c r="C2003" s="75" t="s">
        <v>173</v>
      </c>
      <c r="D2003" s="75" t="s">
        <v>169</v>
      </c>
      <c r="E2003" s="75" t="s">
        <v>143</v>
      </c>
      <c r="F2003" s="75"/>
      <c r="G2003" s="75"/>
      <c r="H2003" s="75"/>
      <c r="I2003" s="75" t="s">
        <v>170</v>
      </c>
      <c r="J2003" s="76">
        <v>13</v>
      </c>
      <c r="K2003" s="516" t="s">
        <v>386</v>
      </c>
      <c r="L2003" s="517">
        <v>10.86</v>
      </c>
      <c r="M2003" s="517">
        <v>11.52</v>
      </c>
      <c r="N2003" s="518">
        <v>0.10299999999999999</v>
      </c>
      <c r="O2003" s="518">
        <v>0.1</v>
      </c>
      <c r="P2003" s="518">
        <v>0.112</v>
      </c>
      <c r="Q2003" s="78">
        <v>0.44</v>
      </c>
      <c r="R2003" s="78">
        <v>0.31740000000000002</v>
      </c>
      <c r="S2003" s="69">
        <v>0</v>
      </c>
      <c r="T2003" s="69">
        <v>0</v>
      </c>
      <c r="U2003" s="518">
        <v>0.7</v>
      </c>
      <c r="V2003" s="76">
        <v>0</v>
      </c>
      <c r="W2003" s="76">
        <v>0</v>
      </c>
      <c r="X2003" s="76"/>
      <c r="Y2003" s="516" t="s">
        <v>470</v>
      </c>
    </row>
    <row r="2004" spans="1:25" x14ac:dyDescent="0.25">
      <c r="A2004" s="75" t="str">
        <f t="shared" si="71"/>
        <v>Pago_de_Hipoteca PROF Premier Pago_Bajo_Puntual 12</v>
      </c>
      <c r="B2004" s="75" t="str">
        <f t="shared" si="70"/>
        <v>Pago_de_Hipoteca PROF Premier Pago_Bajo_Puntual 12 0.0965</v>
      </c>
      <c r="C2004" s="75" t="s">
        <v>173</v>
      </c>
      <c r="D2004" s="75" t="s">
        <v>169</v>
      </c>
      <c r="E2004" s="75" t="s">
        <v>143</v>
      </c>
      <c r="F2004" s="75"/>
      <c r="G2004" s="75"/>
      <c r="H2004" s="75"/>
      <c r="I2004" s="75" t="s">
        <v>170</v>
      </c>
      <c r="J2004" s="76">
        <v>12</v>
      </c>
      <c r="K2004" s="516" t="s">
        <v>385</v>
      </c>
      <c r="L2004" s="517">
        <v>10.95</v>
      </c>
      <c r="M2004" s="517">
        <v>11.61</v>
      </c>
      <c r="N2004" s="518">
        <v>9.6500000000000002E-2</v>
      </c>
      <c r="O2004" s="518">
        <v>9.1999999999999998E-2</v>
      </c>
      <c r="P2004" s="518">
        <v>0.10249999999999999</v>
      </c>
      <c r="Q2004" s="78">
        <v>0.44</v>
      </c>
      <c r="R2004" s="78">
        <v>0.31740000000000002</v>
      </c>
      <c r="S2004" s="69">
        <v>0</v>
      </c>
      <c r="T2004" s="69">
        <v>0</v>
      </c>
      <c r="U2004" s="518">
        <v>0.7</v>
      </c>
      <c r="V2004" s="76">
        <v>0</v>
      </c>
      <c r="W2004" s="76">
        <v>0</v>
      </c>
      <c r="X2004" s="76"/>
      <c r="Y2004" s="516" t="s">
        <v>470</v>
      </c>
    </row>
    <row r="2005" spans="1:25" x14ac:dyDescent="0.25">
      <c r="A2005" s="75" t="str">
        <f t="shared" si="71"/>
        <v>Pago_de_Hipoteca PROF Premier Pago_Bajo_Puntual 12</v>
      </c>
      <c r="B2005" s="75" t="str">
        <f t="shared" si="70"/>
        <v>Pago_de_Hipoteca PROF Premier Pago_Bajo_Puntual 12 0.103</v>
      </c>
      <c r="C2005" s="75" t="s">
        <v>173</v>
      </c>
      <c r="D2005" s="75" t="s">
        <v>169</v>
      </c>
      <c r="E2005" s="75" t="s">
        <v>143</v>
      </c>
      <c r="F2005" s="75"/>
      <c r="G2005" s="75"/>
      <c r="H2005" s="75"/>
      <c r="I2005" s="75" t="s">
        <v>170</v>
      </c>
      <c r="J2005" s="76">
        <v>12</v>
      </c>
      <c r="K2005" s="516" t="s">
        <v>386</v>
      </c>
      <c r="L2005" s="517">
        <v>11.34</v>
      </c>
      <c r="M2005" s="517">
        <v>12</v>
      </c>
      <c r="N2005" s="518">
        <v>0.10299999999999999</v>
      </c>
      <c r="O2005" s="518">
        <v>0.1</v>
      </c>
      <c r="P2005" s="518">
        <v>0.112</v>
      </c>
      <c r="Q2005" s="78">
        <v>0.44</v>
      </c>
      <c r="R2005" s="78">
        <v>0.31740000000000002</v>
      </c>
      <c r="S2005" s="69">
        <v>0</v>
      </c>
      <c r="T2005" s="69">
        <v>0</v>
      </c>
      <c r="U2005" s="518">
        <v>0.7</v>
      </c>
      <c r="V2005" s="76">
        <v>0</v>
      </c>
      <c r="W2005" s="76">
        <v>0</v>
      </c>
      <c r="X2005" s="76"/>
      <c r="Y2005" s="516" t="s">
        <v>470</v>
      </c>
    </row>
    <row r="2006" spans="1:25" x14ac:dyDescent="0.25">
      <c r="A2006" s="75" t="str">
        <f t="shared" si="71"/>
        <v>Pago_de_Hipoteca PROF Premier Pago_Bajo_Puntual 11</v>
      </c>
      <c r="B2006" s="75" t="str">
        <f t="shared" si="70"/>
        <v>Pago_de_Hipoteca PROF Premier Pago_Bajo_Puntual 11 0.0965</v>
      </c>
      <c r="C2006" s="75" t="s">
        <v>173</v>
      </c>
      <c r="D2006" s="75" t="s">
        <v>169</v>
      </c>
      <c r="E2006" s="75" t="s">
        <v>143</v>
      </c>
      <c r="F2006" s="75"/>
      <c r="G2006" s="75"/>
      <c r="H2006" s="75"/>
      <c r="I2006" s="75" t="s">
        <v>170</v>
      </c>
      <c r="J2006" s="76">
        <v>11</v>
      </c>
      <c r="K2006" s="516" t="s">
        <v>385</v>
      </c>
      <c r="L2006" s="517">
        <v>11.54</v>
      </c>
      <c r="M2006" s="517">
        <v>12.2</v>
      </c>
      <c r="N2006" s="518">
        <v>9.6500000000000002E-2</v>
      </c>
      <c r="O2006" s="518">
        <v>9.1999999999999998E-2</v>
      </c>
      <c r="P2006" s="518">
        <v>0.10249999999999999</v>
      </c>
      <c r="Q2006" s="78">
        <v>0.44</v>
      </c>
      <c r="R2006" s="78">
        <v>0.31740000000000002</v>
      </c>
      <c r="S2006" s="69">
        <v>0</v>
      </c>
      <c r="T2006" s="69">
        <v>0</v>
      </c>
      <c r="U2006" s="518">
        <v>0.7</v>
      </c>
      <c r="V2006" s="76">
        <v>0</v>
      </c>
      <c r="W2006" s="76">
        <v>0</v>
      </c>
      <c r="X2006" s="76"/>
      <c r="Y2006" s="516" t="s">
        <v>470</v>
      </c>
    </row>
    <row r="2007" spans="1:25" x14ac:dyDescent="0.25">
      <c r="A2007" s="75" t="str">
        <f t="shared" si="71"/>
        <v>Pago_de_Hipoteca PROF Premier Pago_Bajo_Puntual 11</v>
      </c>
      <c r="B2007" s="75" t="str">
        <f t="shared" si="70"/>
        <v>Pago_de_Hipoteca PROF Premier Pago_Bajo_Puntual 11 0.103</v>
      </c>
      <c r="C2007" s="75" t="s">
        <v>173</v>
      </c>
      <c r="D2007" s="75" t="s">
        <v>169</v>
      </c>
      <c r="E2007" s="75" t="s">
        <v>143</v>
      </c>
      <c r="F2007" s="75"/>
      <c r="G2007" s="75"/>
      <c r="H2007" s="75"/>
      <c r="I2007" s="75" t="s">
        <v>170</v>
      </c>
      <c r="J2007" s="76">
        <v>11</v>
      </c>
      <c r="K2007" s="516" t="s">
        <v>386</v>
      </c>
      <c r="L2007" s="517">
        <v>11.92</v>
      </c>
      <c r="M2007" s="517">
        <v>12.58</v>
      </c>
      <c r="N2007" s="518">
        <v>0.10299999999999999</v>
      </c>
      <c r="O2007" s="518">
        <v>0.1</v>
      </c>
      <c r="P2007" s="518">
        <v>0.112</v>
      </c>
      <c r="Q2007" s="78">
        <v>0.44</v>
      </c>
      <c r="R2007" s="78">
        <v>0.31740000000000002</v>
      </c>
      <c r="S2007" s="69">
        <v>0</v>
      </c>
      <c r="T2007" s="69">
        <v>0</v>
      </c>
      <c r="U2007" s="518">
        <v>0.7</v>
      </c>
      <c r="V2007" s="76">
        <v>0</v>
      </c>
      <c r="W2007" s="76">
        <v>0</v>
      </c>
      <c r="X2007" s="76"/>
      <c r="Y2007" s="516" t="s">
        <v>470</v>
      </c>
    </row>
    <row r="2008" spans="1:25" x14ac:dyDescent="0.25">
      <c r="A2008" s="75" t="str">
        <f t="shared" si="71"/>
        <v>Pago_de_Hipoteca PROF Premier Pago_Bajo_Puntual 10</v>
      </c>
      <c r="B2008" s="75" t="str">
        <f t="shared" si="70"/>
        <v>Pago_de_Hipoteca PROF Premier Pago_Bajo_Puntual 10 0.0965</v>
      </c>
      <c r="C2008" s="75" t="s">
        <v>173</v>
      </c>
      <c r="D2008" s="75" t="s">
        <v>169</v>
      </c>
      <c r="E2008" s="75" t="s">
        <v>143</v>
      </c>
      <c r="F2008" s="75"/>
      <c r="G2008" s="75"/>
      <c r="H2008" s="75"/>
      <c r="I2008" s="75" t="s">
        <v>170</v>
      </c>
      <c r="J2008" s="76">
        <v>10</v>
      </c>
      <c r="K2008" s="516" t="s">
        <v>385</v>
      </c>
      <c r="L2008" s="517">
        <v>12.25</v>
      </c>
      <c r="M2008" s="517">
        <v>12.91</v>
      </c>
      <c r="N2008" s="518">
        <v>9.6500000000000002E-2</v>
      </c>
      <c r="O2008" s="518">
        <v>9.1999999999999998E-2</v>
      </c>
      <c r="P2008" s="518">
        <v>0.10249999999999999</v>
      </c>
      <c r="Q2008" s="78">
        <v>0.44</v>
      </c>
      <c r="R2008" s="78">
        <v>0.31740000000000002</v>
      </c>
      <c r="S2008" s="69">
        <v>0</v>
      </c>
      <c r="T2008" s="69">
        <v>0</v>
      </c>
      <c r="U2008" s="518">
        <v>0.7</v>
      </c>
      <c r="V2008" s="76">
        <v>0</v>
      </c>
      <c r="W2008" s="76">
        <v>0</v>
      </c>
      <c r="X2008" s="76"/>
      <c r="Y2008" s="516" t="s">
        <v>470</v>
      </c>
    </row>
    <row r="2009" spans="1:25" x14ac:dyDescent="0.25">
      <c r="A2009" s="75" t="str">
        <f t="shared" si="71"/>
        <v>Pago_de_Hipoteca PROF Premier Pago_Bajo_Puntual 10</v>
      </c>
      <c r="B2009" s="75" t="str">
        <f t="shared" si="70"/>
        <v>Pago_de_Hipoteca PROF Premier Pago_Bajo_Puntual 10 0.103</v>
      </c>
      <c r="C2009" s="75" t="s">
        <v>173</v>
      </c>
      <c r="D2009" s="75" t="s">
        <v>169</v>
      </c>
      <c r="E2009" s="75" t="s">
        <v>143</v>
      </c>
      <c r="F2009" s="75"/>
      <c r="G2009" s="75"/>
      <c r="H2009" s="75"/>
      <c r="I2009" s="75" t="s">
        <v>170</v>
      </c>
      <c r="J2009" s="76">
        <v>10</v>
      </c>
      <c r="K2009" s="516" t="s">
        <v>386</v>
      </c>
      <c r="L2009" s="517">
        <v>12.62</v>
      </c>
      <c r="M2009" s="517">
        <v>13.28</v>
      </c>
      <c r="N2009" s="518">
        <v>0.10299999999999999</v>
      </c>
      <c r="O2009" s="518">
        <v>0.1</v>
      </c>
      <c r="P2009" s="518">
        <v>0.112</v>
      </c>
      <c r="Q2009" s="78">
        <v>0.44</v>
      </c>
      <c r="R2009" s="78">
        <v>0.31740000000000002</v>
      </c>
      <c r="S2009" s="69">
        <v>0</v>
      </c>
      <c r="T2009" s="69">
        <v>0</v>
      </c>
      <c r="U2009" s="518">
        <v>0.7</v>
      </c>
      <c r="V2009" s="76">
        <v>0</v>
      </c>
      <c r="W2009" s="76">
        <v>0</v>
      </c>
      <c r="X2009" s="76"/>
      <c r="Y2009" s="516" t="s">
        <v>470</v>
      </c>
    </row>
    <row r="2010" spans="1:25" x14ac:dyDescent="0.25">
      <c r="A2010" s="75" t="str">
        <f t="shared" si="71"/>
        <v>Pago_de_Hipoteca PROF Premier Pago_Bajo_Puntual 9</v>
      </c>
      <c r="B2010" s="75" t="str">
        <f t="shared" si="70"/>
        <v>Pago_de_Hipoteca PROF Premier Pago_Bajo_Puntual 9 0.0965</v>
      </c>
      <c r="C2010" s="75" t="s">
        <v>173</v>
      </c>
      <c r="D2010" s="75" t="s">
        <v>169</v>
      </c>
      <c r="E2010" s="75" t="s">
        <v>143</v>
      </c>
      <c r="F2010" s="75"/>
      <c r="G2010" s="75"/>
      <c r="H2010" s="75"/>
      <c r="I2010" s="75" t="s">
        <v>170</v>
      </c>
      <c r="J2010" s="76">
        <v>9</v>
      </c>
      <c r="K2010" s="516" t="s">
        <v>385</v>
      </c>
      <c r="L2010" s="517">
        <v>13.13</v>
      </c>
      <c r="M2010" s="517">
        <v>13.79</v>
      </c>
      <c r="N2010" s="518">
        <v>9.6500000000000002E-2</v>
      </c>
      <c r="O2010" s="518">
        <v>9.1999999999999998E-2</v>
      </c>
      <c r="P2010" s="518">
        <v>0.10249999999999999</v>
      </c>
      <c r="Q2010" s="78">
        <v>0.44</v>
      </c>
      <c r="R2010" s="78">
        <v>0.31740000000000002</v>
      </c>
      <c r="S2010" s="69">
        <v>0</v>
      </c>
      <c r="T2010" s="69">
        <v>0</v>
      </c>
      <c r="U2010" s="518">
        <v>0.7</v>
      </c>
      <c r="V2010" s="76">
        <v>0</v>
      </c>
      <c r="W2010" s="76">
        <v>0</v>
      </c>
      <c r="X2010" s="76"/>
      <c r="Y2010" s="516" t="s">
        <v>470</v>
      </c>
    </row>
    <row r="2011" spans="1:25" x14ac:dyDescent="0.25">
      <c r="A2011" s="75" t="str">
        <f t="shared" si="71"/>
        <v>Pago_de_Hipoteca PROF Premier Pago_Bajo_Puntual 9</v>
      </c>
      <c r="B2011" s="75" t="str">
        <f t="shared" si="70"/>
        <v>Pago_de_Hipoteca PROF Premier Pago_Bajo_Puntual 9 0.103</v>
      </c>
      <c r="C2011" s="75" t="s">
        <v>173</v>
      </c>
      <c r="D2011" s="75" t="s">
        <v>169</v>
      </c>
      <c r="E2011" s="75" t="s">
        <v>143</v>
      </c>
      <c r="F2011" s="75"/>
      <c r="G2011" s="75"/>
      <c r="H2011" s="75"/>
      <c r="I2011" s="75" t="s">
        <v>170</v>
      </c>
      <c r="J2011" s="76">
        <v>9</v>
      </c>
      <c r="K2011" s="516" t="s">
        <v>386</v>
      </c>
      <c r="L2011" s="517">
        <v>13.49</v>
      </c>
      <c r="M2011" s="517">
        <v>14.15</v>
      </c>
      <c r="N2011" s="518">
        <v>0.10299999999999999</v>
      </c>
      <c r="O2011" s="518">
        <v>0.1</v>
      </c>
      <c r="P2011" s="518">
        <v>0.112</v>
      </c>
      <c r="Q2011" s="78">
        <v>0.44</v>
      </c>
      <c r="R2011" s="78">
        <v>0.31740000000000002</v>
      </c>
      <c r="S2011" s="69">
        <v>0</v>
      </c>
      <c r="T2011" s="69">
        <v>0</v>
      </c>
      <c r="U2011" s="518">
        <v>0.7</v>
      </c>
      <c r="V2011" s="76">
        <v>0</v>
      </c>
      <c r="W2011" s="76">
        <v>0</v>
      </c>
      <c r="X2011" s="76"/>
      <c r="Y2011" s="516" t="s">
        <v>470</v>
      </c>
    </row>
    <row r="2012" spans="1:25" x14ac:dyDescent="0.25">
      <c r="A2012" s="75" t="str">
        <f t="shared" si="71"/>
        <v>Pago_de_Hipoteca PROF Premier Pago_Bajo_Puntual 8</v>
      </c>
      <c r="B2012" s="75" t="str">
        <f t="shared" si="70"/>
        <v>Pago_de_Hipoteca PROF Premier Pago_Bajo_Puntual 8 0.0965</v>
      </c>
      <c r="C2012" s="75" t="s">
        <v>173</v>
      </c>
      <c r="D2012" s="75" t="s">
        <v>169</v>
      </c>
      <c r="E2012" s="75" t="s">
        <v>143</v>
      </c>
      <c r="F2012" s="75"/>
      <c r="G2012" s="75"/>
      <c r="H2012" s="75"/>
      <c r="I2012" s="75" t="s">
        <v>170</v>
      </c>
      <c r="J2012" s="76">
        <v>8</v>
      </c>
      <c r="K2012" s="516" t="s">
        <v>385</v>
      </c>
      <c r="L2012" s="517">
        <v>14.25</v>
      </c>
      <c r="M2012" s="517">
        <v>14.91</v>
      </c>
      <c r="N2012" s="518">
        <v>9.6500000000000002E-2</v>
      </c>
      <c r="O2012" s="518">
        <v>9.1999999999999998E-2</v>
      </c>
      <c r="P2012" s="518">
        <v>0.10249999999999999</v>
      </c>
      <c r="Q2012" s="78">
        <v>0.44</v>
      </c>
      <c r="R2012" s="78">
        <v>0.31740000000000002</v>
      </c>
      <c r="S2012" s="69">
        <v>0</v>
      </c>
      <c r="T2012" s="69">
        <v>0</v>
      </c>
      <c r="U2012" s="518">
        <v>0.7</v>
      </c>
      <c r="V2012" s="76">
        <v>0</v>
      </c>
      <c r="W2012" s="76">
        <v>0</v>
      </c>
      <c r="X2012" s="76"/>
      <c r="Y2012" s="516" t="s">
        <v>470</v>
      </c>
    </row>
    <row r="2013" spans="1:25" x14ac:dyDescent="0.25">
      <c r="A2013" s="75" t="str">
        <f t="shared" si="71"/>
        <v>Pago_de_Hipoteca PROF Premier Pago_Bajo_Puntual 8</v>
      </c>
      <c r="B2013" s="75" t="str">
        <f t="shared" si="70"/>
        <v>Pago_de_Hipoteca PROF Premier Pago_Bajo_Puntual 8 0.103</v>
      </c>
      <c r="C2013" s="75" t="s">
        <v>173</v>
      </c>
      <c r="D2013" s="75" t="s">
        <v>169</v>
      </c>
      <c r="E2013" s="75" t="s">
        <v>143</v>
      </c>
      <c r="F2013" s="75"/>
      <c r="G2013" s="75"/>
      <c r="H2013" s="75"/>
      <c r="I2013" s="75" t="s">
        <v>170</v>
      </c>
      <c r="J2013" s="76">
        <v>8</v>
      </c>
      <c r="K2013" s="516" t="s">
        <v>386</v>
      </c>
      <c r="L2013" s="517">
        <v>14.59</v>
      </c>
      <c r="M2013" s="517">
        <v>15.25</v>
      </c>
      <c r="N2013" s="518">
        <v>0.10299999999999999</v>
      </c>
      <c r="O2013" s="518">
        <v>0.1</v>
      </c>
      <c r="P2013" s="518">
        <v>0.112</v>
      </c>
      <c r="Q2013" s="78">
        <v>0.44</v>
      </c>
      <c r="R2013" s="78">
        <v>0.31740000000000002</v>
      </c>
      <c r="S2013" s="69">
        <v>0</v>
      </c>
      <c r="T2013" s="69">
        <v>0</v>
      </c>
      <c r="U2013" s="518">
        <v>0.7</v>
      </c>
      <c r="V2013" s="76">
        <v>0</v>
      </c>
      <c r="W2013" s="76">
        <v>0</v>
      </c>
      <c r="X2013" s="76"/>
      <c r="Y2013" s="516" t="s">
        <v>470</v>
      </c>
    </row>
    <row r="2014" spans="1:25" x14ac:dyDescent="0.25">
      <c r="A2014" s="75" t="str">
        <f t="shared" si="71"/>
        <v>Pago_de_Hipoteca PROF Premier Pago_Bajo_Puntual 7</v>
      </c>
      <c r="B2014" s="75" t="str">
        <f t="shared" si="70"/>
        <v>Pago_de_Hipoteca PROF Premier Pago_Bajo_Puntual 7 0.0965</v>
      </c>
      <c r="C2014" s="75" t="s">
        <v>173</v>
      </c>
      <c r="D2014" s="75" t="s">
        <v>169</v>
      </c>
      <c r="E2014" s="75" t="s">
        <v>143</v>
      </c>
      <c r="F2014" s="75"/>
      <c r="G2014" s="75"/>
      <c r="H2014" s="75"/>
      <c r="I2014" s="75" t="s">
        <v>170</v>
      </c>
      <c r="J2014" s="76">
        <v>7</v>
      </c>
      <c r="K2014" s="516" t="s">
        <v>385</v>
      </c>
      <c r="L2014" s="517">
        <v>15.7</v>
      </c>
      <c r="M2014" s="517">
        <v>16.36</v>
      </c>
      <c r="N2014" s="518">
        <v>9.6500000000000002E-2</v>
      </c>
      <c r="O2014" s="518">
        <v>9.1999999999999998E-2</v>
      </c>
      <c r="P2014" s="518">
        <v>0.10249999999999999</v>
      </c>
      <c r="Q2014" s="78">
        <v>0.44</v>
      </c>
      <c r="R2014" s="78">
        <v>0.31740000000000002</v>
      </c>
      <c r="S2014" s="69">
        <v>0</v>
      </c>
      <c r="T2014" s="69">
        <v>0</v>
      </c>
      <c r="U2014" s="518">
        <v>0.7</v>
      </c>
      <c r="V2014" s="76">
        <v>0</v>
      </c>
      <c r="W2014" s="76">
        <v>0</v>
      </c>
      <c r="X2014" s="76"/>
      <c r="Y2014" s="516" t="s">
        <v>470</v>
      </c>
    </row>
    <row r="2015" spans="1:25" x14ac:dyDescent="0.25">
      <c r="A2015" s="75" t="str">
        <f t="shared" si="71"/>
        <v>Pago_de_Hipoteca PROF Premier Pago_Bajo_Puntual 7</v>
      </c>
      <c r="B2015" s="75" t="str">
        <f t="shared" si="70"/>
        <v>Pago_de_Hipoteca PROF Premier Pago_Bajo_Puntual 7 0.103</v>
      </c>
      <c r="C2015" s="75" t="s">
        <v>173</v>
      </c>
      <c r="D2015" s="75" t="s">
        <v>169</v>
      </c>
      <c r="E2015" s="75" t="s">
        <v>143</v>
      </c>
      <c r="F2015" s="75"/>
      <c r="G2015" s="75"/>
      <c r="H2015" s="75"/>
      <c r="I2015" s="75" t="s">
        <v>170</v>
      </c>
      <c r="J2015" s="76">
        <v>7</v>
      </c>
      <c r="K2015" s="516" t="s">
        <v>386</v>
      </c>
      <c r="L2015" s="517">
        <v>16.03</v>
      </c>
      <c r="M2015" s="517">
        <v>16.690000000000001</v>
      </c>
      <c r="N2015" s="518">
        <v>0.10299999999999999</v>
      </c>
      <c r="O2015" s="518">
        <v>0.1</v>
      </c>
      <c r="P2015" s="518">
        <v>0.112</v>
      </c>
      <c r="Q2015" s="78">
        <v>0.44</v>
      </c>
      <c r="R2015" s="78">
        <v>0.31740000000000002</v>
      </c>
      <c r="S2015" s="69">
        <v>0</v>
      </c>
      <c r="T2015" s="69">
        <v>0</v>
      </c>
      <c r="U2015" s="518">
        <v>0.7</v>
      </c>
      <c r="V2015" s="76">
        <v>0</v>
      </c>
      <c r="W2015" s="76">
        <v>0</v>
      </c>
      <c r="X2015" s="76"/>
      <c r="Y2015" s="516" t="s">
        <v>470</v>
      </c>
    </row>
    <row r="2016" spans="1:25" x14ac:dyDescent="0.25">
      <c r="A2016" s="75" t="str">
        <f t="shared" si="71"/>
        <v>Pago_de_Hipoteca PROF Premier Pago_Bajo_Puntual 6</v>
      </c>
      <c r="B2016" s="75" t="str">
        <f t="shared" si="70"/>
        <v>Pago_de_Hipoteca PROF Premier Pago_Bajo_Puntual 6 0.0965</v>
      </c>
      <c r="C2016" s="75" t="s">
        <v>173</v>
      </c>
      <c r="D2016" s="75" t="s">
        <v>169</v>
      </c>
      <c r="E2016" s="75" t="s">
        <v>143</v>
      </c>
      <c r="F2016" s="75"/>
      <c r="G2016" s="75"/>
      <c r="H2016" s="75"/>
      <c r="I2016" s="75" t="s">
        <v>170</v>
      </c>
      <c r="J2016" s="76">
        <v>6</v>
      </c>
      <c r="K2016" s="516" t="s">
        <v>385</v>
      </c>
      <c r="L2016" s="517">
        <v>17.649999999999999</v>
      </c>
      <c r="M2016" s="517">
        <v>18.309999999999999</v>
      </c>
      <c r="N2016" s="518">
        <v>9.6500000000000002E-2</v>
      </c>
      <c r="O2016" s="518">
        <v>9.1999999999999998E-2</v>
      </c>
      <c r="P2016" s="518">
        <v>0.10249999999999999</v>
      </c>
      <c r="Q2016" s="78">
        <v>0.44</v>
      </c>
      <c r="R2016" s="78">
        <v>0.31740000000000002</v>
      </c>
      <c r="S2016" s="69">
        <v>0</v>
      </c>
      <c r="T2016" s="69">
        <v>0</v>
      </c>
      <c r="U2016" s="518">
        <v>0.7</v>
      </c>
      <c r="V2016" s="76">
        <v>0</v>
      </c>
      <c r="W2016" s="76">
        <v>0</v>
      </c>
      <c r="X2016" s="76"/>
      <c r="Y2016" s="516" t="s">
        <v>470</v>
      </c>
    </row>
    <row r="2017" spans="1:25" x14ac:dyDescent="0.25">
      <c r="A2017" s="75" t="str">
        <f t="shared" si="71"/>
        <v>Pago_de_Hipoteca PROF Premier Pago_Bajo_Puntual 6</v>
      </c>
      <c r="B2017" s="75" t="str">
        <f t="shared" si="70"/>
        <v>Pago_de_Hipoteca PROF Premier Pago_Bajo_Puntual 6 0.103</v>
      </c>
      <c r="C2017" s="75" t="s">
        <v>173</v>
      </c>
      <c r="D2017" s="75" t="s">
        <v>169</v>
      </c>
      <c r="E2017" s="75" t="s">
        <v>143</v>
      </c>
      <c r="F2017" s="75"/>
      <c r="G2017" s="75"/>
      <c r="H2017" s="75"/>
      <c r="I2017" s="75" t="s">
        <v>170</v>
      </c>
      <c r="J2017" s="76">
        <v>6</v>
      </c>
      <c r="K2017" s="516" t="s">
        <v>386</v>
      </c>
      <c r="L2017" s="517">
        <v>17.97</v>
      </c>
      <c r="M2017" s="517">
        <v>18.63</v>
      </c>
      <c r="N2017" s="518">
        <v>0.10299999999999999</v>
      </c>
      <c r="O2017" s="518">
        <v>0.1</v>
      </c>
      <c r="P2017" s="518">
        <v>0.112</v>
      </c>
      <c r="Q2017" s="78">
        <v>0.44</v>
      </c>
      <c r="R2017" s="78">
        <v>0.31740000000000002</v>
      </c>
      <c r="S2017" s="69">
        <v>0</v>
      </c>
      <c r="T2017" s="69">
        <v>0</v>
      </c>
      <c r="U2017" s="518">
        <v>0.7</v>
      </c>
      <c r="V2017" s="76">
        <v>0</v>
      </c>
      <c r="W2017" s="76">
        <v>0</v>
      </c>
      <c r="X2017" s="76"/>
      <c r="Y2017" s="516" t="s">
        <v>470</v>
      </c>
    </row>
    <row r="2018" spans="1:25" x14ac:dyDescent="0.25">
      <c r="A2018" s="75" t="str">
        <f t="shared" si="71"/>
        <v>Pago_de_Hipoteca PROF Premier Pago_Bajo_Puntual 5</v>
      </c>
      <c r="B2018" s="75" t="str">
        <f t="shared" si="70"/>
        <v>Pago_de_Hipoteca PROF Premier Pago_Bajo_Puntual 5 0.0965</v>
      </c>
      <c r="C2018" s="75" t="s">
        <v>173</v>
      </c>
      <c r="D2018" s="75" t="s">
        <v>169</v>
      </c>
      <c r="E2018" s="75" t="s">
        <v>143</v>
      </c>
      <c r="F2018" s="75"/>
      <c r="G2018" s="75"/>
      <c r="H2018" s="75"/>
      <c r="I2018" s="75" t="s">
        <v>170</v>
      </c>
      <c r="J2018" s="76">
        <v>5</v>
      </c>
      <c r="K2018" s="516" t="s">
        <v>385</v>
      </c>
      <c r="L2018" s="517">
        <v>20.399999999999999</v>
      </c>
      <c r="M2018" s="517">
        <v>21.06</v>
      </c>
      <c r="N2018" s="518">
        <v>9.6500000000000002E-2</v>
      </c>
      <c r="O2018" s="518">
        <v>9.1999999999999998E-2</v>
      </c>
      <c r="P2018" s="518">
        <v>0.10249999999999999</v>
      </c>
      <c r="Q2018" s="78">
        <v>0.44</v>
      </c>
      <c r="R2018" s="78">
        <v>0.31740000000000002</v>
      </c>
      <c r="S2018" s="69">
        <v>0</v>
      </c>
      <c r="T2018" s="69">
        <v>0</v>
      </c>
      <c r="U2018" s="518">
        <v>0.7</v>
      </c>
      <c r="V2018" s="76">
        <v>0</v>
      </c>
      <c r="W2018" s="76">
        <v>0</v>
      </c>
      <c r="X2018" s="76"/>
      <c r="Y2018" s="516" t="s">
        <v>470</v>
      </c>
    </row>
    <row r="2019" spans="1:25" x14ac:dyDescent="0.25">
      <c r="A2019" s="75" t="str">
        <f t="shared" si="71"/>
        <v>Pago_de_Hipoteca PROF Premier Pago_Bajo_Puntual 5</v>
      </c>
      <c r="B2019" s="75" t="str">
        <f t="shared" si="70"/>
        <v>Pago_de_Hipoteca PROF Premier Pago_Bajo_Puntual 5 0.103</v>
      </c>
      <c r="C2019" s="75" t="s">
        <v>173</v>
      </c>
      <c r="D2019" s="75" t="s">
        <v>169</v>
      </c>
      <c r="E2019" s="75" t="s">
        <v>143</v>
      </c>
      <c r="F2019" s="75"/>
      <c r="G2019" s="75"/>
      <c r="H2019" s="75"/>
      <c r="I2019" s="75" t="s">
        <v>170</v>
      </c>
      <c r="J2019" s="76">
        <v>5</v>
      </c>
      <c r="K2019" s="516" t="s">
        <v>386</v>
      </c>
      <c r="L2019" s="517">
        <v>20.72</v>
      </c>
      <c r="M2019" s="517">
        <v>21.38</v>
      </c>
      <c r="N2019" s="518">
        <v>0.10299999999999999</v>
      </c>
      <c r="O2019" s="518">
        <v>0.1</v>
      </c>
      <c r="P2019" s="518">
        <v>0.112</v>
      </c>
      <c r="Q2019" s="78">
        <v>0.44</v>
      </c>
      <c r="R2019" s="78">
        <v>0.31740000000000002</v>
      </c>
      <c r="S2019" s="69">
        <v>0</v>
      </c>
      <c r="T2019" s="69">
        <v>0</v>
      </c>
      <c r="U2019" s="518">
        <v>0.7</v>
      </c>
      <c r="V2019" s="76">
        <v>0</v>
      </c>
      <c r="W2019" s="76">
        <v>0</v>
      </c>
      <c r="X2019" s="76"/>
      <c r="Y2019" s="516" t="s">
        <v>470</v>
      </c>
    </row>
    <row r="2020" spans="1:25" x14ac:dyDescent="0.25">
      <c r="A2020" s="75" t="str">
        <f t="shared" si="71"/>
        <v>Pago_Hipoteca+Liquidez PF No_Premier PagHip Mas Liquidez Pago_Fijo_Puntual Si 20</v>
      </c>
      <c r="B2020" s="75" t="str">
        <f t="shared" si="70"/>
        <v>Pago_Hipoteca+Liquidez PF No_Premier PagHip Mas Liquidez Pago_Fijo_Puntual Si 20 0.103</v>
      </c>
      <c r="C2020" s="75" t="s">
        <v>174</v>
      </c>
      <c r="D2020" s="75" t="s">
        <v>132</v>
      </c>
      <c r="E2020" s="75" t="s">
        <v>179</v>
      </c>
      <c r="F2020" s="75" t="s">
        <v>187</v>
      </c>
      <c r="G2020" s="75"/>
      <c r="H2020" s="75"/>
      <c r="I2020" s="75" t="s">
        <v>171</v>
      </c>
      <c r="J2020" s="76">
        <v>20</v>
      </c>
      <c r="K2020" s="519" t="s">
        <v>387</v>
      </c>
      <c r="L2020" s="520">
        <v>10.16</v>
      </c>
      <c r="M2020" s="520">
        <v>10.82</v>
      </c>
      <c r="N2020" s="507">
        <v>0.10299999999999999</v>
      </c>
      <c r="O2020" s="507">
        <v>0.1</v>
      </c>
      <c r="P2020" s="507">
        <v>0.112</v>
      </c>
      <c r="Q2020" s="78">
        <v>0.44</v>
      </c>
      <c r="R2020" s="78">
        <v>0.31740000000000002</v>
      </c>
      <c r="S2020" s="69">
        <v>2.5000000000000001E-2</v>
      </c>
      <c r="T2020" s="69">
        <v>0.01</v>
      </c>
      <c r="U2020" s="507">
        <v>0.85</v>
      </c>
      <c r="V2020" s="76">
        <v>0</v>
      </c>
      <c r="W2020" s="76">
        <v>0</v>
      </c>
      <c r="X2020" s="76" t="s">
        <v>147</v>
      </c>
      <c r="Y2020" s="519" t="s">
        <v>469</v>
      </c>
    </row>
    <row r="2021" spans="1:25" x14ac:dyDescent="0.25">
      <c r="A2021" s="75" t="str">
        <f t="shared" si="71"/>
        <v>Pago_Hipoteca+Liquidez PF No_Premier PagHip Mas Liquidez Pago_Fijo_Puntual 20</v>
      </c>
      <c r="B2021" s="75" t="str">
        <f t="shared" si="70"/>
        <v>Pago_Hipoteca+Liquidez PF No_Premier PagHip Mas Liquidez Pago_Fijo_Puntual 20 0.106</v>
      </c>
      <c r="C2021" s="75" t="s">
        <v>174</v>
      </c>
      <c r="D2021" s="75" t="s">
        <v>132</v>
      </c>
      <c r="E2021" s="75" t="s">
        <v>179</v>
      </c>
      <c r="F2021" s="75" t="s">
        <v>187</v>
      </c>
      <c r="G2021" s="75"/>
      <c r="H2021" s="75"/>
      <c r="I2021" s="75" t="s">
        <v>171</v>
      </c>
      <c r="J2021" s="76">
        <v>20</v>
      </c>
      <c r="K2021" s="519">
        <v>3</v>
      </c>
      <c r="L2021" s="520">
        <v>10.4</v>
      </c>
      <c r="M2021" s="520">
        <v>11.06</v>
      </c>
      <c r="N2021" s="507">
        <v>0.106</v>
      </c>
      <c r="O2021" s="507">
        <v>0.10299999999999999</v>
      </c>
      <c r="P2021" s="507">
        <v>0.11799999999999999</v>
      </c>
      <c r="Q2021" s="78">
        <v>0.44</v>
      </c>
      <c r="R2021" s="78">
        <v>0.31740000000000002</v>
      </c>
      <c r="S2021" s="69">
        <v>2.5000000000000001E-2</v>
      </c>
      <c r="T2021" s="69">
        <v>0.01</v>
      </c>
      <c r="U2021" s="507">
        <v>0.85</v>
      </c>
      <c r="V2021" s="76">
        <v>0</v>
      </c>
      <c r="W2021" s="76">
        <v>0</v>
      </c>
      <c r="X2021" s="76"/>
      <c r="Y2021" s="519" t="s">
        <v>469</v>
      </c>
    </row>
    <row r="2022" spans="1:25" x14ac:dyDescent="0.25">
      <c r="A2022" s="75" t="str">
        <f t="shared" si="71"/>
        <v>Pago_Hipoteca+Liquidez PF No_Premier PagHip Mas Liquidez Pago_Fijo_Puntual Si 19</v>
      </c>
      <c r="B2022" s="75" t="str">
        <f t="shared" ref="B2022:B2085" si="72">CONCATENATE(A2022," ",N2022)</f>
        <v>Pago_Hipoteca+Liquidez PF No_Premier PagHip Mas Liquidez Pago_Fijo_Puntual Si 19 0.103</v>
      </c>
      <c r="C2022" s="75" t="s">
        <v>174</v>
      </c>
      <c r="D2022" s="75" t="s">
        <v>132</v>
      </c>
      <c r="E2022" s="75" t="s">
        <v>179</v>
      </c>
      <c r="F2022" s="75" t="s">
        <v>187</v>
      </c>
      <c r="G2022" s="75"/>
      <c r="H2022" s="75"/>
      <c r="I2022" s="75" t="s">
        <v>171</v>
      </c>
      <c r="J2022" s="76">
        <v>19</v>
      </c>
      <c r="K2022" s="519" t="s">
        <v>387</v>
      </c>
      <c r="L2022" s="520">
        <v>10.3</v>
      </c>
      <c r="M2022" s="520">
        <v>10.96</v>
      </c>
      <c r="N2022" s="507">
        <v>0.10299999999999999</v>
      </c>
      <c r="O2022" s="507">
        <v>0.1</v>
      </c>
      <c r="P2022" s="507">
        <v>0.112</v>
      </c>
      <c r="Q2022" s="78">
        <v>0.44</v>
      </c>
      <c r="R2022" s="78">
        <v>0.31740000000000002</v>
      </c>
      <c r="S2022" s="69">
        <v>2.5000000000000001E-2</v>
      </c>
      <c r="T2022" s="69">
        <v>0.01</v>
      </c>
      <c r="U2022" s="507">
        <v>0.85</v>
      </c>
      <c r="V2022" s="76">
        <v>0</v>
      </c>
      <c r="W2022" s="76">
        <v>0</v>
      </c>
      <c r="X2022" s="76" t="s">
        <v>147</v>
      </c>
      <c r="Y2022" s="519" t="s">
        <v>469</v>
      </c>
    </row>
    <row r="2023" spans="1:25" x14ac:dyDescent="0.25">
      <c r="A2023" s="75" t="str">
        <f t="shared" ref="A2023:A2086" si="73">TRIM(CONCATENATE(C2023," ",D2023," ",E2023," ",F2023," ",G2023," ",I2023," ",X2023," ",J2023))</f>
        <v>Pago_Hipoteca+Liquidez PF No_Premier PagHip Mas Liquidez Pago_Fijo_Puntual 19</v>
      </c>
      <c r="B2023" s="75" t="str">
        <f t="shared" si="72"/>
        <v>Pago_Hipoteca+Liquidez PF No_Premier PagHip Mas Liquidez Pago_Fijo_Puntual 19 0.106</v>
      </c>
      <c r="C2023" s="75" t="s">
        <v>174</v>
      </c>
      <c r="D2023" s="75" t="s">
        <v>132</v>
      </c>
      <c r="E2023" s="75" t="s">
        <v>179</v>
      </c>
      <c r="F2023" s="75" t="s">
        <v>187</v>
      </c>
      <c r="G2023" s="75"/>
      <c r="H2023" s="75"/>
      <c r="I2023" s="75" t="s">
        <v>171</v>
      </c>
      <c r="J2023" s="76">
        <v>19</v>
      </c>
      <c r="K2023" s="519">
        <v>3</v>
      </c>
      <c r="L2023" s="520">
        <v>10.54</v>
      </c>
      <c r="M2023" s="520">
        <v>11.2</v>
      </c>
      <c r="N2023" s="507">
        <v>0.106</v>
      </c>
      <c r="O2023" s="507">
        <v>0.10299999999999999</v>
      </c>
      <c r="P2023" s="507">
        <v>0.11799999999999999</v>
      </c>
      <c r="Q2023" s="78">
        <v>0.44</v>
      </c>
      <c r="R2023" s="78">
        <v>0.31740000000000002</v>
      </c>
      <c r="S2023" s="69">
        <v>2.5000000000000001E-2</v>
      </c>
      <c r="T2023" s="69">
        <v>0.01</v>
      </c>
      <c r="U2023" s="507">
        <v>0.85</v>
      </c>
      <c r="V2023" s="76">
        <v>0</v>
      </c>
      <c r="W2023" s="76">
        <v>0</v>
      </c>
      <c r="X2023" s="76"/>
      <c r="Y2023" s="519" t="s">
        <v>469</v>
      </c>
    </row>
    <row r="2024" spans="1:25" x14ac:dyDescent="0.25">
      <c r="A2024" s="75" t="str">
        <f t="shared" si="73"/>
        <v>Pago_Hipoteca+Liquidez PF No_Premier PagHip Mas Liquidez Pago_Fijo_Puntual Si 18</v>
      </c>
      <c r="B2024" s="75" t="str">
        <f t="shared" si="72"/>
        <v>Pago_Hipoteca+Liquidez PF No_Premier PagHip Mas Liquidez Pago_Fijo_Puntual Si 18 0.103</v>
      </c>
      <c r="C2024" s="75" t="s">
        <v>174</v>
      </c>
      <c r="D2024" s="75" t="s">
        <v>132</v>
      </c>
      <c r="E2024" s="75" t="s">
        <v>179</v>
      </c>
      <c r="F2024" s="75" t="s">
        <v>187</v>
      </c>
      <c r="G2024" s="75"/>
      <c r="H2024" s="75"/>
      <c r="I2024" s="75" t="s">
        <v>171</v>
      </c>
      <c r="J2024" s="76">
        <v>18</v>
      </c>
      <c r="K2024" s="519" t="s">
        <v>387</v>
      </c>
      <c r="L2024" s="520">
        <v>10.47</v>
      </c>
      <c r="M2024" s="520">
        <v>11.13</v>
      </c>
      <c r="N2024" s="507">
        <v>0.10299999999999999</v>
      </c>
      <c r="O2024" s="507">
        <v>0.1</v>
      </c>
      <c r="P2024" s="507">
        <v>0.112</v>
      </c>
      <c r="Q2024" s="78">
        <v>0.44</v>
      </c>
      <c r="R2024" s="78">
        <v>0.31740000000000002</v>
      </c>
      <c r="S2024" s="69">
        <v>2.5000000000000001E-2</v>
      </c>
      <c r="T2024" s="69">
        <v>0.01</v>
      </c>
      <c r="U2024" s="507">
        <v>0.85</v>
      </c>
      <c r="V2024" s="76">
        <v>0</v>
      </c>
      <c r="W2024" s="76">
        <v>0</v>
      </c>
      <c r="X2024" s="76" t="s">
        <v>147</v>
      </c>
      <c r="Y2024" s="519" t="s">
        <v>469</v>
      </c>
    </row>
    <row r="2025" spans="1:25" x14ac:dyDescent="0.25">
      <c r="A2025" s="75" t="str">
        <f t="shared" si="73"/>
        <v>Pago_Hipoteca+Liquidez PF No_Premier PagHip Mas Liquidez Pago_Fijo_Puntual 18</v>
      </c>
      <c r="B2025" s="75" t="str">
        <f t="shared" si="72"/>
        <v>Pago_Hipoteca+Liquidez PF No_Premier PagHip Mas Liquidez Pago_Fijo_Puntual 18 0.106</v>
      </c>
      <c r="C2025" s="75" t="s">
        <v>174</v>
      </c>
      <c r="D2025" s="75" t="s">
        <v>132</v>
      </c>
      <c r="E2025" s="75" t="s">
        <v>179</v>
      </c>
      <c r="F2025" s="75" t="s">
        <v>187</v>
      </c>
      <c r="G2025" s="75"/>
      <c r="H2025" s="75"/>
      <c r="I2025" s="75" t="s">
        <v>171</v>
      </c>
      <c r="J2025" s="76">
        <v>18</v>
      </c>
      <c r="K2025" s="519">
        <v>3</v>
      </c>
      <c r="L2025" s="520">
        <v>10.71</v>
      </c>
      <c r="M2025" s="520">
        <v>11.37</v>
      </c>
      <c r="N2025" s="507">
        <v>0.106</v>
      </c>
      <c r="O2025" s="507">
        <v>0.10299999999999999</v>
      </c>
      <c r="P2025" s="507">
        <v>0.11799999999999999</v>
      </c>
      <c r="Q2025" s="78">
        <v>0.44</v>
      </c>
      <c r="R2025" s="78">
        <v>0.31740000000000002</v>
      </c>
      <c r="S2025" s="69">
        <v>2.5000000000000001E-2</v>
      </c>
      <c r="T2025" s="69">
        <v>0.01</v>
      </c>
      <c r="U2025" s="507">
        <v>0.85</v>
      </c>
      <c r="V2025" s="76">
        <v>0</v>
      </c>
      <c r="W2025" s="76">
        <v>0</v>
      </c>
      <c r="X2025" s="76"/>
      <c r="Y2025" s="519" t="s">
        <v>469</v>
      </c>
    </row>
    <row r="2026" spans="1:25" x14ac:dyDescent="0.25">
      <c r="A2026" s="75" t="str">
        <f t="shared" si="73"/>
        <v>Pago_Hipoteca+Liquidez PF No_Premier PagHip Mas Liquidez Pago_Fijo_Puntual Si 17</v>
      </c>
      <c r="B2026" s="75" t="str">
        <f t="shared" si="72"/>
        <v>Pago_Hipoteca+Liquidez PF No_Premier PagHip Mas Liquidez Pago_Fijo_Puntual Si 17 0.103</v>
      </c>
      <c r="C2026" s="75" t="s">
        <v>174</v>
      </c>
      <c r="D2026" s="75" t="s">
        <v>132</v>
      </c>
      <c r="E2026" s="75" t="s">
        <v>179</v>
      </c>
      <c r="F2026" s="75" t="s">
        <v>187</v>
      </c>
      <c r="G2026" s="75"/>
      <c r="H2026" s="75"/>
      <c r="I2026" s="75" t="s">
        <v>171</v>
      </c>
      <c r="J2026" s="76">
        <v>17</v>
      </c>
      <c r="K2026" s="519" t="s">
        <v>387</v>
      </c>
      <c r="L2026" s="520">
        <v>10.67</v>
      </c>
      <c r="M2026" s="520">
        <v>11.33</v>
      </c>
      <c r="N2026" s="507">
        <v>0.10299999999999999</v>
      </c>
      <c r="O2026" s="507">
        <v>0.1</v>
      </c>
      <c r="P2026" s="507">
        <v>0.112</v>
      </c>
      <c r="Q2026" s="78">
        <v>0.44</v>
      </c>
      <c r="R2026" s="78">
        <v>0.31740000000000002</v>
      </c>
      <c r="S2026" s="69">
        <v>2.5000000000000001E-2</v>
      </c>
      <c r="T2026" s="69">
        <v>0.01</v>
      </c>
      <c r="U2026" s="507">
        <v>0.85</v>
      </c>
      <c r="V2026" s="76">
        <v>0</v>
      </c>
      <c r="W2026" s="76">
        <v>0</v>
      </c>
      <c r="X2026" s="76" t="s">
        <v>147</v>
      </c>
      <c r="Y2026" s="519" t="s">
        <v>469</v>
      </c>
    </row>
    <row r="2027" spans="1:25" x14ac:dyDescent="0.25">
      <c r="A2027" s="75" t="str">
        <f t="shared" si="73"/>
        <v>Pago_Hipoteca+Liquidez PF No_Premier PagHip Mas Liquidez Pago_Fijo_Puntual 17</v>
      </c>
      <c r="B2027" s="75" t="str">
        <f t="shared" si="72"/>
        <v>Pago_Hipoteca+Liquidez PF No_Premier PagHip Mas Liquidez Pago_Fijo_Puntual 17 0.106</v>
      </c>
      <c r="C2027" s="75" t="s">
        <v>174</v>
      </c>
      <c r="D2027" s="75" t="s">
        <v>132</v>
      </c>
      <c r="E2027" s="75" t="s">
        <v>179</v>
      </c>
      <c r="F2027" s="75" t="s">
        <v>187</v>
      </c>
      <c r="G2027" s="75"/>
      <c r="H2027" s="75"/>
      <c r="I2027" s="75" t="s">
        <v>171</v>
      </c>
      <c r="J2027" s="76">
        <v>17</v>
      </c>
      <c r="K2027" s="519">
        <v>3</v>
      </c>
      <c r="L2027" s="520">
        <v>10.9</v>
      </c>
      <c r="M2027" s="520">
        <v>11.56</v>
      </c>
      <c r="N2027" s="507">
        <v>0.106</v>
      </c>
      <c r="O2027" s="507">
        <v>0.10299999999999999</v>
      </c>
      <c r="P2027" s="507">
        <v>0.11799999999999999</v>
      </c>
      <c r="Q2027" s="78">
        <v>0.44</v>
      </c>
      <c r="R2027" s="78">
        <v>0.31740000000000002</v>
      </c>
      <c r="S2027" s="69">
        <v>2.5000000000000001E-2</v>
      </c>
      <c r="T2027" s="69">
        <v>0.01</v>
      </c>
      <c r="U2027" s="507">
        <v>0.85</v>
      </c>
      <c r="V2027" s="76">
        <v>0</v>
      </c>
      <c r="W2027" s="76">
        <v>0</v>
      </c>
      <c r="X2027" s="76"/>
      <c r="Y2027" s="519" t="s">
        <v>469</v>
      </c>
    </row>
    <row r="2028" spans="1:25" x14ac:dyDescent="0.25">
      <c r="A2028" s="75" t="str">
        <f t="shared" si="73"/>
        <v>Pago_Hipoteca+Liquidez PF No_Premier PagHip Mas Liquidez Pago_Fijo_Puntual Si 16</v>
      </c>
      <c r="B2028" s="75" t="str">
        <f t="shared" si="72"/>
        <v>Pago_Hipoteca+Liquidez PF No_Premier PagHip Mas Liquidez Pago_Fijo_Puntual Si 16 0.103</v>
      </c>
      <c r="C2028" s="75" t="s">
        <v>174</v>
      </c>
      <c r="D2028" s="75" t="s">
        <v>132</v>
      </c>
      <c r="E2028" s="75" t="s">
        <v>179</v>
      </c>
      <c r="F2028" s="75" t="s">
        <v>187</v>
      </c>
      <c r="G2028" s="75"/>
      <c r="H2028" s="75"/>
      <c r="I2028" s="75" t="s">
        <v>171</v>
      </c>
      <c r="J2028" s="76">
        <v>16</v>
      </c>
      <c r="K2028" s="519" t="s">
        <v>387</v>
      </c>
      <c r="L2028" s="520">
        <v>10.9</v>
      </c>
      <c r="M2028" s="520">
        <v>11.56</v>
      </c>
      <c r="N2028" s="507">
        <v>0.10299999999999999</v>
      </c>
      <c r="O2028" s="507">
        <v>0.1</v>
      </c>
      <c r="P2028" s="507">
        <v>0.112</v>
      </c>
      <c r="Q2028" s="78">
        <v>0.44</v>
      </c>
      <c r="R2028" s="78">
        <v>0.31740000000000002</v>
      </c>
      <c r="S2028" s="69">
        <v>2.5000000000000001E-2</v>
      </c>
      <c r="T2028" s="69">
        <v>0.01</v>
      </c>
      <c r="U2028" s="507">
        <v>0.85</v>
      </c>
      <c r="V2028" s="76">
        <v>0</v>
      </c>
      <c r="W2028" s="76">
        <v>0</v>
      </c>
      <c r="X2028" s="76" t="s">
        <v>147</v>
      </c>
      <c r="Y2028" s="519" t="s">
        <v>469</v>
      </c>
    </row>
    <row r="2029" spans="1:25" x14ac:dyDescent="0.25">
      <c r="A2029" s="75" t="str">
        <f t="shared" si="73"/>
        <v>Pago_Hipoteca+Liquidez PF No_Premier PagHip Mas Liquidez Pago_Fijo_Puntual 16</v>
      </c>
      <c r="B2029" s="75" t="str">
        <f t="shared" si="72"/>
        <v>Pago_Hipoteca+Liquidez PF No_Premier PagHip Mas Liquidez Pago_Fijo_Puntual 16 0.106</v>
      </c>
      <c r="C2029" s="75" t="s">
        <v>174</v>
      </c>
      <c r="D2029" s="75" t="s">
        <v>132</v>
      </c>
      <c r="E2029" s="75" t="s">
        <v>179</v>
      </c>
      <c r="F2029" s="75" t="s">
        <v>187</v>
      </c>
      <c r="G2029" s="75"/>
      <c r="H2029" s="75"/>
      <c r="I2029" s="75" t="s">
        <v>171</v>
      </c>
      <c r="J2029" s="76">
        <v>16</v>
      </c>
      <c r="K2029" s="519">
        <v>3</v>
      </c>
      <c r="L2029" s="520">
        <v>11.12</v>
      </c>
      <c r="M2029" s="520">
        <v>11.78</v>
      </c>
      <c r="N2029" s="507">
        <v>0.106</v>
      </c>
      <c r="O2029" s="507">
        <v>0.10299999999999999</v>
      </c>
      <c r="P2029" s="507">
        <v>0.11799999999999999</v>
      </c>
      <c r="Q2029" s="78">
        <v>0.44</v>
      </c>
      <c r="R2029" s="78">
        <v>0.31740000000000002</v>
      </c>
      <c r="S2029" s="69">
        <v>2.5000000000000001E-2</v>
      </c>
      <c r="T2029" s="69">
        <v>0.01</v>
      </c>
      <c r="U2029" s="507">
        <v>0.85</v>
      </c>
      <c r="V2029" s="76">
        <v>0</v>
      </c>
      <c r="W2029" s="76">
        <v>0</v>
      </c>
      <c r="X2029" s="76"/>
      <c r="Y2029" s="519" t="s">
        <v>469</v>
      </c>
    </row>
    <row r="2030" spans="1:25" x14ac:dyDescent="0.25">
      <c r="A2030" s="75" t="str">
        <f t="shared" si="73"/>
        <v>Pago_Hipoteca+Liquidez PF No_Premier PagHip Mas Liquidez Pago_Fijo_Puntual Si 15</v>
      </c>
      <c r="B2030" s="75" t="str">
        <f t="shared" si="72"/>
        <v>Pago_Hipoteca+Liquidez PF No_Premier PagHip Mas Liquidez Pago_Fijo_Puntual Si 15 0.103</v>
      </c>
      <c r="C2030" s="75" t="s">
        <v>174</v>
      </c>
      <c r="D2030" s="75" t="s">
        <v>132</v>
      </c>
      <c r="E2030" s="75" t="s">
        <v>179</v>
      </c>
      <c r="F2030" s="75" t="s">
        <v>187</v>
      </c>
      <c r="G2030" s="75"/>
      <c r="H2030" s="75"/>
      <c r="I2030" s="75" t="s">
        <v>171</v>
      </c>
      <c r="J2030" s="76">
        <v>15</v>
      </c>
      <c r="K2030" s="519" t="s">
        <v>387</v>
      </c>
      <c r="L2030" s="520">
        <v>11.18</v>
      </c>
      <c r="M2030" s="520">
        <v>11.84</v>
      </c>
      <c r="N2030" s="507">
        <v>0.10299999999999999</v>
      </c>
      <c r="O2030" s="507">
        <v>0.1</v>
      </c>
      <c r="P2030" s="507">
        <v>0.112</v>
      </c>
      <c r="Q2030" s="78">
        <v>0.44</v>
      </c>
      <c r="R2030" s="78">
        <v>0.31740000000000002</v>
      </c>
      <c r="S2030" s="69">
        <v>2.5000000000000001E-2</v>
      </c>
      <c r="T2030" s="69">
        <v>0.01</v>
      </c>
      <c r="U2030" s="507">
        <v>0.85</v>
      </c>
      <c r="V2030" s="76">
        <v>0</v>
      </c>
      <c r="W2030" s="76">
        <v>0</v>
      </c>
      <c r="X2030" s="76" t="s">
        <v>147</v>
      </c>
      <c r="Y2030" s="519" t="s">
        <v>469</v>
      </c>
    </row>
    <row r="2031" spans="1:25" x14ac:dyDescent="0.25">
      <c r="A2031" s="75" t="str">
        <f t="shared" si="73"/>
        <v>Pago_Hipoteca+Liquidez PF No_Premier PagHip Mas Liquidez Pago_Fijo_Puntual 15</v>
      </c>
      <c r="B2031" s="75" t="str">
        <f t="shared" si="72"/>
        <v>Pago_Hipoteca+Liquidez PF No_Premier PagHip Mas Liquidez Pago_Fijo_Puntual 15 0.106</v>
      </c>
      <c r="C2031" s="75" t="s">
        <v>174</v>
      </c>
      <c r="D2031" s="75" t="s">
        <v>132</v>
      </c>
      <c r="E2031" s="75" t="s">
        <v>179</v>
      </c>
      <c r="F2031" s="75" t="s">
        <v>187</v>
      </c>
      <c r="G2031" s="75"/>
      <c r="H2031" s="75"/>
      <c r="I2031" s="75" t="s">
        <v>171</v>
      </c>
      <c r="J2031" s="76">
        <v>15</v>
      </c>
      <c r="K2031" s="519">
        <v>3</v>
      </c>
      <c r="L2031" s="520">
        <v>11.38</v>
      </c>
      <c r="M2031" s="520">
        <v>12.04</v>
      </c>
      <c r="N2031" s="507">
        <v>0.106</v>
      </c>
      <c r="O2031" s="507">
        <v>0.10299999999999999</v>
      </c>
      <c r="P2031" s="507">
        <v>0.11799999999999999</v>
      </c>
      <c r="Q2031" s="78">
        <v>0.44</v>
      </c>
      <c r="R2031" s="78">
        <v>0.31740000000000002</v>
      </c>
      <c r="S2031" s="69">
        <v>2.5000000000000001E-2</v>
      </c>
      <c r="T2031" s="69">
        <v>0.01</v>
      </c>
      <c r="U2031" s="507">
        <v>0.85</v>
      </c>
      <c r="V2031" s="76">
        <v>0</v>
      </c>
      <c r="W2031" s="76">
        <v>0</v>
      </c>
      <c r="X2031" s="76"/>
      <c r="Y2031" s="519" t="s">
        <v>469</v>
      </c>
    </row>
    <row r="2032" spans="1:25" x14ac:dyDescent="0.25">
      <c r="A2032" s="75" t="str">
        <f t="shared" si="73"/>
        <v>Pago_Hipoteca+Liquidez PF No_Premier PagHip Mas Liquidez Pago_Fijo_Puntual Si 14</v>
      </c>
      <c r="B2032" s="75" t="str">
        <f t="shared" si="72"/>
        <v>Pago_Hipoteca+Liquidez PF No_Premier PagHip Mas Liquidez Pago_Fijo_Puntual Si 14 0.103</v>
      </c>
      <c r="C2032" s="75" t="s">
        <v>174</v>
      </c>
      <c r="D2032" s="75" t="s">
        <v>132</v>
      </c>
      <c r="E2032" s="75" t="s">
        <v>179</v>
      </c>
      <c r="F2032" s="75" t="s">
        <v>187</v>
      </c>
      <c r="G2032" s="75"/>
      <c r="H2032" s="75"/>
      <c r="I2032" s="75" t="s">
        <v>171</v>
      </c>
      <c r="J2032" s="76">
        <v>14</v>
      </c>
      <c r="K2032" s="519" t="s">
        <v>387</v>
      </c>
      <c r="L2032" s="520">
        <v>11.49</v>
      </c>
      <c r="M2032" s="520">
        <v>12.15</v>
      </c>
      <c r="N2032" s="507">
        <v>0.10299999999999999</v>
      </c>
      <c r="O2032" s="507">
        <v>0.1</v>
      </c>
      <c r="P2032" s="507">
        <v>0.112</v>
      </c>
      <c r="Q2032" s="78">
        <v>0.44</v>
      </c>
      <c r="R2032" s="78">
        <v>0.31740000000000002</v>
      </c>
      <c r="S2032" s="69">
        <v>2.5000000000000001E-2</v>
      </c>
      <c r="T2032" s="69">
        <v>0.01</v>
      </c>
      <c r="U2032" s="507">
        <v>0.85</v>
      </c>
      <c r="V2032" s="76">
        <v>0</v>
      </c>
      <c r="W2032" s="76">
        <v>0</v>
      </c>
      <c r="X2032" s="76" t="s">
        <v>147</v>
      </c>
      <c r="Y2032" s="519" t="s">
        <v>469</v>
      </c>
    </row>
    <row r="2033" spans="1:25" x14ac:dyDescent="0.25">
      <c r="A2033" s="75" t="str">
        <f t="shared" si="73"/>
        <v>Pago_Hipoteca+Liquidez PF No_Premier PagHip Mas Liquidez Pago_Fijo_Puntual 14</v>
      </c>
      <c r="B2033" s="75" t="str">
        <f t="shared" si="72"/>
        <v>Pago_Hipoteca+Liquidez PF No_Premier PagHip Mas Liquidez Pago_Fijo_Puntual 14 0.106</v>
      </c>
      <c r="C2033" s="75" t="s">
        <v>174</v>
      </c>
      <c r="D2033" s="75" t="s">
        <v>132</v>
      </c>
      <c r="E2033" s="75" t="s">
        <v>179</v>
      </c>
      <c r="F2033" s="75" t="s">
        <v>187</v>
      </c>
      <c r="G2033" s="75"/>
      <c r="H2033" s="75"/>
      <c r="I2033" s="75" t="s">
        <v>171</v>
      </c>
      <c r="J2033" s="76">
        <v>14</v>
      </c>
      <c r="K2033" s="519">
        <v>3</v>
      </c>
      <c r="L2033" s="520">
        <v>11.69</v>
      </c>
      <c r="M2033" s="520">
        <v>12.35</v>
      </c>
      <c r="N2033" s="507">
        <v>0.106</v>
      </c>
      <c r="O2033" s="507">
        <v>0.10299999999999999</v>
      </c>
      <c r="P2033" s="507">
        <v>0.11799999999999999</v>
      </c>
      <c r="Q2033" s="78">
        <v>0.44</v>
      </c>
      <c r="R2033" s="78">
        <v>0.31740000000000002</v>
      </c>
      <c r="S2033" s="69">
        <v>2.5000000000000001E-2</v>
      </c>
      <c r="T2033" s="69">
        <v>0.01</v>
      </c>
      <c r="U2033" s="507">
        <v>0.85</v>
      </c>
      <c r="V2033" s="76">
        <v>0</v>
      </c>
      <c r="W2033" s="76">
        <v>0</v>
      </c>
      <c r="X2033" s="76"/>
      <c r="Y2033" s="519" t="s">
        <v>469</v>
      </c>
    </row>
    <row r="2034" spans="1:25" x14ac:dyDescent="0.25">
      <c r="A2034" s="75" t="str">
        <f t="shared" si="73"/>
        <v>Pago_Hipoteca+Liquidez PF No_Premier PagHip Mas Liquidez Pago_Fijo_Puntual Si 13</v>
      </c>
      <c r="B2034" s="75" t="str">
        <f t="shared" si="72"/>
        <v>Pago_Hipoteca+Liquidez PF No_Premier PagHip Mas Liquidez Pago_Fijo_Puntual Si 13 0.103</v>
      </c>
      <c r="C2034" s="75" t="s">
        <v>174</v>
      </c>
      <c r="D2034" s="75" t="s">
        <v>132</v>
      </c>
      <c r="E2034" s="75" t="s">
        <v>179</v>
      </c>
      <c r="F2034" s="75" t="s">
        <v>187</v>
      </c>
      <c r="G2034" s="75"/>
      <c r="H2034" s="75"/>
      <c r="I2034" s="75" t="s">
        <v>171</v>
      </c>
      <c r="J2034" s="76">
        <v>13</v>
      </c>
      <c r="K2034" s="519" t="s">
        <v>387</v>
      </c>
      <c r="L2034" s="520">
        <v>11.86</v>
      </c>
      <c r="M2034" s="520">
        <v>12.52</v>
      </c>
      <c r="N2034" s="507">
        <v>0.10299999999999999</v>
      </c>
      <c r="O2034" s="507">
        <v>0.1</v>
      </c>
      <c r="P2034" s="507">
        <v>0.112</v>
      </c>
      <c r="Q2034" s="78">
        <v>0.44</v>
      </c>
      <c r="R2034" s="78">
        <v>0.31740000000000002</v>
      </c>
      <c r="S2034" s="69">
        <v>2.5000000000000001E-2</v>
      </c>
      <c r="T2034" s="69">
        <v>0.01</v>
      </c>
      <c r="U2034" s="507">
        <v>0.85</v>
      </c>
      <c r="V2034" s="76">
        <v>0</v>
      </c>
      <c r="W2034" s="76">
        <v>0</v>
      </c>
      <c r="X2034" s="76" t="s">
        <v>147</v>
      </c>
      <c r="Y2034" s="519" t="s">
        <v>469</v>
      </c>
    </row>
    <row r="2035" spans="1:25" x14ac:dyDescent="0.25">
      <c r="A2035" s="75" t="str">
        <f t="shared" si="73"/>
        <v>Pago_Hipoteca+Liquidez PF No_Premier PagHip Mas Liquidez Pago_Fijo_Puntual 13</v>
      </c>
      <c r="B2035" s="75" t="str">
        <f t="shared" si="72"/>
        <v>Pago_Hipoteca+Liquidez PF No_Premier PagHip Mas Liquidez Pago_Fijo_Puntual 13 0.106</v>
      </c>
      <c r="C2035" s="75" t="s">
        <v>174</v>
      </c>
      <c r="D2035" s="75" t="s">
        <v>132</v>
      </c>
      <c r="E2035" s="75" t="s">
        <v>179</v>
      </c>
      <c r="F2035" s="75" t="s">
        <v>187</v>
      </c>
      <c r="G2035" s="75"/>
      <c r="H2035" s="75"/>
      <c r="I2035" s="75" t="s">
        <v>171</v>
      </c>
      <c r="J2035" s="76">
        <v>13</v>
      </c>
      <c r="K2035" s="519">
        <v>3</v>
      </c>
      <c r="L2035" s="520">
        <v>12.06</v>
      </c>
      <c r="M2035" s="520">
        <v>12.72</v>
      </c>
      <c r="N2035" s="507">
        <v>0.106</v>
      </c>
      <c r="O2035" s="507">
        <v>0.10299999999999999</v>
      </c>
      <c r="P2035" s="507">
        <v>0.11799999999999999</v>
      </c>
      <c r="Q2035" s="78">
        <v>0.44</v>
      </c>
      <c r="R2035" s="78">
        <v>0.31740000000000002</v>
      </c>
      <c r="S2035" s="69">
        <v>2.5000000000000001E-2</v>
      </c>
      <c r="T2035" s="69">
        <v>0.01</v>
      </c>
      <c r="U2035" s="507">
        <v>0.85</v>
      </c>
      <c r="V2035" s="76">
        <v>0</v>
      </c>
      <c r="W2035" s="76">
        <v>0</v>
      </c>
      <c r="X2035" s="76"/>
      <c r="Y2035" s="519" t="s">
        <v>469</v>
      </c>
    </row>
    <row r="2036" spans="1:25" x14ac:dyDescent="0.25">
      <c r="A2036" s="75" t="str">
        <f t="shared" si="73"/>
        <v>Pago_Hipoteca+Liquidez PF No_Premier PagHip Mas Liquidez Pago_Fijo_Puntual Si 12</v>
      </c>
      <c r="B2036" s="75" t="str">
        <f t="shared" si="72"/>
        <v>Pago_Hipoteca+Liquidez PF No_Premier PagHip Mas Liquidez Pago_Fijo_Puntual Si 12 0.103</v>
      </c>
      <c r="C2036" s="75" t="s">
        <v>174</v>
      </c>
      <c r="D2036" s="75" t="s">
        <v>132</v>
      </c>
      <c r="E2036" s="75" t="s">
        <v>179</v>
      </c>
      <c r="F2036" s="75" t="s">
        <v>187</v>
      </c>
      <c r="G2036" s="75"/>
      <c r="H2036" s="75"/>
      <c r="I2036" s="75" t="s">
        <v>171</v>
      </c>
      <c r="J2036" s="76">
        <v>12</v>
      </c>
      <c r="K2036" s="519" t="s">
        <v>387</v>
      </c>
      <c r="L2036" s="520">
        <v>12.31</v>
      </c>
      <c r="M2036" s="520">
        <v>12.97</v>
      </c>
      <c r="N2036" s="507">
        <v>0.10299999999999999</v>
      </c>
      <c r="O2036" s="507">
        <v>0.1</v>
      </c>
      <c r="P2036" s="507">
        <v>0.112</v>
      </c>
      <c r="Q2036" s="78">
        <v>0.44</v>
      </c>
      <c r="R2036" s="78">
        <v>0.31740000000000002</v>
      </c>
      <c r="S2036" s="69">
        <v>2.5000000000000001E-2</v>
      </c>
      <c r="T2036" s="69">
        <v>0.01</v>
      </c>
      <c r="U2036" s="507">
        <v>0.85</v>
      </c>
      <c r="V2036" s="76">
        <v>0</v>
      </c>
      <c r="W2036" s="76">
        <v>0</v>
      </c>
      <c r="X2036" s="76" t="s">
        <v>147</v>
      </c>
      <c r="Y2036" s="519" t="s">
        <v>469</v>
      </c>
    </row>
    <row r="2037" spans="1:25" x14ac:dyDescent="0.25">
      <c r="A2037" s="75" t="str">
        <f t="shared" si="73"/>
        <v>Pago_Hipoteca+Liquidez PF No_Premier PagHip Mas Liquidez Pago_Fijo_Puntual 12</v>
      </c>
      <c r="B2037" s="75" t="str">
        <f t="shared" si="72"/>
        <v>Pago_Hipoteca+Liquidez PF No_Premier PagHip Mas Liquidez Pago_Fijo_Puntual 12 0.106</v>
      </c>
      <c r="C2037" s="75" t="s">
        <v>174</v>
      </c>
      <c r="D2037" s="75" t="s">
        <v>132</v>
      </c>
      <c r="E2037" s="75" t="s">
        <v>179</v>
      </c>
      <c r="F2037" s="75" t="s">
        <v>187</v>
      </c>
      <c r="G2037" s="75"/>
      <c r="H2037" s="75"/>
      <c r="I2037" s="75" t="s">
        <v>171</v>
      </c>
      <c r="J2037" s="76">
        <v>12</v>
      </c>
      <c r="K2037" s="519">
        <v>3</v>
      </c>
      <c r="L2037" s="520">
        <v>12.5</v>
      </c>
      <c r="M2037" s="520">
        <v>13.16</v>
      </c>
      <c r="N2037" s="507">
        <v>0.106</v>
      </c>
      <c r="O2037" s="507">
        <v>0.10299999999999999</v>
      </c>
      <c r="P2037" s="507">
        <v>0.11799999999999999</v>
      </c>
      <c r="Q2037" s="78">
        <v>0.44</v>
      </c>
      <c r="R2037" s="78">
        <v>0.31740000000000002</v>
      </c>
      <c r="S2037" s="69">
        <v>2.5000000000000001E-2</v>
      </c>
      <c r="T2037" s="69">
        <v>0.01</v>
      </c>
      <c r="U2037" s="507">
        <v>0.85</v>
      </c>
      <c r="V2037" s="76">
        <v>0</v>
      </c>
      <c r="W2037" s="76">
        <v>0</v>
      </c>
      <c r="X2037" s="76"/>
      <c r="Y2037" s="519" t="s">
        <v>469</v>
      </c>
    </row>
    <row r="2038" spans="1:25" x14ac:dyDescent="0.25">
      <c r="A2038" s="75" t="str">
        <f t="shared" si="73"/>
        <v>Pago_Hipoteca+Liquidez PF No_Premier PagHip Mas Liquidez Pago_Fijo_Puntual Si 11</v>
      </c>
      <c r="B2038" s="75" t="str">
        <f t="shared" si="72"/>
        <v>Pago_Hipoteca+Liquidez PF No_Premier PagHip Mas Liquidez Pago_Fijo_Puntual Si 11 0.103</v>
      </c>
      <c r="C2038" s="75" t="s">
        <v>174</v>
      </c>
      <c r="D2038" s="75" t="s">
        <v>132</v>
      </c>
      <c r="E2038" s="75" t="s">
        <v>179</v>
      </c>
      <c r="F2038" s="75" t="s">
        <v>187</v>
      </c>
      <c r="G2038" s="75"/>
      <c r="H2038" s="75"/>
      <c r="I2038" s="75" t="s">
        <v>171</v>
      </c>
      <c r="J2038" s="76">
        <v>11</v>
      </c>
      <c r="K2038" s="519" t="s">
        <v>387</v>
      </c>
      <c r="L2038" s="520">
        <v>12.86</v>
      </c>
      <c r="M2038" s="520">
        <v>13.52</v>
      </c>
      <c r="N2038" s="507">
        <v>0.10299999999999999</v>
      </c>
      <c r="O2038" s="507">
        <v>0.1</v>
      </c>
      <c r="P2038" s="507">
        <v>0.112</v>
      </c>
      <c r="Q2038" s="78">
        <v>0.44</v>
      </c>
      <c r="R2038" s="78">
        <v>0.31740000000000002</v>
      </c>
      <c r="S2038" s="69">
        <v>2.5000000000000001E-2</v>
      </c>
      <c r="T2038" s="69">
        <v>0.01</v>
      </c>
      <c r="U2038" s="507">
        <v>0.85</v>
      </c>
      <c r="V2038" s="76">
        <v>0</v>
      </c>
      <c r="W2038" s="76">
        <v>0</v>
      </c>
      <c r="X2038" s="76" t="s">
        <v>147</v>
      </c>
      <c r="Y2038" s="519" t="s">
        <v>469</v>
      </c>
    </row>
    <row r="2039" spans="1:25" x14ac:dyDescent="0.25">
      <c r="A2039" s="75" t="str">
        <f t="shared" si="73"/>
        <v>Pago_Hipoteca+Liquidez PF No_Premier PagHip Mas Liquidez Pago_Fijo_Puntual 11</v>
      </c>
      <c r="B2039" s="75" t="str">
        <f t="shared" si="72"/>
        <v>Pago_Hipoteca+Liquidez PF No_Premier PagHip Mas Liquidez Pago_Fijo_Puntual 11 0.106</v>
      </c>
      <c r="C2039" s="75" t="s">
        <v>174</v>
      </c>
      <c r="D2039" s="75" t="s">
        <v>132</v>
      </c>
      <c r="E2039" s="75" t="s">
        <v>179</v>
      </c>
      <c r="F2039" s="75" t="s">
        <v>187</v>
      </c>
      <c r="G2039" s="75"/>
      <c r="H2039" s="75"/>
      <c r="I2039" s="75" t="s">
        <v>171</v>
      </c>
      <c r="J2039" s="76">
        <v>11</v>
      </c>
      <c r="K2039" s="519">
        <v>3</v>
      </c>
      <c r="L2039" s="520">
        <v>13.04</v>
      </c>
      <c r="M2039" s="520">
        <v>13.7</v>
      </c>
      <c r="N2039" s="507">
        <v>0.106</v>
      </c>
      <c r="O2039" s="507">
        <v>0.10299999999999999</v>
      </c>
      <c r="P2039" s="507">
        <v>0.11799999999999999</v>
      </c>
      <c r="Q2039" s="78">
        <v>0.44</v>
      </c>
      <c r="R2039" s="78">
        <v>0.31740000000000002</v>
      </c>
      <c r="S2039" s="69">
        <v>2.5000000000000001E-2</v>
      </c>
      <c r="T2039" s="69">
        <v>0.01</v>
      </c>
      <c r="U2039" s="507">
        <v>0.85</v>
      </c>
      <c r="V2039" s="76">
        <v>0</v>
      </c>
      <c r="W2039" s="76">
        <v>0</v>
      </c>
      <c r="X2039" s="76"/>
      <c r="Y2039" s="519" t="s">
        <v>469</v>
      </c>
    </row>
    <row r="2040" spans="1:25" x14ac:dyDescent="0.25">
      <c r="A2040" s="75" t="str">
        <f t="shared" si="73"/>
        <v>Pago_Hipoteca+Liquidez PF No_Premier PagHip Mas Liquidez Pago_Fijo_Puntual Si 10</v>
      </c>
      <c r="B2040" s="75" t="str">
        <f t="shared" si="72"/>
        <v>Pago_Hipoteca+Liquidez PF No_Premier PagHip Mas Liquidez Pago_Fijo_Puntual Si 10 0.103</v>
      </c>
      <c r="C2040" s="75" t="s">
        <v>174</v>
      </c>
      <c r="D2040" s="75" t="s">
        <v>132</v>
      </c>
      <c r="E2040" s="75" t="s">
        <v>179</v>
      </c>
      <c r="F2040" s="75" t="s">
        <v>187</v>
      </c>
      <c r="G2040" s="75"/>
      <c r="H2040" s="75"/>
      <c r="I2040" s="75" t="s">
        <v>171</v>
      </c>
      <c r="J2040" s="76">
        <v>10</v>
      </c>
      <c r="K2040" s="519" t="s">
        <v>387</v>
      </c>
      <c r="L2040" s="520">
        <v>13.54</v>
      </c>
      <c r="M2040" s="520">
        <v>14.2</v>
      </c>
      <c r="N2040" s="507">
        <v>0.10299999999999999</v>
      </c>
      <c r="O2040" s="507">
        <v>0.1</v>
      </c>
      <c r="P2040" s="507">
        <v>0.112</v>
      </c>
      <c r="Q2040" s="78">
        <v>0.44</v>
      </c>
      <c r="R2040" s="78">
        <v>0.31740000000000002</v>
      </c>
      <c r="S2040" s="69">
        <v>2.5000000000000001E-2</v>
      </c>
      <c r="T2040" s="69">
        <v>0.01</v>
      </c>
      <c r="U2040" s="507">
        <v>0.85</v>
      </c>
      <c r="V2040" s="76">
        <v>0</v>
      </c>
      <c r="W2040" s="76">
        <v>0</v>
      </c>
      <c r="X2040" s="76" t="s">
        <v>147</v>
      </c>
      <c r="Y2040" s="519" t="s">
        <v>469</v>
      </c>
    </row>
    <row r="2041" spans="1:25" x14ac:dyDescent="0.25">
      <c r="A2041" s="75" t="str">
        <f t="shared" si="73"/>
        <v>Pago_Hipoteca+Liquidez PF No_Premier PagHip Mas Liquidez Pago_Fijo_Puntual 10</v>
      </c>
      <c r="B2041" s="75" t="str">
        <f t="shared" si="72"/>
        <v>Pago_Hipoteca+Liquidez PF No_Premier PagHip Mas Liquidez Pago_Fijo_Puntual 10 0.106</v>
      </c>
      <c r="C2041" s="75" t="s">
        <v>174</v>
      </c>
      <c r="D2041" s="75" t="s">
        <v>132</v>
      </c>
      <c r="E2041" s="75" t="s">
        <v>179</v>
      </c>
      <c r="F2041" s="75" t="s">
        <v>187</v>
      </c>
      <c r="G2041" s="75"/>
      <c r="H2041" s="75"/>
      <c r="I2041" s="75" t="s">
        <v>171</v>
      </c>
      <c r="J2041" s="76">
        <v>10</v>
      </c>
      <c r="K2041" s="519">
        <v>3</v>
      </c>
      <c r="L2041" s="520">
        <v>13.7</v>
      </c>
      <c r="M2041" s="520">
        <v>14.36</v>
      </c>
      <c r="N2041" s="507">
        <v>0.106</v>
      </c>
      <c r="O2041" s="507">
        <v>0.10299999999999999</v>
      </c>
      <c r="P2041" s="507">
        <v>0.11799999999999999</v>
      </c>
      <c r="Q2041" s="78">
        <v>0.44</v>
      </c>
      <c r="R2041" s="78">
        <v>0.31740000000000002</v>
      </c>
      <c r="S2041" s="69">
        <v>2.5000000000000001E-2</v>
      </c>
      <c r="T2041" s="69">
        <v>0.01</v>
      </c>
      <c r="U2041" s="507">
        <v>0.85</v>
      </c>
      <c r="V2041" s="76">
        <v>0</v>
      </c>
      <c r="W2041" s="76">
        <v>0</v>
      </c>
      <c r="X2041" s="76"/>
      <c r="Y2041" s="519" t="s">
        <v>469</v>
      </c>
    </row>
    <row r="2042" spans="1:25" x14ac:dyDescent="0.25">
      <c r="A2042" s="75" t="str">
        <f t="shared" si="73"/>
        <v>Pago_Hipoteca+Liquidez PF No_Premier PagHip Mas Liquidez Pago_Fijo_Puntual Si 9</v>
      </c>
      <c r="B2042" s="75" t="str">
        <f t="shared" si="72"/>
        <v>Pago_Hipoteca+Liquidez PF No_Premier PagHip Mas Liquidez Pago_Fijo_Puntual Si 9 0.103</v>
      </c>
      <c r="C2042" s="75" t="s">
        <v>174</v>
      </c>
      <c r="D2042" s="75" t="s">
        <v>132</v>
      </c>
      <c r="E2042" s="75" t="s">
        <v>179</v>
      </c>
      <c r="F2042" s="75" t="s">
        <v>187</v>
      </c>
      <c r="G2042" s="75"/>
      <c r="H2042" s="75"/>
      <c r="I2042" s="75" t="s">
        <v>171</v>
      </c>
      <c r="J2042" s="76">
        <v>9</v>
      </c>
      <c r="K2042" s="519" t="s">
        <v>387</v>
      </c>
      <c r="L2042" s="520">
        <v>14.37</v>
      </c>
      <c r="M2042" s="520">
        <v>15.03</v>
      </c>
      <c r="N2042" s="507">
        <v>0.10299999999999999</v>
      </c>
      <c r="O2042" s="507">
        <v>0.1</v>
      </c>
      <c r="P2042" s="507">
        <v>0.112</v>
      </c>
      <c r="Q2042" s="78">
        <v>0.44</v>
      </c>
      <c r="R2042" s="78">
        <v>0.31740000000000002</v>
      </c>
      <c r="S2042" s="69">
        <v>2.5000000000000001E-2</v>
      </c>
      <c r="T2042" s="69">
        <v>0.01</v>
      </c>
      <c r="U2042" s="507">
        <v>0.85</v>
      </c>
      <c r="V2042" s="76">
        <v>0</v>
      </c>
      <c r="W2042" s="76">
        <v>0</v>
      </c>
      <c r="X2042" s="76" t="s">
        <v>147</v>
      </c>
      <c r="Y2042" s="519" t="s">
        <v>469</v>
      </c>
    </row>
    <row r="2043" spans="1:25" x14ac:dyDescent="0.25">
      <c r="A2043" s="75" t="str">
        <f t="shared" si="73"/>
        <v>Pago_Hipoteca+Liquidez PF No_Premier PagHip Mas Liquidez Pago_Fijo_Puntual 9</v>
      </c>
      <c r="B2043" s="75" t="str">
        <f t="shared" si="72"/>
        <v>Pago_Hipoteca+Liquidez PF No_Premier PagHip Mas Liquidez Pago_Fijo_Puntual 9 0.106</v>
      </c>
      <c r="C2043" s="75" t="s">
        <v>174</v>
      </c>
      <c r="D2043" s="75" t="s">
        <v>132</v>
      </c>
      <c r="E2043" s="75" t="s">
        <v>179</v>
      </c>
      <c r="F2043" s="75" t="s">
        <v>187</v>
      </c>
      <c r="G2043" s="75"/>
      <c r="H2043" s="75"/>
      <c r="I2043" s="75" t="s">
        <v>171</v>
      </c>
      <c r="J2043" s="76">
        <v>9</v>
      </c>
      <c r="K2043" s="519">
        <v>3</v>
      </c>
      <c r="L2043" s="520">
        <v>14.53</v>
      </c>
      <c r="M2043" s="520">
        <v>15.19</v>
      </c>
      <c r="N2043" s="507">
        <v>0.106</v>
      </c>
      <c r="O2043" s="507">
        <v>0.10299999999999999</v>
      </c>
      <c r="P2043" s="507">
        <v>0.11799999999999999</v>
      </c>
      <c r="Q2043" s="78">
        <v>0.44</v>
      </c>
      <c r="R2043" s="78">
        <v>0.31740000000000002</v>
      </c>
      <c r="S2043" s="69">
        <v>2.5000000000000001E-2</v>
      </c>
      <c r="T2043" s="69">
        <v>0.01</v>
      </c>
      <c r="U2043" s="507">
        <v>0.85</v>
      </c>
      <c r="V2043" s="76">
        <v>0</v>
      </c>
      <c r="W2043" s="76">
        <v>0</v>
      </c>
      <c r="X2043" s="76"/>
      <c r="Y2043" s="519" t="s">
        <v>469</v>
      </c>
    </row>
    <row r="2044" spans="1:25" x14ac:dyDescent="0.25">
      <c r="A2044" s="75" t="str">
        <f t="shared" si="73"/>
        <v>Pago_Hipoteca+Liquidez PF No_Premier PagHip Mas Liquidez Pago_Fijo_Puntual Si 8</v>
      </c>
      <c r="B2044" s="75" t="str">
        <f t="shared" si="72"/>
        <v>Pago_Hipoteca+Liquidez PF No_Premier PagHip Mas Liquidez Pago_Fijo_Puntual Si 8 0.103</v>
      </c>
      <c r="C2044" s="75" t="s">
        <v>174</v>
      </c>
      <c r="D2044" s="75" t="s">
        <v>132</v>
      </c>
      <c r="E2044" s="75" t="s">
        <v>179</v>
      </c>
      <c r="F2044" s="75" t="s">
        <v>187</v>
      </c>
      <c r="G2044" s="75"/>
      <c r="H2044" s="75"/>
      <c r="I2044" s="75" t="s">
        <v>171</v>
      </c>
      <c r="J2044" s="76">
        <v>8</v>
      </c>
      <c r="K2044" s="519" t="s">
        <v>387</v>
      </c>
      <c r="L2044" s="520">
        <v>15.44</v>
      </c>
      <c r="M2044" s="520">
        <v>16.100000000000001</v>
      </c>
      <c r="N2044" s="507">
        <v>0.10299999999999999</v>
      </c>
      <c r="O2044" s="507">
        <v>0.1</v>
      </c>
      <c r="P2044" s="507">
        <v>0.112</v>
      </c>
      <c r="Q2044" s="78">
        <v>0.44</v>
      </c>
      <c r="R2044" s="78">
        <v>0.31740000000000002</v>
      </c>
      <c r="S2044" s="69">
        <v>2.5000000000000001E-2</v>
      </c>
      <c r="T2044" s="69">
        <v>0.01</v>
      </c>
      <c r="U2044" s="507">
        <v>0.85</v>
      </c>
      <c r="V2044" s="76">
        <v>0</v>
      </c>
      <c r="W2044" s="76">
        <v>0</v>
      </c>
      <c r="X2044" s="76" t="s">
        <v>147</v>
      </c>
      <c r="Y2044" s="519" t="s">
        <v>469</v>
      </c>
    </row>
    <row r="2045" spans="1:25" x14ac:dyDescent="0.25">
      <c r="A2045" s="75" t="str">
        <f t="shared" si="73"/>
        <v>Pago_Hipoteca+Liquidez PF No_Premier PagHip Mas Liquidez Pago_Fijo_Puntual 8</v>
      </c>
      <c r="B2045" s="75" t="str">
        <f t="shared" si="72"/>
        <v>Pago_Hipoteca+Liquidez PF No_Premier PagHip Mas Liquidez Pago_Fijo_Puntual 8 0.106</v>
      </c>
      <c r="C2045" s="75" t="s">
        <v>174</v>
      </c>
      <c r="D2045" s="75" t="s">
        <v>132</v>
      </c>
      <c r="E2045" s="75" t="s">
        <v>179</v>
      </c>
      <c r="F2045" s="75" t="s">
        <v>187</v>
      </c>
      <c r="G2045" s="75"/>
      <c r="H2045" s="75"/>
      <c r="I2045" s="75" t="s">
        <v>171</v>
      </c>
      <c r="J2045" s="76">
        <v>8</v>
      </c>
      <c r="K2045" s="519">
        <v>3</v>
      </c>
      <c r="L2045" s="520">
        <v>15.6</v>
      </c>
      <c r="M2045" s="520">
        <v>16.260000000000002</v>
      </c>
      <c r="N2045" s="507">
        <v>0.106</v>
      </c>
      <c r="O2045" s="507">
        <v>0.10299999999999999</v>
      </c>
      <c r="P2045" s="507">
        <v>0.11799999999999999</v>
      </c>
      <c r="Q2045" s="78">
        <v>0.44</v>
      </c>
      <c r="R2045" s="78">
        <v>0.31740000000000002</v>
      </c>
      <c r="S2045" s="69">
        <v>2.5000000000000001E-2</v>
      </c>
      <c r="T2045" s="69">
        <v>0.01</v>
      </c>
      <c r="U2045" s="507">
        <v>0.85</v>
      </c>
      <c r="V2045" s="76">
        <v>0</v>
      </c>
      <c r="W2045" s="76">
        <v>0</v>
      </c>
      <c r="X2045" s="76"/>
      <c r="Y2045" s="519" t="s">
        <v>469</v>
      </c>
    </row>
    <row r="2046" spans="1:25" x14ac:dyDescent="0.25">
      <c r="A2046" s="75" t="str">
        <f t="shared" si="73"/>
        <v>Pago_Hipoteca+Liquidez PF No_Premier PagHip Mas Liquidez Pago_Fijo_Puntual Si 7</v>
      </c>
      <c r="B2046" s="75" t="str">
        <f t="shared" si="72"/>
        <v>Pago_Hipoteca+Liquidez PF No_Premier PagHip Mas Liquidez Pago_Fijo_Puntual Si 7 0.103</v>
      </c>
      <c r="C2046" s="75" t="s">
        <v>174</v>
      </c>
      <c r="D2046" s="75" t="s">
        <v>132</v>
      </c>
      <c r="E2046" s="75" t="s">
        <v>179</v>
      </c>
      <c r="F2046" s="75" t="s">
        <v>187</v>
      </c>
      <c r="G2046" s="75"/>
      <c r="H2046" s="75"/>
      <c r="I2046" s="75" t="s">
        <v>171</v>
      </c>
      <c r="J2046" s="76">
        <v>7</v>
      </c>
      <c r="K2046" s="519" t="s">
        <v>387</v>
      </c>
      <c r="L2046" s="520">
        <v>16.84</v>
      </c>
      <c r="M2046" s="520">
        <v>17.5</v>
      </c>
      <c r="N2046" s="507">
        <v>0.10299999999999999</v>
      </c>
      <c r="O2046" s="507">
        <v>0.1</v>
      </c>
      <c r="P2046" s="507">
        <v>0.112</v>
      </c>
      <c r="Q2046" s="78">
        <v>0.44</v>
      </c>
      <c r="R2046" s="78">
        <v>0.31740000000000002</v>
      </c>
      <c r="S2046" s="69">
        <v>2.5000000000000001E-2</v>
      </c>
      <c r="T2046" s="69">
        <v>0.01</v>
      </c>
      <c r="U2046" s="507">
        <v>0.85</v>
      </c>
      <c r="V2046" s="76">
        <v>0</v>
      </c>
      <c r="W2046" s="76">
        <v>0</v>
      </c>
      <c r="X2046" s="76" t="s">
        <v>147</v>
      </c>
      <c r="Y2046" s="519" t="s">
        <v>469</v>
      </c>
    </row>
    <row r="2047" spans="1:25" x14ac:dyDescent="0.25">
      <c r="A2047" s="75" t="str">
        <f t="shared" si="73"/>
        <v>Pago_Hipoteca+Liquidez PF No_Premier PagHip Mas Liquidez Pago_Fijo_Puntual 7</v>
      </c>
      <c r="B2047" s="75" t="str">
        <f t="shared" si="72"/>
        <v>Pago_Hipoteca+Liquidez PF No_Premier PagHip Mas Liquidez Pago_Fijo_Puntual 7 0.106</v>
      </c>
      <c r="C2047" s="75" t="s">
        <v>174</v>
      </c>
      <c r="D2047" s="75" t="s">
        <v>132</v>
      </c>
      <c r="E2047" s="75" t="s">
        <v>179</v>
      </c>
      <c r="F2047" s="75" t="s">
        <v>187</v>
      </c>
      <c r="G2047" s="75"/>
      <c r="H2047" s="75"/>
      <c r="I2047" s="75" t="s">
        <v>171</v>
      </c>
      <c r="J2047" s="76">
        <v>7</v>
      </c>
      <c r="K2047" s="519">
        <v>3</v>
      </c>
      <c r="L2047" s="520">
        <v>17</v>
      </c>
      <c r="M2047" s="520">
        <v>17.66</v>
      </c>
      <c r="N2047" s="507">
        <v>0.106</v>
      </c>
      <c r="O2047" s="507">
        <v>0.10299999999999999</v>
      </c>
      <c r="P2047" s="507">
        <v>0.11799999999999999</v>
      </c>
      <c r="Q2047" s="78">
        <v>0.44</v>
      </c>
      <c r="R2047" s="78">
        <v>0.31740000000000002</v>
      </c>
      <c r="S2047" s="69">
        <v>2.5000000000000001E-2</v>
      </c>
      <c r="T2047" s="69">
        <v>0.01</v>
      </c>
      <c r="U2047" s="507">
        <v>0.85</v>
      </c>
      <c r="V2047" s="76">
        <v>0</v>
      </c>
      <c r="W2047" s="76">
        <v>0</v>
      </c>
      <c r="X2047" s="76"/>
      <c r="Y2047" s="519" t="s">
        <v>469</v>
      </c>
    </row>
    <row r="2048" spans="1:25" x14ac:dyDescent="0.25">
      <c r="A2048" s="75" t="str">
        <f t="shared" si="73"/>
        <v>Pago_Hipoteca+Liquidez PF No_Premier PagHip Mas Liquidez Pago_Fijo_Puntual Si 6</v>
      </c>
      <c r="B2048" s="75" t="str">
        <f t="shared" si="72"/>
        <v>Pago_Hipoteca+Liquidez PF No_Premier PagHip Mas Liquidez Pago_Fijo_Puntual Si 6 0.103</v>
      </c>
      <c r="C2048" s="75" t="s">
        <v>174</v>
      </c>
      <c r="D2048" s="75" t="s">
        <v>132</v>
      </c>
      <c r="E2048" s="75" t="s">
        <v>179</v>
      </c>
      <c r="F2048" s="75" t="s">
        <v>187</v>
      </c>
      <c r="G2048" s="75"/>
      <c r="H2048" s="75"/>
      <c r="I2048" s="75" t="s">
        <v>171</v>
      </c>
      <c r="J2048" s="76">
        <v>6</v>
      </c>
      <c r="K2048" s="519" t="s">
        <v>387</v>
      </c>
      <c r="L2048" s="520">
        <v>18.739999999999998</v>
      </c>
      <c r="M2048" s="520">
        <v>19.399999999999999</v>
      </c>
      <c r="N2048" s="507">
        <v>0.10299999999999999</v>
      </c>
      <c r="O2048" s="507">
        <v>0.1</v>
      </c>
      <c r="P2048" s="507">
        <v>0.112</v>
      </c>
      <c r="Q2048" s="78">
        <v>0.44</v>
      </c>
      <c r="R2048" s="78">
        <v>0.31740000000000002</v>
      </c>
      <c r="S2048" s="69">
        <v>2.5000000000000001E-2</v>
      </c>
      <c r="T2048" s="69">
        <v>0.01</v>
      </c>
      <c r="U2048" s="507">
        <v>0.85</v>
      </c>
      <c r="V2048" s="76">
        <v>0</v>
      </c>
      <c r="W2048" s="76">
        <v>0</v>
      </c>
      <c r="X2048" s="76" t="s">
        <v>147</v>
      </c>
      <c r="Y2048" s="519" t="s">
        <v>469</v>
      </c>
    </row>
    <row r="2049" spans="1:25" x14ac:dyDescent="0.25">
      <c r="A2049" s="75" t="str">
        <f t="shared" si="73"/>
        <v>Pago_Hipoteca+Liquidez PF No_Premier PagHip Mas Liquidez Pago_Fijo_Puntual 6</v>
      </c>
      <c r="B2049" s="75" t="str">
        <f t="shared" si="72"/>
        <v>Pago_Hipoteca+Liquidez PF No_Premier PagHip Mas Liquidez Pago_Fijo_Puntual 6 0.106</v>
      </c>
      <c r="C2049" s="75" t="s">
        <v>174</v>
      </c>
      <c r="D2049" s="75" t="s">
        <v>132</v>
      </c>
      <c r="E2049" s="75" t="s">
        <v>179</v>
      </c>
      <c r="F2049" s="75" t="s">
        <v>187</v>
      </c>
      <c r="G2049" s="75"/>
      <c r="H2049" s="75"/>
      <c r="I2049" s="75" t="s">
        <v>171</v>
      </c>
      <c r="J2049" s="76">
        <v>6</v>
      </c>
      <c r="K2049" s="519">
        <v>3</v>
      </c>
      <c r="L2049" s="520">
        <v>18.89</v>
      </c>
      <c r="M2049" s="520">
        <v>19.55</v>
      </c>
      <c r="N2049" s="507">
        <v>0.106</v>
      </c>
      <c r="O2049" s="507">
        <v>0.10299999999999999</v>
      </c>
      <c r="P2049" s="507">
        <v>0.11799999999999999</v>
      </c>
      <c r="Q2049" s="78">
        <v>0.44</v>
      </c>
      <c r="R2049" s="78">
        <v>0.31740000000000002</v>
      </c>
      <c r="S2049" s="69">
        <v>2.5000000000000001E-2</v>
      </c>
      <c r="T2049" s="69">
        <v>0.01</v>
      </c>
      <c r="U2049" s="507">
        <v>0.85</v>
      </c>
      <c r="V2049" s="76">
        <v>0</v>
      </c>
      <c r="W2049" s="76">
        <v>0</v>
      </c>
      <c r="X2049" s="76"/>
      <c r="Y2049" s="519" t="s">
        <v>469</v>
      </c>
    </row>
    <row r="2050" spans="1:25" x14ac:dyDescent="0.25">
      <c r="A2050" s="75" t="str">
        <f t="shared" si="73"/>
        <v>Pago_Hipoteca+Liquidez PF No_Premier PagHip Mas Liquidez Pago_Fijo_Puntual Si 5</v>
      </c>
      <c r="B2050" s="75" t="str">
        <f t="shared" si="72"/>
        <v>Pago_Hipoteca+Liquidez PF No_Premier PagHip Mas Liquidez Pago_Fijo_Puntual Si 5 0.103</v>
      </c>
      <c r="C2050" s="75" t="s">
        <v>174</v>
      </c>
      <c r="D2050" s="75" t="s">
        <v>132</v>
      </c>
      <c r="E2050" s="75" t="s">
        <v>179</v>
      </c>
      <c r="F2050" s="75" t="s">
        <v>187</v>
      </c>
      <c r="G2050" s="75"/>
      <c r="H2050" s="75"/>
      <c r="I2050" s="75" t="s">
        <v>171</v>
      </c>
      <c r="J2050" s="76">
        <v>5</v>
      </c>
      <c r="K2050" s="519" t="s">
        <v>387</v>
      </c>
      <c r="L2050" s="520">
        <v>21.44</v>
      </c>
      <c r="M2050" s="520">
        <v>22.1</v>
      </c>
      <c r="N2050" s="507">
        <v>0.10299999999999999</v>
      </c>
      <c r="O2050" s="507">
        <v>0.1</v>
      </c>
      <c r="P2050" s="507">
        <v>0.112</v>
      </c>
      <c r="Q2050" s="78">
        <v>0.44</v>
      </c>
      <c r="R2050" s="78">
        <v>0.31740000000000002</v>
      </c>
      <c r="S2050" s="69">
        <v>2.5000000000000001E-2</v>
      </c>
      <c r="T2050" s="69">
        <v>0.01</v>
      </c>
      <c r="U2050" s="507">
        <v>0.85</v>
      </c>
      <c r="V2050" s="76">
        <v>0</v>
      </c>
      <c r="W2050" s="76">
        <v>0</v>
      </c>
      <c r="X2050" s="76" t="s">
        <v>147</v>
      </c>
      <c r="Y2050" s="519" t="s">
        <v>469</v>
      </c>
    </row>
    <row r="2051" spans="1:25" x14ac:dyDescent="0.25">
      <c r="A2051" s="75" t="str">
        <f t="shared" si="73"/>
        <v>Pago_Hipoteca+Liquidez PF No_Premier PagHip Mas Liquidez Pago_Fijo_Puntual 5</v>
      </c>
      <c r="B2051" s="75" t="str">
        <f t="shared" si="72"/>
        <v>Pago_Hipoteca+Liquidez PF No_Premier PagHip Mas Liquidez Pago_Fijo_Puntual 5 0.106</v>
      </c>
      <c r="C2051" s="75" t="s">
        <v>174</v>
      </c>
      <c r="D2051" s="75" t="s">
        <v>132</v>
      </c>
      <c r="E2051" s="75" t="s">
        <v>179</v>
      </c>
      <c r="F2051" s="75" t="s">
        <v>187</v>
      </c>
      <c r="G2051" s="75"/>
      <c r="H2051" s="75"/>
      <c r="I2051" s="75" t="s">
        <v>171</v>
      </c>
      <c r="J2051" s="76">
        <v>5</v>
      </c>
      <c r="K2051" s="519">
        <v>3</v>
      </c>
      <c r="L2051" s="520">
        <v>21.58</v>
      </c>
      <c r="M2051" s="520">
        <v>22.24</v>
      </c>
      <c r="N2051" s="507">
        <v>0.106</v>
      </c>
      <c r="O2051" s="507">
        <v>0.10299999999999999</v>
      </c>
      <c r="P2051" s="507">
        <v>0.11799999999999999</v>
      </c>
      <c r="Q2051" s="78">
        <v>0.44</v>
      </c>
      <c r="R2051" s="78">
        <v>0.31740000000000002</v>
      </c>
      <c r="S2051" s="69">
        <v>2.5000000000000001E-2</v>
      </c>
      <c r="T2051" s="69">
        <v>0.01</v>
      </c>
      <c r="U2051" s="507">
        <v>0.85</v>
      </c>
      <c r="V2051" s="76">
        <v>0</v>
      </c>
      <c r="W2051" s="76">
        <v>0</v>
      </c>
      <c r="X2051" s="76"/>
      <c r="Y2051" s="519" t="s">
        <v>469</v>
      </c>
    </row>
    <row r="2052" spans="1:25" x14ac:dyDescent="0.25">
      <c r="A2052" s="75" t="str">
        <f t="shared" si="73"/>
        <v>Pago_Hipoteca+Liquidez PF No_Premier PagHip Mas Liquidez Pago_Fijo_Puntual 20</v>
      </c>
      <c r="B2052" s="75" t="str">
        <f t="shared" si="72"/>
        <v>Pago_Hipoteca+Liquidez PF No_Premier PagHip Mas Liquidez Pago_Fijo_Puntual 20 0.0965</v>
      </c>
      <c r="C2052" s="75" t="s">
        <v>174</v>
      </c>
      <c r="D2052" s="75" t="s">
        <v>132</v>
      </c>
      <c r="E2052" s="75" t="s">
        <v>179</v>
      </c>
      <c r="F2052" s="75" t="s">
        <v>187</v>
      </c>
      <c r="G2052" s="75"/>
      <c r="H2052" s="75"/>
      <c r="I2052" s="75" t="s">
        <v>171</v>
      </c>
      <c r="J2052" s="76">
        <v>20</v>
      </c>
      <c r="K2052" s="516" t="s">
        <v>385</v>
      </c>
      <c r="L2052" s="517">
        <v>9.66</v>
      </c>
      <c r="M2052" s="517">
        <v>10.32</v>
      </c>
      <c r="N2052" s="518">
        <v>9.6500000000000002E-2</v>
      </c>
      <c r="O2052" s="518">
        <v>9.1999999999999998E-2</v>
      </c>
      <c r="P2052" s="518">
        <v>0.10249999999999999</v>
      </c>
      <c r="Q2052" s="78">
        <v>0.44</v>
      </c>
      <c r="R2052" s="78">
        <v>0.31740000000000002</v>
      </c>
      <c r="S2052" s="69">
        <v>2.5000000000000001E-2</v>
      </c>
      <c r="T2052" s="69">
        <v>0.01</v>
      </c>
      <c r="U2052" s="518">
        <v>0.7</v>
      </c>
      <c r="V2052" s="76">
        <v>0</v>
      </c>
      <c r="W2052" s="76">
        <v>0</v>
      </c>
      <c r="X2052" s="76"/>
      <c r="Y2052" s="516" t="s">
        <v>470</v>
      </c>
    </row>
    <row r="2053" spans="1:25" x14ac:dyDescent="0.25">
      <c r="A2053" s="75" t="str">
        <f t="shared" si="73"/>
        <v>Pago_Hipoteca+Liquidez PF No_Premier PagHip Mas Liquidez Pago_Fijo_Puntual 20</v>
      </c>
      <c r="B2053" s="75" t="str">
        <f t="shared" si="72"/>
        <v>Pago_Hipoteca+Liquidez PF No_Premier PagHip Mas Liquidez Pago_Fijo_Puntual 20 0.103</v>
      </c>
      <c r="C2053" s="75" t="s">
        <v>174</v>
      </c>
      <c r="D2053" s="75" t="s">
        <v>132</v>
      </c>
      <c r="E2053" s="75" t="s">
        <v>179</v>
      </c>
      <c r="F2053" s="75" t="s">
        <v>187</v>
      </c>
      <c r="G2053" s="75"/>
      <c r="H2053" s="75"/>
      <c r="I2053" s="75" t="s">
        <v>171</v>
      </c>
      <c r="J2053" s="76">
        <v>20</v>
      </c>
      <c r="K2053" s="516" t="s">
        <v>386</v>
      </c>
      <c r="L2053" s="517">
        <v>10.16</v>
      </c>
      <c r="M2053" s="517">
        <v>10.82</v>
      </c>
      <c r="N2053" s="518">
        <v>0.10299999999999999</v>
      </c>
      <c r="O2053" s="518">
        <v>0.1</v>
      </c>
      <c r="P2053" s="518">
        <v>0.112</v>
      </c>
      <c r="Q2053" s="78">
        <v>0.44</v>
      </c>
      <c r="R2053" s="78">
        <v>0.31740000000000002</v>
      </c>
      <c r="S2053" s="69">
        <v>2.5000000000000001E-2</v>
      </c>
      <c r="T2053" s="69">
        <v>0.01</v>
      </c>
      <c r="U2053" s="518">
        <v>0.7</v>
      </c>
      <c r="V2053" s="76">
        <v>0</v>
      </c>
      <c r="W2053" s="76">
        <v>0</v>
      </c>
      <c r="X2053" s="76"/>
      <c r="Y2053" s="516" t="s">
        <v>470</v>
      </c>
    </row>
    <row r="2054" spans="1:25" x14ac:dyDescent="0.25">
      <c r="A2054" s="75" t="str">
        <f t="shared" si="73"/>
        <v>Pago_Hipoteca+Liquidez PF No_Premier PagHip Mas Liquidez Pago_Fijo_Puntual 19</v>
      </c>
      <c r="B2054" s="75" t="str">
        <f t="shared" si="72"/>
        <v>Pago_Hipoteca+Liquidez PF No_Premier PagHip Mas Liquidez Pago_Fijo_Puntual 19 0.0965</v>
      </c>
      <c r="C2054" s="75" t="s">
        <v>174</v>
      </c>
      <c r="D2054" s="75" t="s">
        <v>132</v>
      </c>
      <c r="E2054" s="75" t="s">
        <v>179</v>
      </c>
      <c r="F2054" s="75" t="s">
        <v>187</v>
      </c>
      <c r="G2054" s="75"/>
      <c r="H2054" s="75"/>
      <c r="I2054" s="75" t="s">
        <v>171</v>
      </c>
      <c r="J2054" s="76">
        <v>19</v>
      </c>
      <c r="K2054" s="516" t="s">
        <v>385</v>
      </c>
      <c r="L2054" s="517">
        <v>9.82</v>
      </c>
      <c r="M2054" s="517">
        <v>10.48</v>
      </c>
      <c r="N2054" s="518">
        <v>9.6500000000000002E-2</v>
      </c>
      <c r="O2054" s="518">
        <v>9.1999999999999998E-2</v>
      </c>
      <c r="P2054" s="518">
        <v>0.10249999999999999</v>
      </c>
      <c r="Q2054" s="78">
        <v>0.44</v>
      </c>
      <c r="R2054" s="78">
        <v>0.31740000000000002</v>
      </c>
      <c r="S2054" s="69">
        <v>2.5000000000000001E-2</v>
      </c>
      <c r="T2054" s="69">
        <v>0.01</v>
      </c>
      <c r="U2054" s="518">
        <v>0.7</v>
      </c>
      <c r="V2054" s="76">
        <v>0</v>
      </c>
      <c r="W2054" s="76">
        <v>0</v>
      </c>
      <c r="X2054" s="76"/>
      <c r="Y2054" s="516" t="s">
        <v>470</v>
      </c>
    </row>
    <row r="2055" spans="1:25" x14ac:dyDescent="0.25">
      <c r="A2055" s="75" t="str">
        <f t="shared" si="73"/>
        <v>Pago_Hipoteca+Liquidez PF No_Premier PagHip Mas Liquidez Pago_Fijo_Puntual 19</v>
      </c>
      <c r="B2055" s="75" t="str">
        <f t="shared" si="72"/>
        <v>Pago_Hipoteca+Liquidez PF No_Premier PagHip Mas Liquidez Pago_Fijo_Puntual 19 0.103</v>
      </c>
      <c r="C2055" s="75" t="s">
        <v>174</v>
      </c>
      <c r="D2055" s="75" t="s">
        <v>132</v>
      </c>
      <c r="E2055" s="75" t="s">
        <v>179</v>
      </c>
      <c r="F2055" s="75" t="s">
        <v>187</v>
      </c>
      <c r="G2055" s="75"/>
      <c r="H2055" s="75"/>
      <c r="I2055" s="75" t="s">
        <v>171</v>
      </c>
      <c r="J2055" s="76">
        <v>19</v>
      </c>
      <c r="K2055" s="516" t="s">
        <v>386</v>
      </c>
      <c r="L2055" s="517">
        <v>10.3</v>
      </c>
      <c r="M2055" s="517">
        <v>10.96</v>
      </c>
      <c r="N2055" s="518">
        <v>0.10299999999999999</v>
      </c>
      <c r="O2055" s="518">
        <v>0.1</v>
      </c>
      <c r="P2055" s="518">
        <v>0.112</v>
      </c>
      <c r="Q2055" s="78">
        <v>0.44</v>
      </c>
      <c r="R2055" s="78">
        <v>0.31740000000000002</v>
      </c>
      <c r="S2055" s="69">
        <v>2.5000000000000001E-2</v>
      </c>
      <c r="T2055" s="69">
        <v>0.01</v>
      </c>
      <c r="U2055" s="518">
        <v>0.7</v>
      </c>
      <c r="V2055" s="76">
        <v>0</v>
      </c>
      <c r="W2055" s="76">
        <v>0</v>
      </c>
      <c r="X2055" s="76"/>
      <c r="Y2055" s="516" t="s">
        <v>470</v>
      </c>
    </row>
    <row r="2056" spans="1:25" x14ac:dyDescent="0.25">
      <c r="A2056" s="75" t="str">
        <f t="shared" si="73"/>
        <v>Pago_Hipoteca+Liquidez PF No_Premier PagHip Mas Liquidez Pago_Fijo_Puntual 18</v>
      </c>
      <c r="B2056" s="75" t="str">
        <f t="shared" si="72"/>
        <v>Pago_Hipoteca+Liquidez PF No_Premier PagHip Mas Liquidez Pago_Fijo_Puntual 18 0.0965</v>
      </c>
      <c r="C2056" s="75" t="s">
        <v>174</v>
      </c>
      <c r="D2056" s="75" t="s">
        <v>132</v>
      </c>
      <c r="E2056" s="75" t="s">
        <v>179</v>
      </c>
      <c r="F2056" s="75" t="s">
        <v>187</v>
      </c>
      <c r="G2056" s="75"/>
      <c r="H2056" s="75"/>
      <c r="I2056" s="75" t="s">
        <v>171</v>
      </c>
      <c r="J2056" s="76">
        <v>18</v>
      </c>
      <c r="K2056" s="516" t="s">
        <v>385</v>
      </c>
      <c r="L2056" s="517">
        <v>10</v>
      </c>
      <c r="M2056" s="517">
        <v>10.66</v>
      </c>
      <c r="N2056" s="518">
        <v>9.6500000000000002E-2</v>
      </c>
      <c r="O2056" s="518">
        <v>9.1999999999999998E-2</v>
      </c>
      <c r="P2056" s="518">
        <v>0.10249999999999999</v>
      </c>
      <c r="Q2056" s="78">
        <v>0.44</v>
      </c>
      <c r="R2056" s="78">
        <v>0.31740000000000002</v>
      </c>
      <c r="S2056" s="69">
        <v>2.5000000000000001E-2</v>
      </c>
      <c r="T2056" s="69">
        <v>0.01</v>
      </c>
      <c r="U2056" s="518">
        <v>0.7</v>
      </c>
      <c r="V2056" s="76">
        <v>0</v>
      </c>
      <c r="W2056" s="76">
        <v>0</v>
      </c>
      <c r="X2056" s="76"/>
      <c r="Y2056" s="516" t="s">
        <v>470</v>
      </c>
    </row>
    <row r="2057" spans="1:25" x14ac:dyDescent="0.25">
      <c r="A2057" s="75" t="str">
        <f t="shared" si="73"/>
        <v>Pago_Hipoteca+Liquidez PF No_Premier PagHip Mas Liquidez Pago_Fijo_Puntual 18</v>
      </c>
      <c r="B2057" s="75" t="str">
        <f t="shared" si="72"/>
        <v>Pago_Hipoteca+Liquidez PF No_Premier PagHip Mas Liquidez Pago_Fijo_Puntual 18 0.103</v>
      </c>
      <c r="C2057" s="75" t="s">
        <v>174</v>
      </c>
      <c r="D2057" s="75" t="s">
        <v>132</v>
      </c>
      <c r="E2057" s="75" t="s">
        <v>179</v>
      </c>
      <c r="F2057" s="75" t="s">
        <v>187</v>
      </c>
      <c r="G2057" s="75"/>
      <c r="H2057" s="75"/>
      <c r="I2057" s="75" t="s">
        <v>171</v>
      </c>
      <c r="J2057" s="76">
        <v>18</v>
      </c>
      <c r="K2057" s="516" t="s">
        <v>386</v>
      </c>
      <c r="L2057" s="517">
        <v>10.47</v>
      </c>
      <c r="M2057" s="517">
        <v>11.13</v>
      </c>
      <c r="N2057" s="518">
        <v>0.10299999999999999</v>
      </c>
      <c r="O2057" s="518">
        <v>0.1</v>
      </c>
      <c r="P2057" s="518">
        <v>0.112</v>
      </c>
      <c r="Q2057" s="78">
        <v>0.44</v>
      </c>
      <c r="R2057" s="78">
        <v>0.31740000000000002</v>
      </c>
      <c r="S2057" s="69">
        <v>2.5000000000000001E-2</v>
      </c>
      <c r="T2057" s="69">
        <v>0.01</v>
      </c>
      <c r="U2057" s="518">
        <v>0.7</v>
      </c>
      <c r="V2057" s="76">
        <v>0</v>
      </c>
      <c r="W2057" s="76">
        <v>0</v>
      </c>
      <c r="X2057" s="76"/>
      <c r="Y2057" s="516" t="s">
        <v>470</v>
      </c>
    </row>
    <row r="2058" spans="1:25" x14ac:dyDescent="0.25">
      <c r="A2058" s="75" t="str">
        <f t="shared" si="73"/>
        <v>Pago_Hipoteca+Liquidez PF No_Premier PagHip Mas Liquidez Pago_Fijo_Puntual 17</v>
      </c>
      <c r="B2058" s="75" t="str">
        <f t="shared" si="72"/>
        <v>Pago_Hipoteca+Liquidez PF No_Premier PagHip Mas Liquidez Pago_Fijo_Puntual 17 0.0965</v>
      </c>
      <c r="C2058" s="75" t="s">
        <v>174</v>
      </c>
      <c r="D2058" s="75" t="s">
        <v>132</v>
      </c>
      <c r="E2058" s="75" t="s">
        <v>179</v>
      </c>
      <c r="F2058" s="75" t="s">
        <v>187</v>
      </c>
      <c r="G2058" s="75"/>
      <c r="H2058" s="75"/>
      <c r="I2058" s="75" t="s">
        <v>171</v>
      </c>
      <c r="J2058" s="76">
        <v>17</v>
      </c>
      <c r="K2058" s="516" t="s">
        <v>385</v>
      </c>
      <c r="L2058" s="517">
        <v>10.210000000000001</v>
      </c>
      <c r="M2058" s="517">
        <v>10.87</v>
      </c>
      <c r="N2058" s="518">
        <v>9.6500000000000002E-2</v>
      </c>
      <c r="O2058" s="518">
        <v>9.1999999999999998E-2</v>
      </c>
      <c r="P2058" s="518">
        <v>0.10249999999999999</v>
      </c>
      <c r="Q2058" s="78">
        <v>0.44</v>
      </c>
      <c r="R2058" s="78">
        <v>0.31740000000000002</v>
      </c>
      <c r="S2058" s="69">
        <v>2.5000000000000001E-2</v>
      </c>
      <c r="T2058" s="69">
        <v>0.01</v>
      </c>
      <c r="U2058" s="518">
        <v>0.7</v>
      </c>
      <c r="V2058" s="76">
        <v>0</v>
      </c>
      <c r="W2058" s="76">
        <v>0</v>
      </c>
      <c r="X2058" s="76"/>
      <c r="Y2058" s="516" t="s">
        <v>470</v>
      </c>
    </row>
    <row r="2059" spans="1:25" x14ac:dyDescent="0.25">
      <c r="A2059" s="75" t="str">
        <f t="shared" si="73"/>
        <v>Pago_Hipoteca+Liquidez PF No_Premier PagHip Mas Liquidez Pago_Fijo_Puntual 17</v>
      </c>
      <c r="B2059" s="75" t="str">
        <f t="shared" si="72"/>
        <v>Pago_Hipoteca+Liquidez PF No_Premier PagHip Mas Liquidez Pago_Fijo_Puntual 17 0.103</v>
      </c>
      <c r="C2059" s="75" t="s">
        <v>174</v>
      </c>
      <c r="D2059" s="75" t="s">
        <v>132</v>
      </c>
      <c r="E2059" s="75" t="s">
        <v>179</v>
      </c>
      <c r="F2059" s="75" t="s">
        <v>187</v>
      </c>
      <c r="G2059" s="75"/>
      <c r="H2059" s="75"/>
      <c r="I2059" s="75" t="s">
        <v>171</v>
      </c>
      <c r="J2059" s="76">
        <v>17</v>
      </c>
      <c r="K2059" s="516" t="s">
        <v>386</v>
      </c>
      <c r="L2059" s="517">
        <v>10.67</v>
      </c>
      <c r="M2059" s="517">
        <v>11.33</v>
      </c>
      <c r="N2059" s="518">
        <v>0.10299999999999999</v>
      </c>
      <c r="O2059" s="518">
        <v>0.1</v>
      </c>
      <c r="P2059" s="518">
        <v>0.112</v>
      </c>
      <c r="Q2059" s="78">
        <v>0.44</v>
      </c>
      <c r="R2059" s="78">
        <v>0.31740000000000002</v>
      </c>
      <c r="S2059" s="69">
        <v>2.5000000000000001E-2</v>
      </c>
      <c r="T2059" s="69">
        <v>0.01</v>
      </c>
      <c r="U2059" s="518">
        <v>0.7</v>
      </c>
      <c r="V2059" s="76">
        <v>0</v>
      </c>
      <c r="W2059" s="76">
        <v>0</v>
      </c>
      <c r="X2059" s="76"/>
      <c r="Y2059" s="516" t="s">
        <v>470</v>
      </c>
    </row>
    <row r="2060" spans="1:25" x14ac:dyDescent="0.25">
      <c r="A2060" s="75" t="str">
        <f t="shared" si="73"/>
        <v>Pago_Hipoteca+Liquidez PF No_Premier PagHip Mas Liquidez Pago_Fijo_Puntual 16</v>
      </c>
      <c r="B2060" s="75" t="str">
        <f t="shared" si="72"/>
        <v>Pago_Hipoteca+Liquidez PF No_Premier PagHip Mas Liquidez Pago_Fijo_Puntual 16 0.0965</v>
      </c>
      <c r="C2060" s="75" t="s">
        <v>174</v>
      </c>
      <c r="D2060" s="75" t="s">
        <v>132</v>
      </c>
      <c r="E2060" s="75" t="s">
        <v>179</v>
      </c>
      <c r="F2060" s="75" t="s">
        <v>187</v>
      </c>
      <c r="G2060" s="75"/>
      <c r="H2060" s="75"/>
      <c r="I2060" s="75" t="s">
        <v>171</v>
      </c>
      <c r="J2060" s="76">
        <v>16</v>
      </c>
      <c r="K2060" s="516" t="s">
        <v>385</v>
      </c>
      <c r="L2060" s="517">
        <v>10.45</v>
      </c>
      <c r="M2060" s="517">
        <v>11.11</v>
      </c>
      <c r="N2060" s="518">
        <v>9.6500000000000002E-2</v>
      </c>
      <c r="O2060" s="518">
        <v>9.1999999999999998E-2</v>
      </c>
      <c r="P2060" s="518">
        <v>0.10249999999999999</v>
      </c>
      <c r="Q2060" s="78">
        <v>0.44</v>
      </c>
      <c r="R2060" s="78">
        <v>0.31740000000000002</v>
      </c>
      <c r="S2060" s="69">
        <v>2.5000000000000001E-2</v>
      </c>
      <c r="T2060" s="69">
        <v>0.01</v>
      </c>
      <c r="U2060" s="518">
        <v>0.7</v>
      </c>
      <c r="V2060" s="76">
        <v>0</v>
      </c>
      <c r="W2060" s="76">
        <v>0</v>
      </c>
      <c r="X2060" s="76"/>
      <c r="Y2060" s="516" t="s">
        <v>470</v>
      </c>
    </row>
    <row r="2061" spans="1:25" x14ac:dyDescent="0.25">
      <c r="A2061" s="75" t="str">
        <f t="shared" si="73"/>
        <v>Pago_Hipoteca+Liquidez PF No_Premier PagHip Mas Liquidez Pago_Fijo_Puntual 16</v>
      </c>
      <c r="B2061" s="75" t="str">
        <f t="shared" si="72"/>
        <v>Pago_Hipoteca+Liquidez PF No_Premier PagHip Mas Liquidez Pago_Fijo_Puntual 16 0.103</v>
      </c>
      <c r="C2061" s="75" t="s">
        <v>174</v>
      </c>
      <c r="D2061" s="75" t="s">
        <v>132</v>
      </c>
      <c r="E2061" s="75" t="s">
        <v>179</v>
      </c>
      <c r="F2061" s="75" t="s">
        <v>187</v>
      </c>
      <c r="G2061" s="75"/>
      <c r="H2061" s="75"/>
      <c r="I2061" s="75" t="s">
        <v>171</v>
      </c>
      <c r="J2061" s="76">
        <v>16</v>
      </c>
      <c r="K2061" s="516" t="s">
        <v>386</v>
      </c>
      <c r="L2061" s="517">
        <v>10.9</v>
      </c>
      <c r="M2061" s="517">
        <v>11.56</v>
      </c>
      <c r="N2061" s="518">
        <v>0.10299999999999999</v>
      </c>
      <c r="O2061" s="518">
        <v>0.1</v>
      </c>
      <c r="P2061" s="518">
        <v>0.112</v>
      </c>
      <c r="Q2061" s="78">
        <v>0.44</v>
      </c>
      <c r="R2061" s="78">
        <v>0.31740000000000002</v>
      </c>
      <c r="S2061" s="69">
        <v>2.5000000000000001E-2</v>
      </c>
      <c r="T2061" s="69">
        <v>0.01</v>
      </c>
      <c r="U2061" s="518">
        <v>0.7</v>
      </c>
      <c r="V2061" s="76">
        <v>0</v>
      </c>
      <c r="W2061" s="76">
        <v>0</v>
      </c>
      <c r="X2061" s="76"/>
      <c r="Y2061" s="516" t="s">
        <v>470</v>
      </c>
    </row>
    <row r="2062" spans="1:25" x14ac:dyDescent="0.25">
      <c r="A2062" s="75" t="str">
        <f t="shared" si="73"/>
        <v>Pago_Hipoteca+Liquidez PF No_Premier PagHip Mas Liquidez Pago_Fijo_Puntual 15</v>
      </c>
      <c r="B2062" s="75" t="str">
        <f t="shared" si="72"/>
        <v>Pago_Hipoteca+Liquidez PF No_Premier PagHip Mas Liquidez Pago_Fijo_Puntual 15 0.0965</v>
      </c>
      <c r="C2062" s="75" t="s">
        <v>174</v>
      </c>
      <c r="D2062" s="75" t="s">
        <v>132</v>
      </c>
      <c r="E2062" s="75" t="s">
        <v>179</v>
      </c>
      <c r="F2062" s="75" t="s">
        <v>187</v>
      </c>
      <c r="G2062" s="75"/>
      <c r="H2062" s="75"/>
      <c r="I2062" s="75" t="s">
        <v>171</v>
      </c>
      <c r="J2062" s="76">
        <v>15</v>
      </c>
      <c r="K2062" s="516" t="s">
        <v>385</v>
      </c>
      <c r="L2062" s="517">
        <v>10.73</v>
      </c>
      <c r="M2062" s="517">
        <v>11.39</v>
      </c>
      <c r="N2062" s="518">
        <v>9.6500000000000002E-2</v>
      </c>
      <c r="O2062" s="518">
        <v>9.1999999999999998E-2</v>
      </c>
      <c r="P2062" s="518">
        <v>0.10249999999999999</v>
      </c>
      <c r="Q2062" s="78">
        <v>0.44</v>
      </c>
      <c r="R2062" s="78">
        <v>0.31740000000000002</v>
      </c>
      <c r="S2062" s="69">
        <v>2.5000000000000001E-2</v>
      </c>
      <c r="T2062" s="69">
        <v>0.01</v>
      </c>
      <c r="U2062" s="518">
        <v>0.7</v>
      </c>
      <c r="V2062" s="76">
        <v>0</v>
      </c>
      <c r="W2062" s="76">
        <v>0</v>
      </c>
      <c r="X2062" s="76"/>
      <c r="Y2062" s="516" t="s">
        <v>470</v>
      </c>
    </row>
    <row r="2063" spans="1:25" x14ac:dyDescent="0.25">
      <c r="A2063" s="75" t="str">
        <f t="shared" si="73"/>
        <v>Pago_Hipoteca+Liquidez PF No_Premier PagHip Mas Liquidez Pago_Fijo_Puntual 15</v>
      </c>
      <c r="B2063" s="75" t="str">
        <f t="shared" si="72"/>
        <v>Pago_Hipoteca+Liquidez PF No_Premier PagHip Mas Liquidez Pago_Fijo_Puntual 15 0.103</v>
      </c>
      <c r="C2063" s="75" t="s">
        <v>174</v>
      </c>
      <c r="D2063" s="75" t="s">
        <v>132</v>
      </c>
      <c r="E2063" s="75" t="s">
        <v>179</v>
      </c>
      <c r="F2063" s="75" t="s">
        <v>187</v>
      </c>
      <c r="G2063" s="75"/>
      <c r="H2063" s="75"/>
      <c r="I2063" s="75" t="s">
        <v>171</v>
      </c>
      <c r="J2063" s="76">
        <v>15</v>
      </c>
      <c r="K2063" s="516" t="s">
        <v>386</v>
      </c>
      <c r="L2063" s="517">
        <v>11.18</v>
      </c>
      <c r="M2063" s="517">
        <v>11.84</v>
      </c>
      <c r="N2063" s="518">
        <v>0.10299999999999999</v>
      </c>
      <c r="O2063" s="518">
        <v>0.1</v>
      </c>
      <c r="P2063" s="518">
        <v>0.112</v>
      </c>
      <c r="Q2063" s="78">
        <v>0.44</v>
      </c>
      <c r="R2063" s="78">
        <v>0.31740000000000002</v>
      </c>
      <c r="S2063" s="69">
        <v>2.5000000000000001E-2</v>
      </c>
      <c r="T2063" s="69">
        <v>0.01</v>
      </c>
      <c r="U2063" s="518">
        <v>0.7</v>
      </c>
      <c r="V2063" s="76">
        <v>0</v>
      </c>
      <c r="W2063" s="76">
        <v>0</v>
      </c>
      <c r="X2063" s="76"/>
      <c r="Y2063" s="516" t="s">
        <v>470</v>
      </c>
    </row>
    <row r="2064" spans="1:25" x14ac:dyDescent="0.25">
      <c r="A2064" s="75" t="str">
        <f t="shared" si="73"/>
        <v>Pago_Hipoteca+Liquidez PF No_Premier PagHip Mas Liquidez Pago_Fijo_Puntual 14</v>
      </c>
      <c r="B2064" s="75" t="str">
        <f t="shared" si="72"/>
        <v>Pago_Hipoteca+Liquidez PF No_Premier PagHip Mas Liquidez Pago_Fijo_Puntual 14 0.0965</v>
      </c>
      <c r="C2064" s="75" t="s">
        <v>174</v>
      </c>
      <c r="D2064" s="75" t="s">
        <v>132</v>
      </c>
      <c r="E2064" s="75" t="s">
        <v>179</v>
      </c>
      <c r="F2064" s="75" t="s">
        <v>187</v>
      </c>
      <c r="G2064" s="75"/>
      <c r="H2064" s="75"/>
      <c r="I2064" s="75" t="s">
        <v>171</v>
      </c>
      <c r="J2064" s="76">
        <v>14</v>
      </c>
      <c r="K2064" s="516" t="s">
        <v>385</v>
      </c>
      <c r="L2064" s="517">
        <v>11.06</v>
      </c>
      <c r="M2064" s="517">
        <v>11.72</v>
      </c>
      <c r="N2064" s="518">
        <v>9.6500000000000002E-2</v>
      </c>
      <c r="O2064" s="518">
        <v>9.1999999999999998E-2</v>
      </c>
      <c r="P2064" s="518">
        <v>0.10249999999999999</v>
      </c>
      <c r="Q2064" s="78">
        <v>0.44</v>
      </c>
      <c r="R2064" s="78">
        <v>0.31740000000000002</v>
      </c>
      <c r="S2064" s="69">
        <v>2.5000000000000001E-2</v>
      </c>
      <c r="T2064" s="69">
        <v>0.01</v>
      </c>
      <c r="U2064" s="518">
        <v>0.7</v>
      </c>
      <c r="V2064" s="76">
        <v>0</v>
      </c>
      <c r="W2064" s="76">
        <v>0</v>
      </c>
      <c r="X2064" s="76"/>
      <c r="Y2064" s="516" t="s">
        <v>470</v>
      </c>
    </row>
    <row r="2065" spans="1:25" x14ac:dyDescent="0.25">
      <c r="A2065" s="75" t="str">
        <f t="shared" si="73"/>
        <v>Pago_Hipoteca+Liquidez PF No_Premier PagHip Mas Liquidez Pago_Fijo_Puntual 14</v>
      </c>
      <c r="B2065" s="75" t="str">
        <f t="shared" si="72"/>
        <v>Pago_Hipoteca+Liquidez PF No_Premier PagHip Mas Liquidez Pago_Fijo_Puntual 14 0.103</v>
      </c>
      <c r="C2065" s="75" t="s">
        <v>174</v>
      </c>
      <c r="D2065" s="75" t="s">
        <v>132</v>
      </c>
      <c r="E2065" s="75" t="s">
        <v>179</v>
      </c>
      <c r="F2065" s="75" t="s">
        <v>187</v>
      </c>
      <c r="G2065" s="75"/>
      <c r="H2065" s="75"/>
      <c r="I2065" s="75" t="s">
        <v>171</v>
      </c>
      <c r="J2065" s="76">
        <v>14</v>
      </c>
      <c r="K2065" s="516" t="s">
        <v>386</v>
      </c>
      <c r="L2065" s="517">
        <v>11.49</v>
      </c>
      <c r="M2065" s="517">
        <v>12.15</v>
      </c>
      <c r="N2065" s="518">
        <v>0.10299999999999999</v>
      </c>
      <c r="O2065" s="518">
        <v>0.1</v>
      </c>
      <c r="P2065" s="518">
        <v>0.112</v>
      </c>
      <c r="Q2065" s="78">
        <v>0.44</v>
      </c>
      <c r="R2065" s="78">
        <v>0.31740000000000002</v>
      </c>
      <c r="S2065" s="69">
        <v>2.5000000000000001E-2</v>
      </c>
      <c r="T2065" s="69">
        <v>0.01</v>
      </c>
      <c r="U2065" s="518">
        <v>0.7</v>
      </c>
      <c r="V2065" s="76">
        <v>0</v>
      </c>
      <c r="W2065" s="76">
        <v>0</v>
      </c>
      <c r="X2065" s="76"/>
      <c r="Y2065" s="516" t="s">
        <v>470</v>
      </c>
    </row>
    <row r="2066" spans="1:25" x14ac:dyDescent="0.25">
      <c r="A2066" s="75" t="str">
        <f t="shared" si="73"/>
        <v>Pago_Hipoteca+Liquidez PF No_Premier PagHip Mas Liquidez Pago_Fijo_Puntual 13</v>
      </c>
      <c r="B2066" s="75" t="str">
        <f t="shared" si="72"/>
        <v>Pago_Hipoteca+Liquidez PF No_Premier PagHip Mas Liquidez Pago_Fijo_Puntual 13 0.0965</v>
      </c>
      <c r="C2066" s="75" t="s">
        <v>174</v>
      </c>
      <c r="D2066" s="75" t="s">
        <v>132</v>
      </c>
      <c r="E2066" s="75" t="s">
        <v>179</v>
      </c>
      <c r="F2066" s="75" t="s">
        <v>187</v>
      </c>
      <c r="G2066" s="75"/>
      <c r="H2066" s="75"/>
      <c r="I2066" s="75" t="s">
        <v>171</v>
      </c>
      <c r="J2066" s="76">
        <v>13</v>
      </c>
      <c r="K2066" s="516" t="s">
        <v>385</v>
      </c>
      <c r="L2066" s="517">
        <v>11.45</v>
      </c>
      <c r="M2066" s="517">
        <v>12.11</v>
      </c>
      <c r="N2066" s="518">
        <v>9.6500000000000002E-2</v>
      </c>
      <c r="O2066" s="518">
        <v>9.1999999999999998E-2</v>
      </c>
      <c r="P2066" s="518">
        <v>0.10249999999999999</v>
      </c>
      <c r="Q2066" s="78">
        <v>0.44</v>
      </c>
      <c r="R2066" s="78">
        <v>0.31740000000000002</v>
      </c>
      <c r="S2066" s="69">
        <v>2.5000000000000001E-2</v>
      </c>
      <c r="T2066" s="69">
        <v>0.01</v>
      </c>
      <c r="U2066" s="518">
        <v>0.7</v>
      </c>
      <c r="V2066" s="76">
        <v>0</v>
      </c>
      <c r="W2066" s="76">
        <v>0</v>
      </c>
      <c r="X2066" s="76"/>
      <c r="Y2066" s="516" t="s">
        <v>470</v>
      </c>
    </row>
    <row r="2067" spans="1:25" x14ac:dyDescent="0.25">
      <c r="A2067" s="75" t="str">
        <f t="shared" si="73"/>
        <v>Pago_Hipoteca+Liquidez PF No_Premier PagHip Mas Liquidez Pago_Fijo_Puntual 13</v>
      </c>
      <c r="B2067" s="75" t="str">
        <f t="shared" si="72"/>
        <v>Pago_Hipoteca+Liquidez PF No_Premier PagHip Mas Liquidez Pago_Fijo_Puntual 13 0.103</v>
      </c>
      <c r="C2067" s="75" t="s">
        <v>174</v>
      </c>
      <c r="D2067" s="75" t="s">
        <v>132</v>
      </c>
      <c r="E2067" s="75" t="s">
        <v>179</v>
      </c>
      <c r="F2067" s="75" t="s">
        <v>187</v>
      </c>
      <c r="G2067" s="75"/>
      <c r="H2067" s="75"/>
      <c r="I2067" s="75" t="s">
        <v>171</v>
      </c>
      <c r="J2067" s="76">
        <v>13</v>
      </c>
      <c r="K2067" s="516" t="s">
        <v>386</v>
      </c>
      <c r="L2067" s="517">
        <v>11.86</v>
      </c>
      <c r="M2067" s="517">
        <v>12.52</v>
      </c>
      <c r="N2067" s="518">
        <v>0.10299999999999999</v>
      </c>
      <c r="O2067" s="518">
        <v>0.1</v>
      </c>
      <c r="P2067" s="518">
        <v>0.112</v>
      </c>
      <c r="Q2067" s="78">
        <v>0.44</v>
      </c>
      <c r="R2067" s="78">
        <v>0.31740000000000002</v>
      </c>
      <c r="S2067" s="69">
        <v>2.5000000000000001E-2</v>
      </c>
      <c r="T2067" s="69">
        <v>0.01</v>
      </c>
      <c r="U2067" s="518">
        <v>0.7</v>
      </c>
      <c r="V2067" s="76">
        <v>0</v>
      </c>
      <c r="W2067" s="76">
        <v>0</v>
      </c>
      <c r="X2067" s="76"/>
      <c r="Y2067" s="516" t="s">
        <v>470</v>
      </c>
    </row>
    <row r="2068" spans="1:25" x14ac:dyDescent="0.25">
      <c r="A2068" s="75" t="str">
        <f t="shared" si="73"/>
        <v>Pago_Hipoteca+Liquidez PF No_Premier PagHip Mas Liquidez Pago_Fijo_Puntual 12</v>
      </c>
      <c r="B2068" s="75" t="str">
        <f t="shared" si="72"/>
        <v>Pago_Hipoteca+Liquidez PF No_Premier PagHip Mas Liquidez Pago_Fijo_Puntual 12 0.0965</v>
      </c>
      <c r="C2068" s="75" t="s">
        <v>174</v>
      </c>
      <c r="D2068" s="75" t="s">
        <v>132</v>
      </c>
      <c r="E2068" s="75" t="s">
        <v>179</v>
      </c>
      <c r="F2068" s="75" t="s">
        <v>187</v>
      </c>
      <c r="G2068" s="75"/>
      <c r="H2068" s="75"/>
      <c r="I2068" s="75" t="s">
        <v>171</v>
      </c>
      <c r="J2068" s="76">
        <v>12</v>
      </c>
      <c r="K2068" s="516" t="s">
        <v>385</v>
      </c>
      <c r="L2068" s="517">
        <v>11.91</v>
      </c>
      <c r="M2068" s="517">
        <v>12.57</v>
      </c>
      <c r="N2068" s="518">
        <v>9.6500000000000002E-2</v>
      </c>
      <c r="O2068" s="518">
        <v>9.1999999999999998E-2</v>
      </c>
      <c r="P2068" s="518">
        <v>0.10249999999999999</v>
      </c>
      <c r="Q2068" s="78">
        <v>0.44</v>
      </c>
      <c r="R2068" s="78">
        <v>0.31740000000000002</v>
      </c>
      <c r="S2068" s="69">
        <v>2.5000000000000001E-2</v>
      </c>
      <c r="T2068" s="69">
        <v>0.01</v>
      </c>
      <c r="U2068" s="518">
        <v>0.7</v>
      </c>
      <c r="V2068" s="76">
        <v>0</v>
      </c>
      <c r="W2068" s="76">
        <v>0</v>
      </c>
      <c r="X2068" s="76"/>
      <c r="Y2068" s="516" t="s">
        <v>470</v>
      </c>
    </row>
    <row r="2069" spans="1:25" x14ac:dyDescent="0.25">
      <c r="A2069" s="75" t="str">
        <f t="shared" si="73"/>
        <v>Pago_Hipoteca+Liquidez PF No_Premier PagHip Mas Liquidez Pago_Fijo_Puntual 12</v>
      </c>
      <c r="B2069" s="75" t="str">
        <f t="shared" si="72"/>
        <v>Pago_Hipoteca+Liquidez PF No_Premier PagHip Mas Liquidez Pago_Fijo_Puntual 12 0.103</v>
      </c>
      <c r="C2069" s="75" t="s">
        <v>174</v>
      </c>
      <c r="D2069" s="75" t="s">
        <v>132</v>
      </c>
      <c r="E2069" s="75" t="s">
        <v>179</v>
      </c>
      <c r="F2069" s="75" t="s">
        <v>187</v>
      </c>
      <c r="G2069" s="75"/>
      <c r="H2069" s="75"/>
      <c r="I2069" s="75" t="s">
        <v>171</v>
      </c>
      <c r="J2069" s="76">
        <v>12</v>
      </c>
      <c r="K2069" s="516" t="s">
        <v>386</v>
      </c>
      <c r="L2069" s="517">
        <v>12.31</v>
      </c>
      <c r="M2069" s="517">
        <v>12.97</v>
      </c>
      <c r="N2069" s="518">
        <v>0.10299999999999999</v>
      </c>
      <c r="O2069" s="518">
        <v>0.1</v>
      </c>
      <c r="P2069" s="518">
        <v>0.112</v>
      </c>
      <c r="Q2069" s="78">
        <v>0.44</v>
      </c>
      <c r="R2069" s="78">
        <v>0.31740000000000002</v>
      </c>
      <c r="S2069" s="69">
        <v>2.5000000000000001E-2</v>
      </c>
      <c r="T2069" s="69">
        <v>0.01</v>
      </c>
      <c r="U2069" s="518">
        <v>0.7</v>
      </c>
      <c r="V2069" s="76">
        <v>0</v>
      </c>
      <c r="W2069" s="76">
        <v>0</v>
      </c>
      <c r="X2069" s="76"/>
      <c r="Y2069" s="516" t="s">
        <v>470</v>
      </c>
    </row>
    <row r="2070" spans="1:25" x14ac:dyDescent="0.25">
      <c r="A2070" s="75" t="str">
        <f t="shared" si="73"/>
        <v>Pago_Hipoteca+Liquidez PF No_Premier PagHip Mas Liquidez Pago_Fijo_Puntual 11</v>
      </c>
      <c r="B2070" s="75" t="str">
        <f t="shared" si="72"/>
        <v>Pago_Hipoteca+Liquidez PF No_Premier PagHip Mas Liquidez Pago_Fijo_Puntual 11 0.0965</v>
      </c>
      <c r="C2070" s="75" t="s">
        <v>174</v>
      </c>
      <c r="D2070" s="75" t="s">
        <v>132</v>
      </c>
      <c r="E2070" s="75" t="s">
        <v>179</v>
      </c>
      <c r="F2070" s="75" t="s">
        <v>187</v>
      </c>
      <c r="G2070" s="75"/>
      <c r="H2070" s="75"/>
      <c r="I2070" s="75" t="s">
        <v>171</v>
      </c>
      <c r="J2070" s="76">
        <v>11</v>
      </c>
      <c r="K2070" s="516" t="s">
        <v>385</v>
      </c>
      <c r="L2070" s="517">
        <v>12.47</v>
      </c>
      <c r="M2070" s="517">
        <v>13.13</v>
      </c>
      <c r="N2070" s="518">
        <v>9.6500000000000002E-2</v>
      </c>
      <c r="O2070" s="518">
        <v>9.1999999999999998E-2</v>
      </c>
      <c r="P2070" s="518">
        <v>0.10249999999999999</v>
      </c>
      <c r="Q2070" s="78">
        <v>0.44</v>
      </c>
      <c r="R2070" s="78">
        <v>0.31740000000000002</v>
      </c>
      <c r="S2070" s="69">
        <v>2.5000000000000001E-2</v>
      </c>
      <c r="T2070" s="69">
        <v>0.01</v>
      </c>
      <c r="U2070" s="518">
        <v>0.7</v>
      </c>
      <c r="V2070" s="76">
        <v>0</v>
      </c>
      <c r="W2070" s="76">
        <v>0</v>
      </c>
      <c r="X2070" s="76"/>
      <c r="Y2070" s="516" t="s">
        <v>470</v>
      </c>
    </row>
    <row r="2071" spans="1:25" x14ac:dyDescent="0.25">
      <c r="A2071" s="75" t="str">
        <f t="shared" si="73"/>
        <v>Pago_Hipoteca+Liquidez PF No_Premier PagHip Mas Liquidez Pago_Fijo_Puntual 11</v>
      </c>
      <c r="B2071" s="75" t="str">
        <f t="shared" si="72"/>
        <v>Pago_Hipoteca+Liquidez PF No_Premier PagHip Mas Liquidez Pago_Fijo_Puntual 11 0.103</v>
      </c>
      <c r="C2071" s="75" t="s">
        <v>174</v>
      </c>
      <c r="D2071" s="75" t="s">
        <v>132</v>
      </c>
      <c r="E2071" s="75" t="s">
        <v>179</v>
      </c>
      <c r="F2071" s="75" t="s">
        <v>187</v>
      </c>
      <c r="G2071" s="75"/>
      <c r="H2071" s="75"/>
      <c r="I2071" s="75" t="s">
        <v>171</v>
      </c>
      <c r="J2071" s="76">
        <v>11</v>
      </c>
      <c r="K2071" s="516" t="s">
        <v>386</v>
      </c>
      <c r="L2071" s="517">
        <v>12.86</v>
      </c>
      <c r="M2071" s="517">
        <v>13.52</v>
      </c>
      <c r="N2071" s="518">
        <v>0.10299999999999999</v>
      </c>
      <c r="O2071" s="518">
        <v>0.1</v>
      </c>
      <c r="P2071" s="518">
        <v>0.112</v>
      </c>
      <c r="Q2071" s="78">
        <v>0.44</v>
      </c>
      <c r="R2071" s="78">
        <v>0.31740000000000002</v>
      </c>
      <c r="S2071" s="69">
        <v>2.5000000000000001E-2</v>
      </c>
      <c r="T2071" s="69">
        <v>0.01</v>
      </c>
      <c r="U2071" s="518">
        <v>0.7</v>
      </c>
      <c r="V2071" s="76">
        <v>0</v>
      </c>
      <c r="W2071" s="76">
        <v>0</v>
      </c>
      <c r="X2071" s="76"/>
      <c r="Y2071" s="516" t="s">
        <v>470</v>
      </c>
    </row>
    <row r="2072" spans="1:25" x14ac:dyDescent="0.25">
      <c r="A2072" s="75" t="str">
        <f t="shared" si="73"/>
        <v>Pago_Hipoteca+Liquidez PF No_Premier PagHip Mas Liquidez Pago_Fijo_Puntual 10</v>
      </c>
      <c r="B2072" s="75" t="str">
        <f t="shared" si="72"/>
        <v>Pago_Hipoteca+Liquidez PF No_Premier PagHip Mas Liquidez Pago_Fijo_Puntual 10 0.0965</v>
      </c>
      <c r="C2072" s="75" t="s">
        <v>174</v>
      </c>
      <c r="D2072" s="75" t="s">
        <v>132</v>
      </c>
      <c r="E2072" s="75" t="s">
        <v>179</v>
      </c>
      <c r="F2072" s="75" t="s">
        <v>187</v>
      </c>
      <c r="G2072" s="75"/>
      <c r="H2072" s="75"/>
      <c r="I2072" s="75" t="s">
        <v>171</v>
      </c>
      <c r="J2072" s="76">
        <v>10</v>
      </c>
      <c r="K2072" s="516" t="s">
        <v>385</v>
      </c>
      <c r="L2072" s="517">
        <v>13.16</v>
      </c>
      <c r="M2072" s="517">
        <v>13.82</v>
      </c>
      <c r="N2072" s="518">
        <v>9.6500000000000002E-2</v>
      </c>
      <c r="O2072" s="518">
        <v>9.1999999999999998E-2</v>
      </c>
      <c r="P2072" s="518">
        <v>0.10249999999999999</v>
      </c>
      <c r="Q2072" s="78">
        <v>0.44</v>
      </c>
      <c r="R2072" s="78">
        <v>0.31740000000000002</v>
      </c>
      <c r="S2072" s="69">
        <v>2.5000000000000001E-2</v>
      </c>
      <c r="T2072" s="69">
        <v>0.01</v>
      </c>
      <c r="U2072" s="518">
        <v>0.7</v>
      </c>
      <c r="V2072" s="76">
        <v>0</v>
      </c>
      <c r="W2072" s="76">
        <v>0</v>
      </c>
      <c r="X2072" s="76"/>
      <c r="Y2072" s="516" t="s">
        <v>470</v>
      </c>
    </row>
    <row r="2073" spans="1:25" x14ac:dyDescent="0.25">
      <c r="A2073" s="75" t="str">
        <f t="shared" si="73"/>
        <v>Pago_Hipoteca+Liquidez PF No_Premier PagHip Mas Liquidez Pago_Fijo_Puntual 10</v>
      </c>
      <c r="B2073" s="75" t="str">
        <f t="shared" si="72"/>
        <v>Pago_Hipoteca+Liquidez PF No_Premier PagHip Mas Liquidez Pago_Fijo_Puntual 10 0.103</v>
      </c>
      <c r="C2073" s="75" t="s">
        <v>174</v>
      </c>
      <c r="D2073" s="75" t="s">
        <v>132</v>
      </c>
      <c r="E2073" s="75" t="s">
        <v>179</v>
      </c>
      <c r="F2073" s="75" t="s">
        <v>187</v>
      </c>
      <c r="G2073" s="75"/>
      <c r="H2073" s="75"/>
      <c r="I2073" s="75" t="s">
        <v>171</v>
      </c>
      <c r="J2073" s="76">
        <v>10</v>
      </c>
      <c r="K2073" s="516" t="s">
        <v>386</v>
      </c>
      <c r="L2073" s="517">
        <v>13.54</v>
      </c>
      <c r="M2073" s="517">
        <v>14.2</v>
      </c>
      <c r="N2073" s="518">
        <v>0.10299999999999999</v>
      </c>
      <c r="O2073" s="518">
        <v>0.1</v>
      </c>
      <c r="P2073" s="518">
        <v>0.112</v>
      </c>
      <c r="Q2073" s="78">
        <v>0.44</v>
      </c>
      <c r="R2073" s="78">
        <v>0.31740000000000002</v>
      </c>
      <c r="S2073" s="69">
        <v>2.5000000000000001E-2</v>
      </c>
      <c r="T2073" s="69">
        <v>0.01</v>
      </c>
      <c r="U2073" s="518">
        <v>0.7</v>
      </c>
      <c r="V2073" s="76">
        <v>0</v>
      </c>
      <c r="W2073" s="76">
        <v>0</v>
      </c>
      <c r="X2073" s="76"/>
      <c r="Y2073" s="516" t="s">
        <v>470</v>
      </c>
    </row>
    <row r="2074" spans="1:25" x14ac:dyDescent="0.25">
      <c r="A2074" s="75" t="str">
        <f t="shared" si="73"/>
        <v>Pago_Hipoteca+Liquidez PF No_Premier PagHip Mas Liquidez Pago_Fijo_Puntual 9</v>
      </c>
      <c r="B2074" s="75" t="str">
        <f t="shared" si="72"/>
        <v>Pago_Hipoteca+Liquidez PF No_Premier PagHip Mas Liquidez Pago_Fijo_Puntual 9 0.0965</v>
      </c>
      <c r="C2074" s="75" t="s">
        <v>174</v>
      </c>
      <c r="D2074" s="75" t="s">
        <v>132</v>
      </c>
      <c r="E2074" s="75" t="s">
        <v>179</v>
      </c>
      <c r="F2074" s="75" t="s">
        <v>187</v>
      </c>
      <c r="G2074" s="75"/>
      <c r="H2074" s="75"/>
      <c r="I2074" s="75" t="s">
        <v>171</v>
      </c>
      <c r="J2074" s="76">
        <v>9</v>
      </c>
      <c r="K2074" s="516" t="s">
        <v>385</v>
      </c>
      <c r="L2074" s="517">
        <v>14.01</v>
      </c>
      <c r="M2074" s="517">
        <v>14.67</v>
      </c>
      <c r="N2074" s="518">
        <v>9.6500000000000002E-2</v>
      </c>
      <c r="O2074" s="518">
        <v>9.1999999999999998E-2</v>
      </c>
      <c r="P2074" s="518">
        <v>0.10249999999999999</v>
      </c>
      <c r="Q2074" s="78">
        <v>0.44</v>
      </c>
      <c r="R2074" s="78">
        <v>0.31740000000000002</v>
      </c>
      <c r="S2074" s="69">
        <v>2.5000000000000001E-2</v>
      </c>
      <c r="T2074" s="69">
        <v>0.01</v>
      </c>
      <c r="U2074" s="518">
        <v>0.7</v>
      </c>
      <c r="V2074" s="76">
        <v>0</v>
      </c>
      <c r="W2074" s="76">
        <v>0</v>
      </c>
      <c r="X2074" s="76"/>
      <c r="Y2074" s="516" t="s">
        <v>470</v>
      </c>
    </row>
    <row r="2075" spans="1:25" x14ac:dyDescent="0.25">
      <c r="A2075" s="75" t="str">
        <f t="shared" si="73"/>
        <v>Pago_Hipoteca+Liquidez PF No_Premier PagHip Mas Liquidez Pago_Fijo_Puntual 9</v>
      </c>
      <c r="B2075" s="75" t="str">
        <f t="shared" si="72"/>
        <v>Pago_Hipoteca+Liquidez PF No_Premier PagHip Mas Liquidez Pago_Fijo_Puntual 9 0.103</v>
      </c>
      <c r="C2075" s="75" t="s">
        <v>174</v>
      </c>
      <c r="D2075" s="75" t="s">
        <v>132</v>
      </c>
      <c r="E2075" s="75" t="s">
        <v>179</v>
      </c>
      <c r="F2075" s="75" t="s">
        <v>187</v>
      </c>
      <c r="G2075" s="75"/>
      <c r="H2075" s="75"/>
      <c r="I2075" s="75" t="s">
        <v>171</v>
      </c>
      <c r="J2075" s="76">
        <v>9</v>
      </c>
      <c r="K2075" s="516" t="s">
        <v>386</v>
      </c>
      <c r="L2075" s="517">
        <v>14.37</v>
      </c>
      <c r="M2075" s="517">
        <v>15.03</v>
      </c>
      <c r="N2075" s="518">
        <v>0.10299999999999999</v>
      </c>
      <c r="O2075" s="518">
        <v>0.1</v>
      </c>
      <c r="P2075" s="518">
        <v>0.112</v>
      </c>
      <c r="Q2075" s="78">
        <v>0.44</v>
      </c>
      <c r="R2075" s="78">
        <v>0.31740000000000002</v>
      </c>
      <c r="S2075" s="69">
        <v>2.5000000000000001E-2</v>
      </c>
      <c r="T2075" s="69">
        <v>0.01</v>
      </c>
      <c r="U2075" s="518">
        <v>0.7</v>
      </c>
      <c r="V2075" s="76">
        <v>0</v>
      </c>
      <c r="W2075" s="76">
        <v>0</v>
      </c>
      <c r="X2075" s="76"/>
      <c r="Y2075" s="516" t="s">
        <v>470</v>
      </c>
    </row>
    <row r="2076" spans="1:25" x14ac:dyDescent="0.25">
      <c r="A2076" s="75" t="str">
        <f t="shared" si="73"/>
        <v>Pago_Hipoteca+Liquidez PF No_Premier PagHip Mas Liquidez Pago_Fijo_Puntual 8</v>
      </c>
      <c r="B2076" s="75" t="str">
        <f t="shared" si="72"/>
        <v>Pago_Hipoteca+Liquidez PF No_Premier PagHip Mas Liquidez Pago_Fijo_Puntual 8 0.0965</v>
      </c>
      <c r="C2076" s="75" t="s">
        <v>174</v>
      </c>
      <c r="D2076" s="75" t="s">
        <v>132</v>
      </c>
      <c r="E2076" s="75" t="s">
        <v>179</v>
      </c>
      <c r="F2076" s="75" t="s">
        <v>187</v>
      </c>
      <c r="G2076" s="75"/>
      <c r="H2076" s="75"/>
      <c r="I2076" s="75" t="s">
        <v>171</v>
      </c>
      <c r="J2076" s="76">
        <v>8</v>
      </c>
      <c r="K2076" s="516" t="s">
        <v>385</v>
      </c>
      <c r="L2076" s="517">
        <v>15.09</v>
      </c>
      <c r="M2076" s="517">
        <v>15.75</v>
      </c>
      <c r="N2076" s="518">
        <v>9.6500000000000002E-2</v>
      </c>
      <c r="O2076" s="518">
        <v>9.1999999999999998E-2</v>
      </c>
      <c r="P2076" s="518">
        <v>0.10249999999999999</v>
      </c>
      <c r="Q2076" s="78">
        <v>0.44</v>
      </c>
      <c r="R2076" s="78">
        <v>0.31740000000000002</v>
      </c>
      <c r="S2076" s="69">
        <v>2.5000000000000001E-2</v>
      </c>
      <c r="T2076" s="69">
        <v>0.01</v>
      </c>
      <c r="U2076" s="518">
        <v>0.7</v>
      </c>
      <c r="V2076" s="76">
        <v>0</v>
      </c>
      <c r="W2076" s="76">
        <v>0</v>
      </c>
      <c r="X2076" s="76"/>
      <c r="Y2076" s="516" t="s">
        <v>470</v>
      </c>
    </row>
    <row r="2077" spans="1:25" x14ac:dyDescent="0.25">
      <c r="A2077" s="75" t="str">
        <f t="shared" si="73"/>
        <v>Pago_Hipoteca+Liquidez PF No_Premier PagHip Mas Liquidez Pago_Fijo_Puntual 8</v>
      </c>
      <c r="B2077" s="75" t="str">
        <f t="shared" si="72"/>
        <v>Pago_Hipoteca+Liquidez PF No_Premier PagHip Mas Liquidez Pago_Fijo_Puntual 8 0.103</v>
      </c>
      <c r="C2077" s="75" t="s">
        <v>174</v>
      </c>
      <c r="D2077" s="75" t="s">
        <v>132</v>
      </c>
      <c r="E2077" s="75" t="s">
        <v>179</v>
      </c>
      <c r="F2077" s="75" t="s">
        <v>187</v>
      </c>
      <c r="G2077" s="75"/>
      <c r="H2077" s="75"/>
      <c r="I2077" s="75" t="s">
        <v>171</v>
      </c>
      <c r="J2077" s="76">
        <v>8</v>
      </c>
      <c r="K2077" s="516" t="s">
        <v>386</v>
      </c>
      <c r="L2077" s="517">
        <v>15.44</v>
      </c>
      <c r="M2077" s="517">
        <v>16.100000000000001</v>
      </c>
      <c r="N2077" s="518">
        <v>0.10299999999999999</v>
      </c>
      <c r="O2077" s="518">
        <v>0.1</v>
      </c>
      <c r="P2077" s="518">
        <v>0.112</v>
      </c>
      <c r="Q2077" s="78">
        <v>0.44</v>
      </c>
      <c r="R2077" s="78">
        <v>0.31740000000000002</v>
      </c>
      <c r="S2077" s="69">
        <v>2.5000000000000001E-2</v>
      </c>
      <c r="T2077" s="69">
        <v>0.01</v>
      </c>
      <c r="U2077" s="518">
        <v>0.7</v>
      </c>
      <c r="V2077" s="76">
        <v>0</v>
      </c>
      <c r="W2077" s="76">
        <v>0</v>
      </c>
      <c r="X2077" s="76"/>
      <c r="Y2077" s="516" t="s">
        <v>470</v>
      </c>
    </row>
    <row r="2078" spans="1:25" x14ac:dyDescent="0.25">
      <c r="A2078" s="75" t="str">
        <f t="shared" si="73"/>
        <v>Pago_Hipoteca+Liquidez PF No_Premier PagHip Mas Liquidez Pago_Fijo_Puntual 7</v>
      </c>
      <c r="B2078" s="75" t="str">
        <f t="shared" si="72"/>
        <v>Pago_Hipoteca+Liquidez PF No_Premier PagHip Mas Liquidez Pago_Fijo_Puntual 7 0.0965</v>
      </c>
      <c r="C2078" s="75" t="s">
        <v>174</v>
      </c>
      <c r="D2078" s="75" t="s">
        <v>132</v>
      </c>
      <c r="E2078" s="75" t="s">
        <v>179</v>
      </c>
      <c r="F2078" s="75" t="s">
        <v>187</v>
      </c>
      <c r="G2078" s="75"/>
      <c r="H2078" s="75"/>
      <c r="I2078" s="75" t="s">
        <v>171</v>
      </c>
      <c r="J2078" s="76">
        <v>7</v>
      </c>
      <c r="K2078" s="516" t="s">
        <v>385</v>
      </c>
      <c r="L2078" s="517">
        <v>16.5</v>
      </c>
      <c r="M2078" s="517">
        <v>17.16</v>
      </c>
      <c r="N2078" s="518">
        <v>9.6500000000000002E-2</v>
      </c>
      <c r="O2078" s="518">
        <v>9.1999999999999998E-2</v>
      </c>
      <c r="P2078" s="518">
        <v>0.10249999999999999</v>
      </c>
      <c r="Q2078" s="78">
        <v>0.44</v>
      </c>
      <c r="R2078" s="78">
        <v>0.31740000000000002</v>
      </c>
      <c r="S2078" s="69">
        <v>2.5000000000000001E-2</v>
      </c>
      <c r="T2078" s="69">
        <v>0.01</v>
      </c>
      <c r="U2078" s="518">
        <v>0.7</v>
      </c>
      <c r="V2078" s="76">
        <v>0</v>
      </c>
      <c r="W2078" s="76">
        <v>0</v>
      </c>
      <c r="X2078" s="76"/>
      <c r="Y2078" s="516" t="s">
        <v>470</v>
      </c>
    </row>
    <row r="2079" spans="1:25" x14ac:dyDescent="0.25">
      <c r="A2079" s="75" t="str">
        <f t="shared" si="73"/>
        <v>Pago_Hipoteca+Liquidez PF No_Premier PagHip Mas Liquidez Pago_Fijo_Puntual 7</v>
      </c>
      <c r="B2079" s="75" t="str">
        <f t="shared" si="72"/>
        <v>Pago_Hipoteca+Liquidez PF No_Premier PagHip Mas Liquidez Pago_Fijo_Puntual 7 0.103</v>
      </c>
      <c r="C2079" s="75" t="s">
        <v>174</v>
      </c>
      <c r="D2079" s="75" t="s">
        <v>132</v>
      </c>
      <c r="E2079" s="75" t="s">
        <v>179</v>
      </c>
      <c r="F2079" s="75" t="s">
        <v>187</v>
      </c>
      <c r="G2079" s="75"/>
      <c r="H2079" s="75"/>
      <c r="I2079" s="75" t="s">
        <v>171</v>
      </c>
      <c r="J2079" s="76">
        <v>7</v>
      </c>
      <c r="K2079" s="516" t="s">
        <v>386</v>
      </c>
      <c r="L2079" s="517">
        <v>16.84</v>
      </c>
      <c r="M2079" s="517">
        <v>17.5</v>
      </c>
      <c r="N2079" s="518">
        <v>0.10299999999999999</v>
      </c>
      <c r="O2079" s="518">
        <v>0.1</v>
      </c>
      <c r="P2079" s="518">
        <v>0.112</v>
      </c>
      <c r="Q2079" s="78">
        <v>0.44</v>
      </c>
      <c r="R2079" s="78">
        <v>0.31740000000000002</v>
      </c>
      <c r="S2079" s="69">
        <v>2.5000000000000001E-2</v>
      </c>
      <c r="T2079" s="69">
        <v>0.01</v>
      </c>
      <c r="U2079" s="518">
        <v>0.7</v>
      </c>
      <c r="V2079" s="76">
        <v>0</v>
      </c>
      <c r="W2079" s="76">
        <v>0</v>
      </c>
      <c r="X2079" s="76"/>
      <c r="Y2079" s="516" t="s">
        <v>470</v>
      </c>
    </row>
    <row r="2080" spans="1:25" x14ac:dyDescent="0.25">
      <c r="A2080" s="75" t="str">
        <f t="shared" si="73"/>
        <v>Pago_Hipoteca+Liquidez PF No_Premier PagHip Mas Liquidez Pago_Fijo_Puntual 6</v>
      </c>
      <c r="B2080" s="75" t="str">
        <f t="shared" si="72"/>
        <v>Pago_Hipoteca+Liquidez PF No_Premier PagHip Mas Liquidez Pago_Fijo_Puntual 6 0.0965</v>
      </c>
      <c r="C2080" s="75" t="s">
        <v>174</v>
      </c>
      <c r="D2080" s="75" t="s">
        <v>132</v>
      </c>
      <c r="E2080" s="75" t="s">
        <v>179</v>
      </c>
      <c r="F2080" s="75" t="s">
        <v>187</v>
      </c>
      <c r="G2080" s="75"/>
      <c r="H2080" s="75"/>
      <c r="I2080" s="75" t="s">
        <v>171</v>
      </c>
      <c r="J2080" s="76">
        <v>6</v>
      </c>
      <c r="K2080" s="516" t="s">
        <v>385</v>
      </c>
      <c r="L2080" s="517">
        <v>18.41</v>
      </c>
      <c r="M2080" s="517">
        <v>19.07</v>
      </c>
      <c r="N2080" s="518">
        <v>9.6500000000000002E-2</v>
      </c>
      <c r="O2080" s="518">
        <v>9.1999999999999998E-2</v>
      </c>
      <c r="P2080" s="518">
        <v>0.10249999999999999</v>
      </c>
      <c r="Q2080" s="78">
        <v>0.44</v>
      </c>
      <c r="R2080" s="78">
        <v>0.31740000000000002</v>
      </c>
      <c r="S2080" s="69">
        <v>2.5000000000000001E-2</v>
      </c>
      <c r="T2080" s="69">
        <v>0.01</v>
      </c>
      <c r="U2080" s="518">
        <v>0.7</v>
      </c>
      <c r="V2080" s="76">
        <v>0</v>
      </c>
      <c r="W2080" s="76">
        <v>0</v>
      </c>
      <c r="X2080" s="76"/>
      <c r="Y2080" s="516" t="s">
        <v>470</v>
      </c>
    </row>
    <row r="2081" spans="1:25" x14ac:dyDescent="0.25">
      <c r="A2081" s="75" t="str">
        <f t="shared" si="73"/>
        <v>Pago_Hipoteca+Liquidez PF No_Premier PagHip Mas Liquidez Pago_Fijo_Puntual 6</v>
      </c>
      <c r="B2081" s="75" t="str">
        <f t="shared" si="72"/>
        <v>Pago_Hipoteca+Liquidez PF No_Premier PagHip Mas Liquidez Pago_Fijo_Puntual 6 0.103</v>
      </c>
      <c r="C2081" s="75" t="s">
        <v>174</v>
      </c>
      <c r="D2081" s="75" t="s">
        <v>132</v>
      </c>
      <c r="E2081" s="75" t="s">
        <v>179</v>
      </c>
      <c r="F2081" s="75" t="s">
        <v>187</v>
      </c>
      <c r="G2081" s="75"/>
      <c r="H2081" s="75"/>
      <c r="I2081" s="75" t="s">
        <v>171</v>
      </c>
      <c r="J2081" s="76">
        <v>6</v>
      </c>
      <c r="K2081" s="516" t="s">
        <v>386</v>
      </c>
      <c r="L2081" s="517">
        <v>18.739999999999998</v>
      </c>
      <c r="M2081" s="517">
        <v>19.399999999999999</v>
      </c>
      <c r="N2081" s="518">
        <v>0.10299999999999999</v>
      </c>
      <c r="O2081" s="518">
        <v>0.1</v>
      </c>
      <c r="P2081" s="518">
        <v>0.112</v>
      </c>
      <c r="Q2081" s="78">
        <v>0.44</v>
      </c>
      <c r="R2081" s="78">
        <v>0.31740000000000002</v>
      </c>
      <c r="S2081" s="69">
        <v>2.5000000000000001E-2</v>
      </c>
      <c r="T2081" s="69">
        <v>0.01</v>
      </c>
      <c r="U2081" s="518">
        <v>0.7</v>
      </c>
      <c r="V2081" s="76">
        <v>0</v>
      </c>
      <c r="W2081" s="76">
        <v>0</v>
      </c>
      <c r="X2081" s="76"/>
      <c r="Y2081" s="516" t="s">
        <v>470</v>
      </c>
    </row>
    <row r="2082" spans="1:25" x14ac:dyDescent="0.25">
      <c r="A2082" s="75" t="str">
        <f t="shared" si="73"/>
        <v>Pago_Hipoteca+Liquidez PF No_Premier PagHip Mas Liquidez Pago_Fijo_Puntual 5</v>
      </c>
      <c r="B2082" s="75" t="str">
        <f t="shared" si="72"/>
        <v>Pago_Hipoteca+Liquidez PF No_Premier PagHip Mas Liquidez Pago_Fijo_Puntual 5 0.0965</v>
      </c>
      <c r="C2082" s="75" t="s">
        <v>174</v>
      </c>
      <c r="D2082" s="75" t="s">
        <v>132</v>
      </c>
      <c r="E2082" s="75" t="s">
        <v>179</v>
      </c>
      <c r="F2082" s="75" t="s">
        <v>187</v>
      </c>
      <c r="G2082" s="75"/>
      <c r="H2082" s="75"/>
      <c r="I2082" s="75" t="s">
        <v>171</v>
      </c>
      <c r="J2082" s="76">
        <v>5</v>
      </c>
      <c r="K2082" s="516" t="s">
        <v>385</v>
      </c>
      <c r="L2082" s="517">
        <v>21.12</v>
      </c>
      <c r="M2082" s="517">
        <v>21.78</v>
      </c>
      <c r="N2082" s="518">
        <v>9.6500000000000002E-2</v>
      </c>
      <c r="O2082" s="518">
        <v>9.1999999999999998E-2</v>
      </c>
      <c r="P2082" s="518">
        <v>0.10249999999999999</v>
      </c>
      <c r="Q2082" s="78">
        <v>0.44</v>
      </c>
      <c r="R2082" s="78">
        <v>0.31740000000000002</v>
      </c>
      <c r="S2082" s="69">
        <v>2.5000000000000001E-2</v>
      </c>
      <c r="T2082" s="69">
        <v>0.01</v>
      </c>
      <c r="U2082" s="518">
        <v>0.7</v>
      </c>
      <c r="V2082" s="76">
        <v>0</v>
      </c>
      <c r="W2082" s="76">
        <v>0</v>
      </c>
      <c r="X2082" s="76"/>
      <c r="Y2082" s="516" t="s">
        <v>470</v>
      </c>
    </row>
    <row r="2083" spans="1:25" x14ac:dyDescent="0.25">
      <c r="A2083" s="75" t="str">
        <f t="shared" si="73"/>
        <v>Pago_Hipoteca+Liquidez PF No_Premier PagHip Mas Liquidez Pago_Fijo_Puntual 5</v>
      </c>
      <c r="B2083" s="75" t="str">
        <f t="shared" si="72"/>
        <v>Pago_Hipoteca+Liquidez PF No_Premier PagHip Mas Liquidez Pago_Fijo_Puntual 5 0.103</v>
      </c>
      <c r="C2083" s="75" t="s">
        <v>174</v>
      </c>
      <c r="D2083" s="75" t="s">
        <v>132</v>
      </c>
      <c r="E2083" s="75" t="s">
        <v>179</v>
      </c>
      <c r="F2083" s="75" t="s">
        <v>187</v>
      </c>
      <c r="G2083" s="75"/>
      <c r="H2083" s="75"/>
      <c r="I2083" s="75" t="s">
        <v>171</v>
      </c>
      <c r="J2083" s="76">
        <v>5</v>
      </c>
      <c r="K2083" s="516" t="s">
        <v>386</v>
      </c>
      <c r="L2083" s="517">
        <v>21.44</v>
      </c>
      <c r="M2083" s="517">
        <v>22.1</v>
      </c>
      <c r="N2083" s="518">
        <v>0.10299999999999999</v>
      </c>
      <c r="O2083" s="518">
        <v>0.1</v>
      </c>
      <c r="P2083" s="518">
        <v>0.112</v>
      </c>
      <c r="Q2083" s="78">
        <v>0.44</v>
      </c>
      <c r="R2083" s="78">
        <v>0.31740000000000002</v>
      </c>
      <c r="S2083" s="69">
        <v>2.5000000000000001E-2</v>
      </c>
      <c r="T2083" s="69">
        <v>0.01</v>
      </c>
      <c r="U2083" s="518">
        <v>0.7</v>
      </c>
      <c r="V2083" s="76">
        <v>0</v>
      </c>
      <c r="W2083" s="76">
        <v>0</v>
      </c>
      <c r="X2083" s="76"/>
      <c r="Y2083" s="516" t="s">
        <v>470</v>
      </c>
    </row>
    <row r="2084" spans="1:25" x14ac:dyDescent="0.25">
      <c r="A2084" s="75" t="str">
        <f t="shared" si="73"/>
        <v>Pago_Hipoteca+Liquidez PF Premier PagHip Mas Liquidez Pago_Fijo_Puntual Si 20</v>
      </c>
      <c r="B2084" s="75" t="str">
        <f t="shared" si="72"/>
        <v>Pago_Hipoteca+Liquidez PF Premier PagHip Mas Liquidez Pago_Fijo_Puntual Si 20 0.103</v>
      </c>
      <c r="C2084" s="75" t="s">
        <v>174</v>
      </c>
      <c r="D2084" s="75" t="s">
        <v>132</v>
      </c>
      <c r="E2084" s="75" t="s">
        <v>143</v>
      </c>
      <c r="F2084" s="75" t="s">
        <v>187</v>
      </c>
      <c r="G2084" s="75"/>
      <c r="H2084" s="75"/>
      <c r="I2084" s="75" t="s">
        <v>171</v>
      </c>
      <c r="J2084" s="76">
        <v>20</v>
      </c>
      <c r="K2084" s="519" t="s">
        <v>387</v>
      </c>
      <c r="L2084" s="520">
        <v>10.16</v>
      </c>
      <c r="M2084" s="520">
        <v>10.82</v>
      </c>
      <c r="N2084" s="507">
        <v>0.10299999999999999</v>
      </c>
      <c r="O2084" s="507">
        <v>0.1</v>
      </c>
      <c r="P2084" s="507">
        <v>0.112</v>
      </c>
      <c r="Q2084" s="78">
        <v>0.44</v>
      </c>
      <c r="R2084" s="78">
        <v>0.31740000000000002</v>
      </c>
      <c r="S2084" s="69">
        <v>2.5000000000000001E-2</v>
      </c>
      <c r="T2084" s="69">
        <v>0.01</v>
      </c>
      <c r="U2084" s="507">
        <v>0.85</v>
      </c>
      <c r="V2084" s="76">
        <v>0</v>
      </c>
      <c r="W2084" s="76">
        <v>0</v>
      </c>
      <c r="X2084" s="76" t="s">
        <v>147</v>
      </c>
      <c r="Y2084" s="519" t="s">
        <v>469</v>
      </c>
    </row>
    <row r="2085" spans="1:25" x14ac:dyDescent="0.25">
      <c r="A2085" s="75" t="str">
        <f t="shared" si="73"/>
        <v>Pago_Hipoteca+Liquidez PF Premier PagHip Mas Liquidez Pago_Fijo_Puntual 20</v>
      </c>
      <c r="B2085" s="75" t="str">
        <f t="shared" si="72"/>
        <v>Pago_Hipoteca+Liquidez PF Premier PagHip Mas Liquidez Pago_Fijo_Puntual 20 0.106</v>
      </c>
      <c r="C2085" s="75" t="s">
        <v>174</v>
      </c>
      <c r="D2085" s="75" t="s">
        <v>132</v>
      </c>
      <c r="E2085" s="75" t="s">
        <v>143</v>
      </c>
      <c r="F2085" s="75" t="s">
        <v>187</v>
      </c>
      <c r="G2085" s="75"/>
      <c r="H2085" s="75"/>
      <c r="I2085" s="75" t="s">
        <v>171</v>
      </c>
      <c r="J2085" s="76">
        <v>20</v>
      </c>
      <c r="K2085" s="519">
        <v>3</v>
      </c>
      <c r="L2085" s="520">
        <v>10.4</v>
      </c>
      <c r="M2085" s="520">
        <v>11.06</v>
      </c>
      <c r="N2085" s="507">
        <v>0.106</v>
      </c>
      <c r="O2085" s="507">
        <v>0.10299999999999999</v>
      </c>
      <c r="P2085" s="507">
        <v>0.11799999999999999</v>
      </c>
      <c r="Q2085" s="78">
        <v>0.44</v>
      </c>
      <c r="R2085" s="78">
        <v>0.31740000000000002</v>
      </c>
      <c r="S2085" s="69">
        <v>2.5000000000000001E-2</v>
      </c>
      <c r="T2085" s="69">
        <v>0.01</v>
      </c>
      <c r="U2085" s="507">
        <v>0.85</v>
      </c>
      <c r="V2085" s="76">
        <v>0</v>
      </c>
      <c r="W2085" s="76">
        <v>0</v>
      </c>
      <c r="X2085" s="76"/>
      <c r="Y2085" s="519" t="s">
        <v>469</v>
      </c>
    </row>
    <row r="2086" spans="1:25" x14ac:dyDescent="0.25">
      <c r="A2086" s="75" t="str">
        <f t="shared" si="73"/>
        <v>Pago_Hipoteca+Liquidez PF Premier PagHip Mas Liquidez Pago_Fijo_Puntual Si 19</v>
      </c>
      <c r="B2086" s="75" t="str">
        <f t="shared" ref="B2086:B2148" si="74">CONCATENATE(A2086," ",N2086)</f>
        <v>Pago_Hipoteca+Liquidez PF Premier PagHip Mas Liquidez Pago_Fijo_Puntual Si 19 0.103</v>
      </c>
      <c r="C2086" s="75" t="s">
        <v>174</v>
      </c>
      <c r="D2086" s="75" t="s">
        <v>132</v>
      </c>
      <c r="E2086" s="75" t="s">
        <v>143</v>
      </c>
      <c r="F2086" s="75" t="s">
        <v>187</v>
      </c>
      <c r="G2086" s="75"/>
      <c r="H2086" s="75"/>
      <c r="I2086" s="75" t="s">
        <v>171</v>
      </c>
      <c r="J2086" s="76">
        <v>19</v>
      </c>
      <c r="K2086" s="519" t="s">
        <v>387</v>
      </c>
      <c r="L2086" s="520">
        <v>10.3</v>
      </c>
      <c r="M2086" s="520">
        <v>10.96</v>
      </c>
      <c r="N2086" s="507">
        <v>0.10299999999999999</v>
      </c>
      <c r="O2086" s="507">
        <v>0.1</v>
      </c>
      <c r="P2086" s="507">
        <v>0.112</v>
      </c>
      <c r="Q2086" s="78">
        <v>0.44</v>
      </c>
      <c r="R2086" s="78">
        <v>0.31740000000000002</v>
      </c>
      <c r="S2086" s="69">
        <v>2.5000000000000001E-2</v>
      </c>
      <c r="T2086" s="69">
        <v>0.01</v>
      </c>
      <c r="U2086" s="507">
        <v>0.85</v>
      </c>
      <c r="V2086" s="76">
        <v>0</v>
      </c>
      <c r="W2086" s="76">
        <v>0</v>
      </c>
      <c r="X2086" s="76" t="s">
        <v>147</v>
      </c>
      <c r="Y2086" s="519" t="s">
        <v>469</v>
      </c>
    </row>
    <row r="2087" spans="1:25" x14ac:dyDescent="0.25">
      <c r="A2087" s="75" t="str">
        <f t="shared" ref="A2087:A2149" si="75">TRIM(CONCATENATE(C2087," ",D2087," ",E2087," ",F2087," ",G2087," ",I2087," ",X2087," ",J2087))</f>
        <v>Pago_Hipoteca+Liquidez PF Premier PagHip Mas Liquidez Pago_Fijo_Puntual 19</v>
      </c>
      <c r="B2087" s="75" t="str">
        <f t="shared" si="74"/>
        <v>Pago_Hipoteca+Liquidez PF Premier PagHip Mas Liquidez Pago_Fijo_Puntual 19 0.106</v>
      </c>
      <c r="C2087" s="75" t="s">
        <v>174</v>
      </c>
      <c r="D2087" s="75" t="s">
        <v>132</v>
      </c>
      <c r="E2087" s="75" t="s">
        <v>143</v>
      </c>
      <c r="F2087" s="75" t="s">
        <v>187</v>
      </c>
      <c r="G2087" s="75"/>
      <c r="H2087" s="75"/>
      <c r="I2087" s="75" t="s">
        <v>171</v>
      </c>
      <c r="J2087" s="76">
        <v>19</v>
      </c>
      <c r="K2087" s="519">
        <v>3</v>
      </c>
      <c r="L2087" s="520">
        <v>10.54</v>
      </c>
      <c r="M2087" s="520">
        <v>11.2</v>
      </c>
      <c r="N2087" s="507">
        <v>0.106</v>
      </c>
      <c r="O2087" s="507">
        <v>0.10299999999999999</v>
      </c>
      <c r="P2087" s="507">
        <v>0.11799999999999999</v>
      </c>
      <c r="Q2087" s="78">
        <v>0.44</v>
      </c>
      <c r="R2087" s="78">
        <v>0.31740000000000002</v>
      </c>
      <c r="S2087" s="69">
        <v>2.5000000000000001E-2</v>
      </c>
      <c r="T2087" s="69">
        <v>0.01</v>
      </c>
      <c r="U2087" s="507">
        <v>0.85</v>
      </c>
      <c r="V2087" s="76">
        <v>0</v>
      </c>
      <c r="W2087" s="76">
        <v>0</v>
      </c>
      <c r="X2087" s="76"/>
      <c r="Y2087" s="519" t="s">
        <v>469</v>
      </c>
    </row>
    <row r="2088" spans="1:25" x14ac:dyDescent="0.25">
      <c r="A2088" s="75" t="str">
        <f t="shared" si="75"/>
        <v>Pago_Hipoteca+Liquidez PF Premier PagHip Mas Liquidez Pago_Fijo_Puntual Si 18</v>
      </c>
      <c r="B2088" s="75" t="str">
        <f t="shared" si="74"/>
        <v>Pago_Hipoteca+Liquidez PF Premier PagHip Mas Liquidez Pago_Fijo_Puntual Si 18 0.103</v>
      </c>
      <c r="C2088" s="75" t="s">
        <v>174</v>
      </c>
      <c r="D2088" s="75" t="s">
        <v>132</v>
      </c>
      <c r="E2088" s="75" t="s">
        <v>143</v>
      </c>
      <c r="F2088" s="75" t="s">
        <v>187</v>
      </c>
      <c r="G2088" s="75"/>
      <c r="H2088" s="75"/>
      <c r="I2088" s="75" t="s">
        <v>171</v>
      </c>
      <c r="J2088" s="76">
        <v>18</v>
      </c>
      <c r="K2088" s="519" t="s">
        <v>387</v>
      </c>
      <c r="L2088" s="520">
        <v>10.47</v>
      </c>
      <c r="M2088" s="520">
        <v>11.13</v>
      </c>
      <c r="N2088" s="507">
        <v>0.10299999999999999</v>
      </c>
      <c r="O2088" s="507">
        <v>0.1</v>
      </c>
      <c r="P2088" s="507">
        <v>0.112</v>
      </c>
      <c r="Q2088" s="78">
        <v>0.44</v>
      </c>
      <c r="R2088" s="78">
        <v>0.31740000000000002</v>
      </c>
      <c r="S2088" s="69">
        <v>2.5000000000000001E-2</v>
      </c>
      <c r="T2088" s="69">
        <v>0.01</v>
      </c>
      <c r="U2088" s="507">
        <v>0.85</v>
      </c>
      <c r="V2088" s="76">
        <v>0</v>
      </c>
      <c r="W2088" s="76">
        <v>0</v>
      </c>
      <c r="X2088" s="76" t="s">
        <v>147</v>
      </c>
      <c r="Y2088" s="519" t="s">
        <v>469</v>
      </c>
    </row>
    <row r="2089" spans="1:25" x14ac:dyDescent="0.25">
      <c r="A2089" s="75" t="str">
        <f t="shared" si="75"/>
        <v>Pago_Hipoteca+Liquidez PF Premier PagHip Mas Liquidez Pago_Fijo_Puntual 18</v>
      </c>
      <c r="B2089" s="75" t="str">
        <f t="shared" si="74"/>
        <v>Pago_Hipoteca+Liquidez PF Premier PagHip Mas Liquidez Pago_Fijo_Puntual 18 0.106</v>
      </c>
      <c r="C2089" s="75" t="s">
        <v>174</v>
      </c>
      <c r="D2089" s="75" t="s">
        <v>132</v>
      </c>
      <c r="E2089" s="75" t="s">
        <v>143</v>
      </c>
      <c r="F2089" s="75" t="s">
        <v>187</v>
      </c>
      <c r="G2089" s="75"/>
      <c r="H2089" s="75"/>
      <c r="I2089" s="75" t="s">
        <v>171</v>
      </c>
      <c r="J2089" s="76">
        <v>18</v>
      </c>
      <c r="K2089" s="519">
        <v>3</v>
      </c>
      <c r="L2089" s="520">
        <v>10.71</v>
      </c>
      <c r="M2089" s="520">
        <v>11.37</v>
      </c>
      <c r="N2089" s="507">
        <v>0.106</v>
      </c>
      <c r="O2089" s="507">
        <v>0.10299999999999999</v>
      </c>
      <c r="P2089" s="507">
        <v>0.11799999999999999</v>
      </c>
      <c r="Q2089" s="78">
        <v>0.44</v>
      </c>
      <c r="R2089" s="78">
        <v>0.31740000000000002</v>
      </c>
      <c r="S2089" s="69">
        <v>2.5000000000000001E-2</v>
      </c>
      <c r="T2089" s="69">
        <v>0.01</v>
      </c>
      <c r="U2089" s="507">
        <v>0.85</v>
      </c>
      <c r="V2089" s="76">
        <v>0</v>
      </c>
      <c r="W2089" s="76">
        <v>0</v>
      </c>
      <c r="X2089" s="76"/>
      <c r="Y2089" s="519" t="s">
        <v>469</v>
      </c>
    </row>
    <row r="2090" spans="1:25" x14ac:dyDescent="0.25">
      <c r="A2090" s="75" t="str">
        <f t="shared" si="75"/>
        <v>Pago_Hipoteca+Liquidez PF Premier PagHip Mas Liquidez Pago_Fijo_Puntual Si 17</v>
      </c>
      <c r="B2090" s="75" t="str">
        <f t="shared" si="74"/>
        <v>Pago_Hipoteca+Liquidez PF Premier PagHip Mas Liquidez Pago_Fijo_Puntual Si 17 0.103</v>
      </c>
      <c r="C2090" s="75" t="s">
        <v>174</v>
      </c>
      <c r="D2090" s="75" t="s">
        <v>132</v>
      </c>
      <c r="E2090" s="75" t="s">
        <v>143</v>
      </c>
      <c r="F2090" s="75" t="s">
        <v>187</v>
      </c>
      <c r="G2090" s="75"/>
      <c r="H2090" s="75"/>
      <c r="I2090" s="75" t="s">
        <v>171</v>
      </c>
      <c r="J2090" s="76">
        <v>17</v>
      </c>
      <c r="K2090" s="519" t="s">
        <v>387</v>
      </c>
      <c r="L2090" s="520">
        <v>10.67</v>
      </c>
      <c r="M2090" s="520">
        <v>11.33</v>
      </c>
      <c r="N2090" s="507">
        <v>0.10299999999999999</v>
      </c>
      <c r="O2090" s="507">
        <v>0.1</v>
      </c>
      <c r="P2090" s="507">
        <v>0.112</v>
      </c>
      <c r="Q2090" s="78">
        <v>0.44</v>
      </c>
      <c r="R2090" s="78">
        <v>0.31740000000000002</v>
      </c>
      <c r="S2090" s="69">
        <v>2.5000000000000001E-2</v>
      </c>
      <c r="T2090" s="69">
        <v>0.01</v>
      </c>
      <c r="U2090" s="507">
        <v>0.85</v>
      </c>
      <c r="V2090" s="76">
        <v>0</v>
      </c>
      <c r="W2090" s="76">
        <v>0</v>
      </c>
      <c r="X2090" s="76" t="s">
        <v>147</v>
      </c>
      <c r="Y2090" s="519" t="s">
        <v>469</v>
      </c>
    </row>
    <row r="2091" spans="1:25" x14ac:dyDescent="0.25">
      <c r="A2091" s="75" t="str">
        <f t="shared" si="75"/>
        <v>Pago_Hipoteca+Liquidez PF Premier PagHip Mas Liquidez Pago_Fijo_Puntual 17</v>
      </c>
      <c r="B2091" s="75" t="str">
        <f t="shared" si="74"/>
        <v>Pago_Hipoteca+Liquidez PF Premier PagHip Mas Liquidez Pago_Fijo_Puntual 17 0.106</v>
      </c>
      <c r="C2091" s="75" t="s">
        <v>174</v>
      </c>
      <c r="D2091" s="75" t="s">
        <v>132</v>
      </c>
      <c r="E2091" s="75" t="s">
        <v>143</v>
      </c>
      <c r="F2091" s="75" t="s">
        <v>187</v>
      </c>
      <c r="G2091" s="75"/>
      <c r="H2091" s="75"/>
      <c r="I2091" s="75" t="s">
        <v>171</v>
      </c>
      <c r="J2091" s="76">
        <v>17</v>
      </c>
      <c r="K2091" s="519">
        <v>3</v>
      </c>
      <c r="L2091" s="520">
        <v>10.9</v>
      </c>
      <c r="M2091" s="520">
        <v>11.56</v>
      </c>
      <c r="N2091" s="507">
        <v>0.106</v>
      </c>
      <c r="O2091" s="507">
        <v>0.10299999999999999</v>
      </c>
      <c r="P2091" s="507">
        <v>0.11799999999999999</v>
      </c>
      <c r="Q2091" s="78">
        <v>0.44</v>
      </c>
      <c r="R2091" s="78">
        <v>0.31740000000000002</v>
      </c>
      <c r="S2091" s="69">
        <v>2.5000000000000001E-2</v>
      </c>
      <c r="T2091" s="69">
        <v>0.01</v>
      </c>
      <c r="U2091" s="507">
        <v>0.85</v>
      </c>
      <c r="V2091" s="76">
        <v>0</v>
      </c>
      <c r="W2091" s="76">
        <v>0</v>
      </c>
      <c r="X2091" s="76"/>
      <c r="Y2091" s="519" t="s">
        <v>469</v>
      </c>
    </row>
    <row r="2092" spans="1:25" x14ac:dyDescent="0.25">
      <c r="A2092" s="75" t="str">
        <f t="shared" si="75"/>
        <v>Pago_Hipoteca+Liquidez PF Premier PagHip Mas Liquidez Pago_Fijo_Puntual Si 16</v>
      </c>
      <c r="B2092" s="75" t="str">
        <f t="shared" si="74"/>
        <v>Pago_Hipoteca+Liquidez PF Premier PagHip Mas Liquidez Pago_Fijo_Puntual Si 16 0.103</v>
      </c>
      <c r="C2092" s="75" t="s">
        <v>174</v>
      </c>
      <c r="D2092" s="75" t="s">
        <v>132</v>
      </c>
      <c r="E2092" s="75" t="s">
        <v>143</v>
      </c>
      <c r="F2092" s="75" t="s">
        <v>187</v>
      </c>
      <c r="G2092" s="75"/>
      <c r="H2092" s="75"/>
      <c r="I2092" s="75" t="s">
        <v>171</v>
      </c>
      <c r="J2092" s="76">
        <v>16</v>
      </c>
      <c r="K2092" s="519" t="s">
        <v>387</v>
      </c>
      <c r="L2092" s="520">
        <v>10.9</v>
      </c>
      <c r="M2092" s="520">
        <v>11.56</v>
      </c>
      <c r="N2092" s="507">
        <v>0.10299999999999999</v>
      </c>
      <c r="O2092" s="507">
        <v>0.1</v>
      </c>
      <c r="P2092" s="507">
        <v>0.112</v>
      </c>
      <c r="Q2092" s="78">
        <v>0.44</v>
      </c>
      <c r="R2092" s="78">
        <v>0.31740000000000002</v>
      </c>
      <c r="S2092" s="69">
        <v>2.5000000000000001E-2</v>
      </c>
      <c r="T2092" s="69">
        <v>0.01</v>
      </c>
      <c r="U2092" s="507">
        <v>0.85</v>
      </c>
      <c r="V2092" s="76">
        <v>0</v>
      </c>
      <c r="W2092" s="76">
        <v>0</v>
      </c>
      <c r="X2092" s="76" t="s">
        <v>147</v>
      </c>
      <c r="Y2092" s="519" t="s">
        <v>469</v>
      </c>
    </row>
    <row r="2093" spans="1:25" x14ac:dyDescent="0.25">
      <c r="A2093" s="75" t="str">
        <f t="shared" si="75"/>
        <v>Pago_Hipoteca+Liquidez PF Premier PagHip Mas Liquidez Pago_Fijo_Puntual 16</v>
      </c>
      <c r="B2093" s="75" t="str">
        <f t="shared" si="74"/>
        <v>Pago_Hipoteca+Liquidez PF Premier PagHip Mas Liquidez Pago_Fijo_Puntual 16 0.106</v>
      </c>
      <c r="C2093" s="75" t="s">
        <v>174</v>
      </c>
      <c r="D2093" s="75" t="s">
        <v>132</v>
      </c>
      <c r="E2093" s="75" t="s">
        <v>143</v>
      </c>
      <c r="F2093" s="75" t="s">
        <v>187</v>
      </c>
      <c r="G2093" s="75"/>
      <c r="H2093" s="75"/>
      <c r="I2093" s="75" t="s">
        <v>171</v>
      </c>
      <c r="J2093" s="76">
        <v>16</v>
      </c>
      <c r="K2093" s="519">
        <v>3</v>
      </c>
      <c r="L2093" s="520">
        <v>11.12</v>
      </c>
      <c r="M2093" s="520">
        <v>11.78</v>
      </c>
      <c r="N2093" s="507">
        <v>0.106</v>
      </c>
      <c r="O2093" s="507">
        <v>0.10299999999999999</v>
      </c>
      <c r="P2093" s="507">
        <v>0.11799999999999999</v>
      </c>
      <c r="Q2093" s="78">
        <v>0.44</v>
      </c>
      <c r="R2093" s="78">
        <v>0.31740000000000002</v>
      </c>
      <c r="S2093" s="69">
        <v>2.5000000000000001E-2</v>
      </c>
      <c r="T2093" s="69">
        <v>0.01</v>
      </c>
      <c r="U2093" s="507">
        <v>0.85</v>
      </c>
      <c r="V2093" s="76">
        <v>0</v>
      </c>
      <c r="W2093" s="76">
        <v>0</v>
      </c>
      <c r="X2093" s="76"/>
      <c r="Y2093" s="519" t="s">
        <v>469</v>
      </c>
    </row>
    <row r="2094" spans="1:25" x14ac:dyDescent="0.25">
      <c r="A2094" s="75" t="str">
        <f t="shared" si="75"/>
        <v>Pago_Hipoteca+Liquidez PF Premier PagHip Mas Liquidez Pago_Fijo_Puntual Si 15</v>
      </c>
      <c r="B2094" s="75" t="str">
        <f t="shared" si="74"/>
        <v>Pago_Hipoteca+Liquidez PF Premier PagHip Mas Liquidez Pago_Fijo_Puntual Si 15 0.103</v>
      </c>
      <c r="C2094" s="75" t="s">
        <v>174</v>
      </c>
      <c r="D2094" s="75" t="s">
        <v>132</v>
      </c>
      <c r="E2094" s="75" t="s">
        <v>143</v>
      </c>
      <c r="F2094" s="75" t="s">
        <v>187</v>
      </c>
      <c r="G2094" s="75"/>
      <c r="H2094" s="75"/>
      <c r="I2094" s="75" t="s">
        <v>171</v>
      </c>
      <c r="J2094" s="76">
        <v>15</v>
      </c>
      <c r="K2094" s="519" t="s">
        <v>387</v>
      </c>
      <c r="L2094" s="520">
        <v>11.18</v>
      </c>
      <c r="M2094" s="520">
        <v>11.84</v>
      </c>
      <c r="N2094" s="507">
        <v>0.10299999999999999</v>
      </c>
      <c r="O2094" s="507">
        <v>0.1</v>
      </c>
      <c r="P2094" s="507">
        <v>0.112</v>
      </c>
      <c r="Q2094" s="78">
        <v>0.44</v>
      </c>
      <c r="R2094" s="78">
        <v>0.31740000000000002</v>
      </c>
      <c r="S2094" s="69">
        <v>2.5000000000000001E-2</v>
      </c>
      <c r="T2094" s="69">
        <v>0.01</v>
      </c>
      <c r="U2094" s="507">
        <v>0.85</v>
      </c>
      <c r="V2094" s="76">
        <v>0</v>
      </c>
      <c r="W2094" s="76">
        <v>0</v>
      </c>
      <c r="X2094" s="76" t="s">
        <v>147</v>
      </c>
      <c r="Y2094" s="519" t="s">
        <v>469</v>
      </c>
    </row>
    <row r="2095" spans="1:25" x14ac:dyDescent="0.25">
      <c r="A2095" s="75" t="str">
        <f t="shared" si="75"/>
        <v>Pago_Hipoteca+Liquidez PF Premier PagHip Mas Liquidez Pago_Fijo_Puntual 15</v>
      </c>
      <c r="B2095" s="75" t="str">
        <f t="shared" si="74"/>
        <v>Pago_Hipoteca+Liquidez PF Premier PagHip Mas Liquidez Pago_Fijo_Puntual 15 0.106</v>
      </c>
      <c r="C2095" s="75" t="s">
        <v>174</v>
      </c>
      <c r="D2095" s="75" t="s">
        <v>132</v>
      </c>
      <c r="E2095" s="75" t="s">
        <v>143</v>
      </c>
      <c r="F2095" s="75" t="s">
        <v>187</v>
      </c>
      <c r="G2095" s="75"/>
      <c r="H2095" s="75"/>
      <c r="I2095" s="75" t="s">
        <v>171</v>
      </c>
      <c r="J2095" s="76">
        <v>15</v>
      </c>
      <c r="K2095" s="519">
        <v>3</v>
      </c>
      <c r="L2095" s="520">
        <v>11.38</v>
      </c>
      <c r="M2095" s="520">
        <v>12.04</v>
      </c>
      <c r="N2095" s="507">
        <v>0.106</v>
      </c>
      <c r="O2095" s="507">
        <v>0.10299999999999999</v>
      </c>
      <c r="P2095" s="507">
        <v>0.11799999999999999</v>
      </c>
      <c r="Q2095" s="78">
        <v>0.44</v>
      </c>
      <c r="R2095" s="78">
        <v>0.31740000000000002</v>
      </c>
      <c r="S2095" s="69">
        <v>2.5000000000000001E-2</v>
      </c>
      <c r="T2095" s="69">
        <v>0.01</v>
      </c>
      <c r="U2095" s="507">
        <v>0.85</v>
      </c>
      <c r="V2095" s="76">
        <v>0</v>
      </c>
      <c r="W2095" s="76">
        <v>0</v>
      </c>
      <c r="X2095" s="76"/>
      <c r="Y2095" s="519" t="s">
        <v>469</v>
      </c>
    </row>
    <row r="2096" spans="1:25" x14ac:dyDescent="0.25">
      <c r="A2096" s="75" t="str">
        <f t="shared" si="75"/>
        <v>Pago_Hipoteca+Liquidez PF Premier PagHip Mas Liquidez Pago_Fijo_Puntual Si 14</v>
      </c>
      <c r="B2096" s="75" t="str">
        <f t="shared" si="74"/>
        <v>Pago_Hipoteca+Liquidez PF Premier PagHip Mas Liquidez Pago_Fijo_Puntual Si 14 0.103</v>
      </c>
      <c r="C2096" s="75" t="s">
        <v>174</v>
      </c>
      <c r="D2096" s="75" t="s">
        <v>132</v>
      </c>
      <c r="E2096" s="75" t="s">
        <v>143</v>
      </c>
      <c r="F2096" s="75" t="s">
        <v>187</v>
      </c>
      <c r="G2096" s="75"/>
      <c r="H2096" s="75"/>
      <c r="I2096" s="75" t="s">
        <v>171</v>
      </c>
      <c r="J2096" s="76">
        <v>14</v>
      </c>
      <c r="K2096" s="519" t="s">
        <v>387</v>
      </c>
      <c r="L2096" s="520">
        <v>11.49</v>
      </c>
      <c r="M2096" s="520">
        <v>12.15</v>
      </c>
      <c r="N2096" s="507">
        <v>0.10299999999999999</v>
      </c>
      <c r="O2096" s="507">
        <v>0.1</v>
      </c>
      <c r="P2096" s="507">
        <v>0.112</v>
      </c>
      <c r="Q2096" s="78">
        <v>0.44</v>
      </c>
      <c r="R2096" s="78">
        <v>0.31740000000000002</v>
      </c>
      <c r="S2096" s="69">
        <v>2.5000000000000001E-2</v>
      </c>
      <c r="T2096" s="69">
        <v>0.01</v>
      </c>
      <c r="U2096" s="507">
        <v>0.85</v>
      </c>
      <c r="V2096" s="76">
        <v>0</v>
      </c>
      <c r="W2096" s="76">
        <v>0</v>
      </c>
      <c r="X2096" s="76" t="s">
        <v>147</v>
      </c>
      <c r="Y2096" s="519" t="s">
        <v>469</v>
      </c>
    </row>
    <row r="2097" spans="1:25" x14ac:dyDescent="0.25">
      <c r="A2097" s="75" t="str">
        <f t="shared" si="75"/>
        <v>Pago_Hipoteca+Liquidez PF Premier PagHip Mas Liquidez Pago_Fijo_Puntual 14</v>
      </c>
      <c r="B2097" s="75" t="str">
        <f t="shared" si="74"/>
        <v>Pago_Hipoteca+Liquidez PF Premier PagHip Mas Liquidez Pago_Fijo_Puntual 14 0.106</v>
      </c>
      <c r="C2097" s="75" t="s">
        <v>174</v>
      </c>
      <c r="D2097" s="75" t="s">
        <v>132</v>
      </c>
      <c r="E2097" s="75" t="s">
        <v>143</v>
      </c>
      <c r="F2097" s="75" t="s">
        <v>187</v>
      </c>
      <c r="G2097" s="75"/>
      <c r="H2097" s="75"/>
      <c r="I2097" s="75" t="s">
        <v>171</v>
      </c>
      <c r="J2097" s="76">
        <v>14</v>
      </c>
      <c r="K2097" s="519">
        <v>3</v>
      </c>
      <c r="L2097" s="520">
        <v>11.69</v>
      </c>
      <c r="M2097" s="520">
        <v>12.35</v>
      </c>
      <c r="N2097" s="507">
        <v>0.106</v>
      </c>
      <c r="O2097" s="507">
        <v>0.10299999999999999</v>
      </c>
      <c r="P2097" s="507">
        <v>0.11799999999999999</v>
      </c>
      <c r="Q2097" s="78">
        <v>0.44</v>
      </c>
      <c r="R2097" s="78">
        <v>0.31740000000000002</v>
      </c>
      <c r="S2097" s="69">
        <v>2.5000000000000001E-2</v>
      </c>
      <c r="T2097" s="69">
        <v>0.01</v>
      </c>
      <c r="U2097" s="507">
        <v>0.85</v>
      </c>
      <c r="V2097" s="76">
        <v>0</v>
      </c>
      <c r="W2097" s="76">
        <v>0</v>
      </c>
      <c r="X2097" s="76"/>
      <c r="Y2097" s="519" t="s">
        <v>469</v>
      </c>
    </row>
    <row r="2098" spans="1:25" x14ac:dyDescent="0.25">
      <c r="A2098" s="75" t="str">
        <f t="shared" si="75"/>
        <v>Pago_Hipoteca+Liquidez PF Premier PagHip Mas Liquidez Pago_Fijo_Puntual Si 13</v>
      </c>
      <c r="B2098" s="75" t="str">
        <f t="shared" si="74"/>
        <v>Pago_Hipoteca+Liquidez PF Premier PagHip Mas Liquidez Pago_Fijo_Puntual Si 13 0.103</v>
      </c>
      <c r="C2098" s="75" t="s">
        <v>174</v>
      </c>
      <c r="D2098" s="75" t="s">
        <v>132</v>
      </c>
      <c r="E2098" s="75" t="s">
        <v>143</v>
      </c>
      <c r="F2098" s="75" t="s">
        <v>187</v>
      </c>
      <c r="G2098" s="75"/>
      <c r="H2098" s="75"/>
      <c r="I2098" s="75" t="s">
        <v>171</v>
      </c>
      <c r="J2098" s="76">
        <v>13</v>
      </c>
      <c r="K2098" s="519" t="s">
        <v>387</v>
      </c>
      <c r="L2098" s="520">
        <v>11.86</v>
      </c>
      <c r="M2098" s="520">
        <v>12.52</v>
      </c>
      <c r="N2098" s="507">
        <v>0.10299999999999999</v>
      </c>
      <c r="O2098" s="507">
        <v>0.1</v>
      </c>
      <c r="P2098" s="507">
        <v>0.112</v>
      </c>
      <c r="Q2098" s="78">
        <v>0.44</v>
      </c>
      <c r="R2098" s="78">
        <v>0.31740000000000002</v>
      </c>
      <c r="S2098" s="69">
        <v>2.5000000000000001E-2</v>
      </c>
      <c r="T2098" s="69">
        <v>0.01</v>
      </c>
      <c r="U2098" s="507">
        <v>0.85</v>
      </c>
      <c r="V2098" s="76">
        <v>0</v>
      </c>
      <c r="W2098" s="76">
        <v>0</v>
      </c>
      <c r="X2098" s="76" t="s">
        <v>147</v>
      </c>
      <c r="Y2098" s="519" t="s">
        <v>469</v>
      </c>
    </row>
    <row r="2099" spans="1:25" x14ac:dyDescent="0.25">
      <c r="A2099" s="75" t="str">
        <f t="shared" si="75"/>
        <v>Pago_Hipoteca+Liquidez PF Premier PagHip Mas Liquidez Pago_Fijo_Puntual 13</v>
      </c>
      <c r="B2099" s="75" t="str">
        <f t="shared" si="74"/>
        <v>Pago_Hipoteca+Liquidez PF Premier PagHip Mas Liquidez Pago_Fijo_Puntual 13 0.106</v>
      </c>
      <c r="C2099" s="75" t="s">
        <v>174</v>
      </c>
      <c r="D2099" s="75" t="s">
        <v>132</v>
      </c>
      <c r="E2099" s="75" t="s">
        <v>143</v>
      </c>
      <c r="F2099" s="75" t="s">
        <v>187</v>
      </c>
      <c r="G2099" s="75"/>
      <c r="H2099" s="75"/>
      <c r="I2099" s="75" t="s">
        <v>171</v>
      </c>
      <c r="J2099" s="76">
        <v>13</v>
      </c>
      <c r="K2099" s="519">
        <v>3</v>
      </c>
      <c r="L2099" s="520">
        <v>12.06</v>
      </c>
      <c r="M2099" s="520">
        <v>12.72</v>
      </c>
      <c r="N2099" s="507">
        <v>0.106</v>
      </c>
      <c r="O2099" s="507">
        <v>0.10299999999999999</v>
      </c>
      <c r="P2099" s="507">
        <v>0.11799999999999999</v>
      </c>
      <c r="Q2099" s="78">
        <v>0.44</v>
      </c>
      <c r="R2099" s="78">
        <v>0.31740000000000002</v>
      </c>
      <c r="S2099" s="69">
        <v>2.5000000000000001E-2</v>
      </c>
      <c r="T2099" s="69">
        <v>0.01</v>
      </c>
      <c r="U2099" s="507">
        <v>0.85</v>
      </c>
      <c r="V2099" s="76">
        <v>0</v>
      </c>
      <c r="W2099" s="76">
        <v>0</v>
      </c>
      <c r="X2099" s="76"/>
      <c r="Y2099" s="519" t="s">
        <v>469</v>
      </c>
    </row>
    <row r="2100" spans="1:25" x14ac:dyDescent="0.25">
      <c r="A2100" s="75" t="str">
        <f t="shared" si="75"/>
        <v>Pago_Hipoteca+Liquidez PF Premier PagHip Mas Liquidez Pago_Fijo_Puntual Si 12</v>
      </c>
      <c r="B2100" s="75" t="str">
        <f t="shared" si="74"/>
        <v>Pago_Hipoteca+Liquidez PF Premier PagHip Mas Liquidez Pago_Fijo_Puntual Si 12 0.103</v>
      </c>
      <c r="C2100" s="75" t="s">
        <v>174</v>
      </c>
      <c r="D2100" s="75" t="s">
        <v>132</v>
      </c>
      <c r="E2100" s="75" t="s">
        <v>143</v>
      </c>
      <c r="F2100" s="75" t="s">
        <v>187</v>
      </c>
      <c r="G2100" s="75"/>
      <c r="H2100" s="75"/>
      <c r="I2100" s="75" t="s">
        <v>171</v>
      </c>
      <c r="J2100" s="76">
        <v>12</v>
      </c>
      <c r="K2100" s="519" t="s">
        <v>387</v>
      </c>
      <c r="L2100" s="520">
        <v>12.31</v>
      </c>
      <c r="M2100" s="520">
        <v>12.97</v>
      </c>
      <c r="N2100" s="507">
        <v>0.10299999999999999</v>
      </c>
      <c r="O2100" s="507">
        <v>0.1</v>
      </c>
      <c r="P2100" s="507">
        <v>0.112</v>
      </c>
      <c r="Q2100" s="78">
        <v>0.44</v>
      </c>
      <c r="R2100" s="78">
        <v>0.31740000000000002</v>
      </c>
      <c r="S2100" s="69">
        <v>2.5000000000000001E-2</v>
      </c>
      <c r="T2100" s="69">
        <v>0.01</v>
      </c>
      <c r="U2100" s="507">
        <v>0.85</v>
      </c>
      <c r="V2100" s="76">
        <v>0</v>
      </c>
      <c r="W2100" s="76">
        <v>0</v>
      </c>
      <c r="X2100" s="76" t="s">
        <v>147</v>
      </c>
      <c r="Y2100" s="519" t="s">
        <v>469</v>
      </c>
    </row>
    <row r="2101" spans="1:25" x14ac:dyDescent="0.25">
      <c r="A2101" s="75" t="str">
        <f t="shared" si="75"/>
        <v>Pago_Hipoteca+Liquidez PF Premier PagHip Mas Liquidez Pago_Fijo_Puntual 12</v>
      </c>
      <c r="B2101" s="75" t="str">
        <f t="shared" si="74"/>
        <v>Pago_Hipoteca+Liquidez PF Premier PagHip Mas Liquidez Pago_Fijo_Puntual 12 0.106</v>
      </c>
      <c r="C2101" s="75" t="s">
        <v>174</v>
      </c>
      <c r="D2101" s="75" t="s">
        <v>132</v>
      </c>
      <c r="E2101" s="75" t="s">
        <v>143</v>
      </c>
      <c r="F2101" s="75" t="s">
        <v>187</v>
      </c>
      <c r="G2101" s="75"/>
      <c r="H2101" s="75"/>
      <c r="I2101" s="75" t="s">
        <v>171</v>
      </c>
      <c r="J2101" s="76">
        <v>12</v>
      </c>
      <c r="K2101" s="519">
        <v>3</v>
      </c>
      <c r="L2101" s="520">
        <v>12.5</v>
      </c>
      <c r="M2101" s="520">
        <v>13.16</v>
      </c>
      <c r="N2101" s="507">
        <v>0.106</v>
      </c>
      <c r="O2101" s="507">
        <v>0.10299999999999999</v>
      </c>
      <c r="P2101" s="507">
        <v>0.11799999999999999</v>
      </c>
      <c r="Q2101" s="78">
        <v>0.44</v>
      </c>
      <c r="R2101" s="78">
        <v>0.31740000000000002</v>
      </c>
      <c r="S2101" s="69">
        <v>2.5000000000000001E-2</v>
      </c>
      <c r="T2101" s="69">
        <v>0.01</v>
      </c>
      <c r="U2101" s="507">
        <v>0.85</v>
      </c>
      <c r="V2101" s="76">
        <v>0</v>
      </c>
      <c r="W2101" s="76">
        <v>0</v>
      </c>
      <c r="X2101" s="76"/>
      <c r="Y2101" s="519" t="s">
        <v>469</v>
      </c>
    </row>
    <row r="2102" spans="1:25" x14ac:dyDescent="0.25">
      <c r="A2102" s="75" t="str">
        <f t="shared" si="75"/>
        <v>Pago_Hipoteca+Liquidez PF Premier PagHip Mas Liquidez Pago_Fijo_Puntual Si 11</v>
      </c>
      <c r="B2102" s="75" t="str">
        <f t="shared" si="74"/>
        <v>Pago_Hipoteca+Liquidez PF Premier PagHip Mas Liquidez Pago_Fijo_Puntual Si 11 0.103</v>
      </c>
      <c r="C2102" s="75" t="s">
        <v>174</v>
      </c>
      <c r="D2102" s="75" t="s">
        <v>132</v>
      </c>
      <c r="E2102" s="75" t="s">
        <v>143</v>
      </c>
      <c r="F2102" s="75" t="s">
        <v>187</v>
      </c>
      <c r="G2102" s="75"/>
      <c r="H2102" s="75"/>
      <c r="I2102" s="75" t="s">
        <v>171</v>
      </c>
      <c r="J2102" s="76">
        <v>11</v>
      </c>
      <c r="K2102" s="519" t="s">
        <v>387</v>
      </c>
      <c r="L2102" s="520">
        <v>12.86</v>
      </c>
      <c r="M2102" s="520">
        <v>13.52</v>
      </c>
      <c r="N2102" s="507">
        <v>0.10299999999999999</v>
      </c>
      <c r="O2102" s="507">
        <v>0.1</v>
      </c>
      <c r="P2102" s="507">
        <v>0.112</v>
      </c>
      <c r="Q2102" s="78">
        <v>0.44</v>
      </c>
      <c r="R2102" s="78">
        <v>0.31740000000000002</v>
      </c>
      <c r="S2102" s="69">
        <v>2.5000000000000001E-2</v>
      </c>
      <c r="T2102" s="69">
        <v>0.01</v>
      </c>
      <c r="U2102" s="507">
        <v>0.85</v>
      </c>
      <c r="V2102" s="76">
        <v>0</v>
      </c>
      <c r="W2102" s="76">
        <v>0</v>
      </c>
      <c r="X2102" s="76" t="s">
        <v>147</v>
      </c>
      <c r="Y2102" s="519" t="s">
        <v>469</v>
      </c>
    </row>
    <row r="2103" spans="1:25" x14ac:dyDescent="0.25">
      <c r="A2103" s="75" t="str">
        <f t="shared" si="75"/>
        <v>Pago_Hipoteca+Liquidez PF Premier PagHip Mas Liquidez Pago_Fijo_Puntual 11</v>
      </c>
      <c r="B2103" s="75" t="str">
        <f t="shared" si="74"/>
        <v>Pago_Hipoteca+Liquidez PF Premier PagHip Mas Liquidez Pago_Fijo_Puntual 11 0.106</v>
      </c>
      <c r="C2103" s="75" t="s">
        <v>174</v>
      </c>
      <c r="D2103" s="75" t="s">
        <v>132</v>
      </c>
      <c r="E2103" s="75" t="s">
        <v>143</v>
      </c>
      <c r="F2103" s="75" t="s">
        <v>187</v>
      </c>
      <c r="G2103" s="75"/>
      <c r="H2103" s="75"/>
      <c r="I2103" s="75" t="s">
        <v>171</v>
      </c>
      <c r="J2103" s="76">
        <v>11</v>
      </c>
      <c r="K2103" s="519">
        <v>3</v>
      </c>
      <c r="L2103" s="520">
        <v>13.04</v>
      </c>
      <c r="M2103" s="520">
        <v>13.7</v>
      </c>
      <c r="N2103" s="507">
        <v>0.106</v>
      </c>
      <c r="O2103" s="507">
        <v>0.10299999999999999</v>
      </c>
      <c r="P2103" s="507">
        <v>0.11799999999999999</v>
      </c>
      <c r="Q2103" s="78">
        <v>0.44</v>
      </c>
      <c r="R2103" s="78">
        <v>0.31740000000000002</v>
      </c>
      <c r="S2103" s="69">
        <v>2.5000000000000001E-2</v>
      </c>
      <c r="T2103" s="69">
        <v>0.01</v>
      </c>
      <c r="U2103" s="507">
        <v>0.85</v>
      </c>
      <c r="V2103" s="76">
        <v>0</v>
      </c>
      <c r="W2103" s="76">
        <v>0</v>
      </c>
      <c r="X2103" s="76"/>
      <c r="Y2103" s="519" t="s">
        <v>469</v>
      </c>
    </row>
    <row r="2104" spans="1:25" x14ac:dyDescent="0.25">
      <c r="A2104" s="75" t="str">
        <f t="shared" si="75"/>
        <v>Pago_Hipoteca+Liquidez PF Premier PagHip Mas Liquidez Pago_Fijo_Puntual Si 10</v>
      </c>
      <c r="B2104" s="75" t="str">
        <f t="shared" si="74"/>
        <v>Pago_Hipoteca+Liquidez PF Premier PagHip Mas Liquidez Pago_Fijo_Puntual Si 10 0.103</v>
      </c>
      <c r="C2104" s="75" t="s">
        <v>174</v>
      </c>
      <c r="D2104" s="75" t="s">
        <v>132</v>
      </c>
      <c r="E2104" s="75" t="s">
        <v>143</v>
      </c>
      <c r="F2104" s="75" t="s">
        <v>187</v>
      </c>
      <c r="G2104" s="75"/>
      <c r="H2104" s="75"/>
      <c r="I2104" s="75" t="s">
        <v>171</v>
      </c>
      <c r="J2104" s="76">
        <v>10</v>
      </c>
      <c r="K2104" s="519" t="s">
        <v>387</v>
      </c>
      <c r="L2104" s="520">
        <v>13.54</v>
      </c>
      <c r="M2104" s="520">
        <v>14.2</v>
      </c>
      <c r="N2104" s="507">
        <v>0.10299999999999999</v>
      </c>
      <c r="O2104" s="507">
        <v>0.1</v>
      </c>
      <c r="P2104" s="507">
        <v>0.112</v>
      </c>
      <c r="Q2104" s="78">
        <v>0.44</v>
      </c>
      <c r="R2104" s="78">
        <v>0.31740000000000002</v>
      </c>
      <c r="S2104" s="69">
        <v>2.5000000000000001E-2</v>
      </c>
      <c r="T2104" s="69">
        <v>0.01</v>
      </c>
      <c r="U2104" s="507">
        <v>0.85</v>
      </c>
      <c r="V2104" s="76">
        <v>0</v>
      </c>
      <c r="W2104" s="76">
        <v>0</v>
      </c>
      <c r="X2104" s="76" t="s">
        <v>147</v>
      </c>
      <c r="Y2104" s="519" t="s">
        <v>469</v>
      </c>
    </row>
    <row r="2105" spans="1:25" x14ac:dyDescent="0.25">
      <c r="A2105" s="75" t="str">
        <f t="shared" si="75"/>
        <v>Pago_Hipoteca+Liquidez PF Premier PagHip Mas Liquidez Pago_Fijo_Puntual 10</v>
      </c>
      <c r="B2105" s="75" t="str">
        <f t="shared" si="74"/>
        <v>Pago_Hipoteca+Liquidez PF Premier PagHip Mas Liquidez Pago_Fijo_Puntual 10 0.106</v>
      </c>
      <c r="C2105" s="75" t="s">
        <v>174</v>
      </c>
      <c r="D2105" s="75" t="s">
        <v>132</v>
      </c>
      <c r="E2105" s="75" t="s">
        <v>143</v>
      </c>
      <c r="F2105" s="75" t="s">
        <v>187</v>
      </c>
      <c r="G2105" s="75"/>
      <c r="H2105" s="75"/>
      <c r="I2105" s="75" t="s">
        <v>171</v>
      </c>
      <c r="J2105" s="76">
        <v>10</v>
      </c>
      <c r="K2105" s="519">
        <v>3</v>
      </c>
      <c r="L2105" s="520">
        <v>13.7</v>
      </c>
      <c r="M2105" s="520">
        <v>14.36</v>
      </c>
      <c r="N2105" s="507">
        <v>0.106</v>
      </c>
      <c r="O2105" s="507">
        <v>0.10299999999999999</v>
      </c>
      <c r="P2105" s="507">
        <v>0.11799999999999999</v>
      </c>
      <c r="Q2105" s="78">
        <v>0.44</v>
      </c>
      <c r="R2105" s="78">
        <v>0.31740000000000002</v>
      </c>
      <c r="S2105" s="69">
        <v>2.5000000000000001E-2</v>
      </c>
      <c r="T2105" s="69">
        <v>0.01</v>
      </c>
      <c r="U2105" s="507">
        <v>0.85</v>
      </c>
      <c r="V2105" s="76">
        <v>0</v>
      </c>
      <c r="W2105" s="76">
        <v>0</v>
      </c>
      <c r="X2105" s="76"/>
      <c r="Y2105" s="519" t="s">
        <v>469</v>
      </c>
    </row>
    <row r="2106" spans="1:25" x14ac:dyDescent="0.25">
      <c r="A2106" s="75" t="str">
        <f t="shared" si="75"/>
        <v>Pago_Hipoteca+Liquidez PF Premier PagHip Mas Liquidez Pago_Fijo_Puntual Si 9</v>
      </c>
      <c r="B2106" s="75" t="str">
        <f t="shared" si="74"/>
        <v>Pago_Hipoteca+Liquidez PF Premier PagHip Mas Liquidez Pago_Fijo_Puntual Si 9 0.103</v>
      </c>
      <c r="C2106" s="75" t="s">
        <v>174</v>
      </c>
      <c r="D2106" s="75" t="s">
        <v>132</v>
      </c>
      <c r="E2106" s="75" t="s">
        <v>143</v>
      </c>
      <c r="F2106" s="75" t="s">
        <v>187</v>
      </c>
      <c r="G2106" s="75"/>
      <c r="H2106" s="75"/>
      <c r="I2106" s="75" t="s">
        <v>171</v>
      </c>
      <c r="J2106" s="76">
        <v>9</v>
      </c>
      <c r="K2106" s="519" t="s">
        <v>387</v>
      </c>
      <c r="L2106" s="520">
        <v>14.37</v>
      </c>
      <c r="M2106" s="520">
        <v>15.03</v>
      </c>
      <c r="N2106" s="507">
        <v>0.10299999999999999</v>
      </c>
      <c r="O2106" s="507">
        <v>0.1</v>
      </c>
      <c r="P2106" s="507">
        <v>0.112</v>
      </c>
      <c r="Q2106" s="78">
        <v>0.44</v>
      </c>
      <c r="R2106" s="78">
        <v>0.31740000000000002</v>
      </c>
      <c r="S2106" s="69">
        <v>2.5000000000000001E-2</v>
      </c>
      <c r="T2106" s="69">
        <v>0.01</v>
      </c>
      <c r="U2106" s="507">
        <v>0.85</v>
      </c>
      <c r="V2106" s="76">
        <v>0</v>
      </c>
      <c r="W2106" s="76">
        <v>0</v>
      </c>
      <c r="X2106" s="76" t="s">
        <v>147</v>
      </c>
      <c r="Y2106" s="519" t="s">
        <v>469</v>
      </c>
    </row>
    <row r="2107" spans="1:25" x14ac:dyDescent="0.25">
      <c r="A2107" s="75" t="str">
        <f t="shared" si="75"/>
        <v>Pago_Hipoteca+Liquidez PF Premier PagHip Mas Liquidez Pago_Fijo_Puntual 9</v>
      </c>
      <c r="B2107" s="75" t="str">
        <f t="shared" si="74"/>
        <v>Pago_Hipoteca+Liquidez PF Premier PagHip Mas Liquidez Pago_Fijo_Puntual 9 0.106</v>
      </c>
      <c r="C2107" s="75" t="s">
        <v>174</v>
      </c>
      <c r="D2107" s="75" t="s">
        <v>132</v>
      </c>
      <c r="E2107" s="75" t="s">
        <v>143</v>
      </c>
      <c r="F2107" s="75" t="s">
        <v>187</v>
      </c>
      <c r="G2107" s="75"/>
      <c r="H2107" s="75"/>
      <c r="I2107" s="75" t="s">
        <v>171</v>
      </c>
      <c r="J2107" s="76">
        <v>9</v>
      </c>
      <c r="K2107" s="519">
        <v>3</v>
      </c>
      <c r="L2107" s="520">
        <v>14.53</v>
      </c>
      <c r="M2107" s="520">
        <v>15.19</v>
      </c>
      <c r="N2107" s="507">
        <v>0.106</v>
      </c>
      <c r="O2107" s="507">
        <v>0.10299999999999999</v>
      </c>
      <c r="P2107" s="507">
        <v>0.11799999999999999</v>
      </c>
      <c r="Q2107" s="78">
        <v>0.44</v>
      </c>
      <c r="R2107" s="78">
        <v>0.31740000000000002</v>
      </c>
      <c r="S2107" s="69">
        <v>2.5000000000000001E-2</v>
      </c>
      <c r="T2107" s="69">
        <v>0.01</v>
      </c>
      <c r="U2107" s="507">
        <v>0.85</v>
      </c>
      <c r="V2107" s="76">
        <v>0</v>
      </c>
      <c r="W2107" s="76">
        <v>0</v>
      </c>
      <c r="X2107" s="76"/>
      <c r="Y2107" s="519" t="s">
        <v>469</v>
      </c>
    </row>
    <row r="2108" spans="1:25" x14ac:dyDescent="0.25">
      <c r="A2108" s="75" t="str">
        <f t="shared" si="75"/>
        <v>Pago_Hipoteca+Liquidez PF Premier PagHip Mas Liquidez Pago_Fijo_Puntual Si 8</v>
      </c>
      <c r="B2108" s="75" t="str">
        <f t="shared" si="74"/>
        <v>Pago_Hipoteca+Liquidez PF Premier PagHip Mas Liquidez Pago_Fijo_Puntual Si 8 0.103</v>
      </c>
      <c r="C2108" s="75" t="s">
        <v>174</v>
      </c>
      <c r="D2108" s="75" t="s">
        <v>132</v>
      </c>
      <c r="E2108" s="75" t="s">
        <v>143</v>
      </c>
      <c r="F2108" s="75" t="s">
        <v>187</v>
      </c>
      <c r="G2108" s="75"/>
      <c r="H2108" s="75"/>
      <c r="I2108" s="75" t="s">
        <v>171</v>
      </c>
      <c r="J2108" s="76">
        <v>8</v>
      </c>
      <c r="K2108" s="519" t="s">
        <v>387</v>
      </c>
      <c r="L2108" s="520">
        <v>15.44</v>
      </c>
      <c r="M2108" s="520">
        <v>16.100000000000001</v>
      </c>
      <c r="N2108" s="507">
        <v>0.10299999999999999</v>
      </c>
      <c r="O2108" s="507">
        <v>0.1</v>
      </c>
      <c r="P2108" s="507">
        <v>0.112</v>
      </c>
      <c r="Q2108" s="78">
        <v>0.44</v>
      </c>
      <c r="R2108" s="78">
        <v>0.31740000000000002</v>
      </c>
      <c r="S2108" s="69">
        <v>2.5000000000000001E-2</v>
      </c>
      <c r="T2108" s="69">
        <v>0.01</v>
      </c>
      <c r="U2108" s="507">
        <v>0.85</v>
      </c>
      <c r="V2108" s="76">
        <v>0</v>
      </c>
      <c r="W2108" s="76">
        <v>0</v>
      </c>
      <c r="X2108" s="76" t="s">
        <v>147</v>
      </c>
      <c r="Y2108" s="519" t="s">
        <v>469</v>
      </c>
    </row>
    <row r="2109" spans="1:25" x14ac:dyDescent="0.25">
      <c r="A2109" s="75" t="str">
        <f t="shared" si="75"/>
        <v>Pago_Hipoteca+Liquidez PF Premier PagHip Mas Liquidez Pago_Fijo_Puntual 8</v>
      </c>
      <c r="B2109" s="75" t="str">
        <f t="shared" si="74"/>
        <v>Pago_Hipoteca+Liquidez PF Premier PagHip Mas Liquidez Pago_Fijo_Puntual 8 0.106</v>
      </c>
      <c r="C2109" s="75" t="s">
        <v>174</v>
      </c>
      <c r="D2109" s="75" t="s">
        <v>132</v>
      </c>
      <c r="E2109" s="75" t="s">
        <v>143</v>
      </c>
      <c r="F2109" s="75" t="s">
        <v>187</v>
      </c>
      <c r="G2109" s="75"/>
      <c r="H2109" s="75"/>
      <c r="I2109" s="75" t="s">
        <v>171</v>
      </c>
      <c r="J2109" s="76">
        <v>8</v>
      </c>
      <c r="K2109" s="519">
        <v>3</v>
      </c>
      <c r="L2109" s="520">
        <v>15.6</v>
      </c>
      <c r="M2109" s="520">
        <v>16.260000000000002</v>
      </c>
      <c r="N2109" s="507">
        <v>0.106</v>
      </c>
      <c r="O2109" s="507">
        <v>0.10299999999999999</v>
      </c>
      <c r="P2109" s="507">
        <v>0.11799999999999999</v>
      </c>
      <c r="Q2109" s="78">
        <v>0.44</v>
      </c>
      <c r="R2109" s="78">
        <v>0.31740000000000002</v>
      </c>
      <c r="S2109" s="69">
        <v>2.5000000000000001E-2</v>
      </c>
      <c r="T2109" s="69">
        <v>0.01</v>
      </c>
      <c r="U2109" s="507">
        <v>0.85</v>
      </c>
      <c r="V2109" s="76">
        <v>0</v>
      </c>
      <c r="W2109" s="76">
        <v>0</v>
      </c>
      <c r="X2109" s="76"/>
      <c r="Y2109" s="519" t="s">
        <v>469</v>
      </c>
    </row>
    <row r="2110" spans="1:25" x14ac:dyDescent="0.25">
      <c r="A2110" s="75" t="str">
        <f t="shared" si="75"/>
        <v>Pago_Hipoteca+Liquidez PF Premier PagHip Mas Liquidez Pago_Fijo_Puntual Si 7</v>
      </c>
      <c r="B2110" s="75" t="str">
        <f t="shared" si="74"/>
        <v>Pago_Hipoteca+Liquidez PF Premier PagHip Mas Liquidez Pago_Fijo_Puntual Si 7 0.103</v>
      </c>
      <c r="C2110" s="75" t="s">
        <v>174</v>
      </c>
      <c r="D2110" s="75" t="s">
        <v>132</v>
      </c>
      <c r="E2110" s="75" t="s">
        <v>143</v>
      </c>
      <c r="F2110" s="75" t="s">
        <v>187</v>
      </c>
      <c r="G2110" s="75"/>
      <c r="H2110" s="75"/>
      <c r="I2110" s="75" t="s">
        <v>171</v>
      </c>
      <c r="J2110" s="76">
        <v>7</v>
      </c>
      <c r="K2110" s="519" t="s">
        <v>387</v>
      </c>
      <c r="L2110" s="520">
        <v>16.84</v>
      </c>
      <c r="M2110" s="520">
        <v>17.5</v>
      </c>
      <c r="N2110" s="507">
        <v>0.10299999999999999</v>
      </c>
      <c r="O2110" s="507">
        <v>0.1</v>
      </c>
      <c r="P2110" s="507">
        <v>0.112</v>
      </c>
      <c r="Q2110" s="78">
        <v>0.44</v>
      </c>
      <c r="R2110" s="78">
        <v>0.31740000000000002</v>
      </c>
      <c r="S2110" s="69">
        <v>2.5000000000000001E-2</v>
      </c>
      <c r="T2110" s="69">
        <v>0.01</v>
      </c>
      <c r="U2110" s="507">
        <v>0.85</v>
      </c>
      <c r="V2110" s="76">
        <v>0</v>
      </c>
      <c r="W2110" s="76">
        <v>0</v>
      </c>
      <c r="X2110" s="76" t="s">
        <v>147</v>
      </c>
      <c r="Y2110" s="519" t="s">
        <v>469</v>
      </c>
    </row>
    <row r="2111" spans="1:25" x14ac:dyDescent="0.25">
      <c r="A2111" s="75" t="str">
        <f t="shared" si="75"/>
        <v>Pago_Hipoteca+Liquidez PF Premier PagHip Mas Liquidez Pago_Fijo_Puntual 7</v>
      </c>
      <c r="B2111" s="75" t="str">
        <f t="shared" si="74"/>
        <v>Pago_Hipoteca+Liquidez PF Premier PagHip Mas Liquidez Pago_Fijo_Puntual 7 0.106</v>
      </c>
      <c r="C2111" s="75" t="s">
        <v>174</v>
      </c>
      <c r="D2111" s="75" t="s">
        <v>132</v>
      </c>
      <c r="E2111" s="75" t="s">
        <v>143</v>
      </c>
      <c r="F2111" s="75" t="s">
        <v>187</v>
      </c>
      <c r="G2111" s="75"/>
      <c r="H2111" s="75"/>
      <c r="I2111" s="75" t="s">
        <v>171</v>
      </c>
      <c r="J2111" s="76">
        <v>7</v>
      </c>
      <c r="K2111" s="519">
        <v>3</v>
      </c>
      <c r="L2111" s="520">
        <v>17</v>
      </c>
      <c r="M2111" s="520">
        <v>17.66</v>
      </c>
      <c r="N2111" s="507">
        <v>0.106</v>
      </c>
      <c r="O2111" s="507">
        <v>0.10299999999999999</v>
      </c>
      <c r="P2111" s="507">
        <v>0.11799999999999999</v>
      </c>
      <c r="Q2111" s="78">
        <v>0.44</v>
      </c>
      <c r="R2111" s="78">
        <v>0.31740000000000002</v>
      </c>
      <c r="S2111" s="69">
        <v>2.5000000000000001E-2</v>
      </c>
      <c r="T2111" s="69">
        <v>0.01</v>
      </c>
      <c r="U2111" s="507">
        <v>0.85</v>
      </c>
      <c r="V2111" s="76">
        <v>0</v>
      </c>
      <c r="W2111" s="76">
        <v>0</v>
      </c>
      <c r="X2111" s="76"/>
      <c r="Y2111" s="519" t="s">
        <v>469</v>
      </c>
    </row>
    <row r="2112" spans="1:25" x14ac:dyDescent="0.25">
      <c r="A2112" s="75" t="str">
        <f t="shared" si="75"/>
        <v>Pago_Hipoteca+Liquidez PF Premier PagHip Mas Liquidez Pago_Fijo_Puntual Si 6</v>
      </c>
      <c r="B2112" s="75" t="str">
        <f t="shared" si="74"/>
        <v>Pago_Hipoteca+Liquidez PF Premier PagHip Mas Liquidez Pago_Fijo_Puntual Si 6 0.103</v>
      </c>
      <c r="C2112" s="75" t="s">
        <v>174</v>
      </c>
      <c r="D2112" s="75" t="s">
        <v>132</v>
      </c>
      <c r="E2112" s="75" t="s">
        <v>143</v>
      </c>
      <c r="F2112" s="75" t="s">
        <v>187</v>
      </c>
      <c r="G2112" s="75"/>
      <c r="H2112" s="75"/>
      <c r="I2112" s="75" t="s">
        <v>171</v>
      </c>
      <c r="J2112" s="76">
        <v>6</v>
      </c>
      <c r="K2112" s="519" t="s">
        <v>387</v>
      </c>
      <c r="L2112" s="520">
        <v>18.739999999999998</v>
      </c>
      <c r="M2112" s="520">
        <v>19.399999999999999</v>
      </c>
      <c r="N2112" s="507">
        <v>0.10299999999999999</v>
      </c>
      <c r="O2112" s="507">
        <v>0.1</v>
      </c>
      <c r="P2112" s="507">
        <v>0.112</v>
      </c>
      <c r="Q2112" s="78">
        <v>0.44</v>
      </c>
      <c r="R2112" s="78">
        <v>0.31740000000000002</v>
      </c>
      <c r="S2112" s="69">
        <v>2.5000000000000001E-2</v>
      </c>
      <c r="T2112" s="69">
        <v>0.01</v>
      </c>
      <c r="U2112" s="507">
        <v>0.85</v>
      </c>
      <c r="V2112" s="76">
        <v>0</v>
      </c>
      <c r="W2112" s="76">
        <v>0</v>
      </c>
      <c r="X2112" s="76" t="s">
        <v>147</v>
      </c>
      <c r="Y2112" s="519" t="s">
        <v>469</v>
      </c>
    </row>
    <row r="2113" spans="1:25" x14ac:dyDescent="0.25">
      <c r="A2113" s="75" t="str">
        <f t="shared" si="75"/>
        <v>Pago_Hipoteca+Liquidez PF Premier PagHip Mas Liquidez Pago_Fijo_Puntual 6</v>
      </c>
      <c r="B2113" s="75" t="str">
        <f t="shared" si="74"/>
        <v>Pago_Hipoteca+Liquidez PF Premier PagHip Mas Liquidez Pago_Fijo_Puntual 6 0.106</v>
      </c>
      <c r="C2113" s="75" t="s">
        <v>174</v>
      </c>
      <c r="D2113" s="75" t="s">
        <v>132</v>
      </c>
      <c r="E2113" s="75" t="s">
        <v>143</v>
      </c>
      <c r="F2113" s="75" t="s">
        <v>187</v>
      </c>
      <c r="G2113" s="75"/>
      <c r="H2113" s="75"/>
      <c r="I2113" s="75" t="s">
        <v>171</v>
      </c>
      <c r="J2113" s="76">
        <v>6</v>
      </c>
      <c r="K2113" s="519">
        <v>3</v>
      </c>
      <c r="L2113" s="520">
        <v>18.89</v>
      </c>
      <c r="M2113" s="520">
        <v>19.55</v>
      </c>
      <c r="N2113" s="507">
        <v>0.106</v>
      </c>
      <c r="O2113" s="507">
        <v>0.10299999999999999</v>
      </c>
      <c r="P2113" s="507">
        <v>0.11799999999999999</v>
      </c>
      <c r="Q2113" s="78">
        <v>0.44</v>
      </c>
      <c r="R2113" s="78">
        <v>0.31740000000000002</v>
      </c>
      <c r="S2113" s="69">
        <v>2.5000000000000001E-2</v>
      </c>
      <c r="T2113" s="69">
        <v>0.01</v>
      </c>
      <c r="U2113" s="507">
        <v>0.85</v>
      </c>
      <c r="V2113" s="76">
        <v>0</v>
      </c>
      <c r="W2113" s="76">
        <v>0</v>
      </c>
      <c r="X2113" s="76"/>
      <c r="Y2113" s="519" t="s">
        <v>469</v>
      </c>
    </row>
    <row r="2114" spans="1:25" x14ac:dyDescent="0.25">
      <c r="A2114" s="75" t="str">
        <f t="shared" si="75"/>
        <v>Pago_Hipoteca+Liquidez PF Premier PagHip Mas Liquidez Pago_Fijo_Puntual Si 5</v>
      </c>
      <c r="B2114" s="75" t="str">
        <f t="shared" si="74"/>
        <v>Pago_Hipoteca+Liquidez PF Premier PagHip Mas Liquidez Pago_Fijo_Puntual Si 5 0.103</v>
      </c>
      <c r="C2114" s="75" t="s">
        <v>174</v>
      </c>
      <c r="D2114" s="75" t="s">
        <v>132</v>
      </c>
      <c r="E2114" s="75" t="s">
        <v>143</v>
      </c>
      <c r="F2114" s="75" t="s">
        <v>187</v>
      </c>
      <c r="G2114" s="75"/>
      <c r="H2114" s="75"/>
      <c r="I2114" s="75" t="s">
        <v>171</v>
      </c>
      <c r="J2114" s="76">
        <v>5</v>
      </c>
      <c r="K2114" s="519" t="s">
        <v>387</v>
      </c>
      <c r="L2114" s="520">
        <v>21.44</v>
      </c>
      <c r="M2114" s="520">
        <v>22.1</v>
      </c>
      <c r="N2114" s="507">
        <v>0.10299999999999999</v>
      </c>
      <c r="O2114" s="507">
        <v>0.1</v>
      </c>
      <c r="P2114" s="507">
        <v>0.112</v>
      </c>
      <c r="Q2114" s="78">
        <v>0.44</v>
      </c>
      <c r="R2114" s="78">
        <v>0.31740000000000002</v>
      </c>
      <c r="S2114" s="69">
        <v>2.5000000000000001E-2</v>
      </c>
      <c r="T2114" s="69">
        <v>0.01</v>
      </c>
      <c r="U2114" s="507">
        <v>0.85</v>
      </c>
      <c r="V2114" s="76">
        <v>0</v>
      </c>
      <c r="W2114" s="76">
        <v>0</v>
      </c>
      <c r="X2114" s="76" t="s">
        <v>147</v>
      </c>
      <c r="Y2114" s="519" t="s">
        <v>469</v>
      </c>
    </row>
    <row r="2115" spans="1:25" x14ac:dyDescent="0.25">
      <c r="A2115" s="75" t="str">
        <f t="shared" si="75"/>
        <v>Pago_Hipoteca+Liquidez PF Premier PagHip Mas Liquidez Pago_Fijo_Puntual 5</v>
      </c>
      <c r="B2115" s="75" t="str">
        <f t="shared" si="74"/>
        <v>Pago_Hipoteca+Liquidez PF Premier PagHip Mas Liquidez Pago_Fijo_Puntual 5 0.106</v>
      </c>
      <c r="C2115" s="75" t="s">
        <v>174</v>
      </c>
      <c r="D2115" s="75" t="s">
        <v>132</v>
      </c>
      <c r="E2115" s="75" t="s">
        <v>143</v>
      </c>
      <c r="F2115" s="75" t="s">
        <v>187</v>
      </c>
      <c r="G2115" s="75"/>
      <c r="H2115" s="75"/>
      <c r="I2115" s="75" t="s">
        <v>171</v>
      </c>
      <c r="J2115" s="76">
        <v>5</v>
      </c>
      <c r="K2115" s="519">
        <v>3</v>
      </c>
      <c r="L2115" s="520">
        <v>21.58</v>
      </c>
      <c r="M2115" s="520">
        <v>22.24</v>
      </c>
      <c r="N2115" s="507">
        <v>0.106</v>
      </c>
      <c r="O2115" s="507">
        <v>0.10299999999999999</v>
      </c>
      <c r="P2115" s="507">
        <v>0.11799999999999999</v>
      </c>
      <c r="Q2115" s="78">
        <v>0.44</v>
      </c>
      <c r="R2115" s="78">
        <v>0.31740000000000002</v>
      </c>
      <c r="S2115" s="69">
        <v>2.5000000000000001E-2</v>
      </c>
      <c r="T2115" s="69">
        <v>0.01</v>
      </c>
      <c r="U2115" s="507">
        <v>0.85</v>
      </c>
      <c r="V2115" s="76">
        <v>0</v>
      </c>
      <c r="W2115" s="76">
        <v>0</v>
      </c>
      <c r="X2115" s="76"/>
      <c r="Y2115" s="519" t="s">
        <v>469</v>
      </c>
    </row>
    <row r="2116" spans="1:25" x14ac:dyDescent="0.25">
      <c r="A2116" s="75" t="str">
        <f t="shared" si="75"/>
        <v>Pago_Hipoteca+Liquidez PF Premier PagHip Mas Liquidez Pago_Fijo_Puntual 20</v>
      </c>
      <c r="B2116" s="75" t="str">
        <f t="shared" si="74"/>
        <v>Pago_Hipoteca+Liquidez PF Premier PagHip Mas Liquidez Pago_Fijo_Puntual 20 0.0965</v>
      </c>
      <c r="C2116" s="75" t="s">
        <v>174</v>
      </c>
      <c r="D2116" s="75" t="s">
        <v>132</v>
      </c>
      <c r="E2116" s="75" t="s">
        <v>143</v>
      </c>
      <c r="F2116" s="75" t="s">
        <v>187</v>
      </c>
      <c r="G2116" s="75"/>
      <c r="H2116" s="75"/>
      <c r="I2116" s="75" t="s">
        <v>171</v>
      </c>
      <c r="J2116" s="76">
        <v>20</v>
      </c>
      <c r="K2116" s="516" t="s">
        <v>385</v>
      </c>
      <c r="L2116" s="517">
        <v>9.66</v>
      </c>
      <c r="M2116" s="517">
        <v>10.32</v>
      </c>
      <c r="N2116" s="518">
        <v>9.6500000000000002E-2</v>
      </c>
      <c r="O2116" s="518">
        <v>9.1999999999999998E-2</v>
      </c>
      <c r="P2116" s="518">
        <v>0.10249999999999999</v>
      </c>
      <c r="Q2116" s="78">
        <v>0.44</v>
      </c>
      <c r="R2116" s="78">
        <v>0.31740000000000002</v>
      </c>
      <c r="S2116" s="69">
        <v>2.5000000000000001E-2</v>
      </c>
      <c r="T2116" s="69">
        <v>0.01</v>
      </c>
      <c r="U2116" s="518">
        <v>0.7</v>
      </c>
      <c r="V2116" s="76">
        <v>0</v>
      </c>
      <c r="W2116" s="76">
        <v>0</v>
      </c>
      <c r="X2116" s="76"/>
      <c r="Y2116" s="516" t="s">
        <v>470</v>
      </c>
    </row>
    <row r="2117" spans="1:25" x14ac:dyDescent="0.25">
      <c r="A2117" s="75" t="str">
        <f t="shared" si="75"/>
        <v>Pago_Hipoteca+Liquidez PF Premier PagHip Mas Liquidez Pago_Fijo_Puntual 20</v>
      </c>
      <c r="B2117" s="75" t="str">
        <f t="shared" si="74"/>
        <v>Pago_Hipoteca+Liquidez PF Premier PagHip Mas Liquidez Pago_Fijo_Puntual 20 0.103</v>
      </c>
      <c r="C2117" s="75" t="s">
        <v>174</v>
      </c>
      <c r="D2117" s="75" t="s">
        <v>132</v>
      </c>
      <c r="E2117" s="75" t="s">
        <v>143</v>
      </c>
      <c r="F2117" s="75" t="s">
        <v>187</v>
      </c>
      <c r="G2117" s="75"/>
      <c r="H2117" s="75"/>
      <c r="I2117" s="75" t="s">
        <v>171</v>
      </c>
      <c r="J2117" s="76">
        <v>20</v>
      </c>
      <c r="K2117" s="516" t="s">
        <v>386</v>
      </c>
      <c r="L2117" s="517">
        <v>10.16</v>
      </c>
      <c r="M2117" s="517">
        <v>10.82</v>
      </c>
      <c r="N2117" s="518">
        <v>0.10299999999999999</v>
      </c>
      <c r="O2117" s="518">
        <v>0.1</v>
      </c>
      <c r="P2117" s="518">
        <v>0.112</v>
      </c>
      <c r="Q2117" s="78">
        <v>0.44</v>
      </c>
      <c r="R2117" s="78">
        <v>0.31740000000000002</v>
      </c>
      <c r="S2117" s="69">
        <v>2.5000000000000001E-2</v>
      </c>
      <c r="T2117" s="69">
        <v>0.01</v>
      </c>
      <c r="U2117" s="518">
        <v>0.7</v>
      </c>
      <c r="V2117" s="76">
        <v>0</v>
      </c>
      <c r="W2117" s="76">
        <v>0</v>
      </c>
      <c r="X2117" s="76"/>
      <c r="Y2117" s="516" t="s">
        <v>470</v>
      </c>
    </row>
    <row r="2118" spans="1:25" x14ac:dyDescent="0.25">
      <c r="A2118" s="75" t="str">
        <f t="shared" si="75"/>
        <v>Pago_Hipoteca+Liquidez PF Premier PagHip Mas Liquidez Pago_Fijo_Puntual 19</v>
      </c>
      <c r="B2118" s="75" t="str">
        <f t="shared" si="74"/>
        <v>Pago_Hipoteca+Liquidez PF Premier PagHip Mas Liquidez Pago_Fijo_Puntual 19 0.0965</v>
      </c>
      <c r="C2118" s="75" t="s">
        <v>174</v>
      </c>
      <c r="D2118" s="75" t="s">
        <v>132</v>
      </c>
      <c r="E2118" s="75" t="s">
        <v>143</v>
      </c>
      <c r="F2118" s="75" t="s">
        <v>187</v>
      </c>
      <c r="G2118" s="75"/>
      <c r="H2118" s="75"/>
      <c r="I2118" s="75" t="s">
        <v>171</v>
      </c>
      <c r="J2118" s="76">
        <v>19</v>
      </c>
      <c r="K2118" s="516" t="s">
        <v>385</v>
      </c>
      <c r="L2118" s="517">
        <v>9.82</v>
      </c>
      <c r="M2118" s="517">
        <v>10.48</v>
      </c>
      <c r="N2118" s="518">
        <v>9.6500000000000002E-2</v>
      </c>
      <c r="O2118" s="518">
        <v>9.1999999999999998E-2</v>
      </c>
      <c r="P2118" s="518">
        <v>0.10249999999999999</v>
      </c>
      <c r="Q2118" s="78">
        <v>0.44</v>
      </c>
      <c r="R2118" s="78">
        <v>0.31740000000000002</v>
      </c>
      <c r="S2118" s="69">
        <v>2.5000000000000001E-2</v>
      </c>
      <c r="T2118" s="69">
        <v>0.01</v>
      </c>
      <c r="U2118" s="518">
        <v>0.7</v>
      </c>
      <c r="V2118" s="76">
        <v>0</v>
      </c>
      <c r="W2118" s="76">
        <v>0</v>
      </c>
      <c r="X2118" s="76"/>
      <c r="Y2118" s="516" t="s">
        <v>470</v>
      </c>
    </row>
    <row r="2119" spans="1:25" x14ac:dyDescent="0.25">
      <c r="A2119" s="75" t="str">
        <f t="shared" si="75"/>
        <v>Pago_Hipoteca+Liquidez PF Premier PagHip Mas Liquidez Pago_Fijo_Puntual 19</v>
      </c>
      <c r="B2119" s="75" t="str">
        <f t="shared" si="74"/>
        <v>Pago_Hipoteca+Liquidez PF Premier PagHip Mas Liquidez Pago_Fijo_Puntual 19 0.103</v>
      </c>
      <c r="C2119" s="75" t="s">
        <v>174</v>
      </c>
      <c r="D2119" s="75" t="s">
        <v>132</v>
      </c>
      <c r="E2119" s="75" t="s">
        <v>143</v>
      </c>
      <c r="F2119" s="75" t="s">
        <v>187</v>
      </c>
      <c r="G2119" s="75"/>
      <c r="H2119" s="75"/>
      <c r="I2119" s="75" t="s">
        <v>171</v>
      </c>
      <c r="J2119" s="76">
        <v>19</v>
      </c>
      <c r="K2119" s="516" t="s">
        <v>386</v>
      </c>
      <c r="L2119" s="517">
        <v>10.3</v>
      </c>
      <c r="M2119" s="517">
        <v>10.96</v>
      </c>
      <c r="N2119" s="518">
        <v>0.10299999999999999</v>
      </c>
      <c r="O2119" s="518">
        <v>0.1</v>
      </c>
      <c r="P2119" s="518">
        <v>0.112</v>
      </c>
      <c r="Q2119" s="78">
        <v>0.44</v>
      </c>
      <c r="R2119" s="78">
        <v>0.31740000000000002</v>
      </c>
      <c r="S2119" s="69">
        <v>2.5000000000000001E-2</v>
      </c>
      <c r="T2119" s="69">
        <v>0.01</v>
      </c>
      <c r="U2119" s="518">
        <v>0.7</v>
      </c>
      <c r="V2119" s="76">
        <v>0</v>
      </c>
      <c r="W2119" s="76">
        <v>0</v>
      </c>
      <c r="X2119" s="76"/>
      <c r="Y2119" s="516" t="s">
        <v>470</v>
      </c>
    </row>
    <row r="2120" spans="1:25" x14ac:dyDescent="0.25">
      <c r="A2120" s="75" t="str">
        <f t="shared" si="75"/>
        <v>Pago_Hipoteca+Liquidez PF Premier PagHip Mas Liquidez Pago_Fijo_Puntual 18</v>
      </c>
      <c r="B2120" s="75" t="str">
        <f t="shared" si="74"/>
        <v>Pago_Hipoteca+Liquidez PF Premier PagHip Mas Liquidez Pago_Fijo_Puntual 18 0.0965</v>
      </c>
      <c r="C2120" s="75" t="s">
        <v>174</v>
      </c>
      <c r="D2120" s="75" t="s">
        <v>132</v>
      </c>
      <c r="E2120" s="75" t="s">
        <v>143</v>
      </c>
      <c r="F2120" s="75" t="s">
        <v>187</v>
      </c>
      <c r="G2120" s="75"/>
      <c r="H2120" s="75"/>
      <c r="I2120" s="75" t="s">
        <v>171</v>
      </c>
      <c r="J2120" s="76">
        <v>18</v>
      </c>
      <c r="K2120" s="516" t="s">
        <v>385</v>
      </c>
      <c r="L2120" s="517">
        <v>10</v>
      </c>
      <c r="M2120" s="517">
        <v>10.66</v>
      </c>
      <c r="N2120" s="518">
        <v>9.6500000000000002E-2</v>
      </c>
      <c r="O2120" s="518">
        <v>9.1999999999999998E-2</v>
      </c>
      <c r="P2120" s="518">
        <v>0.10249999999999999</v>
      </c>
      <c r="Q2120" s="78">
        <v>0.44</v>
      </c>
      <c r="R2120" s="78">
        <v>0.31740000000000002</v>
      </c>
      <c r="S2120" s="69">
        <v>2.5000000000000001E-2</v>
      </c>
      <c r="T2120" s="69">
        <v>0.01</v>
      </c>
      <c r="U2120" s="518">
        <v>0.7</v>
      </c>
      <c r="V2120" s="76">
        <v>0</v>
      </c>
      <c r="W2120" s="76">
        <v>0</v>
      </c>
      <c r="X2120" s="76"/>
      <c r="Y2120" s="516" t="s">
        <v>470</v>
      </c>
    </row>
    <row r="2121" spans="1:25" x14ac:dyDescent="0.25">
      <c r="A2121" s="75" t="str">
        <f t="shared" si="75"/>
        <v>Pago_Hipoteca+Liquidez PF Premier PagHip Mas Liquidez Pago_Fijo_Puntual 18</v>
      </c>
      <c r="B2121" s="75" t="str">
        <f t="shared" si="74"/>
        <v>Pago_Hipoteca+Liquidez PF Premier PagHip Mas Liquidez Pago_Fijo_Puntual 18 0.103</v>
      </c>
      <c r="C2121" s="75" t="s">
        <v>174</v>
      </c>
      <c r="D2121" s="75" t="s">
        <v>132</v>
      </c>
      <c r="E2121" s="75" t="s">
        <v>143</v>
      </c>
      <c r="F2121" s="75" t="s">
        <v>187</v>
      </c>
      <c r="G2121" s="75"/>
      <c r="H2121" s="75"/>
      <c r="I2121" s="75" t="s">
        <v>171</v>
      </c>
      <c r="J2121" s="76">
        <v>18</v>
      </c>
      <c r="K2121" s="516" t="s">
        <v>386</v>
      </c>
      <c r="L2121" s="517">
        <v>10.47</v>
      </c>
      <c r="M2121" s="517">
        <v>11.13</v>
      </c>
      <c r="N2121" s="518">
        <v>0.10299999999999999</v>
      </c>
      <c r="O2121" s="518">
        <v>0.1</v>
      </c>
      <c r="P2121" s="518">
        <v>0.112</v>
      </c>
      <c r="Q2121" s="78">
        <v>0.44</v>
      </c>
      <c r="R2121" s="78">
        <v>0.31740000000000002</v>
      </c>
      <c r="S2121" s="69">
        <v>2.5000000000000001E-2</v>
      </c>
      <c r="T2121" s="69">
        <v>0.01</v>
      </c>
      <c r="U2121" s="518">
        <v>0.7</v>
      </c>
      <c r="V2121" s="76">
        <v>0</v>
      </c>
      <c r="W2121" s="76">
        <v>0</v>
      </c>
      <c r="X2121" s="76"/>
      <c r="Y2121" s="516" t="s">
        <v>470</v>
      </c>
    </row>
    <row r="2122" spans="1:25" x14ac:dyDescent="0.25">
      <c r="A2122" s="75" t="str">
        <f t="shared" si="75"/>
        <v>Pago_Hipoteca+Liquidez PF Premier PagHip Mas Liquidez Pago_Fijo_Puntual 17</v>
      </c>
      <c r="B2122" s="75" t="str">
        <f t="shared" si="74"/>
        <v>Pago_Hipoteca+Liquidez PF Premier PagHip Mas Liquidez Pago_Fijo_Puntual 17 0.0965</v>
      </c>
      <c r="C2122" s="75" t="s">
        <v>174</v>
      </c>
      <c r="D2122" s="75" t="s">
        <v>132</v>
      </c>
      <c r="E2122" s="75" t="s">
        <v>143</v>
      </c>
      <c r="F2122" s="75" t="s">
        <v>187</v>
      </c>
      <c r="G2122" s="75"/>
      <c r="H2122" s="75"/>
      <c r="I2122" s="75" t="s">
        <v>171</v>
      </c>
      <c r="J2122" s="76">
        <v>17</v>
      </c>
      <c r="K2122" s="516" t="s">
        <v>385</v>
      </c>
      <c r="L2122" s="517">
        <v>10.210000000000001</v>
      </c>
      <c r="M2122" s="517">
        <v>10.87</v>
      </c>
      <c r="N2122" s="518">
        <v>9.6500000000000002E-2</v>
      </c>
      <c r="O2122" s="518">
        <v>9.1999999999999998E-2</v>
      </c>
      <c r="P2122" s="518">
        <v>0.10249999999999999</v>
      </c>
      <c r="Q2122" s="78">
        <v>0.44</v>
      </c>
      <c r="R2122" s="78">
        <v>0.31740000000000002</v>
      </c>
      <c r="S2122" s="69">
        <v>2.5000000000000001E-2</v>
      </c>
      <c r="T2122" s="69">
        <v>0.01</v>
      </c>
      <c r="U2122" s="518">
        <v>0.7</v>
      </c>
      <c r="V2122" s="76">
        <v>0</v>
      </c>
      <c r="W2122" s="76">
        <v>0</v>
      </c>
      <c r="X2122" s="76"/>
      <c r="Y2122" s="516" t="s">
        <v>470</v>
      </c>
    </row>
    <row r="2123" spans="1:25" x14ac:dyDescent="0.25">
      <c r="A2123" s="75" t="str">
        <f t="shared" si="75"/>
        <v>Pago_Hipoteca+Liquidez PF Premier PagHip Mas Liquidez Pago_Fijo_Puntual 17</v>
      </c>
      <c r="B2123" s="75" t="str">
        <f t="shared" si="74"/>
        <v>Pago_Hipoteca+Liquidez PF Premier PagHip Mas Liquidez Pago_Fijo_Puntual 17 0.103</v>
      </c>
      <c r="C2123" s="75" t="s">
        <v>174</v>
      </c>
      <c r="D2123" s="75" t="s">
        <v>132</v>
      </c>
      <c r="E2123" s="75" t="s">
        <v>143</v>
      </c>
      <c r="F2123" s="75" t="s">
        <v>187</v>
      </c>
      <c r="G2123" s="75"/>
      <c r="H2123" s="75"/>
      <c r="I2123" s="75" t="s">
        <v>171</v>
      </c>
      <c r="J2123" s="76">
        <v>17</v>
      </c>
      <c r="K2123" s="516" t="s">
        <v>386</v>
      </c>
      <c r="L2123" s="517">
        <v>10.67</v>
      </c>
      <c r="M2123" s="517">
        <v>11.33</v>
      </c>
      <c r="N2123" s="518">
        <v>0.10299999999999999</v>
      </c>
      <c r="O2123" s="518">
        <v>0.1</v>
      </c>
      <c r="P2123" s="518">
        <v>0.112</v>
      </c>
      <c r="Q2123" s="78">
        <v>0.44</v>
      </c>
      <c r="R2123" s="78">
        <v>0.31740000000000002</v>
      </c>
      <c r="S2123" s="69">
        <v>2.5000000000000001E-2</v>
      </c>
      <c r="T2123" s="69">
        <v>0.01</v>
      </c>
      <c r="U2123" s="518">
        <v>0.7</v>
      </c>
      <c r="V2123" s="76">
        <v>0</v>
      </c>
      <c r="W2123" s="76">
        <v>0</v>
      </c>
      <c r="X2123" s="76"/>
      <c r="Y2123" s="516" t="s">
        <v>470</v>
      </c>
    </row>
    <row r="2124" spans="1:25" x14ac:dyDescent="0.25">
      <c r="A2124" s="75" t="str">
        <f t="shared" si="75"/>
        <v>Pago_Hipoteca+Liquidez PF Premier PagHip Mas Liquidez Pago_Fijo_Puntual 16</v>
      </c>
      <c r="B2124" s="75" t="str">
        <f t="shared" si="74"/>
        <v>Pago_Hipoteca+Liquidez PF Premier PagHip Mas Liquidez Pago_Fijo_Puntual 16 0.0965</v>
      </c>
      <c r="C2124" s="75" t="s">
        <v>174</v>
      </c>
      <c r="D2124" s="75" t="s">
        <v>132</v>
      </c>
      <c r="E2124" s="75" t="s">
        <v>143</v>
      </c>
      <c r="F2124" s="75" t="s">
        <v>187</v>
      </c>
      <c r="G2124" s="75"/>
      <c r="H2124" s="75"/>
      <c r="I2124" s="75" t="s">
        <v>171</v>
      </c>
      <c r="J2124" s="76">
        <v>16</v>
      </c>
      <c r="K2124" s="516" t="s">
        <v>385</v>
      </c>
      <c r="L2124" s="517">
        <v>10.45</v>
      </c>
      <c r="M2124" s="517">
        <v>11.11</v>
      </c>
      <c r="N2124" s="518">
        <v>9.6500000000000002E-2</v>
      </c>
      <c r="O2124" s="518">
        <v>9.1999999999999998E-2</v>
      </c>
      <c r="P2124" s="518">
        <v>0.10249999999999999</v>
      </c>
      <c r="Q2124" s="78">
        <v>0.44</v>
      </c>
      <c r="R2124" s="78">
        <v>0.31740000000000002</v>
      </c>
      <c r="S2124" s="69">
        <v>2.5000000000000001E-2</v>
      </c>
      <c r="T2124" s="69">
        <v>0.01</v>
      </c>
      <c r="U2124" s="518">
        <v>0.7</v>
      </c>
      <c r="V2124" s="76">
        <v>0</v>
      </c>
      <c r="W2124" s="76">
        <v>0</v>
      </c>
      <c r="X2124" s="76"/>
      <c r="Y2124" s="516" t="s">
        <v>470</v>
      </c>
    </row>
    <row r="2125" spans="1:25" x14ac:dyDescent="0.25">
      <c r="A2125" s="75" t="str">
        <f t="shared" si="75"/>
        <v>Pago_Hipoteca+Liquidez PF Premier PagHip Mas Liquidez Pago_Fijo_Puntual 16</v>
      </c>
      <c r="B2125" s="75" t="str">
        <f t="shared" si="74"/>
        <v>Pago_Hipoteca+Liquidez PF Premier PagHip Mas Liquidez Pago_Fijo_Puntual 16 0.103</v>
      </c>
      <c r="C2125" s="75" t="s">
        <v>174</v>
      </c>
      <c r="D2125" s="75" t="s">
        <v>132</v>
      </c>
      <c r="E2125" s="75" t="s">
        <v>143</v>
      </c>
      <c r="F2125" s="75" t="s">
        <v>187</v>
      </c>
      <c r="G2125" s="75"/>
      <c r="H2125" s="75"/>
      <c r="I2125" s="75" t="s">
        <v>171</v>
      </c>
      <c r="J2125" s="76">
        <v>16</v>
      </c>
      <c r="K2125" s="516" t="s">
        <v>386</v>
      </c>
      <c r="L2125" s="517">
        <v>10.9</v>
      </c>
      <c r="M2125" s="517">
        <v>11.56</v>
      </c>
      <c r="N2125" s="518">
        <v>0.10299999999999999</v>
      </c>
      <c r="O2125" s="518">
        <v>0.1</v>
      </c>
      <c r="P2125" s="518">
        <v>0.112</v>
      </c>
      <c r="Q2125" s="78">
        <v>0.44</v>
      </c>
      <c r="R2125" s="78">
        <v>0.31740000000000002</v>
      </c>
      <c r="S2125" s="69">
        <v>2.5000000000000001E-2</v>
      </c>
      <c r="T2125" s="69">
        <v>0.01</v>
      </c>
      <c r="U2125" s="518">
        <v>0.7</v>
      </c>
      <c r="V2125" s="76">
        <v>0</v>
      </c>
      <c r="W2125" s="76">
        <v>0</v>
      </c>
      <c r="X2125" s="76"/>
      <c r="Y2125" s="516" t="s">
        <v>470</v>
      </c>
    </row>
    <row r="2126" spans="1:25" x14ac:dyDescent="0.25">
      <c r="A2126" s="75" t="str">
        <f t="shared" si="75"/>
        <v>Pago_Hipoteca+Liquidez PF Premier PagHip Mas Liquidez Pago_Fijo_Puntual 15</v>
      </c>
      <c r="B2126" s="75" t="str">
        <f t="shared" si="74"/>
        <v>Pago_Hipoteca+Liquidez PF Premier PagHip Mas Liquidez Pago_Fijo_Puntual 15 0.0965</v>
      </c>
      <c r="C2126" s="75" t="s">
        <v>174</v>
      </c>
      <c r="D2126" s="75" t="s">
        <v>132</v>
      </c>
      <c r="E2126" s="75" t="s">
        <v>143</v>
      </c>
      <c r="F2126" s="75" t="s">
        <v>187</v>
      </c>
      <c r="G2126" s="75"/>
      <c r="H2126" s="75"/>
      <c r="I2126" s="75" t="s">
        <v>171</v>
      </c>
      <c r="J2126" s="76">
        <v>15</v>
      </c>
      <c r="K2126" s="516" t="s">
        <v>385</v>
      </c>
      <c r="L2126" s="517">
        <v>10.73</v>
      </c>
      <c r="M2126" s="517">
        <v>11.39</v>
      </c>
      <c r="N2126" s="518">
        <v>9.6500000000000002E-2</v>
      </c>
      <c r="O2126" s="518">
        <v>9.1999999999999998E-2</v>
      </c>
      <c r="P2126" s="518">
        <v>0.10249999999999999</v>
      </c>
      <c r="Q2126" s="78">
        <v>0.44</v>
      </c>
      <c r="R2126" s="78">
        <v>0.31740000000000002</v>
      </c>
      <c r="S2126" s="69">
        <v>2.5000000000000001E-2</v>
      </c>
      <c r="T2126" s="69">
        <v>0.01</v>
      </c>
      <c r="U2126" s="518">
        <v>0.7</v>
      </c>
      <c r="V2126" s="76">
        <v>0</v>
      </c>
      <c r="W2126" s="76">
        <v>0</v>
      </c>
      <c r="X2126" s="76"/>
      <c r="Y2126" s="516" t="s">
        <v>470</v>
      </c>
    </row>
    <row r="2127" spans="1:25" x14ac:dyDescent="0.25">
      <c r="A2127" s="75" t="str">
        <f t="shared" si="75"/>
        <v>Pago_Hipoteca+Liquidez PF Premier PagHip Mas Liquidez Pago_Fijo_Puntual 15</v>
      </c>
      <c r="B2127" s="75" t="str">
        <f t="shared" si="74"/>
        <v>Pago_Hipoteca+Liquidez PF Premier PagHip Mas Liquidez Pago_Fijo_Puntual 15 0.103</v>
      </c>
      <c r="C2127" s="75" t="s">
        <v>174</v>
      </c>
      <c r="D2127" s="75" t="s">
        <v>132</v>
      </c>
      <c r="E2127" s="75" t="s">
        <v>143</v>
      </c>
      <c r="F2127" s="75" t="s">
        <v>187</v>
      </c>
      <c r="G2127" s="75"/>
      <c r="H2127" s="75"/>
      <c r="I2127" s="75" t="s">
        <v>171</v>
      </c>
      <c r="J2127" s="76">
        <v>15</v>
      </c>
      <c r="K2127" s="516" t="s">
        <v>386</v>
      </c>
      <c r="L2127" s="517">
        <v>11.18</v>
      </c>
      <c r="M2127" s="517">
        <v>11.84</v>
      </c>
      <c r="N2127" s="518">
        <v>0.10299999999999999</v>
      </c>
      <c r="O2127" s="518">
        <v>0.1</v>
      </c>
      <c r="P2127" s="518">
        <v>0.112</v>
      </c>
      <c r="Q2127" s="78">
        <v>0.44</v>
      </c>
      <c r="R2127" s="78">
        <v>0.31740000000000002</v>
      </c>
      <c r="S2127" s="69">
        <v>2.5000000000000001E-2</v>
      </c>
      <c r="T2127" s="69">
        <v>0.01</v>
      </c>
      <c r="U2127" s="518">
        <v>0.7</v>
      </c>
      <c r="V2127" s="76">
        <v>0</v>
      </c>
      <c r="W2127" s="76">
        <v>0</v>
      </c>
      <c r="X2127" s="76"/>
      <c r="Y2127" s="516" t="s">
        <v>470</v>
      </c>
    </row>
    <row r="2128" spans="1:25" x14ac:dyDescent="0.25">
      <c r="A2128" s="75" t="str">
        <f t="shared" si="75"/>
        <v>Pago_Hipoteca+Liquidez PF Premier PagHip Mas Liquidez Pago_Fijo_Puntual 14</v>
      </c>
      <c r="B2128" s="75" t="str">
        <f t="shared" si="74"/>
        <v>Pago_Hipoteca+Liquidez PF Premier PagHip Mas Liquidez Pago_Fijo_Puntual 14 0.0965</v>
      </c>
      <c r="C2128" s="75" t="s">
        <v>174</v>
      </c>
      <c r="D2128" s="75" t="s">
        <v>132</v>
      </c>
      <c r="E2128" s="75" t="s">
        <v>143</v>
      </c>
      <c r="F2128" s="75" t="s">
        <v>187</v>
      </c>
      <c r="G2128" s="75"/>
      <c r="H2128" s="75"/>
      <c r="I2128" s="75" t="s">
        <v>171</v>
      </c>
      <c r="J2128" s="76">
        <v>14</v>
      </c>
      <c r="K2128" s="516" t="s">
        <v>385</v>
      </c>
      <c r="L2128" s="517">
        <v>11.06</v>
      </c>
      <c r="M2128" s="517">
        <v>11.72</v>
      </c>
      <c r="N2128" s="518">
        <v>9.6500000000000002E-2</v>
      </c>
      <c r="O2128" s="518">
        <v>9.1999999999999998E-2</v>
      </c>
      <c r="P2128" s="518">
        <v>0.10249999999999999</v>
      </c>
      <c r="Q2128" s="78">
        <v>0.44</v>
      </c>
      <c r="R2128" s="78">
        <v>0.31740000000000002</v>
      </c>
      <c r="S2128" s="69">
        <v>2.5000000000000001E-2</v>
      </c>
      <c r="T2128" s="69">
        <v>0.01</v>
      </c>
      <c r="U2128" s="518">
        <v>0.7</v>
      </c>
      <c r="V2128" s="76">
        <v>0</v>
      </c>
      <c r="W2128" s="76">
        <v>0</v>
      </c>
      <c r="X2128" s="76"/>
      <c r="Y2128" s="516" t="s">
        <v>470</v>
      </c>
    </row>
    <row r="2129" spans="1:25" x14ac:dyDescent="0.25">
      <c r="A2129" s="75" t="str">
        <f t="shared" si="75"/>
        <v>Pago_Hipoteca+Liquidez PF Premier PagHip Mas Liquidez Pago_Fijo_Puntual 14</v>
      </c>
      <c r="B2129" s="75" t="str">
        <f t="shared" si="74"/>
        <v>Pago_Hipoteca+Liquidez PF Premier PagHip Mas Liquidez Pago_Fijo_Puntual 14 0.103</v>
      </c>
      <c r="C2129" s="75" t="s">
        <v>174</v>
      </c>
      <c r="D2129" s="75" t="s">
        <v>132</v>
      </c>
      <c r="E2129" s="75" t="s">
        <v>143</v>
      </c>
      <c r="F2129" s="75" t="s">
        <v>187</v>
      </c>
      <c r="G2129" s="75"/>
      <c r="H2129" s="75"/>
      <c r="I2129" s="75" t="s">
        <v>171</v>
      </c>
      <c r="J2129" s="76">
        <v>14</v>
      </c>
      <c r="K2129" s="516" t="s">
        <v>386</v>
      </c>
      <c r="L2129" s="517">
        <v>11.49</v>
      </c>
      <c r="M2129" s="517">
        <v>12.15</v>
      </c>
      <c r="N2129" s="518">
        <v>0.10299999999999999</v>
      </c>
      <c r="O2129" s="518">
        <v>0.1</v>
      </c>
      <c r="P2129" s="518">
        <v>0.112</v>
      </c>
      <c r="Q2129" s="78">
        <v>0.44</v>
      </c>
      <c r="R2129" s="78">
        <v>0.31740000000000002</v>
      </c>
      <c r="S2129" s="69">
        <v>2.5000000000000001E-2</v>
      </c>
      <c r="T2129" s="69">
        <v>0.01</v>
      </c>
      <c r="U2129" s="518">
        <v>0.7</v>
      </c>
      <c r="V2129" s="76">
        <v>0</v>
      </c>
      <c r="W2129" s="76">
        <v>0</v>
      </c>
      <c r="X2129" s="76"/>
      <c r="Y2129" s="516" t="s">
        <v>470</v>
      </c>
    </row>
    <row r="2130" spans="1:25" x14ac:dyDescent="0.25">
      <c r="A2130" s="75" t="str">
        <f t="shared" si="75"/>
        <v>Pago_Hipoteca+Liquidez PF Premier PagHip Mas Liquidez Pago_Fijo_Puntual 13</v>
      </c>
      <c r="B2130" s="75" t="str">
        <f t="shared" si="74"/>
        <v>Pago_Hipoteca+Liquidez PF Premier PagHip Mas Liquidez Pago_Fijo_Puntual 13 0.0965</v>
      </c>
      <c r="C2130" s="75" t="s">
        <v>174</v>
      </c>
      <c r="D2130" s="75" t="s">
        <v>132</v>
      </c>
      <c r="E2130" s="75" t="s">
        <v>143</v>
      </c>
      <c r="F2130" s="75" t="s">
        <v>187</v>
      </c>
      <c r="G2130" s="75"/>
      <c r="H2130" s="75"/>
      <c r="I2130" s="75" t="s">
        <v>171</v>
      </c>
      <c r="J2130" s="76">
        <v>13</v>
      </c>
      <c r="K2130" s="516" t="s">
        <v>385</v>
      </c>
      <c r="L2130" s="517">
        <v>11.45</v>
      </c>
      <c r="M2130" s="517">
        <v>12.11</v>
      </c>
      <c r="N2130" s="518">
        <v>9.6500000000000002E-2</v>
      </c>
      <c r="O2130" s="518">
        <v>9.1999999999999998E-2</v>
      </c>
      <c r="P2130" s="518">
        <v>0.10249999999999999</v>
      </c>
      <c r="Q2130" s="78">
        <v>0.44</v>
      </c>
      <c r="R2130" s="78">
        <v>0.31740000000000002</v>
      </c>
      <c r="S2130" s="69">
        <v>2.5000000000000001E-2</v>
      </c>
      <c r="T2130" s="69">
        <v>0.01</v>
      </c>
      <c r="U2130" s="518">
        <v>0.7</v>
      </c>
      <c r="V2130" s="76">
        <v>0</v>
      </c>
      <c r="W2130" s="76">
        <v>0</v>
      </c>
      <c r="X2130" s="76"/>
      <c r="Y2130" s="516" t="s">
        <v>470</v>
      </c>
    </row>
    <row r="2131" spans="1:25" x14ac:dyDescent="0.25">
      <c r="A2131" s="75" t="str">
        <f t="shared" si="75"/>
        <v>Pago_Hipoteca+Liquidez PF Premier PagHip Mas Liquidez Pago_Fijo_Puntual 13</v>
      </c>
      <c r="B2131" s="75" t="str">
        <f t="shared" si="74"/>
        <v>Pago_Hipoteca+Liquidez PF Premier PagHip Mas Liquidez Pago_Fijo_Puntual 13 0.103</v>
      </c>
      <c r="C2131" s="75" t="s">
        <v>174</v>
      </c>
      <c r="D2131" s="75" t="s">
        <v>132</v>
      </c>
      <c r="E2131" s="75" t="s">
        <v>143</v>
      </c>
      <c r="F2131" s="75" t="s">
        <v>187</v>
      </c>
      <c r="G2131" s="75"/>
      <c r="H2131" s="75"/>
      <c r="I2131" s="75" t="s">
        <v>171</v>
      </c>
      <c r="J2131" s="76">
        <v>13</v>
      </c>
      <c r="K2131" s="516" t="s">
        <v>386</v>
      </c>
      <c r="L2131" s="517">
        <v>11.86</v>
      </c>
      <c r="M2131" s="517">
        <v>12.52</v>
      </c>
      <c r="N2131" s="518">
        <v>0.10299999999999999</v>
      </c>
      <c r="O2131" s="518">
        <v>0.1</v>
      </c>
      <c r="P2131" s="518">
        <v>0.112</v>
      </c>
      <c r="Q2131" s="78">
        <v>0.44</v>
      </c>
      <c r="R2131" s="78">
        <v>0.31740000000000002</v>
      </c>
      <c r="S2131" s="69">
        <v>2.5000000000000001E-2</v>
      </c>
      <c r="T2131" s="69">
        <v>0.01</v>
      </c>
      <c r="U2131" s="518">
        <v>0.7</v>
      </c>
      <c r="V2131" s="76">
        <v>0</v>
      </c>
      <c r="W2131" s="76">
        <v>0</v>
      </c>
      <c r="X2131" s="76"/>
      <c r="Y2131" s="516" t="s">
        <v>470</v>
      </c>
    </row>
    <row r="2132" spans="1:25" x14ac:dyDescent="0.25">
      <c r="A2132" s="75" t="str">
        <f t="shared" si="75"/>
        <v>Pago_Hipoteca+Liquidez PF Premier PagHip Mas Liquidez Pago_Fijo_Puntual 12</v>
      </c>
      <c r="B2132" s="75" t="str">
        <f t="shared" si="74"/>
        <v>Pago_Hipoteca+Liquidez PF Premier PagHip Mas Liquidez Pago_Fijo_Puntual 12 0.0965</v>
      </c>
      <c r="C2132" s="75" t="s">
        <v>174</v>
      </c>
      <c r="D2132" s="75" t="s">
        <v>132</v>
      </c>
      <c r="E2132" s="75" t="s">
        <v>143</v>
      </c>
      <c r="F2132" s="75" t="s">
        <v>187</v>
      </c>
      <c r="G2132" s="75"/>
      <c r="H2132" s="75"/>
      <c r="I2132" s="75" t="s">
        <v>171</v>
      </c>
      <c r="J2132" s="76">
        <v>12</v>
      </c>
      <c r="K2132" s="516" t="s">
        <v>385</v>
      </c>
      <c r="L2132" s="517">
        <v>11.91</v>
      </c>
      <c r="M2132" s="517">
        <v>12.57</v>
      </c>
      <c r="N2132" s="518">
        <v>9.6500000000000002E-2</v>
      </c>
      <c r="O2132" s="518">
        <v>9.1999999999999998E-2</v>
      </c>
      <c r="P2132" s="518">
        <v>0.10249999999999999</v>
      </c>
      <c r="Q2132" s="78">
        <v>0.44</v>
      </c>
      <c r="R2132" s="78">
        <v>0.31740000000000002</v>
      </c>
      <c r="S2132" s="69">
        <v>2.5000000000000001E-2</v>
      </c>
      <c r="T2132" s="69">
        <v>0.01</v>
      </c>
      <c r="U2132" s="518">
        <v>0.7</v>
      </c>
      <c r="V2132" s="76">
        <v>0</v>
      </c>
      <c r="W2132" s="76">
        <v>0</v>
      </c>
      <c r="X2132" s="76"/>
      <c r="Y2132" s="516" t="s">
        <v>470</v>
      </c>
    </row>
    <row r="2133" spans="1:25" x14ac:dyDescent="0.25">
      <c r="A2133" s="75" t="str">
        <f t="shared" si="75"/>
        <v>Pago_Hipoteca+Liquidez PF Premier PagHip Mas Liquidez Pago_Fijo_Puntual 12</v>
      </c>
      <c r="B2133" s="75" t="str">
        <f t="shared" si="74"/>
        <v>Pago_Hipoteca+Liquidez PF Premier PagHip Mas Liquidez Pago_Fijo_Puntual 12 0.103</v>
      </c>
      <c r="C2133" s="75" t="s">
        <v>174</v>
      </c>
      <c r="D2133" s="75" t="s">
        <v>132</v>
      </c>
      <c r="E2133" s="75" t="s">
        <v>143</v>
      </c>
      <c r="F2133" s="75" t="s">
        <v>187</v>
      </c>
      <c r="G2133" s="75"/>
      <c r="H2133" s="75"/>
      <c r="I2133" s="75" t="s">
        <v>171</v>
      </c>
      <c r="J2133" s="76">
        <v>12</v>
      </c>
      <c r="K2133" s="516" t="s">
        <v>386</v>
      </c>
      <c r="L2133" s="517">
        <v>12.31</v>
      </c>
      <c r="M2133" s="517">
        <v>12.97</v>
      </c>
      <c r="N2133" s="518">
        <v>0.10299999999999999</v>
      </c>
      <c r="O2133" s="518">
        <v>0.1</v>
      </c>
      <c r="P2133" s="518">
        <v>0.112</v>
      </c>
      <c r="Q2133" s="78">
        <v>0.44</v>
      </c>
      <c r="R2133" s="78">
        <v>0.31740000000000002</v>
      </c>
      <c r="S2133" s="69">
        <v>2.5000000000000001E-2</v>
      </c>
      <c r="T2133" s="69">
        <v>0.01</v>
      </c>
      <c r="U2133" s="518">
        <v>0.7</v>
      </c>
      <c r="V2133" s="76">
        <v>0</v>
      </c>
      <c r="W2133" s="76">
        <v>0</v>
      </c>
      <c r="X2133" s="76"/>
      <c r="Y2133" s="516" t="s">
        <v>470</v>
      </c>
    </row>
    <row r="2134" spans="1:25" x14ac:dyDescent="0.25">
      <c r="A2134" s="75" t="str">
        <f t="shared" si="75"/>
        <v>Pago_Hipoteca+Liquidez PF Premier PagHip Mas Liquidez Pago_Fijo_Puntual 11</v>
      </c>
      <c r="B2134" s="75" t="str">
        <f t="shared" si="74"/>
        <v>Pago_Hipoteca+Liquidez PF Premier PagHip Mas Liquidez Pago_Fijo_Puntual 11 0.0965</v>
      </c>
      <c r="C2134" s="75" t="s">
        <v>174</v>
      </c>
      <c r="D2134" s="75" t="s">
        <v>132</v>
      </c>
      <c r="E2134" s="75" t="s">
        <v>143</v>
      </c>
      <c r="F2134" s="75" t="s">
        <v>187</v>
      </c>
      <c r="G2134" s="75"/>
      <c r="H2134" s="75"/>
      <c r="I2134" s="75" t="s">
        <v>171</v>
      </c>
      <c r="J2134" s="76">
        <v>11</v>
      </c>
      <c r="K2134" s="516" t="s">
        <v>385</v>
      </c>
      <c r="L2134" s="517">
        <v>12.47</v>
      </c>
      <c r="M2134" s="517">
        <v>13.13</v>
      </c>
      <c r="N2134" s="518">
        <v>9.6500000000000002E-2</v>
      </c>
      <c r="O2134" s="518">
        <v>9.1999999999999998E-2</v>
      </c>
      <c r="P2134" s="518">
        <v>0.10249999999999999</v>
      </c>
      <c r="Q2134" s="78">
        <v>0.44</v>
      </c>
      <c r="R2134" s="78">
        <v>0.31740000000000002</v>
      </c>
      <c r="S2134" s="69">
        <v>2.5000000000000001E-2</v>
      </c>
      <c r="T2134" s="69">
        <v>0.01</v>
      </c>
      <c r="U2134" s="518">
        <v>0.7</v>
      </c>
      <c r="V2134" s="76">
        <v>0</v>
      </c>
      <c r="W2134" s="76">
        <v>0</v>
      </c>
      <c r="X2134" s="76"/>
      <c r="Y2134" s="516" t="s">
        <v>470</v>
      </c>
    </row>
    <row r="2135" spans="1:25" x14ac:dyDescent="0.25">
      <c r="A2135" s="75" t="str">
        <f t="shared" si="75"/>
        <v>Pago_Hipoteca+Liquidez PF Premier PagHip Mas Liquidez Pago_Fijo_Puntual 11</v>
      </c>
      <c r="B2135" s="75" t="str">
        <f t="shared" si="74"/>
        <v>Pago_Hipoteca+Liquidez PF Premier PagHip Mas Liquidez Pago_Fijo_Puntual 11 0.103</v>
      </c>
      <c r="C2135" s="75" t="s">
        <v>174</v>
      </c>
      <c r="D2135" s="75" t="s">
        <v>132</v>
      </c>
      <c r="E2135" s="75" t="s">
        <v>143</v>
      </c>
      <c r="F2135" s="75" t="s">
        <v>187</v>
      </c>
      <c r="G2135" s="75"/>
      <c r="H2135" s="75"/>
      <c r="I2135" s="75" t="s">
        <v>171</v>
      </c>
      <c r="J2135" s="76">
        <v>11</v>
      </c>
      <c r="K2135" s="516" t="s">
        <v>386</v>
      </c>
      <c r="L2135" s="517">
        <v>12.86</v>
      </c>
      <c r="M2135" s="517">
        <v>13.52</v>
      </c>
      <c r="N2135" s="518">
        <v>0.10299999999999999</v>
      </c>
      <c r="O2135" s="518">
        <v>0.1</v>
      </c>
      <c r="P2135" s="518">
        <v>0.112</v>
      </c>
      <c r="Q2135" s="78">
        <v>0.44</v>
      </c>
      <c r="R2135" s="78">
        <v>0.31740000000000002</v>
      </c>
      <c r="S2135" s="69">
        <v>2.5000000000000001E-2</v>
      </c>
      <c r="T2135" s="69">
        <v>0.01</v>
      </c>
      <c r="U2135" s="518">
        <v>0.7</v>
      </c>
      <c r="V2135" s="76">
        <v>0</v>
      </c>
      <c r="W2135" s="76">
        <v>0</v>
      </c>
      <c r="X2135" s="76"/>
      <c r="Y2135" s="516" t="s">
        <v>470</v>
      </c>
    </row>
    <row r="2136" spans="1:25" x14ac:dyDescent="0.25">
      <c r="A2136" s="75" t="str">
        <f t="shared" si="75"/>
        <v>Pago_Hipoteca+Liquidez PF Premier PagHip Mas Liquidez Pago_Fijo_Puntual 10</v>
      </c>
      <c r="B2136" s="75" t="str">
        <f t="shared" si="74"/>
        <v>Pago_Hipoteca+Liquidez PF Premier PagHip Mas Liquidez Pago_Fijo_Puntual 10 0.0965</v>
      </c>
      <c r="C2136" s="75" t="s">
        <v>174</v>
      </c>
      <c r="D2136" s="75" t="s">
        <v>132</v>
      </c>
      <c r="E2136" s="75" t="s">
        <v>143</v>
      </c>
      <c r="F2136" s="75" t="s">
        <v>187</v>
      </c>
      <c r="G2136" s="75"/>
      <c r="H2136" s="75"/>
      <c r="I2136" s="75" t="s">
        <v>171</v>
      </c>
      <c r="J2136" s="76">
        <v>10</v>
      </c>
      <c r="K2136" s="516" t="s">
        <v>385</v>
      </c>
      <c r="L2136" s="517">
        <v>13.16</v>
      </c>
      <c r="M2136" s="517">
        <v>13.82</v>
      </c>
      <c r="N2136" s="518">
        <v>9.6500000000000002E-2</v>
      </c>
      <c r="O2136" s="518">
        <v>9.1999999999999998E-2</v>
      </c>
      <c r="P2136" s="518">
        <v>0.10249999999999999</v>
      </c>
      <c r="Q2136" s="78">
        <v>0.44</v>
      </c>
      <c r="R2136" s="78">
        <v>0.31740000000000002</v>
      </c>
      <c r="S2136" s="69">
        <v>2.5000000000000001E-2</v>
      </c>
      <c r="T2136" s="69">
        <v>0.01</v>
      </c>
      <c r="U2136" s="518">
        <v>0.7</v>
      </c>
      <c r="V2136" s="76">
        <v>0</v>
      </c>
      <c r="W2136" s="76">
        <v>0</v>
      </c>
      <c r="X2136" s="76"/>
      <c r="Y2136" s="516" t="s">
        <v>470</v>
      </c>
    </row>
    <row r="2137" spans="1:25" x14ac:dyDescent="0.25">
      <c r="A2137" s="75" t="str">
        <f t="shared" si="75"/>
        <v>Pago_Hipoteca+Liquidez PF Premier PagHip Mas Liquidez Pago_Fijo_Puntual 10</v>
      </c>
      <c r="B2137" s="75" t="str">
        <f t="shared" si="74"/>
        <v>Pago_Hipoteca+Liquidez PF Premier PagHip Mas Liquidez Pago_Fijo_Puntual 10 0.103</v>
      </c>
      <c r="C2137" s="75" t="s">
        <v>174</v>
      </c>
      <c r="D2137" s="75" t="s">
        <v>132</v>
      </c>
      <c r="E2137" s="75" t="s">
        <v>143</v>
      </c>
      <c r="F2137" s="75" t="s">
        <v>187</v>
      </c>
      <c r="G2137" s="75"/>
      <c r="H2137" s="75"/>
      <c r="I2137" s="75" t="s">
        <v>171</v>
      </c>
      <c r="J2137" s="76">
        <v>10</v>
      </c>
      <c r="K2137" s="516" t="s">
        <v>386</v>
      </c>
      <c r="L2137" s="517">
        <v>13.54</v>
      </c>
      <c r="M2137" s="517">
        <v>14.2</v>
      </c>
      <c r="N2137" s="518">
        <v>0.10299999999999999</v>
      </c>
      <c r="O2137" s="518">
        <v>0.1</v>
      </c>
      <c r="P2137" s="518">
        <v>0.112</v>
      </c>
      <c r="Q2137" s="78">
        <v>0.44</v>
      </c>
      <c r="R2137" s="78">
        <v>0.31740000000000002</v>
      </c>
      <c r="S2137" s="69">
        <v>2.5000000000000001E-2</v>
      </c>
      <c r="T2137" s="69">
        <v>0.01</v>
      </c>
      <c r="U2137" s="518">
        <v>0.7</v>
      </c>
      <c r="V2137" s="76">
        <v>0</v>
      </c>
      <c r="W2137" s="76">
        <v>0</v>
      </c>
      <c r="X2137" s="76"/>
      <c r="Y2137" s="516" t="s">
        <v>470</v>
      </c>
    </row>
    <row r="2138" spans="1:25" x14ac:dyDescent="0.25">
      <c r="A2138" s="75" t="str">
        <f t="shared" si="75"/>
        <v>Pago_Hipoteca+Liquidez PF Premier PagHip Mas Liquidez Pago_Fijo_Puntual 9</v>
      </c>
      <c r="B2138" s="75" t="str">
        <f t="shared" si="74"/>
        <v>Pago_Hipoteca+Liquidez PF Premier PagHip Mas Liquidez Pago_Fijo_Puntual 9 0.0965</v>
      </c>
      <c r="C2138" s="75" t="s">
        <v>174</v>
      </c>
      <c r="D2138" s="75" t="s">
        <v>132</v>
      </c>
      <c r="E2138" s="75" t="s">
        <v>143</v>
      </c>
      <c r="F2138" s="75" t="s">
        <v>187</v>
      </c>
      <c r="G2138" s="75"/>
      <c r="H2138" s="75"/>
      <c r="I2138" s="75" t="s">
        <v>171</v>
      </c>
      <c r="J2138" s="76">
        <v>9</v>
      </c>
      <c r="K2138" s="516" t="s">
        <v>385</v>
      </c>
      <c r="L2138" s="517">
        <v>14.01</v>
      </c>
      <c r="M2138" s="517">
        <v>14.67</v>
      </c>
      <c r="N2138" s="518">
        <v>9.6500000000000002E-2</v>
      </c>
      <c r="O2138" s="518">
        <v>9.1999999999999998E-2</v>
      </c>
      <c r="P2138" s="518">
        <v>0.10249999999999999</v>
      </c>
      <c r="Q2138" s="78">
        <v>0.44</v>
      </c>
      <c r="R2138" s="78">
        <v>0.31740000000000002</v>
      </c>
      <c r="S2138" s="69">
        <v>2.5000000000000001E-2</v>
      </c>
      <c r="T2138" s="69">
        <v>0.01</v>
      </c>
      <c r="U2138" s="518">
        <v>0.7</v>
      </c>
      <c r="V2138" s="76">
        <v>0</v>
      </c>
      <c r="W2138" s="76">
        <v>0</v>
      </c>
      <c r="X2138" s="76"/>
      <c r="Y2138" s="516" t="s">
        <v>470</v>
      </c>
    </row>
    <row r="2139" spans="1:25" x14ac:dyDescent="0.25">
      <c r="A2139" s="75" t="str">
        <f t="shared" si="75"/>
        <v>Pago_Hipoteca+Liquidez PF Premier PagHip Mas Liquidez Pago_Fijo_Puntual 9</v>
      </c>
      <c r="B2139" s="75" t="str">
        <f t="shared" si="74"/>
        <v>Pago_Hipoteca+Liquidez PF Premier PagHip Mas Liquidez Pago_Fijo_Puntual 9 0.103</v>
      </c>
      <c r="C2139" s="75" t="s">
        <v>174</v>
      </c>
      <c r="D2139" s="75" t="s">
        <v>132</v>
      </c>
      <c r="E2139" s="75" t="s">
        <v>143</v>
      </c>
      <c r="F2139" s="75" t="s">
        <v>187</v>
      </c>
      <c r="G2139" s="75"/>
      <c r="H2139" s="75"/>
      <c r="I2139" s="75" t="s">
        <v>171</v>
      </c>
      <c r="J2139" s="76">
        <v>9</v>
      </c>
      <c r="K2139" s="516" t="s">
        <v>386</v>
      </c>
      <c r="L2139" s="517">
        <v>14.37</v>
      </c>
      <c r="M2139" s="517">
        <v>15.03</v>
      </c>
      <c r="N2139" s="518">
        <v>0.10299999999999999</v>
      </c>
      <c r="O2139" s="518">
        <v>0.1</v>
      </c>
      <c r="P2139" s="518">
        <v>0.112</v>
      </c>
      <c r="Q2139" s="78">
        <v>0.44</v>
      </c>
      <c r="R2139" s="78">
        <v>0.31740000000000002</v>
      </c>
      <c r="S2139" s="69">
        <v>2.5000000000000001E-2</v>
      </c>
      <c r="T2139" s="69">
        <v>0.01</v>
      </c>
      <c r="U2139" s="518">
        <v>0.7</v>
      </c>
      <c r="V2139" s="76">
        <v>0</v>
      </c>
      <c r="W2139" s="76">
        <v>0</v>
      </c>
      <c r="X2139" s="76"/>
      <c r="Y2139" s="516" t="s">
        <v>470</v>
      </c>
    </row>
    <row r="2140" spans="1:25" x14ac:dyDescent="0.25">
      <c r="A2140" s="75" t="str">
        <f t="shared" si="75"/>
        <v>Pago_Hipoteca+Liquidez PF Premier PagHip Mas Liquidez Pago_Fijo_Puntual 8</v>
      </c>
      <c r="B2140" s="75" t="str">
        <f t="shared" si="74"/>
        <v>Pago_Hipoteca+Liquidez PF Premier PagHip Mas Liquidez Pago_Fijo_Puntual 8 0.0965</v>
      </c>
      <c r="C2140" s="75" t="s">
        <v>174</v>
      </c>
      <c r="D2140" s="75" t="s">
        <v>132</v>
      </c>
      <c r="E2140" s="75" t="s">
        <v>143</v>
      </c>
      <c r="F2140" s="75" t="s">
        <v>187</v>
      </c>
      <c r="G2140" s="75"/>
      <c r="H2140" s="75"/>
      <c r="I2140" s="75" t="s">
        <v>171</v>
      </c>
      <c r="J2140" s="76">
        <v>8</v>
      </c>
      <c r="K2140" s="516" t="s">
        <v>385</v>
      </c>
      <c r="L2140" s="517">
        <v>15.09</v>
      </c>
      <c r="M2140" s="517">
        <v>15.75</v>
      </c>
      <c r="N2140" s="518">
        <v>9.6500000000000002E-2</v>
      </c>
      <c r="O2140" s="518">
        <v>9.1999999999999998E-2</v>
      </c>
      <c r="P2140" s="518">
        <v>0.10249999999999999</v>
      </c>
      <c r="Q2140" s="78">
        <v>0.44</v>
      </c>
      <c r="R2140" s="78">
        <v>0.31740000000000002</v>
      </c>
      <c r="S2140" s="69">
        <v>2.5000000000000001E-2</v>
      </c>
      <c r="T2140" s="69">
        <v>0.01</v>
      </c>
      <c r="U2140" s="518">
        <v>0.7</v>
      </c>
      <c r="V2140" s="76">
        <v>0</v>
      </c>
      <c r="W2140" s="76">
        <v>0</v>
      </c>
      <c r="X2140" s="76"/>
      <c r="Y2140" s="516" t="s">
        <v>470</v>
      </c>
    </row>
    <row r="2141" spans="1:25" x14ac:dyDescent="0.25">
      <c r="A2141" s="75" t="str">
        <f t="shared" si="75"/>
        <v>Pago_Hipoteca+Liquidez PF Premier PagHip Mas Liquidez Pago_Fijo_Puntual 8</v>
      </c>
      <c r="B2141" s="75" t="str">
        <f t="shared" si="74"/>
        <v>Pago_Hipoteca+Liquidez PF Premier PagHip Mas Liquidez Pago_Fijo_Puntual 8 0.103</v>
      </c>
      <c r="C2141" s="75" t="s">
        <v>174</v>
      </c>
      <c r="D2141" s="75" t="s">
        <v>132</v>
      </c>
      <c r="E2141" s="75" t="s">
        <v>143</v>
      </c>
      <c r="F2141" s="75" t="s">
        <v>187</v>
      </c>
      <c r="G2141" s="75"/>
      <c r="H2141" s="75"/>
      <c r="I2141" s="75" t="s">
        <v>171</v>
      </c>
      <c r="J2141" s="76">
        <v>8</v>
      </c>
      <c r="K2141" s="516" t="s">
        <v>386</v>
      </c>
      <c r="L2141" s="517">
        <v>15.44</v>
      </c>
      <c r="M2141" s="517">
        <v>16.100000000000001</v>
      </c>
      <c r="N2141" s="518">
        <v>0.10299999999999999</v>
      </c>
      <c r="O2141" s="518">
        <v>0.1</v>
      </c>
      <c r="P2141" s="518">
        <v>0.112</v>
      </c>
      <c r="Q2141" s="78">
        <v>0.44</v>
      </c>
      <c r="R2141" s="78">
        <v>0.31740000000000002</v>
      </c>
      <c r="S2141" s="69">
        <v>2.5000000000000001E-2</v>
      </c>
      <c r="T2141" s="69">
        <v>0.01</v>
      </c>
      <c r="U2141" s="518">
        <v>0.7</v>
      </c>
      <c r="V2141" s="76">
        <v>0</v>
      </c>
      <c r="W2141" s="76">
        <v>0</v>
      </c>
      <c r="X2141" s="76"/>
      <c r="Y2141" s="516" t="s">
        <v>470</v>
      </c>
    </row>
    <row r="2142" spans="1:25" x14ac:dyDescent="0.25">
      <c r="A2142" s="75" t="str">
        <f t="shared" si="75"/>
        <v>Pago_Hipoteca+Liquidez PF Premier PagHip Mas Liquidez Pago_Fijo_Puntual 7</v>
      </c>
      <c r="B2142" s="75" t="str">
        <f t="shared" si="74"/>
        <v>Pago_Hipoteca+Liquidez PF Premier PagHip Mas Liquidez Pago_Fijo_Puntual 7 0.0965</v>
      </c>
      <c r="C2142" s="75" t="s">
        <v>174</v>
      </c>
      <c r="D2142" s="75" t="s">
        <v>132</v>
      </c>
      <c r="E2142" s="75" t="s">
        <v>143</v>
      </c>
      <c r="F2142" s="75" t="s">
        <v>187</v>
      </c>
      <c r="G2142" s="75"/>
      <c r="H2142" s="75"/>
      <c r="I2142" s="75" t="s">
        <v>171</v>
      </c>
      <c r="J2142" s="76">
        <v>7</v>
      </c>
      <c r="K2142" s="516" t="s">
        <v>385</v>
      </c>
      <c r="L2142" s="517">
        <v>16.5</v>
      </c>
      <c r="M2142" s="517">
        <v>17.16</v>
      </c>
      <c r="N2142" s="518">
        <v>9.6500000000000002E-2</v>
      </c>
      <c r="O2142" s="518">
        <v>9.1999999999999998E-2</v>
      </c>
      <c r="P2142" s="518">
        <v>0.10249999999999999</v>
      </c>
      <c r="Q2142" s="78">
        <v>0.44</v>
      </c>
      <c r="R2142" s="78">
        <v>0.31740000000000002</v>
      </c>
      <c r="S2142" s="69">
        <v>2.5000000000000001E-2</v>
      </c>
      <c r="T2142" s="69">
        <v>0.01</v>
      </c>
      <c r="U2142" s="518">
        <v>0.7</v>
      </c>
      <c r="V2142" s="76">
        <v>0</v>
      </c>
      <c r="W2142" s="76">
        <v>0</v>
      </c>
      <c r="X2142" s="76"/>
      <c r="Y2142" s="516" t="s">
        <v>470</v>
      </c>
    </row>
    <row r="2143" spans="1:25" x14ac:dyDescent="0.25">
      <c r="A2143" s="75" t="str">
        <f t="shared" si="75"/>
        <v>Pago_Hipoteca+Liquidez PF Premier PagHip Mas Liquidez Pago_Fijo_Puntual 7</v>
      </c>
      <c r="B2143" s="75" t="str">
        <f t="shared" si="74"/>
        <v>Pago_Hipoteca+Liquidez PF Premier PagHip Mas Liquidez Pago_Fijo_Puntual 7 0.103</v>
      </c>
      <c r="C2143" s="75" t="s">
        <v>174</v>
      </c>
      <c r="D2143" s="75" t="s">
        <v>132</v>
      </c>
      <c r="E2143" s="75" t="s">
        <v>143</v>
      </c>
      <c r="F2143" s="75" t="s">
        <v>187</v>
      </c>
      <c r="G2143" s="75"/>
      <c r="H2143" s="75"/>
      <c r="I2143" s="75" t="s">
        <v>171</v>
      </c>
      <c r="J2143" s="76">
        <v>7</v>
      </c>
      <c r="K2143" s="516" t="s">
        <v>386</v>
      </c>
      <c r="L2143" s="517">
        <v>16.84</v>
      </c>
      <c r="M2143" s="517">
        <v>17.5</v>
      </c>
      <c r="N2143" s="518">
        <v>0.10299999999999999</v>
      </c>
      <c r="O2143" s="518">
        <v>0.1</v>
      </c>
      <c r="P2143" s="518">
        <v>0.112</v>
      </c>
      <c r="Q2143" s="78">
        <v>0.44</v>
      </c>
      <c r="R2143" s="78">
        <v>0.31740000000000002</v>
      </c>
      <c r="S2143" s="69">
        <v>2.5000000000000001E-2</v>
      </c>
      <c r="T2143" s="69">
        <v>0.01</v>
      </c>
      <c r="U2143" s="518">
        <v>0.7</v>
      </c>
      <c r="V2143" s="76">
        <v>0</v>
      </c>
      <c r="W2143" s="76">
        <v>0</v>
      </c>
      <c r="X2143" s="76"/>
      <c r="Y2143" s="516" t="s">
        <v>470</v>
      </c>
    </row>
    <row r="2144" spans="1:25" x14ac:dyDescent="0.25">
      <c r="A2144" s="75" t="str">
        <f t="shared" si="75"/>
        <v>Pago_Hipoteca+Liquidez PF Premier PagHip Mas Liquidez Pago_Fijo_Puntual 6</v>
      </c>
      <c r="B2144" s="75" t="str">
        <f t="shared" si="74"/>
        <v>Pago_Hipoteca+Liquidez PF Premier PagHip Mas Liquidez Pago_Fijo_Puntual 6 0.0965</v>
      </c>
      <c r="C2144" s="75" t="s">
        <v>174</v>
      </c>
      <c r="D2144" s="75" t="s">
        <v>132</v>
      </c>
      <c r="E2144" s="75" t="s">
        <v>143</v>
      </c>
      <c r="F2144" s="75" t="s">
        <v>187</v>
      </c>
      <c r="G2144" s="75"/>
      <c r="H2144" s="75"/>
      <c r="I2144" s="75" t="s">
        <v>171</v>
      </c>
      <c r="J2144" s="76">
        <v>6</v>
      </c>
      <c r="K2144" s="516" t="s">
        <v>385</v>
      </c>
      <c r="L2144" s="517">
        <v>18.41</v>
      </c>
      <c r="M2144" s="517">
        <v>19.07</v>
      </c>
      <c r="N2144" s="518">
        <v>9.6500000000000002E-2</v>
      </c>
      <c r="O2144" s="518">
        <v>9.1999999999999998E-2</v>
      </c>
      <c r="P2144" s="518">
        <v>0.10249999999999999</v>
      </c>
      <c r="Q2144" s="78">
        <v>0.44</v>
      </c>
      <c r="R2144" s="78">
        <v>0.31740000000000002</v>
      </c>
      <c r="S2144" s="69">
        <v>2.5000000000000001E-2</v>
      </c>
      <c r="T2144" s="69">
        <v>0.01</v>
      </c>
      <c r="U2144" s="518">
        <v>0.7</v>
      </c>
      <c r="V2144" s="76">
        <v>0</v>
      </c>
      <c r="W2144" s="76">
        <v>0</v>
      </c>
      <c r="X2144" s="76"/>
      <c r="Y2144" s="516" t="s">
        <v>470</v>
      </c>
    </row>
    <row r="2145" spans="1:25" x14ac:dyDescent="0.25">
      <c r="A2145" s="75" t="str">
        <f t="shared" si="75"/>
        <v>Pago_Hipoteca+Liquidez PF Premier PagHip Mas Liquidez Pago_Fijo_Puntual 6</v>
      </c>
      <c r="B2145" s="75" t="str">
        <f t="shared" si="74"/>
        <v>Pago_Hipoteca+Liquidez PF Premier PagHip Mas Liquidez Pago_Fijo_Puntual 6 0.103</v>
      </c>
      <c r="C2145" s="75" t="s">
        <v>174</v>
      </c>
      <c r="D2145" s="75" t="s">
        <v>132</v>
      </c>
      <c r="E2145" s="75" t="s">
        <v>143</v>
      </c>
      <c r="F2145" s="75" t="s">
        <v>187</v>
      </c>
      <c r="G2145" s="75"/>
      <c r="H2145" s="75"/>
      <c r="I2145" s="75" t="s">
        <v>171</v>
      </c>
      <c r="J2145" s="76">
        <v>6</v>
      </c>
      <c r="K2145" s="516" t="s">
        <v>386</v>
      </c>
      <c r="L2145" s="517">
        <v>18.739999999999998</v>
      </c>
      <c r="M2145" s="517">
        <v>19.399999999999999</v>
      </c>
      <c r="N2145" s="518">
        <v>0.10299999999999999</v>
      </c>
      <c r="O2145" s="518">
        <v>0.1</v>
      </c>
      <c r="P2145" s="518">
        <v>0.112</v>
      </c>
      <c r="Q2145" s="78">
        <v>0.44</v>
      </c>
      <c r="R2145" s="78">
        <v>0.31740000000000002</v>
      </c>
      <c r="S2145" s="69">
        <v>2.5000000000000001E-2</v>
      </c>
      <c r="T2145" s="69">
        <v>0.01</v>
      </c>
      <c r="U2145" s="518">
        <v>0.7</v>
      </c>
      <c r="V2145" s="76">
        <v>0</v>
      </c>
      <c r="W2145" s="76">
        <v>0</v>
      </c>
      <c r="X2145" s="76"/>
      <c r="Y2145" s="516" t="s">
        <v>470</v>
      </c>
    </row>
    <row r="2146" spans="1:25" x14ac:dyDescent="0.25">
      <c r="A2146" s="75" t="str">
        <f t="shared" si="75"/>
        <v>Pago_Hipoteca+Liquidez PF Premier PagHip Mas Liquidez Pago_Fijo_Puntual 5</v>
      </c>
      <c r="B2146" s="75" t="str">
        <f t="shared" si="74"/>
        <v>Pago_Hipoteca+Liquidez PF Premier PagHip Mas Liquidez Pago_Fijo_Puntual 5 0.0965</v>
      </c>
      <c r="C2146" s="75" t="s">
        <v>174</v>
      </c>
      <c r="D2146" s="75" t="s">
        <v>132</v>
      </c>
      <c r="E2146" s="75" t="s">
        <v>143</v>
      </c>
      <c r="F2146" s="75" t="s">
        <v>187</v>
      </c>
      <c r="G2146" s="75"/>
      <c r="H2146" s="75"/>
      <c r="I2146" s="75" t="s">
        <v>171</v>
      </c>
      <c r="J2146" s="76">
        <v>5</v>
      </c>
      <c r="K2146" s="516" t="s">
        <v>385</v>
      </c>
      <c r="L2146" s="517">
        <v>21.12</v>
      </c>
      <c r="M2146" s="517">
        <v>21.78</v>
      </c>
      <c r="N2146" s="518">
        <v>9.6500000000000002E-2</v>
      </c>
      <c r="O2146" s="518">
        <v>9.1999999999999998E-2</v>
      </c>
      <c r="P2146" s="518">
        <v>0.10249999999999999</v>
      </c>
      <c r="Q2146" s="78">
        <v>0.44</v>
      </c>
      <c r="R2146" s="78">
        <v>0.31740000000000002</v>
      </c>
      <c r="S2146" s="69">
        <v>2.5000000000000001E-2</v>
      </c>
      <c r="T2146" s="69">
        <v>0.01</v>
      </c>
      <c r="U2146" s="518">
        <v>0.7</v>
      </c>
      <c r="V2146" s="76">
        <v>0</v>
      </c>
      <c r="W2146" s="76">
        <v>0</v>
      </c>
      <c r="X2146" s="76"/>
      <c r="Y2146" s="516" t="s">
        <v>470</v>
      </c>
    </row>
    <row r="2147" spans="1:25" x14ac:dyDescent="0.25">
      <c r="A2147" s="75" t="str">
        <f t="shared" si="75"/>
        <v>Pago_Hipoteca+Liquidez PF Premier PagHip Mas Liquidez Pago_Fijo_Puntual 5</v>
      </c>
      <c r="B2147" s="75" t="str">
        <f t="shared" si="74"/>
        <v>Pago_Hipoteca+Liquidez PF Premier PagHip Mas Liquidez Pago_Fijo_Puntual 5 0.103</v>
      </c>
      <c r="C2147" s="75" t="s">
        <v>174</v>
      </c>
      <c r="D2147" s="75" t="s">
        <v>132</v>
      </c>
      <c r="E2147" s="75" t="s">
        <v>143</v>
      </c>
      <c r="F2147" s="75" t="s">
        <v>187</v>
      </c>
      <c r="G2147" s="75"/>
      <c r="H2147" s="75"/>
      <c r="I2147" s="75" t="s">
        <v>171</v>
      </c>
      <c r="J2147" s="76">
        <v>5</v>
      </c>
      <c r="K2147" s="516" t="s">
        <v>386</v>
      </c>
      <c r="L2147" s="517">
        <v>21.44</v>
      </c>
      <c r="M2147" s="517">
        <v>22.1</v>
      </c>
      <c r="N2147" s="518">
        <v>0.10299999999999999</v>
      </c>
      <c r="O2147" s="518">
        <v>0.1</v>
      </c>
      <c r="P2147" s="518">
        <v>0.112</v>
      </c>
      <c r="Q2147" s="78">
        <v>0.44</v>
      </c>
      <c r="R2147" s="78">
        <v>0.31740000000000002</v>
      </c>
      <c r="S2147" s="69">
        <v>2.5000000000000001E-2</v>
      </c>
      <c r="T2147" s="69">
        <v>0.01</v>
      </c>
      <c r="U2147" s="518">
        <v>0.7</v>
      </c>
      <c r="V2147" s="76">
        <v>0</v>
      </c>
      <c r="W2147" s="76">
        <v>0</v>
      </c>
      <c r="X2147" s="76"/>
      <c r="Y2147" s="516" t="s">
        <v>470</v>
      </c>
    </row>
    <row r="2148" spans="1:25" x14ac:dyDescent="0.25">
      <c r="A2148" s="75" t="str">
        <f t="shared" si="75"/>
        <v>Pago_Hipoteca+Liquidez PFAE No_Premier PagHip Mas Liquidez Pago_Fijo_Puntual Si 20</v>
      </c>
      <c r="B2148" s="75" t="str">
        <f t="shared" si="74"/>
        <v>Pago_Hipoteca+Liquidez PFAE No_Premier PagHip Mas Liquidez Pago_Fijo_Puntual Si 20 0.103</v>
      </c>
      <c r="C2148" s="75" t="s">
        <v>174</v>
      </c>
      <c r="D2148" s="75" t="s">
        <v>168</v>
      </c>
      <c r="E2148" s="75" t="s">
        <v>179</v>
      </c>
      <c r="F2148" s="75" t="s">
        <v>187</v>
      </c>
      <c r="G2148" s="75"/>
      <c r="H2148" s="75"/>
      <c r="I2148" s="75" t="s">
        <v>171</v>
      </c>
      <c r="J2148" s="76">
        <v>20</v>
      </c>
      <c r="K2148" s="519" t="s">
        <v>387</v>
      </c>
      <c r="L2148" s="520">
        <v>10.16</v>
      </c>
      <c r="M2148" s="520">
        <v>10.82</v>
      </c>
      <c r="N2148" s="507">
        <v>0.10299999999999999</v>
      </c>
      <c r="O2148" s="507">
        <v>0.1</v>
      </c>
      <c r="P2148" s="507">
        <v>0.112</v>
      </c>
      <c r="Q2148" s="78">
        <v>0.44</v>
      </c>
      <c r="R2148" s="78">
        <v>0.31740000000000002</v>
      </c>
      <c r="S2148" s="69">
        <v>2.5000000000000001E-2</v>
      </c>
      <c r="T2148" s="69">
        <v>0.01</v>
      </c>
      <c r="U2148" s="507">
        <v>0.85</v>
      </c>
      <c r="V2148" s="76">
        <v>0</v>
      </c>
      <c r="W2148" s="76">
        <v>0</v>
      </c>
      <c r="X2148" s="76" t="s">
        <v>147</v>
      </c>
      <c r="Y2148" s="519" t="s">
        <v>469</v>
      </c>
    </row>
    <row r="2149" spans="1:25" x14ac:dyDescent="0.25">
      <c r="A2149" s="75" t="str">
        <f t="shared" si="75"/>
        <v>Pago_Hipoteca+Liquidez PFAE No_Premier PagHip Mas Liquidez Pago_Fijo_Puntual Si 19</v>
      </c>
      <c r="B2149" s="75" t="str">
        <f t="shared" ref="B2149:B2196" si="76">CONCATENATE(A2149," ",N2149)</f>
        <v>Pago_Hipoteca+Liquidez PFAE No_Premier PagHip Mas Liquidez Pago_Fijo_Puntual Si 19 0.103</v>
      </c>
      <c r="C2149" s="75" t="s">
        <v>174</v>
      </c>
      <c r="D2149" s="75" t="s">
        <v>168</v>
      </c>
      <c r="E2149" s="75" t="s">
        <v>179</v>
      </c>
      <c r="F2149" s="75" t="s">
        <v>187</v>
      </c>
      <c r="G2149" s="75"/>
      <c r="H2149" s="75"/>
      <c r="I2149" s="75" t="s">
        <v>171</v>
      </c>
      <c r="J2149" s="76">
        <v>19</v>
      </c>
      <c r="K2149" s="519" t="s">
        <v>387</v>
      </c>
      <c r="L2149" s="520">
        <v>10.3</v>
      </c>
      <c r="M2149" s="520">
        <v>10.96</v>
      </c>
      <c r="N2149" s="507">
        <v>0.10299999999999999</v>
      </c>
      <c r="O2149" s="507">
        <v>0.1</v>
      </c>
      <c r="P2149" s="507">
        <v>0.112</v>
      </c>
      <c r="Q2149" s="78">
        <v>0.44</v>
      </c>
      <c r="R2149" s="78">
        <v>0.31740000000000002</v>
      </c>
      <c r="S2149" s="69">
        <v>2.5000000000000001E-2</v>
      </c>
      <c r="T2149" s="69">
        <v>0.01</v>
      </c>
      <c r="U2149" s="507">
        <v>0.85</v>
      </c>
      <c r="V2149" s="76">
        <v>0</v>
      </c>
      <c r="W2149" s="76">
        <v>0</v>
      </c>
      <c r="X2149" s="76" t="s">
        <v>147</v>
      </c>
      <c r="Y2149" s="519" t="s">
        <v>469</v>
      </c>
    </row>
    <row r="2150" spans="1:25" x14ac:dyDescent="0.25">
      <c r="A2150" s="75" t="str">
        <f t="shared" ref="A2150:A2197" si="77">TRIM(CONCATENATE(C2150," ",D2150," ",E2150," ",F2150," ",G2150," ",I2150," ",X2150," ",J2150))</f>
        <v>Pago_Hipoteca+Liquidez PFAE No_Premier PagHip Mas Liquidez Pago_Fijo_Puntual Si 18</v>
      </c>
      <c r="B2150" s="75" t="str">
        <f t="shared" si="76"/>
        <v>Pago_Hipoteca+Liquidez PFAE No_Premier PagHip Mas Liquidez Pago_Fijo_Puntual Si 18 0.103</v>
      </c>
      <c r="C2150" s="75" t="s">
        <v>174</v>
      </c>
      <c r="D2150" s="75" t="s">
        <v>168</v>
      </c>
      <c r="E2150" s="75" t="s">
        <v>179</v>
      </c>
      <c r="F2150" s="75" t="s">
        <v>187</v>
      </c>
      <c r="G2150" s="75"/>
      <c r="H2150" s="75"/>
      <c r="I2150" s="75" t="s">
        <v>171</v>
      </c>
      <c r="J2150" s="76">
        <v>18</v>
      </c>
      <c r="K2150" s="519" t="s">
        <v>387</v>
      </c>
      <c r="L2150" s="520">
        <v>10.47</v>
      </c>
      <c r="M2150" s="520">
        <v>11.13</v>
      </c>
      <c r="N2150" s="507">
        <v>0.10299999999999999</v>
      </c>
      <c r="O2150" s="507">
        <v>0.1</v>
      </c>
      <c r="P2150" s="507">
        <v>0.112</v>
      </c>
      <c r="Q2150" s="78">
        <v>0.44</v>
      </c>
      <c r="R2150" s="78">
        <v>0.31740000000000002</v>
      </c>
      <c r="S2150" s="69">
        <v>2.5000000000000001E-2</v>
      </c>
      <c r="T2150" s="69">
        <v>0.01</v>
      </c>
      <c r="U2150" s="507">
        <v>0.85</v>
      </c>
      <c r="V2150" s="76">
        <v>0</v>
      </c>
      <c r="W2150" s="76">
        <v>0</v>
      </c>
      <c r="X2150" s="76" t="s">
        <v>147</v>
      </c>
      <c r="Y2150" s="519" t="s">
        <v>469</v>
      </c>
    </row>
    <row r="2151" spans="1:25" x14ac:dyDescent="0.25">
      <c r="A2151" s="75" t="str">
        <f t="shared" si="77"/>
        <v>Pago_Hipoteca+Liquidez PFAE No_Premier PagHip Mas Liquidez Pago_Fijo_Puntual Si 17</v>
      </c>
      <c r="B2151" s="75" t="str">
        <f t="shared" si="76"/>
        <v>Pago_Hipoteca+Liquidez PFAE No_Premier PagHip Mas Liquidez Pago_Fijo_Puntual Si 17 0.103</v>
      </c>
      <c r="C2151" s="75" t="s">
        <v>174</v>
      </c>
      <c r="D2151" s="75" t="s">
        <v>168</v>
      </c>
      <c r="E2151" s="75" t="s">
        <v>179</v>
      </c>
      <c r="F2151" s="75" t="s">
        <v>187</v>
      </c>
      <c r="G2151" s="75"/>
      <c r="H2151" s="75"/>
      <c r="I2151" s="75" t="s">
        <v>171</v>
      </c>
      <c r="J2151" s="76">
        <v>17</v>
      </c>
      <c r="K2151" s="519" t="s">
        <v>387</v>
      </c>
      <c r="L2151" s="520">
        <v>10.67</v>
      </c>
      <c r="M2151" s="520">
        <v>11.33</v>
      </c>
      <c r="N2151" s="507">
        <v>0.10299999999999999</v>
      </c>
      <c r="O2151" s="507">
        <v>0.1</v>
      </c>
      <c r="P2151" s="507">
        <v>0.112</v>
      </c>
      <c r="Q2151" s="78">
        <v>0.44</v>
      </c>
      <c r="R2151" s="78">
        <v>0.31740000000000002</v>
      </c>
      <c r="S2151" s="69">
        <v>2.5000000000000001E-2</v>
      </c>
      <c r="T2151" s="69">
        <v>0.01</v>
      </c>
      <c r="U2151" s="507">
        <v>0.85</v>
      </c>
      <c r="V2151" s="76">
        <v>0</v>
      </c>
      <c r="W2151" s="76">
        <v>0</v>
      </c>
      <c r="X2151" s="76" t="s">
        <v>147</v>
      </c>
      <c r="Y2151" s="519" t="s">
        <v>469</v>
      </c>
    </row>
    <row r="2152" spans="1:25" x14ac:dyDescent="0.25">
      <c r="A2152" s="75" t="str">
        <f t="shared" si="77"/>
        <v>Pago_Hipoteca+Liquidez PFAE No_Premier PagHip Mas Liquidez Pago_Fijo_Puntual Si 16</v>
      </c>
      <c r="B2152" s="75" t="str">
        <f t="shared" si="76"/>
        <v>Pago_Hipoteca+Liquidez PFAE No_Premier PagHip Mas Liquidez Pago_Fijo_Puntual Si 16 0.103</v>
      </c>
      <c r="C2152" s="75" t="s">
        <v>174</v>
      </c>
      <c r="D2152" s="75" t="s">
        <v>168</v>
      </c>
      <c r="E2152" s="75" t="s">
        <v>179</v>
      </c>
      <c r="F2152" s="75" t="s">
        <v>187</v>
      </c>
      <c r="G2152" s="75"/>
      <c r="H2152" s="75"/>
      <c r="I2152" s="75" t="s">
        <v>171</v>
      </c>
      <c r="J2152" s="76">
        <v>16</v>
      </c>
      <c r="K2152" s="519" t="s">
        <v>387</v>
      </c>
      <c r="L2152" s="520">
        <v>10.9</v>
      </c>
      <c r="M2152" s="520">
        <v>11.56</v>
      </c>
      <c r="N2152" s="507">
        <v>0.10299999999999999</v>
      </c>
      <c r="O2152" s="507">
        <v>0.1</v>
      </c>
      <c r="P2152" s="507">
        <v>0.112</v>
      </c>
      <c r="Q2152" s="78">
        <v>0.44</v>
      </c>
      <c r="R2152" s="78">
        <v>0.31740000000000002</v>
      </c>
      <c r="S2152" s="69">
        <v>2.5000000000000001E-2</v>
      </c>
      <c r="T2152" s="69">
        <v>0.01</v>
      </c>
      <c r="U2152" s="507">
        <v>0.85</v>
      </c>
      <c r="V2152" s="76">
        <v>0</v>
      </c>
      <c r="W2152" s="76">
        <v>0</v>
      </c>
      <c r="X2152" s="76" t="s">
        <v>147</v>
      </c>
      <c r="Y2152" s="519" t="s">
        <v>469</v>
      </c>
    </row>
    <row r="2153" spans="1:25" x14ac:dyDescent="0.25">
      <c r="A2153" s="75" t="str">
        <f t="shared" si="77"/>
        <v>Pago_Hipoteca+Liquidez PFAE No_Premier PagHip Mas Liquidez Pago_Fijo_Puntual Si 15</v>
      </c>
      <c r="B2153" s="75" t="str">
        <f t="shared" si="76"/>
        <v>Pago_Hipoteca+Liquidez PFAE No_Premier PagHip Mas Liquidez Pago_Fijo_Puntual Si 15 0.103</v>
      </c>
      <c r="C2153" s="75" t="s">
        <v>174</v>
      </c>
      <c r="D2153" s="75" t="s">
        <v>168</v>
      </c>
      <c r="E2153" s="75" t="s">
        <v>179</v>
      </c>
      <c r="F2153" s="75" t="s">
        <v>187</v>
      </c>
      <c r="G2153" s="75"/>
      <c r="H2153" s="75"/>
      <c r="I2153" s="75" t="s">
        <v>171</v>
      </c>
      <c r="J2153" s="76">
        <v>15</v>
      </c>
      <c r="K2153" s="519" t="s">
        <v>387</v>
      </c>
      <c r="L2153" s="520">
        <v>11.18</v>
      </c>
      <c r="M2153" s="520">
        <v>11.84</v>
      </c>
      <c r="N2153" s="507">
        <v>0.10299999999999999</v>
      </c>
      <c r="O2153" s="507">
        <v>0.1</v>
      </c>
      <c r="P2153" s="507">
        <v>0.112</v>
      </c>
      <c r="Q2153" s="78">
        <v>0.44</v>
      </c>
      <c r="R2153" s="78">
        <v>0.31740000000000002</v>
      </c>
      <c r="S2153" s="69">
        <v>2.5000000000000001E-2</v>
      </c>
      <c r="T2153" s="69">
        <v>0.01</v>
      </c>
      <c r="U2153" s="507">
        <v>0.85</v>
      </c>
      <c r="V2153" s="76">
        <v>0</v>
      </c>
      <c r="W2153" s="76">
        <v>0</v>
      </c>
      <c r="X2153" s="76" t="s">
        <v>147</v>
      </c>
      <c r="Y2153" s="519" t="s">
        <v>469</v>
      </c>
    </row>
    <row r="2154" spans="1:25" x14ac:dyDescent="0.25">
      <c r="A2154" s="75" t="str">
        <f t="shared" si="77"/>
        <v>Pago_Hipoteca+Liquidez PFAE No_Premier PagHip Mas Liquidez Pago_Fijo_Puntual Si 14</v>
      </c>
      <c r="B2154" s="75" t="str">
        <f t="shared" si="76"/>
        <v>Pago_Hipoteca+Liquidez PFAE No_Premier PagHip Mas Liquidez Pago_Fijo_Puntual Si 14 0.103</v>
      </c>
      <c r="C2154" s="75" t="s">
        <v>174</v>
      </c>
      <c r="D2154" s="75" t="s">
        <v>168</v>
      </c>
      <c r="E2154" s="75" t="s">
        <v>179</v>
      </c>
      <c r="F2154" s="75" t="s">
        <v>187</v>
      </c>
      <c r="G2154" s="75"/>
      <c r="H2154" s="75"/>
      <c r="I2154" s="75" t="s">
        <v>171</v>
      </c>
      <c r="J2154" s="76">
        <v>14</v>
      </c>
      <c r="K2154" s="519" t="s">
        <v>387</v>
      </c>
      <c r="L2154" s="520">
        <v>11.49</v>
      </c>
      <c r="M2154" s="520">
        <v>12.15</v>
      </c>
      <c r="N2154" s="507">
        <v>0.10299999999999999</v>
      </c>
      <c r="O2154" s="507">
        <v>0.1</v>
      </c>
      <c r="P2154" s="507">
        <v>0.112</v>
      </c>
      <c r="Q2154" s="78">
        <v>0.44</v>
      </c>
      <c r="R2154" s="78">
        <v>0.31740000000000002</v>
      </c>
      <c r="S2154" s="69">
        <v>2.5000000000000001E-2</v>
      </c>
      <c r="T2154" s="69">
        <v>0.01</v>
      </c>
      <c r="U2154" s="507">
        <v>0.85</v>
      </c>
      <c r="V2154" s="76">
        <v>0</v>
      </c>
      <c r="W2154" s="76">
        <v>0</v>
      </c>
      <c r="X2154" s="76" t="s">
        <v>147</v>
      </c>
      <c r="Y2154" s="519" t="s">
        <v>469</v>
      </c>
    </row>
    <row r="2155" spans="1:25" x14ac:dyDescent="0.25">
      <c r="A2155" s="75" t="str">
        <f t="shared" si="77"/>
        <v>Pago_Hipoteca+Liquidez PFAE No_Premier PagHip Mas Liquidez Pago_Fijo_Puntual Si 13</v>
      </c>
      <c r="B2155" s="75" t="str">
        <f t="shared" si="76"/>
        <v>Pago_Hipoteca+Liquidez PFAE No_Premier PagHip Mas Liquidez Pago_Fijo_Puntual Si 13 0.103</v>
      </c>
      <c r="C2155" s="75" t="s">
        <v>174</v>
      </c>
      <c r="D2155" s="75" t="s">
        <v>168</v>
      </c>
      <c r="E2155" s="75" t="s">
        <v>179</v>
      </c>
      <c r="F2155" s="75" t="s">
        <v>187</v>
      </c>
      <c r="G2155" s="75"/>
      <c r="H2155" s="75"/>
      <c r="I2155" s="75" t="s">
        <v>171</v>
      </c>
      <c r="J2155" s="76">
        <v>13</v>
      </c>
      <c r="K2155" s="519" t="s">
        <v>387</v>
      </c>
      <c r="L2155" s="520">
        <v>11.86</v>
      </c>
      <c r="M2155" s="520">
        <v>12.52</v>
      </c>
      <c r="N2155" s="507">
        <v>0.10299999999999999</v>
      </c>
      <c r="O2155" s="507">
        <v>0.1</v>
      </c>
      <c r="P2155" s="507">
        <v>0.112</v>
      </c>
      <c r="Q2155" s="78">
        <v>0.44</v>
      </c>
      <c r="R2155" s="78">
        <v>0.31740000000000002</v>
      </c>
      <c r="S2155" s="69">
        <v>2.5000000000000001E-2</v>
      </c>
      <c r="T2155" s="69">
        <v>0.01</v>
      </c>
      <c r="U2155" s="507">
        <v>0.85</v>
      </c>
      <c r="V2155" s="76">
        <v>0</v>
      </c>
      <c r="W2155" s="76">
        <v>0</v>
      </c>
      <c r="X2155" s="76" t="s">
        <v>147</v>
      </c>
      <c r="Y2155" s="519" t="s">
        <v>469</v>
      </c>
    </row>
    <row r="2156" spans="1:25" x14ac:dyDescent="0.25">
      <c r="A2156" s="75" t="str">
        <f t="shared" si="77"/>
        <v>Pago_Hipoteca+Liquidez PFAE No_Premier PagHip Mas Liquidez Pago_Fijo_Puntual Si 12</v>
      </c>
      <c r="B2156" s="75" t="str">
        <f t="shared" si="76"/>
        <v>Pago_Hipoteca+Liquidez PFAE No_Premier PagHip Mas Liquidez Pago_Fijo_Puntual Si 12 0.103</v>
      </c>
      <c r="C2156" s="75" t="s">
        <v>174</v>
      </c>
      <c r="D2156" s="75" t="s">
        <v>168</v>
      </c>
      <c r="E2156" s="75" t="s">
        <v>179</v>
      </c>
      <c r="F2156" s="75" t="s">
        <v>187</v>
      </c>
      <c r="G2156" s="75"/>
      <c r="H2156" s="75"/>
      <c r="I2156" s="75" t="s">
        <v>171</v>
      </c>
      <c r="J2156" s="76">
        <v>12</v>
      </c>
      <c r="K2156" s="519" t="s">
        <v>387</v>
      </c>
      <c r="L2156" s="520">
        <v>12.31</v>
      </c>
      <c r="M2156" s="520">
        <v>12.97</v>
      </c>
      <c r="N2156" s="507">
        <v>0.10299999999999999</v>
      </c>
      <c r="O2156" s="507">
        <v>0.1</v>
      </c>
      <c r="P2156" s="507">
        <v>0.112</v>
      </c>
      <c r="Q2156" s="78">
        <v>0.44</v>
      </c>
      <c r="R2156" s="78">
        <v>0.31740000000000002</v>
      </c>
      <c r="S2156" s="69">
        <v>2.5000000000000001E-2</v>
      </c>
      <c r="T2156" s="69">
        <v>0.01</v>
      </c>
      <c r="U2156" s="507">
        <v>0.85</v>
      </c>
      <c r="V2156" s="76">
        <v>0</v>
      </c>
      <c r="W2156" s="76">
        <v>0</v>
      </c>
      <c r="X2156" s="76" t="s">
        <v>147</v>
      </c>
      <c r="Y2156" s="519" t="s">
        <v>469</v>
      </c>
    </row>
    <row r="2157" spans="1:25" x14ac:dyDescent="0.25">
      <c r="A2157" s="75" t="str">
        <f t="shared" si="77"/>
        <v>Pago_Hipoteca+Liquidez PFAE No_Premier PagHip Mas Liquidez Pago_Fijo_Puntual Si 11</v>
      </c>
      <c r="B2157" s="75" t="str">
        <f t="shared" si="76"/>
        <v>Pago_Hipoteca+Liquidez PFAE No_Premier PagHip Mas Liquidez Pago_Fijo_Puntual Si 11 0.103</v>
      </c>
      <c r="C2157" s="75" t="s">
        <v>174</v>
      </c>
      <c r="D2157" s="75" t="s">
        <v>168</v>
      </c>
      <c r="E2157" s="75" t="s">
        <v>179</v>
      </c>
      <c r="F2157" s="75" t="s">
        <v>187</v>
      </c>
      <c r="G2157" s="75"/>
      <c r="H2157" s="75"/>
      <c r="I2157" s="75" t="s">
        <v>171</v>
      </c>
      <c r="J2157" s="76">
        <v>11</v>
      </c>
      <c r="K2157" s="519" t="s">
        <v>387</v>
      </c>
      <c r="L2157" s="520">
        <v>12.86</v>
      </c>
      <c r="M2157" s="520">
        <v>13.52</v>
      </c>
      <c r="N2157" s="507">
        <v>0.10299999999999999</v>
      </c>
      <c r="O2157" s="507">
        <v>0.1</v>
      </c>
      <c r="P2157" s="507">
        <v>0.112</v>
      </c>
      <c r="Q2157" s="78">
        <v>0.44</v>
      </c>
      <c r="R2157" s="78">
        <v>0.31740000000000002</v>
      </c>
      <c r="S2157" s="69">
        <v>2.5000000000000001E-2</v>
      </c>
      <c r="T2157" s="69">
        <v>0.01</v>
      </c>
      <c r="U2157" s="507">
        <v>0.85</v>
      </c>
      <c r="V2157" s="76">
        <v>0</v>
      </c>
      <c r="W2157" s="76">
        <v>0</v>
      </c>
      <c r="X2157" s="76" t="s">
        <v>147</v>
      </c>
      <c r="Y2157" s="519" t="s">
        <v>469</v>
      </c>
    </row>
    <row r="2158" spans="1:25" x14ac:dyDescent="0.25">
      <c r="A2158" s="75" t="str">
        <f t="shared" si="77"/>
        <v>Pago_Hipoteca+Liquidez PFAE No_Premier PagHip Mas Liquidez Pago_Fijo_Puntual Si 10</v>
      </c>
      <c r="B2158" s="75" t="str">
        <f t="shared" si="76"/>
        <v>Pago_Hipoteca+Liquidez PFAE No_Premier PagHip Mas Liquidez Pago_Fijo_Puntual Si 10 0.103</v>
      </c>
      <c r="C2158" s="75" t="s">
        <v>174</v>
      </c>
      <c r="D2158" s="75" t="s">
        <v>168</v>
      </c>
      <c r="E2158" s="75" t="s">
        <v>179</v>
      </c>
      <c r="F2158" s="75" t="s">
        <v>187</v>
      </c>
      <c r="G2158" s="75"/>
      <c r="H2158" s="75"/>
      <c r="I2158" s="75" t="s">
        <v>171</v>
      </c>
      <c r="J2158" s="76">
        <v>10</v>
      </c>
      <c r="K2158" s="519" t="s">
        <v>387</v>
      </c>
      <c r="L2158" s="520">
        <v>13.54</v>
      </c>
      <c r="M2158" s="520">
        <v>14.2</v>
      </c>
      <c r="N2158" s="507">
        <v>0.10299999999999999</v>
      </c>
      <c r="O2158" s="507">
        <v>0.1</v>
      </c>
      <c r="P2158" s="507">
        <v>0.112</v>
      </c>
      <c r="Q2158" s="78">
        <v>0.44</v>
      </c>
      <c r="R2158" s="78">
        <v>0.31740000000000002</v>
      </c>
      <c r="S2158" s="69">
        <v>2.5000000000000001E-2</v>
      </c>
      <c r="T2158" s="69">
        <v>0.01</v>
      </c>
      <c r="U2158" s="507">
        <v>0.85</v>
      </c>
      <c r="V2158" s="76">
        <v>0</v>
      </c>
      <c r="W2158" s="76">
        <v>0</v>
      </c>
      <c r="X2158" s="76" t="s">
        <v>147</v>
      </c>
      <c r="Y2158" s="519" t="s">
        <v>469</v>
      </c>
    </row>
    <row r="2159" spans="1:25" x14ac:dyDescent="0.25">
      <c r="A2159" s="75" t="str">
        <f t="shared" si="77"/>
        <v>Pago_Hipoteca+Liquidez PFAE No_Premier PagHip Mas Liquidez Pago_Fijo_Puntual Si 9</v>
      </c>
      <c r="B2159" s="75" t="str">
        <f t="shared" si="76"/>
        <v>Pago_Hipoteca+Liquidez PFAE No_Premier PagHip Mas Liquidez Pago_Fijo_Puntual Si 9 0.103</v>
      </c>
      <c r="C2159" s="75" t="s">
        <v>174</v>
      </c>
      <c r="D2159" s="75" t="s">
        <v>168</v>
      </c>
      <c r="E2159" s="75" t="s">
        <v>179</v>
      </c>
      <c r="F2159" s="75" t="s">
        <v>187</v>
      </c>
      <c r="G2159" s="75"/>
      <c r="H2159" s="75"/>
      <c r="I2159" s="75" t="s">
        <v>171</v>
      </c>
      <c r="J2159" s="76">
        <v>9</v>
      </c>
      <c r="K2159" s="519" t="s">
        <v>387</v>
      </c>
      <c r="L2159" s="520">
        <v>14.37</v>
      </c>
      <c r="M2159" s="520">
        <v>15.03</v>
      </c>
      <c r="N2159" s="507">
        <v>0.10299999999999999</v>
      </c>
      <c r="O2159" s="507">
        <v>0.1</v>
      </c>
      <c r="P2159" s="507">
        <v>0.112</v>
      </c>
      <c r="Q2159" s="78">
        <v>0.44</v>
      </c>
      <c r="R2159" s="78">
        <v>0.31740000000000002</v>
      </c>
      <c r="S2159" s="69">
        <v>2.5000000000000001E-2</v>
      </c>
      <c r="T2159" s="69">
        <v>0.01</v>
      </c>
      <c r="U2159" s="507">
        <v>0.85</v>
      </c>
      <c r="V2159" s="76">
        <v>0</v>
      </c>
      <c r="W2159" s="76">
        <v>0</v>
      </c>
      <c r="X2159" s="76" t="s">
        <v>147</v>
      </c>
      <c r="Y2159" s="519" t="s">
        <v>469</v>
      </c>
    </row>
    <row r="2160" spans="1:25" x14ac:dyDescent="0.25">
      <c r="A2160" s="75" t="str">
        <f t="shared" si="77"/>
        <v>Pago_Hipoteca+Liquidez PFAE No_Premier PagHip Mas Liquidez Pago_Fijo_Puntual Si 8</v>
      </c>
      <c r="B2160" s="75" t="str">
        <f t="shared" si="76"/>
        <v>Pago_Hipoteca+Liquidez PFAE No_Premier PagHip Mas Liquidez Pago_Fijo_Puntual Si 8 0.103</v>
      </c>
      <c r="C2160" s="75" t="s">
        <v>174</v>
      </c>
      <c r="D2160" s="75" t="s">
        <v>168</v>
      </c>
      <c r="E2160" s="75" t="s">
        <v>179</v>
      </c>
      <c r="F2160" s="75" t="s">
        <v>187</v>
      </c>
      <c r="G2160" s="75"/>
      <c r="H2160" s="75"/>
      <c r="I2160" s="75" t="s">
        <v>171</v>
      </c>
      <c r="J2160" s="76">
        <v>8</v>
      </c>
      <c r="K2160" s="519" t="s">
        <v>387</v>
      </c>
      <c r="L2160" s="520">
        <v>15.44</v>
      </c>
      <c r="M2160" s="520">
        <v>16.100000000000001</v>
      </c>
      <c r="N2160" s="507">
        <v>0.10299999999999999</v>
      </c>
      <c r="O2160" s="507">
        <v>0.1</v>
      </c>
      <c r="P2160" s="507">
        <v>0.112</v>
      </c>
      <c r="Q2160" s="78">
        <v>0.44</v>
      </c>
      <c r="R2160" s="78">
        <v>0.31740000000000002</v>
      </c>
      <c r="S2160" s="69">
        <v>2.5000000000000001E-2</v>
      </c>
      <c r="T2160" s="69">
        <v>0.01</v>
      </c>
      <c r="U2160" s="507">
        <v>0.85</v>
      </c>
      <c r="V2160" s="76">
        <v>0</v>
      </c>
      <c r="W2160" s="76">
        <v>0</v>
      </c>
      <c r="X2160" s="76" t="s">
        <v>147</v>
      </c>
      <c r="Y2160" s="519" t="s">
        <v>469</v>
      </c>
    </row>
    <row r="2161" spans="1:25" x14ac:dyDescent="0.25">
      <c r="A2161" s="75" t="str">
        <f t="shared" si="77"/>
        <v>Pago_Hipoteca+Liquidez PFAE No_Premier PagHip Mas Liquidez Pago_Fijo_Puntual Si 7</v>
      </c>
      <c r="B2161" s="75" t="str">
        <f t="shared" si="76"/>
        <v>Pago_Hipoteca+Liquidez PFAE No_Premier PagHip Mas Liquidez Pago_Fijo_Puntual Si 7 0.103</v>
      </c>
      <c r="C2161" s="75" t="s">
        <v>174</v>
      </c>
      <c r="D2161" s="75" t="s">
        <v>168</v>
      </c>
      <c r="E2161" s="75" t="s">
        <v>179</v>
      </c>
      <c r="F2161" s="75" t="s">
        <v>187</v>
      </c>
      <c r="G2161" s="75"/>
      <c r="H2161" s="75"/>
      <c r="I2161" s="75" t="s">
        <v>171</v>
      </c>
      <c r="J2161" s="76">
        <v>7</v>
      </c>
      <c r="K2161" s="519" t="s">
        <v>387</v>
      </c>
      <c r="L2161" s="520">
        <v>16.84</v>
      </c>
      <c r="M2161" s="520">
        <v>17.5</v>
      </c>
      <c r="N2161" s="507">
        <v>0.10299999999999999</v>
      </c>
      <c r="O2161" s="507">
        <v>0.1</v>
      </c>
      <c r="P2161" s="507">
        <v>0.112</v>
      </c>
      <c r="Q2161" s="78">
        <v>0.44</v>
      </c>
      <c r="R2161" s="78">
        <v>0.31740000000000002</v>
      </c>
      <c r="S2161" s="69">
        <v>2.5000000000000001E-2</v>
      </c>
      <c r="T2161" s="69">
        <v>0.01</v>
      </c>
      <c r="U2161" s="507">
        <v>0.85</v>
      </c>
      <c r="V2161" s="76">
        <v>0</v>
      </c>
      <c r="W2161" s="76">
        <v>0</v>
      </c>
      <c r="X2161" s="76" t="s">
        <v>147</v>
      </c>
      <c r="Y2161" s="519" t="s">
        <v>469</v>
      </c>
    </row>
    <row r="2162" spans="1:25" x14ac:dyDescent="0.25">
      <c r="A2162" s="75" t="str">
        <f t="shared" si="77"/>
        <v>Pago_Hipoteca+Liquidez PFAE No_Premier PagHip Mas Liquidez Pago_Fijo_Puntual Si 6</v>
      </c>
      <c r="B2162" s="75" t="str">
        <f t="shared" si="76"/>
        <v>Pago_Hipoteca+Liquidez PFAE No_Premier PagHip Mas Liquidez Pago_Fijo_Puntual Si 6 0.103</v>
      </c>
      <c r="C2162" s="75" t="s">
        <v>174</v>
      </c>
      <c r="D2162" s="75" t="s">
        <v>168</v>
      </c>
      <c r="E2162" s="75" t="s">
        <v>179</v>
      </c>
      <c r="F2162" s="75" t="s">
        <v>187</v>
      </c>
      <c r="G2162" s="75"/>
      <c r="H2162" s="75"/>
      <c r="I2162" s="75" t="s">
        <v>171</v>
      </c>
      <c r="J2162" s="76">
        <v>6</v>
      </c>
      <c r="K2162" s="519" t="s">
        <v>387</v>
      </c>
      <c r="L2162" s="520">
        <v>18.739999999999998</v>
      </c>
      <c r="M2162" s="520">
        <v>19.399999999999999</v>
      </c>
      <c r="N2162" s="507">
        <v>0.10299999999999999</v>
      </c>
      <c r="O2162" s="507">
        <v>0.1</v>
      </c>
      <c r="P2162" s="507">
        <v>0.112</v>
      </c>
      <c r="Q2162" s="78">
        <v>0.44</v>
      </c>
      <c r="R2162" s="78">
        <v>0.31740000000000002</v>
      </c>
      <c r="S2162" s="69">
        <v>2.5000000000000001E-2</v>
      </c>
      <c r="T2162" s="69">
        <v>0.01</v>
      </c>
      <c r="U2162" s="507">
        <v>0.85</v>
      </c>
      <c r="V2162" s="76">
        <v>0</v>
      </c>
      <c r="W2162" s="76">
        <v>0</v>
      </c>
      <c r="X2162" s="76" t="s">
        <v>147</v>
      </c>
      <c r="Y2162" s="519" t="s">
        <v>469</v>
      </c>
    </row>
    <row r="2163" spans="1:25" x14ac:dyDescent="0.25">
      <c r="A2163" s="75" t="str">
        <f t="shared" si="77"/>
        <v>Pago_Hipoteca+Liquidez PFAE No_Premier PagHip Mas Liquidez Pago_Fijo_Puntual Si 5</v>
      </c>
      <c r="B2163" s="75" t="str">
        <f t="shared" si="76"/>
        <v>Pago_Hipoteca+Liquidez PFAE No_Premier PagHip Mas Liquidez Pago_Fijo_Puntual Si 5 0.103</v>
      </c>
      <c r="C2163" s="75" t="s">
        <v>174</v>
      </c>
      <c r="D2163" s="75" t="s">
        <v>168</v>
      </c>
      <c r="E2163" s="75" t="s">
        <v>179</v>
      </c>
      <c r="F2163" s="75" t="s">
        <v>187</v>
      </c>
      <c r="G2163" s="75"/>
      <c r="H2163" s="75"/>
      <c r="I2163" s="75" t="s">
        <v>171</v>
      </c>
      <c r="J2163" s="76">
        <v>5</v>
      </c>
      <c r="K2163" s="519" t="s">
        <v>387</v>
      </c>
      <c r="L2163" s="520">
        <v>21.44</v>
      </c>
      <c r="M2163" s="520">
        <v>22.1</v>
      </c>
      <c r="N2163" s="507">
        <v>0.10299999999999999</v>
      </c>
      <c r="O2163" s="507">
        <v>0.1</v>
      </c>
      <c r="P2163" s="507">
        <v>0.112</v>
      </c>
      <c r="Q2163" s="78">
        <v>0.44</v>
      </c>
      <c r="R2163" s="78">
        <v>0.31740000000000002</v>
      </c>
      <c r="S2163" s="69">
        <v>2.5000000000000001E-2</v>
      </c>
      <c r="T2163" s="69">
        <v>0.01</v>
      </c>
      <c r="U2163" s="507">
        <v>0.85</v>
      </c>
      <c r="V2163" s="76">
        <v>0</v>
      </c>
      <c r="W2163" s="76">
        <v>0</v>
      </c>
      <c r="X2163" s="76" t="s">
        <v>147</v>
      </c>
      <c r="Y2163" s="519" t="s">
        <v>469</v>
      </c>
    </row>
    <row r="2164" spans="1:25" x14ac:dyDescent="0.25">
      <c r="A2164" s="75" t="str">
        <f t="shared" si="77"/>
        <v>Pago_Hipoteca+Liquidez PFAE No_Premier PagHip Mas Liquidez Pago_Fijo_Puntual 20</v>
      </c>
      <c r="B2164" s="75" t="str">
        <f t="shared" si="76"/>
        <v>Pago_Hipoteca+Liquidez PFAE No_Premier PagHip Mas Liquidez Pago_Fijo_Puntual 20 0.0965</v>
      </c>
      <c r="C2164" s="75" t="s">
        <v>174</v>
      </c>
      <c r="D2164" s="75" t="s">
        <v>168</v>
      </c>
      <c r="E2164" s="75" t="s">
        <v>179</v>
      </c>
      <c r="F2164" s="75" t="s">
        <v>187</v>
      </c>
      <c r="G2164" s="75"/>
      <c r="H2164" s="75"/>
      <c r="I2164" s="75" t="s">
        <v>171</v>
      </c>
      <c r="J2164" s="76">
        <v>20</v>
      </c>
      <c r="K2164" s="516" t="s">
        <v>385</v>
      </c>
      <c r="L2164" s="517">
        <v>9.66</v>
      </c>
      <c r="M2164" s="517">
        <v>10.32</v>
      </c>
      <c r="N2164" s="518">
        <v>9.6500000000000002E-2</v>
      </c>
      <c r="O2164" s="518">
        <v>9.1999999999999998E-2</v>
      </c>
      <c r="P2164" s="518">
        <v>0.10249999999999999</v>
      </c>
      <c r="Q2164" s="78">
        <v>0.44</v>
      </c>
      <c r="R2164" s="78">
        <v>0.31740000000000002</v>
      </c>
      <c r="S2164" s="69">
        <v>2.5000000000000001E-2</v>
      </c>
      <c r="T2164" s="69">
        <v>0.01</v>
      </c>
      <c r="U2164" s="518">
        <v>0.7</v>
      </c>
      <c r="V2164" s="76">
        <v>0</v>
      </c>
      <c r="W2164" s="76">
        <v>0</v>
      </c>
      <c r="X2164" s="76"/>
      <c r="Y2164" s="516" t="s">
        <v>470</v>
      </c>
    </row>
    <row r="2165" spans="1:25" x14ac:dyDescent="0.25">
      <c r="A2165" s="75" t="str">
        <f t="shared" si="77"/>
        <v>Pago_Hipoteca+Liquidez PFAE No_Premier PagHip Mas Liquidez Pago_Fijo_Puntual 20</v>
      </c>
      <c r="B2165" s="75" t="str">
        <f t="shared" si="76"/>
        <v>Pago_Hipoteca+Liquidez PFAE No_Premier PagHip Mas Liquidez Pago_Fijo_Puntual 20 0.103</v>
      </c>
      <c r="C2165" s="75" t="s">
        <v>174</v>
      </c>
      <c r="D2165" s="75" t="s">
        <v>168</v>
      </c>
      <c r="E2165" s="75" t="s">
        <v>179</v>
      </c>
      <c r="F2165" s="75" t="s">
        <v>187</v>
      </c>
      <c r="G2165" s="75"/>
      <c r="H2165" s="75"/>
      <c r="I2165" s="75" t="s">
        <v>171</v>
      </c>
      <c r="J2165" s="76">
        <v>20</v>
      </c>
      <c r="K2165" s="516" t="s">
        <v>386</v>
      </c>
      <c r="L2165" s="517">
        <v>10.16</v>
      </c>
      <c r="M2165" s="517">
        <v>10.82</v>
      </c>
      <c r="N2165" s="518">
        <v>0.10299999999999999</v>
      </c>
      <c r="O2165" s="518">
        <v>0.1</v>
      </c>
      <c r="P2165" s="518">
        <v>0.112</v>
      </c>
      <c r="Q2165" s="78">
        <v>0.44</v>
      </c>
      <c r="R2165" s="78">
        <v>0.31740000000000002</v>
      </c>
      <c r="S2165" s="69">
        <v>2.5000000000000001E-2</v>
      </c>
      <c r="T2165" s="69">
        <v>0.01</v>
      </c>
      <c r="U2165" s="518">
        <v>0.7</v>
      </c>
      <c r="V2165" s="76">
        <v>0</v>
      </c>
      <c r="W2165" s="76">
        <v>0</v>
      </c>
      <c r="X2165" s="76"/>
      <c r="Y2165" s="516" t="s">
        <v>470</v>
      </c>
    </row>
    <row r="2166" spans="1:25" x14ac:dyDescent="0.25">
      <c r="A2166" s="75" t="str">
        <f t="shared" si="77"/>
        <v>Pago_Hipoteca+Liquidez PFAE No_Premier PagHip Mas Liquidez Pago_Fijo_Puntual 19</v>
      </c>
      <c r="B2166" s="75" t="str">
        <f t="shared" si="76"/>
        <v>Pago_Hipoteca+Liquidez PFAE No_Premier PagHip Mas Liquidez Pago_Fijo_Puntual 19 0.0965</v>
      </c>
      <c r="C2166" s="75" t="s">
        <v>174</v>
      </c>
      <c r="D2166" s="75" t="s">
        <v>168</v>
      </c>
      <c r="E2166" s="75" t="s">
        <v>179</v>
      </c>
      <c r="F2166" s="75" t="s">
        <v>187</v>
      </c>
      <c r="G2166" s="75"/>
      <c r="H2166" s="75"/>
      <c r="I2166" s="75" t="s">
        <v>171</v>
      </c>
      <c r="J2166" s="76">
        <v>19</v>
      </c>
      <c r="K2166" s="516" t="s">
        <v>385</v>
      </c>
      <c r="L2166" s="517">
        <v>9.82</v>
      </c>
      <c r="M2166" s="517">
        <v>10.48</v>
      </c>
      <c r="N2166" s="518">
        <v>9.6500000000000002E-2</v>
      </c>
      <c r="O2166" s="518">
        <v>9.1999999999999998E-2</v>
      </c>
      <c r="P2166" s="518">
        <v>0.10249999999999999</v>
      </c>
      <c r="Q2166" s="78">
        <v>0.44</v>
      </c>
      <c r="R2166" s="78">
        <v>0.31740000000000002</v>
      </c>
      <c r="S2166" s="69">
        <v>2.5000000000000001E-2</v>
      </c>
      <c r="T2166" s="69">
        <v>0.01</v>
      </c>
      <c r="U2166" s="518">
        <v>0.7</v>
      </c>
      <c r="V2166" s="76">
        <v>0</v>
      </c>
      <c r="W2166" s="76">
        <v>0</v>
      </c>
      <c r="X2166" s="76"/>
      <c r="Y2166" s="516" t="s">
        <v>470</v>
      </c>
    </row>
    <row r="2167" spans="1:25" x14ac:dyDescent="0.25">
      <c r="A2167" s="75" t="str">
        <f t="shared" si="77"/>
        <v>Pago_Hipoteca+Liquidez PFAE No_Premier PagHip Mas Liquidez Pago_Fijo_Puntual 19</v>
      </c>
      <c r="B2167" s="75" t="str">
        <f t="shared" si="76"/>
        <v>Pago_Hipoteca+Liquidez PFAE No_Premier PagHip Mas Liquidez Pago_Fijo_Puntual 19 0.103</v>
      </c>
      <c r="C2167" s="75" t="s">
        <v>174</v>
      </c>
      <c r="D2167" s="75" t="s">
        <v>168</v>
      </c>
      <c r="E2167" s="75" t="s">
        <v>179</v>
      </c>
      <c r="F2167" s="75" t="s">
        <v>187</v>
      </c>
      <c r="G2167" s="75"/>
      <c r="H2167" s="75"/>
      <c r="I2167" s="75" t="s">
        <v>171</v>
      </c>
      <c r="J2167" s="76">
        <v>19</v>
      </c>
      <c r="K2167" s="516" t="s">
        <v>386</v>
      </c>
      <c r="L2167" s="517">
        <v>10.3</v>
      </c>
      <c r="M2167" s="517">
        <v>10.96</v>
      </c>
      <c r="N2167" s="518">
        <v>0.10299999999999999</v>
      </c>
      <c r="O2167" s="518">
        <v>0.1</v>
      </c>
      <c r="P2167" s="518">
        <v>0.112</v>
      </c>
      <c r="Q2167" s="78">
        <v>0.44</v>
      </c>
      <c r="R2167" s="78">
        <v>0.31740000000000002</v>
      </c>
      <c r="S2167" s="69">
        <v>2.5000000000000001E-2</v>
      </c>
      <c r="T2167" s="69">
        <v>0.01</v>
      </c>
      <c r="U2167" s="518">
        <v>0.7</v>
      </c>
      <c r="V2167" s="76">
        <v>0</v>
      </c>
      <c r="W2167" s="76">
        <v>0</v>
      </c>
      <c r="X2167" s="76"/>
      <c r="Y2167" s="516" t="s">
        <v>470</v>
      </c>
    </row>
    <row r="2168" spans="1:25" x14ac:dyDescent="0.25">
      <c r="A2168" s="75" t="str">
        <f t="shared" si="77"/>
        <v>Pago_Hipoteca+Liquidez PFAE No_Premier PagHip Mas Liquidez Pago_Fijo_Puntual 18</v>
      </c>
      <c r="B2168" s="75" t="str">
        <f t="shared" si="76"/>
        <v>Pago_Hipoteca+Liquidez PFAE No_Premier PagHip Mas Liquidez Pago_Fijo_Puntual 18 0.0965</v>
      </c>
      <c r="C2168" s="75" t="s">
        <v>174</v>
      </c>
      <c r="D2168" s="75" t="s">
        <v>168</v>
      </c>
      <c r="E2168" s="75" t="s">
        <v>179</v>
      </c>
      <c r="F2168" s="75" t="s">
        <v>187</v>
      </c>
      <c r="G2168" s="75"/>
      <c r="H2168" s="75"/>
      <c r="I2168" s="75" t="s">
        <v>171</v>
      </c>
      <c r="J2168" s="76">
        <v>18</v>
      </c>
      <c r="K2168" s="516" t="s">
        <v>385</v>
      </c>
      <c r="L2168" s="517">
        <v>10</v>
      </c>
      <c r="M2168" s="517">
        <v>10.66</v>
      </c>
      <c r="N2168" s="518">
        <v>9.6500000000000002E-2</v>
      </c>
      <c r="O2168" s="518">
        <v>9.1999999999999998E-2</v>
      </c>
      <c r="P2168" s="518">
        <v>0.10249999999999999</v>
      </c>
      <c r="Q2168" s="78">
        <v>0.44</v>
      </c>
      <c r="R2168" s="78">
        <v>0.31740000000000002</v>
      </c>
      <c r="S2168" s="69">
        <v>2.5000000000000001E-2</v>
      </c>
      <c r="T2168" s="69">
        <v>0.01</v>
      </c>
      <c r="U2168" s="518">
        <v>0.7</v>
      </c>
      <c r="V2168" s="76">
        <v>0</v>
      </c>
      <c r="W2168" s="76">
        <v>0</v>
      </c>
      <c r="X2168" s="76"/>
      <c r="Y2168" s="516" t="s">
        <v>470</v>
      </c>
    </row>
    <row r="2169" spans="1:25" x14ac:dyDescent="0.25">
      <c r="A2169" s="75" t="str">
        <f t="shared" si="77"/>
        <v>Pago_Hipoteca+Liquidez PFAE No_Premier PagHip Mas Liquidez Pago_Fijo_Puntual 18</v>
      </c>
      <c r="B2169" s="75" t="str">
        <f t="shared" si="76"/>
        <v>Pago_Hipoteca+Liquidez PFAE No_Premier PagHip Mas Liquidez Pago_Fijo_Puntual 18 0.103</v>
      </c>
      <c r="C2169" s="75" t="s">
        <v>174</v>
      </c>
      <c r="D2169" s="75" t="s">
        <v>168</v>
      </c>
      <c r="E2169" s="75" t="s">
        <v>179</v>
      </c>
      <c r="F2169" s="75" t="s">
        <v>187</v>
      </c>
      <c r="G2169" s="75"/>
      <c r="H2169" s="75"/>
      <c r="I2169" s="75" t="s">
        <v>171</v>
      </c>
      <c r="J2169" s="76">
        <v>18</v>
      </c>
      <c r="K2169" s="516" t="s">
        <v>386</v>
      </c>
      <c r="L2169" s="517">
        <v>10.47</v>
      </c>
      <c r="M2169" s="517">
        <v>11.13</v>
      </c>
      <c r="N2169" s="518">
        <v>0.10299999999999999</v>
      </c>
      <c r="O2169" s="518">
        <v>0.1</v>
      </c>
      <c r="P2169" s="518">
        <v>0.112</v>
      </c>
      <c r="Q2169" s="78">
        <v>0.44</v>
      </c>
      <c r="R2169" s="78">
        <v>0.31740000000000002</v>
      </c>
      <c r="S2169" s="69">
        <v>2.5000000000000001E-2</v>
      </c>
      <c r="T2169" s="69">
        <v>0.01</v>
      </c>
      <c r="U2169" s="518">
        <v>0.7</v>
      </c>
      <c r="V2169" s="76">
        <v>0</v>
      </c>
      <c r="W2169" s="76">
        <v>0</v>
      </c>
      <c r="X2169" s="76"/>
      <c r="Y2169" s="516" t="s">
        <v>470</v>
      </c>
    </row>
    <row r="2170" spans="1:25" x14ac:dyDescent="0.25">
      <c r="A2170" s="75" t="str">
        <f t="shared" si="77"/>
        <v>Pago_Hipoteca+Liquidez PFAE No_Premier PagHip Mas Liquidez Pago_Fijo_Puntual 17</v>
      </c>
      <c r="B2170" s="75" t="str">
        <f t="shared" si="76"/>
        <v>Pago_Hipoteca+Liquidez PFAE No_Premier PagHip Mas Liquidez Pago_Fijo_Puntual 17 0.0965</v>
      </c>
      <c r="C2170" s="75" t="s">
        <v>174</v>
      </c>
      <c r="D2170" s="75" t="s">
        <v>168</v>
      </c>
      <c r="E2170" s="75" t="s">
        <v>179</v>
      </c>
      <c r="F2170" s="75" t="s">
        <v>187</v>
      </c>
      <c r="G2170" s="75"/>
      <c r="H2170" s="75"/>
      <c r="I2170" s="75" t="s">
        <v>171</v>
      </c>
      <c r="J2170" s="76">
        <v>17</v>
      </c>
      <c r="K2170" s="516" t="s">
        <v>385</v>
      </c>
      <c r="L2170" s="517">
        <v>10.210000000000001</v>
      </c>
      <c r="M2170" s="517">
        <v>10.87</v>
      </c>
      <c r="N2170" s="518">
        <v>9.6500000000000002E-2</v>
      </c>
      <c r="O2170" s="518">
        <v>9.1999999999999998E-2</v>
      </c>
      <c r="P2170" s="518">
        <v>0.10249999999999999</v>
      </c>
      <c r="Q2170" s="78">
        <v>0.44</v>
      </c>
      <c r="R2170" s="78">
        <v>0.31740000000000002</v>
      </c>
      <c r="S2170" s="69">
        <v>2.5000000000000001E-2</v>
      </c>
      <c r="T2170" s="69">
        <v>0.01</v>
      </c>
      <c r="U2170" s="518">
        <v>0.7</v>
      </c>
      <c r="V2170" s="76">
        <v>0</v>
      </c>
      <c r="W2170" s="76">
        <v>0</v>
      </c>
      <c r="X2170" s="76"/>
      <c r="Y2170" s="516" t="s">
        <v>470</v>
      </c>
    </row>
    <row r="2171" spans="1:25" x14ac:dyDescent="0.25">
      <c r="A2171" s="75" t="str">
        <f t="shared" si="77"/>
        <v>Pago_Hipoteca+Liquidez PFAE No_Premier PagHip Mas Liquidez Pago_Fijo_Puntual 17</v>
      </c>
      <c r="B2171" s="75" t="str">
        <f t="shared" si="76"/>
        <v>Pago_Hipoteca+Liquidez PFAE No_Premier PagHip Mas Liquidez Pago_Fijo_Puntual 17 0.103</v>
      </c>
      <c r="C2171" s="75" t="s">
        <v>174</v>
      </c>
      <c r="D2171" s="75" t="s">
        <v>168</v>
      </c>
      <c r="E2171" s="75" t="s">
        <v>179</v>
      </c>
      <c r="F2171" s="75" t="s">
        <v>187</v>
      </c>
      <c r="G2171" s="75"/>
      <c r="H2171" s="75"/>
      <c r="I2171" s="75" t="s">
        <v>171</v>
      </c>
      <c r="J2171" s="76">
        <v>17</v>
      </c>
      <c r="K2171" s="516" t="s">
        <v>386</v>
      </c>
      <c r="L2171" s="517">
        <v>10.67</v>
      </c>
      <c r="M2171" s="517">
        <v>11.33</v>
      </c>
      <c r="N2171" s="518">
        <v>0.10299999999999999</v>
      </c>
      <c r="O2171" s="518">
        <v>0.1</v>
      </c>
      <c r="P2171" s="518">
        <v>0.112</v>
      </c>
      <c r="Q2171" s="78">
        <v>0.44</v>
      </c>
      <c r="R2171" s="78">
        <v>0.31740000000000002</v>
      </c>
      <c r="S2171" s="69">
        <v>2.5000000000000001E-2</v>
      </c>
      <c r="T2171" s="69">
        <v>0.01</v>
      </c>
      <c r="U2171" s="518">
        <v>0.7</v>
      </c>
      <c r="V2171" s="76">
        <v>0</v>
      </c>
      <c r="W2171" s="76">
        <v>0</v>
      </c>
      <c r="X2171" s="76"/>
      <c r="Y2171" s="516" t="s">
        <v>470</v>
      </c>
    </row>
    <row r="2172" spans="1:25" x14ac:dyDescent="0.25">
      <c r="A2172" s="75" t="str">
        <f t="shared" si="77"/>
        <v>Pago_Hipoteca+Liquidez PFAE No_Premier PagHip Mas Liquidez Pago_Fijo_Puntual 16</v>
      </c>
      <c r="B2172" s="75" t="str">
        <f t="shared" si="76"/>
        <v>Pago_Hipoteca+Liquidez PFAE No_Premier PagHip Mas Liquidez Pago_Fijo_Puntual 16 0.0965</v>
      </c>
      <c r="C2172" s="75" t="s">
        <v>174</v>
      </c>
      <c r="D2172" s="75" t="s">
        <v>168</v>
      </c>
      <c r="E2172" s="75" t="s">
        <v>179</v>
      </c>
      <c r="F2172" s="75" t="s">
        <v>187</v>
      </c>
      <c r="G2172" s="75"/>
      <c r="H2172" s="75"/>
      <c r="I2172" s="75" t="s">
        <v>171</v>
      </c>
      <c r="J2172" s="76">
        <v>16</v>
      </c>
      <c r="K2172" s="516" t="s">
        <v>385</v>
      </c>
      <c r="L2172" s="517">
        <v>10.45</v>
      </c>
      <c r="M2172" s="517">
        <v>11.11</v>
      </c>
      <c r="N2172" s="518">
        <v>9.6500000000000002E-2</v>
      </c>
      <c r="O2172" s="518">
        <v>9.1999999999999998E-2</v>
      </c>
      <c r="P2172" s="518">
        <v>0.10249999999999999</v>
      </c>
      <c r="Q2172" s="78">
        <v>0.44</v>
      </c>
      <c r="R2172" s="78">
        <v>0.31740000000000002</v>
      </c>
      <c r="S2172" s="69">
        <v>2.5000000000000001E-2</v>
      </c>
      <c r="T2172" s="69">
        <v>0.01</v>
      </c>
      <c r="U2172" s="518">
        <v>0.7</v>
      </c>
      <c r="V2172" s="76">
        <v>0</v>
      </c>
      <c r="W2172" s="76">
        <v>0</v>
      </c>
      <c r="X2172" s="76"/>
      <c r="Y2172" s="516" t="s">
        <v>470</v>
      </c>
    </row>
    <row r="2173" spans="1:25" x14ac:dyDescent="0.25">
      <c r="A2173" s="75" t="str">
        <f t="shared" si="77"/>
        <v>Pago_Hipoteca+Liquidez PFAE No_Premier PagHip Mas Liquidez Pago_Fijo_Puntual 16</v>
      </c>
      <c r="B2173" s="75" t="str">
        <f t="shared" si="76"/>
        <v>Pago_Hipoteca+Liquidez PFAE No_Premier PagHip Mas Liquidez Pago_Fijo_Puntual 16 0.103</v>
      </c>
      <c r="C2173" s="75" t="s">
        <v>174</v>
      </c>
      <c r="D2173" s="75" t="s">
        <v>168</v>
      </c>
      <c r="E2173" s="75" t="s">
        <v>179</v>
      </c>
      <c r="F2173" s="75" t="s">
        <v>187</v>
      </c>
      <c r="G2173" s="75"/>
      <c r="H2173" s="75"/>
      <c r="I2173" s="75" t="s">
        <v>171</v>
      </c>
      <c r="J2173" s="76">
        <v>16</v>
      </c>
      <c r="K2173" s="516" t="s">
        <v>386</v>
      </c>
      <c r="L2173" s="517">
        <v>10.9</v>
      </c>
      <c r="M2173" s="517">
        <v>11.56</v>
      </c>
      <c r="N2173" s="518">
        <v>0.10299999999999999</v>
      </c>
      <c r="O2173" s="518">
        <v>0.1</v>
      </c>
      <c r="P2173" s="518">
        <v>0.112</v>
      </c>
      <c r="Q2173" s="78">
        <v>0.44</v>
      </c>
      <c r="R2173" s="78">
        <v>0.31740000000000002</v>
      </c>
      <c r="S2173" s="69">
        <v>2.5000000000000001E-2</v>
      </c>
      <c r="T2173" s="69">
        <v>0.01</v>
      </c>
      <c r="U2173" s="518">
        <v>0.7</v>
      </c>
      <c r="V2173" s="76">
        <v>0</v>
      </c>
      <c r="W2173" s="76">
        <v>0</v>
      </c>
      <c r="X2173" s="76"/>
      <c r="Y2173" s="516" t="s">
        <v>470</v>
      </c>
    </row>
    <row r="2174" spans="1:25" x14ac:dyDescent="0.25">
      <c r="A2174" s="75" t="str">
        <f t="shared" si="77"/>
        <v>Pago_Hipoteca+Liquidez PFAE No_Premier PagHip Mas Liquidez Pago_Fijo_Puntual 15</v>
      </c>
      <c r="B2174" s="75" t="str">
        <f t="shared" si="76"/>
        <v>Pago_Hipoteca+Liquidez PFAE No_Premier PagHip Mas Liquidez Pago_Fijo_Puntual 15 0.0965</v>
      </c>
      <c r="C2174" s="75" t="s">
        <v>174</v>
      </c>
      <c r="D2174" s="75" t="s">
        <v>168</v>
      </c>
      <c r="E2174" s="75" t="s">
        <v>179</v>
      </c>
      <c r="F2174" s="75" t="s">
        <v>187</v>
      </c>
      <c r="G2174" s="75"/>
      <c r="H2174" s="75"/>
      <c r="I2174" s="75" t="s">
        <v>171</v>
      </c>
      <c r="J2174" s="76">
        <v>15</v>
      </c>
      <c r="K2174" s="516" t="s">
        <v>385</v>
      </c>
      <c r="L2174" s="517">
        <v>10.73</v>
      </c>
      <c r="M2174" s="517">
        <v>11.39</v>
      </c>
      <c r="N2174" s="518">
        <v>9.6500000000000002E-2</v>
      </c>
      <c r="O2174" s="518">
        <v>9.1999999999999998E-2</v>
      </c>
      <c r="P2174" s="518">
        <v>0.10249999999999999</v>
      </c>
      <c r="Q2174" s="78">
        <v>0.44</v>
      </c>
      <c r="R2174" s="78">
        <v>0.31740000000000002</v>
      </c>
      <c r="S2174" s="69">
        <v>2.5000000000000001E-2</v>
      </c>
      <c r="T2174" s="69">
        <v>0.01</v>
      </c>
      <c r="U2174" s="518">
        <v>0.7</v>
      </c>
      <c r="V2174" s="76">
        <v>0</v>
      </c>
      <c r="W2174" s="76">
        <v>0</v>
      </c>
      <c r="X2174" s="76"/>
      <c r="Y2174" s="516" t="s">
        <v>470</v>
      </c>
    </row>
    <row r="2175" spans="1:25" x14ac:dyDescent="0.25">
      <c r="A2175" s="75" t="str">
        <f t="shared" si="77"/>
        <v>Pago_Hipoteca+Liquidez PFAE No_Premier PagHip Mas Liquidez Pago_Fijo_Puntual 15</v>
      </c>
      <c r="B2175" s="75" t="str">
        <f t="shared" si="76"/>
        <v>Pago_Hipoteca+Liquidez PFAE No_Premier PagHip Mas Liquidez Pago_Fijo_Puntual 15 0.103</v>
      </c>
      <c r="C2175" s="75" t="s">
        <v>174</v>
      </c>
      <c r="D2175" s="75" t="s">
        <v>168</v>
      </c>
      <c r="E2175" s="75" t="s">
        <v>179</v>
      </c>
      <c r="F2175" s="75" t="s">
        <v>187</v>
      </c>
      <c r="G2175" s="75"/>
      <c r="H2175" s="75"/>
      <c r="I2175" s="75" t="s">
        <v>171</v>
      </c>
      <c r="J2175" s="76">
        <v>15</v>
      </c>
      <c r="K2175" s="516" t="s">
        <v>386</v>
      </c>
      <c r="L2175" s="517">
        <v>11.18</v>
      </c>
      <c r="M2175" s="517">
        <v>11.84</v>
      </c>
      <c r="N2175" s="518">
        <v>0.10299999999999999</v>
      </c>
      <c r="O2175" s="518">
        <v>0.1</v>
      </c>
      <c r="P2175" s="518">
        <v>0.112</v>
      </c>
      <c r="Q2175" s="78">
        <v>0.44</v>
      </c>
      <c r="R2175" s="78">
        <v>0.31740000000000002</v>
      </c>
      <c r="S2175" s="69">
        <v>2.5000000000000001E-2</v>
      </c>
      <c r="T2175" s="69">
        <v>0.01</v>
      </c>
      <c r="U2175" s="518">
        <v>0.7</v>
      </c>
      <c r="V2175" s="76">
        <v>0</v>
      </c>
      <c r="W2175" s="76">
        <v>0</v>
      </c>
      <c r="X2175" s="76"/>
      <c r="Y2175" s="516" t="s">
        <v>470</v>
      </c>
    </row>
    <row r="2176" spans="1:25" x14ac:dyDescent="0.25">
      <c r="A2176" s="75" t="str">
        <f t="shared" si="77"/>
        <v>Pago_Hipoteca+Liquidez PFAE No_Premier PagHip Mas Liquidez Pago_Fijo_Puntual 14</v>
      </c>
      <c r="B2176" s="75" t="str">
        <f t="shared" si="76"/>
        <v>Pago_Hipoteca+Liquidez PFAE No_Premier PagHip Mas Liquidez Pago_Fijo_Puntual 14 0.0965</v>
      </c>
      <c r="C2176" s="75" t="s">
        <v>174</v>
      </c>
      <c r="D2176" s="75" t="s">
        <v>168</v>
      </c>
      <c r="E2176" s="75" t="s">
        <v>179</v>
      </c>
      <c r="F2176" s="75" t="s">
        <v>187</v>
      </c>
      <c r="G2176" s="75"/>
      <c r="H2176" s="75"/>
      <c r="I2176" s="75" t="s">
        <v>171</v>
      </c>
      <c r="J2176" s="76">
        <v>14</v>
      </c>
      <c r="K2176" s="516" t="s">
        <v>385</v>
      </c>
      <c r="L2176" s="517">
        <v>11.06</v>
      </c>
      <c r="M2176" s="517">
        <v>11.72</v>
      </c>
      <c r="N2176" s="518">
        <v>9.6500000000000002E-2</v>
      </c>
      <c r="O2176" s="518">
        <v>9.1999999999999998E-2</v>
      </c>
      <c r="P2176" s="518">
        <v>0.10249999999999999</v>
      </c>
      <c r="Q2176" s="78">
        <v>0.44</v>
      </c>
      <c r="R2176" s="78">
        <v>0.31740000000000002</v>
      </c>
      <c r="S2176" s="69">
        <v>2.5000000000000001E-2</v>
      </c>
      <c r="T2176" s="69">
        <v>0.01</v>
      </c>
      <c r="U2176" s="518">
        <v>0.7</v>
      </c>
      <c r="V2176" s="76">
        <v>0</v>
      </c>
      <c r="W2176" s="76">
        <v>0</v>
      </c>
      <c r="X2176" s="76"/>
      <c r="Y2176" s="516" t="s">
        <v>470</v>
      </c>
    </row>
    <row r="2177" spans="1:25" x14ac:dyDescent="0.25">
      <c r="A2177" s="75" t="str">
        <f t="shared" si="77"/>
        <v>Pago_Hipoteca+Liquidez PFAE No_Premier PagHip Mas Liquidez Pago_Fijo_Puntual 14</v>
      </c>
      <c r="B2177" s="75" t="str">
        <f t="shared" si="76"/>
        <v>Pago_Hipoteca+Liquidez PFAE No_Premier PagHip Mas Liquidez Pago_Fijo_Puntual 14 0.103</v>
      </c>
      <c r="C2177" s="75" t="s">
        <v>174</v>
      </c>
      <c r="D2177" s="75" t="s">
        <v>168</v>
      </c>
      <c r="E2177" s="75" t="s">
        <v>179</v>
      </c>
      <c r="F2177" s="75" t="s">
        <v>187</v>
      </c>
      <c r="G2177" s="75"/>
      <c r="H2177" s="75"/>
      <c r="I2177" s="75" t="s">
        <v>171</v>
      </c>
      <c r="J2177" s="76">
        <v>14</v>
      </c>
      <c r="K2177" s="516" t="s">
        <v>386</v>
      </c>
      <c r="L2177" s="517">
        <v>11.49</v>
      </c>
      <c r="M2177" s="517">
        <v>12.15</v>
      </c>
      <c r="N2177" s="518">
        <v>0.10299999999999999</v>
      </c>
      <c r="O2177" s="518">
        <v>0.1</v>
      </c>
      <c r="P2177" s="518">
        <v>0.112</v>
      </c>
      <c r="Q2177" s="78">
        <v>0.44</v>
      </c>
      <c r="R2177" s="78">
        <v>0.31740000000000002</v>
      </c>
      <c r="S2177" s="69">
        <v>2.5000000000000001E-2</v>
      </c>
      <c r="T2177" s="69">
        <v>0.01</v>
      </c>
      <c r="U2177" s="518">
        <v>0.7</v>
      </c>
      <c r="V2177" s="76">
        <v>0</v>
      </c>
      <c r="W2177" s="76">
        <v>0</v>
      </c>
      <c r="X2177" s="76"/>
      <c r="Y2177" s="516" t="s">
        <v>470</v>
      </c>
    </row>
    <row r="2178" spans="1:25" x14ac:dyDescent="0.25">
      <c r="A2178" s="75" t="str">
        <f t="shared" si="77"/>
        <v>Pago_Hipoteca+Liquidez PFAE No_Premier PagHip Mas Liquidez Pago_Fijo_Puntual 13</v>
      </c>
      <c r="B2178" s="75" t="str">
        <f t="shared" si="76"/>
        <v>Pago_Hipoteca+Liquidez PFAE No_Premier PagHip Mas Liquidez Pago_Fijo_Puntual 13 0.0965</v>
      </c>
      <c r="C2178" s="75" t="s">
        <v>174</v>
      </c>
      <c r="D2178" s="75" t="s">
        <v>168</v>
      </c>
      <c r="E2178" s="75" t="s">
        <v>179</v>
      </c>
      <c r="F2178" s="75" t="s">
        <v>187</v>
      </c>
      <c r="G2178" s="75"/>
      <c r="H2178" s="75"/>
      <c r="I2178" s="75" t="s">
        <v>171</v>
      </c>
      <c r="J2178" s="76">
        <v>13</v>
      </c>
      <c r="K2178" s="516" t="s">
        <v>385</v>
      </c>
      <c r="L2178" s="517">
        <v>11.45</v>
      </c>
      <c r="M2178" s="517">
        <v>12.11</v>
      </c>
      <c r="N2178" s="518">
        <v>9.6500000000000002E-2</v>
      </c>
      <c r="O2178" s="518">
        <v>9.1999999999999998E-2</v>
      </c>
      <c r="P2178" s="518">
        <v>0.10249999999999999</v>
      </c>
      <c r="Q2178" s="78">
        <v>0.44</v>
      </c>
      <c r="R2178" s="78">
        <v>0.31740000000000002</v>
      </c>
      <c r="S2178" s="69">
        <v>2.5000000000000001E-2</v>
      </c>
      <c r="T2178" s="69">
        <v>0.01</v>
      </c>
      <c r="U2178" s="518">
        <v>0.7</v>
      </c>
      <c r="V2178" s="76">
        <v>0</v>
      </c>
      <c r="W2178" s="76">
        <v>0</v>
      </c>
      <c r="X2178" s="76"/>
      <c r="Y2178" s="516" t="s">
        <v>470</v>
      </c>
    </row>
    <row r="2179" spans="1:25" x14ac:dyDescent="0.25">
      <c r="A2179" s="75" t="str">
        <f t="shared" si="77"/>
        <v>Pago_Hipoteca+Liquidez PFAE No_Premier PagHip Mas Liquidez Pago_Fijo_Puntual 13</v>
      </c>
      <c r="B2179" s="75" t="str">
        <f t="shared" si="76"/>
        <v>Pago_Hipoteca+Liquidez PFAE No_Premier PagHip Mas Liquidez Pago_Fijo_Puntual 13 0.103</v>
      </c>
      <c r="C2179" s="75" t="s">
        <v>174</v>
      </c>
      <c r="D2179" s="75" t="s">
        <v>168</v>
      </c>
      <c r="E2179" s="75" t="s">
        <v>179</v>
      </c>
      <c r="F2179" s="75" t="s">
        <v>187</v>
      </c>
      <c r="G2179" s="75"/>
      <c r="H2179" s="75"/>
      <c r="I2179" s="75" t="s">
        <v>171</v>
      </c>
      <c r="J2179" s="76">
        <v>13</v>
      </c>
      <c r="K2179" s="516" t="s">
        <v>386</v>
      </c>
      <c r="L2179" s="517">
        <v>11.86</v>
      </c>
      <c r="M2179" s="517">
        <v>12.52</v>
      </c>
      <c r="N2179" s="518">
        <v>0.10299999999999999</v>
      </c>
      <c r="O2179" s="518">
        <v>0.1</v>
      </c>
      <c r="P2179" s="518">
        <v>0.112</v>
      </c>
      <c r="Q2179" s="78">
        <v>0.44</v>
      </c>
      <c r="R2179" s="78">
        <v>0.31740000000000002</v>
      </c>
      <c r="S2179" s="69">
        <v>2.5000000000000001E-2</v>
      </c>
      <c r="T2179" s="69">
        <v>0.01</v>
      </c>
      <c r="U2179" s="518">
        <v>0.7</v>
      </c>
      <c r="V2179" s="76">
        <v>0</v>
      </c>
      <c r="W2179" s="76">
        <v>0</v>
      </c>
      <c r="X2179" s="76"/>
      <c r="Y2179" s="516" t="s">
        <v>470</v>
      </c>
    </row>
    <row r="2180" spans="1:25" x14ac:dyDescent="0.25">
      <c r="A2180" s="75" t="str">
        <f t="shared" si="77"/>
        <v>Pago_Hipoteca+Liquidez PFAE No_Premier PagHip Mas Liquidez Pago_Fijo_Puntual 12</v>
      </c>
      <c r="B2180" s="75" t="str">
        <f t="shared" si="76"/>
        <v>Pago_Hipoteca+Liquidez PFAE No_Premier PagHip Mas Liquidez Pago_Fijo_Puntual 12 0.0965</v>
      </c>
      <c r="C2180" s="75" t="s">
        <v>174</v>
      </c>
      <c r="D2180" s="75" t="s">
        <v>168</v>
      </c>
      <c r="E2180" s="75" t="s">
        <v>179</v>
      </c>
      <c r="F2180" s="75" t="s">
        <v>187</v>
      </c>
      <c r="G2180" s="75"/>
      <c r="H2180" s="75"/>
      <c r="I2180" s="75" t="s">
        <v>171</v>
      </c>
      <c r="J2180" s="76">
        <v>12</v>
      </c>
      <c r="K2180" s="516" t="s">
        <v>385</v>
      </c>
      <c r="L2180" s="517">
        <v>11.91</v>
      </c>
      <c r="M2180" s="517">
        <v>12.57</v>
      </c>
      <c r="N2180" s="518">
        <v>9.6500000000000002E-2</v>
      </c>
      <c r="O2180" s="518">
        <v>9.1999999999999998E-2</v>
      </c>
      <c r="P2180" s="518">
        <v>0.10249999999999999</v>
      </c>
      <c r="Q2180" s="78">
        <v>0.44</v>
      </c>
      <c r="R2180" s="78">
        <v>0.31740000000000002</v>
      </c>
      <c r="S2180" s="69">
        <v>2.5000000000000001E-2</v>
      </c>
      <c r="T2180" s="69">
        <v>0.01</v>
      </c>
      <c r="U2180" s="518">
        <v>0.7</v>
      </c>
      <c r="V2180" s="76">
        <v>0</v>
      </c>
      <c r="W2180" s="76">
        <v>0</v>
      </c>
      <c r="X2180" s="76"/>
      <c r="Y2180" s="516" t="s">
        <v>470</v>
      </c>
    </row>
    <row r="2181" spans="1:25" x14ac:dyDescent="0.25">
      <c r="A2181" s="75" t="str">
        <f t="shared" si="77"/>
        <v>Pago_Hipoteca+Liquidez PFAE No_Premier PagHip Mas Liquidez Pago_Fijo_Puntual 12</v>
      </c>
      <c r="B2181" s="75" t="str">
        <f t="shared" si="76"/>
        <v>Pago_Hipoteca+Liquidez PFAE No_Premier PagHip Mas Liquidez Pago_Fijo_Puntual 12 0.103</v>
      </c>
      <c r="C2181" s="75" t="s">
        <v>174</v>
      </c>
      <c r="D2181" s="75" t="s">
        <v>168</v>
      </c>
      <c r="E2181" s="75" t="s">
        <v>179</v>
      </c>
      <c r="F2181" s="75" t="s">
        <v>187</v>
      </c>
      <c r="G2181" s="75"/>
      <c r="H2181" s="75"/>
      <c r="I2181" s="75" t="s">
        <v>171</v>
      </c>
      <c r="J2181" s="76">
        <v>12</v>
      </c>
      <c r="K2181" s="516" t="s">
        <v>386</v>
      </c>
      <c r="L2181" s="517">
        <v>12.31</v>
      </c>
      <c r="M2181" s="517">
        <v>12.97</v>
      </c>
      <c r="N2181" s="518">
        <v>0.10299999999999999</v>
      </c>
      <c r="O2181" s="518">
        <v>0.1</v>
      </c>
      <c r="P2181" s="518">
        <v>0.112</v>
      </c>
      <c r="Q2181" s="78">
        <v>0.44</v>
      </c>
      <c r="R2181" s="78">
        <v>0.31740000000000002</v>
      </c>
      <c r="S2181" s="69">
        <v>2.5000000000000001E-2</v>
      </c>
      <c r="T2181" s="69">
        <v>0.01</v>
      </c>
      <c r="U2181" s="518">
        <v>0.7</v>
      </c>
      <c r="V2181" s="76">
        <v>0</v>
      </c>
      <c r="W2181" s="76">
        <v>0</v>
      </c>
      <c r="X2181" s="76"/>
      <c r="Y2181" s="516" t="s">
        <v>470</v>
      </c>
    </row>
    <row r="2182" spans="1:25" x14ac:dyDescent="0.25">
      <c r="A2182" s="75" t="str">
        <f t="shared" si="77"/>
        <v>Pago_Hipoteca+Liquidez PFAE No_Premier PagHip Mas Liquidez Pago_Fijo_Puntual 11</v>
      </c>
      <c r="B2182" s="75" t="str">
        <f t="shared" si="76"/>
        <v>Pago_Hipoteca+Liquidez PFAE No_Premier PagHip Mas Liquidez Pago_Fijo_Puntual 11 0.0965</v>
      </c>
      <c r="C2182" s="75" t="s">
        <v>174</v>
      </c>
      <c r="D2182" s="75" t="s">
        <v>168</v>
      </c>
      <c r="E2182" s="75" t="s">
        <v>179</v>
      </c>
      <c r="F2182" s="75" t="s">
        <v>187</v>
      </c>
      <c r="G2182" s="75"/>
      <c r="H2182" s="75"/>
      <c r="I2182" s="75" t="s">
        <v>171</v>
      </c>
      <c r="J2182" s="76">
        <v>11</v>
      </c>
      <c r="K2182" s="516" t="s">
        <v>385</v>
      </c>
      <c r="L2182" s="517">
        <v>12.47</v>
      </c>
      <c r="M2182" s="517">
        <v>13.13</v>
      </c>
      <c r="N2182" s="518">
        <v>9.6500000000000002E-2</v>
      </c>
      <c r="O2182" s="518">
        <v>9.1999999999999998E-2</v>
      </c>
      <c r="P2182" s="518">
        <v>0.10249999999999999</v>
      </c>
      <c r="Q2182" s="78">
        <v>0.44</v>
      </c>
      <c r="R2182" s="78">
        <v>0.31740000000000002</v>
      </c>
      <c r="S2182" s="69">
        <v>2.5000000000000001E-2</v>
      </c>
      <c r="T2182" s="69">
        <v>0.01</v>
      </c>
      <c r="U2182" s="518">
        <v>0.7</v>
      </c>
      <c r="V2182" s="76">
        <v>0</v>
      </c>
      <c r="W2182" s="76">
        <v>0</v>
      </c>
      <c r="X2182" s="76"/>
      <c r="Y2182" s="516" t="s">
        <v>470</v>
      </c>
    </row>
    <row r="2183" spans="1:25" x14ac:dyDescent="0.25">
      <c r="A2183" s="75" t="str">
        <f t="shared" si="77"/>
        <v>Pago_Hipoteca+Liquidez PFAE No_Premier PagHip Mas Liquidez Pago_Fijo_Puntual 11</v>
      </c>
      <c r="B2183" s="75" t="str">
        <f t="shared" si="76"/>
        <v>Pago_Hipoteca+Liquidez PFAE No_Premier PagHip Mas Liquidez Pago_Fijo_Puntual 11 0.103</v>
      </c>
      <c r="C2183" s="75" t="s">
        <v>174</v>
      </c>
      <c r="D2183" s="75" t="s">
        <v>168</v>
      </c>
      <c r="E2183" s="75" t="s">
        <v>179</v>
      </c>
      <c r="F2183" s="75" t="s">
        <v>187</v>
      </c>
      <c r="G2183" s="75"/>
      <c r="H2183" s="75"/>
      <c r="I2183" s="75" t="s">
        <v>171</v>
      </c>
      <c r="J2183" s="76">
        <v>11</v>
      </c>
      <c r="K2183" s="516" t="s">
        <v>386</v>
      </c>
      <c r="L2183" s="517">
        <v>12.86</v>
      </c>
      <c r="M2183" s="517">
        <v>13.52</v>
      </c>
      <c r="N2183" s="518">
        <v>0.10299999999999999</v>
      </c>
      <c r="O2183" s="518">
        <v>0.1</v>
      </c>
      <c r="P2183" s="518">
        <v>0.112</v>
      </c>
      <c r="Q2183" s="78">
        <v>0.44</v>
      </c>
      <c r="R2183" s="78">
        <v>0.31740000000000002</v>
      </c>
      <c r="S2183" s="69">
        <v>2.5000000000000001E-2</v>
      </c>
      <c r="T2183" s="69">
        <v>0.01</v>
      </c>
      <c r="U2183" s="518">
        <v>0.7</v>
      </c>
      <c r="V2183" s="76">
        <v>0</v>
      </c>
      <c r="W2183" s="76">
        <v>0</v>
      </c>
      <c r="X2183" s="76"/>
      <c r="Y2183" s="516" t="s">
        <v>470</v>
      </c>
    </row>
    <row r="2184" spans="1:25" x14ac:dyDescent="0.25">
      <c r="A2184" s="75" t="str">
        <f t="shared" si="77"/>
        <v>Pago_Hipoteca+Liquidez PFAE No_Premier PagHip Mas Liquidez Pago_Fijo_Puntual 10</v>
      </c>
      <c r="B2184" s="75" t="str">
        <f t="shared" si="76"/>
        <v>Pago_Hipoteca+Liquidez PFAE No_Premier PagHip Mas Liquidez Pago_Fijo_Puntual 10 0.0965</v>
      </c>
      <c r="C2184" s="75" t="s">
        <v>174</v>
      </c>
      <c r="D2184" s="75" t="s">
        <v>168</v>
      </c>
      <c r="E2184" s="75" t="s">
        <v>179</v>
      </c>
      <c r="F2184" s="75" t="s">
        <v>187</v>
      </c>
      <c r="G2184" s="75"/>
      <c r="H2184" s="75"/>
      <c r="I2184" s="75" t="s">
        <v>171</v>
      </c>
      <c r="J2184" s="76">
        <v>10</v>
      </c>
      <c r="K2184" s="516" t="s">
        <v>385</v>
      </c>
      <c r="L2184" s="517">
        <v>13.16</v>
      </c>
      <c r="M2184" s="517">
        <v>13.82</v>
      </c>
      <c r="N2184" s="518">
        <v>9.6500000000000002E-2</v>
      </c>
      <c r="O2184" s="518">
        <v>9.1999999999999998E-2</v>
      </c>
      <c r="P2184" s="518">
        <v>0.10249999999999999</v>
      </c>
      <c r="Q2184" s="78">
        <v>0.44</v>
      </c>
      <c r="R2184" s="78">
        <v>0.31740000000000002</v>
      </c>
      <c r="S2184" s="69">
        <v>2.5000000000000001E-2</v>
      </c>
      <c r="T2184" s="69">
        <v>0.01</v>
      </c>
      <c r="U2184" s="518">
        <v>0.7</v>
      </c>
      <c r="V2184" s="76">
        <v>0</v>
      </c>
      <c r="W2184" s="76">
        <v>0</v>
      </c>
      <c r="X2184" s="76"/>
      <c r="Y2184" s="516" t="s">
        <v>470</v>
      </c>
    </row>
    <row r="2185" spans="1:25" x14ac:dyDescent="0.25">
      <c r="A2185" s="75" t="str">
        <f t="shared" si="77"/>
        <v>Pago_Hipoteca+Liquidez PFAE No_Premier PagHip Mas Liquidez Pago_Fijo_Puntual 10</v>
      </c>
      <c r="B2185" s="75" t="str">
        <f t="shared" si="76"/>
        <v>Pago_Hipoteca+Liquidez PFAE No_Premier PagHip Mas Liquidez Pago_Fijo_Puntual 10 0.103</v>
      </c>
      <c r="C2185" s="75" t="s">
        <v>174</v>
      </c>
      <c r="D2185" s="75" t="s">
        <v>168</v>
      </c>
      <c r="E2185" s="75" t="s">
        <v>179</v>
      </c>
      <c r="F2185" s="75" t="s">
        <v>187</v>
      </c>
      <c r="G2185" s="75"/>
      <c r="H2185" s="75"/>
      <c r="I2185" s="75" t="s">
        <v>171</v>
      </c>
      <c r="J2185" s="76">
        <v>10</v>
      </c>
      <c r="K2185" s="516" t="s">
        <v>386</v>
      </c>
      <c r="L2185" s="517">
        <v>13.54</v>
      </c>
      <c r="M2185" s="517">
        <v>14.2</v>
      </c>
      <c r="N2185" s="518">
        <v>0.10299999999999999</v>
      </c>
      <c r="O2185" s="518">
        <v>0.1</v>
      </c>
      <c r="P2185" s="518">
        <v>0.112</v>
      </c>
      <c r="Q2185" s="78">
        <v>0.44</v>
      </c>
      <c r="R2185" s="78">
        <v>0.31740000000000002</v>
      </c>
      <c r="S2185" s="69">
        <v>2.5000000000000001E-2</v>
      </c>
      <c r="T2185" s="69">
        <v>0.01</v>
      </c>
      <c r="U2185" s="518">
        <v>0.7</v>
      </c>
      <c r="V2185" s="76">
        <v>0</v>
      </c>
      <c r="W2185" s="76">
        <v>0</v>
      </c>
      <c r="X2185" s="76"/>
      <c r="Y2185" s="516" t="s">
        <v>470</v>
      </c>
    </row>
    <row r="2186" spans="1:25" x14ac:dyDescent="0.25">
      <c r="A2186" s="75" t="str">
        <f t="shared" si="77"/>
        <v>Pago_Hipoteca+Liquidez PFAE No_Premier PagHip Mas Liquidez Pago_Fijo_Puntual 9</v>
      </c>
      <c r="B2186" s="75" t="str">
        <f t="shared" si="76"/>
        <v>Pago_Hipoteca+Liquidez PFAE No_Premier PagHip Mas Liquidez Pago_Fijo_Puntual 9 0.0965</v>
      </c>
      <c r="C2186" s="75" t="s">
        <v>174</v>
      </c>
      <c r="D2186" s="75" t="s">
        <v>168</v>
      </c>
      <c r="E2186" s="75" t="s">
        <v>179</v>
      </c>
      <c r="F2186" s="75" t="s">
        <v>187</v>
      </c>
      <c r="G2186" s="75"/>
      <c r="H2186" s="75"/>
      <c r="I2186" s="75" t="s">
        <v>171</v>
      </c>
      <c r="J2186" s="76">
        <v>9</v>
      </c>
      <c r="K2186" s="516" t="s">
        <v>385</v>
      </c>
      <c r="L2186" s="517">
        <v>14.01</v>
      </c>
      <c r="M2186" s="517">
        <v>14.67</v>
      </c>
      <c r="N2186" s="518">
        <v>9.6500000000000002E-2</v>
      </c>
      <c r="O2186" s="518">
        <v>9.1999999999999998E-2</v>
      </c>
      <c r="P2186" s="518">
        <v>0.10249999999999999</v>
      </c>
      <c r="Q2186" s="78">
        <v>0.44</v>
      </c>
      <c r="R2186" s="78">
        <v>0.31740000000000002</v>
      </c>
      <c r="S2186" s="69">
        <v>2.5000000000000001E-2</v>
      </c>
      <c r="T2186" s="69">
        <v>0.01</v>
      </c>
      <c r="U2186" s="518">
        <v>0.7</v>
      </c>
      <c r="V2186" s="76">
        <v>0</v>
      </c>
      <c r="W2186" s="76">
        <v>0</v>
      </c>
      <c r="X2186" s="76"/>
      <c r="Y2186" s="516" t="s">
        <v>470</v>
      </c>
    </row>
    <row r="2187" spans="1:25" x14ac:dyDescent="0.25">
      <c r="A2187" s="75" t="str">
        <f t="shared" si="77"/>
        <v>Pago_Hipoteca+Liquidez PFAE No_Premier PagHip Mas Liquidez Pago_Fijo_Puntual 9</v>
      </c>
      <c r="B2187" s="75" t="str">
        <f t="shared" si="76"/>
        <v>Pago_Hipoteca+Liquidez PFAE No_Premier PagHip Mas Liquidez Pago_Fijo_Puntual 9 0.103</v>
      </c>
      <c r="C2187" s="75" t="s">
        <v>174</v>
      </c>
      <c r="D2187" s="75" t="s">
        <v>168</v>
      </c>
      <c r="E2187" s="75" t="s">
        <v>179</v>
      </c>
      <c r="F2187" s="75" t="s">
        <v>187</v>
      </c>
      <c r="G2187" s="75"/>
      <c r="H2187" s="75"/>
      <c r="I2187" s="75" t="s">
        <v>171</v>
      </c>
      <c r="J2187" s="76">
        <v>9</v>
      </c>
      <c r="K2187" s="516" t="s">
        <v>386</v>
      </c>
      <c r="L2187" s="517">
        <v>14.37</v>
      </c>
      <c r="M2187" s="517">
        <v>15.03</v>
      </c>
      <c r="N2187" s="518">
        <v>0.10299999999999999</v>
      </c>
      <c r="O2187" s="518">
        <v>0.1</v>
      </c>
      <c r="P2187" s="518">
        <v>0.112</v>
      </c>
      <c r="Q2187" s="78">
        <v>0.44</v>
      </c>
      <c r="R2187" s="78">
        <v>0.31740000000000002</v>
      </c>
      <c r="S2187" s="69">
        <v>2.5000000000000001E-2</v>
      </c>
      <c r="T2187" s="69">
        <v>0.01</v>
      </c>
      <c r="U2187" s="518">
        <v>0.7</v>
      </c>
      <c r="V2187" s="76">
        <v>0</v>
      </c>
      <c r="W2187" s="76">
        <v>0</v>
      </c>
      <c r="X2187" s="76"/>
      <c r="Y2187" s="516" t="s">
        <v>470</v>
      </c>
    </row>
    <row r="2188" spans="1:25" x14ac:dyDescent="0.25">
      <c r="A2188" s="75" t="str">
        <f t="shared" si="77"/>
        <v>Pago_Hipoteca+Liquidez PFAE No_Premier PagHip Mas Liquidez Pago_Fijo_Puntual 8</v>
      </c>
      <c r="B2188" s="75" t="str">
        <f t="shared" si="76"/>
        <v>Pago_Hipoteca+Liquidez PFAE No_Premier PagHip Mas Liquidez Pago_Fijo_Puntual 8 0.0965</v>
      </c>
      <c r="C2188" s="75" t="s">
        <v>174</v>
      </c>
      <c r="D2188" s="75" t="s">
        <v>168</v>
      </c>
      <c r="E2188" s="75" t="s">
        <v>179</v>
      </c>
      <c r="F2188" s="75" t="s">
        <v>187</v>
      </c>
      <c r="G2188" s="75"/>
      <c r="H2188" s="75"/>
      <c r="I2188" s="75" t="s">
        <v>171</v>
      </c>
      <c r="J2188" s="76">
        <v>8</v>
      </c>
      <c r="K2188" s="516" t="s">
        <v>385</v>
      </c>
      <c r="L2188" s="517">
        <v>15.09</v>
      </c>
      <c r="M2188" s="517">
        <v>15.75</v>
      </c>
      <c r="N2188" s="518">
        <v>9.6500000000000002E-2</v>
      </c>
      <c r="O2188" s="518">
        <v>9.1999999999999998E-2</v>
      </c>
      <c r="P2188" s="518">
        <v>0.10249999999999999</v>
      </c>
      <c r="Q2188" s="78">
        <v>0.44</v>
      </c>
      <c r="R2188" s="78">
        <v>0.31740000000000002</v>
      </c>
      <c r="S2188" s="69">
        <v>2.5000000000000001E-2</v>
      </c>
      <c r="T2188" s="69">
        <v>0.01</v>
      </c>
      <c r="U2188" s="518">
        <v>0.7</v>
      </c>
      <c r="V2188" s="76">
        <v>0</v>
      </c>
      <c r="W2188" s="76">
        <v>0</v>
      </c>
      <c r="X2188" s="76"/>
      <c r="Y2188" s="516" t="s">
        <v>470</v>
      </c>
    </row>
    <row r="2189" spans="1:25" x14ac:dyDescent="0.25">
      <c r="A2189" s="75" t="str">
        <f t="shared" si="77"/>
        <v>Pago_Hipoteca+Liquidez PFAE No_Premier PagHip Mas Liquidez Pago_Fijo_Puntual 8</v>
      </c>
      <c r="B2189" s="75" t="str">
        <f t="shared" si="76"/>
        <v>Pago_Hipoteca+Liquidez PFAE No_Premier PagHip Mas Liquidez Pago_Fijo_Puntual 8 0.103</v>
      </c>
      <c r="C2189" s="75" t="s">
        <v>174</v>
      </c>
      <c r="D2189" s="75" t="s">
        <v>168</v>
      </c>
      <c r="E2189" s="75" t="s">
        <v>179</v>
      </c>
      <c r="F2189" s="75" t="s">
        <v>187</v>
      </c>
      <c r="G2189" s="75"/>
      <c r="H2189" s="75"/>
      <c r="I2189" s="75" t="s">
        <v>171</v>
      </c>
      <c r="J2189" s="76">
        <v>8</v>
      </c>
      <c r="K2189" s="516" t="s">
        <v>386</v>
      </c>
      <c r="L2189" s="517">
        <v>15.44</v>
      </c>
      <c r="M2189" s="517">
        <v>16.100000000000001</v>
      </c>
      <c r="N2189" s="518">
        <v>0.10299999999999999</v>
      </c>
      <c r="O2189" s="518">
        <v>0.1</v>
      </c>
      <c r="P2189" s="518">
        <v>0.112</v>
      </c>
      <c r="Q2189" s="78">
        <v>0.44</v>
      </c>
      <c r="R2189" s="78">
        <v>0.31740000000000002</v>
      </c>
      <c r="S2189" s="69">
        <v>2.5000000000000001E-2</v>
      </c>
      <c r="T2189" s="69">
        <v>0.01</v>
      </c>
      <c r="U2189" s="518">
        <v>0.7</v>
      </c>
      <c r="V2189" s="76">
        <v>0</v>
      </c>
      <c r="W2189" s="76">
        <v>0</v>
      </c>
      <c r="X2189" s="76"/>
      <c r="Y2189" s="516" t="s">
        <v>470</v>
      </c>
    </row>
    <row r="2190" spans="1:25" x14ac:dyDescent="0.25">
      <c r="A2190" s="75" t="str">
        <f t="shared" si="77"/>
        <v>Pago_Hipoteca+Liquidez PFAE No_Premier PagHip Mas Liquidez Pago_Fijo_Puntual 7</v>
      </c>
      <c r="B2190" s="75" t="str">
        <f t="shared" si="76"/>
        <v>Pago_Hipoteca+Liquidez PFAE No_Premier PagHip Mas Liquidez Pago_Fijo_Puntual 7 0.0965</v>
      </c>
      <c r="C2190" s="75" t="s">
        <v>174</v>
      </c>
      <c r="D2190" s="75" t="s">
        <v>168</v>
      </c>
      <c r="E2190" s="75" t="s">
        <v>179</v>
      </c>
      <c r="F2190" s="75" t="s">
        <v>187</v>
      </c>
      <c r="G2190" s="75"/>
      <c r="H2190" s="75"/>
      <c r="I2190" s="75" t="s">
        <v>171</v>
      </c>
      <c r="J2190" s="76">
        <v>7</v>
      </c>
      <c r="K2190" s="516" t="s">
        <v>385</v>
      </c>
      <c r="L2190" s="517">
        <v>16.5</v>
      </c>
      <c r="M2190" s="517">
        <v>17.16</v>
      </c>
      <c r="N2190" s="518">
        <v>9.6500000000000002E-2</v>
      </c>
      <c r="O2190" s="518">
        <v>9.1999999999999998E-2</v>
      </c>
      <c r="P2190" s="518">
        <v>0.10249999999999999</v>
      </c>
      <c r="Q2190" s="78">
        <v>0.44</v>
      </c>
      <c r="R2190" s="78">
        <v>0.31740000000000002</v>
      </c>
      <c r="S2190" s="69">
        <v>2.5000000000000001E-2</v>
      </c>
      <c r="T2190" s="69">
        <v>0.01</v>
      </c>
      <c r="U2190" s="518">
        <v>0.7</v>
      </c>
      <c r="V2190" s="76">
        <v>0</v>
      </c>
      <c r="W2190" s="76">
        <v>0</v>
      </c>
      <c r="X2190" s="76"/>
      <c r="Y2190" s="516" t="s">
        <v>470</v>
      </c>
    </row>
    <row r="2191" spans="1:25" x14ac:dyDescent="0.25">
      <c r="A2191" s="75" t="str">
        <f t="shared" si="77"/>
        <v>Pago_Hipoteca+Liquidez PFAE No_Premier PagHip Mas Liquidez Pago_Fijo_Puntual 7</v>
      </c>
      <c r="B2191" s="75" t="str">
        <f t="shared" si="76"/>
        <v>Pago_Hipoteca+Liquidez PFAE No_Premier PagHip Mas Liquidez Pago_Fijo_Puntual 7 0.103</v>
      </c>
      <c r="C2191" s="75" t="s">
        <v>174</v>
      </c>
      <c r="D2191" s="75" t="s">
        <v>168</v>
      </c>
      <c r="E2191" s="75" t="s">
        <v>179</v>
      </c>
      <c r="F2191" s="75" t="s">
        <v>187</v>
      </c>
      <c r="G2191" s="75"/>
      <c r="H2191" s="75"/>
      <c r="I2191" s="75" t="s">
        <v>171</v>
      </c>
      <c r="J2191" s="76">
        <v>7</v>
      </c>
      <c r="K2191" s="516" t="s">
        <v>386</v>
      </c>
      <c r="L2191" s="517">
        <v>16.84</v>
      </c>
      <c r="M2191" s="517">
        <v>17.5</v>
      </c>
      <c r="N2191" s="518">
        <v>0.10299999999999999</v>
      </c>
      <c r="O2191" s="518">
        <v>0.1</v>
      </c>
      <c r="P2191" s="518">
        <v>0.112</v>
      </c>
      <c r="Q2191" s="78">
        <v>0.44</v>
      </c>
      <c r="R2191" s="78">
        <v>0.31740000000000002</v>
      </c>
      <c r="S2191" s="69">
        <v>2.5000000000000001E-2</v>
      </c>
      <c r="T2191" s="69">
        <v>0.01</v>
      </c>
      <c r="U2191" s="518">
        <v>0.7</v>
      </c>
      <c r="V2191" s="76">
        <v>0</v>
      </c>
      <c r="W2191" s="76">
        <v>0</v>
      </c>
      <c r="X2191" s="76"/>
      <c r="Y2191" s="516" t="s">
        <v>470</v>
      </c>
    </row>
    <row r="2192" spans="1:25" x14ac:dyDescent="0.25">
      <c r="A2192" s="75" t="str">
        <f t="shared" si="77"/>
        <v>Pago_Hipoteca+Liquidez PFAE No_Premier PagHip Mas Liquidez Pago_Fijo_Puntual 6</v>
      </c>
      <c r="B2192" s="75" t="str">
        <f t="shared" si="76"/>
        <v>Pago_Hipoteca+Liquidez PFAE No_Premier PagHip Mas Liquidez Pago_Fijo_Puntual 6 0.0965</v>
      </c>
      <c r="C2192" s="75" t="s">
        <v>174</v>
      </c>
      <c r="D2192" s="75" t="s">
        <v>168</v>
      </c>
      <c r="E2192" s="75" t="s">
        <v>179</v>
      </c>
      <c r="F2192" s="75" t="s">
        <v>187</v>
      </c>
      <c r="G2192" s="75"/>
      <c r="H2192" s="75"/>
      <c r="I2192" s="75" t="s">
        <v>171</v>
      </c>
      <c r="J2192" s="76">
        <v>6</v>
      </c>
      <c r="K2192" s="516" t="s">
        <v>385</v>
      </c>
      <c r="L2192" s="517">
        <v>18.41</v>
      </c>
      <c r="M2192" s="517">
        <v>19.07</v>
      </c>
      <c r="N2192" s="518">
        <v>9.6500000000000002E-2</v>
      </c>
      <c r="O2192" s="518">
        <v>9.1999999999999998E-2</v>
      </c>
      <c r="P2192" s="518">
        <v>0.10249999999999999</v>
      </c>
      <c r="Q2192" s="78">
        <v>0.44</v>
      </c>
      <c r="R2192" s="78">
        <v>0.31740000000000002</v>
      </c>
      <c r="S2192" s="69">
        <v>2.5000000000000001E-2</v>
      </c>
      <c r="T2192" s="69">
        <v>0.01</v>
      </c>
      <c r="U2192" s="518">
        <v>0.7</v>
      </c>
      <c r="V2192" s="76">
        <v>0</v>
      </c>
      <c r="W2192" s="76">
        <v>0</v>
      </c>
      <c r="X2192" s="76"/>
      <c r="Y2192" s="516" t="s">
        <v>470</v>
      </c>
    </row>
    <row r="2193" spans="1:25" x14ac:dyDescent="0.25">
      <c r="A2193" s="75" t="str">
        <f t="shared" si="77"/>
        <v>Pago_Hipoteca+Liquidez PFAE No_Premier PagHip Mas Liquidez Pago_Fijo_Puntual 6</v>
      </c>
      <c r="B2193" s="75" t="str">
        <f t="shared" si="76"/>
        <v>Pago_Hipoteca+Liquidez PFAE No_Premier PagHip Mas Liquidez Pago_Fijo_Puntual 6 0.103</v>
      </c>
      <c r="C2193" s="75" t="s">
        <v>174</v>
      </c>
      <c r="D2193" s="75" t="s">
        <v>168</v>
      </c>
      <c r="E2193" s="75" t="s">
        <v>179</v>
      </c>
      <c r="F2193" s="75" t="s">
        <v>187</v>
      </c>
      <c r="G2193" s="75"/>
      <c r="H2193" s="75"/>
      <c r="I2193" s="75" t="s">
        <v>171</v>
      </c>
      <c r="J2193" s="76">
        <v>6</v>
      </c>
      <c r="K2193" s="516" t="s">
        <v>386</v>
      </c>
      <c r="L2193" s="517">
        <v>18.739999999999998</v>
      </c>
      <c r="M2193" s="517">
        <v>19.399999999999999</v>
      </c>
      <c r="N2193" s="518">
        <v>0.10299999999999999</v>
      </c>
      <c r="O2193" s="518">
        <v>0.1</v>
      </c>
      <c r="P2193" s="518">
        <v>0.112</v>
      </c>
      <c r="Q2193" s="78">
        <v>0.44</v>
      </c>
      <c r="R2193" s="78">
        <v>0.31740000000000002</v>
      </c>
      <c r="S2193" s="69">
        <v>2.5000000000000001E-2</v>
      </c>
      <c r="T2193" s="69">
        <v>0.01</v>
      </c>
      <c r="U2193" s="518">
        <v>0.7</v>
      </c>
      <c r="V2193" s="76">
        <v>0</v>
      </c>
      <c r="W2193" s="76">
        <v>0</v>
      </c>
      <c r="X2193" s="76"/>
      <c r="Y2193" s="516" t="s">
        <v>470</v>
      </c>
    </row>
    <row r="2194" spans="1:25" x14ac:dyDescent="0.25">
      <c r="A2194" s="75" t="str">
        <f t="shared" si="77"/>
        <v>Pago_Hipoteca+Liquidez PFAE No_Premier PagHip Mas Liquidez Pago_Fijo_Puntual 5</v>
      </c>
      <c r="B2194" s="75" t="str">
        <f t="shared" si="76"/>
        <v>Pago_Hipoteca+Liquidez PFAE No_Premier PagHip Mas Liquidez Pago_Fijo_Puntual 5 0.0965</v>
      </c>
      <c r="C2194" s="75" t="s">
        <v>174</v>
      </c>
      <c r="D2194" s="75" t="s">
        <v>168</v>
      </c>
      <c r="E2194" s="75" t="s">
        <v>179</v>
      </c>
      <c r="F2194" s="75" t="s">
        <v>187</v>
      </c>
      <c r="G2194" s="75"/>
      <c r="H2194" s="75"/>
      <c r="I2194" s="75" t="s">
        <v>171</v>
      </c>
      <c r="J2194" s="76">
        <v>5</v>
      </c>
      <c r="K2194" s="516" t="s">
        <v>385</v>
      </c>
      <c r="L2194" s="517">
        <v>21.12</v>
      </c>
      <c r="M2194" s="517">
        <v>21.78</v>
      </c>
      <c r="N2194" s="518">
        <v>9.6500000000000002E-2</v>
      </c>
      <c r="O2194" s="518">
        <v>9.1999999999999998E-2</v>
      </c>
      <c r="P2194" s="518">
        <v>0.10249999999999999</v>
      </c>
      <c r="Q2194" s="78">
        <v>0.44</v>
      </c>
      <c r="R2194" s="78">
        <v>0.31740000000000002</v>
      </c>
      <c r="S2194" s="69">
        <v>2.5000000000000001E-2</v>
      </c>
      <c r="T2194" s="69">
        <v>0.01</v>
      </c>
      <c r="U2194" s="518">
        <v>0.7</v>
      </c>
      <c r="V2194" s="76">
        <v>0</v>
      </c>
      <c r="W2194" s="76">
        <v>0</v>
      </c>
      <c r="X2194" s="76"/>
      <c r="Y2194" s="516" t="s">
        <v>470</v>
      </c>
    </row>
    <row r="2195" spans="1:25" x14ac:dyDescent="0.25">
      <c r="A2195" s="75" t="str">
        <f t="shared" si="77"/>
        <v>Pago_Hipoteca+Liquidez PFAE No_Premier PagHip Mas Liquidez Pago_Fijo_Puntual 5</v>
      </c>
      <c r="B2195" s="75" t="str">
        <f t="shared" si="76"/>
        <v>Pago_Hipoteca+Liquidez PFAE No_Premier PagHip Mas Liquidez Pago_Fijo_Puntual 5 0.103</v>
      </c>
      <c r="C2195" s="75" t="s">
        <v>174</v>
      </c>
      <c r="D2195" s="75" t="s">
        <v>168</v>
      </c>
      <c r="E2195" s="75" t="s">
        <v>179</v>
      </c>
      <c r="F2195" s="75" t="s">
        <v>187</v>
      </c>
      <c r="G2195" s="75"/>
      <c r="H2195" s="75"/>
      <c r="I2195" s="75" t="s">
        <v>171</v>
      </c>
      <c r="J2195" s="76">
        <v>5</v>
      </c>
      <c r="K2195" s="516" t="s">
        <v>386</v>
      </c>
      <c r="L2195" s="517">
        <v>21.44</v>
      </c>
      <c r="M2195" s="517">
        <v>22.1</v>
      </c>
      <c r="N2195" s="518">
        <v>0.10299999999999999</v>
      </c>
      <c r="O2195" s="518">
        <v>0.1</v>
      </c>
      <c r="P2195" s="518">
        <v>0.112</v>
      </c>
      <c r="Q2195" s="78">
        <v>0.44</v>
      </c>
      <c r="R2195" s="78">
        <v>0.31740000000000002</v>
      </c>
      <c r="S2195" s="69">
        <v>2.5000000000000001E-2</v>
      </c>
      <c r="T2195" s="69">
        <v>0.01</v>
      </c>
      <c r="U2195" s="518">
        <v>0.7</v>
      </c>
      <c r="V2195" s="76">
        <v>0</v>
      </c>
      <c r="W2195" s="76">
        <v>0</v>
      </c>
      <c r="X2195" s="76"/>
      <c r="Y2195" s="516" t="s">
        <v>470</v>
      </c>
    </row>
    <row r="2196" spans="1:25" x14ac:dyDescent="0.25">
      <c r="A2196" s="75" t="str">
        <f t="shared" si="77"/>
        <v>Pago_Hipoteca+Liquidez PFAE Premier PagHip Mas Liquidez Pago_Fijo_Puntual Si 20</v>
      </c>
      <c r="B2196" s="75" t="str">
        <f t="shared" si="76"/>
        <v>Pago_Hipoteca+Liquidez PFAE Premier PagHip Mas Liquidez Pago_Fijo_Puntual Si 20 0.103</v>
      </c>
      <c r="C2196" s="75" t="s">
        <v>174</v>
      </c>
      <c r="D2196" s="75" t="s">
        <v>168</v>
      </c>
      <c r="E2196" s="75" t="s">
        <v>143</v>
      </c>
      <c r="F2196" s="75" t="s">
        <v>187</v>
      </c>
      <c r="G2196" s="75"/>
      <c r="H2196" s="75"/>
      <c r="I2196" s="75" t="s">
        <v>171</v>
      </c>
      <c r="J2196" s="76">
        <v>20</v>
      </c>
      <c r="K2196" s="519" t="s">
        <v>387</v>
      </c>
      <c r="L2196" s="520">
        <v>10.16</v>
      </c>
      <c r="M2196" s="520">
        <v>10.82</v>
      </c>
      <c r="N2196" s="507">
        <v>0.10299999999999999</v>
      </c>
      <c r="O2196" s="507">
        <v>0.1</v>
      </c>
      <c r="P2196" s="507">
        <v>0.112</v>
      </c>
      <c r="Q2196" s="78">
        <v>0.44</v>
      </c>
      <c r="R2196" s="78">
        <v>0.31740000000000002</v>
      </c>
      <c r="S2196" s="69">
        <v>2.5000000000000001E-2</v>
      </c>
      <c r="T2196" s="69">
        <v>0.01</v>
      </c>
      <c r="U2196" s="507">
        <v>0.85</v>
      </c>
      <c r="V2196" s="76">
        <v>0</v>
      </c>
      <c r="W2196" s="76">
        <v>0</v>
      </c>
      <c r="X2196" s="76" t="s">
        <v>147</v>
      </c>
      <c r="Y2196" s="519" t="s">
        <v>469</v>
      </c>
    </row>
    <row r="2197" spans="1:25" x14ac:dyDescent="0.25">
      <c r="A2197" s="75" t="str">
        <f t="shared" si="77"/>
        <v>Pago_Hipoteca+Liquidez PFAE Premier PagHip Mas Liquidez Pago_Fijo_Puntual Si 19</v>
      </c>
      <c r="B2197" s="75" t="str">
        <f t="shared" ref="B2197:B2245" si="78">CONCATENATE(A2197," ",N2197)</f>
        <v>Pago_Hipoteca+Liquidez PFAE Premier PagHip Mas Liquidez Pago_Fijo_Puntual Si 19 0.103</v>
      </c>
      <c r="C2197" s="75" t="s">
        <v>174</v>
      </c>
      <c r="D2197" s="75" t="s">
        <v>168</v>
      </c>
      <c r="E2197" s="75" t="s">
        <v>143</v>
      </c>
      <c r="F2197" s="75" t="s">
        <v>187</v>
      </c>
      <c r="G2197" s="75"/>
      <c r="H2197" s="75"/>
      <c r="I2197" s="75" t="s">
        <v>171</v>
      </c>
      <c r="J2197" s="76">
        <v>19</v>
      </c>
      <c r="K2197" s="519" t="s">
        <v>387</v>
      </c>
      <c r="L2197" s="520">
        <v>10.3</v>
      </c>
      <c r="M2197" s="520">
        <v>10.96</v>
      </c>
      <c r="N2197" s="507">
        <v>0.10299999999999999</v>
      </c>
      <c r="O2197" s="507">
        <v>0.1</v>
      </c>
      <c r="P2197" s="507">
        <v>0.112</v>
      </c>
      <c r="Q2197" s="78">
        <v>0.44</v>
      </c>
      <c r="R2197" s="78">
        <v>0.31740000000000002</v>
      </c>
      <c r="S2197" s="69">
        <v>2.5000000000000001E-2</v>
      </c>
      <c r="T2197" s="69">
        <v>0.01</v>
      </c>
      <c r="U2197" s="507">
        <v>0.85</v>
      </c>
      <c r="V2197" s="76">
        <v>0</v>
      </c>
      <c r="W2197" s="76">
        <v>0</v>
      </c>
      <c r="X2197" s="76" t="s">
        <v>147</v>
      </c>
      <c r="Y2197" s="519" t="s">
        <v>469</v>
      </c>
    </row>
    <row r="2198" spans="1:25" x14ac:dyDescent="0.25">
      <c r="A2198" s="75" t="str">
        <f t="shared" ref="A2198:A2246" si="79">TRIM(CONCATENATE(C2198," ",D2198," ",E2198," ",F2198," ",G2198," ",I2198," ",X2198," ",J2198))</f>
        <v>Pago_Hipoteca+Liquidez PFAE Premier PagHip Mas Liquidez Pago_Fijo_Puntual Si 18</v>
      </c>
      <c r="B2198" s="75" t="str">
        <f t="shared" si="78"/>
        <v>Pago_Hipoteca+Liquidez PFAE Premier PagHip Mas Liquidez Pago_Fijo_Puntual Si 18 0.103</v>
      </c>
      <c r="C2198" s="75" t="s">
        <v>174</v>
      </c>
      <c r="D2198" s="75" t="s">
        <v>168</v>
      </c>
      <c r="E2198" s="75" t="s">
        <v>143</v>
      </c>
      <c r="F2198" s="75" t="s">
        <v>187</v>
      </c>
      <c r="G2198" s="75"/>
      <c r="H2198" s="75"/>
      <c r="I2198" s="75" t="s">
        <v>171</v>
      </c>
      <c r="J2198" s="76">
        <v>18</v>
      </c>
      <c r="K2198" s="519" t="s">
        <v>387</v>
      </c>
      <c r="L2198" s="520">
        <v>10.47</v>
      </c>
      <c r="M2198" s="520">
        <v>11.13</v>
      </c>
      <c r="N2198" s="507">
        <v>0.10299999999999999</v>
      </c>
      <c r="O2198" s="507">
        <v>0.1</v>
      </c>
      <c r="P2198" s="507">
        <v>0.112</v>
      </c>
      <c r="Q2198" s="78">
        <v>0.44</v>
      </c>
      <c r="R2198" s="78">
        <v>0.31740000000000002</v>
      </c>
      <c r="S2198" s="69">
        <v>2.5000000000000001E-2</v>
      </c>
      <c r="T2198" s="69">
        <v>0.01</v>
      </c>
      <c r="U2198" s="507">
        <v>0.85</v>
      </c>
      <c r="V2198" s="76">
        <v>0</v>
      </c>
      <c r="W2198" s="76">
        <v>0</v>
      </c>
      <c r="X2198" s="76" t="s">
        <v>147</v>
      </c>
      <c r="Y2198" s="519" t="s">
        <v>469</v>
      </c>
    </row>
    <row r="2199" spans="1:25" x14ac:dyDescent="0.25">
      <c r="A2199" s="75" t="str">
        <f t="shared" si="79"/>
        <v>Pago_Hipoteca+Liquidez PFAE Premier PagHip Mas Liquidez Pago_Fijo_Puntual Si 17</v>
      </c>
      <c r="B2199" s="75" t="str">
        <f t="shared" si="78"/>
        <v>Pago_Hipoteca+Liquidez PFAE Premier PagHip Mas Liquidez Pago_Fijo_Puntual Si 17 0.103</v>
      </c>
      <c r="C2199" s="75" t="s">
        <v>174</v>
      </c>
      <c r="D2199" s="75" t="s">
        <v>168</v>
      </c>
      <c r="E2199" s="75" t="s">
        <v>143</v>
      </c>
      <c r="F2199" s="75" t="s">
        <v>187</v>
      </c>
      <c r="G2199" s="75"/>
      <c r="H2199" s="75"/>
      <c r="I2199" s="75" t="s">
        <v>171</v>
      </c>
      <c r="J2199" s="76">
        <v>17</v>
      </c>
      <c r="K2199" s="519" t="s">
        <v>387</v>
      </c>
      <c r="L2199" s="520">
        <v>10.67</v>
      </c>
      <c r="M2199" s="520">
        <v>11.33</v>
      </c>
      <c r="N2199" s="507">
        <v>0.10299999999999999</v>
      </c>
      <c r="O2199" s="507">
        <v>0.1</v>
      </c>
      <c r="P2199" s="507">
        <v>0.112</v>
      </c>
      <c r="Q2199" s="78">
        <v>0.44</v>
      </c>
      <c r="R2199" s="78">
        <v>0.31740000000000002</v>
      </c>
      <c r="S2199" s="69">
        <v>2.5000000000000001E-2</v>
      </c>
      <c r="T2199" s="69">
        <v>0.01</v>
      </c>
      <c r="U2199" s="507">
        <v>0.85</v>
      </c>
      <c r="V2199" s="76">
        <v>0</v>
      </c>
      <c r="W2199" s="76">
        <v>0</v>
      </c>
      <c r="X2199" s="76" t="s">
        <v>147</v>
      </c>
      <c r="Y2199" s="519" t="s">
        <v>469</v>
      </c>
    </row>
    <row r="2200" spans="1:25" x14ac:dyDescent="0.25">
      <c r="A2200" s="75" t="str">
        <f t="shared" si="79"/>
        <v>Pago_Hipoteca+Liquidez PFAE Premier PagHip Mas Liquidez Pago_Fijo_Puntual Si 16</v>
      </c>
      <c r="B2200" s="75" t="str">
        <f t="shared" si="78"/>
        <v>Pago_Hipoteca+Liquidez PFAE Premier PagHip Mas Liquidez Pago_Fijo_Puntual Si 16 0.103</v>
      </c>
      <c r="C2200" s="75" t="s">
        <v>174</v>
      </c>
      <c r="D2200" s="75" t="s">
        <v>168</v>
      </c>
      <c r="E2200" s="75" t="s">
        <v>143</v>
      </c>
      <c r="F2200" s="75" t="s">
        <v>187</v>
      </c>
      <c r="G2200" s="75"/>
      <c r="H2200" s="75"/>
      <c r="I2200" s="75" t="s">
        <v>171</v>
      </c>
      <c r="J2200" s="76">
        <v>16</v>
      </c>
      <c r="K2200" s="519" t="s">
        <v>387</v>
      </c>
      <c r="L2200" s="520">
        <v>10.9</v>
      </c>
      <c r="M2200" s="520">
        <v>11.56</v>
      </c>
      <c r="N2200" s="507">
        <v>0.10299999999999999</v>
      </c>
      <c r="O2200" s="507">
        <v>0.1</v>
      </c>
      <c r="P2200" s="507">
        <v>0.112</v>
      </c>
      <c r="Q2200" s="78">
        <v>0.44</v>
      </c>
      <c r="R2200" s="78">
        <v>0.31740000000000002</v>
      </c>
      <c r="S2200" s="69">
        <v>2.5000000000000001E-2</v>
      </c>
      <c r="T2200" s="69">
        <v>0.01</v>
      </c>
      <c r="U2200" s="507">
        <v>0.85</v>
      </c>
      <c r="V2200" s="76">
        <v>0</v>
      </c>
      <c r="W2200" s="76">
        <v>0</v>
      </c>
      <c r="X2200" s="76" t="s">
        <v>147</v>
      </c>
      <c r="Y2200" s="519" t="s">
        <v>469</v>
      </c>
    </row>
    <row r="2201" spans="1:25" x14ac:dyDescent="0.25">
      <c r="A2201" s="75" t="str">
        <f t="shared" si="79"/>
        <v>Pago_Hipoteca+Liquidez PFAE Premier PagHip Mas Liquidez Pago_Fijo_Puntual Si 15</v>
      </c>
      <c r="B2201" s="75" t="str">
        <f t="shared" si="78"/>
        <v>Pago_Hipoteca+Liquidez PFAE Premier PagHip Mas Liquidez Pago_Fijo_Puntual Si 15 0.103</v>
      </c>
      <c r="C2201" s="75" t="s">
        <v>174</v>
      </c>
      <c r="D2201" s="75" t="s">
        <v>168</v>
      </c>
      <c r="E2201" s="75" t="s">
        <v>143</v>
      </c>
      <c r="F2201" s="75" t="s">
        <v>187</v>
      </c>
      <c r="G2201" s="75"/>
      <c r="H2201" s="75"/>
      <c r="I2201" s="75" t="s">
        <v>171</v>
      </c>
      <c r="J2201" s="76">
        <v>15</v>
      </c>
      <c r="K2201" s="519" t="s">
        <v>387</v>
      </c>
      <c r="L2201" s="520">
        <v>11.18</v>
      </c>
      <c r="M2201" s="520">
        <v>11.84</v>
      </c>
      <c r="N2201" s="507">
        <v>0.10299999999999999</v>
      </c>
      <c r="O2201" s="507">
        <v>0.1</v>
      </c>
      <c r="P2201" s="507">
        <v>0.112</v>
      </c>
      <c r="Q2201" s="78">
        <v>0.44</v>
      </c>
      <c r="R2201" s="78">
        <v>0.31740000000000002</v>
      </c>
      <c r="S2201" s="69">
        <v>2.5000000000000001E-2</v>
      </c>
      <c r="T2201" s="69">
        <v>0.01</v>
      </c>
      <c r="U2201" s="507">
        <v>0.85</v>
      </c>
      <c r="V2201" s="76">
        <v>0</v>
      </c>
      <c r="W2201" s="76">
        <v>0</v>
      </c>
      <c r="X2201" s="76" t="s">
        <v>147</v>
      </c>
      <c r="Y2201" s="519" t="s">
        <v>469</v>
      </c>
    </row>
    <row r="2202" spans="1:25" x14ac:dyDescent="0.25">
      <c r="A2202" s="75" t="str">
        <f t="shared" si="79"/>
        <v>Pago_Hipoteca+Liquidez PFAE Premier PagHip Mas Liquidez Pago_Fijo_Puntual Si 14</v>
      </c>
      <c r="B2202" s="75" t="str">
        <f t="shared" si="78"/>
        <v>Pago_Hipoteca+Liquidez PFAE Premier PagHip Mas Liquidez Pago_Fijo_Puntual Si 14 0.103</v>
      </c>
      <c r="C2202" s="75" t="s">
        <v>174</v>
      </c>
      <c r="D2202" s="75" t="s">
        <v>168</v>
      </c>
      <c r="E2202" s="75" t="s">
        <v>143</v>
      </c>
      <c r="F2202" s="75" t="s">
        <v>187</v>
      </c>
      <c r="G2202" s="75"/>
      <c r="H2202" s="75"/>
      <c r="I2202" s="75" t="s">
        <v>171</v>
      </c>
      <c r="J2202" s="76">
        <v>14</v>
      </c>
      <c r="K2202" s="519" t="s">
        <v>387</v>
      </c>
      <c r="L2202" s="520">
        <v>11.49</v>
      </c>
      <c r="M2202" s="520">
        <v>12.15</v>
      </c>
      <c r="N2202" s="507">
        <v>0.10299999999999999</v>
      </c>
      <c r="O2202" s="507">
        <v>0.1</v>
      </c>
      <c r="P2202" s="507">
        <v>0.112</v>
      </c>
      <c r="Q2202" s="78">
        <v>0.44</v>
      </c>
      <c r="R2202" s="78">
        <v>0.31740000000000002</v>
      </c>
      <c r="S2202" s="69">
        <v>2.5000000000000001E-2</v>
      </c>
      <c r="T2202" s="69">
        <v>0.01</v>
      </c>
      <c r="U2202" s="507">
        <v>0.85</v>
      </c>
      <c r="V2202" s="76">
        <v>0</v>
      </c>
      <c r="W2202" s="76">
        <v>0</v>
      </c>
      <c r="X2202" s="76" t="s">
        <v>147</v>
      </c>
      <c r="Y2202" s="519" t="s">
        <v>469</v>
      </c>
    </row>
    <row r="2203" spans="1:25" x14ac:dyDescent="0.25">
      <c r="A2203" s="75" t="str">
        <f t="shared" si="79"/>
        <v>Pago_Hipoteca+Liquidez PFAE Premier PagHip Mas Liquidez Pago_Fijo_Puntual Si 13</v>
      </c>
      <c r="B2203" s="75" t="str">
        <f t="shared" si="78"/>
        <v>Pago_Hipoteca+Liquidez PFAE Premier PagHip Mas Liquidez Pago_Fijo_Puntual Si 13 0.103</v>
      </c>
      <c r="C2203" s="75" t="s">
        <v>174</v>
      </c>
      <c r="D2203" s="75" t="s">
        <v>168</v>
      </c>
      <c r="E2203" s="75" t="s">
        <v>143</v>
      </c>
      <c r="F2203" s="75" t="s">
        <v>187</v>
      </c>
      <c r="G2203" s="75"/>
      <c r="H2203" s="75"/>
      <c r="I2203" s="75" t="s">
        <v>171</v>
      </c>
      <c r="J2203" s="76">
        <v>13</v>
      </c>
      <c r="K2203" s="519" t="s">
        <v>387</v>
      </c>
      <c r="L2203" s="520">
        <v>11.86</v>
      </c>
      <c r="M2203" s="520">
        <v>12.52</v>
      </c>
      <c r="N2203" s="507">
        <v>0.10299999999999999</v>
      </c>
      <c r="O2203" s="507">
        <v>0.1</v>
      </c>
      <c r="P2203" s="507">
        <v>0.112</v>
      </c>
      <c r="Q2203" s="78">
        <v>0.44</v>
      </c>
      <c r="R2203" s="78">
        <v>0.31740000000000002</v>
      </c>
      <c r="S2203" s="69">
        <v>2.5000000000000001E-2</v>
      </c>
      <c r="T2203" s="69">
        <v>0.01</v>
      </c>
      <c r="U2203" s="507">
        <v>0.85</v>
      </c>
      <c r="V2203" s="76">
        <v>0</v>
      </c>
      <c r="W2203" s="76">
        <v>0</v>
      </c>
      <c r="X2203" s="76" t="s">
        <v>147</v>
      </c>
      <c r="Y2203" s="519" t="s">
        <v>469</v>
      </c>
    </row>
    <row r="2204" spans="1:25" x14ac:dyDescent="0.25">
      <c r="A2204" s="75" t="str">
        <f t="shared" si="79"/>
        <v>Pago_Hipoteca+Liquidez PFAE Premier PagHip Mas Liquidez Pago_Fijo_Puntual Si 12</v>
      </c>
      <c r="B2204" s="75" t="str">
        <f t="shared" si="78"/>
        <v>Pago_Hipoteca+Liquidez PFAE Premier PagHip Mas Liquidez Pago_Fijo_Puntual Si 12 0.103</v>
      </c>
      <c r="C2204" s="75" t="s">
        <v>174</v>
      </c>
      <c r="D2204" s="75" t="s">
        <v>168</v>
      </c>
      <c r="E2204" s="75" t="s">
        <v>143</v>
      </c>
      <c r="F2204" s="75" t="s">
        <v>187</v>
      </c>
      <c r="G2204" s="75"/>
      <c r="H2204" s="75"/>
      <c r="I2204" s="75" t="s">
        <v>171</v>
      </c>
      <c r="J2204" s="76">
        <v>12</v>
      </c>
      <c r="K2204" s="519" t="s">
        <v>387</v>
      </c>
      <c r="L2204" s="520">
        <v>12.31</v>
      </c>
      <c r="M2204" s="520">
        <v>12.97</v>
      </c>
      <c r="N2204" s="507">
        <v>0.10299999999999999</v>
      </c>
      <c r="O2204" s="507">
        <v>0.1</v>
      </c>
      <c r="P2204" s="507">
        <v>0.112</v>
      </c>
      <c r="Q2204" s="78">
        <v>0.44</v>
      </c>
      <c r="R2204" s="78">
        <v>0.31740000000000002</v>
      </c>
      <c r="S2204" s="69">
        <v>2.5000000000000001E-2</v>
      </c>
      <c r="T2204" s="69">
        <v>0.01</v>
      </c>
      <c r="U2204" s="507">
        <v>0.85</v>
      </c>
      <c r="V2204" s="76">
        <v>0</v>
      </c>
      <c r="W2204" s="76">
        <v>0</v>
      </c>
      <c r="X2204" s="76" t="s">
        <v>147</v>
      </c>
      <c r="Y2204" s="519" t="s">
        <v>469</v>
      </c>
    </row>
    <row r="2205" spans="1:25" x14ac:dyDescent="0.25">
      <c r="A2205" s="75" t="str">
        <f t="shared" si="79"/>
        <v>Pago_Hipoteca+Liquidez PFAE Premier PagHip Mas Liquidez Pago_Fijo_Puntual Si 11</v>
      </c>
      <c r="B2205" s="75" t="str">
        <f t="shared" si="78"/>
        <v>Pago_Hipoteca+Liquidez PFAE Premier PagHip Mas Liquidez Pago_Fijo_Puntual Si 11 0.103</v>
      </c>
      <c r="C2205" s="75" t="s">
        <v>174</v>
      </c>
      <c r="D2205" s="75" t="s">
        <v>168</v>
      </c>
      <c r="E2205" s="75" t="s">
        <v>143</v>
      </c>
      <c r="F2205" s="75" t="s">
        <v>187</v>
      </c>
      <c r="G2205" s="75"/>
      <c r="H2205" s="75"/>
      <c r="I2205" s="75" t="s">
        <v>171</v>
      </c>
      <c r="J2205" s="76">
        <v>11</v>
      </c>
      <c r="K2205" s="519" t="s">
        <v>387</v>
      </c>
      <c r="L2205" s="520">
        <v>12.86</v>
      </c>
      <c r="M2205" s="520">
        <v>13.52</v>
      </c>
      <c r="N2205" s="507">
        <v>0.10299999999999999</v>
      </c>
      <c r="O2205" s="507">
        <v>0.1</v>
      </c>
      <c r="P2205" s="507">
        <v>0.112</v>
      </c>
      <c r="Q2205" s="78">
        <v>0.44</v>
      </c>
      <c r="R2205" s="78">
        <v>0.31740000000000002</v>
      </c>
      <c r="S2205" s="69">
        <v>2.5000000000000001E-2</v>
      </c>
      <c r="T2205" s="69">
        <v>0.01</v>
      </c>
      <c r="U2205" s="507">
        <v>0.85</v>
      </c>
      <c r="V2205" s="76">
        <v>0</v>
      </c>
      <c r="W2205" s="76">
        <v>0</v>
      </c>
      <c r="X2205" s="76" t="s">
        <v>147</v>
      </c>
      <c r="Y2205" s="519" t="s">
        <v>469</v>
      </c>
    </row>
    <row r="2206" spans="1:25" x14ac:dyDescent="0.25">
      <c r="A2206" s="75" t="str">
        <f t="shared" si="79"/>
        <v>Pago_Hipoteca+Liquidez PFAE Premier PagHip Mas Liquidez Pago_Fijo_Puntual Si 10</v>
      </c>
      <c r="B2206" s="75" t="str">
        <f t="shared" si="78"/>
        <v>Pago_Hipoteca+Liquidez PFAE Premier PagHip Mas Liquidez Pago_Fijo_Puntual Si 10 0.103</v>
      </c>
      <c r="C2206" s="75" t="s">
        <v>174</v>
      </c>
      <c r="D2206" s="75" t="s">
        <v>168</v>
      </c>
      <c r="E2206" s="75" t="s">
        <v>143</v>
      </c>
      <c r="F2206" s="75" t="s">
        <v>187</v>
      </c>
      <c r="G2206" s="75"/>
      <c r="H2206" s="75"/>
      <c r="I2206" s="75" t="s">
        <v>171</v>
      </c>
      <c r="J2206" s="76">
        <v>10</v>
      </c>
      <c r="K2206" s="519" t="s">
        <v>387</v>
      </c>
      <c r="L2206" s="520">
        <v>13.54</v>
      </c>
      <c r="M2206" s="520">
        <v>14.2</v>
      </c>
      <c r="N2206" s="507">
        <v>0.10299999999999999</v>
      </c>
      <c r="O2206" s="507">
        <v>0.1</v>
      </c>
      <c r="P2206" s="507">
        <v>0.112</v>
      </c>
      <c r="Q2206" s="78">
        <v>0.44</v>
      </c>
      <c r="R2206" s="78">
        <v>0.31740000000000002</v>
      </c>
      <c r="S2206" s="69">
        <v>2.5000000000000001E-2</v>
      </c>
      <c r="T2206" s="69">
        <v>0.01</v>
      </c>
      <c r="U2206" s="507">
        <v>0.85</v>
      </c>
      <c r="V2206" s="76">
        <v>0</v>
      </c>
      <c r="W2206" s="76">
        <v>0</v>
      </c>
      <c r="X2206" s="76" t="s">
        <v>147</v>
      </c>
      <c r="Y2206" s="519" t="s">
        <v>469</v>
      </c>
    </row>
    <row r="2207" spans="1:25" x14ac:dyDescent="0.25">
      <c r="A2207" s="75" t="str">
        <f t="shared" si="79"/>
        <v>Pago_Hipoteca+Liquidez PFAE Premier PagHip Mas Liquidez Pago_Fijo_Puntual Si 9</v>
      </c>
      <c r="B2207" s="75" t="str">
        <f t="shared" si="78"/>
        <v>Pago_Hipoteca+Liquidez PFAE Premier PagHip Mas Liquidez Pago_Fijo_Puntual Si 9 0.103</v>
      </c>
      <c r="C2207" s="75" t="s">
        <v>174</v>
      </c>
      <c r="D2207" s="75" t="s">
        <v>168</v>
      </c>
      <c r="E2207" s="75" t="s">
        <v>143</v>
      </c>
      <c r="F2207" s="75" t="s">
        <v>187</v>
      </c>
      <c r="G2207" s="75"/>
      <c r="H2207" s="75"/>
      <c r="I2207" s="75" t="s">
        <v>171</v>
      </c>
      <c r="J2207" s="76">
        <v>9</v>
      </c>
      <c r="K2207" s="519" t="s">
        <v>387</v>
      </c>
      <c r="L2207" s="520">
        <v>14.37</v>
      </c>
      <c r="M2207" s="520">
        <v>15.03</v>
      </c>
      <c r="N2207" s="507">
        <v>0.10299999999999999</v>
      </c>
      <c r="O2207" s="507">
        <v>0.1</v>
      </c>
      <c r="P2207" s="507">
        <v>0.112</v>
      </c>
      <c r="Q2207" s="78">
        <v>0.44</v>
      </c>
      <c r="R2207" s="78">
        <v>0.31740000000000002</v>
      </c>
      <c r="S2207" s="69">
        <v>2.5000000000000001E-2</v>
      </c>
      <c r="T2207" s="69">
        <v>0.01</v>
      </c>
      <c r="U2207" s="507">
        <v>0.85</v>
      </c>
      <c r="V2207" s="76">
        <v>0</v>
      </c>
      <c r="W2207" s="76">
        <v>0</v>
      </c>
      <c r="X2207" s="76" t="s">
        <v>147</v>
      </c>
      <c r="Y2207" s="519" t="s">
        <v>469</v>
      </c>
    </row>
    <row r="2208" spans="1:25" x14ac:dyDescent="0.25">
      <c r="A2208" s="75" t="str">
        <f t="shared" si="79"/>
        <v>Pago_Hipoteca+Liquidez PFAE Premier PagHip Mas Liquidez Pago_Fijo_Puntual Si 8</v>
      </c>
      <c r="B2208" s="75" t="str">
        <f t="shared" si="78"/>
        <v>Pago_Hipoteca+Liquidez PFAE Premier PagHip Mas Liquidez Pago_Fijo_Puntual Si 8 0.103</v>
      </c>
      <c r="C2208" s="75" t="s">
        <v>174</v>
      </c>
      <c r="D2208" s="75" t="s">
        <v>168</v>
      </c>
      <c r="E2208" s="75" t="s">
        <v>143</v>
      </c>
      <c r="F2208" s="75" t="s">
        <v>187</v>
      </c>
      <c r="G2208" s="75"/>
      <c r="H2208" s="75"/>
      <c r="I2208" s="75" t="s">
        <v>171</v>
      </c>
      <c r="J2208" s="76">
        <v>8</v>
      </c>
      <c r="K2208" s="519" t="s">
        <v>387</v>
      </c>
      <c r="L2208" s="520">
        <v>15.44</v>
      </c>
      <c r="M2208" s="520">
        <v>16.100000000000001</v>
      </c>
      <c r="N2208" s="507">
        <v>0.10299999999999999</v>
      </c>
      <c r="O2208" s="507">
        <v>0.1</v>
      </c>
      <c r="P2208" s="507">
        <v>0.112</v>
      </c>
      <c r="Q2208" s="78">
        <v>0.44</v>
      </c>
      <c r="R2208" s="78">
        <v>0.31740000000000002</v>
      </c>
      <c r="S2208" s="69">
        <v>2.5000000000000001E-2</v>
      </c>
      <c r="T2208" s="69">
        <v>0.01</v>
      </c>
      <c r="U2208" s="507">
        <v>0.85</v>
      </c>
      <c r="V2208" s="76">
        <v>0</v>
      </c>
      <c r="W2208" s="76">
        <v>0</v>
      </c>
      <c r="X2208" s="76" t="s">
        <v>147</v>
      </c>
      <c r="Y2208" s="519" t="s">
        <v>469</v>
      </c>
    </row>
    <row r="2209" spans="1:25" x14ac:dyDescent="0.25">
      <c r="A2209" s="75" t="str">
        <f t="shared" si="79"/>
        <v>Pago_Hipoteca+Liquidez PFAE Premier PagHip Mas Liquidez Pago_Fijo_Puntual Si 7</v>
      </c>
      <c r="B2209" s="75" t="str">
        <f t="shared" si="78"/>
        <v>Pago_Hipoteca+Liquidez PFAE Premier PagHip Mas Liquidez Pago_Fijo_Puntual Si 7 0.103</v>
      </c>
      <c r="C2209" s="75" t="s">
        <v>174</v>
      </c>
      <c r="D2209" s="75" t="s">
        <v>168</v>
      </c>
      <c r="E2209" s="75" t="s">
        <v>143</v>
      </c>
      <c r="F2209" s="75" t="s">
        <v>187</v>
      </c>
      <c r="G2209" s="75"/>
      <c r="H2209" s="75"/>
      <c r="I2209" s="75" t="s">
        <v>171</v>
      </c>
      <c r="J2209" s="76">
        <v>7</v>
      </c>
      <c r="K2209" s="519" t="s">
        <v>387</v>
      </c>
      <c r="L2209" s="520">
        <v>16.84</v>
      </c>
      <c r="M2209" s="520">
        <v>17.5</v>
      </c>
      <c r="N2209" s="507">
        <v>0.10299999999999999</v>
      </c>
      <c r="O2209" s="507">
        <v>0.1</v>
      </c>
      <c r="P2209" s="507">
        <v>0.112</v>
      </c>
      <c r="Q2209" s="78">
        <v>0.44</v>
      </c>
      <c r="R2209" s="78">
        <v>0.31740000000000002</v>
      </c>
      <c r="S2209" s="69">
        <v>2.5000000000000001E-2</v>
      </c>
      <c r="T2209" s="69">
        <v>0.01</v>
      </c>
      <c r="U2209" s="507">
        <v>0.85</v>
      </c>
      <c r="V2209" s="76">
        <v>0</v>
      </c>
      <c r="W2209" s="76">
        <v>0</v>
      </c>
      <c r="X2209" s="76" t="s">
        <v>147</v>
      </c>
      <c r="Y2209" s="519" t="s">
        <v>469</v>
      </c>
    </row>
    <row r="2210" spans="1:25" x14ac:dyDescent="0.25">
      <c r="A2210" s="75" t="str">
        <f t="shared" si="79"/>
        <v>Pago_Hipoteca+Liquidez PFAE Premier PagHip Mas Liquidez Pago_Fijo_Puntual Si 6</v>
      </c>
      <c r="B2210" s="75" t="str">
        <f t="shared" si="78"/>
        <v>Pago_Hipoteca+Liquidez PFAE Premier PagHip Mas Liquidez Pago_Fijo_Puntual Si 6 0.103</v>
      </c>
      <c r="C2210" s="75" t="s">
        <v>174</v>
      </c>
      <c r="D2210" s="75" t="s">
        <v>168</v>
      </c>
      <c r="E2210" s="75" t="s">
        <v>143</v>
      </c>
      <c r="F2210" s="75" t="s">
        <v>187</v>
      </c>
      <c r="G2210" s="75"/>
      <c r="H2210" s="75"/>
      <c r="I2210" s="75" t="s">
        <v>171</v>
      </c>
      <c r="J2210" s="76">
        <v>6</v>
      </c>
      <c r="K2210" s="519" t="s">
        <v>387</v>
      </c>
      <c r="L2210" s="520">
        <v>18.739999999999998</v>
      </c>
      <c r="M2210" s="520">
        <v>19.399999999999999</v>
      </c>
      <c r="N2210" s="507">
        <v>0.10299999999999999</v>
      </c>
      <c r="O2210" s="507">
        <v>0.1</v>
      </c>
      <c r="P2210" s="507">
        <v>0.112</v>
      </c>
      <c r="Q2210" s="78">
        <v>0.44</v>
      </c>
      <c r="R2210" s="78">
        <v>0.31740000000000002</v>
      </c>
      <c r="S2210" s="69">
        <v>2.5000000000000001E-2</v>
      </c>
      <c r="T2210" s="69">
        <v>0.01</v>
      </c>
      <c r="U2210" s="507">
        <v>0.85</v>
      </c>
      <c r="V2210" s="76">
        <v>0</v>
      </c>
      <c r="W2210" s="76">
        <v>0</v>
      </c>
      <c r="X2210" s="76" t="s">
        <v>147</v>
      </c>
      <c r="Y2210" s="519" t="s">
        <v>469</v>
      </c>
    </row>
    <row r="2211" spans="1:25" x14ac:dyDescent="0.25">
      <c r="A2211" s="75" t="str">
        <f t="shared" si="79"/>
        <v>Pago_Hipoteca+Liquidez PFAE Premier PagHip Mas Liquidez Pago_Fijo_Puntual Si 5</v>
      </c>
      <c r="B2211" s="75" t="str">
        <f t="shared" si="78"/>
        <v>Pago_Hipoteca+Liquidez PFAE Premier PagHip Mas Liquidez Pago_Fijo_Puntual Si 5 0.103</v>
      </c>
      <c r="C2211" s="75" t="s">
        <v>174</v>
      </c>
      <c r="D2211" s="75" t="s">
        <v>168</v>
      </c>
      <c r="E2211" s="75" t="s">
        <v>143</v>
      </c>
      <c r="F2211" s="75" t="s">
        <v>187</v>
      </c>
      <c r="G2211" s="75"/>
      <c r="H2211" s="75"/>
      <c r="I2211" s="75" t="s">
        <v>171</v>
      </c>
      <c r="J2211" s="76">
        <v>5</v>
      </c>
      <c r="K2211" s="519" t="s">
        <v>387</v>
      </c>
      <c r="L2211" s="520">
        <v>21.44</v>
      </c>
      <c r="M2211" s="520">
        <v>22.1</v>
      </c>
      <c r="N2211" s="507">
        <v>0.10299999999999999</v>
      </c>
      <c r="O2211" s="507">
        <v>0.1</v>
      </c>
      <c r="P2211" s="507">
        <v>0.112</v>
      </c>
      <c r="Q2211" s="78">
        <v>0.44</v>
      </c>
      <c r="R2211" s="78">
        <v>0.31740000000000002</v>
      </c>
      <c r="S2211" s="69">
        <v>2.5000000000000001E-2</v>
      </c>
      <c r="T2211" s="69">
        <v>0.01</v>
      </c>
      <c r="U2211" s="507">
        <v>0.85</v>
      </c>
      <c r="V2211" s="76">
        <v>0</v>
      </c>
      <c r="W2211" s="76">
        <v>0</v>
      </c>
      <c r="X2211" s="76" t="s">
        <v>147</v>
      </c>
      <c r="Y2211" s="519" t="s">
        <v>469</v>
      </c>
    </row>
    <row r="2212" spans="1:25" x14ac:dyDescent="0.25">
      <c r="A2212" s="75" t="str">
        <f t="shared" si="79"/>
        <v>Pago_Hipoteca+Liquidez PFAE Premier PagHip Mas Liquidez Pago_Fijo_Puntual 20</v>
      </c>
      <c r="B2212" s="75" t="str">
        <f t="shared" si="78"/>
        <v>Pago_Hipoteca+Liquidez PFAE Premier PagHip Mas Liquidez Pago_Fijo_Puntual 20 0.0965</v>
      </c>
      <c r="C2212" s="75" t="s">
        <v>174</v>
      </c>
      <c r="D2212" s="75" t="s">
        <v>168</v>
      </c>
      <c r="E2212" s="75" t="s">
        <v>143</v>
      </c>
      <c r="F2212" s="75" t="s">
        <v>187</v>
      </c>
      <c r="G2212" s="75"/>
      <c r="H2212" s="75"/>
      <c r="I2212" s="75" t="s">
        <v>171</v>
      </c>
      <c r="J2212" s="76">
        <v>20</v>
      </c>
      <c r="K2212" s="516" t="s">
        <v>385</v>
      </c>
      <c r="L2212" s="517">
        <v>9.66</v>
      </c>
      <c r="M2212" s="517">
        <v>10.32</v>
      </c>
      <c r="N2212" s="518">
        <v>9.6500000000000002E-2</v>
      </c>
      <c r="O2212" s="518">
        <v>9.1999999999999998E-2</v>
      </c>
      <c r="P2212" s="518">
        <v>0.10249999999999999</v>
      </c>
      <c r="Q2212" s="78">
        <v>0.44</v>
      </c>
      <c r="R2212" s="78">
        <v>0.31740000000000002</v>
      </c>
      <c r="S2212" s="69">
        <v>2.5000000000000001E-2</v>
      </c>
      <c r="T2212" s="69">
        <v>0.01</v>
      </c>
      <c r="U2212" s="518">
        <v>0.7</v>
      </c>
      <c r="V2212" s="76">
        <v>0</v>
      </c>
      <c r="W2212" s="76">
        <v>0</v>
      </c>
      <c r="X2212" s="76"/>
      <c r="Y2212" s="516" t="s">
        <v>470</v>
      </c>
    </row>
    <row r="2213" spans="1:25" x14ac:dyDescent="0.25">
      <c r="A2213" s="75" t="str">
        <f t="shared" si="79"/>
        <v>Pago_Hipoteca+Liquidez PFAE Premier PagHip Mas Liquidez Pago_Fijo_Puntual 20</v>
      </c>
      <c r="B2213" s="75" t="str">
        <f t="shared" si="78"/>
        <v>Pago_Hipoteca+Liquidez PFAE Premier PagHip Mas Liquidez Pago_Fijo_Puntual 20 0.103</v>
      </c>
      <c r="C2213" s="75" t="s">
        <v>174</v>
      </c>
      <c r="D2213" s="75" t="s">
        <v>168</v>
      </c>
      <c r="E2213" s="75" t="s">
        <v>143</v>
      </c>
      <c r="F2213" s="75" t="s">
        <v>187</v>
      </c>
      <c r="G2213" s="75"/>
      <c r="H2213" s="75"/>
      <c r="I2213" s="75" t="s">
        <v>171</v>
      </c>
      <c r="J2213" s="76">
        <v>20</v>
      </c>
      <c r="K2213" s="516" t="s">
        <v>386</v>
      </c>
      <c r="L2213" s="517">
        <v>10.16</v>
      </c>
      <c r="M2213" s="517">
        <v>10.82</v>
      </c>
      <c r="N2213" s="518">
        <v>0.10299999999999999</v>
      </c>
      <c r="O2213" s="518">
        <v>0.1</v>
      </c>
      <c r="P2213" s="518">
        <v>0.112</v>
      </c>
      <c r="Q2213" s="78">
        <v>0.44</v>
      </c>
      <c r="R2213" s="78">
        <v>0.31740000000000002</v>
      </c>
      <c r="S2213" s="69">
        <v>2.5000000000000001E-2</v>
      </c>
      <c r="T2213" s="69">
        <v>0.01</v>
      </c>
      <c r="U2213" s="518">
        <v>0.7</v>
      </c>
      <c r="V2213" s="76">
        <v>0</v>
      </c>
      <c r="W2213" s="76">
        <v>0</v>
      </c>
      <c r="X2213" s="76"/>
      <c r="Y2213" s="516" t="s">
        <v>470</v>
      </c>
    </row>
    <row r="2214" spans="1:25" x14ac:dyDescent="0.25">
      <c r="A2214" s="75" t="str">
        <f t="shared" si="79"/>
        <v>Pago_Hipoteca+Liquidez PFAE Premier PagHip Mas Liquidez Pago_Fijo_Puntual 19</v>
      </c>
      <c r="B2214" s="75" t="str">
        <f t="shared" si="78"/>
        <v>Pago_Hipoteca+Liquidez PFAE Premier PagHip Mas Liquidez Pago_Fijo_Puntual 19 0.0965</v>
      </c>
      <c r="C2214" s="75" t="s">
        <v>174</v>
      </c>
      <c r="D2214" s="75" t="s">
        <v>168</v>
      </c>
      <c r="E2214" s="75" t="s">
        <v>143</v>
      </c>
      <c r="F2214" s="75" t="s">
        <v>187</v>
      </c>
      <c r="G2214" s="75"/>
      <c r="H2214" s="75"/>
      <c r="I2214" s="75" t="s">
        <v>171</v>
      </c>
      <c r="J2214" s="76">
        <v>19</v>
      </c>
      <c r="K2214" s="516" t="s">
        <v>385</v>
      </c>
      <c r="L2214" s="517">
        <v>9.82</v>
      </c>
      <c r="M2214" s="517">
        <v>10.48</v>
      </c>
      <c r="N2214" s="518">
        <v>9.6500000000000002E-2</v>
      </c>
      <c r="O2214" s="518">
        <v>9.1999999999999998E-2</v>
      </c>
      <c r="P2214" s="518">
        <v>0.10249999999999999</v>
      </c>
      <c r="Q2214" s="78">
        <v>0.44</v>
      </c>
      <c r="R2214" s="78">
        <v>0.31740000000000002</v>
      </c>
      <c r="S2214" s="69">
        <v>2.5000000000000001E-2</v>
      </c>
      <c r="T2214" s="69">
        <v>0.01</v>
      </c>
      <c r="U2214" s="518">
        <v>0.7</v>
      </c>
      <c r="V2214" s="76">
        <v>0</v>
      </c>
      <c r="W2214" s="76">
        <v>0</v>
      </c>
      <c r="X2214" s="76"/>
      <c r="Y2214" s="516" t="s">
        <v>470</v>
      </c>
    </row>
    <row r="2215" spans="1:25" x14ac:dyDescent="0.25">
      <c r="A2215" s="75" t="str">
        <f t="shared" si="79"/>
        <v>Pago_Hipoteca+Liquidez PFAE Premier PagHip Mas Liquidez Pago_Fijo_Puntual 19</v>
      </c>
      <c r="B2215" s="75" t="str">
        <f t="shared" si="78"/>
        <v>Pago_Hipoteca+Liquidez PFAE Premier PagHip Mas Liquidez Pago_Fijo_Puntual 19 0.103</v>
      </c>
      <c r="C2215" s="75" t="s">
        <v>174</v>
      </c>
      <c r="D2215" s="75" t="s">
        <v>168</v>
      </c>
      <c r="E2215" s="75" t="s">
        <v>143</v>
      </c>
      <c r="F2215" s="75" t="s">
        <v>187</v>
      </c>
      <c r="G2215" s="75"/>
      <c r="H2215" s="75"/>
      <c r="I2215" s="75" t="s">
        <v>171</v>
      </c>
      <c r="J2215" s="76">
        <v>19</v>
      </c>
      <c r="K2215" s="516" t="s">
        <v>386</v>
      </c>
      <c r="L2215" s="517">
        <v>10.3</v>
      </c>
      <c r="M2215" s="517">
        <v>10.96</v>
      </c>
      <c r="N2215" s="518">
        <v>0.10299999999999999</v>
      </c>
      <c r="O2215" s="518">
        <v>0.1</v>
      </c>
      <c r="P2215" s="518">
        <v>0.112</v>
      </c>
      <c r="Q2215" s="78">
        <v>0.44</v>
      </c>
      <c r="R2215" s="78">
        <v>0.31740000000000002</v>
      </c>
      <c r="S2215" s="69">
        <v>2.5000000000000001E-2</v>
      </c>
      <c r="T2215" s="69">
        <v>0.01</v>
      </c>
      <c r="U2215" s="518">
        <v>0.7</v>
      </c>
      <c r="V2215" s="76">
        <v>0</v>
      </c>
      <c r="W2215" s="76">
        <v>0</v>
      </c>
      <c r="X2215" s="76"/>
      <c r="Y2215" s="516" t="s">
        <v>470</v>
      </c>
    </row>
    <row r="2216" spans="1:25" x14ac:dyDescent="0.25">
      <c r="A2216" s="75" t="str">
        <f t="shared" si="79"/>
        <v>Pago_Hipoteca+Liquidez PFAE Premier PagHip Mas Liquidez Pago_Fijo_Puntual 18</v>
      </c>
      <c r="B2216" s="75" t="str">
        <f t="shared" si="78"/>
        <v>Pago_Hipoteca+Liquidez PFAE Premier PagHip Mas Liquidez Pago_Fijo_Puntual 18 0.0965</v>
      </c>
      <c r="C2216" s="75" t="s">
        <v>174</v>
      </c>
      <c r="D2216" s="75" t="s">
        <v>168</v>
      </c>
      <c r="E2216" s="75" t="s">
        <v>143</v>
      </c>
      <c r="F2216" s="75" t="s">
        <v>187</v>
      </c>
      <c r="G2216" s="75"/>
      <c r="H2216" s="75"/>
      <c r="I2216" s="75" t="s">
        <v>171</v>
      </c>
      <c r="J2216" s="76">
        <v>18</v>
      </c>
      <c r="K2216" s="516" t="s">
        <v>385</v>
      </c>
      <c r="L2216" s="517">
        <v>10</v>
      </c>
      <c r="M2216" s="517">
        <v>10.66</v>
      </c>
      <c r="N2216" s="518">
        <v>9.6500000000000002E-2</v>
      </c>
      <c r="O2216" s="518">
        <v>9.1999999999999998E-2</v>
      </c>
      <c r="P2216" s="518">
        <v>0.10249999999999999</v>
      </c>
      <c r="Q2216" s="78">
        <v>0.44</v>
      </c>
      <c r="R2216" s="78">
        <v>0.31740000000000002</v>
      </c>
      <c r="S2216" s="69">
        <v>2.5000000000000001E-2</v>
      </c>
      <c r="T2216" s="69">
        <v>0.01</v>
      </c>
      <c r="U2216" s="518">
        <v>0.7</v>
      </c>
      <c r="V2216" s="76">
        <v>0</v>
      </c>
      <c r="W2216" s="76">
        <v>0</v>
      </c>
      <c r="X2216" s="76"/>
      <c r="Y2216" s="516" t="s">
        <v>470</v>
      </c>
    </row>
    <row r="2217" spans="1:25" x14ac:dyDescent="0.25">
      <c r="A2217" s="75" t="str">
        <f t="shared" si="79"/>
        <v>Pago_Hipoteca+Liquidez PFAE Premier PagHip Mas Liquidez Pago_Fijo_Puntual 18</v>
      </c>
      <c r="B2217" s="75" t="str">
        <f t="shared" si="78"/>
        <v>Pago_Hipoteca+Liquidez PFAE Premier PagHip Mas Liquidez Pago_Fijo_Puntual 18 0.103</v>
      </c>
      <c r="C2217" s="75" t="s">
        <v>174</v>
      </c>
      <c r="D2217" s="75" t="s">
        <v>168</v>
      </c>
      <c r="E2217" s="75" t="s">
        <v>143</v>
      </c>
      <c r="F2217" s="75" t="s">
        <v>187</v>
      </c>
      <c r="G2217" s="75"/>
      <c r="H2217" s="75"/>
      <c r="I2217" s="75" t="s">
        <v>171</v>
      </c>
      <c r="J2217" s="76">
        <v>18</v>
      </c>
      <c r="K2217" s="516" t="s">
        <v>386</v>
      </c>
      <c r="L2217" s="517">
        <v>10.47</v>
      </c>
      <c r="M2217" s="517">
        <v>11.13</v>
      </c>
      <c r="N2217" s="518">
        <v>0.10299999999999999</v>
      </c>
      <c r="O2217" s="518">
        <v>0.1</v>
      </c>
      <c r="P2217" s="518">
        <v>0.112</v>
      </c>
      <c r="Q2217" s="78">
        <v>0.44</v>
      </c>
      <c r="R2217" s="78">
        <v>0.31740000000000002</v>
      </c>
      <c r="S2217" s="69">
        <v>2.5000000000000001E-2</v>
      </c>
      <c r="T2217" s="69">
        <v>0.01</v>
      </c>
      <c r="U2217" s="518">
        <v>0.7</v>
      </c>
      <c r="V2217" s="76">
        <v>0</v>
      </c>
      <c r="W2217" s="76">
        <v>0</v>
      </c>
      <c r="X2217" s="76"/>
      <c r="Y2217" s="516" t="s">
        <v>470</v>
      </c>
    </row>
    <row r="2218" spans="1:25" x14ac:dyDescent="0.25">
      <c r="A2218" s="75" t="str">
        <f t="shared" si="79"/>
        <v>Pago_Hipoteca+Liquidez PFAE Premier PagHip Mas Liquidez Pago_Fijo_Puntual 17</v>
      </c>
      <c r="B2218" s="75" t="str">
        <f t="shared" si="78"/>
        <v>Pago_Hipoteca+Liquidez PFAE Premier PagHip Mas Liquidez Pago_Fijo_Puntual 17 0.0965</v>
      </c>
      <c r="C2218" s="75" t="s">
        <v>174</v>
      </c>
      <c r="D2218" s="75" t="s">
        <v>168</v>
      </c>
      <c r="E2218" s="75" t="s">
        <v>143</v>
      </c>
      <c r="F2218" s="75" t="s">
        <v>187</v>
      </c>
      <c r="G2218" s="75"/>
      <c r="H2218" s="75"/>
      <c r="I2218" s="75" t="s">
        <v>171</v>
      </c>
      <c r="J2218" s="76">
        <v>17</v>
      </c>
      <c r="K2218" s="516" t="s">
        <v>385</v>
      </c>
      <c r="L2218" s="517">
        <v>10.210000000000001</v>
      </c>
      <c r="M2218" s="517">
        <v>10.87</v>
      </c>
      <c r="N2218" s="518">
        <v>9.6500000000000002E-2</v>
      </c>
      <c r="O2218" s="518">
        <v>9.1999999999999998E-2</v>
      </c>
      <c r="P2218" s="518">
        <v>0.10249999999999999</v>
      </c>
      <c r="Q2218" s="78">
        <v>0.44</v>
      </c>
      <c r="R2218" s="78">
        <v>0.31740000000000002</v>
      </c>
      <c r="S2218" s="69">
        <v>2.5000000000000001E-2</v>
      </c>
      <c r="T2218" s="69">
        <v>0.01</v>
      </c>
      <c r="U2218" s="518">
        <v>0.7</v>
      </c>
      <c r="V2218" s="76">
        <v>0</v>
      </c>
      <c r="W2218" s="76">
        <v>0</v>
      </c>
      <c r="X2218" s="76"/>
      <c r="Y2218" s="516" t="s">
        <v>470</v>
      </c>
    </row>
    <row r="2219" spans="1:25" x14ac:dyDescent="0.25">
      <c r="A2219" s="75" t="str">
        <f t="shared" si="79"/>
        <v>Pago_Hipoteca+Liquidez PFAE Premier PagHip Mas Liquidez Pago_Fijo_Puntual 17</v>
      </c>
      <c r="B2219" s="75" t="str">
        <f t="shared" si="78"/>
        <v>Pago_Hipoteca+Liquidez PFAE Premier PagHip Mas Liquidez Pago_Fijo_Puntual 17 0.103</v>
      </c>
      <c r="C2219" s="75" t="s">
        <v>174</v>
      </c>
      <c r="D2219" s="75" t="s">
        <v>168</v>
      </c>
      <c r="E2219" s="75" t="s">
        <v>143</v>
      </c>
      <c r="F2219" s="75" t="s">
        <v>187</v>
      </c>
      <c r="G2219" s="75"/>
      <c r="H2219" s="75"/>
      <c r="I2219" s="75" t="s">
        <v>171</v>
      </c>
      <c r="J2219" s="76">
        <v>17</v>
      </c>
      <c r="K2219" s="516" t="s">
        <v>386</v>
      </c>
      <c r="L2219" s="517">
        <v>10.67</v>
      </c>
      <c r="M2219" s="517">
        <v>11.33</v>
      </c>
      <c r="N2219" s="518">
        <v>0.10299999999999999</v>
      </c>
      <c r="O2219" s="518">
        <v>0.1</v>
      </c>
      <c r="P2219" s="518">
        <v>0.112</v>
      </c>
      <c r="Q2219" s="78">
        <v>0.44</v>
      </c>
      <c r="R2219" s="78">
        <v>0.31740000000000002</v>
      </c>
      <c r="S2219" s="69">
        <v>2.5000000000000001E-2</v>
      </c>
      <c r="T2219" s="69">
        <v>0.01</v>
      </c>
      <c r="U2219" s="518">
        <v>0.7</v>
      </c>
      <c r="V2219" s="76">
        <v>0</v>
      </c>
      <c r="W2219" s="76">
        <v>0</v>
      </c>
      <c r="X2219" s="76"/>
      <c r="Y2219" s="516" t="s">
        <v>470</v>
      </c>
    </row>
    <row r="2220" spans="1:25" x14ac:dyDescent="0.25">
      <c r="A2220" s="75" t="str">
        <f t="shared" si="79"/>
        <v>Pago_Hipoteca+Liquidez PFAE Premier PagHip Mas Liquidez Pago_Fijo_Puntual 16</v>
      </c>
      <c r="B2220" s="75" t="str">
        <f t="shared" si="78"/>
        <v>Pago_Hipoteca+Liquidez PFAE Premier PagHip Mas Liquidez Pago_Fijo_Puntual 16 0.0965</v>
      </c>
      <c r="C2220" s="75" t="s">
        <v>174</v>
      </c>
      <c r="D2220" s="75" t="s">
        <v>168</v>
      </c>
      <c r="E2220" s="75" t="s">
        <v>143</v>
      </c>
      <c r="F2220" s="75" t="s">
        <v>187</v>
      </c>
      <c r="G2220" s="75"/>
      <c r="H2220" s="75"/>
      <c r="I2220" s="75" t="s">
        <v>171</v>
      </c>
      <c r="J2220" s="76">
        <v>16</v>
      </c>
      <c r="K2220" s="516" t="s">
        <v>385</v>
      </c>
      <c r="L2220" s="517">
        <v>10.45</v>
      </c>
      <c r="M2220" s="517">
        <v>11.11</v>
      </c>
      <c r="N2220" s="518">
        <v>9.6500000000000002E-2</v>
      </c>
      <c r="O2220" s="518">
        <v>9.1999999999999998E-2</v>
      </c>
      <c r="P2220" s="518">
        <v>0.10249999999999999</v>
      </c>
      <c r="Q2220" s="78">
        <v>0.44</v>
      </c>
      <c r="R2220" s="78">
        <v>0.31740000000000002</v>
      </c>
      <c r="S2220" s="69">
        <v>2.5000000000000001E-2</v>
      </c>
      <c r="T2220" s="69">
        <v>0.01</v>
      </c>
      <c r="U2220" s="518">
        <v>0.7</v>
      </c>
      <c r="V2220" s="76">
        <v>0</v>
      </c>
      <c r="W2220" s="76">
        <v>0</v>
      </c>
      <c r="X2220" s="76"/>
      <c r="Y2220" s="516" t="s">
        <v>470</v>
      </c>
    </row>
    <row r="2221" spans="1:25" x14ac:dyDescent="0.25">
      <c r="A2221" s="75" t="str">
        <f t="shared" si="79"/>
        <v>Pago_Hipoteca+Liquidez PFAE Premier PagHip Mas Liquidez Pago_Fijo_Puntual 16</v>
      </c>
      <c r="B2221" s="75" t="str">
        <f t="shared" si="78"/>
        <v>Pago_Hipoteca+Liquidez PFAE Premier PagHip Mas Liquidez Pago_Fijo_Puntual 16 0.103</v>
      </c>
      <c r="C2221" s="75" t="s">
        <v>174</v>
      </c>
      <c r="D2221" s="75" t="s">
        <v>168</v>
      </c>
      <c r="E2221" s="75" t="s">
        <v>143</v>
      </c>
      <c r="F2221" s="75" t="s">
        <v>187</v>
      </c>
      <c r="G2221" s="75"/>
      <c r="H2221" s="75"/>
      <c r="I2221" s="75" t="s">
        <v>171</v>
      </c>
      <c r="J2221" s="76">
        <v>16</v>
      </c>
      <c r="K2221" s="516" t="s">
        <v>386</v>
      </c>
      <c r="L2221" s="517">
        <v>10.9</v>
      </c>
      <c r="M2221" s="517">
        <v>11.56</v>
      </c>
      <c r="N2221" s="518">
        <v>0.10299999999999999</v>
      </c>
      <c r="O2221" s="518">
        <v>0.1</v>
      </c>
      <c r="P2221" s="518">
        <v>0.112</v>
      </c>
      <c r="Q2221" s="78">
        <v>0.44</v>
      </c>
      <c r="R2221" s="78">
        <v>0.31740000000000002</v>
      </c>
      <c r="S2221" s="69">
        <v>2.5000000000000001E-2</v>
      </c>
      <c r="T2221" s="69">
        <v>0.01</v>
      </c>
      <c r="U2221" s="518">
        <v>0.7</v>
      </c>
      <c r="V2221" s="76">
        <v>0</v>
      </c>
      <c r="W2221" s="76">
        <v>0</v>
      </c>
      <c r="X2221" s="76"/>
      <c r="Y2221" s="516" t="s">
        <v>470</v>
      </c>
    </row>
    <row r="2222" spans="1:25" x14ac:dyDescent="0.25">
      <c r="A2222" s="75" t="str">
        <f t="shared" si="79"/>
        <v>Pago_Hipoteca+Liquidez PFAE Premier PagHip Mas Liquidez Pago_Fijo_Puntual 15</v>
      </c>
      <c r="B2222" s="75" t="str">
        <f t="shared" si="78"/>
        <v>Pago_Hipoteca+Liquidez PFAE Premier PagHip Mas Liquidez Pago_Fijo_Puntual 15 0.0965</v>
      </c>
      <c r="C2222" s="75" t="s">
        <v>174</v>
      </c>
      <c r="D2222" s="75" t="s">
        <v>168</v>
      </c>
      <c r="E2222" s="75" t="s">
        <v>143</v>
      </c>
      <c r="F2222" s="75" t="s">
        <v>187</v>
      </c>
      <c r="G2222" s="75"/>
      <c r="H2222" s="75"/>
      <c r="I2222" s="75" t="s">
        <v>171</v>
      </c>
      <c r="J2222" s="76">
        <v>15</v>
      </c>
      <c r="K2222" s="516" t="s">
        <v>385</v>
      </c>
      <c r="L2222" s="517">
        <v>10.73</v>
      </c>
      <c r="M2222" s="517">
        <v>11.39</v>
      </c>
      <c r="N2222" s="518">
        <v>9.6500000000000002E-2</v>
      </c>
      <c r="O2222" s="518">
        <v>9.1999999999999998E-2</v>
      </c>
      <c r="P2222" s="518">
        <v>0.10249999999999999</v>
      </c>
      <c r="Q2222" s="78">
        <v>0.44</v>
      </c>
      <c r="R2222" s="78">
        <v>0.31740000000000002</v>
      </c>
      <c r="S2222" s="69">
        <v>2.5000000000000001E-2</v>
      </c>
      <c r="T2222" s="69">
        <v>0.01</v>
      </c>
      <c r="U2222" s="518">
        <v>0.7</v>
      </c>
      <c r="V2222" s="76">
        <v>0</v>
      </c>
      <c r="W2222" s="76">
        <v>0</v>
      </c>
      <c r="X2222" s="76"/>
      <c r="Y2222" s="516" t="s">
        <v>470</v>
      </c>
    </row>
    <row r="2223" spans="1:25" x14ac:dyDescent="0.25">
      <c r="A2223" s="75" t="str">
        <f t="shared" si="79"/>
        <v>Pago_Hipoteca+Liquidez PFAE Premier PagHip Mas Liquidez Pago_Fijo_Puntual 15</v>
      </c>
      <c r="B2223" s="75" t="str">
        <f t="shared" si="78"/>
        <v>Pago_Hipoteca+Liquidez PFAE Premier PagHip Mas Liquidez Pago_Fijo_Puntual 15 0.103</v>
      </c>
      <c r="C2223" s="75" t="s">
        <v>174</v>
      </c>
      <c r="D2223" s="75" t="s">
        <v>168</v>
      </c>
      <c r="E2223" s="75" t="s">
        <v>143</v>
      </c>
      <c r="F2223" s="75" t="s">
        <v>187</v>
      </c>
      <c r="G2223" s="75"/>
      <c r="H2223" s="75"/>
      <c r="I2223" s="75" t="s">
        <v>171</v>
      </c>
      <c r="J2223" s="76">
        <v>15</v>
      </c>
      <c r="K2223" s="516" t="s">
        <v>386</v>
      </c>
      <c r="L2223" s="517">
        <v>11.18</v>
      </c>
      <c r="M2223" s="517">
        <v>11.84</v>
      </c>
      <c r="N2223" s="518">
        <v>0.10299999999999999</v>
      </c>
      <c r="O2223" s="518">
        <v>0.1</v>
      </c>
      <c r="P2223" s="518">
        <v>0.112</v>
      </c>
      <c r="Q2223" s="78">
        <v>0.44</v>
      </c>
      <c r="R2223" s="78">
        <v>0.31740000000000002</v>
      </c>
      <c r="S2223" s="69">
        <v>2.5000000000000001E-2</v>
      </c>
      <c r="T2223" s="69">
        <v>0.01</v>
      </c>
      <c r="U2223" s="518">
        <v>0.7</v>
      </c>
      <c r="V2223" s="76">
        <v>0</v>
      </c>
      <c r="W2223" s="76">
        <v>0</v>
      </c>
      <c r="X2223" s="76"/>
      <c r="Y2223" s="516" t="s">
        <v>470</v>
      </c>
    </row>
    <row r="2224" spans="1:25" x14ac:dyDescent="0.25">
      <c r="A2224" s="75" t="str">
        <f t="shared" si="79"/>
        <v>Pago_Hipoteca+Liquidez PFAE Premier PagHip Mas Liquidez Pago_Fijo_Puntual 14</v>
      </c>
      <c r="B2224" s="75" t="str">
        <f t="shared" si="78"/>
        <v>Pago_Hipoteca+Liquidez PFAE Premier PagHip Mas Liquidez Pago_Fijo_Puntual 14 0.0965</v>
      </c>
      <c r="C2224" s="75" t="s">
        <v>174</v>
      </c>
      <c r="D2224" s="75" t="s">
        <v>168</v>
      </c>
      <c r="E2224" s="75" t="s">
        <v>143</v>
      </c>
      <c r="F2224" s="75" t="s">
        <v>187</v>
      </c>
      <c r="G2224" s="75"/>
      <c r="H2224" s="75"/>
      <c r="I2224" s="75" t="s">
        <v>171</v>
      </c>
      <c r="J2224" s="76">
        <v>14</v>
      </c>
      <c r="K2224" s="516" t="s">
        <v>385</v>
      </c>
      <c r="L2224" s="517">
        <v>11.06</v>
      </c>
      <c r="M2224" s="517">
        <v>11.72</v>
      </c>
      <c r="N2224" s="518">
        <v>9.6500000000000002E-2</v>
      </c>
      <c r="O2224" s="518">
        <v>9.1999999999999998E-2</v>
      </c>
      <c r="P2224" s="518">
        <v>0.10249999999999999</v>
      </c>
      <c r="Q2224" s="78">
        <v>0.44</v>
      </c>
      <c r="R2224" s="78">
        <v>0.31740000000000002</v>
      </c>
      <c r="S2224" s="69">
        <v>2.5000000000000001E-2</v>
      </c>
      <c r="T2224" s="69">
        <v>0.01</v>
      </c>
      <c r="U2224" s="518">
        <v>0.7</v>
      </c>
      <c r="V2224" s="76">
        <v>0</v>
      </c>
      <c r="W2224" s="76">
        <v>0</v>
      </c>
      <c r="X2224" s="76"/>
      <c r="Y2224" s="516" t="s">
        <v>470</v>
      </c>
    </row>
    <row r="2225" spans="1:25" x14ac:dyDescent="0.25">
      <c r="A2225" s="75" t="str">
        <f t="shared" si="79"/>
        <v>Pago_Hipoteca+Liquidez PFAE Premier PagHip Mas Liquidez Pago_Fijo_Puntual 14</v>
      </c>
      <c r="B2225" s="75" t="str">
        <f t="shared" si="78"/>
        <v>Pago_Hipoteca+Liquidez PFAE Premier PagHip Mas Liquidez Pago_Fijo_Puntual 14 0.103</v>
      </c>
      <c r="C2225" s="75" t="s">
        <v>174</v>
      </c>
      <c r="D2225" s="75" t="s">
        <v>168</v>
      </c>
      <c r="E2225" s="75" t="s">
        <v>143</v>
      </c>
      <c r="F2225" s="75" t="s">
        <v>187</v>
      </c>
      <c r="G2225" s="75"/>
      <c r="H2225" s="75"/>
      <c r="I2225" s="75" t="s">
        <v>171</v>
      </c>
      <c r="J2225" s="76">
        <v>14</v>
      </c>
      <c r="K2225" s="516" t="s">
        <v>386</v>
      </c>
      <c r="L2225" s="517">
        <v>11.49</v>
      </c>
      <c r="M2225" s="517">
        <v>12.15</v>
      </c>
      <c r="N2225" s="518">
        <v>0.10299999999999999</v>
      </c>
      <c r="O2225" s="518">
        <v>0.1</v>
      </c>
      <c r="P2225" s="518">
        <v>0.112</v>
      </c>
      <c r="Q2225" s="78">
        <v>0.44</v>
      </c>
      <c r="R2225" s="78">
        <v>0.31740000000000002</v>
      </c>
      <c r="S2225" s="69">
        <v>2.5000000000000001E-2</v>
      </c>
      <c r="T2225" s="69">
        <v>0.01</v>
      </c>
      <c r="U2225" s="518">
        <v>0.7</v>
      </c>
      <c r="V2225" s="76">
        <v>0</v>
      </c>
      <c r="W2225" s="76">
        <v>0</v>
      </c>
      <c r="X2225" s="76"/>
      <c r="Y2225" s="516" t="s">
        <v>470</v>
      </c>
    </row>
    <row r="2226" spans="1:25" x14ac:dyDescent="0.25">
      <c r="A2226" s="75" t="str">
        <f t="shared" si="79"/>
        <v>Pago_Hipoteca+Liquidez PFAE Premier PagHip Mas Liquidez Pago_Fijo_Puntual 13</v>
      </c>
      <c r="B2226" s="75" t="str">
        <f t="shared" si="78"/>
        <v>Pago_Hipoteca+Liquidez PFAE Premier PagHip Mas Liquidez Pago_Fijo_Puntual 13 0.0965</v>
      </c>
      <c r="C2226" s="75" t="s">
        <v>174</v>
      </c>
      <c r="D2226" s="75" t="s">
        <v>168</v>
      </c>
      <c r="E2226" s="75" t="s">
        <v>143</v>
      </c>
      <c r="F2226" s="75" t="s">
        <v>187</v>
      </c>
      <c r="G2226" s="75"/>
      <c r="H2226" s="75"/>
      <c r="I2226" s="75" t="s">
        <v>171</v>
      </c>
      <c r="J2226" s="76">
        <v>13</v>
      </c>
      <c r="K2226" s="516" t="s">
        <v>385</v>
      </c>
      <c r="L2226" s="517">
        <v>11.45</v>
      </c>
      <c r="M2226" s="517">
        <v>12.11</v>
      </c>
      <c r="N2226" s="518">
        <v>9.6500000000000002E-2</v>
      </c>
      <c r="O2226" s="518">
        <v>9.1999999999999998E-2</v>
      </c>
      <c r="P2226" s="518">
        <v>0.10249999999999999</v>
      </c>
      <c r="Q2226" s="78">
        <v>0.44</v>
      </c>
      <c r="R2226" s="78">
        <v>0.31740000000000002</v>
      </c>
      <c r="S2226" s="69">
        <v>2.5000000000000001E-2</v>
      </c>
      <c r="T2226" s="69">
        <v>0.01</v>
      </c>
      <c r="U2226" s="518">
        <v>0.7</v>
      </c>
      <c r="V2226" s="76">
        <v>0</v>
      </c>
      <c r="W2226" s="76">
        <v>0</v>
      </c>
      <c r="X2226" s="76"/>
      <c r="Y2226" s="516" t="s">
        <v>470</v>
      </c>
    </row>
    <row r="2227" spans="1:25" x14ac:dyDescent="0.25">
      <c r="A2227" s="75" t="str">
        <f t="shared" si="79"/>
        <v>Pago_Hipoteca+Liquidez PFAE Premier PagHip Mas Liquidez Pago_Fijo_Puntual 13</v>
      </c>
      <c r="B2227" s="75" t="str">
        <f t="shared" si="78"/>
        <v>Pago_Hipoteca+Liquidez PFAE Premier PagHip Mas Liquidez Pago_Fijo_Puntual 13 0.103</v>
      </c>
      <c r="C2227" s="75" t="s">
        <v>174</v>
      </c>
      <c r="D2227" s="75" t="s">
        <v>168</v>
      </c>
      <c r="E2227" s="75" t="s">
        <v>143</v>
      </c>
      <c r="F2227" s="75" t="s">
        <v>187</v>
      </c>
      <c r="G2227" s="75"/>
      <c r="H2227" s="75"/>
      <c r="I2227" s="75" t="s">
        <v>171</v>
      </c>
      <c r="J2227" s="76">
        <v>13</v>
      </c>
      <c r="K2227" s="516" t="s">
        <v>386</v>
      </c>
      <c r="L2227" s="517">
        <v>11.86</v>
      </c>
      <c r="M2227" s="517">
        <v>12.52</v>
      </c>
      <c r="N2227" s="518">
        <v>0.10299999999999999</v>
      </c>
      <c r="O2227" s="518">
        <v>0.1</v>
      </c>
      <c r="P2227" s="518">
        <v>0.112</v>
      </c>
      <c r="Q2227" s="78">
        <v>0.44</v>
      </c>
      <c r="R2227" s="78">
        <v>0.31740000000000002</v>
      </c>
      <c r="S2227" s="69">
        <v>2.5000000000000001E-2</v>
      </c>
      <c r="T2227" s="69">
        <v>0.01</v>
      </c>
      <c r="U2227" s="518">
        <v>0.7</v>
      </c>
      <c r="V2227" s="76">
        <v>0</v>
      </c>
      <c r="W2227" s="76">
        <v>0</v>
      </c>
      <c r="X2227" s="76"/>
      <c r="Y2227" s="516" t="s">
        <v>470</v>
      </c>
    </row>
    <row r="2228" spans="1:25" x14ac:dyDescent="0.25">
      <c r="A2228" s="75" t="str">
        <f t="shared" si="79"/>
        <v>Pago_Hipoteca+Liquidez PFAE Premier PagHip Mas Liquidez Pago_Fijo_Puntual 12</v>
      </c>
      <c r="B2228" s="75" t="str">
        <f t="shared" si="78"/>
        <v>Pago_Hipoteca+Liquidez PFAE Premier PagHip Mas Liquidez Pago_Fijo_Puntual 12 0.0965</v>
      </c>
      <c r="C2228" s="75" t="s">
        <v>174</v>
      </c>
      <c r="D2228" s="75" t="s">
        <v>168</v>
      </c>
      <c r="E2228" s="75" t="s">
        <v>143</v>
      </c>
      <c r="F2228" s="75" t="s">
        <v>187</v>
      </c>
      <c r="G2228" s="75"/>
      <c r="H2228" s="75"/>
      <c r="I2228" s="75" t="s">
        <v>171</v>
      </c>
      <c r="J2228" s="76">
        <v>12</v>
      </c>
      <c r="K2228" s="516" t="s">
        <v>385</v>
      </c>
      <c r="L2228" s="517">
        <v>11.91</v>
      </c>
      <c r="M2228" s="517">
        <v>12.57</v>
      </c>
      <c r="N2228" s="518">
        <v>9.6500000000000002E-2</v>
      </c>
      <c r="O2228" s="518">
        <v>9.1999999999999998E-2</v>
      </c>
      <c r="P2228" s="518">
        <v>0.10249999999999999</v>
      </c>
      <c r="Q2228" s="78">
        <v>0.44</v>
      </c>
      <c r="R2228" s="78">
        <v>0.31740000000000002</v>
      </c>
      <c r="S2228" s="69">
        <v>2.5000000000000001E-2</v>
      </c>
      <c r="T2228" s="69">
        <v>0.01</v>
      </c>
      <c r="U2228" s="518">
        <v>0.7</v>
      </c>
      <c r="V2228" s="76">
        <v>0</v>
      </c>
      <c r="W2228" s="76">
        <v>0</v>
      </c>
      <c r="X2228" s="76"/>
      <c r="Y2228" s="516" t="s">
        <v>470</v>
      </c>
    </row>
    <row r="2229" spans="1:25" x14ac:dyDescent="0.25">
      <c r="A2229" s="75" t="str">
        <f t="shared" si="79"/>
        <v>Pago_Hipoteca+Liquidez PFAE Premier PagHip Mas Liquidez Pago_Fijo_Puntual 12</v>
      </c>
      <c r="B2229" s="75" t="str">
        <f t="shared" si="78"/>
        <v>Pago_Hipoteca+Liquidez PFAE Premier PagHip Mas Liquidez Pago_Fijo_Puntual 12 0.103</v>
      </c>
      <c r="C2229" s="75" t="s">
        <v>174</v>
      </c>
      <c r="D2229" s="75" t="s">
        <v>168</v>
      </c>
      <c r="E2229" s="75" t="s">
        <v>143</v>
      </c>
      <c r="F2229" s="75" t="s">
        <v>187</v>
      </c>
      <c r="G2229" s="75"/>
      <c r="H2229" s="75"/>
      <c r="I2229" s="75" t="s">
        <v>171</v>
      </c>
      <c r="J2229" s="76">
        <v>12</v>
      </c>
      <c r="K2229" s="516" t="s">
        <v>386</v>
      </c>
      <c r="L2229" s="517">
        <v>12.31</v>
      </c>
      <c r="M2229" s="517">
        <v>12.97</v>
      </c>
      <c r="N2229" s="518">
        <v>0.10299999999999999</v>
      </c>
      <c r="O2229" s="518">
        <v>0.1</v>
      </c>
      <c r="P2229" s="518">
        <v>0.112</v>
      </c>
      <c r="Q2229" s="78">
        <v>0.44</v>
      </c>
      <c r="R2229" s="78">
        <v>0.31740000000000002</v>
      </c>
      <c r="S2229" s="69">
        <v>2.5000000000000001E-2</v>
      </c>
      <c r="T2229" s="69">
        <v>0.01</v>
      </c>
      <c r="U2229" s="518">
        <v>0.7</v>
      </c>
      <c r="V2229" s="76">
        <v>0</v>
      </c>
      <c r="W2229" s="76">
        <v>0</v>
      </c>
      <c r="X2229" s="76"/>
      <c r="Y2229" s="516" t="s">
        <v>470</v>
      </c>
    </row>
    <row r="2230" spans="1:25" x14ac:dyDescent="0.25">
      <c r="A2230" s="75" t="str">
        <f t="shared" si="79"/>
        <v>Pago_Hipoteca+Liquidez PFAE Premier PagHip Mas Liquidez Pago_Fijo_Puntual 11</v>
      </c>
      <c r="B2230" s="75" t="str">
        <f t="shared" si="78"/>
        <v>Pago_Hipoteca+Liquidez PFAE Premier PagHip Mas Liquidez Pago_Fijo_Puntual 11 0.0965</v>
      </c>
      <c r="C2230" s="75" t="s">
        <v>174</v>
      </c>
      <c r="D2230" s="75" t="s">
        <v>168</v>
      </c>
      <c r="E2230" s="75" t="s">
        <v>143</v>
      </c>
      <c r="F2230" s="75" t="s">
        <v>187</v>
      </c>
      <c r="G2230" s="75"/>
      <c r="H2230" s="75"/>
      <c r="I2230" s="75" t="s">
        <v>171</v>
      </c>
      <c r="J2230" s="76">
        <v>11</v>
      </c>
      <c r="K2230" s="516" t="s">
        <v>385</v>
      </c>
      <c r="L2230" s="517">
        <v>12.47</v>
      </c>
      <c r="M2230" s="517">
        <v>13.13</v>
      </c>
      <c r="N2230" s="518">
        <v>9.6500000000000002E-2</v>
      </c>
      <c r="O2230" s="518">
        <v>9.1999999999999998E-2</v>
      </c>
      <c r="P2230" s="518">
        <v>0.10249999999999999</v>
      </c>
      <c r="Q2230" s="78">
        <v>0.44</v>
      </c>
      <c r="R2230" s="78">
        <v>0.31740000000000002</v>
      </c>
      <c r="S2230" s="69">
        <v>2.5000000000000001E-2</v>
      </c>
      <c r="T2230" s="69">
        <v>0.01</v>
      </c>
      <c r="U2230" s="518">
        <v>0.7</v>
      </c>
      <c r="V2230" s="76">
        <v>0</v>
      </c>
      <c r="W2230" s="76">
        <v>0</v>
      </c>
      <c r="X2230" s="76"/>
      <c r="Y2230" s="516" t="s">
        <v>470</v>
      </c>
    </row>
    <row r="2231" spans="1:25" x14ac:dyDescent="0.25">
      <c r="A2231" s="75" t="str">
        <f t="shared" si="79"/>
        <v>Pago_Hipoteca+Liquidez PFAE Premier PagHip Mas Liquidez Pago_Fijo_Puntual 11</v>
      </c>
      <c r="B2231" s="75" t="str">
        <f t="shared" si="78"/>
        <v>Pago_Hipoteca+Liquidez PFAE Premier PagHip Mas Liquidez Pago_Fijo_Puntual 11 0.103</v>
      </c>
      <c r="C2231" s="75" t="s">
        <v>174</v>
      </c>
      <c r="D2231" s="75" t="s">
        <v>168</v>
      </c>
      <c r="E2231" s="75" t="s">
        <v>143</v>
      </c>
      <c r="F2231" s="75" t="s">
        <v>187</v>
      </c>
      <c r="G2231" s="75"/>
      <c r="H2231" s="75"/>
      <c r="I2231" s="75" t="s">
        <v>171</v>
      </c>
      <c r="J2231" s="76">
        <v>11</v>
      </c>
      <c r="K2231" s="516" t="s">
        <v>386</v>
      </c>
      <c r="L2231" s="517">
        <v>12.86</v>
      </c>
      <c r="M2231" s="517">
        <v>13.52</v>
      </c>
      <c r="N2231" s="518">
        <v>0.10299999999999999</v>
      </c>
      <c r="O2231" s="518">
        <v>0.1</v>
      </c>
      <c r="P2231" s="518">
        <v>0.112</v>
      </c>
      <c r="Q2231" s="78">
        <v>0.44</v>
      </c>
      <c r="R2231" s="78">
        <v>0.31740000000000002</v>
      </c>
      <c r="S2231" s="69">
        <v>2.5000000000000001E-2</v>
      </c>
      <c r="T2231" s="69">
        <v>0.01</v>
      </c>
      <c r="U2231" s="518">
        <v>0.7</v>
      </c>
      <c r="V2231" s="76">
        <v>0</v>
      </c>
      <c r="W2231" s="76">
        <v>0</v>
      </c>
      <c r="X2231" s="76"/>
      <c r="Y2231" s="516" t="s">
        <v>470</v>
      </c>
    </row>
    <row r="2232" spans="1:25" x14ac:dyDescent="0.25">
      <c r="A2232" s="75" t="str">
        <f t="shared" si="79"/>
        <v>Pago_Hipoteca+Liquidez PFAE Premier PagHip Mas Liquidez Pago_Fijo_Puntual 10</v>
      </c>
      <c r="B2232" s="75" t="str">
        <f t="shared" si="78"/>
        <v>Pago_Hipoteca+Liquidez PFAE Premier PagHip Mas Liquidez Pago_Fijo_Puntual 10 0.0965</v>
      </c>
      <c r="C2232" s="75" t="s">
        <v>174</v>
      </c>
      <c r="D2232" s="75" t="s">
        <v>168</v>
      </c>
      <c r="E2232" s="75" t="s">
        <v>143</v>
      </c>
      <c r="F2232" s="75" t="s">
        <v>187</v>
      </c>
      <c r="G2232" s="75"/>
      <c r="H2232" s="75"/>
      <c r="I2232" s="75" t="s">
        <v>171</v>
      </c>
      <c r="J2232" s="76">
        <v>10</v>
      </c>
      <c r="K2232" s="516" t="s">
        <v>385</v>
      </c>
      <c r="L2232" s="517">
        <v>13.16</v>
      </c>
      <c r="M2232" s="517">
        <v>13.82</v>
      </c>
      <c r="N2232" s="518">
        <v>9.6500000000000002E-2</v>
      </c>
      <c r="O2232" s="518">
        <v>9.1999999999999998E-2</v>
      </c>
      <c r="P2232" s="518">
        <v>0.10249999999999999</v>
      </c>
      <c r="Q2232" s="78">
        <v>0.44</v>
      </c>
      <c r="R2232" s="78">
        <v>0.31740000000000002</v>
      </c>
      <c r="S2232" s="69">
        <v>2.5000000000000001E-2</v>
      </c>
      <c r="T2232" s="69">
        <v>0.01</v>
      </c>
      <c r="U2232" s="518">
        <v>0.7</v>
      </c>
      <c r="V2232" s="76">
        <v>0</v>
      </c>
      <c r="W2232" s="76">
        <v>0</v>
      </c>
      <c r="X2232" s="76"/>
      <c r="Y2232" s="516" t="s">
        <v>470</v>
      </c>
    </row>
    <row r="2233" spans="1:25" x14ac:dyDescent="0.25">
      <c r="A2233" s="75" t="str">
        <f t="shared" si="79"/>
        <v>Pago_Hipoteca+Liquidez PFAE Premier PagHip Mas Liquidez Pago_Fijo_Puntual 10</v>
      </c>
      <c r="B2233" s="75" t="str">
        <f t="shared" si="78"/>
        <v>Pago_Hipoteca+Liquidez PFAE Premier PagHip Mas Liquidez Pago_Fijo_Puntual 10 0.103</v>
      </c>
      <c r="C2233" s="75" t="s">
        <v>174</v>
      </c>
      <c r="D2233" s="75" t="s">
        <v>168</v>
      </c>
      <c r="E2233" s="75" t="s">
        <v>143</v>
      </c>
      <c r="F2233" s="75" t="s">
        <v>187</v>
      </c>
      <c r="G2233" s="75"/>
      <c r="H2233" s="75"/>
      <c r="I2233" s="75" t="s">
        <v>171</v>
      </c>
      <c r="J2233" s="76">
        <v>10</v>
      </c>
      <c r="K2233" s="516" t="s">
        <v>386</v>
      </c>
      <c r="L2233" s="517">
        <v>13.54</v>
      </c>
      <c r="M2233" s="517">
        <v>14.2</v>
      </c>
      <c r="N2233" s="518">
        <v>0.10299999999999999</v>
      </c>
      <c r="O2233" s="518">
        <v>0.1</v>
      </c>
      <c r="P2233" s="518">
        <v>0.112</v>
      </c>
      <c r="Q2233" s="78">
        <v>0.44</v>
      </c>
      <c r="R2233" s="78">
        <v>0.31740000000000002</v>
      </c>
      <c r="S2233" s="69">
        <v>2.5000000000000001E-2</v>
      </c>
      <c r="T2233" s="69">
        <v>0.01</v>
      </c>
      <c r="U2233" s="518">
        <v>0.7</v>
      </c>
      <c r="V2233" s="76">
        <v>0</v>
      </c>
      <c r="W2233" s="76">
        <v>0</v>
      </c>
      <c r="X2233" s="76"/>
      <c r="Y2233" s="516" t="s">
        <v>470</v>
      </c>
    </row>
    <row r="2234" spans="1:25" x14ac:dyDescent="0.25">
      <c r="A2234" s="75" t="str">
        <f t="shared" si="79"/>
        <v>Pago_Hipoteca+Liquidez PFAE Premier PagHip Mas Liquidez Pago_Fijo_Puntual 9</v>
      </c>
      <c r="B2234" s="75" t="str">
        <f t="shared" si="78"/>
        <v>Pago_Hipoteca+Liquidez PFAE Premier PagHip Mas Liquidez Pago_Fijo_Puntual 9 0.0965</v>
      </c>
      <c r="C2234" s="75" t="s">
        <v>174</v>
      </c>
      <c r="D2234" s="75" t="s">
        <v>168</v>
      </c>
      <c r="E2234" s="75" t="s">
        <v>143</v>
      </c>
      <c r="F2234" s="75" t="s">
        <v>187</v>
      </c>
      <c r="G2234" s="75"/>
      <c r="H2234" s="75"/>
      <c r="I2234" s="75" t="s">
        <v>171</v>
      </c>
      <c r="J2234" s="76">
        <v>9</v>
      </c>
      <c r="K2234" s="516" t="s">
        <v>385</v>
      </c>
      <c r="L2234" s="517">
        <v>14.01</v>
      </c>
      <c r="M2234" s="517">
        <v>14.67</v>
      </c>
      <c r="N2234" s="518">
        <v>9.6500000000000002E-2</v>
      </c>
      <c r="O2234" s="518">
        <v>9.1999999999999998E-2</v>
      </c>
      <c r="P2234" s="518">
        <v>0.10249999999999999</v>
      </c>
      <c r="Q2234" s="78">
        <v>0.44</v>
      </c>
      <c r="R2234" s="78">
        <v>0.31740000000000002</v>
      </c>
      <c r="S2234" s="69">
        <v>2.5000000000000001E-2</v>
      </c>
      <c r="T2234" s="69">
        <v>0.01</v>
      </c>
      <c r="U2234" s="518">
        <v>0.7</v>
      </c>
      <c r="V2234" s="76">
        <v>0</v>
      </c>
      <c r="W2234" s="76">
        <v>0</v>
      </c>
      <c r="X2234" s="76"/>
      <c r="Y2234" s="516" t="s">
        <v>470</v>
      </c>
    </row>
    <row r="2235" spans="1:25" x14ac:dyDescent="0.25">
      <c r="A2235" s="75" t="str">
        <f t="shared" si="79"/>
        <v>Pago_Hipoteca+Liquidez PFAE Premier PagHip Mas Liquidez Pago_Fijo_Puntual 9</v>
      </c>
      <c r="B2235" s="75" t="str">
        <f t="shared" si="78"/>
        <v>Pago_Hipoteca+Liquidez PFAE Premier PagHip Mas Liquidez Pago_Fijo_Puntual 9 0.103</v>
      </c>
      <c r="C2235" s="75" t="s">
        <v>174</v>
      </c>
      <c r="D2235" s="75" t="s">
        <v>168</v>
      </c>
      <c r="E2235" s="75" t="s">
        <v>143</v>
      </c>
      <c r="F2235" s="75" t="s">
        <v>187</v>
      </c>
      <c r="G2235" s="75"/>
      <c r="H2235" s="75"/>
      <c r="I2235" s="75" t="s">
        <v>171</v>
      </c>
      <c r="J2235" s="76">
        <v>9</v>
      </c>
      <c r="K2235" s="516" t="s">
        <v>386</v>
      </c>
      <c r="L2235" s="517">
        <v>14.37</v>
      </c>
      <c r="M2235" s="517">
        <v>15.03</v>
      </c>
      <c r="N2235" s="518">
        <v>0.10299999999999999</v>
      </c>
      <c r="O2235" s="518">
        <v>0.1</v>
      </c>
      <c r="P2235" s="518">
        <v>0.112</v>
      </c>
      <c r="Q2235" s="78">
        <v>0.44</v>
      </c>
      <c r="R2235" s="78">
        <v>0.31740000000000002</v>
      </c>
      <c r="S2235" s="69">
        <v>2.5000000000000001E-2</v>
      </c>
      <c r="T2235" s="69">
        <v>0.01</v>
      </c>
      <c r="U2235" s="518">
        <v>0.7</v>
      </c>
      <c r="V2235" s="76">
        <v>0</v>
      </c>
      <c r="W2235" s="76">
        <v>0</v>
      </c>
      <c r="X2235" s="76"/>
      <c r="Y2235" s="516" t="s">
        <v>470</v>
      </c>
    </row>
    <row r="2236" spans="1:25" x14ac:dyDescent="0.25">
      <c r="A2236" s="75" t="str">
        <f t="shared" si="79"/>
        <v>Pago_Hipoteca+Liquidez PFAE Premier PagHip Mas Liquidez Pago_Fijo_Puntual 8</v>
      </c>
      <c r="B2236" s="75" t="str">
        <f t="shared" si="78"/>
        <v>Pago_Hipoteca+Liquidez PFAE Premier PagHip Mas Liquidez Pago_Fijo_Puntual 8 0.0965</v>
      </c>
      <c r="C2236" s="75" t="s">
        <v>174</v>
      </c>
      <c r="D2236" s="75" t="s">
        <v>168</v>
      </c>
      <c r="E2236" s="75" t="s">
        <v>143</v>
      </c>
      <c r="F2236" s="75" t="s">
        <v>187</v>
      </c>
      <c r="G2236" s="75"/>
      <c r="H2236" s="75"/>
      <c r="I2236" s="75" t="s">
        <v>171</v>
      </c>
      <c r="J2236" s="76">
        <v>8</v>
      </c>
      <c r="K2236" s="516" t="s">
        <v>385</v>
      </c>
      <c r="L2236" s="517">
        <v>15.09</v>
      </c>
      <c r="M2236" s="517">
        <v>15.75</v>
      </c>
      <c r="N2236" s="518">
        <v>9.6500000000000002E-2</v>
      </c>
      <c r="O2236" s="518">
        <v>9.1999999999999998E-2</v>
      </c>
      <c r="P2236" s="518">
        <v>0.10249999999999999</v>
      </c>
      <c r="Q2236" s="78">
        <v>0.44</v>
      </c>
      <c r="R2236" s="78">
        <v>0.31740000000000002</v>
      </c>
      <c r="S2236" s="69">
        <v>2.5000000000000001E-2</v>
      </c>
      <c r="T2236" s="69">
        <v>0.01</v>
      </c>
      <c r="U2236" s="518">
        <v>0.7</v>
      </c>
      <c r="V2236" s="76">
        <v>0</v>
      </c>
      <c r="W2236" s="76">
        <v>0</v>
      </c>
      <c r="X2236" s="76"/>
      <c r="Y2236" s="516" t="s">
        <v>470</v>
      </c>
    </row>
    <row r="2237" spans="1:25" x14ac:dyDescent="0.25">
      <c r="A2237" s="75" t="str">
        <f t="shared" si="79"/>
        <v>Pago_Hipoteca+Liquidez PFAE Premier PagHip Mas Liquidez Pago_Fijo_Puntual 8</v>
      </c>
      <c r="B2237" s="75" t="str">
        <f t="shared" si="78"/>
        <v>Pago_Hipoteca+Liquidez PFAE Premier PagHip Mas Liquidez Pago_Fijo_Puntual 8 0.103</v>
      </c>
      <c r="C2237" s="75" t="s">
        <v>174</v>
      </c>
      <c r="D2237" s="75" t="s">
        <v>168</v>
      </c>
      <c r="E2237" s="75" t="s">
        <v>143</v>
      </c>
      <c r="F2237" s="75" t="s">
        <v>187</v>
      </c>
      <c r="G2237" s="75"/>
      <c r="H2237" s="75"/>
      <c r="I2237" s="75" t="s">
        <v>171</v>
      </c>
      <c r="J2237" s="76">
        <v>8</v>
      </c>
      <c r="K2237" s="516" t="s">
        <v>386</v>
      </c>
      <c r="L2237" s="517">
        <v>15.44</v>
      </c>
      <c r="M2237" s="517">
        <v>16.100000000000001</v>
      </c>
      <c r="N2237" s="518">
        <v>0.10299999999999999</v>
      </c>
      <c r="O2237" s="518">
        <v>0.1</v>
      </c>
      <c r="P2237" s="518">
        <v>0.112</v>
      </c>
      <c r="Q2237" s="78">
        <v>0.44</v>
      </c>
      <c r="R2237" s="78">
        <v>0.31740000000000002</v>
      </c>
      <c r="S2237" s="69">
        <v>2.5000000000000001E-2</v>
      </c>
      <c r="T2237" s="69">
        <v>0.01</v>
      </c>
      <c r="U2237" s="518">
        <v>0.7</v>
      </c>
      <c r="V2237" s="76">
        <v>0</v>
      </c>
      <c r="W2237" s="76">
        <v>0</v>
      </c>
      <c r="X2237" s="76"/>
      <c r="Y2237" s="516" t="s">
        <v>470</v>
      </c>
    </row>
    <row r="2238" spans="1:25" x14ac:dyDescent="0.25">
      <c r="A2238" s="75" t="str">
        <f t="shared" si="79"/>
        <v>Pago_Hipoteca+Liquidez PFAE Premier PagHip Mas Liquidez Pago_Fijo_Puntual 7</v>
      </c>
      <c r="B2238" s="75" t="str">
        <f t="shared" si="78"/>
        <v>Pago_Hipoteca+Liquidez PFAE Premier PagHip Mas Liquidez Pago_Fijo_Puntual 7 0.0965</v>
      </c>
      <c r="C2238" s="75" t="s">
        <v>174</v>
      </c>
      <c r="D2238" s="75" t="s">
        <v>168</v>
      </c>
      <c r="E2238" s="75" t="s">
        <v>143</v>
      </c>
      <c r="F2238" s="75" t="s">
        <v>187</v>
      </c>
      <c r="G2238" s="75"/>
      <c r="H2238" s="75"/>
      <c r="I2238" s="75" t="s">
        <v>171</v>
      </c>
      <c r="J2238" s="76">
        <v>7</v>
      </c>
      <c r="K2238" s="516" t="s">
        <v>385</v>
      </c>
      <c r="L2238" s="517">
        <v>16.5</v>
      </c>
      <c r="M2238" s="517">
        <v>17.16</v>
      </c>
      <c r="N2238" s="518">
        <v>9.6500000000000002E-2</v>
      </c>
      <c r="O2238" s="518">
        <v>9.1999999999999998E-2</v>
      </c>
      <c r="P2238" s="518">
        <v>0.10249999999999999</v>
      </c>
      <c r="Q2238" s="78">
        <v>0.44</v>
      </c>
      <c r="R2238" s="78">
        <v>0.31740000000000002</v>
      </c>
      <c r="S2238" s="69">
        <v>2.5000000000000001E-2</v>
      </c>
      <c r="T2238" s="69">
        <v>0.01</v>
      </c>
      <c r="U2238" s="518">
        <v>0.7</v>
      </c>
      <c r="V2238" s="76">
        <v>0</v>
      </c>
      <c r="W2238" s="76">
        <v>0</v>
      </c>
      <c r="X2238" s="76"/>
      <c r="Y2238" s="516" t="s">
        <v>470</v>
      </c>
    </row>
    <row r="2239" spans="1:25" x14ac:dyDescent="0.25">
      <c r="A2239" s="75" t="str">
        <f t="shared" si="79"/>
        <v>Pago_Hipoteca+Liquidez PFAE Premier PagHip Mas Liquidez Pago_Fijo_Puntual 7</v>
      </c>
      <c r="B2239" s="75" t="str">
        <f t="shared" si="78"/>
        <v>Pago_Hipoteca+Liquidez PFAE Premier PagHip Mas Liquidez Pago_Fijo_Puntual 7 0.103</v>
      </c>
      <c r="C2239" s="75" t="s">
        <v>174</v>
      </c>
      <c r="D2239" s="75" t="s">
        <v>168</v>
      </c>
      <c r="E2239" s="75" t="s">
        <v>143</v>
      </c>
      <c r="F2239" s="75" t="s">
        <v>187</v>
      </c>
      <c r="G2239" s="75"/>
      <c r="H2239" s="75"/>
      <c r="I2239" s="75" t="s">
        <v>171</v>
      </c>
      <c r="J2239" s="76">
        <v>7</v>
      </c>
      <c r="K2239" s="516" t="s">
        <v>386</v>
      </c>
      <c r="L2239" s="517">
        <v>16.84</v>
      </c>
      <c r="M2239" s="517">
        <v>17.5</v>
      </c>
      <c r="N2239" s="518">
        <v>0.10299999999999999</v>
      </c>
      <c r="O2239" s="518">
        <v>0.1</v>
      </c>
      <c r="P2239" s="518">
        <v>0.112</v>
      </c>
      <c r="Q2239" s="78">
        <v>0.44</v>
      </c>
      <c r="R2239" s="78">
        <v>0.31740000000000002</v>
      </c>
      <c r="S2239" s="69">
        <v>2.5000000000000001E-2</v>
      </c>
      <c r="T2239" s="69">
        <v>0.01</v>
      </c>
      <c r="U2239" s="518">
        <v>0.7</v>
      </c>
      <c r="V2239" s="76">
        <v>0</v>
      </c>
      <c r="W2239" s="76">
        <v>0</v>
      </c>
      <c r="X2239" s="76"/>
      <c r="Y2239" s="516" t="s">
        <v>470</v>
      </c>
    </row>
    <row r="2240" spans="1:25" x14ac:dyDescent="0.25">
      <c r="A2240" s="75" t="str">
        <f t="shared" si="79"/>
        <v>Pago_Hipoteca+Liquidez PFAE Premier PagHip Mas Liquidez Pago_Fijo_Puntual 6</v>
      </c>
      <c r="B2240" s="75" t="str">
        <f t="shared" si="78"/>
        <v>Pago_Hipoteca+Liquidez PFAE Premier PagHip Mas Liquidez Pago_Fijo_Puntual 6 0.0965</v>
      </c>
      <c r="C2240" s="75" t="s">
        <v>174</v>
      </c>
      <c r="D2240" s="75" t="s">
        <v>168</v>
      </c>
      <c r="E2240" s="75" t="s">
        <v>143</v>
      </c>
      <c r="F2240" s="75" t="s">
        <v>187</v>
      </c>
      <c r="G2240" s="75"/>
      <c r="H2240" s="75"/>
      <c r="I2240" s="75" t="s">
        <v>171</v>
      </c>
      <c r="J2240" s="76">
        <v>6</v>
      </c>
      <c r="K2240" s="516" t="s">
        <v>385</v>
      </c>
      <c r="L2240" s="517">
        <v>18.41</v>
      </c>
      <c r="M2240" s="517">
        <v>19.07</v>
      </c>
      <c r="N2240" s="518">
        <v>9.6500000000000002E-2</v>
      </c>
      <c r="O2240" s="518">
        <v>9.1999999999999998E-2</v>
      </c>
      <c r="P2240" s="518">
        <v>0.10249999999999999</v>
      </c>
      <c r="Q2240" s="78">
        <v>0.44</v>
      </c>
      <c r="R2240" s="78">
        <v>0.31740000000000002</v>
      </c>
      <c r="S2240" s="69">
        <v>2.5000000000000001E-2</v>
      </c>
      <c r="T2240" s="69">
        <v>0.01</v>
      </c>
      <c r="U2240" s="518">
        <v>0.7</v>
      </c>
      <c r="V2240" s="76">
        <v>0</v>
      </c>
      <c r="W2240" s="76">
        <v>0</v>
      </c>
      <c r="X2240" s="76"/>
      <c r="Y2240" s="516" t="s">
        <v>470</v>
      </c>
    </row>
    <row r="2241" spans="1:25" x14ac:dyDescent="0.25">
      <c r="A2241" s="75" t="str">
        <f t="shared" si="79"/>
        <v>Pago_Hipoteca+Liquidez PFAE Premier PagHip Mas Liquidez Pago_Fijo_Puntual 6</v>
      </c>
      <c r="B2241" s="75" t="str">
        <f t="shared" si="78"/>
        <v>Pago_Hipoteca+Liquidez PFAE Premier PagHip Mas Liquidez Pago_Fijo_Puntual 6 0.103</v>
      </c>
      <c r="C2241" s="75" t="s">
        <v>174</v>
      </c>
      <c r="D2241" s="75" t="s">
        <v>168</v>
      </c>
      <c r="E2241" s="75" t="s">
        <v>143</v>
      </c>
      <c r="F2241" s="75" t="s">
        <v>187</v>
      </c>
      <c r="G2241" s="75"/>
      <c r="H2241" s="75"/>
      <c r="I2241" s="75" t="s">
        <v>171</v>
      </c>
      <c r="J2241" s="76">
        <v>6</v>
      </c>
      <c r="K2241" s="516" t="s">
        <v>386</v>
      </c>
      <c r="L2241" s="517">
        <v>18.739999999999998</v>
      </c>
      <c r="M2241" s="517">
        <v>19.399999999999999</v>
      </c>
      <c r="N2241" s="518">
        <v>0.10299999999999999</v>
      </c>
      <c r="O2241" s="518">
        <v>0.1</v>
      </c>
      <c r="P2241" s="518">
        <v>0.112</v>
      </c>
      <c r="Q2241" s="78">
        <v>0.44</v>
      </c>
      <c r="R2241" s="78">
        <v>0.31740000000000002</v>
      </c>
      <c r="S2241" s="69">
        <v>2.5000000000000001E-2</v>
      </c>
      <c r="T2241" s="69">
        <v>0.01</v>
      </c>
      <c r="U2241" s="518">
        <v>0.7</v>
      </c>
      <c r="V2241" s="76">
        <v>0</v>
      </c>
      <c r="W2241" s="76">
        <v>0</v>
      </c>
      <c r="X2241" s="76"/>
      <c r="Y2241" s="516" t="s">
        <v>470</v>
      </c>
    </row>
    <row r="2242" spans="1:25" x14ac:dyDescent="0.25">
      <c r="A2242" s="75" t="str">
        <f t="shared" si="79"/>
        <v>Pago_Hipoteca+Liquidez PFAE Premier PagHip Mas Liquidez Pago_Fijo_Puntual 5</v>
      </c>
      <c r="B2242" s="75" t="str">
        <f t="shared" si="78"/>
        <v>Pago_Hipoteca+Liquidez PFAE Premier PagHip Mas Liquidez Pago_Fijo_Puntual 5 0.0965</v>
      </c>
      <c r="C2242" s="75" t="s">
        <v>174</v>
      </c>
      <c r="D2242" s="75" t="s">
        <v>168</v>
      </c>
      <c r="E2242" s="75" t="s">
        <v>143</v>
      </c>
      <c r="F2242" s="75" t="s">
        <v>187</v>
      </c>
      <c r="G2242" s="75"/>
      <c r="H2242" s="75"/>
      <c r="I2242" s="75" t="s">
        <v>171</v>
      </c>
      <c r="J2242" s="76">
        <v>5</v>
      </c>
      <c r="K2242" s="516" t="s">
        <v>385</v>
      </c>
      <c r="L2242" s="517">
        <v>21.12</v>
      </c>
      <c r="M2242" s="517">
        <v>21.78</v>
      </c>
      <c r="N2242" s="518">
        <v>9.6500000000000002E-2</v>
      </c>
      <c r="O2242" s="518">
        <v>9.1999999999999998E-2</v>
      </c>
      <c r="P2242" s="518">
        <v>0.10249999999999999</v>
      </c>
      <c r="Q2242" s="78">
        <v>0.44</v>
      </c>
      <c r="R2242" s="78">
        <v>0.31740000000000002</v>
      </c>
      <c r="S2242" s="69">
        <v>2.5000000000000001E-2</v>
      </c>
      <c r="T2242" s="69">
        <v>0.01</v>
      </c>
      <c r="U2242" s="518">
        <v>0.7</v>
      </c>
      <c r="V2242" s="76">
        <v>0</v>
      </c>
      <c r="W2242" s="76">
        <v>0</v>
      </c>
      <c r="X2242" s="76"/>
      <c r="Y2242" s="516" t="s">
        <v>470</v>
      </c>
    </row>
    <row r="2243" spans="1:25" x14ac:dyDescent="0.25">
      <c r="A2243" s="75" t="str">
        <f t="shared" si="79"/>
        <v>Pago_Hipoteca+Liquidez PFAE Premier PagHip Mas Liquidez Pago_Fijo_Puntual 5</v>
      </c>
      <c r="B2243" s="75" t="str">
        <f t="shared" si="78"/>
        <v>Pago_Hipoteca+Liquidez PFAE Premier PagHip Mas Liquidez Pago_Fijo_Puntual 5 0.103</v>
      </c>
      <c r="C2243" s="75" t="s">
        <v>174</v>
      </c>
      <c r="D2243" s="75" t="s">
        <v>168</v>
      </c>
      <c r="E2243" s="75" t="s">
        <v>143</v>
      </c>
      <c r="F2243" s="75" t="s">
        <v>187</v>
      </c>
      <c r="G2243" s="75"/>
      <c r="H2243" s="75"/>
      <c r="I2243" s="75" t="s">
        <v>171</v>
      </c>
      <c r="J2243" s="76">
        <v>5</v>
      </c>
      <c r="K2243" s="516" t="s">
        <v>386</v>
      </c>
      <c r="L2243" s="517">
        <v>21.44</v>
      </c>
      <c r="M2243" s="517">
        <v>22.1</v>
      </c>
      <c r="N2243" s="518">
        <v>0.10299999999999999</v>
      </c>
      <c r="O2243" s="518">
        <v>0.1</v>
      </c>
      <c r="P2243" s="518">
        <v>0.112</v>
      </c>
      <c r="Q2243" s="78">
        <v>0.44</v>
      </c>
      <c r="R2243" s="78">
        <v>0.31740000000000002</v>
      </c>
      <c r="S2243" s="69">
        <v>2.5000000000000001E-2</v>
      </c>
      <c r="T2243" s="69">
        <v>0.01</v>
      </c>
      <c r="U2243" s="518">
        <v>0.7</v>
      </c>
      <c r="V2243" s="76">
        <v>0</v>
      </c>
      <c r="W2243" s="76">
        <v>0</v>
      </c>
      <c r="X2243" s="76"/>
      <c r="Y2243" s="516" t="s">
        <v>470</v>
      </c>
    </row>
    <row r="2244" spans="1:25" x14ac:dyDescent="0.25">
      <c r="A2244" s="75" t="str">
        <f t="shared" si="79"/>
        <v>Remodelación PF No_Premier Pago_Fijo_Puntual 20</v>
      </c>
      <c r="B2244" s="75" t="str">
        <f t="shared" si="78"/>
        <v>Remodelación PF No_Premier Pago_Fijo_Puntual 20 0.0965</v>
      </c>
      <c r="C2244" s="75" t="s">
        <v>152</v>
      </c>
      <c r="D2244" s="75" t="s">
        <v>132</v>
      </c>
      <c r="E2244" s="75" t="s">
        <v>179</v>
      </c>
      <c r="F2244" s="75"/>
      <c r="G2244" s="75"/>
      <c r="H2244" s="75"/>
      <c r="I2244" s="75" t="s">
        <v>171</v>
      </c>
      <c r="J2244" s="76">
        <v>20</v>
      </c>
      <c r="K2244" s="516" t="s">
        <v>385</v>
      </c>
      <c r="L2244" s="517">
        <v>9.66</v>
      </c>
      <c r="M2244" s="517">
        <v>10.32</v>
      </c>
      <c r="N2244" s="518">
        <v>9.6500000000000002E-2</v>
      </c>
      <c r="O2244" s="518">
        <v>9.1999999999999998E-2</v>
      </c>
      <c r="P2244" s="518">
        <v>0.10249999999999999</v>
      </c>
      <c r="Q2244" s="78">
        <v>0.44</v>
      </c>
      <c r="R2244" s="78">
        <v>0.31740000000000002</v>
      </c>
      <c r="S2244" s="69">
        <v>0</v>
      </c>
      <c r="T2244" s="69">
        <v>0</v>
      </c>
      <c r="U2244" s="518">
        <v>0.7</v>
      </c>
      <c r="V2244" s="76">
        <v>0</v>
      </c>
      <c r="W2244" s="76">
        <v>0</v>
      </c>
      <c r="X2244" s="76"/>
      <c r="Y2244" s="516" t="s">
        <v>470</v>
      </c>
    </row>
    <row r="2245" spans="1:25" x14ac:dyDescent="0.25">
      <c r="A2245" s="75" t="str">
        <f t="shared" si="79"/>
        <v>Remodelación PF No_Premier Pago_Fijo_Puntual 20</v>
      </c>
      <c r="B2245" s="75" t="str">
        <f t="shared" si="78"/>
        <v>Remodelación PF No_Premier Pago_Fijo_Puntual 20 0.103</v>
      </c>
      <c r="C2245" s="75" t="s">
        <v>152</v>
      </c>
      <c r="D2245" s="75" t="s">
        <v>132</v>
      </c>
      <c r="E2245" s="75" t="s">
        <v>179</v>
      </c>
      <c r="F2245" s="75"/>
      <c r="G2245" s="75"/>
      <c r="H2245" s="75"/>
      <c r="I2245" s="75" t="s">
        <v>171</v>
      </c>
      <c r="J2245" s="76">
        <v>20</v>
      </c>
      <c r="K2245" s="516" t="s">
        <v>386</v>
      </c>
      <c r="L2245" s="517">
        <v>10.16</v>
      </c>
      <c r="M2245" s="517">
        <v>10.82</v>
      </c>
      <c r="N2245" s="518">
        <v>0.10299999999999999</v>
      </c>
      <c r="O2245" s="518">
        <v>0.1</v>
      </c>
      <c r="P2245" s="518">
        <v>0.112</v>
      </c>
      <c r="Q2245" s="78">
        <v>0.44</v>
      </c>
      <c r="R2245" s="78">
        <v>0.31740000000000002</v>
      </c>
      <c r="S2245" s="69">
        <v>0</v>
      </c>
      <c r="T2245" s="69">
        <v>0</v>
      </c>
      <c r="U2245" s="518">
        <v>0.7</v>
      </c>
      <c r="V2245" s="76">
        <v>0</v>
      </c>
      <c r="W2245" s="76">
        <v>0</v>
      </c>
      <c r="X2245" s="76"/>
      <c r="Y2245" s="516" t="s">
        <v>470</v>
      </c>
    </row>
    <row r="2246" spans="1:25" x14ac:dyDescent="0.25">
      <c r="A2246" s="75" t="str">
        <f t="shared" si="79"/>
        <v>Remodelación PF No_Premier Pago_Fijo_Puntual 15</v>
      </c>
      <c r="B2246" s="75" t="str">
        <f t="shared" ref="B2246:B2309" si="80">CONCATENATE(A2246," ",N2246)</f>
        <v>Remodelación PF No_Premier Pago_Fijo_Puntual 15 0.0965</v>
      </c>
      <c r="C2246" s="75" t="s">
        <v>152</v>
      </c>
      <c r="D2246" s="75" t="s">
        <v>132</v>
      </c>
      <c r="E2246" s="75" t="s">
        <v>179</v>
      </c>
      <c r="F2246" s="75"/>
      <c r="G2246" s="75"/>
      <c r="H2246" s="75"/>
      <c r="I2246" s="75" t="s">
        <v>171</v>
      </c>
      <c r="J2246" s="76">
        <v>15</v>
      </c>
      <c r="K2246" s="516" t="s">
        <v>385</v>
      </c>
      <c r="L2246" s="517">
        <v>10.73</v>
      </c>
      <c r="M2246" s="517">
        <v>11.39</v>
      </c>
      <c r="N2246" s="518">
        <v>9.6500000000000002E-2</v>
      </c>
      <c r="O2246" s="518">
        <v>9.1999999999999998E-2</v>
      </c>
      <c r="P2246" s="518">
        <v>0.10249999999999999</v>
      </c>
      <c r="Q2246" s="78">
        <v>0.44</v>
      </c>
      <c r="R2246" s="78">
        <v>0.31740000000000002</v>
      </c>
      <c r="S2246" s="69">
        <v>0</v>
      </c>
      <c r="T2246" s="69">
        <v>0</v>
      </c>
      <c r="U2246" s="518">
        <v>0.7</v>
      </c>
      <c r="V2246" s="76">
        <v>0</v>
      </c>
      <c r="W2246" s="76">
        <v>0</v>
      </c>
      <c r="X2246" s="76"/>
      <c r="Y2246" s="516" t="s">
        <v>470</v>
      </c>
    </row>
    <row r="2247" spans="1:25" x14ac:dyDescent="0.25">
      <c r="A2247" s="75" t="str">
        <f t="shared" ref="A2247:A2310" si="81">TRIM(CONCATENATE(C2247," ",D2247," ",E2247," ",F2247," ",G2247," ",I2247," ",X2247," ",J2247))</f>
        <v>Remodelación PF No_Premier Pago_Fijo_Puntual 15</v>
      </c>
      <c r="B2247" s="75" t="str">
        <f t="shared" si="80"/>
        <v>Remodelación PF No_Premier Pago_Fijo_Puntual 15 0.103</v>
      </c>
      <c r="C2247" s="75" t="s">
        <v>152</v>
      </c>
      <c r="D2247" s="75" t="s">
        <v>132</v>
      </c>
      <c r="E2247" s="75" t="s">
        <v>179</v>
      </c>
      <c r="F2247" s="75"/>
      <c r="G2247" s="75"/>
      <c r="H2247" s="75"/>
      <c r="I2247" s="75" t="s">
        <v>171</v>
      </c>
      <c r="J2247" s="76">
        <v>15</v>
      </c>
      <c r="K2247" s="516" t="s">
        <v>386</v>
      </c>
      <c r="L2247" s="517">
        <v>11.18</v>
      </c>
      <c r="M2247" s="517">
        <v>11.84</v>
      </c>
      <c r="N2247" s="518">
        <v>0.10299999999999999</v>
      </c>
      <c r="O2247" s="518">
        <v>0.1</v>
      </c>
      <c r="P2247" s="518">
        <v>0.112</v>
      </c>
      <c r="Q2247" s="78">
        <v>0.44</v>
      </c>
      <c r="R2247" s="78">
        <v>0.31740000000000002</v>
      </c>
      <c r="S2247" s="69">
        <v>0</v>
      </c>
      <c r="T2247" s="69">
        <v>0</v>
      </c>
      <c r="U2247" s="518">
        <v>0.7</v>
      </c>
      <c r="V2247" s="76">
        <v>0</v>
      </c>
      <c r="W2247" s="76">
        <v>0</v>
      </c>
      <c r="X2247" s="76"/>
      <c r="Y2247" s="516" t="s">
        <v>470</v>
      </c>
    </row>
    <row r="2248" spans="1:25" x14ac:dyDescent="0.25">
      <c r="A2248" s="75" t="str">
        <f t="shared" si="81"/>
        <v>Remodelación PF No_Premier Pago_Fijo_Puntual 10</v>
      </c>
      <c r="B2248" s="75" t="str">
        <f t="shared" si="80"/>
        <v>Remodelación PF No_Premier Pago_Fijo_Puntual 10 0.0965</v>
      </c>
      <c r="C2248" s="75" t="s">
        <v>152</v>
      </c>
      <c r="D2248" s="75" t="s">
        <v>132</v>
      </c>
      <c r="E2248" s="75" t="s">
        <v>179</v>
      </c>
      <c r="F2248" s="75"/>
      <c r="G2248" s="75"/>
      <c r="H2248" s="75"/>
      <c r="I2248" s="75" t="s">
        <v>171</v>
      </c>
      <c r="J2248" s="76">
        <v>10</v>
      </c>
      <c r="K2248" s="516" t="s">
        <v>385</v>
      </c>
      <c r="L2248" s="517">
        <v>13.54</v>
      </c>
      <c r="M2248" s="517">
        <v>14.2</v>
      </c>
      <c r="N2248" s="518">
        <v>9.6500000000000002E-2</v>
      </c>
      <c r="O2248" s="518">
        <v>9.1999999999999998E-2</v>
      </c>
      <c r="P2248" s="518">
        <v>0.10249999999999999</v>
      </c>
      <c r="Q2248" s="78">
        <v>0.44</v>
      </c>
      <c r="R2248" s="78">
        <v>0.31740000000000002</v>
      </c>
      <c r="S2248" s="69">
        <v>0</v>
      </c>
      <c r="T2248" s="69">
        <v>0</v>
      </c>
      <c r="U2248" s="518">
        <v>0.7</v>
      </c>
      <c r="V2248" s="76">
        <v>0</v>
      </c>
      <c r="W2248" s="76">
        <v>0</v>
      </c>
      <c r="X2248" s="76"/>
      <c r="Y2248" s="516" t="s">
        <v>470</v>
      </c>
    </row>
    <row r="2249" spans="1:25" x14ac:dyDescent="0.25">
      <c r="A2249" s="75" t="str">
        <f t="shared" si="81"/>
        <v>Remodelación PF No_Premier Pago_Fijo_Puntual 10</v>
      </c>
      <c r="B2249" s="75" t="str">
        <f t="shared" si="80"/>
        <v>Remodelación PF No_Premier Pago_Fijo_Puntual 10 0.103</v>
      </c>
      <c r="C2249" s="75" t="s">
        <v>152</v>
      </c>
      <c r="D2249" s="75" t="s">
        <v>132</v>
      </c>
      <c r="E2249" s="75" t="s">
        <v>179</v>
      </c>
      <c r="F2249" s="75"/>
      <c r="G2249" s="75"/>
      <c r="H2249" s="75"/>
      <c r="I2249" s="75" t="s">
        <v>171</v>
      </c>
      <c r="J2249" s="76">
        <v>10</v>
      </c>
      <c r="K2249" s="516" t="s">
        <v>386</v>
      </c>
      <c r="L2249" s="517">
        <v>13.54</v>
      </c>
      <c r="M2249" s="517">
        <v>14.2</v>
      </c>
      <c r="N2249" s="518">
        <v>0.10299999999999999</v>
      </c>
      <c r="O2249" s="518">
        <v>0.1</v>
      </c>
      <c r="P2249" s="518">
        <v>0.112</v>
      </c>
      <c r="Q2249" s="78">
        <v>0.44</v>
      </c>
      <c r="R2249" s="78">
        <v>0.31740000000000002</v>
      </c>
      <c r="S2249" s="69">
        <v>0</v>
      </c>
      <c r="T2249" s="69">
        <v>0</v>
      </c>
      <c r="U2249" s="518">
        <v>0.7</v>
      </c>
      <c r="V2249" s="76">
        <v>0</v>
      </c>
      <c r="W2249" s="76">
        <v>0</v>
      </c>
      <c r="X2249" s="76"/>
      <c r="Y2249" s="516" t="s">
        <v>470</v>
      </c>
    </row>
    <row r="2250" spans="1:25" x14ac:dyDescent="0.25">
      <c r="A2250" s="75" t="str">
        <f t="shared" si="81"/>
        <v>Remodelación PF No_Premier Pago_Fijo_Puntual 5</v>
      </c>
      <c r="B2250" s="75" t="str">
        <f t="shared" si="80"/>
        <v>Remodelación PF No_Premier Pago_Fijo_Puntual 5 0.0965</v>
      </c>
      <c r="C2250" s="75" t="s">
        <v>152</v>
      </c>
      <c r="D2250" s="75" t="s">
        <v>132</v>
      </c>
      <c r="E2250" s="75" t="s">
        <v>179</v>
      </c>
      <c r="F2250" s="75"/>
      <c r="G2250" s="75"/>
      <c r="H2250" s="75"/>
      <c r="I2250" s="75" t="s">
        <v>171</v>
      </c>
      <c r="J2250" s="76">
        <v>5</v>
      </c>
      <c r="K2250" s="516" t="s">
        <v>385</v>
      </c>
      <c r="L2250" s="517">
        <v>21.12</v>
      </c>
      <c r="M2250" s="517">
        <v>21.78</v>
      </c>
      <c r="N2250" s="518">
        <v>9.6500000000000002E-2</v>
      </c>
      <c r="O2250" s="518">
        <v>9.1999999999999998E-2</v>
      </c>
      <c r="P2250" s="518">
        <v>0.10249999999999999</v>
      </c>
      <c r="Q2250" s="78">
        <v>0.44</v>
      </c>
      <c r="R2250" s="78">
        <v>0.31740000000000002</v>
      </c>
      <c r="S2250" s="69">
        <v>0</v>
      </c>
      <c r="T2250" s="69">
        <v>0</v>
      </c>
      <c r="U2250" s="518">
        <v>0.7</v>
      </c>
      <c r="V2250" s="76">
        <v>0</v>
      </c>
      <c r="W2250" s="76">
        <v>0</v>
      </c>
      <c r="X2250" s="76"/>
      <c r="Y2250" s="516" t="s">
        <v>470</v>
      </c>
    </row>
    <row r="2251" spans="1:25" x14ac:dyDescent="0.25">
      <c r="A2251" s="75" t="str">
        <f t="shared" si="81"/>
        <v>Remodelación PF No_Premier Pago_Fijo_Puntual 5</v>
      </c>
      <c r="B2251" s="75" t="str">
        <f t="shared" si="80"/>
        <v>Remodelación PF No_Premier Pago_Fijo_Puntual 5 0.103</v>
      </c>
      <c r="C2251" s="75" t="s">
        <v>152</v>
      </c>
      <c r="D2251" s="75" t="s">
        <v>132</v>
      </c>
      <c r="E2251" s="75" t="s">
        <v>179</v>
      </c>
      <c r="F2251" s="75"/>
      <c r="G2251" s="75"/>
      <c r="H2251" s="75"/>
      <c r="I2251" s="75" t="s">
        <v>171</v>
      </c>
      <c r="J2251" s="76">
        <v>5</v>
      </c>
      <c r="K2251" s="516" t="s">
        <v>386</v>
      </c>
      <c r="L2251" s="517">
        <v>21.44</v>
      </c>
      <c r="M2251" s="517">
        <v>22.1</v>
      </c>
      <c r="N2251" s="518">
        <v>0.10299999999999999</v>
      </c>
      <c r="O2251" s="518">
        <v>0.1</v>
      </c>
      <c r="P2251" s="518">
        <v>0.112</v>
      </c>
      <c r="Q2251" s="78">
        <v>0.44</v>
      </c>
      <c r="R2251" s="78">
        <v>0.31740000000000002</v>
      </c>
      <c r="S2251" s="69">
        <v>0</v>
      </c>
      <c r="T2251" s="69">
        <v>0</v>
      </c>
      <c r="U2251" s="518">
        <v>0.7</v>
      </c>
      <c r="V2251" s="76">
        <v>0</v>
      </c>
      <c r="W2251" s="76">
        <v>0</v>
      </c>
      <c r="X2251" s="76"/>
      <c r="Y2251" s="516" t="s">
        <v>470</v>
      </c>
    </row>
    <row r="2252" spans="1:25" x14ac:dyDescent="0.25">
      <c r="A2252" s="75" t="str">
        <f t="shared" si="81"/>
        <v>Remodelación PF Premier Pago_Fijo_Puntual 20</v>
      </c>
      <c r="B2252" s="75" t="str">
        <f t="shared" si="80"/>
        <v>Remodelación PF Premier Pago_Fijo_Puntual 20 0.0965</v>
      </c>
      <c r="C2252" s="75" t="s">
        <v>152</v>
      </c>
      <c r="D2252" s="75" t="s">
        <v>132</v>
      </c>
      <c r="E2252" s="75" t="s">
        <v>143</v>
      </c>
      <c r="F2252" s="75"/>
      <c r="G2252" s="75"/>
      <c r="H2252" s="75"/>
      <c r="I2252" s="75" t="s">
        <v>171</v>
      </c>
      <c r="J2252" s="76">
        <v>20</v>
      </c>
      <c r="K2252" s="516" t="s">
        <v>385</v>
      </c>
      <c r="L2252" s="517">
        <v>9.66</v>
      </c>
      <c r="M2252" s="517">
        <v>10.32</v>
      </c>
      <c r="N2252" s="518">
        <v>9.6500000000000002E-2</v>
      </c>
      <c r="O2252" s="518">
        <v>9.1999999999999998E-2</v>
      </c>
      <c r="P2252" s="518">
        <v>0.10249999999999999</v>
      </c>
      <c r="Q2252" s="78">
        <v>0.44</v>
      </c>
      <c r="R2252" s="78">
        <v>0.31740000000000002</v>
      </c>
      <c r="S2252" s="69">
        <v>0</v>
      </c>
      <c r="T2252" s="69">
        <v>0</v>
      </c>
      <c r="U2252" s="518">
        <v>0.7</v>
      </c>
      <c r="V2252" s="76">
        <v>0</v>
      </c>
      <c r="W2252" s="76">
        <v>0</v>
      </c>
      <c r="X2252" s="76"/>
      <c r="Y2252" s="516" t="s">
        <v>470</v>
      </c>
    </row>
    <row r="2253" spans="1:25" x14ac:dyDescent="0.25">
      <c r="A2253" s="75" t="str">
        <f t="shared" si="81"/>
        <v>Remodelación PF Premier Pago_Fijo_Puntual 20</v>
      </c>
      <c r="B2253" s="75" t="str">
        <f t="shared" si="80"/>
        <v>Remodelación PF Premier Pago_Fijo_Puntual 20 0.103</v>
      </c>
      <c r="C2253" s="75" t="s">
        <v>152</v>
      </c>
      <c r="D2253" s="75" t="s">
        <v>132</v>
      </c>
      <c r="E2253" s="75" t="s">
        <v>143</v>
      </c>
      <c r="F2253" s="75"/>
      <c r="G2253" s="75"/>
      <c r="H2253" s="75"/>
      <c r="I2253" s="75" t="s">
        <v>171</v>
      </c>
      <c r="J2253" s="76">
        <v>20</v>
      </c>
      <c r="K2253" s="516" t="s">
        <v>386</v>
      </c>
      <c r="L2253" s="517">
        <v>10.16</v>
      </c>
      <c r="M2253" s="517">
        <v>10.82</v>
      </c>
      <c r="N2253" s="518">
        <v>0.10299999999999999</v>
      </c>
      <c r="O2253" s="518">
        <v>0.1</v>
      </c>
      <c r="P2253" s="518">
        <v>0.112</v>
      </c>
      <c r="Q2253" s="78">
        <v>0.44</v>
      </c>
      <c r="R2253" s="78">
        <v>0.31740000000000002</v>
      </c>
      <c r="S2253" s="69">
        <v>0</v>
      </c>
      <c r="T2253" s="69">
        <v>0</v>
      </c>
      <c r="U2253" s="518">
        <v>0.7</v>
      </c>
      <c r="V2253" s="76">
        <v>0</v>
      </c>
      <c r="W2253" s="76">
        <v>0</v>
      </c>
      <c r="X2253" s="76"/>
      <c r="Y2253" s="516" t="s">
        <v>470</v>
      </c>
    </row>
    <row r="2254" spans="1:25" x14ac:dyDescent="0.25">
      <c r="A2254" s="75" t="str">
        <f t="shared" si="81"/>
        <v>Remodelación PF Premier Pago_Fijo_Puntual 15</v>
      </c>
      <c r="B2254" s="75" t="str">
        <f t="shared" si="80"/>
        <v>Remodelación PF Premier Pago_Fijo_Puntual 15 0.0965</v>
      </c>
      <c r="C2254" s="75" t="s">
        <v>152</v>
      </c>
      <c r="D2254" s="75" t="s">
        <v>132</v>
      </c>
      <c r="E2254" s="75" t="s">
        <v>143</v>
      </c>
      <c r="F2254" s="75"/>
      <c r="G2254" s="75"/>
      <c r="H2254" s="75"/>
      <c r="I2254" s="75" t="s">
        <v>171</v>
      </c>
      <c r="J2254" s="76">
        <v>15</v>
      </c>
      <c r="K2254" s="516" t="s">
        <v>385</v>
      </c>
      <c r="L2254" s="517">
        <v>10.73</v>
      </c>
      <c r="M2254" s="517">
        <v>11.39</v>
      </c>
      <c r="N2254" s="518">
        <v>9.6500000000000002E-2</v>
      </c>
      <c r="O2254" s="518">
        <v>9.1999999999999998E-2</v>
      </c>
      <c r="P2254" s="518">
        <v>0.10249999999999999</v>
      </c>
      <c r="Q2254" s="78">
        <v>0.44</v>
      </c>
      <c r="R2254" s="78">
        <v>0.31740000000000002</v>
      </c>
      <c r="S2254" s="69">
        <v>0</v>
      </c>
      <c r="T2254" s="69">
        <v>0</v>
      </c>
      <c r="U2254" s="518">
        <v>0.7</v>
      </c>
      <c r="V2254" s="76">
        <v>0</v>
      </c>
      <c r="W2254" s="76">
        <v>0</v>
      </c>
      <c r="X2254" s="76"/>
      <c r="Y2254" s="516" t="s">
        <v>470</v>
      </c>
    </row>
    <row r="2255" spans="1:25" x14ac:dyDescent="0.25">
      <c r="A2255" s="75" t="str">
        <f t="shared" si="81"/>
        <v>Remodelación PF Premier Pago_Fijo_Puntual 15</v>
      </c>
      <c r="B2255" s="75" t="str">
        <f t="shared" si="80"/>
        <v>Remodelación PF Premier Pago_Fijo_Puntual 15 0.103</v>
      </c>
      <c r="C2255" s="75" t="s">
        <v>152</v>
      </c>
      <c r="D2255" s="75" t="s">
        <v>132</v>
      </c>
      <c r="E2255" s="75" t="s">
        <v>143</v>
      </c>
      <c r="F2255" s="75"/>
      <c r="G2255" s="75"/>
      <c r="H2255" s="75"/>
      <c r="I2255" s="75" t="s">
        <v>171</v>
      </c>
      <c r="J2255" s="76">
        <v>15</v>
      </c>
      <c r="K2255" s="516" t="s">
        <v>386</v>
      </c>
      <c r="L2255" s="517">
        <v>11.18</v>
      </c>
      <c r="M2255" s="517">
        <v>11.84</v>
      </c>
      <c r="N2255" s="518">
        <v>0.10299999999999999</v>
      </c>
      <c r="O2255" s="518">
        <v>0.1</v>
      </c>
      <c r="P2255" s="518">
        <v>0.112</v>
      </c>
      <c r="Q2255" s="78">
        <v>0.44</v>
      </c>
      <c r="R2255" s="78">
        <v>0.31740000000000002</v>
      </c>
      <c r="S2255" s="69">
        <v>0</v>
      </c>
      <c r="T2255" s="69">
        <v>0</v>
      </c>
      <c r="U2255" s="518">
        <v>0.7</v>
      </c>
      <c r="V2255" s="76">
        <v>0</v>
      </c>
      <c r="W2255" s="76">
        <v>0</v>
      </c>
      <c r="X2255" s="76"/>
      <c r="Y2255" s="516" t="s">
        <v>470</v>
      </c>
    </row>
    <row r="2256" spans="1:25" x14ac:dyDescent="0.25">
      <c r="A2256" s="75" t="str">
        <f t="shared" si="81"/>
        <v>Remodelación PF Premier Pago_Fijo_Puntual 10</v>
      </c>
      <c r="B2256" s="75" t="str">
        <f t="shared" si="80"/>
        <v>Remodelación PF Premier Pago_Fijo_Puntual 10 0.0965</v>
      </c>
      <c r="C2256" s="75" t="s">
        <v>152</v>
      </c>
      <c r="D2256" s="75" t="s">
        <v>132</v>
      </c>
      <c r="E2256" s="75" t="s">
        <v>143</v>
      </c>
      <c r="F2256" s="75"/>
      <c r="G2256" s="75"/>
      <c r="H2256" s="75"/>
      <c r="I2256" s="75" t="s">
        <v>171</v>
      </c>
      <c r="J2256" s="76">
        <v>10</v>
      </c>
      <c r="K2256" s="516" t="s">
        <v>385</v>
      </c>
      <c r="L2256" s="517">
        <v>13.54</v>
      </c>
      <c r="M2256" s="517">
        <v>14.2</v>
      </c>
      <c r="N2256" s="518">
        <v>9.6500000000000002E-2</v>
      </c>
      <c r="O2256" s="518">
        <v>9.1999999999999998E-2</v>
      </c>
      <c r="P2256" s="518">
        <v>0.10249999999999999</v>
      </c>
      <c r="Q2256" s="78">
        <v>0.44</v>
      </c>
      <c r="R2256" s="78">
        <v>0.31740000000000002</v>
      </c>
      <c r="S2256" s="69">
        <v>0</v>
      </c>
      <c r="T2256" s="69">
        <v>0</v>
      </c>
      <c r="U2256" s="518">
        <v>0.7</v>
      </c>
      <c r="V2256" s="76">
        <v>0</v>
      </c>
      <c r="W2256" s="76">
        <v>0</v>
      </c>
      <c r="X2256" s="76"/>
      <c r="Y2256" s="516" t="s">
        <v>470</v>
      </c>
    </row>
    <row r="2257" spans="1:25" x14ac:dyDescent="0.25">
      <c r="A2257" s="75" t="str">
        <f t="shared" si="81"/>
        <v>Remodelación PF Premier Pago_Fijo_Puntual 10</v>
      </c>
      <c r="B2257" s="75" t="str">
        <f t="shared" si="80"/>
        <v>Remodelación PF Premier Pago_Fijo_Puntual 10 0.103</v>
      </c>
      <c r="C2257" s="75" t="s">
        <v>152</v>
      </c>
      <c r="D2257" s="75" t="s">
        <v>132</v>
      </c>
      <c r="E2257" s="75" t="s">
        <v>143</v>
      </c>
      <c r="F2257" s="75"/>
      <c r="G2257" s="75"/>
      <c r="H2257" s="75"/>
      <c r="I2257" s="75" t="s">
        <v>171</v>
      </c>
      <c r="J2257" s="76">
        <v>10</v>
      </c>
      <c r="K2257" s="516" t="s">
        <v>386</v>
      </c>
      <c r="L2257" s="517">
        <v>13.54</v>
      </c>
      <c r="M2257" s="517">
        <v>14.2</v>
      </c>
      <c r="N2257" s="518">
        <v>0.10299999999999999</v>
      </c>
      <c r="O2257" s="518">
        <v>0.1</v>
      </c>
      <c r="P2257" s="518">
        <v>0.112</v>
      </c>
      <c r="Q2257" s="78">
        <v>0.44</v>
      </c>
      <c r="R2257" s="78">
        <v>0.31740000000000002</v>
      </c>
      <c r="S2257" s="69">
        <v>0</v>
      </c>
      <c r="T2257" s="69">
        <v>0</v>
      </c>
      <c r="U2257" s="518">
        <v>0.7</v>
      </c>
      <c r="V2257" s="76">
        <v>0</v>
      </c>
      <c r="W2257" s="76">
        <v>0</v>
      </c>
      <c r="X2257" s="76"/>
      <c r="Y2257" s="516" t="s">
        <v>470</v>
      </c>
    </row>
    <row r="2258" spans="1:25" x14ac:dyDescent="0.25">
      <c r="A2258" s="75" t="str">
        <f t="shared" si="81"/>
        <v>Remodelación PF Premier Pago_Fijo_Puntual 5</v>
      </c>
      <c r="B2258" s="75" t="str">
        <f t="shared" si="80"/>
        <v>Remodelación PF Premier Pago_Fijo_Puntual 5 0.0965</v>
      </c>
      <c r="C2258" s="75" t="s">
        <v>152</v>
      </c>
      <c r="D2258" s="75" t="s">
        <v>132</v>
      </c>
      <c r="E2258" s="75" t="s">
        <v>143</v>
      </c>
      <c r="F2258" s="75"/>
      <c r="G2258" s="75"/>
      <c r="H2258" s="75"/>
      <c r="I2258" s="75" t="s">
        <v>171</v>
      </c>
      <c r="J2258" s="76">
        <v>5</v>
      </c>
      <c r="K2258" s="516" t="s">
        <v>385</v>
      </c>
      <c r="L2258" s="517">
        <v>21.12</v>
      </c>
      <c r="M2258" s="517">
        <v>21.78</v>
      </c>
      <c r="N2258" s="518">
        <v>9.6500000000000002E-2</v>
      </c>
      <c r="O2258" s="518">
        <v>9.1999999999999998E-2</v>
      </c>
      <c r="P2258" s="518">
        <v>0.10249999999999999</v>
      </c>
      <c r="Q2258" s="78">
        <v>0.44</v>
      </c>
      <c r="R2258" s="78">
        <v>0.31740000000000002</v>
      </c>
      <c r="S2258" s="69">
        <v>0</v>
      </c>
      <c r="T2258" s="69">
        <v>0</v>
      </c>
      <c r="U2258" s="518">
        <v>0.7</v>
      </c>
      <c r="V2258" s="76">
        <v>0</v>
      </c>
      <c r="W2258" s="76">
        <v>0</v>
      </c>
      <c r="X2258" s="76"/>
      <c r="Y2258" s="516" t="s">
        <v>470</v>
      </c>
    </row>
    <row r="2259" spans="1:25" x14ac:dyDescent="0.25">
      <c r="A2259" s="75" t="str">
        <f t="shared" si="81"/>
        <v>Remodelación PF Premier Pago_Fijo_Puntual 5</v>
      </c>
      <c r="B2259" s="75" t="str">
        <f t="shared" si="80"/>
        <v>Remodelación PF Premier Pago_Fijo_Puntual 5 0.103</v>
      </c>
      <c r="C2259" s="75" t="s">
        <v>152</v>
      </c>
      <c r="D2259" s="75" t="s">
        <v>132</v>
      </c>
      <c r="E2259" s="75" t="s">
        <v>143</v>
      </c>
      <c r="F2259" s="75"/>
      <c r="G2259" s="75"/>
      <c r="H2259" s="75"/>
      <c r="I2259" s="75" t="s">
        <v>171</v>
      </c>
      <c r="J2259" s="76">
        <v>5</v>
      </c>
      <c r="K2259" s="516" t="s">
        <v>386</v>
      </c>
      <c r="L2259" s="517">
        <v>21.44</v>
      </c>
      <c r="M2259" s="517">
        <v>22.1</v>
      </c>
      <c r="N2259" s="518">
        <v>0.10299999999999999</v>
      </c>
      <c r="O2259" s="518">
        <v>0.1</v>
      </c>
      <c r="P2259" s="518">
        <v>0.112</v>
      </c>
      <c r="Q2259" s="78">
        <v>0.44</v>
      </c>
      <c r="R2259" s="78">
        <v>0.31740000000000002</v>
      </c>
      <c r="S2259" s="69">
        <v>0</v>
      </c>
      <c r="T2259" s="69">
        <v>0</v>
      </c>
      <c r="U2259" s="518">
        <v>0.7</v>
      </c>
      <c r="V2259" s="76">
        <v>0</v>
      </c>
      <c r="W2259" s="76">
        <v>0</v>
      </c>
      <c r="X2259" s="76"/>
      <c r="Y2259" s="516" t="s">
        <v>470</v>
      </c>
    </row>
    <row r="2260" spans="1:25" x14ac:dyDescent="0.25">
      <c r="A2260" s="75" t="str">
        <f t="shared" si="81"/>
        <v>Remodelación PFAE No_Premier Pago_Fijo_Puntual 20</v>
      </c>
      <c r="B2260" s="75" t="str">
        <f t="shared" si="80"/>
        <v>Remodelación PFAE No_Premier Pago_Fijo_Puntual 20 0.0965</v>
      </c>
      <c r="C2260" s="75" t="s">
        <v>152</v>
      </c>
      <c r="D2260" s="75" t="s">
        <v>168</v>
      </c>
      <c r="E2260" s="75" t="s">
        <v>179</v>
      </c>
      <c r="F2260" s="75"/>
      <c r="G2260" s="75"/>
      <c r="H2260" s="75"/>
      <c r="I2260" s="75" t="s">
        <v>171</v>
      </c>
      <c r="J2260" s="76">
        <v>20</v>
      </c>
      <c r="K2260" s="516" t="s">
        <v>385</v>
      </c>
      <c r="L2260" s="517">
        <v>9.66</v>
      </c>
      <c r="M2260" s="517">
        <v>10.32</v>
      </c>
      <c r="N2260" s="518">
        <v>9.6500000000000002E-2</v>
      </c>
      <c r="O2260" s="518">
        <v>9.1999999999999998E-2</v>
      </c>
      <c r="P2260" s="518">
        <v>0.10249999999999999</v>
      </c>
      <c r="Q2260" s="78">
        <v>0.44</v>
      </c>
      <c r="R2260" s="78">
        <v>0.31740000000000002</v>
      </c>
      <c r="S2260" s="69">
        <v>0</v>
      </c>
      <c r="T2260" s="69">
        <v>0</v>
      </c>
      <c r="U2260" s="518">
        <v>0.7</v>
      </c>
      <c r="V2260" s="76">
        <v>0</v>
      </c>
      <c r="W2260" s="76">
        <v>0</v>
      </c>
      <c r="X2260" s="76"/>
      <c r="Y2260" s="516" t="s">
        <v>470</v>
      </c>
    </row>
    <row r="2261" spans="1:25" x14ac:dyDescent="0.25">
      <c r="A2261" s="75" t="str">
        <f t="shared" si="81"/>
        <v>Remodelación PFAE No_Premier Pago_Fijo_Puntual 20</v>
      </c>
      <c r="B2261" s="75" t="str">
        <f t="shared" si="80"/>
        <v>Remodelación PFAE No_Premier Pago_Fijo_Puntual 20 0.103</v>
      </c>
      <c r="C2261" s="75" t="s">
        <v>152</v>
      </c>
      <c r="D2261" s="75" t="s">
        <v>168</v>
      </c>
      <c r="E2261" s="75" t="s">
        <v>179</v>
      </c>
      <c r="F2261" s="75"/>
      <c r="G2261" s="75"/>
      <c r="H2261" s="75"/>
      <c r="I2261" s="75" t="s">
        <v>171</v>
      </c>
      <c r="J2261" s="76">
        <v>20</v>
      </c>
      <c r="K2261" s="516" t="s">
        <v>386</v>
      </c>
      <c r="L2261" s="517">
        <v>10.16</v>
      </c>
      <c r="M2261" s="517">
        <v>10.82</v>
      </c>
      <c r="N2261" s="518">
        <v>0.10299999999999999</v>
      </c>
      <c r="O2261" s="518">
        <v>0.1</v>
      </c>
      <c r="P2261" s="518">
        <v>0.112</v>
      </c>
      <c r="Q2261" s="78">
        <v>0.44</v>
      </c>
      <c r="R2261" s="78">
        <v>0.31740000000000002</v>
      </c>
      <c r="S2261" s="69">
        <v>0</v>
      </c>
      <c r="T2261" s="69">
        <v>0</v>
      </c>
      <c r="U2261" s="518">
        <v>0.7</v>
      </c>
      <c r="V2261" s="76">
        <v>0</v>
      </c>
      <c r="W2261" s="76">
        <v>0</v>
      </c>
      <c r="X2261" s="76"/>
      <c r="Y2261" s="516" t="s">
        <v>470</v>
      </c>
    </row>
    <row r="2262" spans="1:25" x14ac:dyDescent="0.25">
      <c r="A2262" s="75" t="str">
        <f t="shared" si="81"/>
        <v>Remodelación PFAE No_Premier Pago_Fijo_Puntual 15</v>
      </c>
      <c r="B2262" s="75" t="str">
        <f t="shared" si="80"/>
        <v>Remodelación PFAE No_Premier Pago_Fijo_Puntual 15 0.0965</v>
      </c>
      <c r="C2262" s="75" t="s">
        <v>152</v>
      </c>
      <c r="D2262" s="75" t="s">
        <v>168</v>
      </c>
      <c r="E2262" s="75" t="s">
        <v>179</v>
      </c>
      <c r="F2262" s="75"/>
      <c r="G2262" s="75"/>
      <c r="H2262" s="75"/>
      <c r="I2262" s="75" t="s">
        <v>171</v>
      </c>
      <c r="J2262" s="76">
        <v>15</v>
      </c>
      <c r="K2262" s="516" t="s">
        <v>385</v>
      </c>
      <c r="L2262" s="517">
        <v>10.73</v>
      </c>
      <c r="M2262" s="517">
        <v>11.39</v>
      </c>
      <c r="N2262" s="518">
        <v>9.6500000000000002E-2</v>
      </c>
      <c r="O2262" s="518">
        <v>9.1999999999999998E-2</v>
      </c>
      <c r="P2262" s="518">
        <v>0.10249999999999999</v>
      </c>
      <c r="Q2262" s="78">
        <v>0.44</v>
      </c>
      <c r="R2262" s="78">
        <v>0.31740000000000002</v>
      </c>
      <c r="S2262" s="69">
        <v>0</v>
      </c>
      <c r="T2262" s="69">
        <v>0</v>
      </c>
      <c r="U2262" s="518">
        <v>0.7</v>
      </c>
      <c r="V2262" s="76">
        <v>0</v>
      </c>
      <c r="W2262" s="76">
        <v>0</v>
      </c>
      <c r="X2262" s="76"/>
      <c r="Y2262" s="516" t="s">
        <v>470</v>
      </c>
    </row>
    <row r="2263" spans="1:25" x14ac:dyDescent="0.25">
      <c r="A2263" s="75" t="str">
        <f t="shared" si="81"/>
        <v>Remodelación PFAE No_Premier Pago_Fijo_Puntual 15</v>
      </c>
      <c r="B2263" s="75" t="str">
        <f t="shared" si="80"/>
        <v>Remodelación PFAE No_Premier Pago_Fijo_Puntual 15 0.103</v>
      </c>
      <c r="C2263" s="75" t="s">
        <v>152</v>
      </c>
      <c r="D2263" s="75" t="s">
        <v>168</v>
      </c>
      <c r="E2263" s="75" t="s">
        <v>179</v>
      </c>
      <c r="F2263" s="75"/>
      <c r="G2263" s="75"/>
      <c r="H2263" s="75"/>
      <c r="I2263" s="75" t="s">
        <v>171</v>
      </c>
      <c r="J2263" s="76">
        <v>15</v>
      </c>
      <c r="K2263" s="516" t="s">
        <v>386</v>
      </c>
      <c r="L2263" s="517">
        <v>11.18</v>
      </c>
      <c r="M2263" s="517">
        <v>11.84</v>
      </c>
      <c r="N2263" s="518">
        <v>0.10299999999999999</v>
      </c>
      <c r="O2263" s="518">
        <v>0.1</v>
      </c>
      <c r="P2263" s="518">
        <v>0.112</v>
      </c>
      <c r="Q2263" s="78">
        <v>0.44</v>
      </c>
      <c r="R2263" s="78">
        <v>0.31740000000000002</v>
      </c>
      <c r="S2263" s="69">
        <v>0</v>
      </c>
      <c r="T2263" s="69">
        <v>0</v>
      </c>
      <c r="U2263" s="518">
        <v>0.7</v>
      </c>
      <c r="V2263" s="76">
        <v>0</v>
      </c>
      <c r="W2263" s="76">
        <v>0</v>
      </c>
      <c r="X2263" s="76"/>
      <c r="Y2263" s="516" t="s">
        <v>470</v>
      </c>
    </row>
    <row r="2264" spans="1:25" x14ac:dyDescent="0.25">
      <c r="A2264" s="75" t="str">
        <f t="shared" si="81"/>
        <v>Remodelación PFAE No_Premier Pago_Fijo_Puntual 10</v>
      </c>
      <c r="B2264" s="75" t="str">
        <f t="shared" si="80"/>
        <v>Remodelación PFAE No_Premier Pago_Fijo_Puntual 10 0.0965</v>
      </c>
      <c r="C2264" s="75" t="s">
        <v>152</v>
      </c>
      <c r="D2264" s="75" t="s">
        <v>168</v>
      </c>
      <c r="E2264" s="75" t="s">
        <v>179</v>
      </c>
      <c r="F2264" s="75"/>
      <c r="G2264" s="75"/>
      <c r="H2264" s="75"/>
      <c r="I2264" s="75" t="s">
        <v>171</v>
      </c>
      <c r="J2264" s="76">
        <v>10</v>
      </c>
      <c r="K2264" s="516" t="s">
        <v>385</v>
      </c>
      <c r="L2264" s="517">
        <v>13.54</v>
      </c>
      <c r="M2264" s="517">
        <v>14.2</v>
      </c>
      <c r="N2264" s="518">
        <v>9.6500000000000002E-2</v>
      </c>
      <c r="O2264" s="518">
        <v>9.1999999999999998E-2</v>
      </c>
      <c r="P2264" s="518">
        <v>0.10249999999999999</v>
      </c>
      <c r="Q2264" s="78">
        <v>0.44</v>
      </c>
      <c r="R2264" s="78">
        <v>0.31740000000000002</v>
      </c>
      <c r="S2264" s="69">
        <v>0</v>
      </c>
      <c r="T2264" s="69">
        <v>0</v>
      </c>
      <c r="U2264" s="518">
        <v>0.7</v>
      </c>
      <c r="V2264" s="76">
        <v>0</v>
      </c>
      <c r="W2264" s="76">
        <v>0</v>
      </c>
      <c r="X2264" s="76"/>
      <c r="Y2264" s="516" t="s">
        <v>470</v>
      </c>
    </row>
    <row r="2265" spans="1:25" x14ac:dyDescent="0.25">
      <c r="A2265" s="75" t="str">
        <f t="shared" si="81"/>
        <v>Remodelación PFAE No_Premier Pago_Fijo_Puntual 10</v>
      </c>
      <c r="B2265" s="75" t="str">
        <f t="shared" si="80"/>
        <v>Remodelación PFAE No_Premier Pago_Fijo_Puntual 10 0.103</v>
      </c>
      <c r="C2265" s="75" t="s">
        <v>152</v>
      </c>
      <c r="D2265" s="75" t="s">
        <v>168</v>
      </c>
      <c r="E2265" s="75" t="s">
        <v>179</v>
      </c>
      <c r="F2265" s="75"/>
      <c r="G2265" s="75"/>
      <c r="H2265" s="75"/>
      <c r="I2265" s="75" t="s">
        <v>171</v>
      </c>
      <c r="J2265" s="76">
        <v>10</v>
      </c>
      <c r="K2265" s="516" t="s">
        <v>386</v>
      </c>
      <c r="L2265" s="517">
        <v>13.54</v>
      </c>
      <c r="M2265" s="517">
        <v>14.2</v>
      </c>
      <c r="N2265" s="518">
        <v>0.10299999999999999</v>
      </c>
      <c r="O2265" s="518">
        <v>0.1</v>
      </c>
      <c r="P2265" s="518">
        <v>0.112</v>
      </c>
      <c r="Q2265" s="78">
        <v>0.44</v>
      </c>
      <c r="R2265" s="78">
        <v>0.31740000000000002</v>
      </c>
      <c r="S2265" s="69">
        <v>0</v>
      </c>
      <c r="T2265" s="69">
        <v>0</v>
      </c>
      <c r="U2265" s="518">
        <v>0.7</v>
      </c>
      <c r="V2265" s="76">
        <v>0</v>
      </c>
      <c r="W2265" s="76">
        <v>0</v>
      </c>
      <c r="X2265" s="76"/>
      <c r="Y2265" s="516" t="s">
        <v>470</v>
      </c>
    </row>
    <row r="2266" spans="1:25" x14ac:dyDescent="0.25">
      <c r="A2266" s="75" t="str">
        <f t="shared" si="81"/>
        <v>Remodelación PFAE No_Premier Pago_Fijo_Puntual 5</v>
      </c>
      <c r="B2266" s="75" t="str">
        <f t="shared" si="80"/>
        <v>Remodelación PFAE No_Premier Pago_Fijo_Puntual 5 0.0965</v>
      </c>
      <c r="C2266" s="75" t="s">
        <v>152</v>
      </c>
      <c r="D2266" s="75" t="s">
        <v>168</v>
      </c>
      <c r="E2266" s="75" t="s">
        <v>179</v>
      </c>
      <c r="F2266" s="75"/>
      <c r="G2266" s="75"/>
      <c r="H2266" s="75"/>
      <c r="I2266" s="75" t="s">
        <v>171</v>
      </c>
      <c r="J2266" s="76">
        <v>5</v>
      </c>
      <c r="K2266" s="516" t="s">
        <v>385</v>
      </c>
      <c r="L2266" s="517">
        <v>21.12</v>
      </c>
      <c r="M2266" s="517">
        <v>21.78</v>
      </c>
      <c r="N2266" s="518">
        <v>9.6500000000000002E-2</v>
      </c>
      <c r="O2266" s="518">
        <v>9.1999999999999998E-2</v>
      </c>
      <c r="P2266" s="518">
        <v>0.10249999999999999</v>
      </c>
      <c r="Q2266" s="78">
        <v>0.44</v>
      </c>
      <c r="R2266" s="78">
        <v>0.31740000000000002</v>
      </c>
      <c r="S2266" s="69">
        <v>0</v>
      </c>
      <c r="T2266" s="69">
        <v>0</v>
      </c>
      <c r="U2266" s="518">
        <v>0.7</v>
      </c>
      <c r="V2266" s="76">
        <v>0</v>
      </c>
      <c r="W2266" s="76">
        <v>0</v>
      </c>
      <c r="X2266" s="76"/>
      <c r="Y2266" s="516" t="s">
        <v>470</v>
      </c>
    </row>
    <row r="2267" spans="1:25" x14ac:dyDescent="0.25">
      <c r="A2267" s="75" t="str">
        <f t="shared" si="81"/>
        <v>Remodelación PFAE No_Premier Pago_Fijo_Puntual 5</v>
      </c>
      <c r="B2267" s="75" t="str">
        <f t="shared" si="80"/>
        <v>Remodelación PFAE No_Premier Pago_Fijo_Puntual 5 0.103</v>
      </c>
      <c r="C2267" s="75" t="s">
        <v>152</v>
      </c>
      <c r="D2267" s="75" t="s">
        <v>168</v>
      </c>
      <c r="E2267" s="75" t="s">
        <v>179</v>
      </c>
      <c r="F2267" s="75"/>
      <c r="G2267" s="75"/>
      <c r="H2267" s="75"/>
      <c r="I2267" s="75" t="s">
        <v>171</v>
      </c>
      <c r="J2267" s="76">
        <v>5</v>
      </c>
      <c r="K2267" s="516" t="s">
        <v>386</v>
      </c>
      <c r="L2267" s="517">
        <v>21.44</v>
      </c>
      <c r="M2267" s="517">
        <v>22.1</v>
      </c>
      <c r="N2267" s="518">
        <v>0.10299999999999999</v>
      </c>
      <c r="O2267" s="518">
        <v>0.1</v>
      </c>
      <c r="P2267" s="518">
        <v>0.112</v>
      </c>
      <c r="Q2267" s="78">
        <v>0.44</v>
      </c>
      <c r="R2267" s="78">
        <v>0.31740000000000002</v>
      </c>
      <c r="S2267" s="69">
        <v>0</v>
      </c>
      <c r="T2267" s="69">
        <v>0</v>
      </c>
      <c r="U2267" s="518">
        <v>0.7</v>
      </c>
      <c r="V2267" s="76">
        <v>0</v>
      </c>
      <c r="W2267" s="76">
        <v>0</v>
      </c>
      <c r="X2267" s="76"/>
      <c r="Y2267" s="516" t="s">
        <v>470</v>
      </c>
    </row>
    <row r="2268" spans="1:25" x14ac:dyDescent="0.25">
      <c r="A2268" s="75" t="str">
        <f t="shared" si="81"/>
        <v>Remodelación PFAE Premier Pago_Fijo_Puntual 20</v>
      </c>
      <c r="B2268" s="75" t="str">
        <f t="shared" si="80"/>
        <v>Remodelación PFAE Premier Pago_Fijo_Puntual 20 0.0965</v>
      </c>
      <c r="C2268" s="75" t="s">
        <v>152</v>
      </c>
      <c r="D2268" s="75" t="s">
        <v>168</v>
      </c>
      <c r="E2268" s="75" t="s">
        <v>143</v>
      </c>
      <c r="F2268" s="75"/>
      <c r="G2268" s="75"/>
      <c r="H2268" s="75"/>
      <c r="I2268" s="75" t="s">
        <v>171</v>
      </c>
      <c r="J2268" s="76">
        <v>20</v>
      </c>
      <c r="K2268" s="516" t="s">
        <v>385</v>
      </c>
      <c r="L2268" s="517">
        <v>9.66</v>
      </c>
      <c r="M2268" s="517">
        <v>10.32</v>
      </c>
      <c r="N2268" s="518">
        <v>9.6500000000000002E-2</v>
      </c>
      <c r="O2268" s="518">
        <v>9.1999999999999998E-2</v>
      </c>
      <c r="P2268" s="518">
        <v>0.10249999999999999</v>
      </c>
      <c r="Q2268" s="78">
        <v>0.44</v>
      </c>
      <c r="R2268" s="78">
        <v>0.31740000000000002</v>
      </c>
      <c r="S2268" s="69">
        <v>0</v>
      </c>
      <c r="T2268" s="69">
        <v>0</v>
      </c>
      <c r="U2268" s="518">
        <v>0.7</v>
      </c>
      <c r="V2268" s="76">
        <v>0</v>
      </c>
      <c r="W2268" s="76">
        <v>0</v>
      </c>
      <c r="X2268" s="76"/>
      <c r="Y2268" s="516" t="s">
        <v>470</v>
      </c>
    </row>
    <row r="2269" spans="1:25" x14ac:dyDescent="0.25">
      <c r="A2269" s="75" t="str">
        <f t="shared" si="81"/>
        <v>Remodelación PFAE Premier Pago_Fijo_Puntual 20</v>
      </c>
      <c r="B2269" s="75" t="str">
        <f t="shared" si="80"/>
        <v>Remodelación PFAE Premier Pago_Fijo_Puntual 20 0.103</v>
      </c>
      <c r="C2269" s="75" t="s">
        <v>152</v>
      </c>
      <c r="D2269" s="75" t="s">
        <v>168</v>
      </c>
      <c r="E2269" s="75" t="s">
        <v>143</v>
      </c>
      <c r="F2269" s="75"/>
      <c r="G2269" s="75"/>
      <c r="H2269" s="75"/>
      <c r="I2269" s="75" t="s">
        <v>171</v>
      </c>
      <c r="J2269" s="76">
        <v>20</v>
      </c>
      <c r="K2269" s="516" t="s">
        <v>386</v>
      </c>
      <c r="L2269" s="517">
        <v>10.16</v>
      </c>
      <c r="M2269" s="517">
        <v>10.82</v>
      </c>
      <c r="N2269" s="518">
        <v>0.10299999999999999</v>
      </c>
      <c r="O2269" s="518">
        <v>0.1</v>
      </c>
      <c r="P2269" s="518">
        <v>0.112</v>
      </c>
      <c r="Q2269" s="78">
        <v>0.44</v>
      </c>
      <c r="R2269" s="78">
        <v>0.31740000000000002</v>
      </c>
      <c r="S2269" s="69">
        <v>0</v>
      </c>
      <c r="T2269" s="69">
        <v>0</v>
      </c>
      <c r="U2269" s="518">
        <v>0.7</v>
      </c>
      <c r="V2269" s="76">
        <v>0</v>
      </c>
      <c r="W2269" s="76">
        <v>0</v>
      </c>
      <c r="X2269" s="76"/>
      <c r="Y2269" s="516" t="s">
        <v>470</v>
      </c>
    </row>
    <row r="2270" spans="1:25" x14ac:dyDescent="0.25">
      <c r="A2270" s="75" t="str">
        <f t="shared" si="81"/>
        <v>Remodelación PFAE Premier Pago_Fijo_Puntual 15</v>
      </c>
      <c r="B2270" s="75" t="str">
        <f t="shared" si="80"/>
        <v>Remodelación PFAE Premier Pago_Fijo_Puntual 15 0.0965</v>
      </c>
      <c r="C2270" s="75" t="s">
        <v>152</v>
      </c>
      <c r="D2270" s="75" t="s">
        <v>168</v>
      </c>
      <c r="E2270" s="75" t="s">
        <v>143</v>
      </c>
      <c r="F2270" s="75"/>
      <c r="G2270" s="75"/>
      <c r="H2270" s="75"/>
      <c r="I2270" s="75" t="s">
        <v>171</v>
      </c>
      <c r="J2270" s="76">
        <v>15</v>
      </c>
      <c r="K2270" s="516" t="s">
        <v>385</v>
      </c>
      <c r="L2270" s="517">
        <v>10.73</v>
      </c>
      <c r="M2270" s="517">
        <v>11.39</v>
      </c>
      <c r="N2270" s="518">
        <v>9.6500000000000002E-2</v>
      </c>
      <c r="O2270" s="518">
        <v>9.1999999999999998E-2</v>
      </c>
      <c r="P2270" s="518">
        <v>0.10249999999999999</v>
      </c>
      <c r="Q2270" s="78">
        <v>0.44</v>
      </c>
      <c r="R2270" s="78">
        <v>0.31740000000000002</v>
      </c>
      <c r="S2270" s="69">
        <v>0</v>
      </c>
      <c r="T2270" s="69">
        <v>0</v>
      </c>
      <c r="U2270" s="518">
        <v>0.7</v>
      </c>
      <c r="V2270" s="76">
        <v>0</v>
      </c>
      <c r="W2270" s="76">
        <v>0</v>
      </c>
      <c r="X2270" s="76"/>
      <c r="Y2270" s="516" t="s">
        <v>470</v>
      </c>
    </row>
    <row r="2271" spans="1:25" x14ac:dyDescent="0.25">
      <c r="A2271" s="75" t="str">
        <f t="shared" si="81"/>
        <v>Remodelación PFAE Premier Pago_Fijo_Puntual 15</v>
      </c>
      <c r="B2271" s="75" t="str">
        <f t="shared" si="80"/>
        <v>Remodelación PFAE Premier Pago_Fijo_Puntual 15 0.103</v>
      </c>
      <c r="C2271" s="75" t="s">
        <v>152</v>
      </c>
      <c r="D2271" s="75" t="s">
        <v>168</v>
      </c>
      <c r="E2271" s="75" t="s">
        <v>143</v>
      </c>
      <c r="F2271" s="75"/>
      <c r="G2271" s="75"/>
      <c r="H2271" s="75"/>
      <c r="I2271" s="75" t="s">
        <v>171</v>
      </c>
      <c r="J2271" s="76">
        <v>15</v>
      </c>
      <c r="K2271" s="516" t="s">
        <v>386</v>
      </c>
      <c r="L2271" s="517">
        <v>11.18</v>
      </c>
      <c r="M2271" s="517">
        <v>11.84</v>
      </c>
      <c r="N2271" s="518">
        <v>0.10299999999999999</v>
      </c>
      <c r="O2271" s="518">
        <v>0.1</v>
      </c>
      <c r="P2271" s="518">
        <v>0.112</v>
      </c>
      <c r="Q2271" s="78">
        <v>0.44</v>
      </c>
      <c r="R2271" s="78">
        <v>0.31740000000000002</v>
      </c>
      <c r="S2271" s="69">
        <v>0</v>
      </c>
      <c r="T2271" s="69">
        <v>0</v>
      </c>
      <c r="U2271" s="518">
        <v>0.7</v>
      </c>
      <c r="V2271" s="76">
        <v>0</v>
      </c>
      <c r="W2271" s="76">
        <v>0</v>
      </c>
      <c r="X2271" s="76"/>
      <c r="Y2271" s="516" t="s">
        <v>470</v>
      </c>
    </row>
    <row r="2272" spans="1:25" x14ac:dyDescent="0.25">
      <c r="A2272" s="75" t="str">
        <f t="shared" si="81"/>
        <v>Remodelación PFAE Premier Pago_Fijo_Puntual 10</v>
      </c>
      <c r="B2272" s="75" t="str">
        <f t="shared" si="80"/>
        <v>Remodelación PFAE Premier Pago_Fijo_Puntual 10 0.0965</v>
      </c>
      <c r="C2272" s="75" t="s">
        <v>152</v>
      </c>
      <c r="D2272" s="75" t="s">
        <v>168</v>
      </c>
      <c r="E2272" s="75" t="s">
        <v>143</v>
      </c>
      <c r="F2272" s="75"/>
      <c r="G2272" s="75"/>
      <c r="H2272" s="75"/>
      <c r="I2272" s="75" t="s">
        <v>171</v>
      </c>
      <c r="J2272" s="76">
        <v>10</v>
      </c>
      <c r="K2272" s="516" t="s">
        <v>385</v>
      </c>
      <c r="L2272" s="517">
        <v>13.54</v>
      </c>
      <c r="M2272" s="517">
        <v>14.2</v>
      </c>
      <c r="N2272" s="518">
        <v>9.6500000000000002E-2</v>
      </c>
      <c r="O2272" s="518">
        <v>9.1999999999999998E-2</v>
      </c>
      <c r="P2272" s="518">
        <v>0.10249999999999999</v>
      </c>
      <c r="Q2272" s="78">
        <v>0.44</v>
      </c>
      <c r="R2272" s="78">
        <v>0.31740000000000002</v>
      </c>
      <c r="S2272" s="69">
        <v>0</v>
      </c>
      <c r="T2272" s="69">
        <v>0</v>
      </c>
      <c r="U2272" s="518">
        <v>0.7</v>
      </c>
      <c r="V2272" s="76">
        <v>0</v>
      </c>
      <c r="W2272" s="76">
        <v>0</v>
      </c>
      <c r="X2272" s="76"/>
      <c r="Y2272" s="516" t="s">
        <v>470</v>
      </c>
    </row>
    <row r="2273" spans="1:25" x14ac:dyDescent="0.25">
      <c r="A2273" s="75" t="str">
        <f t="shared" si="81"/>
        <v>Remodelación PFAE Premier Pago_Fijo_Puntual 10</v>
      </c>
      <c r="B2273" s="75" t="str">
        <f t="shared" si="80"/>
        <v>Remodelación PFAE Premier Pago_Fijo_Puntual 10 0.103</v>
      </c>
      <c r="C2273" s="75" t="s">
        <v>152</v>
      </c>
      <c r="D2273" s="75" t="s">
        <v>168</v>
      </c>
      <c r="E2273" s="75" t="s">
        <v>143</v>
      </c>
      <c r="F2273" s="75"/>
      <c r="G2273" s="75"/>
      <c r="H2273" s="75"/>
      <c r="I2273" s="75" t="s">
        <v>171</v>
      </c>
      <c r="J2273" s="76">
        <v>10</v>
      </c>
      <c r="K2273" s="516" t="s">
        <v>386</v>
      </c>
      <c r="L2273" s="517">
        <v>13.54</v>
      </c>
      <c r="M2273" s="517">
        <v>14.2</v>
      </c>
      <c r="N2273" s="518">
        <v>0.10299999999999999</v>
      </c>
      <c r="O2273" s="518">
        <v>0.1</v>
      </c>
      <c r="P2273" s="518">
        <v>0.112</v>
      </c>
      <c r="Q2273" s="78">
        <v>0.44</v>
      </c>
      <c r="R2273" s="78">
        <v>0.31740000000000002</v>
      </c>
      <c r="S2273" s="69">
        <v>0</v>
      </c>
      <c r="T2273" s="69">
        <v>0</v>
      </c>
      <c r="U2273" s="518">
        <v>0.7</v>
      </c>
      <c r="V2273" s="76">
        <v>0</v>
      </c>
      <c r="W2273" s="76">
        <v>0</v>
      </c>
      <c r="X2273" s="76"/>
      <c r="Y2273" s="516" t="s">
        <v>470</v>
      </c>
    </row>
    <row r="2274" spans="1:25" x14ac:dyDescent="0.25">
      <c r="A2274" s="75" t="str">
        <f t="shared" si="81"/>
        <v>Remodelación PFAE Premier Pago_Fijo_Puntual 5</v>
      </c>
      <c r="B2274" s="75" t="str">
        <f t="shared" si="80"/>
        <v>Remodelación PFAE Premier Pago_Fijo_Puntual 5 0.0965</v>
      </c>
      <c r="C2274" s="75" t="s">
        <v>152</v>
      </c>
      <c r="D2274" s="75" t="s">
        <v>168</v>
      </c>
      <c r="E2274" s="75" t="s">
        <v>143</v>
      </c>
      <c r="F2274" s="75"/>
      <c r="G2274" s="75"/>
      <c r="H2274" s="75"/>
      <c r="I2274" s="75" t="s">
        <v>171</v>
      </c>
      <c r="J2274" s="76">
        <v>5</v>
      </c>
      <c r="K2274" s="516" t="s">
        <v>385</v>
      </c>
      <c r="L2274" s="517">
        <v>21.12</v>
      </c>
      <c r="M2274" s="517">
        <v>21.78</v>
      </c>
      <c r="N2274" s="518">
        <v>9.6500000000000002E-2</v>
      </c>
      <c r="O2274" s="518">
        <v>9.1999999999999998E-2</v>
      </c>
      <c r="P2274" s="518">
        <v>0.10249999999999999</v>
      </c>
      <c r="Q2274" s="78">
        <v>0.44</v>
      </c>
      <c r="R2274" s="78">
        <v>0.31740000000000002</v>
      </c>
      <c r="S2274" s="69">
        <v>0</v>
      </c>
      <c r="T2274" s="69">
        <v>0</v>
      </c>
      <c r="U2274" s="518">
        <v>0.7</v>
      </c>
      <c r="V2274" s="76">
        <v>0</v>
      </c>
      <c r="W2274" s="76">
        <v>0</v>
      </c>
      <c r="X2274" s="76"/>
      <c r="Y2274" s="516" t="s">
        <v>470</v>
      </c>
    </row>
    <row r="2275" spans="1:25" x14ac:dyDescent="0.25">
      <c r="A2275" s="75" t="str">
        <f t="shared" si="81"/>
        <v>Remodelación PFAE Premier Pago_Fijo_Puntual 5</v>
      </c>
      <c r="B2275" s="75" t="str">
        <f t="shared" si="80"/>
        <v>Remodelación PFAE Premier Pago_Fijo_Puntual 5 0.103</v>
      </c>
      <c r="C2275" s="75" t="s">
        <v>152</v>
      </c>
      <c r="D2275" s="75" t="s">
        <v>168</v>
      </c>
      <c r="E2275" s="75" t="s">
        <v>143</v>
      </c>
      <c r="F2275" s="75"/>
      <c r="G2275" s="75"/>
      <c r="H2275" s="75"/>
      <c r="I2275" s="75" t="s">
        <v>171</v>
      </c>
      <c r="J2275" s="76">
        <v>5</v>
      </c>
      <c r="K2275" s="516" t="s">
        <v>386</v>
      </c>
      <c r="L2275" s="517">
        <v>21.44</v>
      </c>
      <c r="M2275" s="517">
        <v>22.1</v>
      </c>
      <c r="N2275" s="518">
        <v>0.10299999999999999</v>
      </c>
      <c r="O2275" s="518">
        <v>0.1</v>
      </c>
      <c r="P2275" s="518">
        <v>0.112</v>
      </c>
      <c r="Q2275" s="78">
        <v>0.44</v>
      </c>
      <c r="R2275" s="78">
        <v>0.31740000000000002</v>
      </c>
      <c r="S2275" s="69">
        <v>0</v>
      </c>
      <c r="T2275" s="69">
        <v>0</v>
      </c>
      <c r="U2275" s="518">
        <v>0.7</v>
      </c>
      <c r="V2275" s="76">
        <v>0</v>
      </c>
      <c r="W2275" s="76">
        <v>0</v>
      </c>
      <c r="X2275" s="76"/>
      <c r="Y2275" s="516" t="s">
        <v>470</v>
      </c>
    </row>
    <row r="2276" spans="1:25" x14ac:dyDescent="0.25">
      <c r="A2276" s="75" t="str">
        <f t="shared" si="81"/>
        <v>Remodelación PROF No_Premier Pago_Fijo_Puntual 20</v>
      </c>
      <c r="B2276" s="75" t="str">
        <f t="shared" si="80"/>
        <v>Remodelación PROF No_Premier Pago_Fijo_Puntual 20 0.0965</v>
      </c>
      <c r="C2276" s="75" t="s">
        <v>152</v>
      </c>
      <c r="D2276" s="75" t="s">
        <v>169</v>
      </c>
      <c r="E2276" s="75" t="s">
        <v>179</v>
      </c>
      <c r="F2276" s="75"/>
      <c r="G2276" s="75"/>
      <c r="H2276" s="75"/>
      <c r="I2276" s="75" t="s">
        <v>171</v>
      </c>
      <c r="J2276" s="76">
        <v>20</v>
      </c>
      <c r="K2276" s="516" t="s">
        <v>385</v>
      </c>
      <c r="L2276" s="517">
        <v>9.66</v>
      </c>
      <c r="M2276" s="517">
        <v>10.32</v>
      </c>
      <c r="N2276" s="518">
        <v>9.6500000000000002E-2</v>
      </c>
      <c r="O2276" s="518">
        <v>9.1999999999999998E-2</v>
      </c>
      <c r="P2276" s="518">
        <v>0.10249999999999999</v>
      </c>
      <c r="Q2276" s="78">
        <v>0.44</v>
      </c>
      <c r="R2276" s="78">
        <v>0.31740000000000002</v>
      </c>
      <c r="S2276" s="69">
        <v>0</v>
      </c>
      <c r="T2276" s="69">
        <v>0</v>
      </c>
      <c r="U2276" s="518">
        <v>0.7</v>
      </c>
      <c r="V2276" s="76">
        <v>0</v>
      </c>
      <c r="W2276" s="76">
        <v>0</v>
      </c>
      <c r="X2276" s="76"/>
      <c r="Y2276" s="516" t="s">
        <v>470</v>
      </c>
    </row>
    <row r="2277" spans="1:25" x14ac:dyDescent="0.25">
      <c r="A2277" s="75" t="str">
        <f t="shared" si="81"/>
        <v>Remodelación PROF No_Premier Pago_Fijo_Puntual 20</v>
      </c>
      <c r="B2277" s="75" t="str">
        <f t="shared" si="80"/>
        <v>Remodelación PROF No_Premier Pago_Fijo_Puntual 20 0.103</v>
      </c>
      <c r="C2277" s="75" t="s">
        <v>152</v>
      </c>
      <c r="D2277" s="75" t="s">
        <v>169</v>
      </c>
      <c r="E2277" s="75" t="s">
        <v>179</v>
      </c>
      <c r="F2277" s="75"/>
      <c r="G2277" s="75"/>
      <c r="H2277" s="75"/>
      <c r="I2277" s="75" t="s">
        <v>171</v>
      </c>
      <c r="J2277" s="76">
        <v>20</v>
      </c>
      <c r="K2277" s="516" t="s">
        <v>386</v>
      </c>
      <c r="L2277" s="517">
        <v>10.16</v>
      </c>
      <c r="M2277" s="517">
        <v>10.82</v>
      </c>
      <c r="N2277" s="518">
        <v>0.10299999999999999</v>
      </c>
      <c r="O2277" s="518">
        <v>0.1</v>
      </c>
      <c r="P2277" s="518">
        <v>0.112</v>
      </c>
      <c r="Q2277" s="78">
        <v>0.44</v>
      </c>
      <c r="R2277" s="78">
        <v>0.31740000000000002</v>
      </c>
      <c r="S2277" s="69">
        <v>0</v>
      </c>
      <c r="T2277" s="69">
        <v>0</v>
      </c>
      <c r="U2277" s="518">
        <v>0.7</v>
      </c>
      <c r="V2277" s="76">
        <v>0</v>
      </c>
      <c r="W2277" s="76">
        <v>0</v>
      </c>
      <c r="X2277" s="76"/>
      <c r="Y2277" s="516" t="s">
        <v>470</v>
      </c>
    </row>
    <row r="2278" spans="1:25" x14ac:dyDescent="0.25">
      <c r="A2278" s="75" t="str">
        <f t="shared" si="81"/>
        <v>Remodelación PROF No_Premier Pago_Fijo_Puntual 15</v>
      </c>
      <c r="B2278" s="75" t="str">
        <f t="shared" si="80"/>
        <v>Remodelación PROF No_Premier Pago_Fijo_Puntual 15 0.0965</v>
      </c>
      <c r="C2278" s="75" t="s">
        <v>152</v>
      </c>
      <c r="D2278" s="75" t="s">
        <v>169</v>
      </c>
      <c r="E2278" s="75" t="s">
        <v>179</v>
      </c>
      <c r="F2278" s="75"/>
      <c r="G2278" s="75"/>
      <c r="H2278" s="75"/>
      <c r="I2278" s="75" t="s">
        <v>171</v>
      </c>
      <c r="J2278" s="76">
        <v>15</v>
      </c>
      <c r="K2278" s="516" t="s">
        <v>385</v>
      </c>
      <c r="L2278" s="517">
        <v>10.73</v>
      </c>
      <c r="M2278" s="517">
        <v>11.39</v>
      </c>
      <c r="N2278" s="518">
        <v>9.6500000000000002E-2</v>
      </c>
      <c r="O2278" s="518">
        <v>9.1999999999999998E-2</v>
      </c>
      <c r="P2278" s="518">
        <v>0.10249999999999999</v>
      </c>
      <c r="Q2278" s="78">
        <v>0.44</v>
      </c>
      <c r="R2278" s="78">
        <v>0.31740000000000002</v>
      </c>
      <c r="S2278" s="69">
        <v>0</v>
      </c>
      <c r="T2278" s="69">
        <v>0</v>
      </c>
      <c r="U2278" s="518">
        <v>0.7</v>
      </c>
      <c r="V2278" s="76">
        <v>0</v>
      </c>
      <c r="W2278" s="76">
        <v>0</v>
      </c>
      <c r="X2278" s="76"/>
      <c r="Y2278" s="516" t="s">
        <v>470</v>
      </c>
    </row>
    <row r="2279" spans="1:25" x14ac:dyDescent="0.25">
      <c r="A2279" s="75" t="str">
        <f t="shared" si="81"/>
        <v>Remodelación PROF No_Premier Pago_Fijo_Puntual 15</v>
      </c>
      <c r="B2279" s="75" t="str">
        <f t="shared" si="80"/>
        <v>Remodelación PROF No_Premier Pago_Fijo_Puntual 15 0.103</v>
      </c>
      <c r="C2279" s="75" t="s">
        <v>152</v>
      </c>
      <c r="D2279" s="75" t="s">
        <v>169</v>
      </c>
      <c r="E2279" s="75" t="s">
        <v>179</v>
      </c>
      <c r="F2279" s="75"/>
      <c r="G2279" s="75"/>
      <c r="H2279" s="75"/>
      <c r="I2279" s="75" t="s">
        <v>171</v>
      </c>
      <c r="J2279" s="76">
        <v>15</v>
      </c>
      <c r="K2279" s="516" t="s">
        <v>386</v>
      </c>
      <c r="L2279" s="517">
        <v>11.18</v>
      </c>
      <c r="M2279" s="517">
        <v>11.84</v>
      </c>
      <c r="N2279" s="518">
        <v>0.10299999999999999</v>
      </c>
      <c r="O2279" s="518">
        <v>0.1</v>
      </c>
      <c r="P2279" s="518">
        <v>0.112</v>
      </c>
      <c r="Q2279" s="78">
        <v>0.44</v>
      </c>
      <c r="R2279" s="78">
        <v>0.31740000000000002</v>
      </c>
      <c r="S2279" s="69">
        <v>0</v>
      </c>
      <c r="T2279" s="69">
        <v>0</v>
      </c>
      <c r="U2279" s="518">
        <v>0.7</v>
      </c>
      <c r="V2279" s="76">
        <v>0</v>
      </c>
      <c r="W2279" s="76">
        <v>0</v>
      </c>
      <c r="X2279" s="76"/>
      <c r="Y2279" s="516" t="s">
        <v>470</v>
      </c>
    </row>
    <row r="2280" spans="1:25" x14ac:dyDescent="0.25">
      <c r="A2280" s="75" t="str">
        <f t="shared" si="81"/>
        <v>Remodelación PROF No_Premier Pago_Fijo_Puntual 10</v>
      </c>
      <c r="B2280" s="75" t="str">
        <f t="shared" si="80"/>
        <v>Remodelación PROF No_Premier Pago_Fijo_Puntual 10 0.0965</v>
      </c>
      <c r="C2280" s="75" t="s">
        <v>152</v>
      </c>
      <c r="D2280" s="75" t="s">
        <v>169</v>
      </c>
      <c r="E2280" s="75" t="s">
        <v>179</v>
      </c>
      <c r="F2280" s="75"/>
      <c r="G2280" s="75"/>
      <c r="H2280" s="75"/>
      <c r="I2280" s="75" t="s">
        <v>171</v>
      </c>
      <c r="J2280" s="76">
        <v>10</v>
      </c>
      <c r="K2280" s="516" t="s">
        <v>385</v>
      </c>
      <c r="L2280" s="517">
        <v>13.54</v>
      </c>
      <c r="M2280" s="517">
        <v>14.2</v>
      </c>
      <c r="N2280" s="518">
        <v>9.6500000000000002E-2</v>
      </c>
      <c r="O2280" s="518">
        <v>9.1999999999999998E-2</v>
      </c>
      <c r="P2280" s="518">
        <v>0.10249999999999999</v>
      </c>
      <c r="Q2280" s="78">
        <v>0.44</v>
      </c>
      <c r="R2280" s="78">
        <v>0.31740000000000002</v>
      </c>
      <c r="S2280" s="69">
        <v>0</v>
      </c>
      <c r="T2280" s="69">
        <v>0</v>
      </c>
      <c r="U2280" s="518">
        <v>0.7</v>
      </c>
      <c r="V2280" s="76">
        <v>0</v>
      </c>
      <c r="W2280" s="76">
        <v>0</v>
      </c>
      <c r="X2280" s="76"/>
      <c r="Y2280" s="516" t="s">
        <v>470</v>
      </c>
    </row>
    <row r="2281" spans="1:25" x14ac:dyDescent="0.25">
      <c r="A2281" s="75" t="str">
        <f t="shared" si="81"/>
        <v>Remodelación PROF No_Premier Pago_Fijo_Puntual 10</v>
      </c>
      <c r="B2281" s="75" t="str">
        <f t="shared" si="80"/>
        <v>Remodelación PROF No_Premier Pago_Fijo_Puntual 10 0.103</v>
      </c>
      <c r="C2281" s="75" t="s">
        <v>152</v>
      </c>
      <c r="D2281" s="75" t="s">
        <v>169</v>
      </c>
      <c r="E2281" s="75" t="s">
        <v>179</v>
      </c>
      <c r="F2281" s="75"/>
      <c r="G2281" s="75"/>
      <c r="H2281" s="75"/>
      <c r="I2281" s="75" t="s">
        <v>171</v>
      </c>
      <c r="J2281" s="76">
        <v>10</v>
      </c>
      <c r="K2281" s="516" t="s">
        <v>386</v>
      </c>
      <c r="L2281" s="517">
        <v>13.54</v>
      </c>
      <c r="M2281" s="517">
        <v>14.2</v>
      </c>
      <c r="N2281" s="518">
        <v>0.10299999999999999</v>
      </c>
      <c r="O2281" s="518">
        <v>0.1</v>
      </c>
      <c r="P2281" s="518">
        <v>0.112</v>
      </c>
      <c r="Q2281" s="78">
        <v>0.44</v>
      </c>
      <c r="R2281" s="78">
        <v>0.31740000000000002</v>
      </c>
      <c r="S2281" s="69">
        <v>0</v>
      </c>
      <c r="T2281" s="69">
        <v>0</v>
      </c>
      <c r="U2281" s="518">
        <v>0.7</v>
      </c>
      <c r="V2281" s="76">
        <v>0</v>
      </c>
      <c r="W2281" s="76">
        <v>0</v>
      </c>
      <c r="X2281" s="76"/>
      <c r="Y2281" s="516" t="s">
        <v>470</v>
      </c>
    </row>
    <row r="2282" spans="1:25" x14ac:dyDescent="0.25">
      <c r="A2282" s="75" t="str">
        <f t="shared" si="81"/>
        <v>Remodelación PROF No_Premier Pago_Fijo_Puntual 5</v>
      </c>
      <c r="B2282" s="75" t="str">
        <f t="shared" si="80"/>
        <v>Remodelación PROF No_Premier Pago_Fijo_Puntual 5 0.0965</v>
      </c>
      <c r="C2282" s="75" t="s">
        <v>152</v>
      </c>
      <c r="D2282" s="75" t="s">
        <v>169</v>
      </c>
      <c r="E2282" s="75" t="s">
        <v>179</v>
      </c>
      <c r="F2282" s="75"/>
      <c r="G2282" s="75"/>
      <c r="H2282" s="75"/>
      <c r="I2282" s="75" t="s">
        <v>171</v>
      </c>
      <c r="J2282" s="76">
        <v>5</v>
      </c>
      <c r="K2282" s="516" t="s">
        <v>385</v>
      </c>
      <c r="L2282" s="517">
        <v>21.12</v>
      </c>
      <c r="M2282" s="517">
        <v>21.78</v>
      </c>
      <c r="N2282" s="518">
        <v>9.6500000000000002E-2</v>
      </c>
      <c r="O2282" s="518">
        <v>9.1999999999999998E-2</v>
      </c>
      <c r="P2282" s="518">
        <v>0.10249999999999999</v>
      </c>
      <c r="Q2282" s="78">
        <v>0.44</v>
      </c>
      <c r="R2282" s="78">
        <v>0.31740000000000002</v>
      </c>
      <c r="S2282" s="69">
        <v>0</v>
      </c>
      <c r="T2282" s="69">
        <v>0</v>
      </c>
      <c r="U2282" s="518">
        <v>0.7</v>
      </c>
      <c r="V2282" s="76">
        <v>0</v>
      </c>
      <c r="W2282" s="76">
        <v>0</v>
      </c>
      <c r="X2282" s="76"/>
      <c r="Y2282" s="516" t="s">
        <v>470</v>
      </c>
    </row>
    <row r="2283" spans="1:25" x14ac:dyDescent="0.25">
      <c r="A2283" s="75" t="str">
        <f t="shared" si="81"/>
        <v>Remodelación PROF No_Premier Pago_Fijo_Puntual 5</v>
      </c>
      <c r="B2283" s="75" t="str">
        <f t="shared" si="80"/>
        <v>Remodelación PROF No_Premier Pago_Fijo_Puntual 5 0.103</v>
      </c>
      <c r="C2283" s="75" t="s">
        <v>152</v>
      </c>
      <c r="D2283" s="75" t="s">
        <v>169</v>
      </c>
      <c r="E2283" s="75" t="s">
        <v>179</v>
      </c>
      <c r="F2283" s="75"/>
      <c r="G2283" s="75"/>
      <c r="H2283" s="75"/>
      <c r="I2283" s="75" t="s">
        <v>171</v>
      </c>
      <c r="J2283" s="76">
        <v>5</v>
      </c>
      <c r="K2283" s="516" t="s">
        <v>386</v>
      </c>
      <c r="L2283" s="517">
        <v>21.44</v>
      </c>
      <c r="M2283" s="517">
        <v>22.1</v>
      </c>
      <c r="N2283" s="518">
        <v>0.10299999999999999</v>
      </c>
      <c r="O2283" s="518">
        <v>0.1</v>
      </c>
      <c r="P2283" s="518">
        <v>0.112</v>
      </c>
      <c r="Q2283" s="78">
        <v>0.44</v>
      </c>
      <c r="R2283" s="78">
        <v>0.31740000000000002</v>
      </c>
      <c r="S2283" s="69">
        <v>0</v>
      </c>
      <c r="T2283" s="69">
        <v>0</v>
      </c>
      <c r="U2283" s="518">
        <v>0.7</v>
      </c>
      <c r="V2283" s="76">
        <v>0</v>
      </c>
      <c r="W2283" s="76">
        <v>0</v>
      </c>
      <c r="X2283" s="76"/>
      <c r="Y2283" s="516" t="s">
        <v>470</v>
      </c>
    </row>
    <row r="2284" spans="1:25" x14ac:dyDescent="0.25">
      <c r="A2284" s="75" t="str">
        <f t="shared" si="81"/>
        <v>Remodelación PROF Premier Pago_Fijo_Puntual 20</v>
      </c>
      <c r="B2284" s="75" t="str">
        <f t="shared" si="80"/>
        <v>Remodelación PROF Premier Pago_Fijo_Puntual 20 0.0965</v>
      </c>
      <c r="C2284" s="75" t="s">
        <v>152</v>
      </c>
      <c r="D2284" s="75" t="s">
        <v>169</v>
      </c>
      <c r="E2284" s="75" t="s">
        <v>143</v>
      </c>
      <c r="F2284" s="75"/>
      <c r="G2284" s="75"/>
      <c r="H2284" s="75"/>
      <c r="I2284" s="75" t="s">
        <v>171</v>
      </c>
      <c r="J2284" s="76">
        <v>20</v>
      </c>
      <c r="K2284" s="516" t="s">
        <v>385</v>
      </c>
      <c r="L2284" s="517">
        <v>9.66</v>
      </c>
      <c r="M2284" s="517">
        <v>10.32</v>
      </c>
      <c r="N2284" s="518">
        <v>9.6500000000000002E-2</v>
      </c>
      <c r="O2284" s="518">
        <v>9.1999999999999998E-2</v>
      </c>
      <c r="P2284" s="518">
        <v>0.10249999999999999</v>
      </c>
      <c r="Q2284" s="78">
        <v>0.44</v>
      </c>
      <c r="R2284" s="78">
        <v>0.31740000000000002</v>
      </c>
      <c r="S2284" s="69">
        <v>0</v>
      </c>
      <c r="T2284" s="69">
        <v>0</v>
      </c>
      <c r="U2284" s="518">
        <v>0.7</v>
      </c>
      <c r="V2284" s="76">
        <v>0</v>
      </c>
      <c r="W2284" s="76">
        <v>0</v>
      </c>
      <c r="X2284" s="76"/>
      <c r="Y2284" s="516" t="s">
        <v>470</v>
      </c>
    </row>
    <row r="2285" spans="1:25" x14ac:dyDescent="0.25">
      <c r="A2285" s="75" t="str">
        <f t="shared" si="81"/>
        <v>Remodelación PROF Premier Pago_Fijo_Puntual 20</v>
      </c>
      <c r="B2285" s="75" t="str">
        <f t="shared" si="80"/>
        <v>Remodelación PROF Premier Pago_Fijo_Puntual 20 0.103</v>
      </c>
      <c r="C2285" s="75" t="s">
        <v>152</v>
      </c>
      <c r="D2285" s="75" t="s">
        <v>169</v>
      </c>
      <c r="E2285" s="75" t="s">
        <v>143</v>
      </c>
      <c r="F2285" s="75"/>
      <c r="G2285" s="75"/>
      <c r="H2285" s="75"/>
      <c r="I2285" s="75" t="s">
        <v>171</v>
      </c>
      <c r="J2285" s="76">
        <v>20</v>
      </c>
      <c r="K2285" s="516" t="s">
        <v>386</v>
      </c>
      <c r="L2285" s="517">
        <v>10.16</v>
      </c>
      <c r="M2285" s="517">
        <v>10.82</v>
      </c>
      <c r="N2285" s="518">
        <v>0.10299999999999999</v>
      </c>
      <c r="O2285" s="518">
        <v>0.1</v>
      </c>
      <c r="P2285" s="518">
        <v>0.112</v>
      </c>
      <c r="Q2285" s="78">
        <v>0.44</v>
      </c>
      <c r="R2285" s="78">
        <v>0.31740000000000002</v>
      </c>
      <c r="S2285" s="69">
        <v>0</v>
      </c>
      <c r="T2285" s="69">
        <v>0</v>
      </c>
      <c r="U2285" s="518">
        <v>0.7</v>
      </c>
      <c r="V2285" s="76">
        <v>0</v>
      </c>
      <c r="W2285" s="76">
        <v>0</v>
      </c>
      <c r="X2285" s="76"/>
      <c r="Y2285" s="516" t="s">
        <v>470</v>
      </c>
    </row>
    <row r="2286" spans="1:25" x14ac:dyDescent="0.25">
      <c r="A2286" s="75" t="str">
        <f t="shared" si="81"/>
        <v>Remodelación PROF Premier Pago_Fijo_Puntual 15</v>
      </c>
      <c r="B2286" s="75" t="str">
        <f t="shared" si="80"/>
        <v>Remodelación PROF Premier Pago_Fijo_Puntual 15 0.0965</v>
      </c>
      <c r="C2286" s="75" t="s">
        <v>152</v>
      </c>
      <c r="D2286" s="75" t="s">
        <v>169</v>
      </c>
      <c r="E2286" s="75" t="s">
        <v>143</v>
      </c>
      <c r="F2286" s="75"/>
      <c r="G2286" s="75"/>
      <c r="H2286" s="75"/>
      <c r="I2286" s="75" t="s">
        <v>171</v>
      </c>
      <c r="J2286" s="76">
        <v>15</v>
      </c>
      <c r="K2286" s="516" t="s">
        <v>385</v>
      </c>
      <c r="L2286" s="517">
        <v>10.73</v>
      </c>
      <c r="M2286" s="517">
        <v>11.39</v>
      </c>
      <c r="N2286" s="518">
        <v>9.6500000000000002E-2</v>
      </c>
      <c r="O2286" s="518">
        <v>9.1999999999999998E-2</v>
      </c>
      <c r="P2286" s="518">
        <v>0.10249999999999999</v>
      </c>
      <c r="Q2286" s="78">
        <v>0.44</v>
      </c>
      <c r="R2286" s="78">
        <v>0.31740000000000002</v>
      </c>
      <c r="S2286" s="69">
        <v>0</v>
      </c>
      <c r="T2286" s="69">
        <v>0</v>
      </c>
      <c r="U2286" s="518">
        <v>0.7</v>
      </c>
      <c r="V2286" s="76">
        <v>0</v>
      </c>
      <c r="W2286" s="76">
        <v>0</v>
      </c>
      <c r="X2286" s="76"/>
      <c r="Y2286" s="516" t="s">
        <v>470</v>
      </c>
    </row>
    <row r="2287" spans="1:25" x14ac:dyDescent="0.25">
      <c r="A2287" s="75" t="str">
        <f t="shared" si="81"/>
        <v>Remodelación PROF Premier Pago_Fijo_Puntual 15</v>
      </c>
      <c r="B2287" s="75" t="str">
        <f t="shared" si="80"/>
        <v>Remodelación PROF Premier Pago_Fijo_Puntual 15 0.103</v>
      </c>
      <c r="C2287" s="75" t="s">
        <v>152</v>
      </c>
      <c r="D2287" s="75" t="s">
        <v>169</v>
      </c>
      <c r="E2287" s="75" t="s">
        <v>143</v>
      </c>
      <c r="F2287" s="75"/>
      <c r="G2287" s="75"/>
      <c r="H2287" s="75"/>
      <c r="I2287" s="75" t="s">
        <v>171</v>
      </c>
      <c r="J2287" s="76">
        <v>15</v>
      </c>
      <c r="K2287" s="516" t="s">
        <v>386</v>
      </c>
      <c r="L2287" s="517">
        <v>11.18</v>
      </c>
      <c r="M2287" s="517">
        <v>11.84</v>
      </c>
      <c r="N2287" s="518">
        <v>0.10299999999999999</v>
      </c>
      <c r="O2287" s="518">
        <v>0.1</v>
      </c>
      <c r="P2287" s="518">
        <v>0.112</v>
      </c>
      <c r="Q2287" s="78">
        <v>0.44</v>
      </c>
      <c r="R2287" s="78">
        <v>0.31740000000000002</v>
      </c>
      <c r="S2287" s="69">
        <v>0</v>
      </c>
      <c r="T2287" s="69">
        <v>0</v>
      </c>
      <c r="U2287" s="518">
        <v>0.7</v>
      </c>
      <c r="V2287" s="76">
        <v>0</v>
      </c>
      <c r="W2287" s="76">
        <v>0</v>
      </c>
      <c r="X2287" s="76"/>
      <c r="Y2287" s="516" t="s">
        <v>470</v>
      </c>
    </row>
    <row r="2288" spans="1:25" x14ac:dyDescent="0.25">
      <c r="A2288" s="75" t="str">
        <f t="shared" si="81"/>
        <v>Remodelación PROF Premier Pago_Fijo_Puntual 10</v>
      </c>
      <c r="B2288" s="75" t="str">
        <f t="shared" si="80"/>
        <v>Remodelación PROF Premier Pago_Fijo_Puntual 10 0.0965</v>
      </c>
      <c r="C2288" s="75" t="s">
        <v>152</v>
      </c>
      <c r="D2288" s="75" t="s">
        <v>169</v>
      </c>
      <c r="E2288" s="75" t="s">
        <v>143</v>
      </c>
      <c r="F2288" s="75"/>
      <c r="G2288" s="75"/>
      <c r="H2288" s="75"/>
      <c r="I2288" s="75" t="s">
        <v>171</v>
      </c>
      <c r="J2288" s="76">
        <v>10</v>
      </c>
      <c r="K2288" s="516" t="s">
        <v>385</v>
      </c>
      <c r="L2288" s="517">
        <v>13.54</v>
      </c>
      <c r="M2288" s="517">
        <v>14.2</v>
      </c>
      <c r="N2288" s="518">
        <v>9.6500000000000002E-2</v>
      </c>
      <c r="O2288" s="518">
        <v>9.1999999999999998E-2</v>
      </c>
      <c r="P2288" s="518">
        <v>0.10249999999999999</v>
      </c>
      <c r="Q2288" s="78">
        <v>0.44</v>
      </c>
      <c r="R2288" s="78">
        <v>0.31740000000000002</v>
      </c>
      <c r="S2288" s="69">
        <v>0</v>
      </c>
      <c r="T2288" s="69">
        <v>0</v>
      </c>
      <c r="U2288" s="518">
        <v>0.7</v>
      </c>
      <c r="V2288" s="76">
        <v>0</v>
      </c>
      <c r="W2288" s="76">
        <v>0</v>
      </c>
      <c r="X2288" s="76"/>
      <c r="Y2288" s="516" t="s">
        <v>470</v>
      </c>
    </row>
    <row r="2289" spans="1:25" x14ac:dyDescent="0.25">
      <c r="A2289" s="75" t="str">
        <f t="shared" si="81"/>
        <v>Remodelación PROF Premier Pago_Fijo_Puntual 10</v>
      </c>
      <c r="B2289" s="75" t="str">
        <f t="shared" si="80"/>
        <v>Remodelación PROF Premier Pago_Fijo_Puntual 10 0.103</v>
      </c>
      <c r="C2289" s="75" t="s">
        <v>152</v>
      </c>
      <c r="D2289" s="75" t="s">
        <v>169</v>
      </c>
      <c r="E2289" s="75" t="s">
        <v>143</v>
      </c>
      <c r="F2289" s="75"/>
      <c r="G2289" s="75"/>
      <c r="H2289" s="75"/>
      <c r="I2289" s="75" t="s">
        <v>171</v>
      </c>
      <c r="J2289" s="76">
        <v>10</v>
      </c>
      <c r="K2289" s="516" t="s">
        <v>386</v>
      </c>
      <c r="L2289" s="517">
        <v>13.54</v>
      </c>
      <c r="M2289" s="517">
        <v>14.2</v>
      </c>
      <c r="N2289" s="518">
        <v>0.10299999999999999</v>
      </c>
      <c r="O2289" s="518">
        <v>0.1</v>
      </c>
      <c r="P2289" s="518">
        <v>0.112</v>
      </c>
      <c r="Q2289" s="78">
        <v>0.44</v>
      </c>
      <c r="R2289" s="78">
        <v>0.31740000000000002</v>
      </c>
      <c r="S2289" s="69">
        <v>0</v>
      </c>
      <c r="T2289" s="69">
        <v>0</v>
      </c>
      <c r="U2289" s="518">
        <v>0.7</v>
      </c>
      <c r="V2289" s="76">
        <v>0</v>
      </c>
      <c r="W2289" s="76">
        <v>0</v>
      </c>
      <c r="X2289" s="76"/>
      <c r="Y2289" s="516" t="s">
        <v>470</v>
      </c>
    </row>
    <row r="2290" spans="1:25" x14ac:dyDescent="0.25">
      <c r="A2290" s="75" t="str">
        <f t="shared" si="81"/>
        <v>Remodelación PROF Premier Pago_Fijo_Puntual 5</v>
      </c>
      <c r="B2290" s="75" t="str">
        <f t="shared" si="80"/>
        <v>Remodelación PROF Premier Pago_Fijo_Puntual 5 0.0965</v>
      </c>
      <c r="C2290" s="75" t="s">
        <v>152</v>
      </c>
      <c r="D2290" s="75" t="s">
        <v>169</v>
      </c>
      <c r="E2290" s="75" t="s">
        <v>143</v>
      </c>
      <c r="F2290" s="75"/>
      <c r="G2290" s="75"/>
      <c r="H2290" s="75"/>
      <c r="I2290" s="75" t="s">
        <v>171</v>
      </c>
      <c r="J2290" s="76">
        <v>5</v>
      </c>
      <c r="K2290" s="516" t="s">
        <v>385</v>
      </c>
      <c r="L2290" s="517">
        <v>21.12</v>
      </c>
      <c r="M2290" s="517">
        <v>21.78</v>
      </c>
      <c r="N2290" s="518">
        <v>9.6500000000000002E-2</v>
      </c>
      <c r="O2290" s="518">
        <v>9.1999999999999998E-2</v>
      </c>
      <c r="P2290" s="518">
        <v>0.10249999999999999</v>
      </c>
      <c r="Q2290" s="78">
        <v>0.44</v>
      </c>
      <c r="R2290" s="78">
        <v>0.31740000000000002</v>
      </c>
      <c r="S2290" s="69">
        <v>0</v>
      </c>
      <c r="T2290" s="69">
        <v>0</v>
      </c>
      <c r="U2290" s="518">
        <v>0.7</v>
      </c>
      <c r="V2290" s="76">
        <v>0</v>
      </c>
      <c r="W2290" s="76">
        <v>0</v>
      </c>
      <c r="X2290" s="76"/>
      <c r="Y2290" s="516" t="s">
        <v>470</v>
      </c>
    </row>
    <row r="2291" spans="1:25" x14ac:dyDescent="0.25">
      <c r="A2291" s="75" t="str">
        <f t="shared" si="81"/>
        <v>Remodelación PROF Premier Pago_Fijo_Puntual 5</v>
      </c>
      <c r="B2291" s="75" t="str">
        <f t="shared" si="80"/>
        <v>Remodelación PROF Premier Pago_Fijo_Puntual 5 0.103</v>
      </c>
      <c r="C2291" s="75" t="s">
        <v>152</v>
      </c>
      <c r="D2291" s="75" t="s">
        <v>169</v>
      </c>
      <c r="E2291" s="75" t="s">
        <v>143</v>
      </c>
      <c r="F2291" s="75"/>
      <c r="G2291" s="75"/>
      <c r="H2291" s="75"/>
      <c r="I2291" s="75" t="s">
        <v>171</v>
      </c>
      <c r="J2291" s="76">
        <v>5</v>
      </c>
      <c r="K2291" s="516" t="s">
        <v>386</v>
      </c>
      <c r="L2291" s="517">
        <v>21.44</v>
      </c>
      <c r="M2291" s="517">
        <v>22.1</v>
      </c>
      <c r="N2291" s="518">
        <v>0.10299999999999999</v>
      </c>
      <c r="O2291" s="518">
        <v>0.1</v>
      </c>
      <c r="P2291" s="518">
        <v>0.112</v>
      </c>
      <c r="Q2291" s="78">
        <v>0.44</v>
      </c>
      <c r="R2291" s="78">
        <v>0.31740000000000002</v>
      </c>
      <c r="S2291" s="69">
        <v>0</v>
      </c>
      <c r="T2291" s="69">
        <v>0</v>
      </c>
      <c r="U2291" s="518">
        <v>0.7</v>
      </c>
      <c r="V2291" s="76">
        <v>0</v>
      </c>
      <c r="W2291" s="76">
        <v>0</v>
      </c>
      <c r="X2291" s="76"/>
      <c r="Y2291" s="516" t="s">
        <v>470</v>
      </c>
    </row>
    <row r="2292" spans="1:25" x14ac:dyDescent="0.25">
      <c r="A2292" s="75" t="str">
        <f t="shared" si="81"/>
        <v>Terreno + Construcción PF No_Premier Pago_Fijo_Puntual Si 20</v>
      </c>
      <c r="B2292" s="75" t="str">
        <f t="shared" si="80"/>
        <v>Terreno + Construcción PF No_Premier Pago_Fijo_Puntual Si 20 0.103</v>
      </c>
      <c r="C2292" s="75" t="s">
        <v>151</v>
      </c>
      <c r="D2292" s="75" t="s">
        <v>132</v>
      </c>
      <c r="E2292" s="75" t="s">
        <v>179</v>
      </c>
      <c r="F2292" s="75"/>
      <c r="G2292" s="75"/>
      <c r="H2292" s="75"/>
      <c r="I2292" s="75" t="s">
        <v>171</v>
      </c>
      <c r="J2292" s="76">
        <v>20</v>
      </c>
      <c r="K2292" s="519" t="s">
        <v>387</v>
      </c>
      <c r="L2292" s="520">
        <v>10.16</v>
      </c>
      <c r="M2292" s="520">
        <v>10.82</v>
      </c>
      <c r="N2292" s="507">
        <v>0.10299999999999999</v>
      </c>
      <c r="O2292" s="507">
        <v>0.1</v>
      </c>
      <c r="P2292" s="507">
        <v>0.112</v>
      </c>
      <c r="Q2292" s="78">
        <v>0.44</v>
      </c>
      <c r="R2292" s="78">
        <v>0.31740000000000002</v>
      </c>
      <c r="S2292" s="69">
        <v>0</v>
      </c>
      <c r="T2292" s="69">
        <v>0</v>
      </c>
      <c r="U2292" s="507">
        <v>0.75</v>
      </c>
      <c r="V2292" s="76">
        <v>0</v>
      </c>
      <c r="W2292" s="76">
        <v>0</v>
      </c>
      <c r="X2292" s="76" t="s">
        <v>147</v>
      </c>
      <c r="Y2292" s="519" t="s">
        <v>469</v>
      </c>
    </row>
    <row r="2293" spans="1:25" x14ac:dyDescent="0.25">
      <c r="A2293" s="75" t="str">
        <f t="shared" si="81"/>
        <v>Terreno + Construcción PF No_Premier Pago_Fijo_Puntual 20</v>
      </c>
      <c r="B2293" s="75" t="str">
        <f t="shared" si="80"/>
        <v>Terreno + Construcción PF No_Premier Pago_Fijo_Puntual 20 0.106</v>
      </c>
      <c r="C2293" s="75" t="s">
        <v>151</v>
      </c>
      <c r="D2293" s="75" t="s">
        <v>132</v>
      </c>
      <c r="E2293" s="75" t="s">
        <v>179</v>
      </c>
      <c r="F2293" s="75"/>
      <c r="G2293" s="75"/>
      <c r="H2293" s="75"/>
      <c r="I2293" s="75" t="s">
        <v>171</v>
      </c>
      <c r="J2293" s="76">
        <v>20</v>
      </c>
      <c r="K2293" s="519">
        <v>3</v>
      </c>
      <c r="L2293" s="520">
        <v>10.41</v>
      </c>
      <c r="M2293" s="520">
        <v>11.07</v>
      </c>
      <c r="N2293" s="507">
        <v>0.106</v>
      </c>
      <c r="O2293" s="507">
        <v>0.10299999999999999</v>
      </c>
      <c r="P2293" s="507">
        <v>0.11799999999999999</v>
      </c>
      <c r="Q2293" s="78">
        <v>0.44</v>
      </c>
      <c r="R2293" s="78">
        <v>0.31740000000000002</v>
      </c>
      <c r="S2293" s="69">
        <v>0</v>
      </c>
      <c r="T2293" s="69">
        <v>0</v>
      </c>
      <c r="U2293" s="507">
        <v>0.75</v>
      </c>
      <c r="V2293" s="76">
        <v>0</v>
      </c>
      <c r="W2293" s="76">
        <v>0</v>
      </c>
      <c r="X2293" s="76"/>
      <c r="Y2293" s="519" t="s">
        <v>469</v>
      </c>
    </row>
    <row r="2294" spans="1:25" x14ac:dyDescent="0.25">
      <c r="A2294" s="75" t="str">
        <f t="shared" si="81"/>
        <v>Terreno + Construcción PF No_Premier Pago_Fijo_Puntual Si 15</v>
      </c>
      <c r="B2294" s="75" t="str">
        <f t="shared" si="80"/>
        <v>Terreno + Construcción PF No_Premier Pago_Fijo_Puntual Si 15 0.103</v>
      </c>
      <c r="C2294" s="75" t="s">
        <v>151</v>
      </c>
      <c r="D2294" s="75" t="s">
        <v>132</v>
      </c>
      <c r="E2294" s="75" t="s">
        <v>179</v>
      </c>
      <c r="F2294" s="75"/>
      <c r="G2294" s="75"/>
      <c r="H2294" s="75"/>
      <c r="I2294" s="75" t="s">
        <v>171</v>
      </c>
      <c r="J2294" s="76">
        <v>15</v>
      </c>
      <c r="K2294" s="519" t="s">
        <v>387</v>
      </c>
      <c r="L2294" s="520">
        <v>11.18</v>
      </c>
      <c r="M2294" s="520">
        <v>11.84</v>
      </c>
      <c r="N2294" s="507">
        <v>0.10299999999999999</v>
      </c>
      <c r="O2294" s="507">
        <v>0.1</v>
      </c>
      <c r="P2294" s="507">
        <v>0.112</v>
      </c>
      <c r="Q2294" s="78">
        <v>0.44</v>
      </c>
      <c r="R2294" s="78">
        <v>0.31740000000000002</v>
      </c>
      <c r="S2294" s="69">
        <v>0</v>
      </c>
      <c r="T2294" s="69">
        <v>0</v>
      </c>
      <c r="U2294" s="507">
        <v>0.75</v>
      </c>
      <c r="V2294" s="76">
        <v>0</v>
      </c>
      <c r="W2294" s="76">
        <v>0</v>
      </c>
      <c r="X2294" s="76" t="s">
        <v>147</v>
      </c>
      <c r="Y2294" s="519" t="s">
        <v>469</v>
      </c>
    </row>
    <row r="2295" spans="1:25" x14ac:dyDescent="0.25">
      <c r="A2295" s="75" t="str">
        <f t="shared" si="81"/>
        <v>Terreno + Construcción PF No_Premier Pago_Fijo_Puntual 15</v>
      </c>
      <c r="B2295" s="75" t="str">
        <f t="shared" si="80"/>
        <v>Terreno + Construcción PF No_Premier Pago_Fijo_Puntual 15 0.106</v>
      </c>
      <c r="C2295" s="75" t="s">
        <v>151</v>
      </c>
      <c r="D2295" s="75" t="s">
        <v>132</v>
      </c>
      <c r="E2295" s="75" t="s">
        <v>179</v>
      </c>
      <c r="F2295" s="75"/>
      <c r="G2295" s="75"/>
      <c r="H2295" s="75"/>
      <c r="I2295" s="75" t="s">
        <v>171</v>
      </c>
      <c r="J2295" s="76">
        <v>15</v>
      </c>
      <c r="K2295" s="519">
        <v>3</v>
      </c>
      <c r="L2295" s="520">
        <v>11.39</v>
      </c>
      <c r="M2295" s="520">
        <v>12.05</v>
      </c>
      <c r="N2295" s="507">
        <v>0.106</v>
      </c>
      <c r="O2295" s="507">
        <v>0.10299999999999999</v>
      </c>
      <c r="P2295" s="507">
        <v>0.11799999999999999</v>
      </c>
      <c r="Q2295" s="78">
        <v>0.44</v>
      </c>
      <c r="R2295" s="78">
        <v>0.31740000000000002</v>
      </c>
      <c r="S2295" s="69">
        <v>0</v>
      </c>
      <c r="T2295" s="69">
        <v>0</v>
      </c>
      <c r="U2295" s="507">
        <v>0.75</v>
      </c>
      <c r="V2295" s="76">
        <v>0</v>
      </c>
      <c r="W2295" s="76">
        <v>0</v>
      </c>
      <c r="X2295" s="76"/>
      <c r="Y2295" s="519" t="s">
        <v>469</v>
      </c>
    </row>
    <row r="2296" spans="1:25" x14ac:dyDescent="0.25">
      <c r="A2296" s="75" t="str">
        <f t="shared" si="81"/>
        <v>Terreno + Construcción PF No_Premier Pago_Fijo_Puntual Si 10</v>
      </c>
      <c r="B2296" s="75" t="str">
        <f t="shared" si="80"/>
        <v>Terreno + Construcción PF No_Premier Pago_Fijo_Puntual Si 10 0.103</v>
      </c>
      <c r="C2296" s="75" t="s">
        <v>151</v>
      </c>
      <c r="D2296" s="75" t="s">
        <v>132</v>
      </c>
      <c r="E2296" s="75" t="s">
        <v>179</v>
      </c>
      <c r="F2296" s="75"/>
      <c r="G2296" s="75"/>
      <c r="H2296" s="75"/>
      <c r="I2296" s="75" t="s">
        <v>171</v>
      </c>
      <c r="J2296" s="76">
        <v>10</v>
      </c>
      <c r="K2296" s="519" t="s">
        <v>387</v>
      </c>
      <c r="L2296" s="520">
        <v>13.54</v>
      </c>
      <c r="M2296" s="520">
        <v>14.2</v>
      </c>
      <c r="N2296" s="507">
        <v>0.10299999999999999</v>
      </c>
      <c r="O2296" s="507">
        <v>0.1</v>
      </c>
      <c r="P2296" s="507">
        <v>0.112</v>
      </c>
      <c r="Q2296" s="78">
        <v>0.44</v>
      </c>
      <c r="R2296" s="78">
        <v>0.31740000000000002</v>
      </c>
      <c r="S2296" s="69">
        <v>0</v>
      </c>
      <c r="T2296" s="69">
        <v>0</v>
      </c>
      <c r="U2296" s="507">
        <v>0.75</v>
      </c>
      <c r="V2296" s="76">
        <v>0</v>
      </c>
      <c r="W2296" s="76">
        <v>0</v>
      </c>
      <c r="X2296" s="76" t="s">
        <v>147</v>
      </c>
      <c r="Y2296" s="519" t="s">
        <v>469</v>
      </c>
    </row>
    <row r="2297" spans="1:25" x14ac:dyDescent="0.25">
      <c r="A2297" s="75" t="str">
        <f t="shared" si="81"/>
        <v>Terreno + Construcción PF No_Premier Pago_Fijo_Puntual 10</v>
      </c>
      <c r="B2297" s="75" t="str">
        <f t="shared" si="80"/>
        <v>Terreno + Construcción PF No_Premier Pago_Fijo_Puntual 10 0.106</v>
      </c>
      <c r="C2297" s="75" t="s">
        <v>151</v>
      </c>
      <c r="D2297" s="75" t="s">
        <v>132</v>
      </c>
      <c r="E2297" s="75" t="s">
        <v>179</v>
      </c>
      <c r="F2297" s="75"/>
      <c r="G2297" s="75"/>
      <c r="H2297" s="75"/>
      <c r="I2297" s="75" t="s">
        <v>171</v>
      </c>
      <c r="J2297" s="76">
        <v>10</v>
      </c>
      <c r="K2297" s="519">
        <v>3</v>
      </c>
      <c r="L2297" s="520">
        <v>13.71</v>
      </c>
      <c r="M2297" s="520">
        <v>14.37</v>
      </c>
      <c r="N2297" s="507">
        <v>0.106</v>
      </c>
      <c r="O2297" s="507">
        <v>0.10299999999999999</v>
      </c>
      <c r="P2297" s="507">
        <v>0.11799999999999999</v>
      </c>
      <c r="Q2297" s="78">
        <v>0.44</v>
      </c>
      <c r="R2297" s="78">
        <v>0.31740000000000002</v>
      </c>
      <c r="S2297" s="69">
        <v>0</v>
      </c>
      <c r="T2297" s="69">
        <v>0</v>
      </c>
      <c r="U2297" s="507">
        <v>0.75</v>
      </c>
      <c r="V2297" s="76">
        <v>0</v>
      </c>
      <c r="W2297" s="76">
        <v>0</v>
      </c>
      <c r="X2297" s="76"/>
      <c r="Y2297" s="519" t="s">
        <v>469</v>
      </c>
    </row>
    <row r="2298" spans="1:25" x14ac:dyDescent="0.25">
      <c r="A2298" s="75" t="str">
        <f t="shared" si="81"/>
        <v>Terreno + Construcción PF No_Premier Pago_Fijo_Puntual Si 5</v>
      </c>
      <c r="B2298" s="75" t="str">
        <f t="shared" si="80"/>
        <v>Terreno + Construcción PF No_Premier Pago_Fijo_Puntual Si 5 0.103</v>
      </c>
      <c r="C2298" s="75" t="s">
        <v>151</v>
      </c>
      <c r="D2298" s="75" t="s">
        <v>132</v>
      </c>
      <c r="E2298" s="75" t="s">
        <v>179</v>
      </c>
      <c r="F2298" s="75"/>
      <c r="G2298" s="75"/>
      <c r="H2298" s="75"/>
      <c r="I2298" s="75" t="s">
        <v>171</v>
      </c>
      <c r="J2298" s="76">
        <v>5</v>
      </c>
      <c r="K2298" s="519" t="s">
        <v>387</v>
      </c>
      <c r="L2298" s="520">
        <v>21.44</v>
      </c>
      <c r="M2298" s="520">
        <v>22.1</v>
      </c>
      <c r="N2298" s="507">
        <v>0.10299999999999999</v>
      </c>
      <c r="O2298" s="507">
        <v>0.1</v>
      </c>
      <c r="P2298" s="507">
        <v>0.112</v>
      </c>
      <c r="Q2298" s="78">
        <v>0.44</v>
      </c>
      <c r="R2298" s="78">
        <v>0.31740000000000002</v>
      </c>
      <c r="S2298" s="69">
        <v>0</v>
      </c>
      <c r="T2298" s="69">
        <v>0</v>
      </c>
      <c r="U2298" s="507">
        <v>0.75</v>
      </c>
      <c r="V2298" s="76">
        <v>0</v>
      </c>
      <c r="W2298" s="76">
        <v>0</v>
      </c>
      <c r="X2298" s="76" t="s">
        <v>147</v>
      </c>
      <c r="Y2298" s="519" t="s">
        <v>469</v>
      </c>
    </row>
    <row r="2299" spans="1:25" x14ac:dyDescent="0.25">
      <c r="A2299" s="75" t="str">
        <f t="shared" si="81"/>
        <v>Terreno + Construcción PF No_Premier Pago_Fijo_Puntual 5</v>
      </c>
      <c r="B2299" s="75" t="str">
        <f t="shared" si="80"/>
        <v>Terreno + Construcción PF No_Premier Pago_Fijo_Puntual 5 0.106</v>
      </c>
      <c r="C2299" s="75" t="s">
        <v>151</v>
      </c>
      <c r="D2299" s="75" t="s">
        <v>132</v>
      </c>
      <c r="E2299" s="75" t="s">
        <v>179</v>
      </c>
      <c r="F2299" s="75"/>
      <c r="G2299" s="75"/>
      <c r="H2299" s="75"/>
      <c r="I2299" s="75" t="s">
        <v>171</v>
      </c>
      <c r="J2299" s="76">
        <v>5</v>
      </c>
      <c r="K2299" s="519">
        <v>3</v>
      </c>
      <c r="L2299" s="520">
        <v>21.59</v>
      </c>
      <c r="M2299" s="520">
        <v>22.25</v>
      </c>
      <c r="N2299" s="507">
        <v>0.106</v>
      </c>
      <c r="O2299" s="507">
        <v>0.10299999999999999</v>
      </c>
      <c r="P2299" s="507">
        <v>0.11799999999999999</v>
      </c>
      <c r="Q2299" s="78">
        <v>0.44</v>
      </c>
      <c r="R2299" s="78">
        <v>0.31740000000000002</v>
      </c>
      <c r="S2299" s="69">
        <v>0</v>
      </c>
      <c r="T2299" s="69">
        <v>0</v>
      </c>
      <c r="U2299" s="507">
        <v>0.75</v>
      </c>
      <c r="V2299" s="76">
        <v>0</v>
      </c>
      <c r="W2299" s="76">
        <v>0</v>
      </c>
      <c r="X2299" s="76"/>
      <c r="Y2299" s="519" t="s">
        <v>469</v>
      </c>
    </row>
    <row r="2300" spans="1:25" x14ac:dyDescent="0.25">
      <c r="A2300" s="75" t="str">
        <f t="shared" si="81"/>
        <v>Terreno + Construcción PF No_Premier Pago_Fijo_Puntual 20</v>
      </c>
      <c r="B2300" s="75" t="str">
        <f t="shared" si="80"/>
        <v>Terreno + Construcción PF No_Premier Pago_Fijo_Puntual 20 0.0965</v>
      </c>
      <c r="C2300" s="75" t="s">
        <v>151</v>
      </c>
      <c r="D2300" s="75" t="s">
        <v>132</v>
      </c>
      <c r="E2300" s="75" t="s">
        <v>179</v>
      </c>
      <c r="F2300" s="75"/>
      <c r="G2300" s="75"/>
      <c r="H2300" s="75"/>
      <c r="I2300" s="75" t="s">
        <v>171</v>
      </c>
      <c r="J2300" s="76">
        <v>20</v>
      </c>
      <c r="K2300" s="516" t="s">
        <v>385</v>
      </c>
      <c r="L2300" s="517">
        <v>9.66</v>
      </c>
      <c r="M2300" s="517">
        <v>10.32</v>
      </c>
      <c r="N2300" s="518">
        <v>9.6500000000000002E-2</v>
      </c>
      <c r="O2300" s="518">
        <v>9.1999999999999998E-2</v>
      </c>
      <c r="P2300" s="518">
        <v>0.10249999999999999</v>
      </c>
      <c r="Q2300" s="78">
        <v>0.44</v>
      </c>
      <c r="R2300" s="78">
        <v>0.31740000000000002</v>
      </c>
      <c r="S2300" s="69">
        <v>0</v>
      </c>
      <c r="T2300" s="69">
        <v>0</v>
      </c>
      <c r="U2300" s="518">
        <v>0.7</v>
      </c>
      <c r="V2300" s="76">
        <v>0</v>
      </c>
      <c r="W2300" s="76">
        <v>0</v>
      </c>
      <c r="X2300" s="76"/>
      <c r="Y2300" s="516" t="s">
        <v>470</v>
      </c>
    </row>
    <row r="2301" spans="1:25" x14ac:dyDescent="0.25">
      <c r="A2301" s="75" t="str">
        <f t="shared" si="81"/>
        <v>Terreno + Construcción PF No_Premier Pago_Fijo_Puntual 20</v>
      </c>
      <c r="B2301" s="75" t="str">
        <f t="shared" si="80"/>
        <v>Terreno + Construcción PF No_Premier Pago_Fijo_Puntual 20 0.103</v>
      </c>
      <c r="C2301" s="75" t="s">
        <v>151</v>
      </c>
      <c r="D2301" s="75" t="s">
        <v>132</v>
      </c>
      <c r="E2301" s="75" t="s">
        <v>179</v>
      </c>
      <c r="F2301" s="75"/>
      <c r="G2301" s="75"/>
      <c r="H2301" s="75"/>
      <c r="I2301" s="75" t="s">
        <v>171</v>
      </c>
      <c r="J2301" s="76">
        <v>20</v>
      </c>
      <c r="K2301" s="516" t="s">
        <v>386</v>
      </c>
      <c r="L2301" s="517">
        <v>10.16</v>
      </c>
      <c r="M2301" s="517">
        <v>10.82</v>
      </c>
      <c r="N2301" s="518">
        <v>0.10299999999999999</v>
      </c>
      <c r="O2301" s="518">
        <v>0.1</v>
      </c>
      <c r="P2301" s="518">
        <v>0.112</v>
      </c>
      <c r="Q2301" s="78">
        <v>0.44</v>
      </c>
      <c r="R2301" s="78">
        <v>0.31740000000000002</v>
      </c>
      <c r="S2301" s="69">
        <v>0</v>
      </c>
      <c r="T2301" s="69">
        <v>0</v>
      </c>
      <c r="U2301" s="518">
        <v>0.7</v>
      </c>
      <c r="V2301" s="76">
        <v>0</v>
      </c>
      <c r="W2301" s="76">
        <v>0</v>
      </c>
      <c r="X2301" s="76"/>
      <c r="Y2301" s="516" t="s">
        <v>470</v>
      </c>
    </row>
    <row r="2302" spans="1:25" x14ac:dyDescent="0.25">
      <c r="A2302" s="75" t="str">
        <f t="shared" si="81"/>
        <v>Terreno + Construcción PF No_Premier Pago_Fijo_Puntual 15</v>
      </c>
      <c r="B2302" s="75" t="str">
        <f t="shared" si="80"/>
        <v>Terreno + Construcción PF No_Premier Pago_Fijo_Puntual 15 0.0965</v>
      </c>
      <c r="C2302" s="75" t="s">
        <v>151</v>
      </c>
      <c r="D2302" s="75" t="s">
        <v>132</v>
      </c>
      <c r="E2302" s="75" t="s">
        <v>179</v>
      </c>
      <c r="F2302" s="75"/>
      <c r="G2302" s="75"/>
      <c r="H2302" s="75"/>
      <c r="I2302" s="75" t="s">
        <v>171</v>
      </c>
      <c r="J2302" s="76">
        <v>15</v>
      </c>
      <c r="K2302" s="516" t="s">
        <v>385</v>
      </c>
      <c r="L2302" s="517">
        <v>10.73</v>
      </c>
      <c r="M2302" s="517">
        <v>11.39</v>
      </c>
      <c r="N2302" s="518">
        <v>9.6500000000000002E-2</v>
      </c>
      <c r="O2302" s="518">
        <v>9.1999999999999998E-2</v>
      </c>
      <c r="P2302" s="518">
        <v>0.10249999999999999</v>
      </c>
      <c r="Q2302" s="78">
        <v>0.44</v>
      </c>
      <c r="R2302" s="78">
        <v>0.31740000000000002</v>
      </c>
      <c r="S2302" s="69">
        <v>0</v>
      </c>
      <c r="T2302" s="69">
        <v>0</v>
      </c>
      <c r="U2302" s="518">
        <v>0.7</v>
      </c>
      <c r="V2302" s="76">
        <v>0</v>
      </c>
      <c r="W2302" s="76">
        <v>0</v>
      </c>
      <c r="X2302" s="76"/>
      <c r="Y2302" s="516" t="s">
        <v>470</v>
      </c>
    </row>
    <row r="2303" spans="1:25" x14ac:dyDescent="0.25">
      <c r="A2303" s="75" t="str">
        <f t="shared" si="81"/>
        <v>Terreno + Construcción PF No_Premier Pago_Fijo_Puntual 15</v>
      </c>
      <c r="B2303" s="75" t="str">
        <f t="shared" si="80"/>
        <v>Terreno + Construcción PF No_Premier Pago_Fijo_Puntual 15 0.103</v>
      </c>
      <c r="C2303" s="75" t="s">
        <v>151</v>
      </c>
      <c r="D2303" s="75" t="s">
        <v>132</v>
      </c>
      <c r="E2303" s="75" t="s">
        <v>179</v>
      </c>
      <c r="F2303" s="75"/>
      <c r="G2303" s="75"/>
      <c r="H2303" s="75"/>
      <c r="I2303" s="75" t="s">
        <v>171</v>
      </c>
      <c r="J2303" s="76">
        <v>15</v>
      </c>
      <c r="K2303" s="516" t="s">
        <v>386</v>
      </c>
      <c r="L2303" s="517">
        <v>11.18</v>
      </c>
      <c r="M2303" s="517">
        <v>11.84</v>
      </c>
      <c r="N2303" s="518">
        <v>0.10299999999999999</v>
      </c>
      <c r="O2303" s="518">
        <v>0.1</v>
      </c>
      <c r="P2303" s="518">
        <v>0.112</v>
      </c>
      <c r="Q2303" s="78">
        <v>0.44</v>
      </c>
      <c r="R2303" s="78">
        <v>0.31740000000000002</v>
      </c>
      <c r="S2303" s="69">
        <v>0</v>
      </c>
      <c r="T2303" s="69">
        <v>0</v>
      </c>
      <c r="U2303" s="518">
        <v>0.7</v>
      </c>
      <c r="V2303" s="76">
        <v>0</v>
      </c>
      <c r="W2303" s="76">
        <v>0</v>
      </c>
      <c r="X2303" s="76"/>
      <c r="Y2303" s="516" t="s">
        <v>470</v>
      </c>
    </row>
    <row r="2304" spans="1:25" x14ac:dyDescent="0.25">
      <c r="A2304" s="75" t="str">
        <f t="shared" si="81"/>
        <v>Terreno + Construcción PF No_Premier Pago_Fijo_Puntual 10</v>
      </c>
      <c r="B2304" s="75" t="str">
        <f t="shared" si="80"/>
        <v>Terreno + Construcción PF No_Premier Pago_Fijo_Puntual 10 0.0965</v>
      </c>
      <c r="C2304" s="75" t="s">
        <v>151</v>
      </c>
      <c r="D2304" s="75" t="s">
        <v>132</v>
      </c>
      <c r="E2304" s="75" t="s">
        <v>179</v>
      </c>
      <c r="F2304" s="75"/>
      <c r="G2304" s="75"/>
      <c r="H2304" s="75"/>
      <c r="I2304" s="75" t="s">
        <v>171</v>
      </c>
      <c r="J2304" s="76">
        <v>10</v>
      </c>
      <c r="K2304" s="516" t="s">
        <v>385</v>
      </c>
      <c r="L2304" s="517">
        <v>13.54</v>
      </c>
      <c r="M2304" s="517">
        <v>14.2</v>
      </c>
      <c r="N2304" s="518">
        <v>9.6500000000000002E-2</v>
      </c>
      <c r="O2304" s="518">
        <v>9.1999999999999998E-2</v>
      </c>
      <c r="P2304" s="518">
        <v>0.10249999999999999</v>
      </c>
      <c r="Q2304" s="78">
        <v>0.44</v>
      </c>
      <c r="R2304" s="78">
        <v>0.31740000000000002</v>
      </c>
      <c r="S2304" s="69">
        <v>0</v>
      </c>
      <c r="T2304" s="69">
        <v>0</v>
      </c>
      <c r="U2304" s="518">
        <v>0.7</v>
      </c>
      <c r="V2304" s="76">
        <v>0</v>
      </c>
      <c r="W2304" s="76">
        <v>0</v>
      </c>
      <c r="X2304" s="76"/>
      <c r="Y2304" s="516" t="s">
        <v>470</v>
      </c>
    </row>
    <row r="2305" spans="1:25" x14ac:dyDescent="0.25">
      <c r="A2305" s="75" t="str">
        <f t="shared" si="81"/>
        <v>Terreno + Construcción PF No_Premier Pago_Fijo_Puntual 10</v>
      </c>
      <c r="B2305" s="75" t="str">
        <f t="shared" si="80"/>
        <v>Terreno + Construcción PF No_Premier Pago_Fijo_Puntual 10 0.103</v>
      </c>
      <c r="C2305" s="75" t="s">
        <v>151</v>
      </c>
      <c r="D2305" s="75" t="s">
        <v>132</v>
      </c>
      <c r="E2305" s="75" t="s">
        <v>179</v>
      </c>
      <c r="F2305" s="75"/>
      <c r="G2305" s="75"/>
      <c r="H2305" s="75"/>
      <c r="I2305" s="75" t="s">
        <v>171</v>
      </c>
      <c r="J2305" s="76">
        <v>10</v>
      </c>
      <c r="K2305" s="516" t="s">
        <v>386</v>
      </c>
      <c r="L2305" s="517">
        <v>13.54</v>
      </c>
      <c r="M2305" s="517">
        <v>14.2</v>
      </c>
      <c r="N2305" s="518">
        <v>0.10299999999999999</v>
      </c>
      <c r="O2305" s="518">
        <v>0.1</v>
      </c>
      <c r="P2305" s="518">
        <v>0.112</v>
      </c>
      <c r="Q2305" s="78">
        <v>0.44</v>
      </c>
      <c r="R2305" s="78">
        <v>0.31740000000000002</v>
      </c>
      <c r="S2305" s="69">
        <v>0</v>
      </c>
      <c r="T2305" s="69">
        <v>0</v>
      </c>
      <c r="U2305" s="518">
        <v>0.7</v>
      </c>
      <c r="V2305" s="76">
        <v>0</v>
      </c>
      <c r="W2305" s="76">
        <v>0</v>
      </c>
      <c r="X2305" s="76"/>
      <c r="Y2305" s="516" t="s">
        <v>470</v>
      </c>
    </row>
    <row r="2306" spans="1:25" x14ac:dyDescent="0.25">
      <c r="A2306" s="75" t="str">
        <f t="shared" si="81"/>
        <v>Terreno + Construcción PF No_Premier Pago_Fijo_Puntual 5</v>
      </c>
      <c r="B2306" s="75" t="str">
        <f t="shared" si="80"/>
        <v>Terreno + Construcción PF No_Premier Pago_Fijo_Puntual 5 0.0965</v>
      </c>
      <c r="C2306" s="75" t="s">
        <v>151</v>
      </c>
      <c r="D2306" s="75" t="s">
        <v>132</v>
      </c>
      <c r="E2306" s="75" t="s">
        <v>179</v>
      </c>
      <c r="F2306" s="75"/>
      <c r="G2306" s="75"/>
      <c r="H2306" s="75"/>
      <c r="I2306" s="75" t="s">
        <v>171</v>
      </c>
      <c r="J2306" s="76">
        <v>5</v>
      </c>
      <c r="K2306" s="516" t="s">
        <v>385</v>
      </c>
      <c r="L2306" s="517">
        <v>21.12</v>
      </c>
      <c r="M2306" s="517">
        <v>21.78</v>
      </c>
      <c r="N2306" s="518">
        <v>9.6500000000000002E-2</v>
      </c>
      <c r="O2306" s="518">
        <v>9.1999999999999998E-2</v>
      </c>
      <c r="P2306" s="518">
        <v>0.10249999999999999</v>
      </c>
      <c r="Q2306" s="78">
        <v>0.44</v>
      </c>
      <c r="R2306" s="78">
        <v>0.31740000000000002</v>
      </c>
      <c r="S2306" s="69">
        <v>0</v>
      </c>
      <c r="T2306" s="69">
        <v>0</v>
      </c>
      <c r="U2306" s="518">
        <v>0.7</v>
      </c>
      <c r="V2306" s="76">
        <v>0</v>
      </c>
      <c r="W2306" s="76">
        <v>0</v>
      </c>
      <c r="X2306" s="76"/>
      <c r="Y2306" s="516" t="s">
        <v>470</v>
      </c>
    </row>
    <row r="2307" spans="1:25" x14ac:dyDescent="0.25">
      <c r="A2307" s="75" t="str">
        <f t="shared" si="81"/>
        <v>Terreno + Construcción PF No_Premier Pago_Fijo_Puntual 5</v>
      </c>
      <c r="B2307" s="75" t="str">
        <f t="shared" si="80"/>
        <v>Terreno + Construcción PF No_Premier Pago_Fijo_Puntual 5 0.103</v>
      </c>
      <c r="C2307" s="75" t="s">
        <v>151</v>
      </c>
      <c r="D2307" s="75" t="s">
        <v>132</v>
      </c>
      <c r="E2307" s="75" t="s">
        <v>179</v>
      </c>
      <c r="F2307" s="75"/>
      <c r="G2307" s="75"/>
      <c r="H2307" s="75"/>
      <c r="I2307" s="75" t="s">
        <v>171</v>
      </c>
      <c r="J2307" s="76">
        <v>5</v>
      </c>
      <c r="K2307" s="516" t="s">
        <v>386</v>
      </c>
      <c r="L2307" s="517">
        <v>21.44</v>
      </c>
      <c r="M2307" s="517">
        <v>22.1</v>
      </c>
      <c r="N2307" s="518">
        <v>0.10299999999999999</v>
      </c>
      <c r="O2307" s="518">
        <v>0.1</v>
      </c>
      <c r="P2307" s="518">
        <v>0.112</v>
      </c>
      <c r="Q2307" s="78">
        <v>0.44</v>
      </c>
      <c r="R2307" s="78">
        <v>0.31740000000000002</v>
      </c>
      <c r="S2307" s="69">
        <v>0</v>
      </c>
      <c r="T2307" s="69">
        <v>0</v>
      </c>
      <c r="U2307" s="518">
        <v>0.7</v>
      </c>
      <c r="V2307" s="76">
        <v>0</v>
      </c>
      <c r="W2307" s="76">
        <v>0</v>
      </c>
      <c r="X2307" s="76"/>
      <c r="Y2307" s="516" t="s">
        <v>470</v>
      </c>
    </row>
    <row r="2308" spans="1:25" x14ac:dyDescent="0.25">
      <c r="A2308" s="75" t="str">
        <f t="shared" si="81"/>
        <v>Terreno + Construcción PF Premier Pago_Fijo_Puntual Si 20</v>
      </c>
      <c r="B2308" s="75" t="str">
        <f t="shared" si="80"/>
        <v>Terreno + Construcción PF Premier Pago_Fijo_Puntual Si 20 0.103</v>
      </c>
      <c r="C2308" s="75" t="s">
        <v>151</v>
      </c>
      <c r="D2308" s="75" t="s">
        <v>132</v>
      </c>
      <c r="E2308" s="75" t="s">
        <v>143</v>
      </c>
      <c r="F2308" s="75"/>
      <c r="G2308" s="75"/>
      <c r="H2308" s="75"/>
      <c r="I2308" s="75" t="s">
        <v>171</v>
      </c>
      <c r="J2308" s="76">
        <v>20</v>
      </c>
      <c r="K2308" s="519" t="s">
        <v>387</v>
      </c>
      <c r="L2308" s="520">
        <v>10.16</v>
      </c>
      <c r="M2308" s="520">
        <v>10.82</v>
      </c>
      <c r="N2308" s="507">
        <v>0.10299999999999999</v>
      </c>
      <c r="O2308" s="507">
        <v>0.1</v>
      </c>
      <c r="P2308" s="507">
        <v>0.112</v>
      </c>
      <c r="Q2308" s="78">
        <v>0.44</v>
      </c>
      <c r="R2308" s="78">
        <v>0.31740000000000002</v>
      </c>
      <c r="S2308" s="69">
        <v>0</v>
      </c>
      <c r="T2308" s="69">
        <v>0</v>
      </c>
      <c r="U2308" s="507">
        <v>0.75</v>
      </c>
      <c r="V2308" s="76">
        <v>0</v>
      </c>
      <c r="W2308" s="76">
        <v>0</v>
      </c>
      <c r="X2308" s="76" t="s">
        <v>147</v>
      </c>
      <c r="Y2308" s="519" t="s">
        <v>469</v>
      </c>
    </row>
    <row r="2309" spans="1:25" x14ac:dyDescent="0.25">
      <c r="A2309" s="75" t="str">
        <f t="shared" si="81"/>
        <v>Terreno + Construcción PF Premier Pago_Fijo_Puntual 20</v>
      </c>
      <c r="B2309" s="75" t="str">
        <f t="shared" si="80"/>
        <v>Terreno + Construcción PF Premier Pago_Fijo_Puntual 20 0.106</v>
      </c>
      <c r="C2309" s="75" t="s">
        <v>151</v>
      </c>
      <c r="D2309" s="75" t="s">
        <v>132</v>
      </c>
      <c r="E2309" s="75" t="s">
        <v>143</v>
      </c>
      <c r="F2309" s="75"/>
      <c r="G2309" s="75"/>
      <c r="H2309" s="75"/>
      <c r="I2309" s="75" t="s">
        <v>171</v>
      </c>
      <c r="J2309" s="76">
        <v>20</v>
      </c>
      <c r="K2309" s="519">
        <v>3</v>
      </c>
      <c r="L2309" s="520">
        <v>10.41</v>
      </c>
      <c r="M2309" s="520">
        <v>11.07</v>
      </c>
      <c r="N2309" s="507">
        <v>0.106</v>
      </c>
      <c r="O2309" s="507">
        <v>0.10299999999999999</v>
      </c>
      <c r="P2309" s="507">
        <v>0.11799999999999999</v>
      </c>
      <c r="Q2309" s="78">
        <v>0.44</v>
      </c>
      <c r="R2309" s="78">
        <v>0.31740000000000002</v>
      </c>
      <c r="S2309" s="69">
        <v>0</v>
      </c>
      <c r="T2309" s="69">
        <v>0</v>
      </c>
      <c r="U2309" s="507">
        <v>0.75</v>
      </c>
      <c r="V2309" s="76">
        <v>0</v>
      </c>
      <c r="W2309" s="76">
        <v>0</v>
      </c>
      <c r="X2309" s="76"/>
      <c r="Y2309" s="519" t="s">
        <v>469</v>
      </c>
    </row>
    <row r="2310" spans="1:25" x14ac:dyDescent="0.25">
      <c r="A2310" s="75" t="str">
        <f t="shared" si="81"/>
        <v>Terreno + Construcción PF Premier Pago_Fijo_Puntual Si 15</v>
      </c>
      <c r="B2310" s="75" t="str">
        <f t="shared" ref="B2310:B2360" si="82">CONCATENATE(A2310," ",N2310)</f>
        <v>Terreno + Construcción PF Premier Pago_Fijo_Puntual Si 15 0.103</v>
      </c>
      <c r="C2310" s="75" t="s">
        <v>151</v>
      </c>
      <c r="D2310" s="75" t="s">
        <v>132</v>
      </c>
      <c r="E2310" s="75" t="s">
        <v>143</v>
      </c>
      <c r="F2310" s="75"/>
      <c r="G2310" s="75"/>
      <c r="H2310" s="75"/>
      <c r="I2310" s="75" t="s">
        <v>171</v>
      </c>
      <c r="J2310" s="76">
        <v>15</v>
      </c>
      <c r="K2310" s="519" t="s">
        <v>387</v>
      </c>
      <c r="L2310" s="520">
        <v>11.18</v>
      </c>
      <c r="M2310" s="520">
        <v>11.84</v>
      </c>
      <c r="N2310" s="507">
        <v>0.10299999999999999</v>
      </c>
      <c r="O2310" s="507">
        <v>0.1</v>
      </c>
      <c r="P2310" s="507">
        <v>0.112</v>
      </c>
      <c r="Q2310" s="78">
        <v>0.44</v>
      </c>
      <c r="R2310" s="78">
        <v>0.31740000000000002</v>
      </c>
      <c r="S2310" s="69">
        <v>0</v>
      </c>
      <c r="T2310" s="69">
        <v>0</v>
      </c>
      <c r="U2310" s="507">
        <v>0.75</v>
      </c>
      <c r="V2310" s="76">
        <v>0</v>
      </c>
      <c r="W2310" s="76">
        <v>0</v>
      </c>
      <c r="X2310" s="76" t="s">
        <v>147</v>
      </c>
      <c r="Y2310" s="519" t="s">
        <v>469</v>
      </c>
    </row>
    <row r="2311" spans="1:25" x14ac:dyDescent="0.25">
      <c r="A2311" s="75" t="str">
        <f t="shared" ref="A2311:A2361" si="83">TRIM(CONCATENATE(C2311," ",D2311," ",E2311," ",F2311," ",G2311," ",I2311," ",X2311," ",J2311))</f>
        <v>Terreno + Construcción PF Premier Pago_Fijo_Puntual 15</v>
      </c>
      <c r="B2311" s="75" t="str">
        <f t="shared" si="82"/>
        <v>Terreno + Construcción PF Premier Pago_Fijo_Puntual 15 0.106</v>
      </c>
      <c r="C2311" s="75" t="s">
        <v>151</v>
      </c>
      <c r="D2311" s="75" t="s">
        <v>132</v>
      </c>
      <c r="E2311" s="75" t="s">
        <v>143</v>
      </c>
      <c r="F2311" s="75"/>
      <c r="G2311" s="75"/>
      <c r="H2311" s="75"/>
      <c r="I2311" s="75" t="s">
        <v>171</v>
      </c>
      <c r="J2311" s="76">
        <v>15</v>
      </c>
      <c r="K2311" s="519">
        <v>3</v>
      </c>
      <c r="L2311" s="520">
        <v>11.39</v>
      </c>
      <c r="M2311" s="520">
        <v>12.05</v>
      </c>
      <c r="N2311" s="507">
        <v>0.106</v>
      </c>
      <c r="O2311" s="507">
        <v>0.10299999999999999</v>
      </c>
      <c r="P2311" s="507">
        <v>0.11799999999999999</v>
      </c>
      <c r="Q2311" s="78">
        <v>0.44</v>
      </c>
      <c r="R2311" s="78">
        <v>0.31740000000000002</v>
      </c>
      <c r="S2311" s="69">
        <v>0</v>
      </c>
      <c r="T2311" s="69">
        <v>0</v>
      </c>
      <c r="U2311" s="507">
        <v>0.75</v>
      </c>
      <c r="V2311" s="76">
        <v>0</v>
      </c>
      <c r="W2311" s="76">
        <v>0</v>
      </c>
      <c r="X2311" s="76"/>
      <c r="Y2311" s="519" t="s">
        <v>469</v>
      </c>
    </row>
    <row r="2312" spans="1:25" x14ac:dyDescent="0.25">
      <c r="A2312" s="75" t="str">
        <f t="shared" si="83"/>
        <v>Terreno + Construcción PF Premier Pago_Fijo_Puntual Si 10</v>
      </c>
      <c r="B2312" s="75" t="str">
        <f t="shared" si="82"/>
        <v>Terreno + Construcción PF Premier Pago_Fijo_Puntual Si 10 0.103</v>
      </c>
      <c r="C2312" s="75" t="s">
        <v>151</v>
      </c>
      <c r="D2312" s="75" t="s">
        <v>132</v>
      </c>
      <c r="E2312" s="75" t="s">
        <v>143</v>
      </c>
      <c r="F2312" s="75"/>
      <c r="G2312" s="75"/>
      <c r="H2312" s="75"/>
      <c r="I2312" s="75" t="s">
        <v>171</v>
      </c>
      <c r="J2312" s="76">
        <v>10</v>
      </c>
      <c r="K2312" s="519" t="s">
        <v>387</v>
      </c>
      <c r="L2312" s="520">
        <v>13.54</v>
      </c>
      <c r="M2312" s="520">
        <v>14.2</v>
      </c>
      <c r="N2312" s="507">
        <v>0.10299999999999999</v>
      </c>
      <c r="O2312" s="507">
        <v>0.1</v>
      </c>
      <c r="P2312" s="507">
        <v>0.112</v>
      </c>
      <c r="Q2312" s="78">
        <v>0.44</v>
      </c>
      <c r="R2312" s="78">
        <v>0.31740000000000002</v>
      </c>
      <c r="S2312" s="69">
        <v>0</v>
      </c>
      <c r="T2312" s="69">
        <v>0</v>
      </c>
      <c r="U2312" s="507">
        <v>0.75</v>
      </c>
      <c r="V2312" s="76">
        <v>0</v>
      </c>
      <c r="W2312" s="76">
        <v>0</v>
      </c>
      <c r="X2312" s="76" t="s">
        <v>147</v>
      </c>
      <c r="Y2312" s="519" t="s">
        <v>469</v>
      </c>
    </row>
    <row r="2313" spans="1:25" x14ac:dyDescent="0.25">
      <c r="A2313" s="75" t="str">
        <f t="shared" si="83"/>
        <v>Terreno + Construcción PF Premier Pago_Fijo_Puntual 10</v>
      </c>
      <c r="B2313" s="75" t="str">
        <f t="shared" si="82"/>
        <v>Terreno + Construcción PF Premier Pago_Fijo_Puntual 10 0.106</v>
      </c>
      <c r="C2313" s="75" t="s">
        <v>151</v>
      </c>
      <c r="D2313" s="75" t="s">
        <v>132</v>
      </c>
      <c r="E2313" s="75" t="s">
        <v>143</v>
      </c>
      <c r="F2313" s="75"/>
      <c r="G2313" s="75"/>
      <c r="H2313" s="75"/>
      <c r="I2313" s="75" t="s">
        <v>171</v>
      </c>
      <c r="J2313" s="76">
        <v>10</v>
      </c>
      <c r="K2313" s="519">
        <v>3</v>
      </c>
      <c r="L2313" s="520">
        <v>13.71</v>
      </c>
      <c r="M2313" s="520">
        <v>14.37</v>
      </c>
      <c r="N2313" s="507">
        <v>0.106</v>
      </c>
      <c r="O2313" s="507">
        <v>0.10299999999999999</v>
      </c>
      <c r="P2313" s="507">
        <v>0.11799999999999999</v>
      </c>
      <c r="Q2313" s="78">
        <v>0.44</v>
      </c>
      <c r="R2313" s="78">
        <v>0.31740000000000002</v>
      </c>
      <c r="S2313" s="69">
        <v>0</v>
      </c>
      <c r="T2313" s="69">
        <v>0</v>
      </c>
      <c r="U2313" s="507">
        <v>0.75</v>
      </c>
      <c r="V2313" s="76">
        <v>0</v>
      </c>
      <c r="W2313" s="76">
        <v>0</v>
      </c>
      <c r="X2313" s="76"/>
      <c r="Y2313" s="519" t="s">
        <v>469</v>
      </c>
    </row>
    <row r="2314" spans="1:25" x14ac:dyDescent="0.25">
      <c r="A2314" s="75" t="str">
        <f t="shared" si="83"/>
        <v>Terreno + Construcción PF Premier Pago_Fijo_Puntual Si 5</v>
      </c>
      <c r="B2314" s="75" t="str">
        <f t="shared" si="82"/>
        <v>Terreno + Construcción PF Premier Pago_Fijo_Puntual Si 5 0.103</v>
      </c>
      <c r="C2314" s="75" t="s">
        <v>151</v>
      </c>
      <c r="D2314" s="75" t="s">
        <v>132</v>
      </c>
      <c r="E2314" s="75" t="s">
        <v>143</v>
      </c>
      <c r="F2314" s="75"/>
      <c r="G2314" s="75"/>
      <c r="H2314" s="75"/>
      <c r="I2314" s="75" t="s">
        <v>171</v>
      </c>
      <c r="J2314" s="76">
        <v>5</v>
      </c>
      <c r="K2314" s="519" t="s">
        <v>387</v>
      </c>
      <c r="L2314" s="520">
        <v>21.44</v>
      </c>
      <c r="M2314" s="520">
        <v>22.1</v>
      </c>
      <c r="N2314" s="507">
        <v>0.10299999999999999</v>
      </c>
      <c r="O2314" s="507">
        <v>0.1</v>
      </c>
      <c r="P2314" s="507">
        <v>0.112</v>
      </c>
      <c r="Q2314" s="78">
        <v>0.44</v>
      </c>
      <c r="R2314" s="78">
        <v>0.31740000000000002</v>
      </c>
      <c r="S2314" s="69">
        <v>0</v>
      </c>
      <c r="T2314" s="69">
        <v>0</v>
      </c>
      <c r="U2314" s="507">
        <v>0.75</v>
      </c>
      <c r="V2314" s="76">
        <v>0</v>
      </c>
      <c r="W2314" s="76">
        <v>0</v>
      </c>
      <c r="X2314" s="76" t="s">
        <v>147</v>
      </c>
      <c r="Y2314" s="519" t="s">
        <v>469</v>
      </c>
    </row>
    <row r="2315" spans="1:25" x14ac:dyDescent="0.25">
      <c r="A2315" s="75" t="str">
        <f t="shared" si="83"/>
        <v>Terreno + Construcción PF Premier Pago_Fijo_Puntual 5</v>
      </c>
      <c r="B2315" s="75" t="str">
        <f t="shared" si="82"/>
        <v>Terreno + Construcción PF Premier Pago_Fijo_Puntual 5 0.106</v>
      </c>
      <c r="C2315" s="75" t="s">
        <v>151</v>
      </c>
      <c r="D2315" s="75" t="s">
        <v>132</v>
      </c>
      <c r="E2315" s="75" t="s">
        <v>143</v>
      </c>
      <c r="F2315" s="75"/>
      <c r="G2315" s="75"/>
      <c r="H2315" s="75"/>
      <c r="I2315" s="75" t="s">
        <v>171</v>
      </c>
      <c r="J2315" s="76">
        <v>5</v>
      </c>
      <c r="K2315" s="519">
        <v>3</v>
      </c>
      <c r="L2315" s="520">
        <v>21.59</v>
      </c>
      <c r="M2315" s="520">
        <v>22.25</v>
      </c>
      <c r="N2315" s="507">
        <v>0.106</v>
      </c>
      <c r="O2315" s="507">
        <v>0.10299999999999999</v>
      </c>
      <c r="P2315" s="507">
        <v>0.11799999999999999</v>
      </c>
      <c r="Q2315" s="78">
        <v>0.44</v>
      </c>
      <c r="R2315" s="78">
        <v>0.31740000000000002</v>
      </c>
      <c r="S2315" s="69">
        <v>0</v>
      </c>
      <c r="T2315" s="69">
        <v>0</v>
      </c>
      <c r="U2315" s="507">
        <v>0.75</v>
      </c>
      <c r="V2315" s="76">
        <v>0</v>
      </c>
      <c r="W2315" s="76">
        <v>0</v>
      </c>
      <c r="X2315" s="76"/>
      <c r="Y2315" s="519" t="s">
        <v>469</v>
      </c>
    </row>
    <row r="2316" spans="1:25" x14ac:dyDescent="0.25">
      <c r="A2316" s="75" t="str">
        <f t="shared" si="83"/>
        <v>Terreno + Construcción PF Premier Pago_Fijo_Puntual 20</v>
      </c>
      <c r="B2316" s="75" t="str">
        <f t="shared" si="82"/>
        <v>Terreno + Construcción PF Premier Pago_Fijo_Puntual 20 0.0965</v>
      </c>
      <c r="C2316" s="75" t="s">
        <v>151</v>
      </c>
      <c r="D2316" s="75" t="s">
        <v>132</v>
      </c>
      <c r="E2316" s="75" t="s">
        <v>143</v>
      </c>
      <c r="F2316" s="75"/>
      <c r="G2316" s="75"/>
      <c r="H2316" s="75"/>
      <c r="I2316" s="75" t="s">
        <v>171</v>
      </c>
      <c r="J2316" s="76">
        <v>20</v>
      </c>
      <c r="K2316" s="516" t="s">
        <v>385</v>
      </c>
      <c r="L2316" s="517">
        <v>9.66</v>
      </c>
      <c r="M2316" s="517">
        <v>10.32</v>
      </c>
      <c r="N2316" s="518">
        <v>9.6500000000000002E-2</v>
      </c>
      <c r="O2316" s="518">
        <v>9.1999999999999998E-2</v>
      </c>
      <c r="P2316" s="518">
        <v>0.10249999999999999</v>
      </c>
      <c r="Q2316" s="78">
        <v>0.44</v>
      </c>
      <c r="R2316" s="78">
        <v>0.31740000000000002</v>
      </c>
      <c r="S2316" s="69">
        <v>0</v>
      </c>
      <c r="T2316" s="69">
        <v>0</v>
      </c>
      <c r="U2316" s="518">
        <v>0.7</v>
      </c>
      <c r="V2316" s="76">
        <v>0</v>
      </c>
      <c r="W2316" s="76">
        <v>0</v>
      </c>
      <c r="X2316" s="76"/>
      <c r="Y2316" s="516" t="s">
        <v>470</v>
      </c>
    </row>
    <row r="2317" spans="1:25" x14ac:dyDescent="0.25">
      <c r="A2317" s="75" t="str">
        <f t="shared" si="83"/>
        <v>Terreno + Construcción PF Premier Pago_Fijo_Puntual 20</v>
      </c>
      <c r="B2317" s="75" t="str">
        <f t="shared" si="82"/>
        <v>Terreno + Construcción PF Premier Pago_Fijo_Puntual 20 0.103</v>
      </c>
      <c r="C2317" s="75" t="s">
        <v>151</v>
      </c>
      <c r="D2317" s="75" t="s">
        <v>132</v>
      </c>
      <c r="E2317" s="75" t="s">
        <v>143</v>
      </c>
      <c r="F2317" s="75"/>
      <c r="G2317" s="75"/>
      <c r="H2317" s="75"/>
      <c r="I2317" s="75" t="s">
        <v>171</v>
      </c>
      <c r="J2317" s="76">
        <v>20</v>
      </c>
      <c r="K2317" s="516" t="s">
        <v>386</v>
      </c>
      <c r="L2317" s="517">
        <v>10.16</v>
      </c>
      <c r="M2317" s="517">
        <v>10.82</v>
      </c>
      <c r="N2317" s="518">
        <v>0.10299999999999999</v>
      </c>
      <c r="O2317" s="518">
        <v>0.1</v>
      </c>
      <c r="P2317" s="518">
        <v>0.112</v>
      </c>
      <c r="Q2317" s="78">
        <v>0.44</v>
      </c>
      <c r="R2317" s="78">
        <v>0.31740000000000002</v>
      </c>
      <c r="S2317" s="69">
        <v>0</v>
      </c>
      <c r="T2317" s="69">
        <v>0</v>
      </c>
      <c r="U2317" s="518">
        <v>0.7</v>
      </c>
      <c r="V2317" s="76">
        <v>0</v>
      </c>
      <c r="W2317" s="76">
        <v>0</v>
      </c>
      <c r="X2317" s="76"/>
      <c r="Y2317" s="516" t="s">
        <v>470</v>
      </c>
    </row>
    <row r="2318" spans="1:25" x14ac:dyDescent="0.25">
      <c r="A2318" s="75" t="str">
        <f t="shared" si="83"/>
        <v>Terreno + Construcción PF Premier Pago_Fijo_Puntual 15</v>
      </c>
      <c r="B2318" s="75" t="str">
        <f t="shared" si="82"/>
        <v>Terreno + Construcción PF Premier Pago_Fijo_Puntual 15 0.0965</v>
      </c>
      <c r="C2318" s="75" t="s">
        <v>151</v>
      </c>
      <c r="D2318" s="75" t="s">
        <v>132</v>
      </c>
      <c r="E2318" s="75" t="s">
        <v>143</v>
      </c>
      <c r="F2318" s="75"/>
      <c r="G2318" s="75"/>
      <c r="H2318" s="75"/>
      <c r="I2318" s="75" t="s">
        <v>171</v>
      </c>
      <c r="J2318" s="76">
        <v>15</v>
      </c>
      <c r="K2318" s="516" t="s">
        <v>385</v>
      </c>
      <c r="L2318" s="517">
        <v>10.73</v>
      </c>
      <c r="M2318" s="517">
        <v>11.39</v>
      </c>
      <c r="N2318" s="518">
        <v>9.6500000000000002E-2</v>
      </c>
      <c r="O2318" s="518">
        <v>9.1999999999999998E-2</v>
      </c>
      <c r="P2318" s="518">
        <v>0.10249999999999999</v>
      </c>
      <c r="Q2318" s="78">
        <v>0.44</v>
      </c>
      <c r="R2318" s="78">
        <v>0.31740000000000002</v>
      </c>
      <c r="S2318" s="69">
        <v>0</v>
      </c>
      <c r="T2318" s="69">
        <v>0</v>
      </c>
      <c r="U2318" s="518">
        <v>0.7</v>
      </c>
      <c r="V2318" s="76">
        <v>0</v>
      </c>
      <c r="W2318" s="76">
        <v>0</v>
      </c>
      <c r="X2318" s="76"/>
      <c r="Y2318" s="516" t="s">
        <v>470</v>
      </c>
    </row>
    <row r="2319" spans="1:25" x14ac:dyDescent="0.25">
      <c r="A2319" s="75" t="str">
        <f t="shared" si="83"/>
        <v>Terreno + Construcción PF Premier Pago_Fijo_Puntual 15</v>
      </c>
      <c r="B2319" s="75" t="str">
        <f t="shared" si="82"/>
        <v>Terreno + Construcción PF Premier Pago_Fijo_Puntual 15 0.103</v>
      </c>
      <c r="C2319" s="75" t="s">
        <v>151</v>
      </c>
      <c r="D2319" s="75" t="s">
        <v>132</v>
      </c>
      <c r="E2319" s="75" t="s">
        <v>143</v>
      </c>
      <c r="F2319" s="75"/>
      <c r="G2319" s="75"/>
      <c r="H2319" s="75"/>
      <c r="I2319" s="75" t="s">
        <v>171</v>
      </c>
      <c r="J2319" s="76">
        <v>15</v>
      </c>
      <c r="K2319" s="516" t="s">
        <v>386</v>
      </c>
      <c r="L2319" s="517">
        <v>11.18</v>
      </c>
      <c r="M2319" s="517">
        <v>11.84</v>
      </c>
      <c r="N2319" s="518">
        <v>0.10299999999999999</v>
      </c>
      <c r="O2319" s="518">
        <v>0.1</v>
      </c>
      <c r="P2319" s="518">
        <v>0.112</v>
      </c>
      <c r="Q2319" s="78">
        <v>0.44</v>
      </c>
      <c r="R2319" s="78">
        <v>0.31740000000000002</v>
      </c>
      <c r="S2319" s="69">
        <v>0</v>
      </c>
      <c r="T2319" s="69">
        <v>0</v>
      </c>
      <c r="U2319" s="518">
        <v>0.7</v>
      </c>
      <c r="V2319" s="76">
        <v>0</v>
      </c>
      <c r="W2319" s="76">
        <v>0</v>
      </c>
      <c r="X2319" s="76"/>
      <c r="Y2319" s="516" t="s">
        <v>470</v>
      </c>
    </row>
    <row r="2320" spans="1:25" x14ac:dyDescent="0.25">
      <c r="A2320" s="75" t="str">
        <f t="shared" si="83"/>
        <v>Terreno + Construcción PF Premier Pago_Fijo_Puntual 10</v>
      </c>
      <c r="B2320" s="75" t="str">
        <f t="shared" si="82"/>
        <v>Terreno + Construcción PF Premier Pago_Fijo_Puntual 10 0.0965</v>
      </c>
      <c r="C2320" s="75" t="s">
        <v>151</v>
      </c>
      <c r="D2320" s="75" t="s">
        <v>132</v>
      </c>
      <c r="E2320" s="75" t="s">
        <v>143</v>
      </c>
      <c r="F2320" s="75"/>
      <c r="G2320" s="75"/>
      <c r="H2320" s="75"/>
      <c r="I2320" s="75" t="s">
        <v>171</v>
      </c>
      <c r="J2320" s="76">
        <v>10</v>
      </c>
      <c r="K2320" s="516" t="s">
        <v>385</v>
      </c>
      <c r="L2320" s="517">
        <v>13.54</v>
      </c>
      <c r="M2320" s="517">
        <v>14.2</v>
      </c>
      <c r="N2320" s="518">
        <v>9.6500000000000002E-2</v>
      </c>
      <c r="O2320" s="518">
        <v>9.1999999999999998E-2</v>
      </c>
      <c r="P2320" s="518">
        <v>0.10249999999999999</v>
      </c>
      <c r="Q2320" s="78">
        <v>0.44</v>
      </c>
      <c r="R2320" s="78">
        <v>0.31740000000000002</v>
      </c>
      <c r="S2320" s="69">
        <v>0</v>
      </c>
      <c r="T2320" s="69">
        <v>0</v>
      </c>
      <c r="U2320" s="518">
        <v>0.7</v>
      </c>
      <c r="V2320" s="76">
        <v>0</v>
      </c>
      <c r="W2320" s="76">
        <v>0</v>
      </c>
      <c r="X2320" s="76"/>
      <c r="Y2320" s="516" t="s">
        <v>470</v>
      </c>
    </row>
    <row r="2321" spans="1:25" x14ac:dyDescent="0.25">
      <c r="A2321" s="75" t="str">
        <f t="shared" si="83"/>
        <v>Terreno + Construcción PF Premier Pago_Fijo_Puntual 10</v>
      </c>
      <c r="B2321" s="75" t="str">
        <f t="shared" si="82"/>
        <v>Terreno + Construcción PF Premier Pago_Fijo_Puntual 10 0.103</v>
      </c>
      <c r="C2321" s="75" t="s">
        <v>151</v>
      </c>
      <c r="D2321" s="75" t="s">
        <v>132</v>
      </c>
      <c r="E2321" s="75" t="s">
        <v>143</v>
      </c>
      <c r="F2321" s="75"/>
      <c r="G2321" s="75"/>
      <c r="H2321" s="75"/>
      <c r="I2321" s="75" t="s">
        <v>171</v>
      </c>
      <c r="J2321" s="76">
        <v>10</v>
      </c>
      <c r="K2321" s="516" t="s">
        <v>386</v>
      </c>
      <c r="L2321" s="517">
        <v>13.54</v>
      </c>
      <c r="M2321" s="517">
        <v>14.2</v>
      </c>
      <c r="N2321" s="518">
        <v>0.10299999999999999</v>
      </c>
      <c r="O2321" s="518">
        <v>0.1</v>
      </c>
      <c r="P2321" s="518">
        <v>0.112</v>
      </c>
      <c r="Q2321" s="78">
        <v>0.44</v>
      </c>
      <c r="R2321" s="78">
        <v>0.31740000000000002</v>
      </c>
      <c r="S2321" s="69">
        <v>0</v>
      </c>
      <c r="T2321" s="69">
        <v>0</v>
      </c>
      <c r="U2321" s="518">
        <v>0.7</v>
      </c>
      <c r="V2321" s="76">
        <v>0</v>
      </c>
      <c r="W2321" s="76">
        <v>0</v>
      </c>
      <c r="X2321" s="76"/>
      <c r="Y2321" s="516" t="s">
        <v>470</v>
      </c>
    </row>
    <row r="2322" spans="1:25" x14ac:dyDescent="0.25">
      <c r="A2322" s="75" t="str">
        <f t="shared" si="83"/>
        <v>Terreno + Construcción PF Premier Pago_Fijo_Puntual 5</v>
      </c>
      <c r="B2322" s="75" t="str">
        <f t="shared" si="82"/>
        <v>Terreno + Construcción PF Premier Pago_Fijo_Puntual 5 0.0965</v>
      </c>
      <c r="C2322" s="75" t="s">
        <v>151</v>
      </c>
      <c r="D2322" s="75" t="s">
        <v>132</v>
      </c>
      <c r="E2322" s="75" t="s">
        <v>143</v>
      </c>
      <c r="F2322" s="75"/>
      <c r="G2322" s="75"/>
      <c r="H2322" s="75"/>
      <c r="I2322" s="75" t="s">
        <v>171</v>
      </c>
      <c r="J2322" s="76">
        <v>5</v>
      </c>
      <c r="K2322" s="516" t="s">
        <v>385</v>
      </c>
      <c r="L2322" s="517">
        <v>21.12</v>
      </c>
      <c r="M2322" s="517">
        <v>21.78</v>
      </c>
      <c r="N2322" s="518">
        <v>9.6500000000000002E-2</v>
      </c>
      <c r="O2322" s="518">
        <v>9.1999999999999998E-2</v>
      </c>
      <c r="P2322" s="518">
        <v>0.10249999999999999</v>
      </c>
      <c r="Q2322" s="78">
        <v>0.44</v>
      </c>
      <c r="R2322" s="78">
        <v>0.31740000000000002</v>
      </c>
      <c r="S2322" s="69">
        <v>0</v>
      </c>
      <c r="T2322" s="69">
        <v>0</v>
      </c>
      <c r="U2322" s="518">
        <v>0.7</v>
      </c>
      <c r="V2322" s="76">
        <v>0</v>
      </c>
      <c r="W2322" s="76">
        <v>0</v>
      </c>
      <c r="X2322" s="76"/>
      <c r="Y2322" s="516" t="s">
        <v>470</v>
      </c>
    </row>
    <row r="2323" spans="1:25" x14ac:dyDescent="0.25">
      <c r="A2323" s="75" t="str">
        <f t="shared" si="83"/>
        <v>Terreno + Construcción PF Premier Pago_Fijo_Puntual 5</v>
      </c>
      <c r="B2323" s="75" t="str">
        <f t="shared" si="82"/>
        <v>Terreno + Construcción PF Premier Pago_Fijo_Puntual 5 0.103</v>
      </c>
      <c r="C2323" s="75" t="s">
        <v>151</v>
      </c>
      <c r="D2323" s="75" t="s">
        <v>132</v>
      </c>
      <c r="E2323" s="75" t="s">
        <v>143</v>
      </c>
      <c r="F2323" s="75"/>
      <c r="G2323" s="75"/>
      <c r="H2323" s="75"/>
      <c r="I2323" s="75" t="s">
        <v>171</v>
      </c>
      <c r="J2323" s="76">
        <v>5</v>
      </c>
      <c r="K2323" s="516" t="s">
        <v>386</v>
      </c>
      <c r="L2323" s="517">
        <v>21.44</v>
      </c>
      <c r="M2323" s="517">
        <v>22.1</v>
      </c>
      <c r="N2323" s="518">
        <v>0.10299999999999999</v>
      </c>
      <c r="O2323" s="518">
        <v>0.1</v>
      </c>
      <c r="P2323" s="518">
        <v>0.112</v>
      </c>
      <c r="Q2323" s="78">
        <v>0.44</v>
      </c>
      <c r="R2323" s="78">
        <v>0.31740000000000002</v>
      </c>
      <c r="S2323" s="69">
        <v>0</v>
      </c>
      <c r="T2323" s="69">
        <v>0</v>
      </c>
      <c r="U2323" s="518">
        <v>0.7</v>
      </c>
      <c r="V2323" s="76">
        <v>0</v>
      </c>
      <c r="W2323" s="76">
        <v>0</v>
      </c>
      <c r="X2323" s="76"/>
      <c r="Y2323" s="516" t="s">
        <v>470</v>
      </c>
    </row>
    <row r="2324" spans="1:25" x14ac:dyDescent="0.25">
      <c r="A2324" s="75" t="str">
        <f t="shared" si="83"/>
        <v>Terreno + Construcción PFAE No_Premier Pago_Fijo_Puntual Si 20</v>
      </c>
      <c r="B2324" s="75" t="str">
        <f t="shared" si="82"/>
        <v>Terreno + Construcción PFAE No_Premier Pago_Fijo_Puntual Si 20 0.103</v>
      </c>
      <c r="C2324" s="75" t="s">
        <v>151</v>
      </c>
      <c r="D2324" s="75" t="s">
        <v>168</v>
      </c>
      <c r="E2324" s="75" t="s">
        <v>179</v>
      </c>
      <c r="F2324" s="75"/>
      <c r="G2324" s="75"/>
      <c r="H2324" s="75"/>
      <c r="I2324" s="75" t="s">
        <v>171</v>
      </c>
      <c r="J2324" s="76">
        <v>20</v>
      </c>
      <c r="K2324" s="519" t="s">
        <v>387</v>
      </c>
      <c r="L2324" s="520">
        <v>10.16</v>
      </c>
      <c r="M2324" s="520">
        <v>10.82</v>
      </c>
      <c r="N2324" s="507">
        <v>0.10299999999999999</v>
      </c>
      <c r="O2324" s="507">
        <v>0.1</v>
      </c>
      <c r="P2324" s="507">
        <v>0.112</v>
      </c>
      <c r="Q2324" s="78">
        <v>0.44</v>
      </c>
      <c r="R2324" s="78">
        <v>0.31740000000000002</v>
      </c>
      <c r="S2324" s="69">
        <v>0</v>
      </c>
      <c r="T2324" s="69">
        <v>0</v>
      </c>
      <c r="U2324" s="507">
        <v>0.75</v>
      </c>
      <c r="V2324" s="76">
        <v>0</v>
      </c>
      <c r="W2324" s="76">
        <v>0</v>
      </c>
      <c r="X2324" s="76" t="s">
        <v>147</v>
      </c>
      <c r="Y2324" s="519" t="s">
        <v>469</v>
      </c>
    </row>
    <row r="2325" spans="1:25" x14ac:dyDescent="0.25">
      <c r="A2325" s="75" t="str">
        <f t="shared" si="83"/>
        <v>Terreno + Construcción PFAE No_Premier Pago_Fijo_Puntual Si 15</v>
      </c>
      <c r="B2325" s="75" t="str">
        <f t="shared" si="82"/>
        <v>Terreno + Construcción PFAE No_Premier Pago_Fijo_Puntual Si 15 0.103</v>
      </c>
      <c r="C2325" s="75" t="s">
        <v>151</v>
      </c>
      <c r="D2325" s="75" t="s">
        <v>168</v>
      </c>
      <c r="E2325" s="75" t="s">
        <v>179</v>
      </c>
      <c r="F2325" s="75"/>
      <c r="G2325" s="75"/>
      <c r="H2325" s="75"/>
      <c r="I2325" s="75" t="s">
        <v>171</v>
      </c>
      <c r="J2325" s="76">
        <v>15</v>
      </c>
      <c r="K2325" s="519" t="s">
        <v>387</v>
      </c>
      <c r="L2325" s="520">
        <v>11.18</v>
      </c>
      <c r="M2325" s="520">
        <v>11.84</v>
      </c>
      <c r="N2325" s="507">
        <v>0.10299999999999999</v>
      </c>
      <c r="O2325" s="507">
        <v>0.1</v>
      </c>
      <c r="P2325" s="507">
        <v>0.112</v>
      </c>
      <c r="Q2325" s="78">
        <v>0.44</v>
      </c>
      <c r="R2325" s="78">
        <v>0.31740000000000002</v>
      </c>
      <c r="S2325" s="69">
        <v>0</v>
      </c>
      <c r="T2325" s="69">
        <v>0</v>
      </c>
      <c r="U2325" s="507">
        <v>0.75</v>
      </c>
      <c r="V2325" s="76">
        <v>0</v>
      </c>
      <c r="W2325" s="76">
        <v>0</v>
      </c>
      <c r="X2325" s="76" t="s">
        <v>147</v>
      </c>
      <c r="Y2325" s="519" t="s">
        <v>469</v>
      </c>
    </row>
    <row r="2326" spans="1:25" x14ac:dyDescent="0.25">
      <c r="A2326" s="75" t="str">
        <f t="shared" si="83"/>
        <v>Terreno + Construcción PFAE No_Premier Pago_Fijo_Puntual Si 10</v>
      </c>
      <c r="B2326" s="75" t="str">
        <f t="shared" si="82"/>
        <v>Terreno + Construcción PFAE No_Premier Pago_Fijo_Puntual Si 10 0.103</v>
      </c>
      <c r="C2326" s="75" t="s">
        <v>151</v>
      </c>
      <c r="D2326" s="75" t="s">
        <v>168</v>
      </c>
      <c r="E2326" s="75" t="s">
        <v>179</v>
      </c>
      <c r="F2326" s="75"/>
      <c r="G2326" s="75"/>
      <c r="H2326" s="75"/>
      <c r="I2326" s="75" t="s">
        <v>171</v>
      </c>
      <c r="J2326" s="76">
        <v>10</v>
      </c>
      <c r="K2326" s="519" t="s">
        <v>387</v>
      </c>
      <c r="L2326" s="520">
        <v>13.54</v>
      </c>
      <c r="M2326" s="520">
        <v>14.2</v>
      </c>
      <c r="N2326" s="507">
        <v>0.10299999999999999</v>
      </c>
      <c r="O2326" s="507">
        <v>0.1</v>
      </c>
      <c r="P2326" s="507">
        <v>0.112</v>
      </c>
      <c r="Q2326" s="78">
        <v>0.44</v>
      </c>
      <c r="R2326" s="78">
        <v>0.31740000000000002</v>
      </c>
      <c r="S2326" s="69">
        <v>0</v>
      </c>
      <c r="T2326" s="69">
        <v>0</v>
      </c>
      <c r="U2326" s="507">
        <v>0.75</v>
      </c>
      <c r="V2326" s="76">
        <v>0</v>
      </c>
      <c r="W2326" s="76">
        <v>0</v>
      </c>
      <c r="X2326" s="76" t="s">
        <v>147</v>
      </c>
      <c r="Y2326" s="519" t="s">
        <v>469</v>
      </c>
    </row>
    <row r="2327" spans="1:25" x14ac:dyDescent="0.25">
      <c r="A2327" s="75" t="str">
        <f t="shared" si="83"/>
        <v>Terreno + Construcción PFAE No_Premier Pago_Fijo_Puntual Si 5</v>
      </c>
      <c r="B2327" s="75" t="str">
        <f t="shared" si="82"/>
        <v>Terreno + Construcción PFAE No_Premier Pago_Fijo_Puntual Si 5 0.103</v>
      </c>
      <c r="C2327" s="75" t="s">
        <v>151</v>
      </c>
      <c r="D2327" s="75" t="s">
        <v>168</v>
      </c>
      <c r="E2327" s="75" t="s">
        <v>179</v>
      </c>
      <c r="F2327" s="75"/>
      <c r="G2327" s="75"/>
      <c r="H2327" s="75"/>
      <c r="I2327" s="75" t="s">
        <v>171</v>
      </c>
      <c r="J2327" s="76">
        <v>5</v>
      </c>
      <c r="K2327" s="519" t="s">
        <v>387</v>
      </c>
      <c r="L2327" s="520">
        <v>21.44</v>
      </c>
      <c r="M2327" s="520">
        <v>22.1</v>
      </c>
      <c r="N2327" s="507">
        <v>0.10299999999999999</v>
      </c>
      <c r="O2327" s="507">
        <v>0.1</v>
      </c>
      <c r="P2327" s="507">
        <v>0.112</v>
      </c>
      <c r="Q2327" s="78">
        <v>0.44</v>
      </c>
      <c r="R2327" s="78">
        <v>0.31740000000000002</v>
      </c>
      <c r="S2327" s="69">
        <v>0</v>
      </c>
      <c r="T2327" s="69">
        <v>0</v>
      </c>
      <c r="U2327" s="507">
        <v>0.75</v>
      </c>
      <c r="V2327" s="76">
        <v>0</v>
      </c>
      <c r="W2327" s="76">
        <v>0</v>
      </c>
      <c r="X2327" s="76" t="s">
        <v>147</v>
      </c>
      <c r="Y2327" s="519" t="s">
        <v>469</v>
      </c>
    </row>
    <row r="2328" spans="1:25" x14ac:dyDescent="0.25">
      <c r="A2328" s="75" t="str">
        <f t="shared" si="83"/>
        <v>Terreno + Construcción PFAE No_Premier Pago_Fijo_Puntual 20</v>
      </c>
      <c r="B2328" s="75" t="str">
        <f t="shared" si="82"/>
        <v>Terreno + Construcción PFAE No_Premier Pago_Fijo_Puntual 20 0.0965</v>
      </c>
      <c r="C2328" s="75" t="s">
        <v>151</v>
      </c>
      <c r="D2328" s="75" t="s">
        <v>168</v>
      </c>
      <c r="E2328" s="75" t="s">
        <v>179</v>
      </c>
      <c r="F2328" s="75"/>
      <c r="G2328" s="75"/>
      <c r="H2328" s="75"/>
      <c r="I2328" s="75" t="s">
        <v>171</v>
      </c>
      <c r="J2328" s="76">
        <v>20</v>
      </c>
      <c r="K2328" s="516" t="s">
        <v>385</v>
      </c>
      <c r="L2328" s="517">
        <v>9.66</v>
      </c>
      <c r="M2328" s="517">
        <v>10.32</v>
      </c>
      <c r="N2328" s="518">
        <v>9.6500000000000002E-2</v>
      </c>
      <c r="O2328" s="518">
        <v>9.1999999999999998E-2</v>
      </c>
      <c r="P2328" s="518">
        <v>0.10249999999999999</v>
      </c>
      <c r="Q2328" s="78">
        <v>0.44</v>
      </c>
      <c r="R2328" s="78">
        <v>0.31740000000000002</v>
      </c>
      <c r="S2328" s="69">
        <v>0</v>
      </c>
      <c r="T2328" s="69">
        <v>0</v>
      </c>
      <c r="U2328" s="518">
        <v>0.7</v>
      </c>
      <c r="V2328" s="76">
        <v>0</v>
      </c>
      <c r="W2328" s="76">
        <v>0</v>
      </c>
      <c r="X2328" s="76"/>
      <c r="Y2328" s="516" t="s">
        <v>470</v>
      </c>
    </row>
    <row r="2329" spans="1:25" x14ac:dyDescent="0.25">
      <c r="A2329" s="75" t="str">
        <f t="shared" si="83"/>
        <v>Terreno + Construcción PFAE No_Premier Pago_Fijo_Puntual 20</v>
      </c>
      <c r="B2329" s="75" t="str">
        <f t="shared" si="82"/>
        <v>Terreno + Construcción PFAE No_Premier Pago_Fijo_Puntual 20 0.103</v>
      </c>
      <c r="C2329" s="75" t="s">
        <v>151</v>
      </c>
      <c r="D2329" s="75" t="s">
        <v>168</v>
      </c>
      <c r="E2329" s="75" t="s">
        <v>179</v>
      </c>
      <c r="F2329" s="75"/>
      <c r="G2329" s="75"/>
      <c r="H2329" s="75"/>
      <c r="I2329" s="75" t="s">
        <v>171</v>
      </c>
      <c r="J2329" s="76">
        <v>20</v>
      </c>
      <c r="K2329" s="516" t="s">
        <v>386</v>
      </c>
      <c r="L2329" s="517">
        <v>10.16</v>
      </c>
      <c r="M2329" s="517">
        <v>10.82</v>
      </c>
      <c r="N2329" s="518">
        <v>0.10299999999999999</v>
      </c>
      <c r="O2329" s="518">
        <v>0.1</v>
      </c>
      <c r="P2329" s="518">
        <v>0.112</v>
      </c>
      <c r="Q2329" s="78">
        <v>0.44</v>
      </c>
      <c r="R2329" s="78">
        <v>0.31740000000000002</v>
      </c>
      <c r="S2329" s="69">
        <v>0</v>
      </c>
      <c r="T2329" s="69">
        <v>0</v>
      </c>
      <c r="U2329" s="518">
        <v>0.7</v>
      </c>
      <c r="V2329" s="76">
        <v>0</v>
      </c>
      <c r="W2329" s="76">
        <v>0</v>
      </c>
      <c r="X2329" s="76"/>
      <c r="Y2329" s="516" t="s">
        <v>470</v>
      </c>
    </row>
    <row r="2330" spans="1:25" x14ac:dyDescent="0.25">
      <c r="A2330" s="75" t="str">
        <f t="shared" si="83"/>
        <v>Terreno + Construcción PFAE No_Premier Pago_Fijo_Puntual 15</v>
      </c>
      <c r="B2330" s="75" t="str">
        <f t="shared" si="82"/>
        <v>Terreno + Construcción PFAE No_Premier Pago_Fijo_Puntual 15 0.0965</v>
      </c>
      <c r="C2330" s="75" t="s">
        <v>151</v>
      </c>
      <c r="D2330" s="75" t="s">
        <v>168</v>
      </c>
      <c r="E2330" s="75" t="s">
        <v>179</v>
      </c>
      <c r="F2330" s="75"/>
      <c r="G2330" s="75"/>
      <c r="H2330" s="75"/>
      <c r="I2330" s="75" t="s">
        <v>171</v>
      </c>
      <c r="J2330" s="76">
        <v>15</v>
      </c>
      <c r="K2330" s="516" t="s">
        <v>385</v>
      </c>
      <c r="L2330" s="517">
        <v>10.73</v>
      </c>
      <c r="M2330" s="517">
        <v>11.39</v>
      </c>
      <c r="N2330" s="518">
        <v>9.6500000000000002E-2</v>
      </c>
      <c r="O2330" s="518">
        <v>9.1999999999999998E-2</v>
      </c>
      <c r="P2330" s="518">
        <v>0.10249999999999999</v>
      </c>
      <c r="Q2330" s="78">
        <v>0.44</v>
      </c>
      <c r="R2330" s="78">
        <v>0.31740000000000002</v>
      </c>
      <c r="S2330" s="69">
        <v>0</v>
      </c>
      <c r="T2330" s="69">
        <v>0</v>
      </c>
      <c r="U2330" s="518">
        <v>0.7</v>
      </c>
      <c r="V2330" s="76">
        <v>0</v>
      </c>
      <c r="W2330" s="76">
        <v>0</v>
      </c>
      <c r="X2330" s="76"/>
      <c r="Y2330" s="516" t="s">
        <v>470</v>
      </c>
    </row>
    <row r="2331" spans="1:25" x14ac:dyDescent="0.25">
      <c r="A2331" s="75" t="str">
        <f t="shared" si="83"/>
        <v>Terreno + Construcción PFAE No_Premier Pago_Fijo_Puntual 15</v>
      </c>
      <c r="B2331" s="75" t="str">
        <f t="shared" si="82"/>
        <v>Terreno + Construcción PFAE No_Premier Pago_Fijo_Puntual 15 0.103</v>
      </c>
      <c r="C2331" s="75" t="s">
        <v>151</v>
      </c>
      <c r="D2331" s="75" t="s">
        <v>168</v>
      </c>
      <c r="E2331" s="75" t="s">
        <v>179</v>
      </c>
      <c r="F2331" s="75"/>
      <c r="G2331" s="75"/>
      <c r="H2331" s="75"/>
      <c r="I2331" s="75" t="s">
        <v>171</v>
      </c>
      <c r="J2331" s="76">
        <v>15</v>
      </c>
      <c r="K2331" s="516" t="s">
        <v>386</v>
      </c>
      <c r="L2331" s="517">
        <v>11.18</v>
      </c>
      <c r="M2331" s="517">
        <v>11.84</v>
      </c>
      <c r="N2331" s="518">
        <v>0.10299999999999999</v>
      </c>
      <c r="O2331" s="518">
        <v>0.1</v>
      </c>
      <c r="P2331" s="518">
        <v>0.112</v>
      </c>
      <c r="Q2331" s="78">
        <v>0.44</v>
      </c>
      <c r="R2331" s="78">
        <v>0.31740000000000002</v>
      </c>
      <c r="S2331" s="69">
        <v>0</v>
      </c>
      <c r="T2331" s="69">
        <v>0</v>
      </c>
      <c r="U2331" s="518">
        <v>0.7</v>
      </c>
      <c r="V2331" s="76">
        <v>0</v>
      </c>
      <c r="W2331" s="76">
        <v>0</v>
      </c>
      <c r="X2331" s="76"/>
      <c r="Y2331" s="516" t="s">
        <v>470</v>
      </c>
    </row>
    <row r="2332" spans="1:25" x14ac:dyDescent="0.25">
      <c r="A2332" s="75" t="str">
        <f t="shared" si="83"/>
        <v>Terreno + Construcción PFAE No_Premier Pago_Fijo_Puntual 10</v>
      </c>
      <c r="B2332" s="75" t="str">
        <f t="shared" si="82"/>
        <v>Terreno + Construcción PFAE No_Premier Pago_Fijo_Puntual 10 0.0965</v>
      </c>
      <c r="C2332" s="75" t="s">
        <v>151</v>
      </c>
      <c r="D2332" s="75" t="s">
        <v>168</v>
      </c>
      <c r="E2332" s="75" t="s">
        <v>179</v>
      </c>
      <c r="F2332" s="75"/>
      <c r="G2332" s="75"/>
      <c r="H2332" s="75"/>
      <c r="I2332" s="75" t="s">
        <v>171</v>
      </c>
      <c r="J2332" s="76">
        <v>10</v>
      </c>
      <c r="K2332" s="516" t="s">
        <v>385</v>
      </c>
      <c r="L2332" s="517">
        <v>13.54</v>
      </c>
      <c r="M2332" s="517">
        <v>14.2</v>
      </c>
      <c r="N2332" s="518">
        <v>9.6500000000000002E-2</v>
      </c>
      <c r="O2332" s="518">
        <v>9.1999999999999998E-2</v>
      </c>
      <c r="P2332" s="518">
        <v>0.10249999999999999</v>
      </c>
      <c r="Q2332" s="78">
        <v>0.44</v>
      </c>
      <c r="R2332" s="78">
        <v>0.31740000000000002</v>
      </c>
      <c r="S2332" s="69">
        <v>0</v>
      </c>
      <c r="T2332" s="69">
        <v>0</v>
      </c>
      <c r="U2332" s="518">
        <v>0.7</v>
      </c>
      <c r="V2332" s="76">
        <v>0</v>
      </c>
      <c r="W2332" s="76">
        <v>0</v>
      </c>
      <c r="X2332" s="76"/>
      <c r="Y2332" s="516" t="s">
        <v>470</v>
      </c>
    </row>
    <row r="2333" spans="1:25" x14ac:dyDescent="0.25">
      <c r="A2333" s="75" t="str">
        <f t="shared" si="83"/>
        <v>Terreno + Construcción PFAE No_Premier Pago_Fijo_Puntual 10</v>
      </c>
      <c r="B2333" s="75" t="str">
        <f t="shared" si="82"/>
        <v>Terreno + Construcción PFAE No_Premier Pago_Fijo_Puntual 10 0.103</v>
      </c>
      <c r="C2333" s="75" t="s">
        <v>151</v>
      </c>
      <c r="D2333" s="75" t="s">
        <v>168</v>
      </c>
      <c r="E2333" s="75" t="s">
        <v>179</v>
      </c>
      <c r="F2333" s="75"/>
      <c r="G2333" s="75"/>
      <c r="H2333" s="75"/>
      <c r="I2333" s="75" t="s">
        <v>171</v>
      </c>
      <c r="J2333" s="76">
        <v>10</v>
      </c>
      <c r="K2333" s="516" t="s">
        <v>386</v>
      </c>
      <c r="L2333" s="517">
        <v>13.54</v>
      </c>
      <c r="M2333" s="517">
        <v>14.2</v>
      </c>
      <c r="N2333" s="518">
        <v>0.10299999999999999</v>
      </c>
      <c r="O2333" s="518">
        <v>0.1</v>
      </c>
      <c r="P2333" s="518">
        <v>0.112</v>
      </c>
      <c r="Q2333" s="78">
        <v>0.44</v>
      </c>
      <c r="R2333" s="78">
        <v>0.31740000000000002</v>
      </c>
      <c r="S2333" s="69">
        <v>0</v>
      </c>
      <c r="T2333" s="69">
        <v>0</v>
      </c>
      <c r="U2333" s="518">
        <v>0.7</v>
      </c>
      <c r="V2333" s="76">
        <v>0</v>
      </c>
      <c r="W2333" s="76">
        <v>0</v>
      </c>
      <c r="X2333" s="76"/>
      <c r="Y2333" s="516" t="s">
        <v>470</v>
      </c>
    </row>
    <row r="2334" spans="1:25" x14ac:dyDescent="0.25">
      <c r="A2334" s="75" t="str">
        <f t="shared" si="83"/>
        <v>Terreno + Construcción PFAE No_Premier Pago_Fijo_Puntual 5</v>
      </c>
      <c r="B2334" s="75" t="str">
        <f t="shared" si="82"/>
        <v>Terreno + Construcción PFAE No_Premier Pago_Fijo_Puntual 5 0.0965</v>
      </c>
      <c r="C2334" s="75" t="s">
        <v>151</v>
      </c>
      <c r="D2334" s="75" t="s">
        <v>168</v>
      </c>
      <c r="E2334" s="75" t="s">
        <v>179</v>
      </c>
      <c r="F2334" s="75"/>
      <c r="G2334" s="75"/>
      <c r="H2334" s="75"/>
      <c r="I2334" s="75" t="s">
        <v>171</v>
      </c>
      <c r="J2334" s="76">
        <v>5</v>
      </c>
      <c r="K2334" s="516" t="s">
        <v>385</v>
      </c>
      <c r="L2334" s="517">
        <v>21.12</v>
      </c>
      <c r="M2334" s="517">
        <v>21.78</v>
      </c>
      <c r="N2334" s="518">
        <v>9.6500000000000002E-2</v>
      </c>
      <c r="O2334" s="518">
        <v>9.1999999999999998E-2</v>
      </c>
      <c r="P2334" s="518">
        <v>0.10249999999999999</v>
      </c>
      <c r="Q2334" s="78">
        <v>0.44</v>
      </c>
      <c r="R2334" s="78">
        <v>0.31740000000000002</v>
      </c>
      <c r="S2334" s="69">
        <v>0</v>
      </c>
      <c r="T2334" s="69">
        <v>0</v>
      </c>
      <c r="U2334" s="518">
        <v>0.7</v>
      </c>
      <c r="V2334" s="76">
        <v>0</v>
      </c>
      <c r="W2334" s="76">
        <v>0</v>
      </c>
      <c r="X2334" s="76"/>
      <c r="Y2334" s="516" t="s">
        <v>470</v>
      </c>
    </row>
    <row r="2335" spans="1:25" x14ac:dyDescent="0.25">
      <c r="A2335" s="75" t="str">
        <f t="shared" si="83"/>
        <v>Terreno + Construcción PFAE No_Premier Pago_Fijo_Puntual 5</v>
      </c>
      <c r="B2335" s="75" t="str">
        <f t="shared" si="82"/>
        <v>Terreno + Construcción PFAE No_Premier Pago_Fijo_Puntual 5 0.103</v>
      </c>
      <c r="C2335" s="75" t="s">
        <v>151</v>
      </c>
      <c r="D2335" s="75" t="s">
        <v>168</v>
      </c>
      <c r="E2335" s="75" t="s">
        <v>179</v>
      </c>
      <c r="F2335" s="75"/>
      <c r="G2335" s="75"/>
      <c r="H2335" s="75"/>
      <c r="I2335" s="75" t="s">
        <v>171</v>
      </c>
      <c r="J2335" s="76">
        <v>5</v>
      </c>
      <c r="K2335" s="516" t="s">
        <v>386</v>
      </c>
      <c r="L2335" s="517">
        <v>21.44</v>
      </c>
      <c r="M2335" s="517">
        <v>22.1</v>
      </c>
      <c r="N2335" s="518">
        <v>0.10299999999999999</v>
      </c>
      <c r="O2335" s="518">
        <v>0.1</v>
      </c>
      <c r="P2335" s="518">
        <v>0.112</v>
      </c>
      <c r="Q2335" s="78">
        <v>0.44</v>
      </c>
      <c r="R2335" s="78">
        <v>0.31740000000000002</v>
      </c>
      <c r="S2335" s="69">
        <v>0</v>
      </c>
      <c r="T2335" s="69">
        <v>0</v>
      </c>
      <c r="U2335" s="518">
        <v>0.7</v>
      </c>
      <c r="V2335" s="76">
        <v>0</v>
      </c>
      <c r="W2335" s="76">
        <v>0</v>
      </c>
      <c r="X2335" s="76"/>
      <c r="Y2335" s="516" t="s">
        <v>470</v>
      </c>
    </row>
    <row r="2336" spans="1:25" x14ac:dyDescent="0.25">
      <c r="A2336" s="75" t="str">
        <f t="shared" si="83"/>
        <v>Terreno + Construcción PFAE Premier Pago_Fijo_Puntual Si 20</v>
      </c>
      <c r="B2336" s="75" t="str">
        <f t="shared" si="82"/>
        <v>Terreno + Construcción PFAE Premier Pago_Fijo_Puntual Si 20 0.103</v>
      </c>
      <c r="C2336" s="75" t="s">
        <v>151</v>
      </c>
      <c r="D2336" s="75" t="s">
        <v>168</v>
      </c>
      <c r="E2336" s="75" t="s">
        <v>143</v>
      </c>
      <c r="F2336" s="75"/>
      <c r="G2336" s="75"/>
      <c r="H2336" s="75"/>
      <c r="I2336" s="75" t="s">
        <v>171</v>
      </c>
      <c r="J2336" s="76">
        <v>20</v>
      </c>
      <c r="K2336" s="519" t="s">
        <v>387</v>
      </c>
      <c r="L2336" s="520">
        <v>10.16</v>
      </c>
      <c r="M2336" s="520">
        <v>10.82</v>
      </c>
      <c r="N2336" s="507">
        <v>0.10299999999999999</v>
      </c>
      <c r="O2336" s="507">
        <v>0.1</v>
      </c>
      <c r="P2336" s="507">
        <v>0.112</v>
      </c>
      <c r="Q2336" s="78">
        <v>0.44</v>
      </c>
      <c r="R2336" s="78">
        <v>0.31740000000000002</v>
      </c>
      <c r="S2336" s="69">
        <v>0</v>
      </c>
      <c r="T2336" s="69">
        <v>0</v>
      </c>
      <c r="U2336" s="507">
        <v>0.75</v>
      </c>
      <c r="V2336" s="76">
        <v>0</v>
      </c>
      <c r="W2336" s="76">
        <v>0</v>
      </c>
      <c r="X2336" s="76" t="s">
        <v>147</v>
      </c>
      <c r="Y2336" s="519" t="s">
        <v>469</v>
      </c>
    </row>
    <row r="2337" spans="1:25" x14ac:dyDescent="0.25">
      <c r="A2337" s="75" t="str">
        <f t="shared" si="83"/>
        <v>Terreno + Construcción PFAE Premier Pago_Fijo_Puntual Si 15</v>
      </c>
      <c r="B2337" s="75" t="str">
        <f t="shared" si="82"/>
        <v>Terreno + Construcción PFAE Premier Pago_Fijo_Puntual Si 15 0.103</v>
      </c>
      <c r="C2337" s="75" t="s">
        <v>151</v>
      </c>
      <c r="D2337" s="75" t="s">
        <v>168</v>
      </c>
      <c r="E2337" s="75" t="s">
        <v>143</v>
      </c>
      <c r="F2337" s="75"/>
      <c r="G2337" s="75"/>
      <c r="H2337" s="75"/>
      <c r="I2337" s="75" t="s">
        <v>171</v>
      </c>
      <c r="J2337" s="76">
        <v>15</v>
      </c>
      <c r="K2337" s="519" t="s">
        <v>387</v>
      </c>
      <c r="L2337" s="520">
        <v>11.18</v>
      </c>
      <c r="M2337" s="520">
        <v>11.84</v>
      </c>
      <c r="N2337" s="507">
        <v>0.10299999999999999</v>
      </c>
      <c r="O2337" s="507">
        <v>0.1</v>
      </c>
      <c r="P2337" s="507">
        <v>0.112</v>
      </c>
      <c r="Q2337" s="78">
        <v>0.44</v>
      </c>
      <c r="R2337" s="78">
        <v>0.31740000000000002</v>
      </c>
      <c r="S2337" s="69">
        <v>0</v>
      </c>
      <c r="T2337" s="69">
        <v>0</v>
      </c>
      <c r="U2337" s="507">
        <v>0.75</v>
      </c>
      <c r="V2337" s="76">
        <v>0</v>
      </c>
      <c r="W2337" s="76">
        <v>0</v>
      </c>
      <c r="X2337" s="76" t="s">
        <v>147</v>
      </c>
      <c r="Y2337" s="519" t="s">
        <v>469</v>
      </c>
    </row>
    <row r="2338" spans="1:25" x14ac:dyDescent="0.25">
      <c r="A2338" s="75" t="str">
        <f t="shared" si="83"/>
        <v>Terreno + Construcción PFAE Premier Pago_Fijo_Puntual Si 10</v>
      </c>
      <c r="B2338" s="75" t="str">
        <f t="shared" si="82"/>
        <v>Terreno + Construcción PFAE Premier Pago_Fijo_Puntual Si 10 0.103</v>
      </c>
      <c r="C2338" s="75" t="s">
        <v>151</v>
      </c>
      <c r="D2338" s="75" t="s">
        <v>168</v>
      </c>
      <c r="E2338" s="75" t="s">
        <v>143</v>
      </c>
      <c r="F2338" s="75"/>
      <c r="G2338" s="75"/>
      <c r="H2338" s="75"/>
      <c r="I2338" s="75" t="s">
        <v>171</v>
      </c>
      <c r="J2338" s="76">
        <v>10</v>
      </c>
      <c r="K2338" s="519" t="s">
        <v>387</v>
      </c>
      <c r="L2338" s="520">
        <v>13.54</v>
      </c>
      <c r="M2338" s="520">
        <v>14.2</v>
      </c>
      <c r="N2338" s="507">
        <v>0.10299999999999999</v>
      </c>
      <c r="O2338" s="507">
        <v>0.1</v>
      </c>
      <c r="P2338" s="507">
        <v>0.112</v>
      </c>
      <c r="Q2338" s="78">
        <v>0.44</v>
      </c>
      <c r="R2338" s="78">
        <v>0.31740000000000002</v>
      </c>
      <c r="S2338" s="69">
        <v>0</v>
      </c>
      <c r="T2338" s="69">
        <v>0</v>
      </c>
      <c r="U2338" s="507">
        <v>0.75</v>
      </c>
      <c r="V2338" s="76">
        <v>0</v>
      </c>
      <c r="W2338" s="76">
        <v>0</v>
      </c>
      <c r="X2338" s="76" t="s">
        <v>147</v>
      </c>
      <c r="Y2338" s="519" t="s">
        <v>469</v>
      </c>
    </row>
    <row r="2339" spans="1:25" x14ac:dyDescent="0.25">
      <c r="A2339" s="75" t="str">
        <f t="shared" si="83"/>
        <v>Terreno + Construcción PFAE Premier Pago_Fijo_Puntual Si 5</v>
      </c>
      <c r="B2339" s="75" t="str">
        <f t="shared" si="82"/>
        <v>Terreno + Construcción PFAE Premier Pago_Fijo_Puntual Si 5 0.103</v>
      </c>
      <c r="C2339" s="75" t="s">
        <v>151</v>
      </c>
      <c r="D2339" s="75" t="s">
        <v>168</v>
      </c>
      <c r="E2339" s="75" t="s">
        <v>143</v>
      </c>
      <c r="F2339" s="75"/>
      <c r="G2339" s="75"/>
      <c r="H2339" s="75"/>
      <c r="I2339" s="75" t="s">
        <v>171</v>
      </c>
      <c r="J2339" s="76">
        <v>5</v>
      </c>
      <c r="K2339" s="519" t="s">
        <v>387</v>
      </c>
      <c r="L2339" s="520">
        <v>21.44</v>
      </c>
      <c r="M2339" s="520">
        <v>22.1</v>
      </c>
      <c r="N2339" s="507">
        <v>0.10299999999999999</v>
      </c>
      <c r="O2339" s="507">
        <v>0.1</v>
      </c>
      <c r="P2339" s="507">
        <v>0.112</v>
      </c>
      <c r="Q2339" s="78">
        <v>0.44</v>
      </c>
      <c r="R2339" s="78">
        <v>0.31740000000000002</v>
      </c>
      <c r="S2339" s="69">
        <v>0</v>
      </c>
      <c r="T2339" s="69">
        <v>0</v>
      </c>
      <c r="U2339" s="507">
        <v>0.75</v>
      </c>
      <c r="V2339" s="76">
        <v>0</v>
      </c>
      <c r="W2339" s="76">
        <v>0</v>
      </c>
      <c r="X2339" s="76" t="s">
        <v>147</v>
      </c>
      <c r="Y2339" s="519" t="s">
        <v>469</v>
      </c>
    </row>
    <row r="2340" spans="1:25" x14ac:dyDescent="0.25">
      <c r="A2340" s="75" t="str">
        <f t="shared" si="83"/>
        <v>Terreno + Construcción PFAE Premier Pago_Fijo_Puntual 20</v>
      </c>
      <c r="B2340" s="75" t="str">
        <f t="shared" si="82"/>
        <v>Terreno + Construcción PFAE Premier Pago_Fijo_Puntual 20 0.0965</v>
      </c>
      <c r="C2340" s="75" t="s">
        <v>151</v>
      </c>
      <c r="D2340" s="75" t="s">
        <v>168</v>
      </c>
      <c r="E2340" s="75" t="s">
        <v>143</v>
      </c>
      <c r="F2340" s="75"/>
      <c r="G2340" s="75"/>
      <c r="H2340" s="75"/>
      <c r="I2340" s="75" t="s">
        <v>171</v>
      </c>
      <c r="J2340" s="76">
        <v>20</v>
      </c>
      <c r="K2340" s="516" t="s">
        <v>385</v>
      </c>
      <c r="L2340" s="517">
        <v>9.66</v>
      </c>
      <c r="M2340" s="517">
        <v>10.32</v>
      </c>
      <c r="N2340" s="518">
        <v>9.6500000000000002E-2</v>
      </c>
      <c r="O2340" s="518">
        <v>9.1999999999999998E-2</v>
      </c>
      <c r="P2340" s="518">
        <v>0.10249999999999999</v>
      </c>
      <c r="Q2340" s="78">
        <v>0.44</v>
      </c>
      <c r="R2340" s="78">
        <v>0.31740000000000002</v>
      </c>
      <c r="S2340" s="69">
        <v>0</v>
      </c>
      <c r="T2340" s="69">
        <v>0</v>
      </c>
      <c r="U2340" s="518">
        <v>0.7</v>
      </c>
      <c r="V2340" s="76">
        <v>0</v>
      </c>
      <c r="W2340" s="76">
        <v>0</v>
      </c>
      <c r="X2340" s="76"/>
      <c r="Y2340" s="516" t="s">
        <v>470</v>
      </c>
    </row>
    <row r="2341" spans="1:25" x14ac:dyDescent="0.25">
      <c r="A2341" s="75" t="str">
        <f t="shared" si="83"/>
        <v>Terreno + Construcción PFAE Premier Pago_Fijo_Puntual 20</v>
      </c>
      <c r="B2341" s="75" t="str">
        <f t="shared" si="82"/>
        <v>Terreno + Construcción PFAE Premier Pago_Fijo_Puntual 20 0.103</v>
      </c>
      <c r="C2341" s="75" t="s">
        <v>151</v>
      </c>
      <c r="D2341" s="75" t="s">
        <v>168</v>
      </c>
      <c r="E2341" s="75" t="s">
        <v>143</v>
      </c>
      <c r="F2341" s="75"/>
      <c r="G2341" s="75"/>
      <c r="H2341" s="75"/>
      <c r="I2341" s="75" t="s">
        <v>171</v>
      </c>
      <c r="J2341" s="76">
        <v>20</v>
      </c>
      <c r="K2341" s="516" t="s">
        <v>386</v>
      </c>
      <c r="L2341" s="517">
        <v>10.16</v>
      </c>
      <c r="M2341" s="517">
        <v>10.82</v>
      </c>
      <c r="N2341" s="518">
        <v>0.10299999999999999</v>
      </c>
      <c r="O2341" s="518">
        <v>0.1</v>
      </c>
      <c r="P2341" s="518">
        <v>0.112</v>
      </c>
      <c r="Q2341" s="78">
        <v>0.44</v>
      </c>
      <c r="R2341" s="78">
        <v>0.31740000000000002</v>
      </c>
      <c r="S2341" s="69">
        <v>0</v>
      </c>
      <c r="T2341" s="69">
        <v>0</v>
      </c>
      <c r="U2341" s="518">
        <v>0.7</v>
      </c>
      <c r="V2341" s="76">
        <v>0</v>
      </c>
      <c r="W2341" s="76">
        <v>0</v>
      </c>
      <c r="X2341" s="76"/>
      <c r="Y2341" s="516" t="s">
        <v>470</v>
      </c>
    </row>
    <row r="2342" spans="1:25" x14ac:dyDescent="0.25">
      <c r="A2342" s="75" t="str">
        <f t="shared" si="83"/>
        <v>Terreno + Construcción PFAE Premier Pago_Fijo_Puntual 15</v>
      </c>
      <c r="B2342" s="75" t="str">
        <f t="shared" si="82"/>
        <v>Terreno + Construcción PFAE Premier Pago_Fijo_Puntual 15 0.0965</v>
      </c>
      <c r="C2342" s="75" t="s">
        <v>151</v>
      </c>
      <c r="D2342" s="75" t="s">
        <v>168</v>
      </c>
      <c r="E2342" s="75" t="s">
        <v>143</v>
      </c>
      <c r="F2342" s="75"/>
      <c r="G2342" s="75"/>
      <c r="H2342" s="75"/>
      <c r="I2342" s="75" t="s">
        <v>171</v>
      </c>
      <c r="J2342" s="76">
        <v>15</v>
      </c>
      <c r="K2342" s="516" t="s">
        <v>385</v>
      </c>
      <c r="L2342" s="517">
        <v>10.73</v>
      </c>
      <c r="M2342" s="517">
        <v>11.39</v>
      </c>
      <c r="N2342" s="518">
        <v>9.6500000000000002E-2</v>
      </c>
      <c r="O2342" s="518">
        <v>9.1999999999999998E-2</v>
      </c>
      <c r="P2342" s="518">
        <v>0.10249999999999999</v>
      </c>
      <c r="Q2342" s="78">
        <v>0.44</v>
      </c>
      <c r="R2342" s="78">
        <v>0.31740000000000002</v>
      </c>
      <c r="S2342" s="69">
        <v>0</v>
      </c>
      <c r="T2342" s="69">
        <v>0</v>
      </c>
      <c r="U2342" s="518">
        <v>0.7</v>
      </c>
      <c r="V2342" s="76">
        <v>0</v>
      </c>
      <c r="W2342" s="76">
        <v>0</v>
      </c>
      <c r="X2342" s="76"/>
      <c r="Y2342" s="516" t="s">
        <v>470</v>
      </c>
    </row>
    <row r="2343" spans="1:25" x14ac:dyDescent="0.25">
      <c r="A2343" s="75" t="str">
        <f t="shared" si="83"/>
        <v>Terreno + Construcción PFAE Premier Pago_Fijo_Puntual 15</v>
      </c>
      <c r="B2343" s="75" t="str">
        <f t="shared" si="82"/>
        <v>Terreno + Construcción PFAE Premier Pago_Fijo_Puntual 15 0.103</v>
      </c>
      <c r="C2343" s="75" t="s">
        <v>151</v>
      </c>
      <c r="D2343" s="75" t="s">
        <v>168</v>
      </c>
      <c r="E2343" s="75" t="s">
        <v>143</v>
      </c>
      <c r="F2343" s="75"/>
      <c r="G2343" s="75"/>
      <c r="H2343" s="75"/>
      <c r="I2343" s="75" t="s">
        <v>171</v>
      </c>
      <c r="J2343" s="76">
        <v>15</v>
      </c>
      <c r="K2343" s="516" t="s">
        <v>386</v>
      </c>
      <c r="L2343" s="517">
        <v>11.18</v>
      </c>
      <c r="M2343" s="517">
        <v>11.84</v>
      </c>
      <c r="N2343" s="518">
        <v>0.10299999999999999</v>
      </c>
      <c r="O2343" s="518">
        <v>0.1</v>
      </c>
      <c r="P2343" s="518">
        <v>0.112</v>
      </c>
      <c r="Q2343" s="78">
        <v>0.44</v>
      </c>
      <c r="R2343" s="78">
        <v>0.31740000000000002</v>
      </c>
      <c r="S2343" s="69">
        <v>0</v>
      </c>
      <c r="T2343" s="69">
        <v>0</v>
      </c>
      <c r="U2343" s="518">
        <v>0.7</v>
      </c>
      <c r="V2343" s="76">
        <v>0</v>
      </c>
      <c r="W2343" s="76">
        <v>0</v>
      </c>
      <c r="X2343" s="76"/>
      <c r="Y2343" s="516" t="s">
        <v>470</v>
      </c>
    </row>
    <row r="2344" spans="1:25" x14ac:dyDescent="0.25">
      <c r="A2344" s="75" t="str">
        <f t="shared" si="83"/>
        <v>Terreno + Construcción PFAE Premier Pago_Fijo_Puntual 10</v>
      </c>
      <c r="B2344" s="75" t="str">
        <f t="shared" si="82"/>
        <v>Terreno + Construcción PFAE Premier Pago_Fijo_Puntual 10 0.0965</v>
      </c>
      <c r="C2344" s="75" t="s">
        <v>151</v>
      </c>
      <c r="D2344" s="75" t="s">
        <v>168</v>
      </c>
      <c r="E2344" s="75" t="s">
        <v>143</v>
      </c>
      <c r="F2344" s="75"/>
      <c r="G2344" s="75"/>
      <c r="H2344" s="75"/>
      <c r="I2344" s="75" t="s">
        <v>171</v>
      </c>
      <c r="J2344" s="76">
        <v>10</v>
      </c>
      <c r="K2344" s="516" t="s">
        <v>385</v>
      </c>
      <c r="L2344" s="517">
        <v>13.54</v>
      </c>
      <c r="M2344" s="517">
        <v>14.2</v>
      </c>
      <c r="N2344" s="518">
        <v>9.6500000000000002E-2</v>
      </c>
      <c r="O2344" s="518">
        <v>9.1999999999999998E-2</v>
      </c>
      <c r="P2344" s="518">
        <v>0.10249999999999999</v>
      </c>
      <c r="Q2344" s="78">
        <v>0.44</v>
      </c>
      <c r="R2344" s="78">
        <v>0.31740000000000002</v>
      </c>
      <c r="S2344" s="69">
        <v>0</v>
      </c>
      <c r="T2344" s="69">
        <v>0</v>
      </c>
      <c r="U2344" s="518">
        <v>0.7</v>
      </c>
      <c r="V2344" s="76">
        <v>0</v>
      </c>
      <c r="W2344" s="76">
        <v>0</v>
      </c>
      <c r="X2344" s="76"/>
      <c r="Y2344" s="516" t="s">
        <v>470</v>
      </c>
    </row>
    <row r="2345" spans="1:25" x14ac:dyDescent="0.25">
      <c r="A2345" s="75" t="str">
        <f t="shared" si="83"/>
        <v>Terreno + Construcción PFAE Premier Pago_Fijo_Puntual 10</v>
      </c>
      <c r="B2345" s="75" t="str">
        <f t="shared" si="82"/>
        <v>Terreno + Construcción PFAE Premier Pago_Fijo_Puntual 10 0.103</v>
      </c>
      <c r="C2345" s="75" t="s">
        <v>151</v>
      </c>
      <c r="D2345" s="75" t="s">
        <v>168</v>
      </c>
      <c r="E2345" s="75" t="s">
        <v>143</v>
      </c>
      <c r="F2345" s="75"/>
      <c r="G2345" s="75"/>
      <c r="H2345" s="75"/>
      <c r="I2345" s="75" t="s">
        <v>171</v>
      </c>
      <c r="J2345" s="76">
        <v>10</v>
      </c>
      <c r="K2345" s="516" t="s">
        <v>386</v>
      </c>
      <c r="L2345" s="517">
        <v>13.54</v>
      </c>
      <c r="M2345" s="517">
        <v>14.2</v>
      </c>
      <c r="N2345" s="518">
        <v>0.10299999999999999</v>
      </c>
      <c r="O2345" s="518">
        <v>0.1</v>
      </c>
      <c r="P2345" s="518">
        <v>0.112</v>
      </c>
      <c r="Q2345" s="78">
        <v>0.44</v>
      </c>
      <c r="R2345" s="78">
        <v>0.31740000000000002</v>
      </c>
      <c r="S2345" s="69">
        <v>0</v>
      </c>
      <c r="T2345" s="69">
        <v>0</v>
      </c>
      <c r="U2345" s="518">
        <v>0.7</v>
      </c>
      <c r="V2345" s="76">
        <v>0</v>
      </c>
      <c r="W2345" s="76">
        <v>0</v>
      </c>
      <c r="X2345" s="76"/>
      <c r="Y2345" s="516" t="s">
        <v>470</v>
      </c>
    </row>
    <row r="2346" spans="1:25" x14ac:dyDescent="0.25">
      <c r="A2346" s="75" t="str">
        <f t="shared" si="83"/>
        <v>Terreno + Construcción PFAE Premier Pago_Fijo_Puntual 5</v>
      </c>
      <c r="B2346" s="75" t="str">
        <f t="shared" si="82"/>
        <v>Terreno + Construcción PFAE Premier Pago_Fijo_Puntual 5 0.0965</v>
      </c>
      <c r="C2346" s="75" t="s">
        <v>151</v>
      </c>
      <c r="D2346" s="75" t="s">
        <v>168</v>
      </c>
      <c r="E2346" s="75" t="s">
        <v>143</v>
      </c>
      <c r="F2346" s="75"/>
      <c r="G2346" s="75"/>
      <c r="H2346" s="75"/>
      <c r="I2346" s="75" t="s">
        <v>171</v>
      </c>
      <c r="J2346" s="76">
        <v>5</v>
      </c>
      <c r="K2346" s="516" t="s">
        <v>385</v>
      </c>
      <c r="L2346" s="517">
        <v>21.12</v>
      </c>
      <c r="M2346" s="517">
        <v>21.78</v>
      </c>
      <c r="N2346" s="518">
        <v>9.6500000000000002E-2</v>
      </c>
      <c r="O2346" s="518">
        <v>9.1999999999999998E-2</v>
      </c>
      <c r="P2346" s="518">
        <v>0.10249999999999999</v>
      </c>
      <c r="Q2346" s="78">
        <v>0.44</v>
      </c>
      <c r="R2346" s="78">
        <v>0.31740000000000002</v>
      </c>
      <c r="S2346" s="69">
        <v>0</v>
      </c>
      <c r="T2346" s="69">
        <v>0</v>
      </c>
      <c r="U2346" s="518">
        <v>0.7</v>
      </c>
      <c r="V2346" s="76">
        <v>0</v>
      </c>
      <c r="W2346" s="76">
        <v>0</v>
      </c>
      <c r="X2346" s="76"/>
      <c r="Y2346" s="516" t="s">
        <v>470</v>
      </c>
    </row>
    <row r="2347" spans="1:25" x14ac:dyDescent="0.25">
      <c r="A2347" s="75" t="str">
        <f t="shared" si="83"/>
        <v>Terreno + Construcción PFAE Premier Pago_Fijo_Puntual 5</v>
      </c>
      <c r="B2347" s="75" t="str">
        <f t="shared" si="82"/>
        <v>Terreno + Construcción PFAE Premier Pago_Fijo_Puntual 5 0.103</v>
      </c>
      <c r="C2347" s="75" t="s">
        <v>151</v>
      </c>
      <c r="D2347" s="75" t="s">
        <v>168</v>
      </c>
      <c r="E2347" s="75" t="s">
        <v>143</v>
      </c>
      <c r="F2347" s="75"/>
      <c r="G2347" s="75"/>
      <c r="H2347" s="75"/>
      <c r="I2347" s="75" t="s">
        <v>171</v>
      </c>
      <c r="J2347" s="76">
        <v>5</v>
      </c>
      <c r="K2347" s="516" t="s">
        <v>386</v>
      </c>
      <c r="L2347" s="517">
        <v>21.44</v>
      </c>
      <c r="M2347" s="517">
        <v>22.1</v>
      </c>
      <c r="N2347" s="518">
        <v>0.10299999999999999</v>
      </c>
      <c r="O2347" s="518">
        <v>0.1</v>
      </c>
      <c r="P2347" s="518">
        <v>0.112</v>
      </c>
      <c r="Q2347" s="78">
        <v>0.44</v>
      </c>
      <c r="R2347" s="78">
        <v>0.31740000000000002</v>
      </c>
      <c r="S2347" s="69">
        <v>0</v>
      </c>
      <c r="T2347" s="69">
        <v>0</v>
      </c>
      <c r="U2347" s="518">
        <v>0.7</v>
      </c>
      <c r="V2347" s="76">
        <v>0</v>
      </c>
      <c r="W2347" s="76">
        <v>0</v>
      </c>
      <c r="X2347" s="76"/>
      <c r="Y2347" s="516" t="s">
        <v>470</v>
      </c>
    </row>
    <row r="2348" spans="1:25" x14ac:dyDescent="0.25">
      <c r="A2348" s="75" t="str">
        <f t="shared" si="83"/>
        <v>Terreno + Construcción PROF No_Premier Pago_Fijo_Puntual Si 20</v>
      </c>
      <c r="B2348" s="75" t="str">
        <f t="shared" si="82"/>
        <v>Terreno + Construcción PROF No_Premier Pago_Fijo_Puntual Si 20 0.103</v>
      </c>
      <c r="C2348" s="75" t="s">
        <v>151</v>
      </c>
      <c r="D2348" s="75" t="s">
        <v>169</v>
      </c>
      <c r="E2348" s="75" t="s">
        <v>179</v>
      </c>
      <c r="F2348" s="75"/>
      <c r="G2348" s="75"/>
      <c r="H2348" s="75"/>
      <c r="I2348" s="75" t="s">
        <v>171</v>
      </c>
      <c r="J2348" s="76">
        <v>20</v>
      </c>
      <c r="K2348" s="519" t="s">
        <v>387</v>
      </c>
      <c r="L2348" s="520">
        <v>10.16</v>
      </c>
      <c r="M2348" s="520">
        <v>10.82</v>
      </c>
      <c r="N2348" s="507">
        <v>0.10299999999999999</v>
      </c>
      <c r="O2348" s="507">
        <v>0.1</v>
      </c>
      <c r="P2348" s="507">
        <v>0.112</v>
      </c>
      <c r="Q2348" s="78">
        <v>0.44</v>
      </c>
      <c r="R2348" s="78">
        <v>0.31740000000000002</v>
      </c>
      <c r="S2348" s="69">
        <v>0</v>
      </c>
      <c r="T2348" s="69">
        <v>0</v>
      </c>
      <c r="U2348" s="507">
        <v>0.75</v>
      </c>
      <c r="V2348" s="76">
        <v>0</v>
      </c>
      <c r="W2348" s="76">
        <v>0</v>
      </c>
      <c r="X2348" s="76" t="s">
        <v>147</v>
      </c>
      <c r="Y2348" s="519" t="s">
        <v>469</v>
      </c>
    </row>
    <row r="2349" spans="1:25" x14ac:dyDescent="0.25">
      <c r="A2349" s="75" t="str">
        <f t="shared" si="83"/>
        <v>Terreno + Construcción PROF No_Premier Pago_Fijo_Puntual Si 15</v>
      </c>
      <c r="B2349" s="75" t="str">
        <f t="shared" si="82"/>
        <v>Terreno + Construcción PROF No_Premier Pago_Fijo_Puntual Si 15 0.103</v>
      </c>
      <c r="C2349" s="75" t="s">
        <v>151</v>
      </c>
      <c r="D2349" s="75" t="s">
        <v>169</v>
      </c>
      <c r="E2349" s="75" t="s">
        <v>179</v>
      </c>
      <c r="F2349" s="75"/>
      <c r="G2349" s="75"/>
      <c r="H2349" s="75"/>
      <c r="I2349" s="75" t="s">
        <v>171</v>
      </c>
      <c r="J2349" s="76">
        <v>15</v>
      </c>
      <c r="K2349" s="519" t="s">
        <v>387</v>
      </c>
      <c r="L2349" s="520">
        <v>11.18</v>
      </c>
      <c r="M2349" s="520">
        <v>11.84</v>
      </c>
      <c r="N2349" s="507">
        <v>0.10299999999999999</v>
      </c>
      <c r="O2349" s="507">
        <v>0.1</v>
      </c>
      <c r="P2349" s="507">
        <v>0.112</v>
      </c>
      <c r="Q2349" s="78">
        <v>0.44</v>
      </c>
      <c r="R2349" s="78">
        <v>0.31740000000000002</v>
      </c>
      <c r="S2349" s="69">
        <v>0</v>
      </c>
      <c r="T2349" s="69">
        <v>0</v>
      </c>
      <c r="U2349" s="507">
        <v>0.75</v>
      </c>
      <c r="V2349" s="76">
        <v>0</v>
      </c>
      <c r="W2349" s="76">
        <v>0</v>
      </c>
      <c r="X2349" s="76" t="s">
        <v>147</v>
      </c>
      <c r="Y2349" s="519" t="s">
        <v>469</v>
      </c>
    </row>
    <row r="2350" spans="1:25" x14ac:dyDescent="0.25">
      <c r="A2350" s="75" t="str">
        <f t="shared" si="83"/>
        <v>Terreno + Construcción PROF No_Premier Pago_Fijo_Puntual Si 10</v>
      </c>
      <c r="B2350" s="75" t="str">
        <f t="shared" si="82"/>
        <v>Terreno + Construcción PROF No_Premier Pago_Fijo_Puntual Si 10 0.103</v>
      </c>
      <c r="C2350" s="75" t="s">
        <v>151</v>
      </c>
      <c r="D2350" s="75" t="s">
        <v>169</v>
      </c>
      <c r="E2350" s="75" t="s">
        <v>179</v>
      </c>
      <c r="F2350" s="75"/>
      <c r="G2350" s="75"/>
      <c r="H2350" s="75"/>
      <c r="I2350" s="75" t="s">
        <v>171</v>
      </c>
      <c r="J2350" s="76">
        <v>10</v>
      </c>
      <c r="K2350" s="519" t="s">
        <v>387</v>
      </c>
      <c r="L2350" s="520">
        <v>13.54</v>
      </c>
      <c r="M2350" s="520">
        <v>14.2</v>
      </c>
      <c r="N2350" s="507">
        <v>0.10299999999999999</v>
      </c>
      <c r="O2350" s="507">
        <v>0.1</v>
      </c>
      <c r="P2350" s="507">
        <v>0.112</v>
      </c>
      <c r="Q2350" s="78">
        <v>0.44</v>
      </c>
      <c r="R2350" s="78">
        <v>0.31740000000000002</v>
      </c>
      <c r="S2350" s="69">
        <v>0</v>
      </c>
      <c r="T2350" s="69">
        <v>0</v>
      </c>
      <c r="U2350" s="507">
        <v>0.75</v>
      </c>
      <c r="V2350" s="76">
        <v>0</v>
      </c>
      <c r="W2350" s="76">
        <v>0</v>
      </c>
      <c r="X2350" s="76" t="s">
        <v>147</v>
      </c>
      <c r="Y2350" s="519" t="s">
        <v>469</v>
      </c>
    </row>
    <row r="2351" spans="1:25" x14ac:dyDescent="0.25">
      <c r="A2351" s="75" t="str">
        <f t="shared" si="83"/>
        <v>Terreno + Construcción PROF No_Premier Pago_Fijo_Puntual Si 5</v>
      </c>
      <c r="B2351" s="75" t="str">
        <f t="shared" si="82"/>
        <v>Terreno + Construcción PROF No_Premier Pago_Fijo_Puntual Si 5 0.103</v>
      </c>
      <c r="C2351" s="75" t="s">
        <v>151</v>
      </c>
      <c r="D2351" s="75" t="s">
        <v>169</v>
      </c>
      <c r="E2351" s="75" t="s">
        <v>179</v>
      </c>
      <c r="F2351" s="75"/>
      <c r="G2351" s="75"/>
      <c r="H2351" s="75"/>
      <c r="I2351" s="75" t="s">
        <v>171</v>
      </c>
      <c r="J2351" s="76">
        <v>5</v>
      </c>
      <c r="K2351" s="519" t="s">
        <v>387</v>
      </c>
      <c r="L2351" s="520">
        <v>21.44</v>
      </c>
      <c r="M2351" s="520">
        <v>22.1</v>
      </c>
      <c r="N2351" s="507">
        <v>0.10299999999999999</v>
      </c>
      <c r="O2351" s="507">
        <v>0.1</v>
      </c>
      <c r="P2351" s="507">
        <v>0.112</v>
      </c>
      <c r="Q2351" s="78">
        <v>0.44</v>
      </c>
      <c r="R2351" s="78">
        <v>0.31740000000000002</v>
      </c>
      <c r="S2351" s="69">
        <v>0</v>
      </c>
      <c r="T2351" s="69">
        <v>0</v>
      </c>
      <c r="U2351" s="507">
        <v>0.75</v>
      </c>
      <c r="V2351" s="76">
        <v>0</v>
      </c>
      <c r="W2351" s="76">
        <v>0</v>
      </c>
      <c r="X2351" s="76" t="s">
        <v>147</v>
      </c>
      <c r="Y2351" s="519" t="s">
        <v>469</v>
      </c>
    </row>
    <row r="2352" spans="1:25" x14ac:dyDescent="0.25">
      <c r="A2352" s="75" t="str">
        <f t="shared" si="83"/>
        <v>Terreno + Construcción PROF No_Premier Pago_Fijo_Puntual 20</v>
      </c>
      <c r="B2352" s="75" t="str">
        <f t="shared" si="82"/>
        <v>Terreno + Construcción PROF No_Premier Pago_Fijo_Puntual 20 0.0965</v>
      </c>
      <c r="C2352" s="75" t="s">
        <v>151</v>
      </c>
      <c r="D2352" s="75" t="s">
        <v>169</v>
      </c>
      <c r="E2352" s="75" t="s">
        <v>179</v>
      </c>
      <c r="F2352" s="75"/>
      <c r="G2352" s="75"/>
      <c r="H2352" s="75"/>
      <c r="I2352" s="75" t="s">
        <v>171</v>
      </c>
      <c r="J2352" s="76">
        <v>20</v>
      </c>
      <c r="K2352" s="516" t="s">
        <v>385</v>
      </c>
      <c r="L2352" s="517">
        <v>9.66</v>
      </c>
      <c r="M2352" s="517">
        <v>10.32</v>
      </c>
      <c r="N2352" s="518">
        <v>9.6500000000000002E-2</v>
      </c>
      <c r="O2352" s="518">
        <v>9.1999999999999998E-2</v>
      </c>
      <c r="P2352" s="518">
        <v>0.10249999999999999</v>
      </c>
      <c r="Q2352" s="78">
        <v>0.44</v>
      </c>
      <c r="R2352" s="78">
        <v>0.31740000000000002</v>
      </c>
      <c r="S2352" s="69">
        <v>0</v>
      </c>
      <c r="T2352" s="69">
        <v>0</v>
      </c>
      <c r="U2352" s="518">
        <v>0.7</v>
      </c>
      <c r="V2352" s="76">
        <v>0</v>
      </c>
      <c r="W2352" s="76">
        <v>0</v>
      </c>
      <c r="X2352" s="76"/>
      <c r="Y2352" s="516" t="s">
        <v>470</v>
      </c>
    </row>
    <row r="2353" spans="1:25" x14ac:dyDescent="0.25">
      <c r="A2353" s="75" t="str">
        <f t="shared" si="83"/>
        <v>Terreno + Construcción PROF No_Premier Pago_Fijo_Puntual 20</v>
      </c>
      <c r="B2353" s="75" t="str">
        <f t="shared" si="82"/>
        <v>Terreno + Construcción PROF No_Premier Pago_Fijo_Puntual 20 0.103</v>
      </c>
      <c r="C2353" s="75" t="s">
        <v>151</v>
      </c>
      <c r="D2353" s="75" t="s">
        <v>169</v>
      </c>
      <c r="E2353" s="75" t="s">
        <v>179</v>
      </c>
      <c r="F2353" s="75"/>
      <c r="G2353" s="75"/>
      <c r="H2353" s="75"/>
      <c r="I2353" s="75" t="s">
        <v>171</v>
      </c>
      <c r="J2353" s="76">
        <v>20</v>
      </c>
      <c r="K2353" s="516" t="s">
        <v>386</v>
      </c>
      <c r="L2353" s="517">
        <v>10.16</v>
      </c>
      <c r="M2353" s="517">
        <v>10.82</v>
      </c>
      <c r="N2353" s="518">
        <v>0.10299999999999999</v>
      </c>
      <c r="O2353" s="518">
        <v>0.1</v>
      </c>
      <c r="P2353" s="518">
        <v>0.112</v>
      </c>
      <c r="Q2353" s="78">
        <v>0.44</v>
      </c>
      <c r="R2353" s="78">
        <v>0.31740000000000002</v>
      </c>
      <c r="S2353" s="69">
        <v>0</v>
      </c>
      <c r="T2353" s="69">
        <v>0</v>
      </c>
      <c r="U2353" s="518">
        <v>0.7</v>
      </c>
      <c r="V2353" s="76">
        <v>0</v>
      </c>
      <c r="W2353" s="76">
        <v>0</v>
      </c>
      <c r="X2353" s="76"/>
      <c r="Y2353" s="516" t="s">
        <v>470</v>
      </c>
    </row>
    <row r="2354" spans="1:25" x14ac:dyDescent="0.25">
      <c r="A2354" s="75" t="str">
        <f t="shared" si="83"/>
        <v>Terreno + Construcción PROF No_Premier Pago_Fijo_Puntual 15</v>
      </c>
      <c r="B2354" s="75" t="str">
        <f t="shared" si="82"/>
        <v>Terreno + Construcción PROF No_Premier Pago_Fijo_Puntual 15 0.0965</v>
      </c>
      <c r="C2354" s="75" t="s">
        <v>151</v>
      </c>
      <c r="D2354" s="75" t="s">
        <v>169</v>
      </c>
      <c r="E2354" s="75" t="s">
        <v>179</v>
      </c>
      <c r="F2354" s="75"/>
      <c r="G2354" s="75"/>
      <c r="H2354" s="75"/>
      <c r="I2354" s="75" t="s">
        <v>171</v>
      </c>
      <c r="J2354" s="76">
        <v>15</v>
      </c>
      <c r="K2354" s="516" t="s">
        <v>385</v>
      </c>
      <c r="L2354" s="517">
        <v>10.73</v>
      </c>
      <c r="M2354" s="517">
        <v>11.39</v>
      </c>
      <c r="N2354" s="518">
        <v>9.6500000000000002E-2</v>
      </c>
      <c r="O2354" s="518">
        <v>9.1999999999999998E-2</v>
      </c>
      <c r="P2354" s="518">
        <v>0.10249999999999999</v>
      </c>
      <c r="Q2354" s="78">
        <v>0.44</v>
      </c>
      <c r="R2354" s="78">
        <v>0.31740000000000002</v>
      </c>
      <c r="S2354" s="69">
        <v>0</v>
      </c>
      <c r="T2354" s="69">
        <v>0</v>
      </c>
      <c r="U2354" s="518">
        <v>0.7</v>
      </c>
      <c r="V2354" s="76">
        <v>0</v>
      </c>
      <c r="W2354" s="76">
        <v>0</v>
      </c>
      <c r="X2354" s="76"/>
      <c r="Y2354" s="516" t="s">
        <v>470</v>
      </c>
    </row>
    <row r="2355" spans="1:25" x14ac:dyDescent="0.25">
      <c r="A2355" s="75" t="str">
        <f t="shared" si="83"/>
        <v>Terreno + Construcción PROF No_Premier Pago_Fijo_Puntual 15</v>
      </c>
      <c r="B2355" s="75" t="str">
        <f t="shared" si="82"/>
        <v>Terreno + Construcción PROF No_Premier Pago_Fijo_Puntual 15 0.103</v>
      </c>
      <c r="C2355" s="75" t="s">
        <v>151</v>
      </c>
      <c r="D2355" s="75" t="s">
        <v>169</v>
      </c>
      <c r="E2355" s="75" t="s">
        <v>179</v>
      </c>
      <c r="F2355" s="75"/>
      <c r="G2355" s="75"/>
      <c r="H2355" s="75"/>
      <c r="I2355" s="75" t="s">
        <v>171</v>
      </c>
      <c r="J2355" s="76">
        <v>15</v>
      </c>
      <c r="K2355" s="516" t="s">
        <v>386</v>
      </c>
      <c r="L2355" s="517">
        <v>11.18</v>
      </c>
      <c r="M2355" s="517">
        <v>11.84</v>
      </c>
      <c r="N2355" s="518">
        <v>0.10299999999999999</v>
      </c>
      <c r="O2355" s="518">
        <v>0.1</v>
      </c>
      <c r="P2355" s="518">
        <v>0.112</v>
      </c>
      <c r="Q2355" s="78">
        <v>0.44</v>
      </c>
      <c r="R2355" s="78">
        <v>0.31740000000000002</v>
      </c>
      <c r="S2355" s="69">
        <v>0</v>
      </c>
      <c r="T2355" s="69">
        <v>0</v>
      </c>
      <c r="U2355" s="518">
        <v>0.7</v>
      </c>
      <c r="V2355" s="76">
        <v>0</v>
      </c>
      <c r="W2355" s="76">
        <v>0</v>
      </c>
      <c r="X2355" s="76"/>
      <c r="Y2355" s="516" t="s">
        <v>470</v>
      </c>
    </row>
    <row r="2356" spans="1:25" x14ac:dyDescent="0.25">
      <c r="A2356" s="75" t="str">
        <f t="shared" si="83"/>
        <v>Terreno + Construcción PROF No_Premier Pago_Fijo_Puntual 10</v>
      </c>
      <c r="B2356" s="75" t="str">
        <f t="shared" si="82"/>
        <v>Terreno + Construcción PROF No_Premier Pago_Fijo_Puntual 10 0.0965</v>
      </c>
      <c r="C2356" s="75" t="s">
        <v>151</v>
      </c>
      <c r="D2356" s="75" t="s">
        <v>169</v>
      </c>
      <c r="E2356" s="75" t="s">
        <v>179</v>
      </c>
      <c r="F2356" s="75"/>
      <c r="G2356" s="75"/>
      <c r="H2356" s="75"/>
      <c r="I2356" s="75" t="s">
        <v>171</v>
      </c>
      <c r="J2356" s="76">
        <v>10</v>
      </c>
      <c r="K2356" s="516" t="s">
        <v>385</v>
      </c>
      <c r="L2356" s="517">
        <v>13.54</v>
      </c>
      <c r="M2356" s="517">
        <v>14.2</v>
      </c>
      <c r="N2356" s="518">
        <v>9.6500000000000002E-2</v>
      </c>
      <c r="O2356" s="518">
        <v>9.1999999999999998E-2</v>
      </c>
      <c r="P2356" s="518">
        <v>0.10249999999999999</v>
      </c>
      <c r="Q2356" s="78">
        <v>0.44</v>
      </c>
      <c r="R2356" s="78">
        <v>0.31740000000000002</v>
      </c>
      <c r="S2356" s="69">
        <v>0</v>
      </c>
      <c r="T2356" s="69">
        <v>0</v>
      </c>
      <c r="U2356" s="518">
        <v>0.7</v>
      </c>
      <c r="V2356" s="76">
        <v>0</v>
      </c>
      <c r="W2356" s="76">
        <v>0</v>
      </c>
      <c r="X2356" s="76"/>
      <c r="Y2356" s="516" t="s">
        <v>470</v>
      </c>
    </row>
    <row r="2357" spans="1:25" x14ac:dyDescent="0.25">
      <c r="A2357" s="75" t="str">
        <f t="shared" si="83"/>
        <v>Terreno + Construcción PROF No_Premier Pago_Fijo_Puntual 10</v>
      </c>
      <c r="B2357" s="75" t="str">
        <f t="shared" si="82"/>
        <v>Terreno + Construcción PROF No_Premier Pago_Fijo_Puntual 10 0.103</v>
      </c>
      <c r="C2357" s="75" t="s">
        <v>151</v>
      </c>
      <c r="D2357" s="75" t="s">
        <v>169</v>
      </c>
      <c r="E2357" s="75" t="s">
        <v>179</v>
      </c>
      <c r="F2357" s="75"/>
      <c r="G2357" s="75"/>
      <c r="H2357" s="75"/>
      <c r="I2357" s="75" t="s">
        <v>171</v>
      </c>
      <c r="J2357" s="76">
        <v>10</v>
      </c>
      <c r="K2357" s="516" t="s">
        <v>386</v>
      </c>
      <c r="L2357" s="517">
        <v>13.54</v>
      </c>
      <c r="M2357" s="517">
        <v>14.2</v>
      </c>
      <c r="N2357" s="518">
        <v>0.10299999999999999</v>
      </c>
      <c r="O2357" s="518">
        <v>0.1</v>
      </c>
      <c r="P2357" s="518">
        <v>0.112</v>
      </c>
      <c r="Q2357" s="78">
        <v>0.44</v>
      </c>
      <c r="R2357" s="78">
        <v>0.31740000000000002</v>
      </c>
      <c r="S2357" s="69">
        <v>0</v>
      </c>
      <c r="T2357" s="69">
        <v>0</v>
      </c>
      <c r="U2357" s="518">
        <v>0.7</v>
      </c>
      <c r="V2357" s="76">
        <v>0</v>
      </c>
      <c r="W2357" s="76">
        <v>0</v>
      </c>
      <c r="X2357" s="76"/>
      <c r="Y2357" s="516" t="s">
        <v>470</v>
      </c>
    </row>
    <row r="2358" spans="1:25" x14ac:dyDescent="0.25">
      <c r="A2358" s="75" t="str">
        <f t="shared" si="83"/>
        <v>Terreno + Construcción PROF No_Premier Pago_Fijo_Puntual 5</v>
      </c>
      <c r="B2358" s="75" t="str">
        <f t="shared" si="82"/>
        <v>Terreno + Construcción PROF No_Premier Pago_Fijo_Puntual 5 0.0965</v>
      </c>
      <c r="C2358" s="75" t="s">
        <v>151</v>
      </c>
      <c r="D2358" s="75" t="s">
        <v>169</v>
      </c>
      <c r="E2358" s="75" t="s">
        <v>179</v>
      </c>
      <c r="F2358" s="75"/>
      <c r="G2358" s="75"/>
      <c r="H2358" s="75"/>
      <c r="I2358" s="75" t="s">
        <v>171</v>
      </c>
      <c r="J2358" s="76">
        <v>5</v>
      </c>
      <c r="K2358" s="516" t="s">
        <v>385</v>
      </c>
      <c r="L2358" s="517">
        <v>21.12</v>
      </c>
      <c r="M2358" s="517">
        <v>21.78</v>
      </c>
      <c r="N2358" s="518">
        <v>9.6500000000000002E-2</v>
      </c>
      <c r="O2358" s="518">
        <v>9.1999999999999998E-2</v>
      </c>
      <c r="P2358" s="518">
        <v>0.10249999999999999</v>
      </c>
      <c r="Q2358" s="78">
        <v>0.44</v>
      </c>
      <c r="R2358" s="78">
        <v>0.31740000000000002</v>
      </c>
      <c r="S2358" s="69">
        <v>0</v>
      </c>
      <c r="T2358" s="69">
        <v>0</v>
      </c>
      <c r="U2358" s="518">
        <v>0.7</v>
      </c>
      <c r="V2358" s="76">
        <v>0</v>
      </c>
      <c r="W2358" s="76">
        <v>0</v>
      </c>
      <c r="X2358" s="76"/>
      <c r="Y2358" s="516" t="s">
        <v>470</v>
      </c>
    </row>
    <row r="2359" spans="1:25" x14ac:dyDescent="0.25">
      <c r="A2359" s="75" t="str">
        <f t="shared" si="83"/>
        <v>Terreno + Construcción PROF No_Premier Pago_Fijo_Puntual 5</v>
      </c>
      <c r="B2359" s="75" t="str">
        <f t="shared" si="82"/>
        <v>Terreno + Construcción PROF No_Premier Pago_Fijo_Puntual 5 0.103</v>
      </c>
      <c r="C2359" s="75" t="s">
        <v>151</v>
      </c>
      <c r="D2359" s="75" t="s">
        <v>169</v>
      </c>
      <c r="E2359" s="75" t="s">
        <v>179</v>
      </c>
      <c r="F2359" s="75"/>
      <c r="G2359" s="75"/>
      <c r="H2359" s="75"/>
      <c r="I2359" s="75" t="s">
        <v>171</v>
      </c>
      <c r="J2359" s="76">
        <v>5</v>
      </c>
      <c r="K2359" s="516" t="s">
        <v>386</v>
      </c>
      <c r="L2359" s="517">
        <v>21.44</v>
      </c>
      <c r="M2359" s="517">
        <v>22.1</v>
      </c>
      <c r="N2359" s="518">
        <v>0.10299999999999999</v>
      </c>
      <c r="O2359" s="518">
        <v>0.1</v>
      </c>
      <c r="P2359" s="518">
        <v>0.112</v>
      </c>
      <c r="Q2359" s="78">
        <v>0.44</v>
      </c>
      <c r="R2359" s="78">
        <v>0.31740000000000002</v>
      </c>
      <c r="S2359" s="69">
        <v>0</v>
      </c>
      <c r="T2359" s="69">
        <v>0</v>
      </c>
      <c r="U2359" s="518">
        <v>0.7</v>
      </c>
      <c r="V2359" s="76">
        <v>0</v>
      </c>
      <c r="W2359" s="76">
        <v>0</v>
      </c>
      <c r="X2359" s="76"/>
      <c r="Y2359" s="516" t="s">
        <v>470</v>
      </c>
    </row>
    <row r="2360" spans="1:25" x14ac:dyDescent="0.25">
      <c r="A2360" s="75" t="str">
        <f t="shared" si="83"/>
        <v>Terreno + Construcción PROF Premier Pago_Fijo_Puntual Si 20</v>
      </c>
      <c r="B2360" s="75" t="str">
        <f t="shared" si="82"/>
        <v>Terreno + Construcción PROF Premier Pago_Fijo_Puntual Si 20 0.103</v>
      </c>
      <c r="C2360" s="75" t="s">
        <v>151</v>
      </c>
      <c r="D2360" s="75" t="s">
        <v>169</v>
      </c>
      <c r="E2360" s="75" t="s">
        <v>143</v>
      </c>
      <c r="F2360" s="75"/>
      <c r="G2360" s="75"/>
      <c r="H2360" s="75"/>
      <c r="I2360" s="75" t="s">
        <v>171</v>
      </c>
      <c r="J2360" s="76">
        <v>20</v>
      </c>
      <c r="K2360" s="519" t="s">
        <v>387</v>
      </c>
      <c r="L2360" s="520">
        <v>10.16</v>
      </c>
      <c r="M2360" s="520">
        <v>10.82</v>
      </c>
      <c r="N2360" s="507">
        <v>0.10299999999999999</v>
      </c>
      <c r="O2360" s="507">
        <v>0.1</v>
      </c>
      <c r="P2360" s="507">
        <v>0.112</v>
      </c>
      <c r="Q2360" s="78">
        <v>0.44</v>
      </c>
      <c r="R2360" s="78">
        <v>0.31740000000000002</v>
      </c>
      <c r="S2360" s="69">
        <v>0</v>
      </c>
      <c r="T2360" s="69">
        <v>0</v>
      </c>
      <c r="U2360" s="507">
        <v>0.75</v>
      </c>
      <c r="V2360" s="76">
        <v>0</v>
      </c>
      <c r="W2360" s="76">
        <v>0</v>
      </c>
      <c r="X2360" s="76" t="s">
        <v>147</v>
      </c>
      <c r="Y2360" s="519" t="s">
        <v>469</v>
      </c>
    </row>
    <row r="2361" spans="1:25" x14ac:dyDescent="0.25">
      <c r="A2361" s="75" t="str">
        <f t="shared" si="83"/>
        <v>Terreno + Construcción PROF Premier Pago_Fijo_Puntual Si 15</v>
      </c>
      <c r="B2361" s="75" t="str">
        <f t="shared" ref="B2361:B2421" si="84">CONCATENATE(A2361," ",N2361)</f>
        <v>Terreno + Construcción PROF Premier Pago_Fijo_Puntual Si 15 0.103</v>
      </c>
      <c r="C2361" s="75" t="s">
        <v>151</v>
      </c>
      <c r="D2361" s="75" t="s">
        <v>169</v>
      </c>
      <c r="E2361" s="75" t="s">
        <v>143</v>
      </c>
      <c r="F2361" s="75"/>
      <c r="G2361" s="75"/>
      <c r="H2361" s="75"/>
      <c r="I2361" s="75" t="s">
        <v>171</v>
      </c>
      <c r="J2361" s="76">
        <v>15</v>
      </c>
      <c r="K2361" s="519" t="s">
        <v>387</v>
      </c>
      <c r="L2361" s="520">
        <v>11.18</v>
      </c>
      <c r="M2361" s="520">
        <v>11.84</v>
      </c>
      <c r="N2361" s="507">
        <v>0.10299999999999999</v>
      </c>
      <c r="O2361" s="507">
        <v>0.1</v>
      </c>
      <c r="P2361" s="507">
        <v>0.112</v>
      </c>
      <c r="Q2361" s="78">
        <v>0.44</v>
      </c>
      <c r="R2361" s="78">
        <v>0.31740000000000002</v>
      </c>
      <c r="S2361" s="69">
        <v>0</v>
      </c>
      <c r="T2361" s="69">
        <v>0</v>
      </c>
      <c r="U2361" s="507">
        <v>0.75</v>
      </c>
      <c r="V2361" s="76">
        <v>0</v>
      </c>
      <c r="W2361" s="76">
        <v>0</v>
      </c>
      <c r="X2361" s="76" t="s">
        <v>147</v>
      </c>
      <c r="Y2361" s="519" t="s">
        <v>469</v>
      </c>
    </row>
    <row r="2362" spans="1:25" x14ac:dyDescent="0.25">
      <c r="A2362" s="75" t="str">
        <f t="shared" ref="A2362:A2422" si="85">TRIM(CONCATENATE(C2362," ",D2362," ",E2362," ",F2362," ",G2362," ",I2362," ",X2362," ",J2362))</f>
        <v>Terreno + Construcción PROF Premier Pago_Fijo_Puntual Si 10</v>
      </c>
      <c r="B2362" s="75" t="str">
        <f t="shared" si="84"/>
        <v>Terreno + Construcción PROF Premier Pago_Fijo_Puntual Si 10 0.103</v>
      </c>
      <c r="C2362" s="75" t="s">
        <v>151</v>
      </c>
      <c r="D2362" s="75" t="s">
        <v>169</v>
      </c>
      <c r="E2362" s="75" t="s">
        <v>143</v>
      </c>
      <c r="F2362" s="75"/>
      <c r="G2362" s="75"/>
      <c r="H2362" s="75"/>
      <c r="I2362" s="75" t="s">
        <v>171</v>
      </c>
      <c r="J2362" s="76">
        <v>10</v>
      </c>
      <c r="K2362" s="519" t="s">
        <v>387</v>
      </c>
      <c r="L2362" s="520">
        <v>13.54</v>
      </c>
      <c r="M2362" s="520">
        <v>14.2</v>
      </c>
      <c r="N2362" s="507">
        <v>0.10299999999999999</v>
      </c>
      <c r="O2362" s="507">
        <v>0.1</v>
      </c>
      <c r="P2362" s="507">
        <v>0.112</v>
      </c>
      <c r="Q2362" s="78">
        <v>0.44</v>
      </c>
      <c r="R2362" s="78">
        <v>0.31740000000000002</v>
      </c>
      <c r="S2362" s="69">
        <v>0</v>
      </c>
      <c r="T2362" s="69">
        <v>0</v>
      </c>
      <c r="U2362" s="507">
        <v>0.75</v>
      </c>
      <c r="V2362" s="76">
        <v>0</v>
      </c>
      <c r="W2362" s="76">
        <v>0</v>
      </c>
      <c r="X2362" s="76" t="s">
        <v>147</v>
      </c>
      <c r="Y2362" s="519" t="s">
        <v>469</v>
      </c>
    </row>
    <row r="2363" spans="1:25" x14ac:dyDescent="0.25">
      <c r="A2363" s="75" t="str">
        <f t="shared" si="85"/>
        <v>Terreno + Construcción PROF Premier Pago_Fijo_Puntual Si 5</v>
      </c>
      <c r="B2363" s="75" t="str">
        <f t="shared" si="84"/>
        <v>Terreno + Construcción PROF Premier Pago_Fijo_Puntual Si 5 0.103</v>
      </c>
      <c r="C2363" s="75" t="s">
        <v>151</v>
      </c>
      <c r="D2363" s="75" t="s">
        <v>169</v>
      </c>
      <c r="E2363" s="75" t="s">
        <v>143</v>
      </c>
      <c r="F2363" s="75"/>
      <c r="G2363" s="75"/>
      <c r="H2363" s="75"/>
      <c r="I2363" s="75" t="s">
        <v>171</v>
      </c>
      <c r="J2363" s="76">
        <v>5</v>
      </c>
      <c r="K2363" s="519" t="s">
        <v>387</v>
      </c>
      <c r="L2363" s="520">
        <v>21.44</v>
      </c>
      <c r="M2363" s="520">
        <v>22.1</v>
      </c>
      <c r="N2363" s="507">
        <v>0.10299999999999999</v>
      </c>
      <c r="O2363" s="507">
        <v>0.1</v>
      </c>
      <c r="P2363" s="507">
        <v>0.112</v>
      </c>
      <c r="Q2363" s="78">
        <v>0.44</v>
      </c>
      <c r="R2363" s="78">
        <v>0.31740000000000002</v>
      </c>
      <c r="S2363" s="69">
        <v>0</v>
      </c>
      <c r="T2363" s="69">
        <v>0</v>
      </c>
      <c r="U2363" s="507">
        <v>0.75</v>
      </c>
      <c r="V2363" s="76">
        <v>0</v>
      </c>
      <c r="W2363" s="76">
        <v>0</v>
      </c>
      <c r="X2363" s="76" t="s">
        <v>147</v>
      </c>
      <c r="Y2363" s="519" t="s">
        <v>469</v>
      </c>
    </row>
    <row r="2364" spans="1:25" x14ac:dyDescent="0.25">
      <c r="A2364" s="75" t="str">
        <f t="shared" si="85"/>
        <v>Terreno + Construcción PROF Premier Pago_Fijo_Puntual 20</v>
      </c>
      <c r="B2364" s="75" t="str">
        <f t="shared" si="84"/>
        <v>Terreno + Construcción PROF Premier Pago_Fijo_Puntual 20 0.0965</v>
      </c>
      <c r="C2364" s="75" t="s">
        <v>151</v>
      </c>
      <c r="D2364" s="75" t="s">
        <v>169</v>
      </c>
      <c r="E2364" s="75" t="s">
        <v>143</v>
      </c>
      <c r="F2364" s="75"/>
      <c r="G2364" s="75"/>
      <c r="H2364" s="75"/>
      <c r="I2364" s="75" t="s">
        <v>171</v>
      </c>
      <c r="J2364" s="76">
        <v>20</v>
      </c>
      <c r="K2364" s="516" t="s">
        <v>385</v>
      </c>
      <c r="L2364" s="517">
        <v>9.66</v>
      </c>
      <c r="M2364" s="517">
        <v>10.32</v>
      </c>
      <c r="N2364" s="518">
        <v>9.6500000000000002E-2</v>
      </c>
      <c r="O2364" s="518">
        <v>9.1999999999999998E-2</v>
      </c>
      <c r="P2364" s="518">
        <v>0.10249999999999999</v>
      </c>
      <c r="Q2364" s="78">
        <v>0.44</v>
      </c>
      <c r="R2364" s="78">
        <v>0.31740000000000002</v>
      </c>
      <c r="S2364" s="69">
        <v>0</v>
      </c>
      <c r="T2364" s="69">
        <v>0</v>
      </c>
      <c r="U2364" s="518">
        <v>0.7</v>
      </c>
      <c r="V2364" s="76">
        <v>0</v>
      </c>
      <c r="W2364" s="76">
        <v>0</v>
      </c>
      <c r="X2364" s="76"/>
      <c r="Y2364" s="516" t="s">
        <v>470</v>
      </c>
    </row>
    <row r="2365" spans="1:25" x14ac:dyDescent="0.25">
      <c r="A2365" s="75" t="str">
        <f t="shared" si="85"/>
        <v>Terreno + Construcción PROF Premier Pago_Fijo_Puntual 20</v>
      </c>
      <c r="B2365" s="75" t="str">
        <f t="shared" si="84"/>
        <v>Terreno + Construcción PROF Premier Pago_Fijo_Puntual 20 0.103</v>
      </c>
      <c r="C2365" s="75" t="s">
        <v>151</v>
      </c>
      <c r="D2365" s="75" t="s">
        <v>169</v>
      </c>
      <c r="E2365" s="75" t="s">
        <v>143</v>
      </c>
      <c r="F2365" s="75"/>
      <c r="G2365" s="75"/>
      <c r="H2365" s="75"/>
      <c r="I2365" s="75" t="s">
        <v>171</v>
      </c>
      <c r="J2365" s="76">
        <v>20</v>
      </c>
      <c r="K2365" s="516" t="s">
        <v>386</v>
      </c>
      <c r="L2365" s="517">
        <v>10.16</v>
      </c>
      <c r="M2365" s="517">
        <v>10.82</v>
      </c>
      <c r="N2365" s="518">
        <v>0.10299999999999999</v>
      </c>
      <c r="O2365" s="518">
        <v>0.1</v>
      </c>
      <c r="P2365" s="518">
        <v>0.112</v>
      </c>
      <c r="Q2365" s="78">
        <v>0.44</v>
      </c>
      <c r="R2365" s="78">
        <v>0.31740000000000002</v>
      </c>
      <c r="S2365" s="69">
        <v>0</v>
      </c>
      <c r="T2365" s="69">
        <v>0</v>
      </c>
      <c r="U2365" s="518">
        <v>0.7</v>
      </c>
      <c r="V2365" s="76">
        <v>0</v>
      </c>
      <c r="W2365" s="76">
        <v>0</v>
      </c>
      <c r="X2365" s="76"/>
      <c r="Y2365" s="516" t="s">
        <v>470</v>
      </c>
    </row>
    <row r="2366" spans="1:25" x14ac:dyDescent="0.25">
      <c r="A2366" s="75" t="str">
        <f t="shared" si="85"/>
        <v>Terreno + Construcción PROF Premier Pago_Fijo_Puntual 15</v>
      </c>
      <c r="B2366" s="75" t="str">
        <f t="shared" si="84"/>
        <v>Terreno + Construcción PROF Premier Pago_Fijo_Puntual 15 0.0965</v>
      </c>
      <c r="C2366" s="75" t="s">
        <v>151</v>
      </c>
      <c r="D2366" s="75" t="s">
        <v>169</v>
      </c>
      <c r="E2366" s="75" t="s">
        <v>143</v>
      </c>
      <c r="F2366" s="75"/>
      <c r="G2366" s="75"/>
      <c r="H2366" s="75"/>
      <c r="I2366" s="75" t="s">
        <v>171</v>
      </c>
      <c r="J2366" s="76">
        <v>15</v>
      </c>
      <c r="K2366" s="516" t="s">
        <v>385</v>
      </c>
      <c r="L2366" s="517">
        <v>10.73</v>
      </c>
      <c r="M2366" s="517">
        <v>11.39</v>
      </c>
      <c r="N2366" s="518">
        <v>9.6500000000000002E-2</v>
      </c>
      <c r="O2366" s="518">
        <v>9.1999999999999998E-2</v>
      </c>
      <c r="P2366" s="518">
        <v>0.10249999999999999</v>
      </c>
      <c r="Q2366" s="78">
        <v>0.44</v>
      </c>
      <c r="R2366" s="78">
        <v>0.31740000000000002</v>
      </c>
      <c r="S2366" s="69">
        <v>0</v>
      </c>
      <c r="T2366" s="69">
        <v>0</v>
      </c>
      <c r="U2366" s="518">
        <v>0.7</v>
      </c>
      <c r="V2366" s="76">
        <v>0</v>
      </c>
      <c r="W2366" s="76">
        <v>0</v>
      </c>
      <c r="X2366" s="76"/>
      <c r="Y2366" s="516" t="s">
        <v>470</v>
      </c>
    </row>
    <row r="2367" spans="1:25" x14ac:dyDescent="0.25">
      <c r="A2367" s="75" t="str">
        <f t="shared" si="85"/>
        <v>Terreno + Construcción PROF Premier Pago_Fijo_Puntual 15</v>
      </c>
      <c r="B2367" s="75" t="str">
        <f t="shared" si="84"/>
        <v>Terreno + Construcción PROF Premier Pago_Fijo_Puntual 15 0.103</v>
      </c>
      <c r="C2367" s="75" t="s">
        <v>151</v>
      </c>
      <c r="D2367" s="75" t="s">
        <v>169</v>
      </c>
      <c r="E2367" s="75" t="s">
        <v>143</v>
      </c>
      <c r="F2367" s="75"/>
      <c r="G2367" s="75"/>
      <c r="H2367" s="75"/>
      <c r="I2367" s="75" t="s">
        <v>171</v>
      </c>
      <c r="J2367" s="76">
        <v>15</v>
      </c>
      <c r="K2367" s="516" t="s">
        <v>386</v>
      </c>
      <c r="L2367" s="517">
        <v>11.18</v>
      </c>
      <c r="M2367" s="517">
        <v>11.84</v>
      </c>
      <c r="N2367" s="518">
        <v>0.10299999999999999</v>
      </c>
      <c r="O2367" s="518">
        <v>0.1</v>
      </c>
      <c r="P2367" s="518">
        <v>0.112</v>
      </c>
      <c r="Q2367" s="78">
        <v>0.44</v>
      </c>
      <c r="R2367" s="78">
        <v>0.31740000000000002</v>
      </c>
      <c r="S2367" s="69">
        <v>0</v>
      </c>
      <c r="T2367" s="69">
        <v>0</v>
      </c>
      <c r="U2367" s="518">
        <v>0.7</v>
      </c>
      <c r="V2367" s="76">
        <v>0</v>
      </c>
      <c r="W2367" s="76">
        <v>0</v>
      </c>
      <c r="X2367" s="76"/>
      <c r="Y2367" s="516" t="s">
        <v>470</v>
      </c>
    </row>
    <row r="2368" spans="1:25" x14ac:dyDescent="0.25">
      <c r="A2368" s="75" t="str">
        <f t="shared" si="85"/>
        <v>Terreno + Construcción PROF Premier Pago_Fijo_Puntual 10</v>
      </c>
      <c r="B2368" s="75" t="str">
        <f t="shared" si="84"/>
        <v>Terreno + Construcción PROF Premier Pago_Fijo_Puntual 10 0.0965</v>
      </c>
      <c r="C2368" s="75" t="s">
        <v>151</v>
      </c>
      <c r="D2368" s="75" t="s">
        <v>169</v>
      </c>
      <c r="E2368" s="75" t="s">
        <v>143</v>
      </c>
      <c r="F2368" s="75"/>
      <c r="G2368" s="75"/>
      <c r="H2368" s="75"/>
      <c r="I2368" s="75" t="s">
        <v>171</v>
      </c>
      <c r="J2368" s="76">
        <v>10</v>
      </c>
      <c r="K2368" s="516" t="s">
        <v>385</v>
      </c>
      <c r="L2368" s="517">
        <v>13.54</v>
      </c>
      <c r="M2368" s="517">
        <v>14.2</v>
      </c>
      <c r="N2368" s="518">
        <v>9.6500000000000002E-2</v>
      </c>
      <c r="O2368" s="518">
        <v>9.1999999999999998E-2</v>
      </c>
      <c r="P2368" s="518">
        <v>0.10249999999999999</v>
      </c>
      <c r="Q2368" s="78">
        <v>0.44</v>
      </c>
      <c r="R2368" s="78">
        <v>0.31740000000000002</v>
      </c>
      <c r="S2368" s="69">
        <v>0</v>
      </c>
      <c r="T2368" s="69">
        <v>0</v>
      </c>
      <c r="U2368" s="518">
        <v>0.7</v>
      </c>
      <c r="V2368" s="76">
        <v>0</v>
      </c>
      <c r="W2368" s="76">
        <v>0</v>
      </c>
      <c r="X2368" s="76"/>
      <c r="Y2368" s="516" t="s">
        <v>470</v>
      </c>
    </row>
    <row r="2369" spans="1:25" x14ac:dyDescent="0.25">
      <c r="A2369" s="75" t="str">
        <f t="shared" si="85"/>
        <v>Terreno + Construcción PROF Premier Pago_Fijo_Puntual 10</v>
      </c>
      <c r="B2369" s="75" t="str">
        <f t="shared" si="84"/>
        <v>Terreno + Construcción PROF Premier Pago_Fijo_Puntual 10 0.103</v>
      </c>
      <c r="C2369" s="75" t="s">
        <v>151</v>
      </c>
      <c r="D2369" s="75" t="s">
        <v>169</v>
      </c>
      <c r="E2369" s="75" t="s">
        <v>143</v>
      </c>
      <c r="F2369" s="75"/>
      <c r="G2369" s="75"/>
      <c r="H2369" s="75"/>
      <c r="I2369" s="75" t="s">
        <v>171</v>
      </c>
      <c r="J2369" s="76">
        <v>10</v>
      </c>
      <c r="K2369" s="516" t="s">
        <v>386</v>
      </c>
      <c r="L2369" s="517">
        <v>13.54</v>
      </c>
      <c r="M2369" s="517">
        <v>14.2</v>
      </c>
      <c r="N2369" s="518">
        <v>0.10299999999999999</v>
      </c>
      <c r="O2369" s="518">
        <v>0.1</v>
      </c>
      <c r="P2369" s="518">
        <v>0.112</v>
      </c>
      <c r="Q2369" s="78">
        <v>0.44</v>
      </c>
      <c r="R2369" s="78">
        <v>0.31740000000000002</v>
      </c>
      <c r="S2369" s="69">
        <v>0</v>
      </c>
      <c r="T2369" s="69">
        <v>0</v>
      </c>
      <c r="U2369" s="518">
        <v>0.7</v>
      </c>
      <c r="V2369" s="76">
        <v>0</v>
      </c>
      <c r="W2369" s="76">
        <v>0</v>
      </c>
      <c r="X2369" s="76"/>
      <c r="Y2369" s="516" t="s">
        <v>470</v>
      </c>
    </row>
    <row r="2370" spans="1:25" x14ac:dyDescent="0.25">
      <c r="A2370" s="75" t="str">
        <f t="shared" si="85"/>
        <v>Terreno + Construcción PROF Premier Pago_Fijo_Puntual 5</v>
      </c>
      <c r="B2370" s="75" t="str">
        <f t="shared" si="84"/>
        <v>Terreno + Construcción PROF Premier Pago_Fijo_Puntual 5 0.0965</v>
      </c>
      <c r="C2370" s="75" t="s">
        <v>151</v>
      </c>
      <c r="D2370" s="75" t="s">
        <v>169</v>
      </c>
      <c r="E2370" s="75" t="s">
        <v>143</v>
      </c>
      <c r="F2370" s="75"/>
      <c r="G2370" s="75"/>
      <c r="H2370" s="75"/>
      <c r="I2370" s="75" t="s">
        <v>171</v>
      </c>
      <c r="J2370" s="76">
        <v>5</v>
      </c>
      <c r="K2370" s="516" t="s">
        <v>385</v>
      </c>
      <c r="L2370" s="517">
        <v>21.12</v>
      </c>
      <c r="M2370" s="517">
        <v>21.78</v>
      </c>
      <c r="N2370" s="518">
        <v>9.6500000000000002E-2</v>
      </c>
      <c r="O2370" s="518">
        <v>9.1999999999999998E-2</v>
      </c>
      <c r="P2370" s="518">
        <v>0.10249999999999999</v>
      </c>
      <c r="Q2370" s="78">
        <v>0.44</v>
      </c>
      <c r="R2370" s="78">
        <v>0.31740000000000002</v>
      </c>
      <c r="S2370" s="69">
        <v>0</v>
      </c>
      <c r="T2370" s="69">
        <v>0</v>
      </c>
      <c r="U2370" s="518">
        <v>0.7</v>
      </c>
      <c r="V2370" s="76">
        <v>0</v>
      </c>
      <c r="W2370" s="76">
        <v>0</v>
      </c>
      <c r="X2370" s="76"/>
      <c r="Y2370" s="516" t="s">
        <v>470</v>
      </c>
    </row>
    <row r="2371" spans="1:25" x14ac:dyDescent="0.25">
      <c r="A2371" s="75" t="str">
        <f t="shared" si="85"/>
        <v>Terreno + Construcción PROF Premier Pago_Fijo_Puntual 5</v>
      </c>
      <c r="B2371" s="75" t="str">
        <f t="shared" si="84"/>
        <v>Terreno + Construcción PROF Premier Pago_Fijo_Puntual 5 0.103</v>
      </c>
      <c r="C2371" s="75" t="s">
        <v>151</v>
      </c>
      <c r="D2371" s="75" t="s">
        <v>169</v>
      </c>
      <c r="E2371" s="75" t="s">
        <v>143</v>
      </c>
      <c r="F2371" s="75"/>
      <c r="G2371" s="75"/>
      <c r="H2371" s="75"/>
      <c r="I2371" s="75" t="s">
        <v>171</v>
      </c>
      <c r="J2371" s="76">
        <v>5</v>
      </c>
      <c r="K2371" s="516" t="s">
        <v>386</v>
      </c>
      <c r="L2371" s="517">
        <v>21.44</v>
      </c>
      <c r="M2371" s="517">
        <v>22.1</v>
      </c>
      <c r="N2371" s="518">
        <v>0.10299999999999999</v>
      </c>
      <c r="O2371" s="518">
        <v>0.1</v>
      </c>
      <c r="P2371" s="518">
        <v>0.112</v>
      </c>
      <c r="Q2371" s="78">
        <v>0.44</v>
      </c>
      <c r="R2371" s="78">
        <v>0.31740000000000002</v>
      </c>
      <c r="S2371" s="69">
        <v>0</v>
      </c>
      <c r="T2371" s="69">
        <v>0</v>
      </c>
      <c r="U2371" s="518">
        <v>0.7</v>
      </c>
      <c r="V2371" s="76">
        <v>0</v>
      </c>
      <c r="W2371" s="76">
        <v>0</v>
      </c>
      <c r="X2371" s="76"/>
      <c r="Y2371" s="516" t="s">
        <v>470</v>
      </c>
    </row>
    <row r="2372" spans="1:25" x14ac:dyDescent="0.25">
      <c r="A2372" s="75" t="str">
        <f t="shared" si="85"/>
        <v>Adquisicion PF No_Premier Nómina Mercado_Abierto Pago_Fijo_Puntual Si 20</v>
      </c>
      <c r="B2372" s="75" t="str">
        <f t="shared" si="84"/>
        <v>Adquisicion PF No_Premier Nómina Mercado_Abierto Pago_Fijo_Puntual Si 20 0.103</v>
      </c>
      <c r="C2372" s="75" t="s">
        <v>114</v>
      </c>
      <c r="D2372" s="75" t="s">
        <v>132</v>
      </c>
      <c r="E2372" s="75" t="s">
        <v>179</v>
      </c>
      <c r="F2372" s="75" t="s">
        <v>181</v>
      </c>
      <c r="G2372" s="75" t="s">
        <v>396</v>
      </c>
      <c r="H2372" s="75"/>
      <c r="I2372" s="75" t="s">
        <v>171</v>
      </c>
      <c r="J2372" s="76">
        <v>20</v>
      </c>
      <c r="K2372" s="519" t="s">
        <v>387</v>
      </c>
      <c r="L2372" s="520">
        <v>10.16</v>
      </c>
      <c r="M2372" s="520">
        <v>11.11</v>
      </c>
      <c r="N2372" s="507">
        <v>0.10299999999999999</v>
      </c>
      <c r="O2372" s="507">
        <v>0.1</v>
      </c>
      <c r="P2372" s="507">
        <v>0.112</v>
      </c>
      <c r="Q2372" s="78">
        <v>0.44</v>
      </c>
      <c r="R2372" s="78">
        <v>0.31740000000000002</v>
      </c>
      <c r="S2372" s="69">
        <v>2.5000000000000001E-2</v>
      </c>
      <c r="T2372" s="69">
        <v>5.0000000000000001E-3</v>
      </c>
      <c r="U2372" s="507">
        <v>0.9</v>
      </c>
      <c r="V2372" s="76">
        <v>0</v>
      </c>
      <c r="W2372" s="76">
        <v>250.00000000000003</v>
      </c>
      <c r="X2372" s="76" t="s">
        <v>147</v>
      </c>
      <c r="Y2372" s="519" t="s">
        <v>469</v>
      </c>
    </row>
    <row r="2373" spans="1:25" x14ac:dyDescent="0.25">
      <c r="A2373" s="75" t="str">
        <f t="shared" si="85"/>
        <v>Adquisicion PF No_Premier Nómina Mercado_Abierto Pago_Fijo_Puntual 20</v>
      </c>
      <c r="B2373" s="75" t="str">
        <f t="shared" si="84"/>
        <v>Adquisicion PF No_Premier Nómina Mercado_Abierto Pago_Fijo_Puntual 20 0.106</v>
      </c>
      <c r="C2373" s="75" t="s">
        <v>114</v>
      </c>
      <c r="D2373" s="75" t="s">
        <v>132</v>
      </c>
      <c r="E2373" s="75" t="s">
        <v>179</v>
      </c>
      <c r="F2373" s="75" t="s">
        <v>181</v>
      </c>
      <c r="G2373" s="75" t="s">
        <v>396</v>
      </c>
      <c r="H2373" s="75"/>
      <c r="I2373" s="75" t="s">
        <v>171</v>
      </c>
      <c r="J2373" s="76">
        <v>20</v>
      </c>
      <c r="K2373" s="519">
        <v>3</v>
      </c>
      <c r="L2373" s="520">
        <v>10.41</v>
      </c>
      <c r="M2373" s="520">
        <v>11.36</v>
      </c>
      <c r="N2373" s="507">
        <v>0.106</v>
      </c>
      <c r="O2373" s="507">
        <v>0.10299999999999999</v>
      </c>
      <c r="P2373" s="507">
        <v>0.11799999999999999</v>
      </c>
      <c r="Q2373" s="78">
        <v>0.44</v>
      </c>
      <c r="R2373" s="78">
        <v>0.31740000000000002</v>
      </c>
      <c r="S2373" s="69">
        <v>2.5000000000000001E-2</v>
      </c>
      <c r="T2373" s="69">
        <v>5.0000000000000001E-3</v>
      </c>
      <c r="U2373" s="507">
        <v>0.85</v>
      </c>
      <c r="V2373" s="76">
        <v>0</v>
      </c>
      <c r="W2373" s="76">
        <v>250.00000000000003</v>
      </c>
      <c r="X2373" s="76"/>
      <c r="Y2373" s="519" t="s">
        <v>469</v>
      </c>
    </row>
    <row r="2374" spans="1:25" x14ac:dyDescent="0.25">
      <c r="A2374" s="75" t="str">
        <f t="shared" si="85"/>
        <v>Adquisicion PF No_Premier Nómina Mercado_Abierto Pago_Fijo_Puntual Si 15</v>
      </c>
      <c r="B2374" s="75" t="str">
        <f t="shared" si="84"/>
        <v>Adquisicion PF No_Premier Nómina Mercado_Abierto Pago_Fijo_Puntual Si 15 0.103</v>
      </c>
      <c r="C2374" s="75" t="s">
        <v>114</v>
      </c>
      <c r="D2374" s="75" t="s">
        <v>132</v>
      </c>
      <c r="E2374" s="75" t="s">
        <v>179</v>
      </c>
      <c r="F2374" s="75" t="s">
        <v>181</v>
      </c>
      <c r="G2374" s="75" t="s">
        <v>396</v>
      </c>
      <c r="H2374" s="75"/>
      <c r="I2374" s="75" t="s">
        <v>171</v>
      </c>
      <c r="J2374" s="76">
        <v>15</v>
      </c>
      <c r="K2374" s="519" t="s">
        <v>387</v>
      </c>
      <c r="L2374" s="520">
        <v>11.18</v>
      </c>
      <c r="M2374" s="520">
        <v>12.13</v>
      </c>
      <c r="N2374" s="507">
        <v>0.10299999999999999</v>
      </c>
      <c r="O2374" s="507">
        <v>0.1</v>
      </c>
      <c r="P2374" s="507">
        <v>0.112</v>
      </c>
      <c r="Q2374" s="78">
        <v>0.44</v>
      </c>
      <c r="R2374" s="78">
        <v>0.31740000000000002</v>
      </c>
      <c r="S2374" s="69">
        <v>2.5000000000000001E-2</v>
      </c>
      <c r="T2374" s="69">
        <v>5.0000000000000001E-3</v>
      </c>
      <c r="U2374" s="507">
        <v>0.9</v>
      </c>
      <c r="V2374" s="76">
        <v>0</v>
      </c>
      <c r="W2374" s="76">
        <v>250.00000000000003</v>
      </c>
      <c r="X2374" s="76" t="s">
        <v>147</v>
      </c>
      <c r="Y2374" s="519" t="s">
        <v>469</v>
      </c>
    </row>
    <row r="2375" spans="1:25" x14ac:dyDescent="0.25">
      <c r="A2375" s="75" t="str">
        <f t="shared" si="85"/>
        <v>Adquisicion PF No_Premier Nómina Mercado_Abierto Pago_Fijo_Puntual 15</v>
      </c>
      <c r="B2375" s="75" t="str">
        <f t="shared" si="84"/>
        <v>Adquisicion PF No_Premier Nómina Mercado_Abierto Pago_Fijo_Puntual 15 0.106</v>
      </c>
      <c r="C2375" s="75" t="s">
        <v>114</v>
      </c>
      <c r="D2375" s="75" t="s">
        <v>132</v>
      </c>
      <c r="E2375" s="75" t="s">
        <v>179</v>
      </c>
      <c r="F2375" s="75" t="s">
        <v>181</v>
      </c>
      <c r="G2375" s="75" t="s">
        <v>396</v>
      </c>
      <c r="H2375" s="75"/>
      <c r="I2375" s="75" t="s">
        <v>171</v>
      </c>
      <c r="J2375" s="76">
        <v>15</v>
      </c>
      <c r="K2375" s="519">
        <v>3</v>
      </c>
      <c r="L2375" s="520">
        <v>11.39</v>
      </c>
      <c r="M2375" s="520">
        <v>12.34</v>
      </c>
      <c r="N2375" s="507">
        <v>0.106</v>
      </c>
      <c r="O2375" s="507">
        <v>0.10299999999999999</v>
      </c>
      <c r="P2375" s="507">
        <v>0.11799999999999999</v>
      </c>
      <c r="Q2375" s="78">
        <v>0.44</v>
      </c>
      <c r="R2375" s="78">
        <v>0.31740000000000002</v>
      </c>
      <c r="S2375" s="69">
        <v>2.5000000000000001E-2</v>
      </c>
      <c r="T2375" s="69">
        <v>5.0000000000000001E-3</v>
      </c>
      <c r="U2375" s="507">
        <v>0.85</v>
      </c>
      <c r="V2375" s="76">
        <v>0</v>
      </c>
      <c r="W2375" s="76">
        <v>250.00000000000003</v>
      </c>
      <c r="X2375" s="76"/>
      <c r="Y2375" s="519" t="s">
        <v>469</v>
      </c>
    </row>
    <row r="2376" spans="1:25" x14ac:dyDescent="0.25">
      <c r="A2376" s="75" t="str">
        <f t="shared" si="85"/>
        <v>Adquisicion PF No_Premier Nómina Mercado_Abierto Pago_Fijo_Puntual Si 10</v>
      </c>
      <c r="B2376" s="75" t="str">
        <f t="shared" si="84"/>
        <v>Adquisicion PF No_Premier Nómina Mercado_Abierto Pago_Fijo_Puntual Si 10 0.103</v>
      </c>
      <c r="C2376" s="75" t="s">
        <v>114</v>
      </c>
      <c r="D2376" s="75" t="s">
        <v>132</v>
      </c>
      <c r="E2376" s="75" t="s">
        <v>179</v>
      </c>
      <c r="F2376" s="75" t="s">
        <v>181</v>
      </c>
      <c r="G2376" s="75" t="s">
        <v>396</v>
      </c>
      <c r="H2376" s="75"/>
      <c r="I2376" s="75" t="s">
        <v>171</v>
      </c>
      <c r="J2376" s="76">
        <v>10</v>
      </c>
      <c r="K2376" s="519" t="s">
        <v>387</v>
      </c>
      <c r="L2376" s="520">
        <v>13.54</v>
      </c>
      <c r="M2376" s="520">
        <v>14.49</v>
      </c>
      <c r="N2376" s="507">
        <v>0.10299999999999999</v>
      </c>
      <c r="O2376" s="507">
        <v>0.1</v>
      </c>
      <c r="P2376" s="507">
        <v>0.112</v>
      </c>
      <c r="Q2376" s="78">
        <v>0.44</v>
      </c>
      <c r="R2376" s="78">
        <v>0.31740000000000002</v>
      </c>
      <c r="S2376" s="69">
        <v>2.5000000000000001E-2</v>
      </c>
      <c r="T2376" s="69">
        <v>5.0000000000000001E-3</v>
      </c>
      <c r="U2376" s="507">
        <v>0.9</v>
      </c>
      <c r="V2376" s="76">
        <v>0</v>
      </c>
      <c r="W2376" s="76">
        <v>250.00000000000003</v>
      </c>
      <c r="X2376" s="76" t="s">
        <v>147</v>
      </c>
      <c r="Y2376" s="519" t="s">
        <v>469</v>
      </c>
    </row>
    <row r="2377" spans="1:25" x14ac:dyDescent="0.25">
      <c r="A2377" s="75" t="str">
        <f t="shared" si="85"/>
        <v>Adquisicion PF No_Premier Nómina Mercado_Abierto Pago_Fijo_Puntual 10</v>
      </c>
      <c r="B2377" s="75" t="str">
        <f t="shared" si="84"/>
        <v>Adquisicion PF No_Premier Nómina Mercado_Abierto Pago_Fijo_Puntual 10 0.106</v>
      </c>
      <c r="C2377" s="75" t="s">
        <v>114</v>
      </c>
      <c r="D2377" s="75" t="s">
        <v>132</v>
      </c>
      <c r="E2377" s="75" t="s">
        <v>179</v>
      </c>
      <c r="F2377" s="75" t="s">
        <v>181</v>
      </c>
      <c r="G2377" s="75" t="s">
        <v>396</v>
      </c>
      <c r="H2377" s="75"/>
      <c r="I2377" s="75" t="s">
        <v>171</v>
      </c>
      <c r="J2377" s="76">
        <v>10</v>
      </c>
      <c r="K2377" s="519">
        <v>3</v>
      </c>
      <c r="L2377" s="520">
        <v>13.71</v>
      </c>
      <c r="M2377" s="520">
        <v>14.66</v>
      </c>
      <c r="N2377" s="507">
        <v>0.106</v>
      </c>
      <c r="O2377" s="507">
        <v>0.10299999999999999</v>
      </c>
      <c r="P2377" s="507">
        <v>0.11799999999999999</v>
      </c>
      <c r="Q2377" s="78">
        <v>0.44</v>
      </c>
      <c r="R2377" s="78">
        <v>0.31740000000000002</v>
      </c>
      <c r="S2377" s="69">
        <v>2.5000000000000001E-2</v>
      </c>
      <c r="T2377" s="69">
        <v>5.0000000000000001E-3</v>
      </c>
      <c r="U2377" s="507">
        <v>0.85</v>
      </c>
      <c r="V2377" s="76">
        <v>0</v>
      </c>
      <c r="W2377" s="76">
        <v>250.00000000000003</v>
      </c>
      <c r="X2377" s="76"/>
      <c r="Y2377" s="519" t="s">
        <v>469</v>
      </c>
    </row>
    <row r="2378" spans="1:25" x14ac:dyDescent="0.25">
      <c r="A2378" s="75" t="str">
        <f t="shared" si="85"/>
        <v>Adquisicion PF No_Premier Nómina Mercado_Abierto Pago_Fijo_Puntual Si 5</v>
      </c>
      <c r="B2378" s="75" t="str">
        <f t="shared" si="84"/>
        <v>Adquisicion PF No_Premier Nómina Mercado_Abierto Pago_Fijo_Puntual Si 5 0.103</v>
      </c>
      <c r="C2378" s="75" t="s">
        <v>114</v>
      </c>
      <c r="D2378" s="75" t="s">
        <v>132</v>
      </c>
      <c r="E2378" s="75" t="s">
        <v>179</v>
      </c>
      <c r="F2378" s="75" t="s">
        <v>181</v>
      </c>
      <c r="G2378" s="75" t="s">
        <v>396</v>
      </c>
      <c r="H2378" s="75"/>
      <c r="I2378" s="75" t="s">
        <v>171</v>
      </c>
      <c r="J2378" s="76">
        <v>5</v>
      </c>
      <c r="K2378" s="519" t="s">
        <v>387</v>
      </c>
      <c r="L2378" s="520">
        <v>21.44</v>
      </c>
      <c r="M2378" s="520">
        <v>22.39</v>
      </c>
      <c r="N2378" s="507">
        <v>0.10299999999999999</v>
      </c>
      <c r="O2378" s="507">
        <v>0.1</v>
      </c>
      <c r="P2378" s="507">
        <v>0.112</v>
      </c>
      <c r="Q2378" s="78">
        <v>0.44</v>
      </c>
      <c r="R2378" s="78">
        <v>0.31740000000000002</v>
      </c>
      <c r="S2378" s="69">
        <v>2.5000000000000001E-2</v>
      </c>
      <c r="T2378" s="69">
        <v>5.0000000000000001E-3</v>
      </c>
      <c r="U2378" s="507">
        <v>0.9</v>
      </c>
      <c r="V2378" s="76">
        <v>0</v>
      </c>
      <c r="W2378" s="76">
        <v>250.00000000000003</v>
      </c>
      <c r="X2378" s="76" t="s">
        <v>147</v>
      </c>
      <c r="Y2378" s="519" t="s">
        <v>469</v>
      </c>
    </row>
    <row r="2379" spans="1:25" x14ac:dyDescent="0.25">
      <c r="A2379" s="75" t="str">
        <f t="shared" si="85"/>
        <v>Adquisicion PF No_Premier Nómina Mercado_Abierto Pago_Fijo_Puntual 5</v>
      </c>
      <c r="B2379" s="75" t="str">
        <f t="shared" si="84"/>
        <v>Adquisicion PF No_Premier Nómina Mercado_Abierto Pago_Fijo_Puntual 5 0.106</v>
      </c>
      <c r="C2379" s="75" t="s">
        <v>114</v>
      </c>
      <c r="D2379" s="75" t="s">
        <v>132</v>
      </c>
      <c r="E2379" s="75" t="s">
        <v>179</v>
      </c>
      <c r="F2379" s="75" t="s">
        <v>181</v>
      </c>
      <c r="G2379" s="75" t="s">
        <v>396</v>
      </c>
      <c r="H2379" s="75"/>
      <c r="I2379" s="75" t="s">
        <v>171</v>
      </c>
      <c r="J2379" s="76">
        <v>5</v>
      </c>
      <c r="K2379" s="519">
        <v>3</v>
      </c>
      <c r="L2379" s="520">
        <v>21.59</v>
      </c>
      <c r="M2379" s="520">
        <v>22.54</v>
      </c>
      <c r="N2379" s="507">
        <v>0.106</v>
      </c>
      <c r="O2379" s="507">
        <v>0.10299999999999999</v>
      </c>
      <c r="P2379" s="507">
        <v>0.11799999999999999</v>
      </c>
      <c r="Q2379" s="78">
        <v>0.44</v>
      </c>
      <c r="R2379" s="78">
        <v>0.31740000000000002</v>
      </c>
      <c r="S2379" s="69">
        <v>2.5000000000000001E-2</v>
      </c>
      <c r="T2379" s="69">
        <v>5.0000000000000001E-3</v>
      </c>
      <c r="U2379" s="507">
        <v>0.85</v>
      </c>
      <c r="V2379" s="76">
        <v>0</v>
      </c>
      <c r="W2379" s="76">
        <v>250.00000000000003</v>
      </c>
      <c r="X2379" s="76"/>
      <c r="Y2379" s="519" t="s">
        <v>469</v>
      </c>
    </row>
    <row r="2380" spans="1:25" x14ac:dyDescent="0.25">
      <c r="A2380" s="75" t="str">
        <f t="shared" si="85"/>
        <v>Adquisicion PF No_Premier Nómina Mercado_Abierto Pago_Bajo_Puntual Si 20</v>
      </c>
      <c r="B2380" s="75" t="str">
        <f t="shared" si="84"/>
        <v>Adquisicion PF No_Premier Nómina Mercado_Abierto Pago_Bajo_Puntual Si 20 0.103</v>
      </c>
      <c r="C2380" s="75" t="s">
        <v>114</v>
      </c>
      <c r="D2380" s="75" t="s">
        <v>132</v>
      </c>
      <c r="E2380" s="75" t="s">
        <v>179</v>
      </c>
      <c r="F2380" s="75" t="s">
        <v>181</v>
      </c>
      <c r="G2380" s="75" t="s">
        <v>396</v>
      </c>
      <c r="H2380" s="75"/>
      <c r="I2380" s="75" t="s">
        <v>170</v>
      </c>
      <c r="J2380" s="76">
        <v>20</v>
      </c>
      <c r="K2380" s="519" t="s">
        <v>387</v>
      </c>
      <c r="L2380" s="520">
        <v>9</v>
      </c>
      <c r="M2380" s="520">
        <v>9.9499999999999993</v>
      </c>
      <c r="N2380" s="507">
        <v>0.10299999999999999</v>
      </c>
      <c r="O2380" s="507">
        <v>0.1</v>
      </c>
      <c r="P2380" s="507">
        <v>0.112</v>
      </c>
      <c r="Q2380" s="78">
        <v>0.44</v>
      </c>
      <c r="R2380" s="78">
        <v>0.31740000000000002</v>
      </c>
      <c r="S2380" s="69">
        <v>2.5000000000000001E-2</v>
      </c>
      <c r="T2380" s="69">
        <v>5.0000000000000001E-3</v>
      </c>
      <c r="U2380" s="507">
        <v>0.9</v>
      </c>
      <c r="V2380" s="76">
        <v>0</v>
      </c>
      <c r="W2380" s="76">
        <v>250.00000000000003</v>
      </c>
      <c r="X2380" s="76" t="s">
        <v>147</v>
      </c>
      <c r="Y2380" s="519" t="s">
        <v>469</v>
      </c>
    </row>
    <row r="2381" spans="1:25" x14ac:dyDescent="0.25">
      <c r="A2381" s="75" t="str">
        <f t="shared" si="85"/>
        <v>Adquisicion PF No_Premier Nómina Mercado_Abierto Pago_Bajo_Puntual 20</v>
      </c>
      <c r="B2381" s="75" t="str">
        <f t="shared" si="84"/>
        <v>Adquisicion PF No_Premier Nómina Mercado_Abierto Pago_Bajo_Puntual 20 0.106</v>
      </c>
      <c r="C2381" s="75" t="s">
        <v>114</v>
      </c>
      <c r="D2381" s="75" t="s">
        <v>132</v>
      </c>
      <c r="E2381" s="75" t="s">
        <v>179</v>
      </c>
      <c r="F2381" s="75" t="s">
        <v>181</v>
      </c>
      <c r="G2381" s="75" t="s">
        <v>396</v>
      </c>
      <c r="H2381" s="75"/>
      <c r="I2381" s="75" t="s">
        <v>170</v>
      </c>
      <c r="J2381" s="76">
        <v>20</v>
      </c>
      <c r="K2381" s="519">
        <v>3</v>
      </c>
      <c r="L2381" s="520">
        <v>9.24</v>
      </c>
      <c r="M2381" s="520">
        <v>10.19</v>
      </c>
      <c r="N2381" s="507">
        <v>0.106</v>
      </c>
      <c r="O2381" s="507">
        <v>0.10299999999999999</v>
      </c>
      <c r="P2381" s="507">
        <v>0.11799999999999999</v>
      </c>
      <c r="Q2381" s="78">
        <v>0.44</v>
      </c>
      <c r="R2381" s="78">
        <v>0.31740000000000002</v>
      </c>
      <c r="S2381" s="69">
        <v>2.5000000000000001E-2</v>
      </c>
      <c r="T2381" s="69">
        <v>5.0000000000000001E-3</v>
      </c>
      <c r="U2381" s="507">
        <v>0.85</v>
      </c>
      <c r="V2381" s="76">
        <v>0</v>
      </c>
      <c r="W2381" s="76">
        <v>250.00000000000003</v>
      </c>
      <c r="X2381" s="76"/>
      <c r="Y2381" s="519" t="s">
        <v>469</v>
      </c>
    </row>
    <row r="2382" spans="1:25" x14ac:dyDescent="0.25">
      <c r="A2382" s="75" t="str">
        <f t="shared" si="85"/>
        <v>Adquisicion PF No_Premier Nómina Mercado_Abierto Pago_Bajo_Puntual Si 15</v>
      </c>
      <c r="B2382" s="75" t="str">
        <f t="shared" si="84"/>
        <v>Adquisicion PF No_Premier Nómina Mercado_Abierto Pago_Bajo_Puntual Si 15 0.103</v>
      </c>
      <c r="C2382" s="75" t="s">
        <v>114</v>
      </c>
      <c r="D2382" s="75" t="s">
        <v>132</v>
      </c>
      <c r="E2382" s="75" t="s">
        <v>179</v>
      </c>
      <c r="F2382" s="75" t="s">
        <v>181</v>
      </c>
      <c r="G2382" s="75" t="s">
        <v>396</v>
      </c>
      <c r="H2382" s="75"/>
      <c r="I2382" s="75" t="s">
        <v>170</v>
      </c>
      <c r="J2382" s="76">
        <v>15</v>
      </c>
      <c r="K2382" s="519" t="s">
        <v>387</v>
      </c>
      <c r="L2382" s="520">
        <v>10.119999999999999</v>
      </c>
      <c r="M2382" s="520">
        <v>11.07</v>
      </c>
      <c r="N2382" s="507">
        <v>0.10299999999999999</v>
      </c>
      <c r="O2382" s="507">
        <v>0.1</v>
      </c>
      <c r="P2382" s="507">
        <v>0.112</v>
      </c>
      <c r="Q2382" s="78">
        <v>0.44</v>
      </c>
      <c r="R2382" s="78">
        <v>0.31740000000000002</v>
      </c>
      <c r="S2382" s="69">
        <v>2.5000000000000001E-2</v>
      </c>
      <c r="T2382" s="69">
        <v>5.0000000000000001E-3</v>
      </c>
      <c r="U2382" s="507">
        <v>0.9</v>
      </c>
      <c r="V2382" s="76">
        <v>0</v>
      </c>
      <c r="W2382" s="76">
        <v>250.00000000000003</v>
      </c>
      <c r="X2382" s="76" t="s">
        <v>147</v>
      </c>
      <c r="Y2382" s="519" t="s">
        <v>469</v>
      </c>
    </row>
    <row r="2383" spans="1:25" x14ac:dyDescent="0.25">
      <c r="A2383" s="75" t="str">
        <f t="shared" si="85"/>
        <v>Adquisicion PF No_Premier Nómina Mercado_Abierto Pago_Bajo_Puntual 15</v>
      </c>
      <c r="B2383" s="75" t="str">
        <f t="shared" si="84"/>
        <v>Adquisicion PF No_Premier Nómina Mercado_Abierto Pago_Bajo_Puntual 15 0.106</v>
      </c>
      <c r="C2383" s="75" t="s">
        <v>114</v>
      </c>
      <c r="D2383" s="75" t="s">
        <v>132</v>
      </c>
      <c r="E2383" s="75" t="s">
        <v>179</v>
      </c>
      <c r="F2383" s="75" t="s">
        <v>181</v>
      </c>
      <c r="G2383" s="75" t="s">
        <v>396</v>
      </c>
      <c r="H2383" s="75"/>
      <c r="I2383" s="75" t="s">
        <v>170</v>
      </c>
      <c r="J2383" s="76">
        <v>15</v>
      </c>
      <c r="K2383" s="519">
        <v>3</v>
      </c>
      <c r="L2383" s="520">
        <v>10.33</v>
      </c>
      <c r="M2383" s="520">
        <v>11.28</v>
      </c>
      <c r="N2383" s="507">
        <v>0.106</v>
      </c>
      <c r="O2383" s="507">
        <v>0.10299999999999999</v>
      </c>
      <c r="P2383" s="507">
        <v>0.11799999999999999</v>
      </c>
      <c r="Q2383" s="78">
        <v>0.44</v>
      </c>
      <c r="R2383" s="78">
        <v>0.31740000000000002</v>
      </c>
      <c r="S2383" s="69">
        <v>2.5000000000000001E-2</v>
      </c>
      <c r="T2383" s="69">
        <v>5.0000000000000001E-3</v>
      </c>
      <c r="U2383" s="507">
        <v>0.85</v>
      </c>
      <c r="V2383" s="76">
        <v>0</v>
      </c>
      <c r="W2383" s="76">
        <v>250.00000000000003</v>
      </c>
      <c r="X2383" s="76"/>
      <c r="Y2383" s="519" t="s">
        <v>469</v>
      </c>
    </row>
    <row r="2384" spans="1:25" x14ac:dyDescent="0.25">
      <c r="A2384" s="75" t="str">
        <f t="shared" si="85"/>
        <v>Adquisicion PF No_Premier Nómina Mercado_Abierto Pago_Bajo_Puntual Si 10</v>
      </c>
      <c r="B2384" s="75" t="str">
        <f t="shared" si="84"/>
        <v>Adquisicion PF No_Premier Nómina Mercado_Abierto Pago_Bajo_Puntual Si 10 0.103</v>
      </c>
      <c r="C2384" s="75" t="s">
        <v>114</v>
      </c>
      <c r="D2384" s="75" t="s">
        <v>132</v>
      </c>
      <c r="E2384" s="75" t="s">
        <v>179</v>
      </c>
      <c r="F2384" s="75" t="s">
        <v>181</v>
      </c>
      <c r="G2384" s="75" t="s">
        <v>396</v>
      </c>
      <c r="H2384" s="75"/>
      <c r="I2384" s="75" t="s">
        <v>170</v>
      </c>
      <c r="J2384" s="76">
        <v>10</v>
      </c>
      <c r="K2384" s="519" t="s">
        <v>387</v>
      </c>
      <c r="L2384" s="520">
        <v>12.62</v>
      </c>
      <c r="M2384" s="520">
        <v>13.57</v>
      </c>
      <c r="N2384" s="507">
        <v>0.10299999999999999</v>
      </c>
      <c r="O2384" s="507">
        <v>0.1</v>
      </c>
      <c r="P2384" s="507">
        <v>0.112</v>
      </c>
      <c r="Q2384" s="78">
        <v>0.44</v>
      </c>
      <c r="R2384" s="78">
        <v>0.31740000000000002</v>
      </c>
      <c r="S2384" s="69">
        <v>2.5000000000000001E-2</v>
      </c>
      <c r="T2384" s="69">
        <v>5.0000000000000001E-3</v>
      </c>
      <c r="U2384" s="507">
        <v>0.9</v>
      </c>
      <c r="V2384" s="76">
        <v>0</v>
      </c>
      <c r="W2384" s="76">
        <v>250.00000000000003</v>
      </c>
      <c r="X2384" s="76" t="s">
        <v>147</v>
      </c>
      <c r="Y2384" s="519" t="s">
        <v>469</v>
      </c>
    </row>
    <row r="2385" spans="1:25" x14ac:dyDescent="0.25">
      <c r="A2385" s="75" t="str">
        <f t="shared" si="85"/>
        <v>Adquisicion PF No_Premier Nómina Mercado_Abierto Pago_Bajo_Puntual 10</v>
      </c>
      <c r="B2385" s="75" t="str">
        <f t="shared" si="84"/>
        <v>Adquisicion PF No_Premier Nómina Mercado_Abierto Pago_Bajo_Puntual 10 0.106</v>
      </c>
      <c r="C2385" s="75" t="s">
        <v>114</v>
      </c>
      <c r="D2385" s="75" t="s">
        <v>132</v>
      </c>
      <c r="E2385" s="75" t="s">
        <v>179</v>
      </c>
      <c r="F2385" s="75" t="s">
        <v>181</v>
      </c>
      <c r="G2385" s="75" t="s">
        <v>396</v>
      </c>
      <c r="H2385" s="75"/>
      <c r="I2385" s="75" t="s">
        <v>170</v>
      </c>
      <c r="J2385" s="76">
        <v>10</v>
      </c>
      <c r="K2385" s="519">
        <v>3</v>
      </c>
      <c r="L2385" s="520">
        <v>12.78</v>
      </c>
      <c r="M2385" s="520">
        <v>13.73</v>
      </c>
      <c r="N2385" s="507">
        <v>0.106</v>
      </c>
      <c r="O2385" s="507">
        <v>0.10299999999999999</v>
      </c>
      <c r="P2385" s="507">
        <v>0.11799999999999999</v>
      </c>
      <c r="Q2385" s="78">
        <v>0.44</v>
      </c>
      <c r="R2385" s="78">
        <v>0.31740000000000002</v>
      </c>
      <c r="S2385" s="69">
        <v>2.5000000000000001E-2</v>
      </c>
      <c r="T2385" s="69">
        <v>5.0000000000000001E-3</v>
      </c>
      <c r="U2385" s="507">
        <v>0.85</v>
      </c>
      <c r="V2385" s="76">
        <v>0</v>
      </c>
      <c r="W2385" s="76">
        <v>250.00000000000003</v>
      </c>
      <c r="X2385" s="76"/>
      <c r="Y2385" s="519" t="s">
        <v>469</v>
      </c>
    </row>
    <row r="2386" spans="1:25" x14ac:dyDescent="0.25">
      <c r="A2386" s="75" t="str">
        <f t="shared" si="85"/>
        <v>Adquisicion PF No_Premier Nómina Mercado_Abierto Pago_Bajo_Puntual Si 5</v>
      </c>
      <c r="B2386" s="75" t="str">
        <f t="shared" si="84"/>
        <v>Adquisicion PF No_Premier Nómina Mercado_Abierto Pago_Bajo_Puntual Si 5 0.103</v>
      </c>
      <c r="C2386" s="75" t="s">
        <v>114</v>
      </c>
      <c r="D2386" s="75" t="s">
        <v>132</v>
      </c>
      <c r="E2386" s="75" t="s">
        <v>179</v>
      </c>
      <c r="F2386" s="75" t="s">
        <v>181</v>
      </c>
      <c r="G2386" s="75" t="s">
        <v>396</v>
      </c>
      <c r="H2386" s="75"/>
      <c r="I2386" s="75" t="s">
        <v>170</v>
      </c>
      <c r="J2386" s="76">
        <v>5</v>
      </c>
      <c r="K2386" s="519" t="s">
        <v>387</v>
      </c>
      <c r="L2386" s="520">
        <v>20.72</v>
      </c>
      <c r="M2386" s="520">
        <v>21.67</v>
      </c>
      <c r="N2386" s="507">
        <v>0.10299999999999999</v>
      </c>
      <c r="O2386" s="507">
        <v>0.1</v>
      </c>
      <c r="P2386" s="507">
        <v>0.112</v>
      </c>
      <c r="Q2386" s="78">
        <v>0.44</v>
      </c>
      <c r="R2386" s="78">
        <v>0.31740000000000002</v>
      </c>
      <c r="S2386" s="69">
        <v>2.5000000000000001E-2</v>
      </c>
      <c r="T2386" s="69">
        <v>5.0000000000000001E-3</v>
      </c>
      <c r="U2386" s="507">
        <v>0.9</v>
      </c>
      <c r="V2386" s="76">
        <v>0</v>
      </c>
      <c r="W2386" s="76">
        <v>250.00000000000003</v>
      </c>
      <c r="X2386" s="76" t="s">
        <v>147</v>
      </c>
      <c r="Y2386" s="519" t="s">
        <v>469</v>
      </c>
    </row>
    <row r="2387" spans="1:25" x14ac:dyDescent="0.25">
      <c r="A2387" s="75" t="str">
        <f t="shared" si="85"/>
        <v>Adquisicion PF No_Premier Nómina Mercado_Abierto Pago_Bajo_Puntual 5</v>
      </c>
      <c r="B2387" s="75" t="str">
        <f t="shared" si="84"/>
        <v>Adquisicion PF No_Premier Nómina Mercado_Abierto Pago_Bajo_Puntual 5 0.106</v>
      </c>
      <c r="C2387" s="75" t="s">
        <v>114</v>
      </c>
      <c r="D2387" s="75" t="s">
        <v>132</v>
      </c>
      <c r="E2387" s="75" t="s">
        <v>179</v>
      </c>
      <c r="F2387" s="75" t="s">
        <v>181</v>
      </c>
      <c r="G2387" s="75" t="s">
        <v>396</v>
      </c>
      <c r="H2387" s="75"/>
      <c r="I2387" s="75" t="s">
        <v>170</v>
      </c>
      <c r="J2387" s="76">
        <v>5</v>
      </c>
      <c r="K2387" s="519">
        <v>3</v>
      </c>
      <c r="L2387" s="520">
        <v>20.86</v>
      </c>
      <c r="M2387" s="520">
        <v>21.81</v>
      </c>
      <c r="N2387" s="507">
        <v>0.106</v>
      </c>
      <c r="O2387" s="507">
        <v>0.10299999999999999</v>
      </c>
      <c r="P2387" s="507">
        <v>0.11799999999999999</v>
      </c>
      <c r="Q2387" s="78">
        <v>0.44</v>
      </c>
      <c r="R2387" s="78">
        <v>0.31740000000000002</v>
      </c>
      <c r="S2387" s="69">
        <v>2.5000000000000001E-2</v>
      </c>
      <c r="T2387" s="69">
        <v>5.0000000000000001E-3</v>
      </c>
      <c r="U2387" s="507">
        <v>0.85</v>
      </c>
      <c r="V2387" s="76">
        <v>0</v>
      </c>
      <c r="W2387" s="76">
        <v>250.00000000000003</v>
      </c>
      <c r="X2387" s="76"/>
      <c r="Y2387" s="519" t="s">
        <v>469</v>
      </c>
    </row>
    <row r="2388" spans="1:25" x14ac:dyDescent="0.25">
      <c r="A2388" s="75" t="str">
        <f t="shared" si="85"/>
        <v>Adquisicion PF No_Premier Nómina Mercado_Abierto Pago_Fijo_Puntual 20</v>
      </c>
      <c r="B2388" s="75" t="str">
        <f t="shared" si="84"/>
        <v>Adquisicion PF No_Premier Nómina Mercado_Abierto Pago_Fijo_Puntual 20 0.0965</v>
      </c>
      <c r="C2388" s="75" t="s">
        <v>114</v>
      </c>
      <c r="D2388" s="75" t="s">
        <v>132</v>
      </c>
      <c r="E2388" s="75" t="s">
        <v>179</v>
      </c>
      <c r="F2388" s="75" t="s">
        <v>181</v>
      </c>
      <c r="G2388" s="75" t="s">
        <v>396</v>
      </c>
      <c r="H2388" s="75"/>
      <c r="I2388" s="75" t="s">
        <v>171</v>
      </c>
      <c r="J2388" s="76">
        <v>20</v>
      </c>
      <c r="K2388" s="516" t="s">
        <v>385</v>
      </c>
      <c r="L2388" s="517">
        <v>9.66</v>
      </c>
      <c r="M2388" s="517">
        <v>10.61</v>
      </c>
      <c r="N2388" s="518">
        <v>9.6500000000000002E-2</v>
      </c>
      <c r="O2388" s="518">
        <v>9.1999999999999998E-2</v>
      </c>
      <c r="P2388" s="518">
        <v>0.10249999999999999</v>
      </c>
      <c r="Q2388" s="78">
        <v>0.44</v>
      </c>
      <c r="R2388" s="78">
        <v>0.31740000000000002</v>
      </c>
      <c r="S2388" s="69">
        <v>2.5000000000000001E-2</v>
      </c>
      <c r="T2388" s="69">
        <v>5.0000000000000001E-3</v>
      </c>
      <c r="U2388" s="518">
        <v>0.7</v>
      </c>
      <c r="V2388" s="76">
        <v>0</v>
      </c>
      <c r="W2388" s="76">
        <v>250.00000000000003</v>
      </c>
      <c r="X2388" s="76"/>
      <c r="Y2388" s="516" t="s">
        <v>470</v>
      </c>
    </row>
    <row r="2389" spans="1:25" x14ac:dyDescent="0.25">
      <c r="A2389" s="75" t="str">
        <f t="shared" si="85"/>
        <v>Adquisicion PF No_Premier Nómina Mercado_Abierto Pago_Fijo_Puntual 20</v>
      </c>
      <c r="B2389" s="75" t="str">
        <f t="shared" si="84"/>
        <v>Adquisicion PF No_Premier Nómina Mercado_Abierto Pago_Fijo_Puntual 20 0.103</v>
      </c>
      <c r="C2389" s="75" t="s">
        <v>114</v>
      </c>
      <c r="D2389" s="75" t="s">
        <v>132</v>
      </c>
      <c r="E2389" s="75" t="s">
        <v>179</v>
      </c>
      <c r="F2389" s="75" t="s">
        <v>181</v>
      </c>
      <c r="G2389" s="75" t="s">
        <v>396</v>
      </c>
      <c r="H2389" s="75"/>
      <c r="I2389" s="75" t="s">
        <v>171</v>
      </c>
      <c r="J2389" s="76">
        <v>20</v>
      </c>
      <c r="K2389" s="516" t="s">
        <v>386</v>
      </c>
      <c r="L2389" s="517">
        <v>10.16</v>
      </c>
      <c r="M2389" s="517">
        <v>11.11</v>
      </c>
      <c r="N2389" s="518">
        <v>0.10299999999999999</v>
      </c>
      <c r="O2389" s="518">
        <v>0.1</v>
      </c>
      <c r="P2389" s="518">
        <v>0.112</v>
      </c>
      <c r="Q2389" s="78">
        <v>0.44</v>
      </c>
      <c r="R2389" s="78">
        <v>0.31740000000000002</v>
      </c>
      <c r="S2389" s="69">
        <v>2.5000000000000001E-2</v>
      </c>
      <c r="T2389" s="69">
        <v>5.0000000000000001E-3</v>
      </c>
      <c r="U2389" s="518">
        <v>0.7</v>
      </c>
      <c r="V2389" s="76">
        <v>0</v>
      </c>
      <c r="W2389" s="76">
        <v>250.00000000000003</v>
      </c>
      <c r="X2389" s="76"/>
      <c r="Y2389" s="516" t="s">
        <v>470</v>
      </c>
    </row>
    <row r="2390" spans="1:25" x14ac:dyDescent="0.25">
      <c r="A2390" s="75" t="str">
        <f t="shared" si="85"/>
        <v>Adquisicion PF No_Premier Nómina Mercado_Abierto Pago_Fijo_Puntual 15</v>
      </c>
      <c r="B2390" s="75" t="str">
        <f t="shared" si="84"/>
        <v>Adquisicion PF No_Premier Nómina Mercado_Abierto Pago_Fijo_Puntual 15 0.0965</v>
      </c>
      <c r="C2390" s="75" t="s">
        <v>114</v>
      </c>
      <c r="D2390" s="75" t="s">
        <v>132</v>
      </c>
      <c r="E2390" s="75" t="s">
        <v>179</v>
      </c>
      <c r="F2390" s="75" t="s">
        <v>181</v>
      </c>
      <c r="G2390" s="75" t="s">
        <v>396</v>
      </c>
      <c r="H2390" s="75"/>
      <c r="I2390" s="75" t="s">
        <v>171</v>
      </c>
      <c r="J2390" s="76">
        <v>15</v>
      </c>
      <c r="K2390" s="516" t="s">
        <v>385</v>
      </c>
      <c r="L2390" s="517">
        <v>10.73</v>
      </c>
      <c r="M2390" s="517">
        <v>11.68</v>
      </c>
      <c r="N2390" s="518">
        <v>9.6500000000000002E-2</v>
      </c>
      <c r="O2390" s="518">
        <v>9.1999999999999998E-2</v>
      </c>
      <c r="P2390" s="518">
        <v>0.10249999999999999</v>
      </c>
      <c r="Q2390" s="78">
        <v>0.44</v>
      </c>
      <c r="R2390" s="78">
        <v>0.31740000000000002</v>
      </c>
      <c r="S2390" s="69">
        <v>2.5000000000000001E-2</v>
      </c>
      <c r="T2390" s="69">
        <v>5.0000000000000001E-3</v>
      </c>
      <c r="U2390" s="518">
        <v>0.7</v>
      </c>
      <c r="V2390" s="76">
        <v>0</v>
      </c>
      <c r="W2390" s="76">
        <v>250.00000000000003</v>
      </c>
      <c r="X2390" s="76"/>
      <c r="Y2390" s="516" t="s">
        <v>470</v>
      </c>
    </row>
    <row r="2391" spans="1:25" x14ac:dyDescent="0.25">
      <c r="A2391" s="75" t="str">
        <f t="shared" si="85"/>
        <v>Adquisicion PF No_Premier Nómina Mercado_Abierto Pago_Fijo_Puntual 15</v>
      </c>
      <c r="B2391" s="75" t="str">
        <f t="shared" si="84"/>
        <v>Adquisicion PF No_Premier Nómina Mercado_Abierto Pago_Fijo_Puntual 15 0.103</v>
      </c>
      <c r="C2391" s="75" t="s">
        <v>114</v>
      </c>
      <c r="D2391" s="75" t="s">
        <v>132</v>
      </c>
      <c r="E2391" s="75" t="s">
        <v>179</v>
      </c>
      <c r="F2391" s="75" t="s">
        <v>181</v>
      </c>
      <c r="G2391" s="75" t="s">
        <v>396</v>
      </c>
      <c r="H2391" s="75"/>
      <c r="I2391" s="75" t="s">
        <v>171</v>
      </c>
      <c r="J2391" s="76">
        <v>15</v>
      </c>
      <c r="K2391" s="516" t="s">
        <v>386</v>
      </c>
      <c r="L2391" s="517">
        <v>11.18</v>
      </c>
      <c r="M2391" s="517">
        <v>12.13</v>
      </c>
      <c r="N2391" s="518">
        <v>0.10299999999999999</v>
      </c>
      <c r="O2391" s="518">
        <v>0.1</v>
      </c>
      <c r="P2391" s="518">
        <v>0.112</v>
      </c>
      <c r="Q2391" s="78">
        <v>0.44</v>
      </c>
      <c r="R2391" s="78">
        <v>0.31740000000000002</v>
      </c>
      <c r="S2391" s="69">
        <v>2.5000000000000001E-2</v>
      </c>
      <c r="T2391" s="69">
        <v>5.0000000000000001E-3</v>
      </c>
      <c r="U2391" s="518">
        <v>0.7</v>
      </c>
      <c r="V2391" s="76">
        <v>0</v>
      </c>
      <c r="W2391" s="76">
        <v>250.00000000000003</v>
      </c>
      <c r="X2391" s="76"/>
      <c r="Y2391" s="516" t="s">
        <v>470</v>
      </c>
    </row>
    <row r="2392" spans="1:25" x14ac:dyDescent="0.25">
      <c r="A2392" s="75" t="str">
        <f t="shared" si="85"/>
        <v>Adquisicion PF No_Premier Nómina Mercado_Abierto Pago_Fijo_Puntual 10</v>
      </c>
      <c r="B2392" s="75" t="str">
        <f t="shared" si="84"/>
        <v>Adquisicion PF No_Premier Nómina Mercado_Abierto Pago_Fijo_Puntual 10 0.0965</v>
      </c>
      <c r="C2392" s="75" t="s">
        <v>114</v>
      </c>
      <c r="D2392" s="75" t="s">
        <v>132</v>
      </c>
      <c r="E2392" s="75" t="s">
        <v>179</v>
      </c>
      <c r="F2392" s="75" t="s">
        <v>181</v>
      </c>
      <c r="G2392" s="75" t="s">
        <v>396</v>
      </c>
      <c r="H2392" s="75"/>
      <c r="I2392" s="75" t="s">
        <v>171</v>
      </c>
      <c r="J2392" s="76">
        <v>10</v>
      </c>
      <c r="K2392" s="516" t="s">
        <v>385</v>
      </c>
      <c r="L2392" s="517">
        <v>13.16</v>
      </c>
      <c r="M2392" s="517">
        <v>14.11</v>
      </c>
      <c r="N2392" s="518">
        <v>9.6500000000000002E-2</v>
      </c>
      <c r="O2392" s="518">
        <v>9.1999999999999998E-2</v>
      </c>
      <c r="P2392" s="518">
        <v>0.10249999999999999</v>
      </c>
      <c r="Q2392" s="78">
        <v>0.44</v>
      </c>
      <c r="R2392" s="78">
        <v>0.31740000000000002</v>
      </c>
      <c r="S2392" s="69">
        <v>2.5000000000000001E-2</v>
      </c>
      <c r="T2392" s="69">
        <v>5.0000000000000001E-3</v>
      </c>
      <c r="U2392" s="518">
        <v>0.7</v>
      </c>
      <c r="V2392" s="76">
        <v>0</v>
      </c>
      <c r="W2392" s="76">
        <v>250.00000000000003</v>
      </c>
      <c r="X2392" s="76"/>
      <c r="Y2392" s="516" t="s">
        <v>470</v>
      </c>
    </row>
    <row r="2393" spans="1:25" x14ac:dyDescent="0.25">
      <c r="A2393" s="75" t="str">
        <f t="shared" si="85"/>
        <v>Adquisicion PF No_Premier Nómina Mercado_Abierto Pago_Fijo_Puntual 10</v>
      </c>
      <c r="B2393" s="75" t="str">
        <f t="shared" si="84"/>
        <v>Adquisicion PF No_Premier Nómina Mercado_Abierto Pago_Fijo_Puntual 10 0.103</v>
      </c>
      <c r="C2393" s="75" t="s">
        <v>114</v>
      </c>
      <c r="D2393" s="75" t="s">
        <v>132</v>
      </c>
      <c r="E2393" s="75" t="s">
        <v>179</v>
      </c>
      <c r="F2393" s="75" t="s">
        <v>181</v>
      </c>
      <c r="G2393" s="75" t="s">
        <v>396</v>
      </c>
      <c r="H2393" s="75"/>
      <c r="I2393" s="75" t="s">
        <v>171</v>
      </c>
      <c r="J2393" s="76">
        <v>10</v>
      </c>
      <c r="K2393" s="516" t="s">
        <v>386</v>
      </c>
      <c r="L2393" s="517">
        <v>13.54</v>
      </c>
      <c r="M2393" s="517">
        <v>14.49</v>
      </c>
      <c r="N2393" s="518">
        <v>0.10299999999999999</v>
      </c>
      <c r="O2393" s="518">
        <v>0.1</v>
      </c>
      <c r="P2393" s="518">
        <v>0.112</v>
      </c>
      <c r="Q2393" s="78">
        <v>0.44</v>
      </c>
      <c r="R2393" s="78">
        <v>0.31740000000000002</v>
      </c>
      <c r="S2393" s="69">
        <v>2.5000000000000001E-2</v>
      </c>
      <c r="T2393" s="69">
        <v>5.0000000000000001E-3</v>
      </c>
      <c r="U2393" s="518">
        <v>0.7</v>
      </c>
      <c r="V2393" s="76">
        <v>0</v>
      </c>
      <c r="W2393" s="76">
        <v>250.00000000000003</v>
      </c>
      <c r="X2393" s="76"/>
      <c r="Y2393" s="516" t="s">
        <v>470</v>
      </c>
    </row>
    <row r="2394" spans="1:25" x14ac:dyDescent="0.25">
      <c r="A2394" s="75" t="str">
        <f t="shared" si="85"/>
        <v>Adquisicion PF No_Premier Nómina Mercado_Abierto Pago_Fijo_Puntual 5</v>
      </c>
      <c r="B2394" s="75" t="str">
        <f t="shared" si="84"/>
        <v>Adquisicion PF No_Premier Nómina Mercado_Abierto Pago_Fijo_Puntual 5 0.0965</v>
      </c>
      <c r="C2394" s="75" t="s">
        <v>114</v>
      </c>
      <c r="D2394" s="75" t="s">
        <v>132</v>
      </c>
      <c r="E2394" s="75" t="s">
        <v>179</v>
      </c>
      <c r="F2394" s="75" t="s">
        <v>181</v>
      </c>
      <c r="G2394" s="75" t="s">
        <v>396</v>
      </c>
      <c r="H2394" s="75"/>
      <c r="I2394" s="75" t="s">
        <v>171</v>
      </c>
      <c r="J2394" s="76">
        <v>5</v>
      </c>
      <c r="K2394" s="516" t="s">
        <v>385</v>
      </c>
      <c r="L2394" s="517">
        <v>21.12</v>
      </c>
      <c r="M2394" s="517">
        <v>22.07</v>
      </c>
      <c r="N2394" s="518">
        <v>9.6500000000000002E-2</v>
      </c>
      <c r="O2394" s="518">
        <v>9.1999999999999998E-2</v>
      </c>
      <c r="P2394" s="518">
        <v>0.10249999999999999</v>
      </c>
      <c r="Q2394" s="78">
        <v>0.44</v>
      </c>
      <c r="R2394" s="78">
        <v>0.31740000000000002</v>
      </c>
      <c r="S2394" s="69">
        <v>2.5000000000000001E-2</v>
      </c>
      <c r="T2394" s="69">
        <v>5.0000000000000001E-3</v>
      </c>
      <c r="U2394" s="518">
        <v>0.7</v>
      </c>
      <c r="V2394" s="76">
        <v>0</v>
      </c>
      <c r="W2394" s="76">
        <v>250.00000000000003</v>
      </c>
      <c r="X2394" s="76"/>
      <c r="Y2394" s="516" t="s">
        <v>470</v>
      </c>
    </row>
    <row r="2395" spans="1:25" x14ac:dyDescent="0.25">
      <c r="A2395" s="75" t="str">
        <f t="shared" si="85"/>
        <v>Adquisicion PF No_Premier Nómina Mercado_Abierto Pago_Fijo_Puntual 5</v>
      </c>
      <c r="B2395" s="75" t="str">
        <f t="shared" si="84"/>
        <v>Adquisicion PF No_Premier Nómina Mercado_Abierto Pago_Fijo_Puntual 5 0.103</v>
      </c>
      <c r="C2395" s="75" t="s">
        <v>114</v>
      </c>
      <c r="D2395" s="75" t="s">
        <v>132</v>
      </c>
      <c r="E2395" s="75" t="s">
        <v>179</v>
      </c>
      <c r="F2395" s="75" t="s">
        <v>181</v>
      </c>
      <c r="G2395" s="75" t="s">
        <v>396</v>
      </c>
      <c r="H2395" s="75"/>
      <c r="I2395" s="75" t="s">
        <v>171</v>
      </c>
      <c r="J2395" s="76">
        <v>5</v>
      </c>
      <c r="K2395" s="516" t="s">
        <v>386</v>
      </c>
      <c r="L2395" s="517">
        <v>21.44</v>
      </c>
      <c r="M2395" s="517">
        <v>22.39</v>
      </c>
      <c r="N2395" s="518">
        <v>0.10299999999999999</v>
      </c>
      <c r="O2395" s="518">
        <v>0.1</v>
      </c>
      <c r="P2395" s="518">
        <v>0.112</v>
      </c>
      <c r="Q2395" s="78">
        <v>0.44</v>
      </c>
      <c r="R2395" s="78">
        <v>0.31740000000000002</v>
      </c>
      <c r="S2395" s="69">
        <v>2.5000000000000001E-2</v>
      </c>
      <c r="T2395" s="69">
        <v>5.0000000000000001E-3</v>
      </c>
      <c r="U2395" s="518">
        <v>0.7</v>
      </c>
      <c r="V2395" s="76">
        <v>0</v>
      </c>
      <c r="W2395" s="76">
        <v>250.00000000000003</v>
      </c>
      <c r="X2395" s="76"/>
      <c r="Y2395" s="516" t="s">
        <v>470</v>
      </c>
    </row>
    <row r="2396" spans="1:25" x14ac:dyDescent="0.25">
      <c r="A2396" s="75" t="str">
        <f t="shared" si="85"/>
        <v>Adquisicion PF No_Premier Nómina Mercado_Abierto Pago_Bajo_Puntual 20</v>
      </c>
      <c r="B2396" s="75" t="str">
        <f t="shared" si="84"/>
        <v>Adquisicion PF No_Premier Nómina Mercado_Abierto Pago_Bajo_Puntual 20 0.0965</v>
      </c>
      <c r="C2396" s="75" t="s">
        <v>114</v>
      </c>
      <c r="D2396" s="75" t="s">
        <v>132</v>
      </c>
      <c r="E2396" s="75" t="s">
        <v>179</v>
      </c>
      <c r="F2396" s="75" t="s">
        <v>181</v>
      </c>
      <c r="G2396" s="75" t="s">
        <v>396</v>
      </c>
      <c r="H2396" s="75"/>
      <c r="I2396" s="75" t="s">
        <v>170</v>
      </c>
      <c r="J2396" s="76">
        <v>20</v>
      </c>
      <c r="K2396" s="516" t="s">
        <v>385</v>
      </c>
      <c r="L2396" s="517">
        <v>8.52</v>
      </c>
      <c r="M2396" s="517">
        <v>9.4700000000000006</v>
      </c>
      <c r="N2396" s="518">
        <v>9.6500000000000002E-2</v>
      </c>
      <c r="O2396" s="518">
        <v>9.1999999999999998E-2</v>
      </c>
      <c r="P2396" s="518">
        <v>0.10249999999999999</v>
      </c>
      <c r="Q2396" s="78">
        <v>0.44</v>
      </c>
      <c r="R2396" s="78">
        <v>0.31740000000000002</v>
      </c>
      <c r="S2396" s="69">
        <v>2.5000000000000001E-2</v>
      </c>
      <c r="T2396" s="69">
        <v>5.0000000000000001E-3</v>
      </c>
      <c r="U2396" s="518">
        <v>0.7</v>
      </c>
      <c r="V2396" s="76">
        <v>0</v>
      </c>
      <c r="W2396" s="76">
        <v>250.00000000000003</v>
      </c>
      <c r="X2396" s="76"/>
      <c r="Y2396" s="516" t="s">
        <v>470</v>
      </c>
    </row>
    <row r="2397" spans="1:25" x14ac:dyDescent="0.25">
      <c r="A2397" s="75" t="str">
        <f t="shared" si="85"/>
        <v>Adquisicion PF No_Premier Nómina Mercado_Abierto Pago_Bajo_Puntual 20</v>
      </c>
      <c r="B2397" s="75" t="str">
        <f t="shared" si="84"/>
        <v>Adquisicion PF No_Premier Nómina Mercado_Abierto Pago_Bajo_Puntual 20 0.103</v>
      </c>
      <c r="C2397" s="75" t="s">
        <v>114</v>
      </c>
      <c r="D2397" s="75" t="s">
        <v>132</v>
      </c>
      <c r="E2397" s="75" t="s">
        <v>179</v>
      </c>
      <c r="F2397" s="75" t="s">
        <v>181</v>
      </c>
      <c r="G2397" s="75" t="s">
        <v>396</v>
      </c>
      <c r="H2397" s="75"/>
      <c r="I2397" s="75" t="s">
        <v>170</v>
      </c>
      <c r="J2397" s="76">
        <v>20</v>
      </c>
      <c r="K2397" s="516" t="s">
        <v>386</v>
      </c>
      <c r="L2397" s="517">
        <v>9</v>
      </c>
      <c r="M2397" s="517">
        <v>9.9499999999999993</v>
      </c>
      <c r="N2397" s="518">
        <v>0.10299999999999999</v>
      </c>
      <c r="O2397" s="518">
        <v>0.1</v>
      </c>
      <c r="P2397" s="518">
        <v>0.112</v>
      </c>
      <c r="Q2397" s="78">
        <v>0.44</v>
      </c>
      <c r="R2397" s="78">
        <v>0.31740000000000002</v>
      </c>
      <c r="S2397" s="69">
        <v>2.5000000000000001E-2</v>
      </c>
      <c r="T2397" s="69">
        <v>5.0000000000000001E-3</v>
      </c>
      <c r="U2397" s="518">
        <v>0.7</v>
      </c>
      <c r="V2397" s="76">
        <v>0</v>
      </c>
      <c r="W2397" s="76">
        <v>250.00000000000003</v>
      </c>
      <c r="X2397" s="76"/>
      <c r="Y2397" s="516" t="s">
        <v>470</v>
      </c>
    </row>
    <row r="2398" spans="1:25" x14ac:dyDescent="0.25">
      <c r="A2398" s="75" t="str">
        <f t="shared" si="85"/>
        <v>Adquisicion PF No_Premier Nómina Mercado_Abierto Pago_Bajo_Puntual 15</v>
      </c>
      <c r="B2398" s="75" t="str">
        <f t="shared" si="84"/>
        <v>Adquisicion PF No_Premier Nómina Mercado_Abierto Pago_Bajo_Puntual 15 0.0965</v>
      </c>
      <c r="C2398" s="75" t="s">
        <v>114</v>
      </c>
      <c r="D2398" s="75" t="s">
        <v>132</v>
      </c>
      <c r="E2398" s="75" t="s">
        <v>179</v>
      </c>
      <c r="F2398" s="75" t="s">
        <v>181</v>
      </c>
      <c r="G2398" s="75" t="s">
        <v>396</v>
      </c>
      <c r="H2398" s="75"/>
      <c r="I2398" s="75" t="s">
        <v>170</v>
      </c>
      <c r="J2398" s="76">
        <v>15</v>
      </c>
      <c r="K2398" s="516" t="s">
        <v>385</v>
      </c>
      <c r="L2398" s="517">
        <v>9.6999999999999993</v>
      </c>
      <c r="M2398" s="517">
        <v>10.65</v>
      </c>
      <c r="N2398" s="518">
        <v>9.6500000000000002E-2</v>
      </c>
      <c r="O2398" s="518">
        <v>9.1999999999999998E-2</v>
      </c>
      <c r="P2398" s="518">
        <v>0.10249999999999999</v>
      </c>
      <c r="Q2398" s="78">
        <v>0.44</v>
      </c>
      <c r="R2398" s="78">
        <v>0.31740000000000002</v>
      </c>
      <c r="S2398" s="69">
        <v>2.5000000000000001E-2</v>
      </c>
      <c r="T2398" s="69">
        <v>5.0000000000000001E-3</v>
      </c>
      <c r="U2398" s="518">
        <v>0.7</v>
      </c>
      <c r="V2398" s="76">
        <v>0</v>
      </c>
      <c r="W2398" s="76">
        <v>250.00000000000003</v>
      </c>
      <c r="X2398" s="76"/>
      <c r="Y2398" s="516" t="s">
        <v>470</v>
      </c>
    </row>
    <row r="2399" spans="1:25" x14ac:dyDescent="0.25">
      <c r="A2399" s="75" t="str">
        <f t="shared" si="85"/>
        <v>Adquisicion PF No_Premier Nómina Mercado_Abierto Pago_Bajo_Puntual 15</v>
      </c>
      <c r="B2399" s="75" t="str">
        <f t="shared" si="84"/>
        <v>Adquisicion PF No_Premier Nómina Mercado_Abierto Pago_Bajo_Puntual 15 0.103</v>
      </c>
      <c r="C2399" s="75" t="s">
        <v>114</v>
      </c>
      <c r="D2399" s="75" t="s">
        <v>132</v>
      </c>
      <c r="E2399" s="75" t="s">
        <v>179</v>
      </c>
      <c r="F2399" s="75" t="s">
        <v>181</v>
      </c>
      <c r="G2399" s="75" t="s">
        <v>396</v>
      </c>
      <c r="H2399" s="75"/>
      <c r="I2399" s="75" t="s">
        <v>170</v>
      </c>
      <c r="J2399" s="76">
        <v>15</v>
      </c>
      <c r="K2399" s="516" t="s">
        <v>386</v>
      </c>
      <c r="L2399" s="517">
        <v>10.119999999999999</v>
      </c>
      <c r="M2399" s="517">
        <v>11.07</v>
      </c>
      <c r="N2399" s="518">
        <v>0.10299999999999999</v>
      </c>
      <c r="O2399" s="518">
        <v>0.1</v>
      </c>
      <c r="P2399" s="518">
        <v>0.112</v>
      </c>
      <c r="Q2399" s="78">
        <v>0.44</v>
      </c>
      <c r="R2399" s="78">
        <v>0.31740000000000002</v>
      </c>
      <c r="S2399" s="69">
        <v>2.5000000000000001E-2</v>
      </c>
      <c r="T2399" s="69">
        <v>5.0000000000000001E-3</v>
      </c>
      <c r="U2399" s="518">
        <v>0.7</v>
      </c>
      <c r="V2399" s="76">
        <v>0</v>
      </c>
      <c r="W2399" s="76">
        <v>250.00000000000003</v>
      </c>
      <c r="X2399" s="76"/>
      <c r="Y2399" s="516" t="s">
        <v>470</v>
      </c>
    </row>
    <row r="2400" spans="1:25" x14ac:dyDescent="0.25">
      <c r="A2400" s="75" t="str">
        <f t="shared" si="85"/>
        <v>Adquisicion PF No_Premier Nómina Mercado_Abierto Pago_Bajo_Puntual 10</v>
      </c>
      <c r="B2400" s="75" t="str">
        <f t="shared" si="84"/>
        <v>Adquisicion PF No_Premier Nómina Mercado_Abierto Pago_Bajo_Puntual 10 0.0965</v>
      </c>
      <c r="C2400" s="75" t="s">
        <v>114</v>
      </c>
      <c r="D2400" s="75" t="s">
        <v>132</v>
      </c>
      <c r="E2400" s="75" t="s">
        <v>179</v>
      </c>
      <c r="F2400" s="75" t="s">
        <v>181</v>
      </c>
      <c r="G2400" s="75" t="s">
        <v>396</v>
      </c>
      <c r="H2400" s="75"/>
      <c r="I2400" s="75" t="s">
        <v>170</v>
      </c>
      <c r="J2400" s="76">
        <v>10</v>
      </c>
      <c r="K2400" s="516" t="s">
        <v>385</v>
      </c>
      <c r="L2400" s="517">
        <v>12.25</v>
      </c>
      <c r="M2400" s="517">
        <v>13.2</v>
      </c>
      <c r="N2400" s="518">
        <v>9.6500000000000002E-2</v>
      </c>
      <c r="O2400" s="518">
        <v>9.1999999999999998E-2</v>
      </c>
      <c r="P2400" s="518">
        <v>0.10249999999999999</v>
      </c>
      <c r="Q2400" s="78">
        <v>0.44</v>
      </c>
      <c r="R2400" s="78">
        <v>0.31740000000000002</v>
      </c>
      <c r="S2400" s="69">
        <v>2.5000000000000001E-2</v>
      </c>
      <c r="T2400" s="69">
        <v>5.0000000000000001E-3</v>
      </c>
      <c r="U2400" s="518">
        <v>0.7</v>
      </c>
      <c r="V2400" s="76">
        <v>0</v>
      </c>
      <c r="W2400" s="76">
        <v>250.00000000000003</v>
      </c>
      <c r="X2400" s="76"/>
      <c r="Y2400" s="516" t="s">
        <v>470</v>
      </c>
    </row>
    <row r="2401" spans="1:25" x14ac:dyDescent="0.25">
      <c r="A2401" s="75" t="str">
        <f t="shared" si="85"/>
        <v>Adquisicion PF No_Premier Nómina Mercado_Abierto Pago_Bajo_Puntual 10</v>
      </c>
      <c r="B2401" s="75" t="str">
        <f t="shared" si="84"/>
        <v>Adquisicion PF No_Premier Nómina Mercado_Abierto Pago_Bajo_Puntual 10 0.103</v>
      </c>
      <c r="C2401" s="75" t="s">
        <v>114</v>
      </c>
      <c r="D2401" s="75" t="s">
        <v>132</v>
      </c>
      <c r="E2401" s="75" t="s">
        <v>179</v>
      </c>
      <c r="F2401" s="75" t="s">
        <v>181</v>
      </c>
      <c r="G2401" s="75" t="s">
        <v>396</v>
      </c>
      <c r="H2401" s="75"/>
      <c r="I2401" s="75" t="s">
        <v>170</v>
      </c>
      <c r="J2401" s="76">
        <v>10</v>
      </c>
      <c r="K2401" s="516" t="s">
        <v>386</v>
      </c>
      <c r="L2401" s="517">
        <v>12.62</v>
      </c>
      <c r="M2401" s="517">
        <v>13.57</v>
      </c>
      <c r="N2401" s="518">
        <v>0.10299999999999999</v>
      </c>
      <c r="O2401" s="518">
        <v>0.1</v>
      </c>
      <c r="P2401" s="518">
        <v>0.112</v>
      </c>
      <c r="Q2401" s="78">
        <v>0.44</v>
      </c>
      <c r="R2401" s="78">
        <v>0.31740000000000002</v>
      </c>
      <c r="S2401" s="69">
        <v>2.5000000000000001E-2</v>
      </c>
      <c r="T2401" s="69">
        <v>5.0000000000000001E-3</v>
      </c>
      <c r="U2401" s="518">
        <v>0.7</v>
      </c>
      <c r="V2401" s="76">
        <v>0</v>
      </c>
      <c r="W2401" s="76">
        <v>250.00000000000003</v>
      </c>
      <c r="X2401" s="76"/>
      <c r="Y2401" s="516" t="s">
        <v>470</v>
      </c>
    </row>
    <row r="2402" spans="1:25" x14ac:dyDescent="0.25">
      <c r="A2402" s="75" t="str">
        <f t="shared" si="85"/>
        <v>Adquisicion PF No_Premier Nómina Mercado_Abierto Pago_Bajo_Puntual 5</v>
      </c>
      <c r="B2402" s="75" t="str">
        <f t="shared" si="84"/>
        <v>Adquisicion PF No_Premier Nómina Mercado_Abierto Pago_Bajo_Puntual 5 0.0965</v>
      </c>
      <c r="C2402" s="75" t="s">
        <v>114</v>
      </c>
      <c r="D2402" s="75" t="s">
        <v>132</v>
      </c>
      <c r="E2402" s="75" t="s">
        <v>179</v>
      </c>
      <c r="F2402" s="75" t="s">
        <v>181</v>
      </c>
      <c r="G2402" s="75" t="s">
        <v>396</v>
      </c>
      <c r="H2402" s="75"/>
      <c r="I2402" s="75" t="s">
        <v>170</v>
      </c>
      <c r="J2402" s="76">
        <v>5</v>
      </c>
      <c r="K2402" s="516" t="s">
        <v>385</v>
      </c>
      <c r="L2402" s="517">
        <v>20.399999999999999</v>
      </c>
      <c r="M2402" s="517">
        <v>21.35</v>
      </c>
      <c r="N2402" s="518">
        <v>9.6500000000000002E-2</v>
      </c>
      <c r="O2402" s="518">
        <v>9.1999999999999998E-2</v>
      </c>
      <c r="P2402" s="518">
        <v>0.10249999999999999</v>
      </c>
      <c r="Q2402" s="78">
        <v>0.44</v>
      </c>
      <c r="R2402" s="78">
        <v>0.31740000000000002</v>
      </c>
      <c r="S2402" s="69">
        <v>2.5000000000000001E-2</v>
      </c>
      <c r="T2402" s="69">
        <v>5.0000000000000001E-3</v>
      </c>
      <c r="U2402" s="518">
        <v>0.7</v>
      </c>
      <c r="V2402" s="76">
        <v>0</v>
      </c>
      <c r="W2402" s="76">
        <v>250.00000000000003</v>
      </c>
      <c r="X2402" s="76"/>
      <c r="Y2402" s="516" t="s">
        <v>470</v>
      </c>
    </row>
    <row r="2403" spans="1:25" x14ac:dyDescent="0.25">
      <c r="A2403" s="75" t="str">
        <f t="shared" si="85"/>
        <v>Adquisicion PF No_Premier Nómina Mercado_Abierto Pago_Bajo_Puntual 5</v>
      </c>
      <c r="B2403" s="75" t="str">
        <f t="shared" si="84"/>
        <v>Adquisicion PF No_Premier Nómina Mercado_Abierto Pago_Bajo_Puntual 5 0.103</v>
      </c>
      <c r="C2403" s="75" t="s">
        <v>114</v>
      </c>
      <c r="D2403" s="75" t="s">
        <v>132</v>
      </c>
      <c r="E2403" s="75" t="s">
        <v>179</v>
      </c>
      <c r="F2403" s="75" t="s">
        <v>181</v>
      </c>
      <c r="G2403" s="75" t="s">
        <v>396</v>
      </c>
      <c r="H2403" s="75"/>
      <c r="I2403" s="75" t="s">
        <v>170</v>
      </c>
      <c r="J2403" s="76">
        <v>5</v>
      </c>
      <c r="K2403" s="516" t="s">
        <v>386</v>
      </c>
      <c r="L2403" s="517">
        <v>20.72</v>
      </c>
      <c r="M2403" s="517">
        <v>21.67</v>
      </c>
      <c r="N2403" s="518">
        <v>0.10299999999999999</v>
      </c>
      <c r="O2403" s="518">
        <v>0.1</v>
      </c>
      <c r="P2403" s="518">
        <v>0.112</v>
      </c>
      <c r="Q2403" s="78">
        <v>0.44</v>
      </c>
      <c r="R2403" s="78">
        <v>0.31740000000000002</v>
      </c>
      <c r="S2403" s="69">
        <v>2.5000000000000001E-2</v>
      </c>
      <c r="T2403" s="69">
        <v>5.0000000000000001E-3</v>
      </c>
      <c r="U2403" s="518">
        <v>0.7</v>
      </c>
      <c r="V2403" s="76">
        <v>0</v>
      </c>
      <c r="W2403" s="76">
        <v>250.00000000000003</v>
      </c>
      <c r="X2403" s="76"/>
      <c r="Y2403" s="516" t="s">
        <v>470</v>
      </c>
    </row>
    <row r="2404" spans="1:25" x14ac:dyDescent="0.25">
      <c r="A2404" s="75" t="str">
        <f t="shared" si="85"/>
        <v>Adquisicion PF No_Premier Normal Mercado_Abierto Pago_Fijo_Puntual 20</v>
      </c>
      <c r="B2404" s="75" t="str">
        <f t="shared" si="84"/>
        <v>Adquisicion PF No_Premier Normal Mercado_Abierto Pago_Fijo_Puntual 20 0.0965</v>
      </c>
      <c r="C2404" s="75" t="s">
        <v>114</v>
      </c>
      <c r="D2404" s="75" t="s">
        <v>132</v>
      </c>
      <c r="E2404" s="75" t="s">
        <v>179</v>
      </c>
      <c r="F2404" s="75" t="s">
        <v>180</v>
      </c>
      <c r="G2404" s="75" t="s">
        <v>396</v>
      </c>
      <c r="H2404" s="75"/>
      <c r="I2404" s="75" t="s">
        <v>171</v>
      </c>
      <c r="J2404" s="76">
        <v>20</v>
      </c>
      <c r="K2404" s="516" t="s">
        <v>385</v>
      </c>
      <c r="L2404" s="517">
        <v>9.66</v>
      </c>
      <c r="M2404" s="517">
        <v>10.61</v>
      </c>
      <c r="N2404" s="518">
        <v>9.6500000000000002E-2</v>
      </c>
      <c r="O2404" s="518">
        <v>9.1999999999999998E-2</v>
      </c>
      <c r="P2404" s="518">
        <v>0.10249999999999999</v>
      </c>
      <c r="Q2404" s="78">
        <v>0.44</v>
      </c>
      <c r="R2404" s="78">
        <v>0.31740000000000002</v>
      </c>
      <c r="S2404" s="69">
        <v>2.5000000000000001E-2</v>
      </c>
      <c r="T2404" s="69">
        <v>0.01</v>
      </c>
      <c r="U2404" s="518">
        <v>0.7</v>
      </c>
      <c r="V2404" s="76">
        <v>0</v>
      </c>
      <c r="W2404" s="76">
        <v>250.00000000000003</v>
      </c>
      <c r="X2404" s="76"/>
      <c r="Y2404" s="516" t="s">
        <v>470</v>
      </c>
    </row>
    <row r="2405" spans="1:25" x14ac:dyDescent="0.25">
      <c r="A2405" s="75" t="str">
        <f t="shared" si="85"/>
        <v>Adquisicion PF No_Premier Normal Mercado_Abierto Pago_Fijo_Puntual 20</v>
      </c>
      <c r="B2405" s="75" t="str">
        <f t="shared" si="84"/>
        <v>Adquisicion PF No_Premier Normal Mercado_Abierto Pago_Fijo_Puntual 20 0.103</v>
      </c>
      <c r="C2405" s="75" t="s">
        <v>114</v>
      </c>
      <c r="D2405" s="75" t="s">
        <v>132</v>
      </c>
      <c r="E2405" s="75" t="s">
        <v>179</v>
      </c>
      <c r="F2405" s="75" t="s">
        <v>180</v>
      </c>
      <c r="G2405" s="75" t="s">
        <v>396</v>
      </c>
      <c r="H2405" s="75"/>
      <c r="I2405" s="75" t="s">
        <v>171</v>
      </c>
      <c r="J2405" s="76">
        <v>20</v>
      </c>
      <c r="K2405" s="516" t="s">
        <v>386</v>
      </c>
      <c r="L2405" s="517">
        <v>10.16</v>
      </c>
      <c r="M2405" s="517">
        <v>11.11</v>
      </c>
      <c r="N2405" s="518">
        <v>0.10299999999999999</v>
      </c>
      <c r="O2405" s="518">
        <v>0.1</v>
      </c>
      <c r="P2405" s="518">
        <v>0.112</v>
      </c>
      <c r="Q2405" s="78">
        <v>0.44</v>
      </c>
      <c r="R2405" s="78">
        <v>0.31740000000000002</v>
      </c>
      <c r="S2405" s="69">
        <v>2.5000000000000001E-2</v>
      </c>
      <c r="T2405" s="69">
        <v>0.01</v>
      </c>
      <c r="U2405" s="518">
        <v>0.7</v>
      </c>
      <c r="V2405" s="76">
        <v>0</v>
      </c>
      <c r="W2405" s="76">
        <v>250.00000000000003</v>
      </c>
      <c r="X2405" s="76"/>
      <c r="Y2405" s="516" t="s">
        <v>470</v>
      </c>
    </row>
    <row r="2406" spans="1:25" x14ac:dyDescent="0.25">
      <c r="A2406" s="75" t="str">
        <f t="shared" si="85"/>
        <v>Adquisicion PF No_Premier Normal Mercado_Abierto Pago_Fijo_Puntual 15</v>
      </c>
      <c r="B2406" s="75" t="str">
        <f t="shared" si="84"/>
        <v>Adquisicion PF No_Premier Normal Mercado_Abierto Pago_Fijo_Puntual 15 0.0965</v>
      </c>
      <c r="C2406" s="75" t="s">
        <v>114</v>
      </c>
      <c r="D2406" s="75" t="s">
        <v>132</v>
      </c>
      <c r="E2406" s="75" t="s">
        <v>179</v>
      </c>
      <c r="F2406" s="75" t="s">
        <v>180</v>
      </c>
      <c r="G2406" s="75" t="s">
        <v>396</v>
      </c>
      <c r="H2406" s="75"/>
      <c r="I2406" s="75" t="s">
        <v>171</v>
      </c>
      <c r="J2406" s="76">
        <v>15</v>
      </c>
      <c r="K2406" s="516" t="s">
        <v>385</v>
      </c>
      <c r="L2406" s="517">
        <v>10.73</v>
      </c>
      <c r="M2406" s="517">
        <v>11.68</v>
      </c>
      <c r="N2406" s="518">
        <v>9.6500000000000002E-2</v>
      </c>
      <c r="O2406" s="518">
        <v>9.1999999999999998E-2</v>
      </c>
      <c r="P2406" s="518">
        <v>0.10249999999999999</v>
      </c>
      <c r="Q2406" s="78">
        <v>0.44</v>
      </c>
      <c r="R2406" s="78">
        <v>0.31740000000000002</v>
      </c>
      <c r="S2406" s="69">
        <v>2.5000000000000001E-2</v>
      </c>
      <c r="T2406" s="69">
        <v>0.01</v>
      </c>
      <c r="U2406" s="518">
        <v>0.7</v>
      </c>
      <c r="V2406" s="76">
        <v>0</v>
      </c>
      <c r="W2406" s="76">
        <v>250.00000000000003</v>
      </c>
      <c r="X2406" s="76"/>
      <c r="Y2406" s="516" t="s">
        <v>470</v>
      </c>
    </row>
    <row r="2407" spans="1:25" x14ac:dyDescent="0.25">
      <c r="A2407" s="75" t="str">
        <f t="shared" si="85"/>
        <v>Adquisicion PF No_Premier Normal Mercado_Abierto Pago_Fijo_Puntual 15</v>
      </c>
      <c r="B2407" s="75" t="str">
        <f t="shared" si="84"/>
        <v>Adquisicion PF No_Premier Normal Mercado_Abierto Pago_Fijo_Puntual 15 0.103</v>
      </c>
      <c r="C2407" s="75" t="s">
        <v>114</v>
      </c>
      <c r="D2407" s="75" t="s">
        <v>132</v>
      </c>
      <c r="E2407" s="75" t="s">
        <v>179</v>
      </c>
      <c r="F2407" s="75" t="s">
        <v>180</v>
      </c>
      <c r="G2407" s="75" t="s">
        <v>396</v>
      </c>
      <c r="H2407" s="75"/>
      <c r="I2407" s="75" t="s">
        <v>171</v>
      </c>
      <c r="J2407" s="76">
        <v>15</v>
      </c>
      <c r="K2407" s="516" t="s">
        <v>386</v>
      </c>
      <c r="L2407" s="517">
        <v>11.18</v>
      </c>
      <c r="M2407" s="517">
        <v>12.13</v>
      </c>
      <c r="N2407" s="518">
        <v>0.10299999999999999</v>
      </c>
      <c r="O2407" s="518">
        <v>0.1</v>
      </c>
      <c r="P2407" s="518">
        <v>0.112</v>
      </c>
      <c r="Q2407" s="78">
        <v>0.44</v>
      </c>
      <c r="R2407" s="78">
        <v>0.31740000000000002</v>
      </c>
      <c r="S2407" s="69">
        <v>2.5000000000000001E-2</v>
      </c>
      <c r="T2407" s="69">
        <v>0.01</v>
      </c>
      <c r="U2407" s="518">
        <v>0.7</v>
      </c>
      <c r="V2407" s="76">
        <v>0</v>
      </c>
      <c r="W2407" s="76">
        <v>250.00000000000003</v>
      </c>
      <c r="X2407" s="76"/>
      <c r="Y2407" s="516" t="s">
        <v>470</v>
      </c>
    </row>
    <row r="2408" spans="1:25" x14ac:dyDescent="0.25">
      <c r="A2408" s="75" t="str">
        <f t="shared" si="85"/>
        <v>Adquisicion PF No_Premier Normal Mercado_Abierto Pago_Fijo_Puntual 10</v>
      </c>
      <c r="B2408" s="75" t="str">
        <f t="shared" si="84"/>
        <v>Adquisicion PF No_Premier Normal Mercado_Abierto Pago_Fijo_Puntual 10 0.0965</v>
      </c>
      <c r="C2408" s="75" t="s">
        <v>114</v>
      </c>
      <c r="D2408" s="75" t="s">
        <v>132</v>
      </c>
      <c r="E2408" s="75" t="s">
        <v>179</v>
      </c>
      <c r="F2408" s="75" t="s">
        <v>180</v>
      </c>
      <c r="G2408" s="75" t="s">
        <v>396</v>
      </c>
      <c r="H2408" s="75"/>
      <c r="I2408" s="75" t="s">
        <v>171</v>
      </c>
      <c r="J2408" s="76">
        <v>10</v>
      </c>
      <c r="K2408" s="516" t="s">
        <v>385</v>
      </c>
      <c r="L2408" s="517">
        <v>13.16</v>
      </c>
      <c r="M2408" s="517">
        <v>14.11</v>
      </c>
      <c r="N2408" s="518">
        <v>9.6500000000000002E-2</v>
      </c>
      <c r="O2408" s="518">
        <v>9.1999999999999998E-2</v>
      </c>
      <c r="P2408" s="518">
        <v>0.10249999999999999</v>
      </c>
      <c r="Q2408" s="78">
        <v>0.44</v>
      </c>
      <c r="R2408" s="78">
        <v>0.31740000000000002</v>
      </c>
      <c r="S2408" s="69">
        <v>2.5000000000000001E-2</v>
      </c>
      <c r="T2408" s="69">
        <v>0.01</v>
      </c>
      <c r="U2408" s="518">
        <v>0.7</v>
      </c>
      <c r="V2408" s="76">
        <v>0</v>
      </c>
      <c r="W2408" s="76">
        <v>250.00000000000003</v>
      </c>
      <c r="X2408" s="76"/>
      <c r="Y2408" s="516" t="s">
        <v>470</v>
      </c>
    </row>
    <row r="2409" spans="1:25" x14ac:dyDescent="0.25">
      <c r="A2409" s="75" t="str">
        <f t="shared" si="85"/>
        <v>Adquisicion PF No_Premier Normal Mercado_Abierto Pago_Fijo_Puntual 10</v>
      </c>
      <c r="B2409" s="75" t="str">
        <f t="shared" si="84"/>
        <v>Adquisicion PF No_Premier Normal Mercado_Abierto Pago_Fijo_Puntual 10 0.103</v>
      </c>
      <c r="C2409" s="75" t="s">
        <v>114</v>
      </c>
      <c r="D2409" s="75" t="s">
        <v>132</v>
      </c>
      <c r="E2409" s="75" t="s">
        <v>179</v>
      </c>
      <c r="F2409" s="75" t="s">
        <v>180</v>
      </c>
      <c r="G2409" s="75" t="s">
        <v>396</v>
      </c>
      <c r="H2409" s="75"/>
      <c r="I2409" s="75" t="s">
        <v>171</v>
      </c>
      <c r="J2409" s="76">
        <v>10</v>
      </c>
      <c r="K2409" s="516" t="s">
        <v>386</v>
      </c>
      <c r="L2409" s="517">
        <v>13.54</v>
      </c>
      <c r="M2409" s="517">
        <v>14.49</v>
      </c>
      <c r="N2409" s="518">
        <v>0.10299999999999999</v>
      </c>
      <c r="O2409" s="518">
        <v>0.1</v>
      </c>
      <c r="P2409" s="518">
        <v>0.112</v>
      </c>
      <c r="Q2409" s="78">
        <v>0.44</v>
      </c>
      <c r="R2409" s="78">
        <v>0.31740000000000002</v>
      </c>
      <c r="S2409" s="69">
        <v>2.5000000000000001E-2</v>
      </c>
      <c r="T2409" s="69">
        <v>0.01</v>
      </c>
      <c r="U2409" s="518">
        <v>0.7</v>
      </c>
      <c r="V2409" s="76">
        <v>0</v>
      </c>
      <c r="W2409" s="76">
        <v>250.00000000000003</v>
      </c>
      <c r="X2409" s="76"/>
      <c r="Y2409" s="516" t="s">
        <v>470</v>
      </c>
    </row>
    <row r="2410" spans="1:25" x14ac:dyDescent="0.25">
      <c r="A2410" s="75" t="str">
        <f t="shared" si="85"/>
        <v>Adquisicion PF No_Premier Normal Mercado_Abierto Pago_Fijo_Puntual 5</v>
      </c>
      <c r="B2410" s="75" t="str">
        <f t="shared" si="84"/>
        <v>Adquisicion PF No_Premier Normal Mercado_Abierto Pago_Fijo_Puntual 5 0.0965</v>
      </c>
      <c r="C2410" s="75" t="s">
        <v>114</v>
      </c>
      <c r="D2410" s="75" t="s">
        <v>132</v>
      </c>
      <c r="E2410" s="75" t="s">
        <v>179</v>
      </c>
      <c r="F2410" s="75" t="s">
        <v>180</v>
      </c>
      <c r="G2410" s="75" t="s">
        <v>396</v>
      </c>
      <c r="H2410" s="75"/>
      <c r="I2410" s="75" t="s">
        <v>171</v>
      </c>
      <c r="J2410" s="76">
        <v>5</v>
      </c>
      <c r="K2410" s="516" t="s">
        <v>385</v>
      </c>
      <c r="L2410" s="517">
        <v>21.12</v>
      </c>
      <c r="M2410" s="517">
        <v>22.07</v>
      </c>
      <c r="N2410" s="518">
        <v>9.6500000000000002E-2</v>
      </c>
      <c r="O2410" s="518">
        <v>9.1999999999999998E-2</v>
      </c>
      <c r="P2410" s="518">
        <v>0.10249999999999999</v>
      </c>
      <c r="Q2410" s="78">
        <v>0.44</v>
      </c>
      <c r="R2410" s="78">
        <v>0.31740000000000002</v>
      </c>
      <c r="S2410" s="69">
        <v>2.5000000000000001E-2</v>
      </c>
      <c r="T2410" s="69">
        <v>0.01</v>
      </c>
      <c r="U2410" s="518">
        <v>0.7</v>
      </c>
      <c r="V2410" s="76">
        <v>0</v>
      </c>
      <c r="W2410" s="76">
        <v>250.00000000000003</v>
      </c>
      <c r="X2410" s="76"/>
      <c r="Y2410" s="516" t="s">
        <v>470</v>
      </c>
    </row>
    <row r="2411" spans="1:25" x14ac:dyDescent="0.25">
      <c r="A2411" s="75" t="str">
        <f t="shared" si="85"/>
        <v>Adquisicion PF No_Premier Normal Mercado_Abierto Pago_Fijo_Puntual 5</v>
      </c>
      <c r="B2411" s="75" t="str">
        <f t="shared" si="84"/>
        <v>Adquisicion PF No_Premier Normal Mercado_Abierto Pago_Fijo_Puntual 5 0.103</v>
      </c>
      <c r="C2411" s="75" t="s">
        <v>114</v>
      </c>
      <c r="D2411" s="75" t="s">
        <v>132</v>
      </c>
      <c r="E2411" s="75" t="s">
        <v>179</v>
      </c>
      <c r="F2411" s="75" t="s">
        <v>180</v>
      </c>
      <c r="G2411" s="75" t="s">
        <v>396</v>
      </c>
      <c r="H2411" s="75"/>
      <c r="I2411" s="75" t="s">
        <v>171</v>
      </c>
      <c r="J2411" s="76">
        <v>5</v>
      </c>
      <c r="K2411" s="516" t="s">
        <v>386</v>
      </c>
      <c r="L2411" s="517">
        <v>21.44</v>
      </c>
      <c r="M2411" s="517">
        <v>22.39</v>
      </c>
      <c r="N2411" s="518">
        <v>0.10299999999999999</v>
      </c>
      <c r="O2411" s="518">
        <v>0.1</v>
      </c>
      <c r="P2411" s="518">
        <v>0.112</v>
      </c>
      <c r="Q2411" s="78">
        <v>0.44</v>
      </c>
      <c r="R2411" s="78">
        <v>0.31740000000000002</v>
      </c>
      <c r="S2411" s="69">
        <v>2.5000000000000001E-2</v>
      </c>
      <c r="T2411" s="69">
        <v>0.01</v>
      </c>
      <c r="U2411" s="518">
        <v>0.7</v>
      </c>
      <c r="V2411" s="76">
        <v>0</v>
      </c>
      <c r="W2411" s="76">
        <v>250.00000000000003</v>
      </c>
      <c r="X2411" s="76"/>
      <c r="Y2411" s="516" t="s">
        <v>470</v>
      </c>
    </row>
    <row r="2412" spans="1:25" x14ac:dyDescent="0.25">
      <c r="A2412" s="75" t="str">
        <f t="shared" si="85"/>
        <v>Adquisicion PF No_Premier Normal Mercado_Abierto Pago_Bajo_Puntual 20</v>
      </c>
      <c r="B2412" s="75" t="str">
        <f t="shared" si="84"/>
        <v>Adquisicion PF No_Premier Normal Mercado_Abierto Pago_Bajo_Puntual 20 0.0965</v>
      </c>
      <c r="C2412" s="75" t="s">
        <v>114</v>
      </c>
      <c r="D2412" s="75" t="s">
        <v>132</v>
      </c>
      <c r="E2412" s="75" t="s">
        <v>179</v>
      </c>
      <c r="F2412" s="75" t="s">
        <v>180</v>
      </c>
      <c r="G2412" s="75" t="s">
        <v>396</v>
      </c>
      <c r="H2412" s="75"/>
      <c r="I2412" s="75" t="s">
        <v>170</v>
      </c>
      <c r="J2412" s="76">
        <v>20</v>
      </c>
      <c r="K2412" s="516" t="s">
        <v>385</v>
      </c>
      <c r="L2412" s="517">
        <v>8.52</v>
      </c>
      <c r="M2412" s="517">
        <v>9.4700000000000006</v>
      </c>
      <c r="N2412" s="518">
        <v>9.6500000000000002E-2</v>
      </c>
      <c r="O2412" s="518">
        <v>9.1999999999999998E-2</v>
      </c>
      <c r="P2412" s="518">
        <v>0.10249999999999999</v>
      </c>
      <c r="Q2412" s="78">
        <v>0.44</v>
      </c>
      <c r="R2412" s="78">
        <v>0.31740000000000002</v>
      </c>
      <c r="S2412" s="69">
        <v>2.5000000000000001E-2</v>
      </c>
      <c r="T2412" s="69">
        <v>0.01</v>
      </c>
      <c r="U2412" s="518">
        <v>0.7</v>
      </c>
      <c r="V2412" s="76">
        <v>0</v>
      </c>
      <c r="W2412" s="76">
        <v>250.00000000000003</v>
      </c>
      <c r="X2412" s="76"/>
      <c r="Y2412" s="516" t="s">
        <v>470</v>
      </c>
    </row>
    <row r="2413" spans="1:25" x14ac:dyDescent="0.25">
      <c r="A2413" s="75" t="str">
        <f t="shared" si="85"/>
        <v>Adquisicion PF No_Premier Normal Mercado_Abierto Pago_Bajo_Puntual 20</v>
      </c>
      <c r="B2413" s="75" t="str">
        <f t="shared" si="84"/>
        <v>Adquisicion PF No_Premier Normal Mercado_Abierto Pago_Bajo_Puntual 20 0.103</v>
      </c>
      <c r="C2413" s="75" t="s">
        <v>114</v>
      </c>
      <c r="D2413" s="75" t="s">
        <v>132</v>
      </c>
      <c r="E2413" s="75" t="s">
        <v>179</v>
      </c>
      <c r="F2413" s="75" t="s">
        <v>180</v>
      </c>
      <c r="G2413" s="75" t="s">
        <v>396</v>
      </c>
      <c r="H2413" s="75"/>
      <c r="I2413" s="75" t="s">
        <v>170</v>
      </c>
      <c r="J2413" s="76">
        <v>20</v>
      </c>
      <c r="K2413" s="516" t="s">
        <v>386</v>
      </c>
      <c r="L2413" s="517">
        <v>9</v>
      </c>
      <c r="M2413" s="517">
        <v>9.9499999999999993</v>
      </c>
      <c r="N2413" s="518">
        <v>0.10299999999999999</v>
      </c>
      <c r="O2413" s="518">
        <v>0.1</v>
      </c>
      <c r="P2413" s="518">
        <v>0.112</v>
      </c>
      <c r="Q2413" s="78">
        <v>0.44</v>
      </c>
      <c r="R2413" s="78">
        <v>0.31740000000000002</v>
      </c>
      <c r="S2413" s="69">
        <v>2.5000000000000001E-2</v>
      </c>
      <c r="T2413" s="69">
        <v>0.01</v>
      </c>
      <c r="U2413" s="518">
        <v>0.7</v>
      </c>
      <c r="V2413" s="76">
        <v>0</v>
      </c>
      <c r="W2413" s="76">
        <v>250.00000000000003</v>
      </c>
      <c r="X2413" s="76"/>
      <c r="Y2413" s="516" t="s">
        <v>470</v>
      </c>
    </row>
    <row r="2414" spans="1:25" x14ac:dyDescent="0.25">
      <c r="A2414" s="75" t="str">
        <f t="shared" si="85"/>
        <v>Adquisicion PF No_Premier Normal Mercado_Abierto Pago_Bajo_Puntual 15</v>
      </c>
      <c r="B2414" s="75" t="str">
        <f t="shared" si="84"/>
        <v>Adquisicion PF No_Premier Normal Mercado_Abierto Pago_Bajo_Puntual 15 0.0965</v>
      </c>
      <c r="C2414" s="75" t="s">
        <v>114</v>
      </c>
      <c r="D2414" s="75" t="s">
        <v>132</v>
      </c>
      <c r="E2414" s="75" t="s">
        <v>179</v>
      </c>
      <c r="F2414" s="75" t="s">
        <v>180</v>
      </c>
      <c r="G2414" s="75" t="s">
        <v>396</v>
      </c>
      <c r="H2414" s="75"/>
      <c r="I2414" s="75" t="s">
        <v>170</v>
      </c>
      <c r="J2414" s="76">
        <v>15</v>
      </c>
      <c r="K2414" s="516" t="s">
        <v>385</v>
      </c>
      <c r="L2414" s="517">
        <v>9.6999999999999993</v>
      </c>
      <c r="M2414" s="517">
        <v>10.65</v>
      </c>
      <c r="N2414" s="518">
        <v>9.6500000000000002E-2</v>
      </c>
      <c r="O2414" s="518">
        <v>9.1999999999999998E-2</v>
      </c>
      <c r="P2414" s="518">
        <v>0.10249999999999999</v>
      </c>
      <c r="Q2414" s="78">
        <v>0.44</v>
      </c>
      <c r="R2414" s="78">
        <v>0.31740000000000002</v>
      </c>
      <c r="S2414" s="69">
        <v>2.5000000000000001E-2</v>
      </c>
      <c r="T2414" s="69">
        <v>0.01</v>
      </c>
      <c r="U2414" s="518">
        <v>0.7</v>
      </c>
      <c r="V2414" s="76">
        <v>0</v>
      </c>
      <c r="W2414" s="76">
        <v>250.00000000000003</v>
      </c>
      <c r="X2414" s="76"/>
      <c r="Y2414" s="516" t="s">
        <v>470</v>
      </c>
    </row>
    <row r="2415" spans="1:25" x14ac:dyDescent="0.25">
      <c r="A2415" s="75" t="str">
        <f t="shared" si="85"/>
        <v>Adquisicion PF No_Premier Normal Mercado_Abierto Pago_Bajo_Puntual 15</v>
      </c>
      <c r="B2415" s="75" t="str">
        <f t="shared" si="84"/>
        <v>Adquisicion PF No_Premier Normal Mercado_Abierto Pago_Bajo_Puntual 15 0.103</v>
      </c>
      <c r="C2415" s="75" t="s">
        <v>114</v>
      </c>
      <c r="D2415" s="75" t="s">
        <v>132</v>
      </c>
      <c r="E2415" s="75" t="s">
        <v>179</v>
      </c>
      <c r="F2415" s="75" t="s">
        <v>180</v>
      </c>
      <c r="G2415" s="75" t="s">
        <v>396</v>
      </c>
      <c r="H2415" s="75"/>
      <c r="I2415" s="75" t="s">
        <v>170</v>
      </c>
      <c r="J2415" s="76">
        <v>15</v>
      </c>
      <c r="K2415" s="516" t="s">
        <v>386</v>
      </c>
      <c r="L2415" s="517">
        <v>10.119999999999999</v>
      </c>
      <c r="M2415" s="517">
        <v>11.07</v>
      </c>
      <c r="N2415" s="518">
        <v>0.10299999999999999</v>
      </c>
      <c r="O2415" s="518">
        <v>0.1</v>
      </c>
      <c r="P2415" s="518">
        <v>0.112</v>
      </c>
      <c r="Q2415" s="78">
        <v>0.44</v>
      </c>
      <c r="R2415" s="78">
        <v>0.31740000000000002</v>
      </c>
      <c r="S2415" s="69">
        <v>2.5000000000000001E-2</v>
      </c>
      <c r="T2415" s="69">
        <v>0.01</v>
      </c>
      <c r="U2415" s="518">
        <v>0.7</v>
      </c>
      <c r="V2415" s="76">
        <v>0</v>
      </c>
      <c r="W2415" s="76">
        <v>250.00000000000003</v>
      </c>
      <c r="X2415" s="76"/>
      <c r="Y2415" s="516" t="s">
        <v>470</v>
      </c>
    </row>
    <row r="2416" spans="1:25" x14ac:dyDescent="0.25">
      <c r="A2416" s="75" t="str">
        <f t="shared" si="85"/>
        <v>Adquisicion PF No_Premier Normal Mercado_Abierto Pago_Bajo_Puntual 10</v>
      </c>
      <c r="B2416" s="75" t="str">
        <f t="shared" si="84"/>
        <v>Adquisicion PF No_Premier Normal Mercado_Abierto Pago_Bajo_Puntual 10 0.0965</v>
      </c>
      <c r="C2416" s="75" t="s">
        <v>114</v>
      </c>
      <c r="D2416" s="75" t="s">
        <v>132</v>
      </c>
      <c r="E2416" s="75" t="s">
        <v>179</v>
      </c>
      <c r="F2416" s="75" t="s">
        <v>180</v>
      </c>
      <c r="G2416" s="75" t="s">
        <v>396</v>
      </c>
      <c r="H2416" s="75"/>
      <c r="I2416" s="75" t="s">
        <v>170</v>
      </c>
      <c r="J2416" s="76">
        <v>10</v>
      </c>
      <c r="K2416" s="516" t="s">
        <v>385</v>
      </c>
      <c r="L2416" s="517">
        <v>12.25</v>
      </c>
      <c r="M2416" s="517">
        <v>13.2</v>
      </c>
      <c r="N2416" s="518">
        <v>9.6500000000000002E-2</v>
      </c>
      <c r="O2416" s="518">
        <v>9.1999999999999998E-2</v>
      </c>
      <c r="P2416" s="518">
        <v>0.10249999999999999</v>
      </c>
      <c r="Q2416" s="78">
        <v>0.44</v>
      </c>
      <c r="R2416" s="78">
        <v>0.31740000000000002</v>
      </c>
      <c r="S2416" s="69">
        <v>2.5000000000000001E-2</v>
      </c>
      <c r="T2416" s="69">
        <v>0.01</v>
      </c>
      <c r="U2416" s="518">
        <v>0.7</v>
      </c>
      <c r="V2416" s="76">
        <v>0</v>
      </c>
      <c r="W2416" s="76">
        <v>250.00000000000003</v>
      </c>
      <c r="X2416" s="76"/>
      <c r="Y2416" s="516" t="s">
        <v>470</v>
      </c>
    </row>
    <row r="2417" spans="1:25" x14ac:dyDescent="0.25">
      <c r="A2417" s="75" t="str">
        <f t="shared" si="85"/>
        <v>Adquisicion PF No_Premier Normal Mercado_Abierto Pago_Bajo_Puntual 10</v>
      </c>
      <c r="B2417" s="75" t="str">
        <f t="shared" si="84"/>
        <v>Adquisicion PF No_Premier Normal Mercado_Abierto Pago_Bajo_Puntual 10 0.103</v>
      </c>
      <c r="C2417" s="75" t="s">
        <v>114</v>
      </c>
      <c r="D2417" s="75" t="s">
        <v>132</v>
      </c>
      <c r="E2417" s="75" t="s">
        <v>179</v>
      </c>
      <c r="F2417" s="75" t="s">
        <v>180</v>
      </c>
      <c r="G2417" s="75" t="s">
        <v>396</v>
      </c>
      <c r="H2417" s="75"/>
      <c r="I2417" s="75" t="s">
        <v>170</v>
      </c>
      <c r="J2417" s="76">
        <v>10</v>
      </c>
      <c r="K2417" s="516" t="s">
        <v>386</v>
      </c>
      <c r="L2417" s="517">
        <v>12.62</v>
      </c>
      <c r="M2417" s="517">
        <v>13.57</v>
      </c>
      <c r="N2417" s="518">
        <v>0.10299999999999999</v>
      </c>
      <c r="O2417" s="518">
        <v>0.1</v>
      </c>
      <c r="P2417" s="518">
        <v>0.112</v>
      </c>
      <c r="Q2417" s="78">
        <v>0.44</v>
      </c>
      <c r="R2417" s="78">
        <v>0.31740000000000002</v>
      </c>
      <c r="S2417" s="69">
        <v>2.5000000000000001E-2</v>
      </c>
      <c r="T2417" s="69">
        <v>0.01</v>
      </c>
      <c r="U2417" s="518">
        <v>0.7</v>
      </c>
      <c r="V2417" s="76">
        <v>0</v>
      </c>
      <c r="W2417" s="76">
        <v>250.00000000000003</v>
      </c>
      <c r="X2417" s="76"/>
      <c r="Y2417" s="516" t="s">
        <v>470</v>
      </c>
    </row>
    <row r="2418" spans="1:25" x14ac:dyDescent="0.25">
      <c r="A2418" s="75" t="str">
        <f t="shared" si="85"/>
        <v>Adquisicion PF No_Premier Normal Mercado_Abierto Pago_Bajo_Puntual 5</v>
      </c>
      <c r="B2418" s="75" t="str">
        <f t="shared" si="84"/>
        <v>Adquisicion PF No_Premier Normal Mercado_Abierto Pago_Bajo_Puntual 5 0.0965</v>
      </c>
      <c r="C2418" s="75" t="s">
        <v>114</v>
      </c>
      <c r="D2418" s="75" t="s">
        <v>132</v>
      </c>
      <c r="E2418" s="75" t="s">
        <v>179</v>
      </c>
      <c r="F2418" s="75" t="s">
        <v>180</v>
      </c>
      <c r="G2418" s="75" t="s">
        <v>396</v>
      </c>
      <c r="H2418" s="75"/>
      <c r="I2418" s="75" t="s">
        <v>170</v>
      </c>
      <c r="J2418" s="76">
        <v>5</v>
      </c>
      <c r="K2418" s="516" t="s">
        <v>385</v>
      </c>
      <c r="L2418" s="517">
        <v>20.399999999999999</v>
      </c>
      <c r="M2418" s="517">
        <v>21.35</v>
      </c>
      <c r="N2418" s="518">
        <v>9.6500000000000002E-2</v>
      </c>
      <c r="O2418" s="518">
        <v>9.1999999999999998E-2</v>
      </c>
      <c r="P2418" s="518">
        <v>0.10249999999999999</v>
      </c>
      <c r="Q2418" s="78">
        <v>0.44</v>
      </c>
      <c r="R2418" s="78">
        <v>0.31740000000000002</v>
      </c>
      <c r="S2418" s="69">
        <v>2.5000000000000001E-2</v>
      </c>
      <c r="T2418" s="69">
        <v>0.01</v>
      </c>
      <c r="U2418" s="518">
        <v>0.7</v>
      </c>
      <c r="V2418" s="76">
        <v>0</v>
      </c>
      <c r="W2418" s="76">
        <v>250.00000000000003</v>
      </c>
      <c r="X2418" s="76"/>
      <c r="Y2418" s="516" t="s">
        <v>470</v>
      </c>
    </row>
    <row r="2419" spans="1:25" x14ac:dyDescent="0.25">
      <c r="A2419" s="75" t="str">
        <f t="shared" si="85"/>
        <v>Adquisicion PF No_Premier Normal Mercado_Abierto Pago_Bajo_Puntual 5</v>
      </c>
      <c r="B2419" s="75" t="str">
        <f t="shared" si="84"/>
        <v>Adquisicion PF No_Premier Normal Mercado_Abierto Pago_Bajo_Puntual 5 0.103</v>
      </c>
      <c r="C2419" s="75" t="s">
        <v>114</v>
      </c>
      <c r="D2419" s="75" t="s">
        <v>132</v>
      </c>
      <c r="E2419" s="75" t="s">
        <v>179</v>
      </c>
      <c r="F2419" s="75" t="s">
        <v>180</v>
      </c>
      <c r="G2419" s="75" t="s">
        <v>396</v>
      </c>
      <c r="H2419" s="75"/>
      <c r="I2419" s="75" t="s">
        <v>170</v>
      </c>
      <c r="J2419" s="76">
        <v>5</v>
      </c>
      <c r="K2419" s="516" t="s">
        <v>386</v>
      </c>
      <c r="L2419" s="517">
        <v>20.72</v>
      </c>
      <c r="M2419" s="517">
        <v>21.67</v>
      </c>
      <c r="N2419" s="518">
        <v>0.10299999999999999</v>
      </c>
      <c r="O2419" s="518">
        <v>0.1</v>
      </c>
      <c r="P2419" s="518">
        <v>0.112</v>
      </c>
      <c r="Q2419" s="78">
        <v>0.44</v>
      </c>
      <c r="R2419" s="78">
        <v>0.31740000000000002</v>
      </c>
      <c r="S2419" s="69">
        <v>2.5000000000000001E-2</v>
      </c>
      <c r="T2419" s="69">
        <v>0.01</v>
      </c>
      <c r="U2419" s="518">
        <v>0.7</v>
      </c>
      <c r="V2419" s="76">
        <v>0</v>
      </c>
      <c r="W2419" s="76">
        <v>250.00000000000003</v>
      </c>
      <c r="X2419" s="76"/>
      <c r="Y2419" s="516" t="s">
        <v>470</v>
      </c>
    </row>
    <row r="2420" spans="1:25" x14ac:dyDescent="0.25">
      <c r="A2420" s="75" t="str">
        <f t="shared" si="85"/>
        <v>Adquisicion PF Premier Mercado_Abierto Pago_Fijo_Puntual 25</v>
      </c>
      <c r="B2420" s="75" t="str">
        <f t="shared" si="84"/>
        <v>Adquisicion PF Premier Mercado_Abierto Pago_Fijo_Puntual 25 0.0965</v>
      </c>
      <c r="C2420" s="75" t="s">
        <v>114</v>
      </c>
      <c r="D2420" s="75" t="s">
        <v>132</v>
      </c>
      <c r="E2420" s="75" t="s">
        <v>143</v>
      </c>
      <c r="F2420" s="75"/>
      <c r="G2420" s="75" t="s">
        <v>396</v>
      </c>
      <c r="H2420" s="75"/>
      <c r="I2420" s="75" t="s">
        <v>171</v>
      </c>
      <c r="J2420" s="76">
        <v>25</v>
      </c>
      <c r="K2420" s="516" t="s">
        <v>385</v>
      </c>
      <c r="L2420" s="517">
        <v>9.11</v>
      </c>
      <c r="M2420" s="517">
        <v>9.77</v>
      </c>
      <c r="N2420" s="518">
        <v>9.6500000000000002E-2</v>
      </c>
      <c r="O2420" s="518">
        <v>9.1999999999999998E-2</v>
      </c>
      <c r="P2420" s="518">
        <v>0.10249999999999999</v>
      </c>
      <c r="Q2420" s="78">
        <v>0.44</v>
      </c>
      <c r="R2420" s="78">
        <v>0.31740000000000002</v>
      </c>
      <c r="S2420" s="69">
        <v>2.5000000000000001E-2</v>
      </c>
      <c r="T2420" s="69">
        <v>0.01</v>
      </c>
      <c r="U2420" s="518">
        <v>0.7</v>
      </c>
      <c r="V2420" s="76">
        <v>0</v>
      </c>
      <c r="W2420" s="76">
        <v>0</v>
      </c>
      <c r="X2420" s="76"/>
      <c r="Y2420" s="516" t="s">
        <v>470</v>
      </c>
    </row>
    <row r="2421" spans="1:25" x14ac:dyDescent="0.25">
      <c r="A2421" s="75" t="str">
        <f t="shared" si="85"/>
        <v>Adquisicion PF Premier Mercado_Abierto Pago_Fijo_Puntual 25</v>
      </c>
      <c r="B2421" s="75" t="str">
        <f t="shared" si="84"/>
        <v>Adquisicion PF Premier Mercado_Abierto Pago_Fijo_Puntual 25 0.103</v>
      </c>
      <c r="C2421" s="75" t="s">
        <v>114</v>
      </c>
      <c r="D2421" s="75" t="s">
        <v>132</v>
      </c>
      <c r="E2421" s="75" t="s">
        <v>143</v>
      </c>
      <c r="F2421" s="75"/>
      <c r="G2421" s="75" t="s">
        <v>396</v>
      </c>
      <c r="H2421" s="75"/>
      <c r="I2421" s="75" t="s">
        <v>171</v>
      </c>
      <c r="J2421" s="76">
        <v>25</v>
      </c>
      <c r="K2421" s="516" t="s">
        <v>386</v>
      </c>
      <c r="L2421" s="517">
        <v>9.65</v>
      </c>
      <c r="M2421" s="517">
        <v>10.31</v>
      </c>
      <c r="N2421" s="518">
        <v>0.10299999999999999</v>
      </c>
      <c r="O2421" s="518">
        <v>0.1</v>
      </c>
      <c r="P2421" s="518">
        <v>0.112</v>
      </c>
      <c r="Q2421" s="78">
        <v>0.44</v>
      </c>
      <c r="R2421" s="78">
        <v>0.31740000000000002</v>
      </c>
      <c r="S2421" s="69">
        <v>2.5000000000000001E-2</v>
      </c>
      <c r="T2421" s="69">
        <v>0.01</v>
      </c>
      <c r="U2421" s="518">
        <v>0.7</v>
      </c>
      <c r="V2421" s="76">
        <v>0</v>
      </c>
      <c r="W2421" s="76">
        <v>0</v>
      </c>
      <c r="X2421" s="76"/>
      <c r="Y2421" s="516" t="s">
        <v>470</v>
      </c>
    </row>
    <row r="2422" spans="1:25" x14ac:dyDescent="0.25">
      <c r="A2422" s="75" t="str">
        <f t="shared" si="85"/>
        <v>Adquisicion PF Premier Mercado_Abierto Pago_Fijo_Puntual 20</v>
      </c>
      <c r="B2422" s="75" t="str">
        <f t="shared" ref="B2422:B2485" si="86">CONCATENATE(A2422," ",N2422)</f>
        <v>Adquisicion PF Premier Mercado_Abierto Pago_Fijo_Puntual 20 0.0965</v>
      </c>
      <c r="C2422" s="75" t="s">
        <v>114</v>
      </c>
      <c r="D2422" s="75" t="s">
        <v>132</v>
      </c>
      <c r="E2422" s="75" t="s">
        <v>143</v>
      </c>
      <c r="F2422" s="75"/>
      <c r="G2422" s="75" t="s">
        <v>396</v>
      </c>
      <c r="H2422" s="75"/>
      <c r="I2422" s="75" t="s">
        <v>171</v>
      </c>
      <c r="J2422" s="76">
        <v>20</v>
      </c>
      <c r="K2422" s="516" t="s">
        <v>385</v>
      </c>
      <c r="L2422" s="517">
        <v>9.66</v>
      </c>
      <c r="M2422" s="517">
        <v>10.32</v>
      </c>
      <c r="N2422" s="518">
        <v>9.6500000000000002E-2</v>
      </c>
      <c r="O2422" s="518">
        <v>9.1999999999999998E-2</v>
      </c>
      <c r="P2422" s="518">
        <v>0.10249999999999999</v>
      </c>
      <c r="Q2422" s="78">
        <v>0.44</v>
      </c>
      <c r="R2422" s="78">
        <v>0.31740000000000002</v>
      </c>
      <c r="S2422" s="69">
        <v>2.5000000000000001E-2</v>
      </c>
      <c r="T2422" s="69">
        <v>0.01</v>
      </c>
      <c r="U2422" s="518">
        <v>0.7</v>
      </c>
      <c r="V2422" s="76">
        <v>0</v>
      </c>
      <c r="W2422" s="76">
        <v>0</v>
      </c>
      <c r="X2422" s="76"/>
      <c r="Y2422" s="516" t="s">
        <v>470</v>
      </c>
    </row>
    <row r="2423" spans="1:25" x14ac:dyDescent="0.25">
      <c r="A2423" s="75" t="str">
        <f t="shared" ref="A2423:A2486" si="87">TRIM(CONCATENATE(C2423," ",D2423," ",E2423," ",F2423," ",G2423," ",I2423," ",X2423," ",J2423))</f>
        <v>Adquisicion PF Premier Mercado_Abierto Pago_Fijo_Puntual 20</v>
      </c>
      <c r="B2423" s="75" t="str">
        <f t="shared" si="86"/>
        <v>Adquisicion PF Premier Mercado_Abierto Pago_Fijo_Puntual 20 0.103</v>
      </c>
      <c r="C2423" s="75" t="s">
        <v>114</v>
      </c>
      <c r="D2423" s="75" t="s">
        <v>132</v>
      </c>
      <c r="E2423" s="75" t="s">
        <v>143</v>
      </c>
      <c r="F2423" s="75"/>
      <c r="G2423" s="75" t="s">
        <v>396</v>
      </c>
      <c r="H2423" s="75"/>
      <c r="I2423" s="75" t="s">
        <v>171</v>
      </c>
      <c r="J2423" s="76">
        <v>20</v>
      </c>
      <c r="K2423" s="516" t="s">
        <v>386</v>
      </c>
      <c r="L2423" s="517">
        <v>10.16</v>
      </c>
      <c r="M2423" s="517">
        <v>10.82</v>
      </c>
      <c r="N2423" s="518">
        <v>0.10299999999999999</v>
      </c>
      <c r="O2423" s="518">
        <v>0.1</v>
      </c>
      <c r="P2423" s="518">
        <v>0.112</v>
      </c>
      <c r="Q2423" s="78">
        <v>0.44</v>
      </c>
      <c r="R2423" s="78">
        <v>0.31740000000000002</v>
      </c>
      <c r="S2423" s="69">
        <v>2.5000000000000001E-2</v>
      </c>
      <c r="T2423" s="69">
        <v>0.01</v>
      </c>
      <c r="U2423" s="518">
        <v>0.7</v>
      </c>
      <c r="V2423" s="76">
        <v>0</v>
      </c>
      <c r="W2423" s="76">
        <v>0</v>
      </c>
      <c r="X2423" s="76"/>
      <c r="Y2423" s="516" t="s">
        <v>470</v>
      </c>
    </row>
    <row r="2424" spans="1:25" x14ac:dyDescent="0.25">
      <c r="A2424" s="75" t="str">
        <f t="shared" si="87"/>
        <v>Adquisicion PF Premier Mercado_Abierto Pago_Fijo_Puntual 15</v>
      </c>
      <c r="B2424" s="75" t="str">
        <f t="shared" si="86"/>
        <v>Adquisicion PF Premier Mercado_Abierto Pago_Fijo_Puntual 15 0.0965</v>
      </c>
      <c r="C2424" s="75" t="s">
        <v>114</v>
      </c>
      <c r="D2424" s="75" t="s">
        <v>132</v>
      </c>
      <c r="E2424" s="75" t="s">
        <v>143</v>
      </c>
      <c r="F2424" s="75"/>
      <c r="G2424" s="75" t="s">
        <v>396</v>
      </c>
      <c r="H2424" s="75"/>
      <c r="I2424" s="75" t="s">
        <v>171</v>
      </c>
      <c r="J2424" s="76">
        <v>15</v>
      </c>
      <c r="K2424" s="516" t="s">
        <v>385</v>
      </c>
      <c r="L2424" s="517">
        <v>10.73</v>
      </c>
      <c r="M2424" s="517">
        <v>11.39</v>
      </c>
      <c r="N2424" s="518">
        <v>9.6500000000000002E-2</v>
      </c>
      <c r="O2424" s="518">
        <v>9.1999999999999998E-2</v>
      </c>
      <c r="P2424" s="518">
        <v>0.10249999999999999</v>
      </c>
      <c r="Q2424" s="78">
        <v>0.44</v>
      </c>
      <c r="R2424" s="78">
        <v>0.31740000000000002</v>
      </c>
      <c r="S2424" s="69">
        <v>2.5000000000000001E-2</v>
      </c>
      <c r="T2424" s="69">
        <v>0.01</v>
      </c>
      <c r="U2424" s="518">
        <v>0.7</v>
      </c>
      <c r="V2424" s="76">
        <v>0</v>
      </c>
      <c r="W2424" s="76">
        <v>0</v>
      </c>
      <c r="X2424" s="76"/>
      <c r="Y2424" s="516" t="s">
        <v>470</v>
      </c>
    </row>
    <row r="2425" spans="1:25" x14ac:dyDescent="0.25">
      <c r="A2425" s="75" t="str">
        <f t="shared" si="87"/>
        <v>Adquisicion PF Premier Mercado_Abierto Pago_Fijo_Puntual 15</v>
      </c>
      <c r="B2425" s="75" t="str">
        <f t="shared" si="86"/>
        <v>Adquisicion PF Premier Mercado_Abierto Pago_Fijo_Puntual 15 0.103</v>
      </c>
      <c r="C2425" s="75" t="s">
        <v>114</v>
      </c>
      <c r="D2425" s="75" t="s">
        <v>132</v>
      </c>
      <c r="E2425" s="75" t="s">
        <v>143</v>
      </c>
      <c r="F2425" s="75"/>
      <c r="G2425" s="75" t="s">
        <v>396</v>
      </c>
      <c r="H2425" s="75"/>
      <c r="I2425" s="75" t="s">
        <v>171</v>
      </c>
      <c r="J2425" s="76">
        <v>15</v>
      </c>
      <c r="K2425" s="516" t="s">
        <v>386</v>
      </c>
      <c r="L2425" s="517">
        <v>11.18</v>
      </c>
      <c r="M2425" s="517">
        <v>11.84</v>
      </c>
      <c r="N2425" s="518">
        <v>0.10299999999999999</v>
      </c>
      <c r="O2425" s="518">
        <v>0.1</v>
      </c>
      <c r="P2425" s="518">
        <v>0.112</v>
      </c>
      <c r="Q2425" s="78">
        <v>0.44</v>
      </c>
      <c r="R2425" s="78">
        <v>0.31740000000000002</v>
      </c>
      <c r="S2425" s="69">
        <v>2.5000000000000001E-2</v>
      </c>
      <c r="T2425" s="69">
        <v>0.01</v>
      </c>
      <c r="U2425" s="518">
        <v>0.7</v>
      </c>
      <c r="V2425" s="76">
        <v>0</v>
      </c>
      <c r="W2425" s="76">
        <v>0</v>
      </c>
      <c r="X2425" s="76"/>
      <c r="Y2425" s="516" t="s">
        <v>470</v>
      </c>
    </row>
    <row r="2426" spans="1:25" x14ac:dyDescent="0.25">
      <c r="A2426" s="75" t="str">
        <f t="shared" si="87"/>
        <v>Adquisicion PF Premier Mercado_Abierto Pago_Fijo_Puntual 10</v>
      </c>
      <c r="B2426" s="75" t="str">
        <f t="shared" si="86"/>
        <v>Adquisicion PF Premier Mercado_Abierto Pago_Fijo_Puntual 10 0.0965</v>
      </c>
      <c r="C2426" s="75" t="s">
        <v>114</v>
      </c>
      <c r="D2426" s="75" t="s">
        <v>132</v>
      </c>
      <c r="E2426" s="75" t="s">
        <v>143</v>
      </c>
      <c r="F2426" s="75"/>
      <c r="G2426" s="75" t="s">
        <v>396</v>
      </c>
      <c r="H2426" s="75"/>
      <c r="I2426" s="75" t="s">
        <v>171</v>
      </c>
      <c r="J2426" s="76">
        <v>10</v>
      </c>
      <c r="K2426" s="516" t="s">
        <v>385</v>
      </c>
      <c r="L2426" s="517">
        <v>13.16</v>
      </c>
      <c r="M2426" s="517">
        <v>13.82</v>
      </c>
      <c r="N2426" s="518">
        <v>9.6500000000000002E-2</v>
      </c>
      <c r="O2426" s="518">
        <v>9.1999999999999998E-2</v>
      </c>
      <c r="P2426" s="518">
        <v>0.10249999999999999</v>
      </c>
      <c r="Q2426" s="78">
        <v>0.44</v>
      </c>
      <c r="R2426" s="78">
        <v>0.31740000000000002</v>
      </c>
      <c r="S2426" s="69">
        <v>2.5000000000000001E-2</v>
      </c>
      <c r="T2426" s="69">
        <v>0.01</v>
      </c>
      <c r="U2426" s="518">
        <v>0.7</v>
      </c>
      <c r="V2426" s="76">
        <v>0</v>
      </c>
      <c r="W2426" s="76">
        <v>0</v>
      </c>
      <c r="X2426" s="76"/>
      <c r="Y2426" s="516" t="s">
        <v>470</v>
      </c>
    </row>
    <row r="2427" spans="1:25" x14ac:dyDescent="0.25">
      <c r="A2427" s="75" t="str">
        <f t="shared" si="87"/>
        <v>Adquisicion PF Premier Mercado_Abierto Pago_Fijo_Puntual 10</v>
      </c>
      <c r="B2427" s="75" t="str">
        <f t="shared" si="86"/>
        <v>Adquisicion PF Premier Mercado_Abierto Pago_Fijo_Puntual 10 0.103</v>
      </c>
      <c r="C2427" s="75" t="s">
        <v>114</v>
      </c>
      <c r="D2427" s="75" t="s">
        <v>132</v>
      </c>
      <c r="E2427" s="75" t="s">
        <v>143</v>
      </c>
      <c r="F2427" s="75"/>
      <c r="G2427" s="75" t="s">
        <v>396</v>
      </c>
      <c r="H2427" s="75"/>
      <c r="I2427" s="75" t="s">
        <v>171</v>
      </c>
      <c r="J2427" s="76">
        <v>10</v>
      </c>
      <c r="K2427" s="516" t="s">
        <v>386</v>
      </c>
      <c r="L2427" s="517">
        <v>13.54</v>
      </c>
      <c r="M2427" s="517">
        <v>14.2</v>
      </c>
      <c r="N2427" s="518">
        <v>0.10299999999999999</v>
      </c>
      <c r="O2427" s="518">
        <v>0.1</v>
      </c>
      <c r="P2427" s="518">
        <v>0.112</v>
      </c>
      <c r="Q2427" s="78">
        <v>0.44</v>
      </c>
      <c r="R2427" s="78">
        <v>0.31740000000000002</v>
      </c>
      <c r="S2427" s="69">
        <v>2.5000000000000001E-2</v>
      </c>
      <c r="T2427" s="69">
        <v>0.01</v>
      </c>
      <c r="U2427" s="518">
        <v>0.7</v>
      </c>
      <c r="V2427" s="76">
        <v>0</v>
      </c>
      <c r="W2427" s="76">
        <v>0</v>
      </c>
      <c r="X2427" s="76"/>
      <c r="Y2427" s="516" t="s">
        <v>470</v>
      </c>
    </row>
    <row r="2428" spans="1:25" x14ac:dyDescent="0.25">
      <c r="A2428" s="75" t="str">
        <f t="shared" si="87"/>
        <v>Adquisicion PF Premier Mercado_Abierto Pago_Fijo_Puntual 5</v>
      </c>
      <c r="B2428" s="75" t="str">
        <f t="shared" si="86"/>
        <v>Adquisicion PF Premier Mercado_Abierto Pago_Fijo_Puntual 5 0.0965</v>
      </c>
      <c r="C2428" s="75" t="s">
        <v>114</v>
      </c>
      <c r="D2428" s="75" t="s">
        <v>132</v>
      </c>
      <c r="E2428" s="75" t="s">
        <v>143</v>
      </c>
      <c r="F2428" s="75"/>
      <c r="G2428" s="75" t="s">
        <v>396</v>
      </c>
      <c r="H2428" s="75"/>
      <c r="I2428" s="75" t="s">
        <v>171</v>
      </c>
      <c r="J2428" s="76">
        <v>5</v>
      </c>
      <c r="K2428" s="516" t="s">
        <v>385</v>
      </c>
      <c r="L2428" s="517">
        <v>21.12</v>
      </c>
      <c r="M2428" s="517">
        <v>21.78</v>
      </c>
      <c r="N2428" s="518">
        <v>9.6500000000000002E-2</v>
      </c>
      <c r="O2428" s="518">
        <v>9.1999999999999998E-2</v>
      </c>
      <c r="P2428" s="518">
        <v>0.10249999999999999</v>
      </c>
      <c r="Q2428" s="78">
        <v>0.44</v>
      </c>
      <c r="R2428" s="78">
        <v>0.31740000000000002</v>
      </c>
      <c r="S2428" s="69">
        <v>2.5000000000000001E-2</v>
      </c>
      <c r="T2428" s="69">
        <v>0.01</v>
      </c>
      <c r="U2428" s="518">
        <v>0.7</v>
      </c>
      <c r="V2428" s="76">
        <v>0</v>
      </c>
      <c r="W2428" s="76">
        <v>0</v>
      </c>
      <c r="X2428" s="76"/>
      <c r="Y2428" s="516" t="s">
        <v>470</v>
      </c>
    </row>
    <row r="2429" spans="1:25" x14ac:dyDescent="0.25">
      <c r="A2429" s="75" t="str">
        <f t="shared" si="87"/>
        <v>Adquisicion PF Premier Mercado_Abierto Pago_Fijo_Puntual 5</v>
      </c>
      <c r="B2429" s="75" t="str">
        <f t="shared" si="86"/>
        <v>Adquisicion PF Premier Mercado_Abierto Pago_Fijo_Puntual 5 0.103</v>
      </c>
      <c r="C2429" s="75" t="s">
        <v>114</v>
      </c>
      <c r="D2429" s="75" t="s">
        <v>132</v>
      </c>
      <c r="E2429" s="75" t="s">
        <v>143</v>
      </c>
      <c r="F2429" s="75"/>
      <c r="G2429" s="75" t="s">
        <v>396</v>
      </c>
      <c r="H2429" s="75"/>
      <c r="I2429" s="75" t="s">
        <v>171</v>
      </c>
      <c r="J2429" s="76">
        <v>5</v>
      </c>
      <c r="K2429" s="516" t="s">
        <v>386</v>
      </c>
      <c r="L2429" s="517">
        <v>21.44</v>
      </c>
      <c r="M2429" s="517">
        <v>22.1</v>
      </c>
      <c r="N2429" s="518">
        <v>0.10299999999999999</v>
      </c>
      <c r="O2429" s="518">
        <v>0.1</v>
      </c>
      <c r="P2429" s="518">
        <v>0.112</v>
      </c>
      <c r="Q2429" s="78">
        <v>0.44</v>
      </c>
      <c r="R2429" s="78">
        <v>0.31740000000000002</v>
      </c>
      <c r="S2429" s="69">
        <v>2.5000000000000001E-2</v>
      </c>
      <c r="T2429" s="69">
        <v>0.01</v>
      </c>
      <c r="U2429" s="518">
        <v>0.7</v>
      </c>
      <c r="V2429" s="76">
        <v>0</v>
      </c>
      <c r="W2429" s="76">
        <v>0</v>
      </c>
      <c r="X2429" s="76"/>
      <c r="Y2429" s="516" t="s">
        <v>470</v>
      </c>
    </row>
    <row r="2430" spans="1:25" x14ac:dyDescent="0.25">
      <c r="A2430" s="75" t="str">
        <f t="shared" si="87"/>
        <v>Adquisicion PF Premier Mercado_Abierto Pago_Bajo_Puntual 25</v>
      </c>
      <c r="B2430" s="75" t="str">
        <f t="shared" si="86"/>
        <v>Adquisicion PF Premier Mercado_Abierto Pago_Bajo_Puntual 25 0.0965</v>
      </c>
      <c r="C2430" s="75" t="s">
        <v>114</v>
      </c>
      <c r="D2430" s="75" t="s">
        <v>132</v>
      </c>
      <c r="E2430" s="75" t="s">
        <v>143</v>
      </c>
      <c r="F2430" s="75"/>
      <c r="G2430" s="75" t="s">
        <v>396</v>
      </c>
      <c r="H2430" s="75"/>
      <c r="I2430" s="75" t="s">
        <v>170</v>
      </c>
      <c r="J2430" s="523">
        <v>25</v>
      </c>
      <c r="K2430" s="516" t="s">
        <v>385</v>
      </c>
      <c r="L2430" s="517">
        <v>8.1</v>
      </c>
      <c r="M2430" s="517">
        <v>8.76</v>
      </c>
      <c r="N2430" s="518">
        <v>9.6500000000000002E-2</v>
      </c>
      <c r="O2430" s="518">
        <v>9.1999999999999998E-2</v>
      </c>
      <c r="P2430" s="518">
        <v>0.10249999999999999</v>
      </c>
      <c r="Q2430" s="78">
        <v>0.44</v>
      </c>
      <c r="R2430" s="78">
        <v>0.31740000000000002</v>
      </c>
      <c r="S2430" s="69">
        <v>2.5000000000000001E-2</v>
      </c>
      <c r="T2430" s="69">
        <v>0.01</v>
      </c>
      <c r="U2430" s="518">
        <v>0.7</v>
      </c>
      <c r="V2430" s="76">
        <v>0</v>
      </c>
      <c r="W2430" s="76">
        <v>0</v>
      </c>
      <c r="X2430" s="76"/>
      <c r="Y2430" s="516" t="s">
        <v>470</v>
      </c>
    </row>
    <row r="2431" spans="1:25" x14ac:dyDescent="0.25">
      <c r="A2431" s="75" t="str">
        <f t="shared" si="87"/>
        <v>Adquisicion PF Premier Mercado_Abierto Pago_Bajo_Puntual 25</v>
      </c>
      <c r="B2431" s="75" t="str">
        <f t="shared" si="86"/>
        <v>Adquisicion PF Premier Mercado_Abierto Pago_Bajo_Puntual 25 0.103</v>
      </c>
      <c r="C2431" s="75" t="s">
        <v>114</v>
      </c>
      <c r="D2431" s="75" t="s">
        <v>132</v>
      </c>
      <c r="E2431" s="75" t="s">
        <v>143</v>
      </c>
      <c r="F2431" s="75"/>
      <c r="G2431" s="75" t="s">
        <v>396</v>
      </c>
      <c r="H2431" s="75"/>
      <c r="I2431" s="75" t="s">
        <v>170</v>
      </c>
      <c r="J2431" s="523">
        <v>25</v>
      </c>
      <c r="K2431" s="516" t="s">
        <v>386</v>
      </c>
      <c r="L2431" s="517">
        <v>8.64</v>
      </c>
      <c r="M2431" s="517">
        <v>9.3000000000000007</v>
      </c>
      <c r="N2431" s="518">
        <v>0.10299999999999999</v>
      </c>
      <c r="O2431" s="518">
        <v>0.1</v>
      </c>
      <c r="P2431" s="518">
        <v>0.112</v>
      </c>
      <c r="Q2431" s="78">
        <v>0.44</v>
      </c>
      <c r="R2431" s="78">
        <v>0.31740000000000002</v>
      </c>
      <c r="S2431" s="69">
        <v>2.5000000000000001E-2</v>
      </c>
      <c r="T2431" s="69">
        <v>0.01</v>
      </c>
      <c r="U2431" s="518">
        <v>0.7</v>
      </c>
      <c r="V2431" s="76">
        <v>0</v>
      </c>
      <c r="W2431" s="76">
        <v>0</v>
      </c>
      <c r="X2431" s="76"/>
      <c r="Y2431" s="516" t="s">
        <v>470</v>
      </c>
    </row>
    <row r="2432" spans="1:25" x14ac:dyDescent="0.25">
      <c r="A2432" s="75" t="str">
        <f t="shared" si="87"/>
        <v>Adquisicion PF Premier Mercado_Abierto Pago_Bajo_Puntual 20</v>
      </c>
      <c r="B2432" s="75" t="str">
        <f t="shared" si="86"/>
        <v>Adquisicion PF Premier Mercado_Abierto Pago_Bajo_Puntual 20 0.0965</v>
      </c>
      <c r="C2432" s="75" t="s">
        <v>114</v>
      </c>
      <c r="D2432" s="75" t="s">
        <v>132</v>
      </c>
      <c r="E2432" s="75" t="s">
        <v>143</v>
      </c>
      <c r="F2432" s="75"/>
      <c r="G2432" s="75" t="s">
        <v>396</v>
      </c>
      <c r="H2432" s="75"/>
      <c r="I2432" s="75" t="s">
        <v>170</v>
      </c>
      <c r="J2432" s="76">
        <v>20</v>
      </c>
      <c r="K2432" s="516" t="s">
        <v>385</v>
      </c>
      <c r="L2432" s="517">
        <v>8.52</v>
      </c>
      <c r="M2432" s="517">
        <v>9.18</v>
      </c>
      <c r="N2432" s="518">
        <v>9.6500000000000002E-2</v>
      </c>
      <c r="O2432" s="518">
        <v>9.1999999999999998E-2</v>
      </c>
      <c r="P2432" s="518">
        <v>0.10249999999999999</v>
      </c>
      <c r="Q2432" s="78">
        <v>0.44</v>
      </c>
      <c r="R2432" s="78">
        <v>0.31740000000000002</v>
      </c>
      <c r="S2432" s="69">
        <v>2.5000000000000001E-2</v>
      </c>
      <c r="T2432" s="69">
        <v>0.01</v>
      </c>
      <c r="U2432" s="518">
        <v>0.7</v>
      </c>
      <c r="V2432" s="76">
        <v>0</v>
      </c>
      <c r="W2432" s="76">
        <v>0</v>
      </c>
      <c r="X2432" s="76"/>
      <c r="Y2432" s="516" t="s">
        <v>470</v>
      </c>
    </row>
    <row r="2433" spans="1:25" x14ac:dyDescent="0.25">
      <c r="A2433" s="75" t="str">
        <f t="shared" si="87"/>
        <v>Adquisicion PF Premier Mercado_Abierto Pago_Bajo_Puntual 20</v>
      </c>
      <c r="B2433" s="75" t="str">
        <f t="shared" si="86"/>
        <v>Adquisicion PF Premier Mercado_Abierto Pago_Bajo_Puntual 20 0.103</v>
      </c>
      <c r="C2433" s="75" t="s">
        <v>114</v>
      </c>
      <c r="D2433" s="75" t="s">
        <v>132</v>
      </c>
      <c r="E2433" s="75" t="s">
        <v>143</v>
      </c>
      <c r="F2433" s="75"/>
      <c r="G2433" s="75" t="s">
        <v>396</v>
      </c>
      <c r="H2433" s="75"/>
      <c r="I2433" s="75" t="s">
        <v>170</v>
      </c>
      <c r="J2433" s="76">
        <v>20</v>
      </c>
      <c r="K2433" s="516" t="s">
        <v>386</v>
      </c>
      <c r="L2433" s="517">
        <v>9</v>
      </c>
      <c r="M2433" s="517">
        <v>9.66</v>
      </c>
      <c r="N2433" s="518">
        <v>0.10299999999999999</v>
      </c>
      <c r="O2433" s="518">
        <v>0.1</v>
      </c>
      <c r="P2433" s="518">
        <v>0.112</v>
      </c>
      <c r="Q2433" s="78">
        <v>0.44</v>
      </c>
      <c r="R2433" s="78">
        <v>0.31740000000000002</v>
      </c>
      <c r="S2433" s="69">
        <v>2.5000000000000001E-2</v>
      </c>
      <c r="T2433" s="69">
        <v>0.01</v>
      </c>
      <c r="U2433" s="518">
        <v>0.7</v>
      </c>
      <c r="V2433" s="76">
        <v>0</v>
      </c>
      <c r="W2433" s="76">
        <v>0</v>
      </c>
      <c r="X2433" s="76"/>
      <c r="Y2433" s="516" t="s">
        <v>470</v>
      </c>
    </row>
    <row r="2434" spans="1:25" x14ac:dyDescent="0.25">
      <c r="A2434" s="75" t="str">
        <f t="shared" si="87"/>
        <v>Adquisicion PF Premier Mercado_Abierto Pago_Bajo_Puntual 15</v>
      </c>
      <c r="B2434" s="75" t="str">
        <f t="shared" si="86"/>
        <v>Adquisicion PF Premier Mercado_Abierto Pago_Bajo_Puntual 15 0.0965</v>
      </c>
      <c r="C2434" s="75" t="s">
        <v>114</v>
      </c>
      <c r="D2434" s="75" t="s">
        <v>132</v>
      </c>
      <c r="E2434" s="75" t="s">
        <v>143</v>
      </c>
      <c r="F2434" s="75"/>
      <c r="G2434" s="75" t="s">
        <v>396</v>
      </c>
      <c r="H2434" s="75"/>
      <c r="I2434" s="75" t="s">
        <v>170</v>
      </c>
      <c r="J2434" s="76">
        <v>15</v>
      </c>
      <c r="K2434" s="516" t="s">
        <v>385</v>
      </c>
      <c r="L2434" s="517">
        <v>9.6999999999999993</v>
      </c>
      <c r="M2434" s="517">
        <v>10.36</v>
      </c>
      <c r="N2434" s="518">
        <v>9.6500000000000002E-2</v>
      </c>
      <c r="O2434" s="518">
        <v>9.1999999999999998E-2</v>
      </c>
      <c r="P2434" s="518">
        <v>0.10249999999999999</v>
      </c>
      <c r="Q2434" s="78">
        <v>0.44</v>
      </c>
      <c r="R2434" s="78">
        <v>0.31740000000000002</v>
      </c>
      <c r="S2434" s="69">
        <v>2.5000000000000001E-2</v>
      </c>
      <c r="T2434" s="69">
        <v>0.01</v>
      </c>
      <c r="U2434" s="518">
        <v>0.7</v>
      </c>
      <c r="V2434" s="76">
        <v>0</v>
      </c>
      <c r="W2434" s="76">
        <v>0</v>
      </c>
      <c r="X2434" s="76"/>
      <c r="Y2434" s="516" t="s">
        <v>470</v>
      </c>
    </row>
    <row r="2435" spans="1:25" x14ac:dyDescent="0.25">
      <c r="A2435" s="75" t="str">
        <f t="shared" si="87"/>
        <v>Adquisicion PF Premier Mercado_Abierto Pago_Bajo_Puntual 15</v>
      </c>
      <c r="B2435" s="75" t="str">
        <f t="shared" si="86"/>
        <v>Adquisicion PF Premier Mercado_Abierto Pago_Bajo_Puntual 15 0.103</v>
      </c>
      <c r="C2435" s="75" t="s">
        <v>114</v>
      </c>
      <c r="D2435" s="75" t="s">
        <v>132</v>
      </c>
      <c r="E2435" s="75" t="s">
        <v>143</v>
      </c>
      <c r="F2435" s="75"/>
      <c r="G2435" s="75" t="s">
        <v>396</v>
      </c>
      <c r="H2435" s="75"/>
      <c r="I2435" s="75" t="s">
        <v>170</v>
      </c>
      <c r="J2435" s="76">
        <v>15</v>
      </c>
      <c r="K2435" s="516" t="s">
        <v>386</v>
      </c>
      <c r="L2435" s="517">
        <v>10.119999999999999</v>
      </c>
      <c r="M2435" s="517">
        <v>10.78</v>
      </c>
      <c r="N2435" s="518">
        <v>0.10299999999999999</v>
      </c>
      <c r="O2435" s="518">
        <v>0.1</v>
      </c>
      <c r="P2435" s="518">
        <v>0.112</v>
      </c>
      <c r="Q2435" s="78">
        <v>0.44</v>
      </c>
      <c r="R2435" s="78">
        <v>0.31740000000000002</v>
      </c>
      <c r="S2435" s="69">
        <v>2.5000000000000001E-2</v>
      </c>
      <c r="T2435" s="69">
        <v>0.01</v>
      </c>
      <c r="U2435" s="518">
        <v>0.7</v>
      </c>
      <c r="V2435" s="76">
        <v>0</v>
      </c>
      <c r="W2435" s="76">
        <v>0</v>
      </c>
      <c r="X2435" s="76"/>
      <c r="Y2435" s="516" t="s">
        <v>470</v>
      </c>
    </row>
    <row r="2436" spans="1:25" x14ac:dyDescent="0.25">
      <c r="A2436" s="75" t="str">
        <f t="shared" si="87"/>
        <v>Adquisicion PF Premier Mercado_Abierto Pago_Bajo_Puntual 10</v>
      </c>
      <c r="B2436" s="75" t="str">
        <f t="shared" si="86"/>
        <v>Adquisicion PF Premier Mercado_Abierto Pago_Bajo_Puntual 10 0.0965</v>
      </c>
      <c r="C2436" s="75" t="s">
        <v>114</v>
      </c>
      <c r="D2436" s="75" t="s">
        <v>132</v>
      </c>
      <c r="E2436" s="75" t="s">
        <v>143</v>
      </c>
      <c r="F2436" s="75"/>
      <c r="G2436" s="75" t="s">
        <v>396</v>
      </c>
      <c r="H2436" s="75"/>
      <c r="I2436" s="75" t="s">
        <v>170</v>
      </c>
      <c r="J2436" s="76">
        <v>10</v>
      </c>
      <c r="K2436" s="516" t="s">
        <v>385</v>
      </c>
      <c r="L2436" s="517">
        <v>12.25</v>
      </c>
      <c r="M2436" s="517">
        <v>12.91</v>
      </c>
      <c r="N2436" s="518">
        <v>9.6500000000000002E-2</v>
      </c>
      <c r="O2436" s="518">
        <v>9.1999999999999998E-2</v>
      </c>
      <c r="P2436" s="518">
        <v>0.10249999999999999</v>
      </c>
      <c r="Q2436" s="78">
        <v>0.44</v>
      </c>
      <c r="R2436" s="78">
        <v>0.31740000000000002</v>
      </c>
      <c r="S2436" s="69">
        <v>2.5000000000000001E-2</v>
      </c>
      <c r="T2436" s="69">
        <v>0.01</v>
      </c>
      <c r="U2436" s="518">
        <v>0.7</v>
      </c>
      <c r="V2436" s="76">
        <v>0</v>
      </c>
      <c r="W2436" s="76">
        <v>0</v>
      </c>
      <c r="X2436" s="76"/>
      <c r="Y2436" s="516" t="s">
        <v>470</v>
      </c>
    </row>
    <row r="2437" spans="1:25" x14ac:dyDescent="0.25">
      <c r="A2437" s="75" t="str">
        <f t="shared" si="87"/>
        <v>Adquisicion PF Premier Mercado_Abierto Pago_Bajo_Puntual 10</v>
      </c>
      <c r="B2437" s="75" t="str">
        <f t="shared" si="86"/>
        <v>Adquisicion PF Premier Mercado_Abierto Pago_Bajo_Puntual 10 0.103</v>
      </c>
      <c r="C2437" s="75" t="s">
        <v>114</v>
      </c>
      <c r="D2437" s="75" t="s">
        <v>132</v>
      </c>
      <c r="E2437" s="75" t="s">
        <v>143</v>
      </c>
      <c r="F2437" s="75"/>
      <c r="G2437" s="75" t="s">
        <v>396</v>
      </c>
      <c r="H2437" s="75"/>
      <c r="I2437" s="75" t="s">
        <v>170</v>
      </c>
      <c r="J2437" s="76">
        <v>10</v>
      </c>
      <c r="K2437" s="516" t="s">
        <v>386</v>
      </c>
      <c r="L2437" s="517">
        <v>12.62</v>
      </c>
      <c r="M2437" s="517">
        <v>13.28</v>
      </c>
      <c r="N2437" s="518">
        <v>0.10299999999999999</v>
      </c>
      <c r="O2437" s="518">
        <v>0.1</v>
      </c>
      <c r="P2437" s="518">
        <v>0.112</v>
      </c>
      <c r="Q2437" s="78">
        <v>0.44</v>
      </c>
      <c r="R2437" s="78">
        <v>0.31740000000000002</v>
      </c>
      <c r="S2437" s="69">
        <v>2.5000000000000001E-2</v>
      </c>
      <c r="T2437" s="69">
        <v>0.01</v>
      </c>
      <c r="U2437" s="518">
        <v>0.7</v>
      </c>
      <c r="V2437" s="76">
        <v>0</v>
      </c>
      <c r="W2437" s="76">
        <v>0</v>
      </c>
      <c r="X2437" s="76"/>
      <c r="Y2437" s="516" t="s">
        <v>470</v>
      </c>
    </row>
    <row r="2438" spans="1:25" x14ac:dyDescent="0.25">
      <c r="A2438" s="75" t="str">
        <f t="shared" si="87"/>
        <v>Adquisicion PF Premier Mercado_Abierto Pago_Bajo_Puntual 5</v>
      </c>
      <c r="B2438" s="75" t="str">
        <f t="shared" si="86"/>
        <v>Adquisicion PF Premier Mercado_Abierto Pago_Bajo_Puntual 5 0.0965</v>
      </c>
      <c r="C2438" s="75" t="s">
        <v>114</v>
      </c>
      <c r="D2438" s="75" t="s">
        <v>132</v>
      </c>
      <c r="E2438" s="75" t="s">
        <v>143</v>
      </c>
      <c r="F2438" s="75"/>
      <c r="G2438" s="75" t="s">
        <v>396</v>
      </c>
      <c r="H2438" s="75"/>
      <c r="I2438" s="75" t="s">
        <v>170</v>
      </c>
      <c r="J2438" s="76">
        <v>5</v>
      </c>
      <c r="K2438" s="516" t="s">
        <v>385</v>
      </c>
      <c r="L2438" s="517">
        <v>20.399999999999999</v>
      </c>
      <c r="M2438" s="517">
        <v>21.06</v>
      </c>
      <c r="N2438" s="518">
        <v>9.6500000000000002E-2</v>
      </c>
      <c r="O2438" s="518">
        <v>9.1999999999999998E-2</v>
      </c>
      <c r="P2438" s="518">
        <v>0.10249999999999999</v>
      </c>
      <c r="Q2438" s="78">
        <v>0.44</v>
      </c>
      <c r="R2438" s="78">
        <v>0.31740000000000002</v>
      </c>
      <c r="S2438" s="69">
        <v>2.5000000000000001E-2</v>
      </c>
      <c r="T2438" s="69">
        <v>0.01</v>
      </c>
      <c r="U2438" s="518">
        <v>0.7</v>
      </c>
      <c r="V2438" s="76">
        <v>0</v>
      </c>
      <c r="W2438" s="76">
        <v>0</v>
      </c>
      <c r="X2438" s="76"/>
      <c r="Y2438" s="516" t="s">
        <v>470</v>
      </c>
    </row>
    <row r="2439" spans="1:25" x14ac:dyDescent="0.25">
      <c r="A2439" s="75" t="str">
        <f t="shared" si="87"/>
        <v>Adquisicion PF Premier Mercado_Abierto Pago_Bajo_Puntual 5</v>
      </c>
      <c r="B2439" s="75" t="str">
        <f t="shared" si="86"/>
        <v>Adquisicion PF Premier Mercado_Abierto Pago_Bajo_Puntual 5 0.103</v>
      </c>
      <c r="C2439" s="75" t="s">
        <v>114</v>
      </c>
      <c r="D2439" s="75" t="s">
        <v>132</v>
      </c>
      <c r="E2439" s="75" t="s">
        <v>143</v>
      </c>
      <c r="F2439" s="75"/>
      <c r="G2439" s="75" t="s">
        <v>396</v>
      </c>
      <c r="H2439" s="75"/>
      <c r="I2439" s="75" t="s">
        <v>170</v>
      </c>
      <c r="J2439" s="76">
        <v>5</v>
      </c>
      <c r="K2439" s="516" t="s">
        <v>386</v>
      </c>
      <c r="L2439" s="517">
        <v>20.72</v>
      </c>
      <c r="M2439" s="517">
        <v>21.38</v>
      </c>
      <c r="N2439" s="518">
        <v>0.10299999999999999</v>
      </c>
      <c r="O2439" s="518">
        <v>0.1</v>
      </c>
      <c r="P2439" s="518">
        <v>0.112</v>
      </c>
      <c r="Q2439" s="78">
        <v>0.44</v>
      </c>
      <c r="R2439" s="78">
        <v>0.31740000000000002</v>
      </c>
      <c r="S2439" s="69">
        <v>2.5000000000000001E-2</v>
      </c>
      <c r="T2439" s="69">
        <v>0.01</v>
      </c>
      <c r="U2439" s="518">
        <v>0.7</v>
      </c>
      <c r="V2439" s="76">
        <v>0</v>
      </c>
      <c r="W2439" s="76">
        <v>0</v>
      </c>
      <c r="X2439" s="76"/>
      <c r="Y2439" s="516" t="s">
        <v>470</v>
      </c>
    </row>
    <row r="2440" spans="1:25" x14ac:dyDescent="0.25">
      <c r="A2440" s="75" t="str">
        <f t="shared" si="87"/>
        <v>Adquisicion PFAE Premier Mercado_Abierto Pago_Fijo_Puntual 25</v>
      </c>
      <c r="B2440" s="75" t="str">
        <f t="shared" si="86"/>
        <v>Adquisicion PFAE Premier Mercado_Abierto Pago_Fijo_Puntual 25 0.0965</v>
      </c>
      <c r="C2440" s="75" t="s">
        <v>114</v>
      </c>
      <c r="D2440" s="75" t="s">
        <v>168</v>
      </c>
      <c r="E2440" s="75" t="s">
        <v>143</v>
      </c>
      <c r="F2440" s="75"/>
      <c r="G2440" s="75" t="s">
        <v>396</v>
      </c>
      <c r="H2440" s="75"/>
      <c r="I2440" s="75" t="s">
        <v>171</v>
      </c>
      <c r="J2440" s="76">
        <v>25</v>
      </c>
      <c r="K2440" s="516" t="s">
        <v>385</v>
      </c>
      <c r="L2440" s="517">
        <v>9.11</v>
      </c>
      <c r="M2440" s="517">
        <v>9.77</v>
      </c>
      <c r="N2440" s="518">
        <v>9.6500000000000002E-2</v>
      </c>
      <c r="O2440" s="518">
        <v>9.1999999999999998E-2</v>
      </c>
      <c r="P2440" s="518">
        <v>0.10249999999999999</v>
      </c>
      <c r="Q2440" s="78">
        <v>0.44</v>
      </c>
      <c r="R2440" s="78">
        <v>0.31740000000000002</v>
      </c>
      <c r="S2440" s="69">
        <v>2.5000000000000001E-2</v>
      </c>
      <c r="T2440" s="69">
        <v>0.01</v>
      </c>
      <c r="U2440" s="518">
        <v>0.7</v>
      </c>
      <c r="V2440" s="76">
        <v>0</v>
      </c>
      <c r="W2440" s="76">
        <v>0</v>
      </c>
      <c r="X2440" s="76"/>
      <c r="Y2440" s="516" t="s">
        <v>470</v>
      </c>
    </row>
    <row r="2441" spans="1:25" x14ac:dyDescent="0.25">
      <c r="A2441" s="75" t="str">
        <f t="shared" si="87"/>
        <v>Adquisicion PFAE Premier Mercado_Abierto Pago_Fijo_Puntual 25</v>
      </c>
      <c r="B2441" s="75" t="str">
        <f t="shared" si="86"/>
        <v>Adquisicion PFAE Premier Mercado_Abierto Pago_Fijo_Puntual 25 0.103</v>
      </c>
      <c r="C2441" s="75" t="s">
        <v>114</v>
      </c>
      <c r="D2441" s="75" t="s">
        <v>168</v>
      </c>
      <c r="E2441" s="75" t="s">
        <v>143</v>
      </c>
      <c r="F2441" s="75"/>
      <c r="G2441" s="75" t="s">
        <v>396</v>
      </c>
      <c r="H2441" s="75"/>
      <c r="I2441" s="75" t="s">
        <v>171</v>
      </c>
      <c r="J2441" s="76">
        <v>25</v>
      </c>
      <c r="K2441" s="516" t="s">
        <v>386</v>
      </c>
      <c r="L2441" s="517">
        <v>9.65</v>
      </c>
      <c r="M2441" s="517">
        <v>10.31</v>
      </c>
      <c r="N2441" s="518">
        <v>0.10299999999999999</v>
      </c>
      <c r="O2441" s="518">
        <v>0.1</v>
      </c>
      <c r="P2441" s="518">
        <v>0.112</v>
      </c>
      <c r="Q2441" s="78">
        <v>0.44</v>
      </c>
      <c r="R2441" s="78">
        <v>0.31740000000000002</v>
      </c>
      <c r="S2441" s="69">
        <v>2.5000000000000001E-2</v>
      </c>
      <c r="T2441" s="69">
        <v>0.01</v>
      </c>
      <c r="U2441" s="518">
        <v>0.7</v>
      </c>
      <c r="V2441" s="76">
        <v>0</v>
      </c>
      <c r="W2441" s="76">
        <v>0</v>
      </c>
      <c r="X2441" s="76"/>
      <c r="Y2441" s="516" t="s">
        <v>470</v>
      </c>
    </row>
    <row r="2442" spans="1:25" x14ac:dyDescent="0.25">
      <c r="A2442" s="75" t="str">
        <f t="shared" si="87"/>
        <v>Adquisicion PFAE Premier Mercado_Abierto Pago_Fijo_Puntual 20</v>
      </c>
      <c r="B2442" s="75" t="str">
        <f t="shared" si="86"/>
        <v>Adquisicion PFAE Premier Mercado_Abierto Pago_Fijo_Puntual 20 0.0965</v>
      </c>
      <c r="C2442" s="75" t="s">
        <v>114</v>
      </c>
      <c r="D2442" s="75" t="s">
        <v>168</v>
      </c>
      <c r="E2442" s="75" t="s">
        <v>143</v>
      </c>
      <c r="F2442" s="75"/>
      <c r="G2442" s="75" t="s">
        <v>396</v>
      </c>
      <c r="H2442" s="75"/>
      <c r="I2442" s="75" t="s">
        <v>171</v>
      </c>
      <c r="J2442" s="76">
        <v>20</v>
      </c>
      <c r="K2442" s="516" t="s">
        <v>385</v>
      </c>
      <c r="L2442" s="517">
        <v>9.66</v>
      </c>
      <c r="M2442" s="517">
        <v>10.32</v>
      </c>
      <c r="N2442" s="518">
        <v>9.6500000000000002E-2</v>
      </c>
      <c r="O2442" s="518">
        <v>9.1999999999999998E-2</v>
      </c>
      <c r="P2442" s="518">
        <v>0.10249999999999999</v>
      </c>
      <c r="Q2442" s="78">
        <v>0.44</v>
      </c>
      <c r="R2442" s="78">
        <v>0.31740000000000002</v>
      </c>
      <c r="S2442" s="69">
        <v>2.5000000000000001E-2</v>
      </c>
      <c r="T2442" s="69">
        <v>0.01</v>
      </c>
      <c r="U2442" s="518">
        <v>0.7</v>
      </c>
      <c r="V2442" s="76">
        <v>0</v>
      </c>
      <c r="W2442" s="76">
        <v>0</v>
      </c>
      <c r="X2442" s="76"/>
      <c r="Y2442" s="516" t="s">
        <v>470</v>
      </c>
    </row>
    <row r="2443" spans="1:25" x14ac:dyDescent="0.25">
      <c r="A2443" s="75" t="str">
        <f t="shared" si="87"/>
        <v>Adquisicion PFAE Premier Mercado_Abierto Pago_Fijo_Puntual 20</v>
      </c>
      <c r="B2443" s="75" t="str">
        <f t="shared" si="86"/>
        <v>Adquisicion PFAE Premier Mercado_Abierto Pago_Fijo_Puntual 20 0.103</v>
      </c>
      <c r="C2443" s="75" t="s">
        <v>114</v>
      </c>
      <c r="D2443" s="75" t="s">
        <v>168</v>
      </c>
      <c r="E2443" s="75" t="s">
        <v>143</v>
      </c>
      <c r="F2443" s="75"/>
      <c r="G2443" s="75" t="s">
        <v>396</v>
      </c>
      <c r="H2443" s="75"/>
      <c r="I2443" s="75" t="s">
        <v>171</v>
      </c>
      <c r="J2443" s="76">
        <v>20</v>
      </c>
      <c r="K2443" s="516" t="s">
        <v>386</v>
      </c>
      <c r="L2443" s="517">
        <v>10.16</v>
      </c>
      <c r="M2443" s="517">
        <v>10.82</v>
      </c>
      <c r="N2443" s="518">
        <v>0.10299999999999999</v>
      </c>
      <c r="O2443" s="518">
        <v>0.1</v>
      </c>
      <c r="P2443" s="518">
        <v>0.112</v>
      </c>
      <c r="Q2443" s="78">
        <v>0.44</v>
      </c>
      <c r="R2443" s="78">
        <v>0.31740000000000002</v>
      </c>
      <c r="S2443" s="69">
        <v>2.5000000000000001E-2</v>
      </c>
      <c r="T2443" s="69">
        <v>0.01</v>
      </c>
      <c r="U2443" s="518">
        <v>0.7</v>
      </c>
      <c r="V2443" s="76">
        <v>0</v>
      </c>
      <c r="W2443" s="76">
        <v>0</v>
      </c>
      <c r="X2443" s="76"/>
      <c r="Y2443" s="516" t="s">
        <v>470</v>
      </c>
    </row>
    <row r="2444" spans="1:25" x14ac:dyDescent="0.25">
      <c r="A2444" s="75" t="str">
        <f t="shared" si="87"/>
        <v>Adquisicion PFAE Premier Mercado_Abierto Pago_Fijo_Puntual 15</v>
      </c>
      <c r="B2444" s="75" t="str">
        <f t="shared" si="86"/>
        <v>Adquisicion PFAE Premier Mercado_Abierto Pago_Fijo_Puntual 15 0.0965</v>
      </c>
      <c r="C2444" s="75" t="s">
        <v>114</v>
      </c>
      <c r="D2444" s="75" t="s">
        <v>168</v>
      </c>
      <c r="E2444" s="75" t="s">
        <v>143</v>
      </c>
      <c r="F2444" s="75"/>
      <c r="G2444" s="75" t="s">
        <v>396</v>
      </c>
      <c r="H2444" s="75"/>
      <c r="I2444" s="75" t="s">
        <v>171</v>
      </c>
      <c r="J2444" s="76">
        <v>15</v>
      </c>
      <c r="K2444" s="516" t="s">
        <v>385</v>
      </c>
      <c r="L2444" s="517">
        <v>10.73</v>
      </c>
      <c r="M2444" s="517">
        <v>11.39</v>
      </c>
      <c r="N2444" s="518">
        <v>9.6500000000000002E-2</v>
      </c>
      <c r="O2444" s="518">
        <v>9.1999999999999998E-2</v>
      </c>
      <c r="P2444" s="518">
        <v>0.10249999999999999</v>
      </c>
      <c r="Q2444" s="78">
        <v>0.44</v>
      </c>
      <c r="R2444" s="78">
        <v>0.31740000000000002</v>
      </c>
      <c r="S2444" s="69">
        <v>2.5000000000000001E-2</v>
      </c>
      <c r="T2444" s="69">
        <v>0.01</v>
      </c>
      <c r="U2444" s="518">
        <v>0.7</v>
      </c>
      <c r="V2444" s="76">
        <v>0</v>
      </c>
      <c r="W2444" s="76">
        <v>0</v>
      </c>
      <c r="X2444" s="76"/>
      <c r="Y2444" s="516" t="s">
        <v>470</v>
      </c>
    </row>
    <row r="2445" spans="1:25" x14ac:dyDescent="0.25">
      <c r="A2445" s="75" t="str">
        <f t="shared" si="87"/>
        <v>Adquisicion PFAE Premier Mercado_Abierto Pago_Fijo_Puntual 15</v>
      </c>
      <c r="B2445" s="75" t="str">
        <f t="shared" si="86"/>
        <v>Adquisicion PFAE Premier Mercado_Abierto Pago_Fijo_Puntual 15 0.103</v>
      </c>
      <c r="C2445" s="75" t="s">
        <v>114</v>
      </c>
      <c r="D2445" s="75" t="s">
        <v>168</v>
      </c>
      <c r="E2445" s="75" t="s">
        <v>143</v>
      </c>
      <c r="F2445" s="75"/>
      <c r="G2445" s="75" t="s">
        <v>396</v>
      </c>
      <c r="H2445" s="75"/>
      <c r="I2445" s="75" t="s">
        <v>171</v>
      </c>
      <c r="J2445" s="76">
        <v>15</v>
      </c>
      <c r="K2445" s="516" t="s">
        <v>386</v>
      </c>
      <c r="L2445" s="517">
        <v>11.18</v>
      </c>
      <c r="M2445" s="517">
        <v>11.84</v>
      </c>
      <c r="N2445" s="518">
        <v>0.10299999999999999</v>
      </c>
      <c r="O2445" s="518">
        <v>0.1</v>
      </c>
      <c r="P2445" s="518">
        <v>0.112</v>
      </c>
      <c r="Q2445" s="78">
        <v>0.44</v>
      </c>
      <c r="R2445" s="78">
        <v>0.31740000000000002</v>
      </c>
      <c r="S2445" s="69">
        <v>2.5000000000000001E-2</v>
      </c>
      <c r="T2445" s="69">
        <v>0.01</v>
      </c>
      <c r="U2445" s="518">
        <v>0.7</v>
      </c>
      <c r="V2445" s="76">
        <v>0</v>
      </c>
      <c r="W2445" s="76">
        <v>0</v>
      </c>
      <c r="X2445" s="76"/>
      <c r="Y2445" s="516" t="s">
        <v>470</v>
      </c>
    </row>
    <row r="2446" spans="1:25" x14ac:dyDescent="0.25">
      <c r="A2446" s="75" t="str">
        <f t="shared" si="87"/>
        <v>Adquisicion PFAE Premier Mercado_Abierto Pago_Fijo_Puntual 10</v>
      </c>
      <c r="B2446" s="75" t="str">
        <f t="shared" si="86"/>
        <v>Adquisicion PFAE Premier Mercado_Abierto Pago_Fijo_Puntual 10 0.0965</v>
      </c>
      <c r="C2446" s="75" t="s">
        <v>114</v>
      </c>
      <c r="D2446" s="75" t="s">
        <v>168</v>
      </c>
      <c r="E2446" s="75" t="s">
        <v>143</v>
      </c>
      <c r="F2446" s="75"/>
      <c r="G2446" s="75" t="s">
        <v>396</v>
      </c>
      <c r="H2446" s="75"/>
      <c r="I2446" s="75" t="s">
        <v>171</v>
      </c>
      <c r="J2446" s="76">
        <v>10</v>
      </c>
      <c r="K2446" s="516" t="s">
        <v>385</v>
      </c>
      <c r="L2446" s="517">
        <v>13.16</v>
      </c>
      <c r="M2446" s="517">
        <v>13.82</v>
      </c>
      <c r="N2446" s="518">
        <v>9.6500000000000002E-2</v>
      </c>
      <c r="O2446" s="518">
        <v>9.1999999999999998E-2</v>
      </c>
      <c r="P2446" s="518">
        <v>0.10249999999999999</v>
      </c>
      <c r="Q2446" s="78">
        <v>0.44</v>
      </c>
      <c r="R2446" s="78">
        <v>0.31740000000000002</v>
      </c>
      <c r="S2446" s="69">
        <v>2.5000000000000001E-2</v>
      </c>
      <c r="T2446" s="69">
        <v>0.01</v>
      </c>
      <c r="U2446" s="518">
        <v>0.7</v>
      </c>
      <c r="V2446" s="76">
        <v>0</v>
      </c>
      <c r="W2446" s="76">
        <v>0</v>
      </c>
      <c r="X2446" s="76"/>
      <c r="Y2446" s="516" t="s">
        <v>470</v>
      </c>
    </row>
    <row r="2447" spans="1:25" x14ac:dyDescent="0.25">
      <c r="A2447" s="75" t="str">
        <f t="shared" si="87"/>
        <v>Adquisicion PFAE Premier Mercado_Abierto Pago_Fijo_Puntual 10</v>
      </c>
      <c r="B2447" s="75" t="str">
        <f t="shared" si="86"/>
        <v>Adquisicion PFAE Premier Mercado_Abierto Pago_Fijo_Puntual 10 0.103</v>
      </c>
      <c r="C2447" s="75" t="s">
        <v>114</v>
      </c>
      <c r="D2447" s="75" t="s">
        <v>168</v>
      </c>
      <c r="E2447" s="75" t="s">
        <v>143</v>
      </c>
      <c r="F2447" s="75"/>
      <c r="G2447" s="75" t="s">
        <v>396</v>
      </c>
      <c r="H2447" s="75"/>
      <c r="I2447" s="75" t="s">
        <v>171</v>
      </c>
      <c r="J2447" s="76">
        <v>10</v>
      </c>
      <c r="K2447" s="516" t="s">
        <v>386</v>
      </c>
      <c r="L2447" s="517">
        <v>13.54</v>
      </c>
      <c r="M2447" s="517">
        <v>14.2</v>
      </c>
      <c r="N2447" s="518">
        <v>0.10299999999999999</v>
      </c>
      <c r="O2447" s="518">
        <v>0.1</v>
      </c>
      <c r="P2447" s="518">
        <v>0.112</v>
      </c>
      <c r="Q2447" s="78">
        <v>0.44</v>
      </c>
      <c r="R2447" s="78">
        <v>0.31740000000000002</v>
      </c>
      <c r="S2447" s="69">
        <v>2.5000000000000001E-2</v>
      </c>
      <c r="T2447" s="69">
        <v>0.01</v>
      </c>
      <c r="U2447" s="518">
        <v>0.7</v>
      </c>
      <c r="V2447" s="76">
        <v>0</v>
      </c>
      <c r="W2447" s="76">
        <v>0</v>
      </c>
      <c r="X2447" s="76"/>
      <c r="Y2447" s="516" t="s">
        <v>470</v>
      </c>
    </row>
    <row r="2448" spans="1:25" x14ac:dyDescent="0.25">
      <c r="A2448" s="75" t="str">
        <f t="shared" si="87"/>
        <v>Adquisicion PFAE Premier Mercado_Abierto Pago_Fijo_Puntual 5</v>
      </c>
      <c r="B2448" s="75" t="str">
        <f t="shared" si="86"/>
        <v>Adquisicion PFAE Premier Mercado_Abierto Pago_Fijo_Puntual 5 0.0965</v>
      </c>
      <c r="C2448" s="75" t="s">
        <v>114</v>
      </c>
      <c r="D2448" s="75" t="s">
        <v>168</v>
      </c>
      <c r="E2448" s="75" t="s">
        <v>143</v>
      </c>
      <c r="F2448" s="75"/>
      <c r="G2448" s="75" t="s">
        <v>396</v>
      </c>
      <c r="H2448" s="75"/>
      <c r="I2448" s="75" t="s">
        <v>171</v>
      </c>
      <c r="J2448" s="76">
        <v>5</v>
      </c>
      <c r="K2448" s="516" t="s">
        <v>385</v>
      </c>
      <c r="L2448" s="517">
        <v>21.12</v>
      </c>
      <c r="M2448" s="517">
        <v>21.78</v>
      </c>
      <c r="N2448" s="518">
        <v>9.6500000000000002E-2</v>
      </c>
      <c r="O2448" s="518">
        <v>9.1999999999999998E-2</v>
      </c>
      <c r="P2448" s="518">
        <v>0.10249999999999999</v>
      </c>
      <c r="Q2448" s="78">
        <v>0.44</v>
      </c>
      <c r="R2448" s="78">
        <v>0.31740000000000002</v>
      </c>
      <c r="S2448" s="69">
        <v>2.5000000000000001E-2</v>
      </c>
      <c r="T2448" s="69">
        <v>0.01</v>
      </c>
      <c r="U2448" s="518">
        <v>0.7</v>
      </c>
      <c r="V2448" s="76">
        <v>0</v>
      </c>
      <c r="W2448" s="76">
        <v>0</v>
      </c>
      <c r="X2448" s="76"/>
      <c r="Y2448" s="516" t="s">
        <v>470</v>
      </c>
    </row>
    <row r="2449" spans="1:25" x14ac:dyDescent="0.25">
      <c r="A2449" s="75" t="str">
        <f t="shared" si="87"/>
        <v>Adquisicion PFAE Premier Mercado_Abierto Pago_Fijo_Puntual 5</v>
      </c>
      <c r="B2449" s="75" t="str">
        <f t="shared" si="86"/>
        <v>Adquisicion PFAE Premier Mercado_Abierto Pago_Fijo_Puntual 5 0.103</v>
      </c>
      <c r="C2449" s="75" t="s">
        <v>114</v>
      </c>
      <c r="D2449" s="75" t="s">
        <v>168</v>
      </c>
      <c r="E2449" s="75" t="s">
        <v>143</v>
      </c>
      <c r="F2449" s="75"/>
      <c r="G2449" s="75" t="s">
        <v>396</v>
      </c>
      <c r="H2449" s="75"/>
      <c r="I2449" s="75" t="s">
        <v>171</v>
      </c>
      <c r="J2449" s="76">
        <v>5</v>
      </c>
      <c r="K2449" s="516" t="s">
        <v>386</v>
      </c>
      <c r="L2449" s="517">
        <v>21.44</v>
      </c>
      <c r="M2449" s="517">
        <v>22.1</v>
      </c>
      <c r="N2449" s="518">
        <v>0.10299999999999999</v>
      </c>
      <c r="O2449" s="518">
        <v>0.1</v>
      </c>
      <c r="P2449" s="518">
        <v>0.112</v>
      </c>
      <c r="Q2449" s="78">
        <v>0.44</v>
      </c>
      <c r="R2449" s="78">
        <v>0.31740000000000002</v>
      </c>
      <c r="S2449" s="69">
        <v>2.5000000000000001E-2</v>
      </c>
      <c r="T2449" s="69">
        <v>0.01</v>
      </c>
      <c r="U2449" s="518">
        <v>0.7</v>
      </c>
      <c r="V2449" s="76">
        <v>0</v>
      </c>
      <c r="W2449" s="76">
        <v>0</v>
      </c>
      <c r="X2449" s="76"/>
      <c r="Y2449" s="516" t="s">
        <v>470</v>
      </c>
    </row>
    <row r="2450" spans="1:25" x14ac:dyDescent="0.25">
      <c r="A2450" s="75" t="str">
        <f t="shared" si="87"/>
        <v>Adquisicion PFAE Premier Mercado_Abierto Pago_Bajo_Puntual 25</v>
      </c>
      <c r="B2450" s="75" t="str">
        <f t="shared" si="86"/>
        <v>Adquisicion PFAE Premier Mercado_Abierto Pago_Bajo_Puntual 25 0.0965</v>
      </c>
      <c r="C2450" s="75" t="s">
        <v>114</v>
      </c>
      <c r="D2450" s="75" t="s">
        <v>168</v>
      </c>
      <c r="E2450" s="75" t="s">
        <v>143</v>
      </c>
      <c r="F2450" s="75"/>
      <c r="G2450" s="75" t="s">
        <v>396</v>
      </c>
      <c r="H2450" s="75"/>
      <c r="I2450" s="75" t="s">
        <v>170</v>
      </c>
      <c r="J2450" s="523">
        <v>25</v>
      </c>
      <c r="K2450" s="516" t="s">
        <v>385</v>
      </c>
      <c r="L2450" s="517">
        <v>8.1</v>
      </c>
      <c r="M2450" s="517">
        <v>8.76</v>
      </c>
      <c r="N2450" s="518">
        <v>9.6500000000000002E-2</v>
      </c>
      <c r="O2450" s="518">
        <v>9.1999999999999998E-2</v>
      </c>
      <c r="P2450" s="518">
        <v>0.10249999999999999</v>
      </c>
      <c r="Q2450" s="78">
        <v>0.44</v>
      </c>
      <c r="R2450" s="78">
        <v>0.31740000000000002</v>
      </c>
      <c r="S2450" s="69">
        <v>2.5000000000000001E-2</v>
      </c>
      <c r="T2450" s="69">
        <v>0.01</v>
      </c>
      <c r="U2450" s="518">
        <v>0.7</v>
      </c>
      <c r="V2450" s="76">
        <v>0</v>
      </c>
      <c r="W2450" s="76">
        <v>0</v>
      </c>
      <c r="X2450" s="76"/>
      <c r="Y2450" s="516" t="s">
        <v>470</v>
      </c>
    </row>
    <row r="2451" spans="1:25" x14ac:dyDescent="0.25">
      <c r="A2451" s="75" t="str">
        <f t="shared" si="87"/>
        <v>Adquisicion PFAE Premier Mercado_Abierto Pago_Bajo_Puntual 25</v>
      </c>
      <c r="B2451" s="75" t="str">
        <f t="shared" si="86"/>
        <v>Adquisicion PFAE Premier Mercado_Abierto Pago_Bajo_Puntual 25 0.103</v>
      </c>
      <c r="C2451" s="75" t="s">
        <v>114</v>
      </c>
      <c r="D2451" s="75" t="s">
        <v>168</v>
      </c>
      <c r="E2451" s="75" t="s">
        <v>143</v>
      </c>
      <c r="F2451" s="75"/>
      <c r="G2451" s="75" t="s">
        <v>396</v>
      </c>
      <c r="H2451" s="75"/>
      <c r="I2451" s="75" t="s">
        <v>170</v>
      </c>
      <c r="J2451" s="523">
        <v>25</v>
      </c>
      <c r="K2451" s="516" t="s">
        <v>386</v>
      </c>
      <c r="L2451" s="517">
        <v>8.64</v>
      </c>
      <c r="M2451" s="517">
        <v>9.3000000000000007</v>
      </c>
      <c r="N2451" s="518">
        <v>0.10299999999999999</v>
      </c>
      <c r="O2451" s="518">
        <v>0.1</v>
      </c>
      <c r="P2451" s="518">
        <v>0.112</v>
      </c>
      <c r="Q2451" s="78">
        <v>0.44</v>
      </c>
      <c r="R2451" s="78">
        <v>0.31740000000000002</v>
      </c>
      <c r="S2451" s="69">
        <v>2.5000000000000001E-2</v>
      </c>
      <c r="T2451" s="69">
        <v>0.01</v>
      </c>
      <c r="U2451" s="518">
        <v>0.7</v>
      </c>
      <c r="V2451" s="76">
        <v>0</v>
      </c>
      <c r="W2451" s="76">
        <v>0</v>
      </c>
      <c r="X2451" s="76"/>
      <c r="Y2451" s="516" t="s">
        <v>470</v>
      </c>
    </row>
    <row r="2452" spans="1:25" x14ac:dyDescent="0.25">
      <c r="A2452" s="75" t="str">
        <f t="shared" si="87"/>
        <v>Adquisicion PFAE Premier Mercado_Abierto Pago_Bajo_Puntual 20</v>
      </c>
      <c r="B2452" s="75" t="str">
        <f t="shared" si="86"/>
        <v>Adquisicion PFAE Premier Mercado_Abierto Pago_Bajo_Puntual 20 0.0965</v>
      </c>
      <c r="C2452" s="75" t="s">
        <v>114</v>
      </c>
      <c r="D2452" s="75" t="s">
        <v>168</v>
      </c>
      <c r="E2452" s="75" t="s">
        <v>143</v>
      </c>
      <c r="F2452" s="75"/>
      <c r="G2452" s="75" t="s">
        <v>396</v>
      </c>
      <c r="H2452" s="75"/>
      <c r="I2452" s="75" t="s">
        <v>170</v>
      </c>
      <c r="J2452" s="76">
        <v>20</v>
      </c>
      <c r="K2452" s="516" t="s">
        <v>385</v>
      </c>
      <c r="L2452" s="517">
        <v>8.52</v>
      </c>
      <c r="M2452" s="517">
        <v>9.18</v>
      </c>
      <c r="N2452" s="518">
        <v>9.6500000000000002E-2</v>
      </c>
      <c r="O2452" s="518">
        <v>9.1999999999999998E-2</v>
      </c>
      <c r="P2452" s="518">
        <v>0.10249999999999999</v>
      </c>
      <c r="Q2452" s="78">
        <v>0.44</v>
      </c>
      <c r="R2452" s="78">
        <v>0.31740000000000002</v>
      </c>
      <c r="S2452" s="69">
        <v>2.5000000000000001E-2</v>
      </c>
      <c r="T2452" s="69">
        <v>0.01</v>
      </c>
      <c r="U2452" s="518">
        <v>0.7</v>
      </c>
      <c r="V2452" s="76">
        <v>0</v>
      </c>
      <c r="W2452" s="76">
        <v>0</v>
      </c>
      <c r="X2452" s="76"/>
      <c r="Y2452" s="516" t="s">
        <v>470</v>
      </c>
    </row>
    <row r="2453" spans="1:25" x14ac:dyDescent="0.25">
      <c r="A2453" s="75" t="str">
        <f t="shared" si="87"/>
        <v>Adquisicion PFAE Premier Mercado_Abierto Pago_Bajo_Puntual 20</v>
      </c>
      <c r="B2453" s="75" t="str">
        <f t="shared" si="86"/>
        <v>Adquisicion PFAE Premier Mercado_Abierto Pago_Bajo_Puntual 20 0.103</v>
      </c>
      <c r="C2453" s="75" t="s">
        <v>114</v>
      </c>
      <c r="D2453" s="75" t="s">
        <v>168</v>
      </c>
      <c r="E2453" s="75" t="s">
        <v>143</v>
      </c>
      <c r="F2453" s="75"/>
      <c r="G2453" s="75" t="s">
        <v>396</v>
      </c>
      <c r="H2453" s="75"/>
      <c r="I2453" s="75" t="s">
        <v>170</v>
      </c>
      <c r="J2453" s="76">
        <v>20</v>
      </c>
      <c r="K2453" s="516" t="s">
        <v>386</v>
      </c>
      <c r="L2453" s="517">
        <v>9</v>
      </c>
      <c r="M2453" s="517">
        <v>9.66</v>
      </c>
      <c r="N2453" s="518">
        <v>0.10299999999999999</v>
      </c>
      <c r="O2453" s="518">
        <v>0.1</v>
      </c>
      <c r="P2453" s="518">
        <v>0.112</v>
      </c>
      <c r="Q2453" s="78">
        <v>0.44</v>
      </c>
      <c r="R2453" s="78">
        <v>0.31740000000000002</v>
      </c>
      <c r="S2453" s="69">
        <v>2.5000000000000001E-2</v>
      </c>
      <c r="T2453" s="69">
        <v>0.01</v>
      </c>
      <c r="U2453" s="518">
        <v>0.7</v>
      </c>
      <c r="V2453" s="76">
        <v>0</v>
      </c>
      <c r="W2453" s="76">
        <v>0</v>
      </c>
      <c r="X2453" s="76"/>
      <c r="Y2453" s="516" t="s">
        <v>470</v>
      </c>
    </row>
    <row r="2454" spans="1:25" x14ac:dyDescent="0.25">
      <c r="A2454" s="75" t="str">
        <f t="shared" si="87"/>
        <v>Adquisicion PFAE Premier Mercado_Abierto Pago_Bajo_Puntual 15</v>
      </c>
      <c r="B2454" s="75" t="str">
        <f t="shared" si="86"/>
        <v>Adquisicion PFAE Premier Mercado_Abierto Pago_Bajo_Puntual 15 0.0965</v>
      </c>
      <c r="C2454" s="75" t="s">
        <v>114</v>
      </c>
      <c r="D2454" s="75" t="s">
        <v>168</v>
      </c>
      <c r="E2454" s="75" t="s">
        <v>143</v>
      </c>
      <c r="F2454" s="75"/>
      <c r="G2454" s="75" t="s">
        <v>396</v>
      </c>
      <c r="H2454" s="75"/>
      <c r="I2454" s="75" t="s">
        <v>170</v>
      </c>
      <c r="J2454" s="76">
        <v>15</v>
      </c>
      <c r="K2454" s="516" t="s">
        <v>385</v>
      </c>
      <c r="L2454" s="517">
        <v>9.6999999999999993</v>
      </c>
      <c r="M2454" s="517">
        <v>10.36</v>
      </c>
      <c r="N2454" s="518">
        <v>9.6500000000000002E-2</v>
      </c>
      <c r="O2454" s="518">
        <v>9.1999999999999998E-2</v>
      </c>
      <c r="P2454" s="518">
        <v>0.10249999999999999</v>
      </c>
      <c r="Q2454" s="78">
        <v>0.44</v>
      </c>
      <c r="R2454" s="78">
        <v>0.31740000000000002</v>
      </c>
      <c r="S2454" s="69">
        <v>2.5000000000000001E-2</v>
      </c>
      <c r="T2454" s="69">
        <v>0.01</v>
      </c>
      <c r="U2454" s="518">
        <v>0.7</v>
      </c>
      <c r="V2454" s="76">
        <v>0</v>
      </c>
      <c r="W2454" s="76">
        <v>0</v>
      </c>
      <c r="X2454" s="76"/>
      <c r="Y2454" s="516" t="s">
        <v>470</v>
      </c>
    </row>
    <row r="2455" spans="1:25" x14ac:dyDescent="0.25">
      <c r="A2455" s="75" t="str">
        <f t="shared" si="87"/>
        <v>Adquisicion PFAE Premier Mercado_Abierto Pago_Bajo_Puntual 15</v>
      </c>
      <c r="B2455" s="75" t="str">
        <f t="shared" si="86"/>
        <v>Adquisicion PFAE Premier Mercado_Abierto Pago_Bajo_Puntual 15 0.103</v>
      </c>
      <c r="C2455" s="75" t="s">
        <v>114</v>
      </c>
      <c r="D2455" s="75" t="s">
        <v>168</v>
      </c>
      <c r="E2455" s="75" t="s">
        <v>143</v>
      </c>
      <c r="F2455" s="75"/>
      <c r="G2455" s="75" t="s">
        <v>396</v>
      </c>
      <c r="H2455" s="75"/>
      <c r="I2455" s="75" t="s">
        <v>170</v>
      </c>
      <c r="J2455" s="76">
        <v>15</v>
      </c>
      <c r="K2455" s="516" t="s">
        <v>386</v>
      </c>
      <c r="L2455" s="517">
        <v>10.119999999999999</v>
      </c>
      <c r="M2455" s="517">
        <v>10.78</v>
      </c>
      <c r="N2455" s="518">
        <v>0.10299999999999999</v>
      </c>
      <c r="O2455" s="518">
        <v>0.1</v>
      </c>
      <c r="P2455" s="518">
        <v>0.112</v>
      </c>
      <c r="Q2455" s="78">
        <v>0.44</v>
      </c>
      <c r="R2455" s="78">
        <v>0.31740000000000002</v>
      </c>
      <c r="S2455" s="69">
        <v>2.5000000000000001E-2</v>
      </c>
      <c r="T2455" s="69">
        <v>0.01</v>
      </c>
      <c r="U2455" s="518">
        <v>0.7</v>
      </c>
      <c r="V2455" s="76">
        <v>0</v>
      </c>
      <c r="W2455" s="76">
        <v>0</v>
      </c>
      <c r="X2455" s="76"/>
      <c r="Y2455" s="516" t="s">
        <v>470</v>
      </c>
    </row>
    <row r="2456" spans="1:25" x14ac:dyDescent="0.25">
      <c r="A2456" s="75" t="str">
        <f t="shared" si="87"/>
        <v>Adquisicion PFAE Premier Mercado_Abierto Pago_Bajo_Puntual 10</v>
      </c>
      <c r="B2456" s="75" t="str">
        <f t="shared" si="86"/>
        <v>Adquisicion PFAE Premier Mercado_Abierto Pago_Bajo_Puntual 10 0.0965</v>
      </c>
      <c r="C2456" s="75" t="s">
        <v>114</v>
      </c>
      <c r="D2456" s="75" t="s">
        <v>168</v>
      </c>
      <c r="E2456" s="75" t="s">
        <v>143</v>
      </c>
      <c r="F2456" s="75"/>
      <c r="G2456" s="75" t="s">
        <v>396</v>
      </c>
      <c r="H2456" s="75"/>
      <c r="I2456" s="75" t="s">
        <v>170</v>
      </c>
      <c r="J2456" s="76">
        <v>10</v>
      </c>
      <c r="K2456" s="516" t="s">
        <v>385</v>
      </c>
      <c r="L2456" s="517">
        <v>12.25</v>
      </c>
      <c r="M2456" s="517">
        <v>12.91</v>
      </c>
      <c r="N2456" s="518">
        <v>9.6500000000000002E-2</v>
      </c>
      <c r="O2456" s="518">
        <v>9.1999999999999998E-2</v>
      </c>
      <c r="P2456" s="518">
        <v>0.10249999999999999</v>
      </c>
      <c r="Q2456" s="78">
        <v>0.44</v>
      </c>
      <c r="R2456" s="78">
        <v>0.31740000000000002</v>
      </c>
      <c r="S2456" s="69">
        <v>2.5000000000000001E-2</v>
      </c>
      <c r="T2456" s="69">
        <v>0.01</v>
      </c>
      <c r="U2456" s="518">
        <v>0.7</v>
      </c>
      <c r="V2456" s="76">
        <v>0</v>
      </c>
      <c r="W2456" s="76">
        <v>0</v>
      </c>
      <c r="X2456" s="76"/>
      <c r="Y2456" s="516" t="s">
        <v>470</v>
      </c>
    </row>
    <row r="2457" spans="1:25" x14ac:dyDescent="0.25">
      <c r="A2457" s="75" t="str">
        <f t="shared" si="87"/>
        <v>Adquisicion PFAE Premier Mercado_Abierto Pago_Bajo_Puntual 10</v>
      </c>
      <c r="B2457" s="75" t="str">
        <f t="shared" si="86"/>
        <v>Adquisicion PFAE Premier Mercado_Abierto Pago_Bajo_Puntual 10 0.103</v>
      </c>
      <c r="C2457" s="75" t="s">
        <v>114</v>
      </c>
      <c r="D2457" s="75" t="s">
        <v>168</v>
      </c>
      <c r="E2457" s="75" t="s">
        <v>143</v>
      </c>
      <c r="F2457" s="75"/>
      <c r="G2457" s="75" t="s">
        <v>396</v>
      </c>
      <c r="H2457" s="75"/>
      <c r="I2457" s="75" t="s">
        <v>170</v>
      </c>
      <c r="J2457" s="76">
        <v>10</v>
      </c>
      <c r="K2457" s="516" t="s">
        <v>386</v>
      </c>
      <c r="L2457" s="517">
        <v>12.62</v>
      </c>
      <c r="M2457" s="517">
        <v>13.28</v>
      </c>
      <c r="N2457" s="518">
        <v>0.10299999999999999</v>
      </c>
      <c r="O2457" s="518">
        <v>0.1</v>
      </c>
      <c r="P2457" s="518">
        <v>0.112</v>
      </c>
      <c r="Q2457" s="78">
        <v>0.44</v>
      </c>
      <c r="R2457" s="78">
        <v>0.31740000000000002</v>
      </c>
      <c r="S2457" s="69">
        <v>2.5000000000000001E-2</v>
      </c>
      <c r="T2457" s="69">
        <v>0.01</v>
      </c>
      <c r="U2457" s="518">
        <v>0.7</v>
      </c>
      <c r="V2457" s="76">
        <v>0</v>
      </c>
      <c r="W2457" s="76">
        <v>0</v>
      </c>
      <c r="X2457" s="76"/>
      <c r="Y2457" s="516" t="s">
        <v>470</v>
      </c>
    </row>
    <row r="2458" spans="1:25" x14ac:dyDescent="0.25">
      <c r="A2458" s="75" t="str">
        <f t="shared" si="87"/>
        <v>Adquisicion PFAE Premier Mercado_Abierto Pago_Bajo_Puntual 5</v>
      </c>
      <c r="B2458" s="75" t="str">
        <f t="shared" si="86"/>
        <v>Adquisicion PFAE Premier Mercado_Abierto Pago_Bajo_Puntual 5 0.0965</v>
      </c>
      <c r="C2458" s="75" t="s">
        <v>114</v>
      </c>
      <c r="D2458" s="75" t="s">
        <v>168</v>
      </c>
      <c r="E2458" s="75" t="s">
        <v>143</v>
      </c>
      <c r="F2458" s="75"/>
      <c r="G2458" s="75" t="s">
        <v>396</v>
      </c>
      <c r="H2458" s="75"/>
      <c r="I2458" s="75" t="s">
        <v>170</v>
      </c>
      <c r="J2458" s="76">
        <v>5</v>
      </c>
      <c r="K2458" s="516" t="s">
        <v>385</v>
      </c>
      <c r="L2458" s="517">
        <v>20.399999999999999</v>
      </c>
      <c r="M2458" s="517">
        <v>21.06</v>
      </c>
      <c r="N2458" s="518">
        <v>9.6500000000000002E-2</v>
      </c>
      <c r="O2458" s="518">
        <v>9.1999999999999998E-2</v>
      </c>
      <c r="P2458" s="518">
        <v>0.10249999999999999</v>
      </c>
      <c r="Q2458" s="78">
        <v>0.44</v>
      </c>
      <c r="R2458" s="78">
        <v>0.31740000000000002</v>
      </c>
      <c r="S2458" s="69">
        <v>2.5000000000000001E-2</v>
      </c>
      <c r="T2458" s="69">
        <v>0.01</v>
      </c>
      <c r="U2458" s="518">
        <v>0.7</v>
      </c>
      <c r="V2458" s="76">
        <v>0</v>
      </c>
      <c r="W2458" s="76">
        <v>0</v>
      </c>
      <c r="X2458" s="76"/>
      <c r="Y2458" s="516" t="s">
        <v>470</v>
      </c>
    </row>
    <row r="2459" spans="1:25" x14ac:dyDescent="0.25">
      <c r="A2459" s="75" t="str">
        <f t="shared" si="87"/>
        <v>Adquisicion PFAE Premier Mercado_Abierto Pago_Bajo_Puntual 5</v>
      </c>
      <c r="B2459" s="75" t="str">
        <f t="shared" si="86"/>
        <v>Adquisicion PFAE Premier Mercado_Abierto Pago_Bajo_Puntual 5 0.103</v>
      </c>
      <c r="C2459" s="75" t="s">
        <v>114</v>
      </c>
      <c r="D2459" s="75" t="s">
        <v>168</v>
      </c>
      <c r="E2459" s="75" t="s">
        <v>143</v>
      </c>
      <c r="F2459" s="75"/>
      <c r="G2459" s="75" t="s">
        <v>396</v>
      </c>
      <c r="H2459" s="75"/>
      <c r="I2459" s="75" t="s">
        <v>170</v>
      </c>
      <c r="J2459" s="76">
        <v>5</v>
      </c>
      <c r="K2459" s="516" t="s">
        <v>386</v>
      </c>
      <c r="L2459" s="517">
        <v>20.72</v>
      </c>
      <c r="M2459" s="517">
        <v>21.38</v>
      </c>
      <c r="N2459" s="518">
        <v>0.10299999999999999</v>
      </c>
      <c r="O2459" s="518">
        <v>0.1</v>
      </c>
      <c r="P2459" s="518">
        <v>0.112</v>
      </c>
      <c r="Q2459" s="78">
        <v>0.44</v>
      </c>
      <c r="R2459" s="78">
        <v>0.31740000000000002</v>
      </c>
      <c r="S2459" s="69">
        <v>2.5000000000000001E-2</v>
      </c>
      <c r="T2459" s="69">
        <v>0.01</v>
      </c>
      <c r="U2459" s="518">
        <v>0.7</v>
      </c>
      <c r="V2459" s="76">
        <v>0</v>
      </c>
      <c r="W2459" s="76">
        <v>0</v>
      </c>
      <c r="X2459" s="76"/>
      <c r="Y2459" s="516" t="s">
        <v>470</v>
      </c>
    </row>
    <row r="2460" spans="1:25" x14ac:dyDescent="0.25">
      <c r="A2460" s="75" t="str">
        <f t="shared" si="87"/>
        <v>Adquisicion PROF Premier Mercado_Abierto Pago_Fijo_Puntual 25</v>
      </c>
      <c r="B2460" s="75" t="str">
        <f t="shared" si="86"/>
        <v>Adquisicion PROF Premier Mercado_Abierto Pago_Fijo_Puntual 25 0.0965</v>
      </c>
      <c r="C2460" s="75" t="s">
        <v>114</v>
      </c>
      <c r="D2460" s="75" t="s">
        <v>169</v>
      </c>
      <c r="E2460" s="75" t="s">
        <v>143</v>
      </c>
      <c r="F2460" s="75"/>
      <c r="G2460" s="75" t="s">
        <v>396</v>
      </c>
      <c r="H2460" s="75"/>
      <c r="I2460" s="75" t="s">
        <v>171</v>
      </c>
      <c r="J2460" s="76">
        <v>25</v>
      </c>
      <c r="K2460" s="516" t="s">
        <v>385</v>
      </c>
      <c r="L2460" s="517">
        <v>9.11</v>
      </c>
      <c r="M2460" s="517">
        <v>9.77</v>
      </c>
      <c r="N2460" s="518">
        <v>9.6500000000000002E-2</v>
      </c>
      <c r="O2460" s="518">
        <v>9.1999999999999998E-2</v>
      </c>
      <c r="P2460" s="518">
        <v>0.10249999999999999</v>
      </c>
      <c r="Q2460" s="78">
        <v>0.44</v>
      </c>
      <c r="R2460" s="78">
        <v>0.31740000000000002</v>
      </c>
      <c r="S2460" s="69">
        <v>2.5000000000000001E-2</v>
      </c>
      <c r="T2460" s="69">
        <v>0.01</v>
      </c>
      <c r="U2460" s="518">
        <v>0.7</v>
      </c>
      <c r="V2460" s="76">
        <v>0</v>
      </c>
      <c r="W2460" s="76">
        <v>0</v>
      </c>
      <c r="X2460" s="76"/>
      <c r="Y2460" s="516" t="s">
        <v>470</v>
      </c>
    </row>
    <row r="2461" spans="1:25" x14ac:dyDescent="0.25">
      <c r="A2461" s="75" t="str">
        <f t="shared" si="87"/>
        <v>Adquisicion PROF Premier Mercado_Abierto Pago_Fijo_Puntual 25</v>
      </c>
      <c r="B2461" s="75" t="str">
        <f t="shared" si="86"/>
        <v>Adquisicion PROF Premier Mercado_Abierto Pago_Fijo_Puntual 25 0.103</v>
      </c>
      <c r="C2461" s="75" t="s">
        <v>114</v>
      </c>
      <c r="D2461" s="75" t="s">
        <v>169</v>
      </c>
      <c r="E2461" s="75" t="s">
        <v>143</v>
      </c>
      <c r="F2461" s="75"/>
      <c r="G2461" s="75" t="s">
        <v>396</v>
      </c>
      <c r="H2461" s="75"/>
      <c r="I2461" s="75" t="s">
        <v>171</v>
      </c>
      <c r="J2461" s="76">
        <v>25</v>
      </c>
      <c r="K2461" s="516" t="s">
        <v>386</v>
      </c>
      <c r="L2461" s="517">
        <v>9.65</v>
      </c>
      <c r="M2461" s="517">
        <v>10.31</v>
      </c>
      <c r="N2461" s="518">
        <v>0.10299999999999999</v>
      </c>
      <c r="O2461" s="518">
        <v>0.1</v>
      </c>
      <c r="P2461" s="518">
        <v>0.112</v>
      </c>
      <c r="Q2461" s="78">
        <v>0.44</v>
      </c>
      <c r="R2461" s="78">
        <v>0.31740000000000002</v>
      </c>
      <c r="S2461" s="69">
        <v>2.5000000000000001E-2</v>
      </c>
      <c r="T2461" s="69">
        <v>0.01</v>
      </c>
      <c r="U2461" s="518">
        <v>0.7</v>
      </c>
      <c r="V2461" s="76">
        <v>0</v>
      </c>
      <c r="W2461" s="76">
        <v>0</v>
      </c>
      <c r="X2461" s="76"/>
      <c r="Y2461" s="516" t="s">
        <v>470</v>
      </c>
    </row>
    <row r="2462" spans="1:25" x14ac:dyDescent="0.25">
      <c r="A2462" s="75" t="str">
        <f t="shared" si="87"/>
        <v>Adquisicion PROF Premier Mercado_Abierto Pago_Fijo_Puntual 20</v>
      </c>
      <c r="B2462" s="75" t="str">
        <f t="shared" si="86"/>
        <v>Adquisicion PROF Premier Mercado_Abierto Pago_Fijo_Puntual 20 0.0965</v>
      </c>
      <c r="C2462" s="75" t="s">
        <v>114</v>
      </c>
      <c r="D2462" s="75" t="s">
        <v>169</v>
      </c>
      <c r="E2462" s="75" t="s">
        <v>143</v>
      </c>
      <c r="F2462" s="75"/>
      <c r="G2462" s="75" t="s">
        <v>396</v>
      </c>
      <c r="H2462" s="75"/>
      <c r="I2462" s="75" t="s">
        <v>171</v>
      </c>
      <c r="J2462" s="76">
        <v>20</v>
      </c>
      <c r="K2462" s="516" t="s">
        <v>385</v>
      </c>
      <c r="L2462" s="517">
        <v>9.66</v>
      </c>
      <c r="M2462" s="517">
        <v>10.32</v>
      </c>
      <c r="N2462" s="518">
        <v>9.6500000000000002E-2</v>
      </c>
      <c r="O2462" s="518">
        <v>9.1999999999999998E-2</v>
      </c>
      <c r="P2462" s="518">
        <v>0.10249999999999999</v>
      </c>
      <c r="Q2462" s="78">
        <v>0.44</v>
      </c>
      <c r="R2462" s="78">
        <v>0.31740000000000002</v>
      </c>
      <c r="S2462" s="69">
        <v>2.5000000000000001E-2</v>
      </c>
      <c r="T2462" s="69">
        <v>0.01</v>
      </c>
      <c r="U2462" s="518">
        <v>0.7</v>
      </c>
      <c r="V2462" s="76">
        <v>0</v>
      </c>
      <c r="W2462" s="76">
        <v>0</v>
      </c>
      <c r="X2462" s="76"/>
      <c r="Y2462" s="516" t="s">
        <v>470</v>
      </c>
    </row>
    <row r="2463" spans="1:25" x14ac:dyDescent="0.25">
      <c r="A2463" s="75" t="str">
        <f t="shared" si="87"/>
        <v>Adquisicion PROF Premier Mercado_Abierto Pago_Fijo_Puntual 20</v>
      </c>
      <c r="B2463" s="75" t="str">
        <f t="shared" si="86"/>
        <v>Adquisicion PROF Premier Mercado_Abierto Pago_Fijo_Puntual 20 0.103</v>
      </c>
      <c r="C2463" s="75" t="s">
        <v>114</v>
      </c>
      <c r="D2463" s="75" t="s">
        <v>169</v>
      </c>
      <c r="E2463" s="75" t="s">
        <v>143</v>
      </c>
      <c r="F2463" s="75"/>
      <c r="G2463" s="75" t="s">
        <v>396</v>
      </c>
      <c r="H2463" s="75"/>
      <c r="I2463" s="75" t="s">
        <v>171</v>
      </c>
      <c r="J2463" s="76">
        <v>20</v>
      </c>
      <c r="K2463" s="516" t="s">
        <v>386</v>
      </c>
      <c r="L2463" s="517">
        <v>10.16</v>
      </c>
      <c r="M2463" s="517">
        <v>10.82</v>
      </c>
      <c r="N2463" s="518">
        <v>0.10299999999999999</v>
      </c>
      <c r="O2463" s="518">
        <v>0.1</v>
      </c>
      <c r="P2463" s="518">
        <v>0.112</v>
      </c>
      <c r="Q2463" s="78">
        <v>0.44</v>
      </c>
      <c r="R2463" s="78">
        <v>0.31740000000000002</v>
      </c>
      <c r="S2463" s="69">
        <v>2.5000000000000001E-2</v>
      </c>
      <c r="T2463" s="69">
        <v>0.01</v>
      </c>
      <c r="U2463" s="518">
        <v>0.7</v>
      </c>
      <c r="V2463" s="76">
        <v>0</v>
      </c>
      <c r="W2463" s="76">
        <v>0</v>
      </c>
      <c r="X2463" s="76"/>
      <c r="Y2463" s="516" t="s">
        <v>470</v>
      </c>
    </row>
    <row r="2464" spans="1:25" x14ac:dyDescent="0.25">
      <c r="A2464" s="75" t="str">
        <f t="shared" si="87"/>
        <v>Adquisicion PROF Premier Mercado_Abierto Pago_Fijo_Puntual 15</v>
      </c>
      <c r="B2464" s="75" t="str">
        <f t="shared" si="86"/>
        <v>Adquisicion PROF Premier Mercado_Abierto Pago_Fijo_Puntual 15 0.0965</v>
      </c>
      <c r="C2464" s="75" t="s">
        <v>114</v>
      </c>
      <c r="D2464" s="75" t="s">
        <v>169</v>
      </c>
      <c r="E2464" s="75" t="s">
        <v>143</v>
      </c>
      <c r="F2464" s="75"/>
      <c r="G2464" s="75" t="s">
        <v>396</v>
      </c>
      <c r="H2464" s="75"/>
      <c r="I2464" s="75" t="s">
        <v>171</v>
      </c>
      <c r="J2464" s="76">
        <v>15</v>
      </c>
      <c r="K2464" s="516" t="s">
        <v>385</v>
      </c>
      <c r="L2464" s="517">
        <v>10.73</v>
      </c>
      <c r="M2464" s="517">
        <v>11.39</v>
      </c>
      <c r="N2464" s="518">
        <v>9.6500000000000002E-2</v>
      </c>
      <c r="O2464" s="518">
        <v>9.1999999999999998E-2</v>
      </c>
      <c r="P2464" s="518">
        <v>0.10249999999999999</v>
      </c>
      <c r="Q2464" s="78">
        <v>0.44</v>
      </c>
      <c r="R2464" s="78">
        <v>0.31740000000000002</v>
      </c>
      <c r="S2464" s="69">
        <v>2.5000000000000001E-2</v>
      </c>
      <c r="T2464" s="69">
        <v>0.01</v>
      </c>
      <c r="U2464" s="518">
        <v>0.7</v>
      </c>
      <c r="V2464" s="76">
        <v>0</v>
      </c>
      <c r="W2464" s="76">
        <v>0</v>
      </c>
      <c r="X2464" s="76"/>
      <c r="Y2464" s="516" t="s">
        <v>470</v>
      </c>
    </row>
    <row r="2465" spans="1:25" x14ac:dyDescent="0.25">
      <c r="A2465" s="75" t="str">
        <f t="shared" si="87"/>
        <v>Adquisicion PROF Premier Mercado_Abierto Pago_Fijo_Puntual 15</v>
      </c>
      <c r="B2465" s="75" t="str">
        <f t="shared" si="86"/>
        <v>Adquisicion PROF Premier Mercado_Abierto Pago_Fijo_Puntual 15 0.103</v>
      </c>
      <c r="C2465" s="75" t="s">
        <v>114</v>
      </c>
      <c r="D2465" s="75" t="s">
        <v>169</v>
      </c>
      <c r="E2465" s="75" t="s">
        <v>143</v>
      </c>
      <c r="F2465" s="75"/>
      <c r="G2465" s="75" t="s">
        <v>396</v>
      </c>
      <c r="H2465" s="75"/>
      <c r="I2465" s="75" t="s">
        <v>171</v>
      </c>
      <c r="J2465" s="76">
        <v>15</v>
      </c>
      <c r="K2465" s="516" t="s">
        <v>386</v>
      </c>
      <c r="L2465" s="517">
        <v>11.18</v>
      </c>
      <c r="M2465" s="517">
        <v>11.84</v>
      </c>
      <c r="N2465" s="518">
        <v>0.10299999999999999</v>
      </c>
      <c r="O2465" s="518">
        <v>0.1</v>
      </c>
      <c r="P2465" s="518">
        <v>0.112</v>
      </c>
      <c r="Q2465" s="78">
        <v>0.44</v>
      </c>
      <c r="R2465" s="78">
        <v>0.31740000000000002</v>
      </c>
      <c r="S2465" s="69">
        <v>2.5000000000000001E-2</v>
      </c>
      <c r="T2465" s="69">
        <v>0.01</v>
      </c>
      <c r="U2465" s="518">
        <v>0.7</v>
      </c>
      <c r="V2465" s="76">
        <v>0</v>
      </c>
      <c r="W2465" s="76">
        <v>0</v>
      </c>
      <c r="X2465" s="76"/>
      <c r="Y2465" s="516" t="s">
        <v>470</v>
      </c>
    </row>
    <row r="2466" spans="1:25" x14ac:dyDescent="0.25">
      <c r="A2466" s="75" t="str">
        <f t="shared" si="87"/>
        <v>Adquisicion PROF Premier Mercado_Abierto Pago_Fijo_Puntual 10</v>
      </c>
      <c r="B2466" s="75" t="str">
        <f t="shared" si="86"/>
        <v>Adquisicion PROF Premier Mercado_Abierto Pago_Fijo_Puntual 10 0.0965</v>
      </c>
      <c r="C2466" s="75" t="s">
        <v>114</v>
      </c>
      <c r="D2466" s="75" t="s">
        <v>169</v>
      </c>
      <c r="E2466" s="75" t="s">
        <v>143</v>
      </c>
      <c r="F2466" s="75"/>
      <c r="G2466" s="75" t="s">
        <v>396</v>
      </c>
      <c r="H2466" s="75"/>
      <c r="I2466" s="75" t="s">
        <v>171</v>
      </c>
      <c r="J2466" s="76">
        <v>10</v>
      </c>
      <c r="K2466" s="516" t="s">
        <v>385</v>
      </c>
      <c r="L2466" s="517">
        <v>13.16</v>
      </c>
      <c r="M2466" s="517">
        <v>13.82</v>
      </c>
      <c r="N2466" s="518">
        <v>9.6500000000000002E-2</v>
      </c>
      <c r="O2466" s="518">
        <v>9.1999999999999998E-2</v>
      </c>
      <c r="P2466" s="518">
        <v>0.10249999999999999</v>
      </c>
      <c r="Q2466" s="78">
        <v>0.44</v>
      </c>
      <c r="R2466" s="78">
        <v>0.31740000000000002</v>
      </c>
      <c r="S2466" s="69">
        <v>2.5000000000000001E-2</v>
      </c>
      <c r="T2466" s="69">
        <v>0.01</v>
      </c>
      <c r="U2466" s="518">
        <v>0.7</v>
      </c>
      <c r="V2466" s="76">
        <v>0</v>
      </c>
      <c r="W2466" s="76">
        <v>0</v>
      </c>
      <c r="X2466" s="76"/>
      <c r="Y2466" s="516" t="s">
        <v>470</v>
      </c>
    </row>
    <row r="2467" spans="1:25" x14ac:dyDescent="0.25">
      <c r="A2467" s="75" t="str">
        <f t="shared" si="87"/>
        <v>Adquisicion PROF Premier Mercado_Abierto Pago_Fijo_Puntual 10</v>
      </c>
      <c r="B2467" s="75" t="str">
        <f t="shared" si="86"/>
        <v>Adquisicion PROF Premier Mercado_Abierto Pago_Fijo_Puntual 10 0.103</v>
      </c>
      <c r="C2467" s="75" t="s">
        <v>114</v>
      </c>
      <c r="D2467" s="75" t="s">
        <v>169</v>
      </c>
      <c r="E2467" s="75" t="s">
        <v>143</v>
      </c>
      <c r="F2467" s="75"/>
      <c r="G2467" s="75" t="s">
        <v>396</v>
      </c>
      <c r="H2467" s="75"/>
      <c r="I2467" s="75" t="s">
        <v>171</v>
      </c>
      <c r="J2467" s="76">
        <v>10</v>
      </c>
      <c r="K2467" s="516" t="s">
        <v>386</v>
      </c>
      <c r="L2467" s="517">
        <v>13.54</v>
      </c>
      <c r="M2467" s="517">
        <v>14.2</v>
      </c>
      <c r="N2467" s="518">
        <v>0.10299999999999999</v>
      </c>
      <c r="O2467" s="518">
        <v>0.1</v>
      </c>
      <c r="P2467" s="518">
        <v>0.112</v>
      </c>
      <c r="Q2467" s="78">
        <v>0.44</v>
      </c>
      <c r="R2467" s="78">
        <v>0.31740000000000002</v>
      </c>
      <c r="S2467" s="69">
        <v>2.5000000000000001E-2</v>
      </c>
      <c r="T2467" s="69">
        <v>0.01</v>
      </c>
      <c r="U2467" s="518">
        <v>0.7</v>
      </c>
      <c r="V2467" s="76">
        <v>0</v>
      </c>
      <c r="W2467" s="76">
        <v>0</v>
      </c>
      <c r="X2467" s="76"/>
      <c r="Y2467" s="516" t="s">
        <v>470</v>
      </c>
    </row>
    <row r="2468" spans="1:25" x14ac:dyDescent="0.25">
      <c r="A2468" s="75" t="str">
        <f t="shared" si="87"/>
        <v>Adquisicion PROF Premier Mercado_Abierto Pago_Fijo_Puntual 5</v>
      </c>
      <c r="B2468" s="75" t="str">
        <f t="shared" si="86"/>
        <v>Adquisicion PROF Premier Mercado_Abierto Pago_Fijo_Puntual 5 0.0965</v>
      </c>
      <c r="C2468" s="75" t="s">
        <v>114</v>
      </c>
      <c r="D2468" s="75" t="s">
        <v>169</v>
      </c>
      <c r="E2468" s="75" t="s">
        <v>143</v>
      </c>
      <c r="F2468" s="75"/>
      <c r="G2468" s="75" t="s">
        <v>396</v>
      </c>
      <c r="H2468" s="75"/>
      <c r="I2468" s="75" t="s">
        <v>171</v>
      </c>
      <c r="J2468" s="76">
        <v>5</v>
      </c>
      <c r="K2468" s="516" t="s">
        <v>385</v>
      </c>
      <c r="L2468" s="517">
        <v>21.12</v>
      </c>
      <c r="M2468" s="517">
        <v>21.78</v>
      </c>
      <c r="N2468" s="518">
        <v>9.6500000000000002E-2</v>
      </c>
      <c r="O2468" s="518">
        <v>9.1999999999999998E-2</v>
      </c>
      <c r="P2468" s="518">
        <v>0.10249999999999999</v>
      </c>
      <c r="Q2468" s="78">
        <v>0.44</v>
      </c>
      <c r="R2468" s="78">
        <v>0.31740000000000002</v>
      </c>
      <c r="S2468" s="69">
        <v>2.5000000000000001E-2</v>
      </c>
      <c r="T2468" s="69">
        <v>0.01</v>
      </c>
      <c r="U2468" s="518">
        <v>0.7</v>
      </c>
      <c r="V2468" s="76">
        <v>0</v>
      </c>
      <c r="W2468" s="76">
        <v>0</v>
      </c>
      <c r="X2468" s="76"/>
      <c r="Y2468" s="516" t="s">
        <v>470</v>
      </c>
    </row>
    <row r="2469" spans="1:25" x14ac:dyDescent="0.25">
      <c r="A2469" s="75" t="str">
        <f t="shared" si="87"/>
        <v>Adquisicion PROF Premier Mercado_Abierto Pago_Fijo_Puntual 5</v>
      </c>
      <c r="B2469" s="75" t="str">
        <f t="shared" si="86"/>
        <v>Adquisicion PROF Premier Mercado_Abierto Pago_Fijo_Puntual 5 0.103</v>
      </c>
      <c r="C2469" s="75" t="s">
        <v>114</v>
      </c>
      <c r="D2469" s="75" t="s">
        <v>169</v>
      </c>
      <c r="E2469" s="75" t="s">
        <v>143</v>
      </c>
      <c r="F2469" s="75"/>
      <c r="G2469" s="75" t="s">
        <v>396</v>
      </c>
      <c r="H2469" s="75"/>
      <c r="I2469" s="75" t="s">
        <v>171</v>
      </c>
      <c r="J2469" s="76">
        <v>5</v>
      </c>
      <c r="K2469" s="516" t="s">
        <v>386</v>
      </c>
      <c r="L2469" s="517">
        <v>21.44</v>
      </c>
      <c r="M2469" s="517">
        <v>22.1</v>
      </c>
      <c r="N2469" s="518">
        <v>0.10299999999999999</v>
      </c>
      <c r="O2469" s="518">
        <v>0.1</v>
      </c>
      <c r="P2469" s="518">
        <v>0.112</v>
      </c>
      <c r="Q2469" s="78">
        <v>0.44</v>
      </c>
      <c r="R2469" s="78">
        <v>0.31740000000000002</v>
      </c>
      <c r="S2469" s="69">
        <v>2.5000000000000001E-2</v>
      </c>
      <c r="T2469" s="69">
        <v>0.01</v>
      </c>
      <c r="U2469" s="518">
        <v>0.7</v>
      </c>
      <c r="V2469" s="76">
        <v>0</v>
      </c>
      <c r="W2469" s="76">
        <v>0</v>
      </c>
      <c r="X2469" s="76"/>
      <c r="Y2469" s="516" t="s">
        <v>470</v>
      </c>
    </row>
    <row r="2470" spans="1:25" x14ac:dyDescent="0.25">
      <c r="A2470" s="75" t="str">
        <f t="shared" si="87"/>
        <v>Adquisicion PROF Premier Mercado_Abierto Pago_Bajo_Puntual 25</v>
      </c>
      <c r="B2470" s="75" t="str">
        <f t="shared" si="86"/>
        <v>Adquisicion PROF Premier Mercado_Abierto Pago_Bajo_Puntual 25 0.0965</v>
      </c>
      <c r="C2470" s="75" t="s">
        <v>114</v>
      </c>
      <c r="D2470" s="75" t="s">
        <v>169</v>
      </c>
      <c r="E2470" s="75" t="s">
        <v>143</v>
      </c>
      <c r="F2470" s="75"/>
      <c r="G2470" s="75" t="s">
        <v>396</v>
      </c>
      <c r="H2470" s="75"/>
      <c r="I2470" s="75" t="s">
        <v>170</v>
      </c>
      <c r="J2470" s="523">
        <v>25</v>
      </c>
      <c r="K2470" s="516" t="s">
        <v>385</v>
      </c>
      <c r="L2470" s="517">
        <v>8.1</v>
      </c>
      <c r="M2470" s="517">
        <v>8.76</v>
      </c>
      <c r="N2470" s="518">
        <v>9.6500000000000002E-2</v>
      </c>
      <c r="O2470" s="518">
        <v>9.1999999999999998E-2</v>
      </c>
      <c r="P2470" s="518">
        <v>0.10249999999999999</v>
      </c>
      <c r="Q2470" s="78">
        <v>0.44</v>
      </c>
      <c r="R2470" s="78">
        <v>0.31740000000000002</v>
      </c>
      <c r="S2470" s="69">
        <v>2.5000000000000001E-2</v>
      </c>
      <c r="T2470" s="69">
        <v>0.01</v>
      </c>
      <c r="U2470" s="518">
        <v>0.7</v>
      </c>
      <c r="V2470" s="76">
        <v>0</v>
      </c>
      <c r="W2470" s="76">
        <v>0</v>
      </c>
      <c r="X2470" s="76"/>
      <c r="Y2470" s="516" t="s">
        <v>470</v>
      </c>
    </row>
    <row r="2471" spans="1:25" x14ac:dyDescent="0.25">
      <c r="A2471" s="75" t="str">
        <f t="shared" si="87"/>
        <v>Adquisicion PROF Premier Mercado_Abierto Pago_Bajo_Puntual 25</v>
      </c>
      <c r="B2471" s="75" t="str">
        <f t="shared" si="86"/>
        <v>Adquisicion PROF Premier Mercado_Abierto Pago_Bajo_Puntual 25 0.103</v>
      </c>
      <c r="C2471" s="75" t="s">
        <v>114</v>
      </c>
      <c r="D2471" s="75" t="s">
        <v>169</v>
      </c>
      <c r="E2471" s="75" t="s">
        <v>143</v>
      </c>
      <c r="F2471" s="75"/>
      <c r="G2471" s="75" t="s">
        <v>396</v>
      </c>
      <c r="H2471" s="75"/>
      <c r="I2471" s="75" t="s">
        <v>170</v>
      </c>
      <c r="J2471" s="523">
        <v>25</v>
      </c>
      <c r="K2471" s="516" t="s">
        <v>386</v>
      </c>
      <c r="L2471" s="517">
        <v>8.64</v>
      </c>
      <c r="M2471" s="517">
        <v>9.3000000000000007</v>
      </c>
      <c r="N2471" s="518">
        <v>0.10299999999999999</v>
      </c>
      <c r="O2471" s="518">
        <v>0.1</v>
      </c>
      <c r="P2471" s="518">
        <v>0.112</v>
      </c>
      <c r="Q2471" s="78">
        <v>0.44</v>
      </c>
      <c r="R2471" s="78">
        <v>0.31740000000000002</v>
      </c>
      <c r="S2471" s="69">
        <v>2.5000000000000001E-2</v>
      </c>
      <c r="T2471" s="69">
        <v>0.01</v>
      </c>
      <c r="U2471" s="518">
        <v>0.7</v>
      </c>
      <c r="V2471" s="76">
        <v>0</v>
      </c>
      <c r="W2471" s="76">
        <v>0</v>
      </c>
      <c r="X2471" s="76"/>
      <c r="Y2471" s="516" t="s">
        <v>470</v>
      </c>
    </row>
    <row r="2472" spans="1:25" x14ac:dyDescent="0.25">
      <c r="A2472" s="75" t="str">
        <f t="shared" si="87"/>
        <v>Adquisicion PROF Premier Mercado_Abierto Pago_Bajo_Puntual 20</v>
      </c>
      <c r="B2472" s="75" t="str">
        <f t="shared" si="86"/>
        <v>Adquisicion PROF Premier Mercado_Abierto Pago_Bajo_Puntual 20 0.0965</v>
      </c>
      <c r="C2472" s="75" t="s">
        <v>114</v>
      </c>
      <c r="D2472" s="75" t="s">
        <v>169</v>
      </c>
      <c r="E2472" s="75" t="s">
        <v>143</v>
      </c>
      <c r="F2472" s="75"/>
      <c r="G2472" s="75" t="s">
        <v>396</v>
      </c>
      <c r="H2472" s="75"/>
      <c r="I2472" s="75" t="s">
        <v>170</v>
      </c>
      <c r="J2472" s="76">
        <v>20</v>
      </c>
      <c r="K2472" s="516" t="s">
        <v>385</v>
      </c>
      <c r="L2472" s="517">
        <v>8.52</v>
      </c>
      <c r="M2472" s="517">
        <v>9.18</v>
      </c>
      <c r="N2472" s="518">
        <v>9.6500000000000002E-2</v>
      </c>
      <c r="O2472" s="518">
        <v>9.1999999999999998E-2</v>
      </c>
      <c r="P2472" s="518">
        <v>0.10249999999999999</v>
      </c>
      <c r="Q2472" s="78">
        <v>0.44</v>
      </c>
      <c r="R2472" s="78">
        <v>0.31740000000000002</v>
      </c>
      <c r="S2472" s="69">
        <v>2.5000000000000001E-2</v>
      </c>
      <c r="T2472" s="69">
        <v>0.01</v>
      </c>
      <c r="U2472" s="518">
        <v>0.7</v>
      </c>
      <c r="V2472" s="76">
        <v>0</v>
      </c>
      <c r="W2472" s="76">
        <v>0</v>
      </c>
      <c r="X2472" s="76"/>
      <c r="Y2472" s="516" t="s">
        <v>470</v>
      </c>
    </row>
    <row r="2473" spans="1:25" x14ac:dyDescent="0.25">
      <c r="A2473" s="75" t="str">
        <f t="shared" si="87"/>
        <v>Adquisicion PROF Premier Mercado_Abierto Pago_Bajo_Puntual 20</v>
      </c>
      <c r="B2473" s="75" t="str">
        <f t="shared" si="86"/>
        <v>Adquisicion PROF Premier Mercado_Abierto Pago_Bajo_Puntual 20 0.103</v>
      </c>
      <c r="C2473" s="75" t="s">
        <v>114</v>
      </c>
      <c r="D2473" s="75" t="s">
        <v>169</v>
      </c>
      <c r="E2473" s="75" t="s">
        <v>143</v>
      </c>
      <c r="F2473" s="75"/>
      <c r="G2473" s="75" t="s">
        <v>396</v>
      </c>
      <c r="H2473" s="75"/>
      <c r="I2473" s="75" t="s">
        <v>170</v>
      </c>
      <c r="J2473" s="76">
        <v>20</v>
      </c>
      <c r="K2473" s="516" t="s">
        <v>386</v>
      </c>
      <c r="L2473" s="517">
        <v>9</v>
      </c>
      <c r="M2473" s="517">
        <v>9.66</v>
      </c>
      <c r="N2473" s="518">
        <v>0.10299999999999999</v>
      </c>
      <c r="O2473" s="518">
        <v>0.1</v>
      </c>
      <c r="P2473" s="518">
        <v>0.112</v>
      </c>
      <c r="Q2473" s="78">
        <v>0.44</v>
      </c>
      <c r="R2473" s="78">
        <v>0.31740000000000002</v>
      </c>
      <c r="S2473" s="69">
        <v>2.5000000000000001E-2</v>
      </c>
      <c r="T2473" s="69">
        <v>0.01</v>
      </c>
      <c r="U2473" s="518">
        <v>0.7</v>
      </c>
      <c r="V2473" s="76">
        <v>0</v>
      </c>
      <c r="W2473" s="76">
        <v>0</v>
      </c>
      <c r="X2473" s="76"/>
      <c r="Y2473" s="516" t="s">
        <v>470</v>
      </c>
    </row>
    <row r="2474" spans="1:25" x14ac:dyDescent="0.25">
      <c r="A2474" s="75" t="str">
        <f t="shared" si="87"/>
        <v>Adquisicion PROF Premier Mercado_Abierto Pago_Bajo_Puntual 15</v>
      </c>
      <c r="B2474" s="75" t="str">
        <f t="shared" si="86"/>
        <v>Adquisicion PROF Premier Mercado_Abierto Pago_Bajo_Puntual 15 0.0965</v>
      </c>
      <c r="C2474" s="75" t="s">
        <v>114</v>
      </c>
      <c r="D2474" s="75" t="s">
        <v>169</v>
      </c>
      <c r="E2474" s="75" t="s">
        <v>143</v>
      </c>
      <c r="F2474" s="75"/>
      <c r="G2474" s="75" t="s">
        <v>396</v>
      </c>
      <c r="H2474" s="75"/>
      <c r="I2474" s="75" t="s">
        <v>170</v>
      </c>
      <c r="J2474" s="76">
        <v>15</v>
      </c>
      <c r="K2474" s="516" t="s">
        <v>385</v>
      </c>
      <c r="L2474" s="517">
        <v>9.6999999999999993</v>
      </c>
      <c r="M2474" s="517">
        <v>10.36</v>
      </c>
      <c r="N2474" s="518">
        <v>9.6500000000000002E-2</v>
      </c>
      <c r="O2474" s="518">
        <v>9.1999999999999998E-2</v>
      </c>
      <c r="P2474" s="518">
        <v>0.10249999999999999</v>
      </c>
      <c r="Q2474" s="78">
        <v>0.44</v>
      </c>
      <c r="R2474" s="78">
        <v>0.31740000000000002</v>
      </c>
      <c r="S2474" s="69">
        <v>2.5000000000000001E-2</v>
      </c>
      <c r="T2474" s="69">
        <v>0.01</v>
      </c>
      <c r="U2474" s="518">
        <v>0.7</v>
      </c>
      <c r="V2474" s="76">
        <v>0</v>
      </c>
      <c r="W2474" s="76">
        <v>0</v>
      </c>
      <c r="X2474" s="76"/>
      <c r="Y2474" s="516" t="s">
        <v>470</v>
      </c>
    </row>
    <row r="2475" spans="1:25" x14ac:dyDescent="0.25">
      <c r="A2475" s="75" t="str">
        <f t="shared" si="87"/>
        <v>Adquisicion PROF Premier Mercado_Abierto Pago_Bajo_Puntual 15</v>
      </c>
      <c r="B2475" s="75" t="str">
        <f t="shared" si="86"/>
        <v>Adquisicion PROF Premier Mercado_Abierto Pago_Bajo_Puntual 15 0.103</v>
      </c>
      <c r="C2475" s="75" t="s">
        <v>114</v>
      </c>
      <c r="D2475" s="75" t="s">
        <v>169</v>
      </c>
      <c r="E2475" s="75" t="s">
        <v>143</v>
      </c>
      <c r="F2475" s="75"/>
      <c r="G2475" s="75" t="s">
        <v>396</v>
      </c>
      <c r="H2475" s="75"/>
      <c r="I2475" s="75" t="s">
        <v>170</v>
      </c>
      <c r="J2475" s="76">
        <v>15</v>
      </c>
      <c r="K2475" s="516" t="s">
        <v>386</v>
      </c>
      <c r="L2475" s="517">
        <v>10.119999999999999</v>
      </c>
      <c r="M2475" s="517">
        <v>10.78</v>
      </c>
      <c r="N2475" s="518">
        <v>0.10299999999999999</v>
      </c>
      <c r="O2475" s="518">
        <v>0.1</v>
      </c>
      <c r="P2475" s="518">
        <v>0.112</v>
      </c>
      <c r="Q2475" s="78">
        <v>0.44</v>
      </c>
      <c r="R2475" s="78">
        <v>0.31740000000000002</v>
      </c>
      <c r="S2475" s="69">
        <v>2.5000000000000001E-2</v>
      </c>
      <c r="T2475" s="69">
        <v>0.01</v>
      </c>
      <c r="U2475" s="518">
        <v>0.7</v>
      </c>
      <c r="V2475" s="76">
        <v>0</v>
      </c>
      <c r="W2475" s="76">
        <v>0</v>
      </c>
      <c r="X2475" s="76"/>
      <c r="Y2475" s="516" t="s">
        <v>470</v>
      </c>
    </row>
    <row r="2476" spans="1:25" x14ac:dyDescent="0.25">
      <c r="A2476" s="75" t="str">
        <f t="shared" si="87"/>
        <v>Adquisicion PROF Premier Mercado_Abierto Pago_Bajo_Puntual 10</v>
      </c>
      <c r="B2476" s="75" t="str">
        <f t="shared" si="86"/>
        <v>Adquisicion PROF Premier Mercado_Abierto Pago_Bajo_Puntual 10 0.0965</v>
      </c>
      <c r="C2476" s="75" t="s">
        <v>114</v>
      </c>
      <c r="D2476" s="75" t="s">
        <v>169</v>
      </c>
      <c r="E2476" s="75" t="s">
        <v>143</v>
      </c>
      <c r="F2476" s="75"/>
      <c r="G2476" s="75" t="s">
        <v>396</v>
      </c>
      <c r="H2476" s="75"/>
      <c r="I2476" s="75" t="s">
        <v>170</v>
      </c>
      <c r="J2476" s="76">
        <v>10</v>
      </c>
      <c r="K2476" s="516" t="s">
        <v>385</v>
      </c>
      <c r="L2476" s="517">
        <v>12.25</v>
      </c>
      <c r="M2476" s="517">
        <v>12.91</v>
      </c>
      <c r="N2476" s="518">
        <v>9.6500000000000002E-2</v>
      </c>
      <c r="O2476" s="518">
        <v>9.1999999999999998E-2</v>
      </c>
      <c r="P2476" s="518">
        <v>0.10249999999999999</v>
      </c>
      <c r="Q2476" s="78">
        <v>0.44</v>
      </c>
      <c r="R2476" s="78">
        <v>0.31740000000000002</v>
      </c>
      <c r="S2476" s="69">
        <v>2.5000000000000001E-2</v>
      </c>
      <c r="T2476" s="69">
        <v>0.01</v>
      </c>
      <c r="U2476" s="518">
        <v>0.7</v>
      </c>
      <c r="V2476" s="76">
        <v>0</v>
      </c>
      <c r="W2476" s="76">
        <v>0</v>
      </c>
      <c r="X2476" s="76"/>
      <c r="Y2476" s="516" t="s">
        <v>470</v>
      </c>
    </row>
    <row r="2477" spans="1:25" x14ac:dyDescent="0.25">
      <c r="A2477" s="75" t="str">
        <f t="shared" si="87"/>
        <v>Adquisicion PROF Premier Mercado_Abierto Pago_Bajo_Puntual 10</v>
      </c>
      <c r="B2477" s="75" t="str">
        <f t="shared" si="86"/>
        <v>Adquisicion PROF Premier Mercado_Abierto Pago_Bajo_Puntual 10 0.103</v>
      </c>
      <c r="C2477" s="75" t="s">
        <v>114</v>
      </c>
      <c r="D2477" s="75" t="s">
        <v>169</v>
      </c>
      <c r="E2477" s="75" t="s">
        <v>143</v>
      </c>
      <c r="F2477" s="75"/>
      <c r="G2477" s="75" t="s">
        <v>396</v>
      </c>
      <c r="H2477" s="75"/>
      <c r="I2477" s="75" t="s">
        <v>170</v>
      </c>
      <c r="J2477" s="76">
        <v>10</v>
      </c>
      <c r="K2477" s="516" t="s">
        <v>386</v>
      </c>
      <c r="L2477" s="517">
        <v>12.62</v>
      </c>
      <c r="M2477" s="517">
        <v>13.28</v>
      </c>
      <c r="N2477" s="518">
        <v>0.10299999999999999</v>
      </c>
      <c r="O2477" s="518">
        <v>0.1</v>
      </c>
      <c r="P2477" s="518">
        <v>0.112</v>
      </c>
      <c r="Q2477" s="78">
        <v>0.44</v>
      </c>
      <c r="R2477" s="78">
        <v>0.31740000000000002</v>
      </c>
      <c r="S2477" s="69">
        <v>2.5000000000000001E-2</v>
      </c>
      <c r="T2477" s="69">
        <v>0.01</v>
      </c>
      <c r="U2477" s="518">
        <v>0.7</v>
      </c>
      <c r="V2477" s="76">
        <v>0</v>
      </c>
      <c r="W2477" s="76">
        <v>0</v>
      </c>
      <c r="X2477" s="76"/>
      <c r="Y2477" s="516" t="s">
        <v>470</v>
      </c>
    </row>
    <row r="2478" spans="1:25" x14ac:dyDescent="0.25">
      <c r="A2478" s="75" t="str">
        <f t="shared" si="87"/>
        <v>Adquisicion PROF Premier Mercado_Abierto Pago_Bajo_Puntual 5</v>
      </c>
      <c r="B2478" s="75" t="str">
        <f t="shared" si="86"/>
        <v>Adquisicion PROF Premier Mercado_Abierto Pago_Bajo_Puntual 5 0.0965</v>
      </c>
      <c r="C2478" s="75" t="s">
        <v>114</v>
      </c>
      <c r="D2478" s="75" t="s">
        <v>169</v>
      </c>
      <c r="E2478" s="75" t="s">
        <v>143</v>
      </c>
      <c r="F2478" s="75"/>
      <c r="G2478" s="75" t="s">
        <v>396</v>
      </c>
      <c r="H2478" s="75"/>
      <c r="I2478" s="75" t="s">
        <v>170</v>
      </c>
      <c r="J2478" s="76">
        <v>5</v>
      </c>
      <c r="K2478" s="516" t="s">
        <v>385</v>
      </c>
      <c r="L2478" s="517">
        <v>20.399999999999999</v>
      </c>
      <c r="M2478" s="517">
        <v>21.06</v>
      </c>
      <c r="N2478" s="518">
        <v>9.6500000000000002E-2</v>
      </c>
      <c r="O2478" s="518">
        <v>9.1999999999999998E-2</v>
      </c>
      <c r="P2478" s="518">
        <v>0.10249999999999999</v>
      </c>
      <c r="Q2478" s="78">
        <v>0.44</v>
      </c>
      <c r="R2478" s="78">
        <v>0.31740000000000002</v>
      </c>
      <c r="S2478" s="69">
        <v>2.5000000000000001E-2</v>
      </c>
      <c r="T2478" s="69">
        <v>0.01</v>
      </c>
      <c r="U2478" s="518">
        <v>0.7</v>
      </c>
      <c r="V2478" s="76">
        <v>0</v>
      </c>
      <c r="W2478" s="76">
        <v>0</v>
      </c>
      <c r="X2478" s="76"/>
      <c r="Y2478" s="516" t="s">
        <v>470</v>
      </c>
    </row>
    <row r="2479" spans="1:25" x14ac:dyDescent="0.25">
      <c r="A2479" s="75" t="str">
        <f t="shared" si="87"/>
        <v>Adquisicion PROF Premier Mercado_Abierto Pago_Bajo_Puntual 5</v>
      </c>
      <c r="B2479" s="75" t="str">
        <f t="shared" si="86"/>
        <v>Adquisicion PROF Premier Mercado_Abierto Pago_Bajo_Puntual 5 0.103</v>
      </c>
      <c r="C2479" s="75" t="s">
        <v>114</v>
      </c>
      <c r="D2479" s="75" t="s">
        <v>169</v>
      </c>
      <c r="E2479" s="75" t="s">
        <v>143</v>
      </c>
      <c r="F2479" s="75"/>
      <c r="G2479" s="75" t="s">
        <v>396</v>
      </c>
      <c r="H2479" s="75"/>
      <c r="I2479" s="75" t="s">
        <v>170</v>
      </c>
      <c r="J2479" s="76">
        <v>5</v>
      </c>
      <c r="K2479" s="516" t="s">
        <v>386</v>
      </c>
      <c r="L2479" s="517">
        <v>20.72</v>
      </c>
      <c r="M2479" s="517">
        <v>21.38</v>
      </c>
      <c r="N2479" s="518">
        <v>0.10299999999999999</v>
      </c>
      <c r="O2479" s="518">
        <v>0.1</v>
      </c>
      <c r="P2479" s="518">
        <v>0.112</v>
      </c>
      <c r="Q2479" s="78">
        <v>0.44</v>
      </c>
      <c r="R2479" s="78">
        <v>0.31740000000000002</v>
      </c>
      <c r="S2479" s="69">
        <v>2.5000000000000001E-2</v>
      </c>
      <c r="T2479" s="69">
        <v>0.01</v>
      </c>
      <c r="U2479" s="518">
        <v>0.7</v>
      </c>
      <c r="V2479" s="76">
        <v>0</v>
      </c>
      <c r="W2479" s="76">
        <v>0</v>
      </c>
      <c r="X2479" s="76"/>
      <c r="Y2479" s="516" t="s">
        <v>470</v>
      </c>
    </row>
    <row r="2480" spans="1:25" x14ac:dyDescent="0.25">
      <c r="A2480" s="75" t="str">
        <f t="shared" si="87"/>
        <v>Adquisicion PFAE No_Premier Normal Mercado_Abierto Pago_Fijo_Puntual 20</v>
      </c>
      <c r="B2480" s="75" t="str">
        <f t="shared" si="86"/>
        <v>Adquisicion PFAE No_Premier Normal Mercado_Abierto Pago_Fijo_Puntual 20 0.0965</v>
      </c>
      <c r="C2480" s="75" t="s">
        <v>114</v>
      </c>
      <c r="D2480" s="75" t="s">
        <v>168</v>
      </c>
      <c r="E2480" s="75" t="s">
        <v>179</v>
      </c>
      <c r="F2480" s="75" t="s">
        <v>180</v>
      </c>
      <c r="G2480" s="75" t="s">
        <v>396</v>
      </c>
      <c r="H2480" s="75"/>
      <c r="I2480" s="75" t="s">
        <v>171</v>
      </c>
      <c r="J2480" s="76">
        <v>20</v>
      </c>
      <c r="K2480" s="516" t="s">
        <v>385</v>
      </c>
      <c r="L2480" s="517">
        <v>9.66</v>
      </c>
      <c r="M2480" s="517">
        <v>10.61</v>
      </c>
      <c r="N2480" s="518">
        <v>9.6500000000000002E-2</v>
      </c>
      <c r="O2480" s="518">
        <v>9.1999999999999998E-2</v>
      </c>
      <c r="P2480" s="518">
        <v>0.10249999999999999</v>
      </c>
      <c r="Q2480" s="78">
        <v>0.44</v>
      </c>
      <c r="R2480" s="78">
        <v>0.31740000000000002</v>
      </c>
      <c r="S2480" s="69">
        <v>2.5000000000000001E-2</v>
      </c>
      <c r="T2480" s="69">
        <v>0.01</v>
      </c>
      <c r="U2480" s="518">
        <v>0.7</v>
      </c>
      <c r="V2480" s="76">
        <v>0</v>
      </c>
      <c r="W2480" s="76">
        <v>250.00000000000003</v>
      </c>
      <c r="X2480" s="76"/>
      <c r="Y2480" s="516" t="s">
        <v>470</v>
      </c>
    </row>
    <row r="2481" spans="1:25" x14ac:dyDescent="0.25">
      <c r="A2481" s="75" t="str">
        <f t="shared" si="87"/>
        <v>Adquisicion PFAE No_Premier Normal Mercado_Abierto Pago_Fijo_Puntual 20</v>
      </c>
      <c r="B2481" s="75" t="str">
        <f t="shared" si="86"/>
        <v>Adquisicion PFAE No_Premier Normal Mercado_Abierto Pago_Fijo_Puntual 20 0.103</v>
      </c>
      <c r="C2481" s="75" t="s">
        <v>114</v>
      </c>
      <c r="D2481" s="75" t="s">
        <v>168</v>
      </c>
      <c r="E2481" s="75" t="s">
        <v>179</v>
      </c>
      <c r="F2481" s="75" t="s">
        <v>180</v>
      </c>
      <c r="G2481" s="75" t="s">
        <v>396</v>
      </c>
      <c r="H2481" s="75"/>
      <c r="I2481" s="75" t="s">
        <v>171</v>
      </c>
      <c r="J2481" s="76">
        <v>20</v>
      </c>
      <c r="K2481" s="516" t="s">
        <v>386</v>
      </c>
      <c r="L2481" s="517">
        <v>10.16</v>
      </c>
      <c r="M2481" s="517">
        <v>11.11</v>
      </c>
      <c r="N2481" s="518">
        <v>0.10299999999999999</v>
      </c>
      <c r="O2481" s="518">
        <v>0.1</v>
      </c>
      <c r="P2481" s="518">
        <v>0.112</v>
      </c>
      <c r="Q2481" s="78">
        <v>0.44</v>
      </c>
      <c r="R2481" s="78">
        <v>0.31740000000000002</v>
      </c>
      <c r="S2481" s="69">
        <v>2.5000000000000001E-2</v>
      </c>
      <c r="T2481" s="69">
        <v>0.01</v>
      </c>
      <c r="U2481" s="518">
        <v>0.7</v>
      </c>
      <c r="V2481" s="76">
        <v>0</v>
      </c>
      <c r="W2481" s="76">
        <v>250.00000000000003</v>
      </c>
      <c r="X2481" s="76"/>
      <c r="Y2481" s="516" t="s">
        <v>470</v>
      </c>
    </row>
    <row r="2482" spans="1:25" x14ac:dyDescent="0.25">
      <c r="A2482" s="75" t="str">
        <f t="shared" si="87"/>
        <v>Adquisicion PFAE No_Premier Normal Mercado_Abierto Pago_Fijo_Puntual 15</v>
      </c>
      <c r="B2482" s="75" t="str">
        <f t="shared" si="86"/>
        <v>Adquisicion PFAE No_Premier Normal Mercado_Abierto Pago_Fijo_Puntual 15 0.0965</v>
      </c>
      <c r="C2482" s="75" t="s">
        <v>114</v>
      </c>
      <c r="D2482" s="75" t="s">
        <v>168</v>
      </c>
      <c r="E2482" s="75" t="s">
        <v>179</v>
      </c>
      <c r="F2482" s="75" t="s">
        <v>180</v>
      </c>
      <c r="G2482" s="75" t="s">
        <v>396</v>
      </c>
      <c r="H2482" s="75"/>
      <c r="I2482" s="75" t="s">
        <v>171</v>
      </c>
      <c r="J2482" s="76">
        <v>15</v>
      </c>
      <c r="K2482" s="516" t="s">
        <v>385</v>
      </c>
      <c r="L2482" s="517">
        <v>10.73</v>
      </c>
      <c r="M2482" s="517">
        <v>11.68</v>
      </c>
      <c r="N2482" s="518">
        <v>9.6500000000000002E-2</v>
      </c>
      <c r="O2482" s="518">
        <v>9.1999999999999998E-2</v>
      </c>
      <c r="P2482" s="518">
        <v>0.10249999999999999</v>
      </c>
      <c r="Q2482" s="78">
        <v>0.44</v>
      </c>
      <c r="R2482" s="78">
        <v>0.31740000000000002</v>
      </c>
      <c r="S2482" s="69">
        <v>2.5000000000000001E-2</v>
      </c>
      <c r="T2482" s="69">
        <v>0.01</v>
      </c>
      <c r="U2482" s="518">
        <v>0.7</v>
      </c>
      <c r="V2482" s="76">
        <v>0</v>
      </c>
      <c r="W2482" s="76">
        <v>250.00000000000003</v>
      </c>
      <c r="X2482" s="76"/>
      <c r="Y2482" s="516" t="s">
        <v>470</v>
      </c>
    </row>
    <row r="2483" spans="1:25" x14ac:dyDescent="0.25">
      <c r="A2483" s="75" t="str">
        <f t="shared" si="87"/>
        <v>Adquisicion PFAE No_Premier Normal Mercado_Abierto Pago_Fijo_Puntual 15</v>
      </c>
      <c r="B2483" s="75" t="str">
        <f t="shared" si="86"/>
        <v>Adquisicion PFAE No_Premier Normal Mercado_Abierto Pago_Fijo_Puntual 15 0.103</v>
      </c>
      <c r="C2483" s="75" t="s">
        <v>114</v>
      </c>
      <c r="D2483" s="75" t="s">
        <v>168</v>
      </c>
      <c r="E2483" s="75" t="s">
        <v>179</v>
      </c>
      <c r="F2483" s="75" t="s">
        <v>180</v>
      </c>
      <c r="G2483" s="75" t="s">
        <v>396</v>
      </c>
      <c r="H2483" s="75"/>
      <c r="I2483" s="75" t="s">
        <v>171</v>
      </c>
      <c r="J2483" s="76">
        <v>15</v>
      </c>
      <c r="K2483" s="516" t="s">
        <v>386</v>
      </c>
      <c r="L2483" s="517">
        <v>11.18</v>
      </c>
      <c r="M2483" s="517">
        <v>12.13</v>
      </c>
      <c r="N2483" s="518">
        <v>0.10299999999999999</v>
      </c>
      <c r="O2483" s="518">
        <v>0.1</v>
      </c>
      <c r="P2483" s="518">
        <v>0.112</v>
      </c>
      <c r="Q2483" s="78">
        <v>0.44</v>
      </c>
      <c r="R2483" s="78">
        <v>0.31740000000000002</v>
      </c>
      <c r="S2483" s="69">
        <v>2.5000000000000001E-2</v>
      </c>
      <c r="T2483" s="69">
        <v>0.01</v>
      </c>
      <c r="U2483" s="518">
        <v>0.7</v>
      </c>
      <c r="V2483" s="76">
        <v>0</v>
      </c>
      <c r="W2483" s="76">
        <v>250.00000000000003</v>
      </c>
      <c r="X2483" s="76"/>
      <c r="Y2483" s="516" t="s">
        <v>470</v>
      </c>
    </row>
    <row r="2484" spans="1:25" x14ac:dyDescent="0.25">
      <c r="A2484" s="75" t="str">
        <f t="shared" si="87"/>
        <v>Adquisicion PFAE No_Premier Normal Mercado_Abierto Pago_Fijo_Puntual 10</v>
      </c>
      <c r="B2484" s="75" t="str">
        <f t="shared" si="86"/>
        <v>Adquisicion PFAE No_Premier Normal Mercado_Abierto Pago_Fijo_Puntual 10 0.0965</v>
      </c>
      <c r="C2484" s="75" t="s">
        <v>114</v>
      </c>
      <c r="D2484" s="75" t="s">
        <v>168</v>
      </c>
      <c r="E2484" s="75" t="s">
        <v>179</v>
      </c>
      <c r="F2484" s="75" t="s">
        <v>180</v>
      </c>
      <c r="G2484" s="75" t="s">
        <v>396</v>
      </c>
      <c r="H2484" s="75"/>
      <c r="I2484" s="75" t="s">
        <v>171</v>
      </c>
      <c r="J2484" s="76">
        <v>10</v>
      </c>
      <c r="K2484" s="516" t="s">
        <v>385</v>
      </c>
      <c r="L2484" s="517">
        <v>13.16</v>
      </c>
      <c r="M2484" s="517">
        <v>14.11</v>
      </c>
      <c r="N2484" s="518">
        <v>9.6500000000000002E-2</v>
      </c>
      <c r="O2484" s="518">
        <v>9.1999999999999998E-2</v>
      </c>
      <c r="P2484" s="518">
        <v>0.10249999999999999</v>
      </c>
      <c r="Q2484" s="78">
        <v>0.44</v>
      </c>
      <c r="R2484" s="78">
        <v>0.31740000000000002</v>
      </c>
      <c r="S2484" s="69">
        <v>2.5000000000000001E-2</v>
      </c>
      <c r="T2484" s="69">
        <v>0.01</v>
      </c>
      <c r="U2484" s="518">
        <v>0.7</v>
      </c>
      <c r="V2484" s="76">
        <v>0</v>
      </c>
      <c r="W2484" s="76">
        <v>250.00000000000003</v>
      </c>
      <c r="X2484" s="76"/>
      <c r="Y2484" s="516" t="s">
        <v>470</v>
      </c>
    </row>
    <row r="2485" spans="1:25" x14ac:dyDescent="0.25">
      <c r="A2485" s="75" t="str">
        <f t="shared" si="87"/>
        <v>Adquisicion PFAE No_Premier Normal Mercado_Abierto Pago_Fijo_Puntual 10</v>
      </c>
      <c r="B2485" s="75" t="str">
        <f t="shared" si="86"/>
        <v>Adquisicion PFAE No_Premier Normal Mercado_Abierto Pago_Fijo_Puntual 10 0.103</v>
      </c>
      <c r="C2485" s="75" t="s">
        <v>114</v>
      </c>
      <c r="D2485" s="75" t="s">
        <v>168</v>
      </c>
      <c r="E2485" s="75" t="s">
        <v>179</v>
      </c>
      <c r="F2485" s="75" t="s">
        <v>180</v>
      </c>
      <c r="G2485" s="75" t="s">
        <v>396</v>
      </c>
      <c r="H2485" s="75"/>
      <c r="I2485" s="75" t="s">
        <v>171</v>
      </c>
      <c r="J2485" s="76">
        <v>10</v>
      </c>
      <c r="K2485" s="516" t="s">
        <v>386</v>
      </c>
      <c r="L2485" s="517">
        <v>13.54</v>
      </c>
      <c r="M2485" s="517">
        <v>14.49</v>
      </c>
      <c r="N2485" s="518">
        <v>0.10299999999999999</v>
      </c>
      <c r="O2485" s="518">
        <v>0.1</v>
      </c>
      <c r="P2485" s="518">
        <v>0.112</v>
      </c>
      <c r="Q2485" s="78">
        <v>0.44</v>
      </c>
      <c r="R2485" s="78">
        <v>0.31740000000000002</v>
      </c>
      <c r="S2485" s="69">
        <v>2.5000000000000001E-2</v>
      </c>
      <c r="T2485" s="69">
        <v>0.01</v>
      </c>
      <c r="U2485" s="518">
        <v>0.7</v>
      </c>
      <c r="V2485" s="76">
        <v>0</v>
      </c>
      <c r="W2485" s="76">
        <v>250.00000000000003</v>
      </c>
      <c r="X2485" s="76"/>
      <c r="Y2485" s="516" t="s">
        <v>470</v>
      </c>
    </row>
    <row r="2486" spans="1:25" x14ac:dyDescent="0.25">
      <c r="A2486" s="75" t="str">
        <f t="shared" si="87"/>
        <v>Adquisicion PFAE No_Premier Normal Mercado_Abierto Pago_Fijo_Puntual 5</v>
      </c>
      <c r="B2486" s="75" t="str">
        <f t="shared" ref="B2486:B2549" si="88">CONCATENATE(A2486," ",N2486)</f>
        <v>Adquisicion PFAE No_Premier Normal Mercado_Abierto Pago_Fijo_Puntual 5 0.0965</v>
      </c>
      <c r="C2486" s="75" t="s">
        <v>114</v>
      </c>
      <c r="D2486" s="75" t="s">
        <v>168</v>
      </c>
      <c r="E2486" s="75" t="s">
        <v>179</v>
      </c>
      <c r="F2486" s="75" t="s">
        <v>180</v>
      </c>
      <c r="G2486" s="75" t="s">
        <v>396</v>
      </c>
      <c r="H2486" s="75"/>
      <c r="I2486" s="75" t="s">
        <v>171</v>
      </c>
      <c r="J2486" s="76">
        <v>5</v>
      </c>
      <c r="K2486" s="516" t="s">
        <v>385</v>
      </c>
      <c r="L2486" s="517">
        <v>21.12</v>
      </c>
      <c r="M2486" s="517">
        <v>22.07</v>
      </c>
      <c r="N2486" s="518">
        <v>9.6500000000000002E-2</v>
      </c>
      <c r="O2486" s="518">
        <v>9.1999999999999998E-2</v>
      </c>
      <c r="P2486" s="518">
        <v>0.10249999999999999</v>
      </c>
      <c r="Q2486" s="78">
        <v>0.44</v>
      </c>
      <c r="R2486" s="78">
        <v>0.31740000000000002</v>
      </c>
      <c r="S2486" s="69">
        <v>2.5000000000000001E-2</v>
      </c>
      <c r="T2486" s="69">
        <v>0.01</v>
      </c>
      <c r="U2486" s="518">
        <v>0.7</v>
      </c>
      <c r="V2486" s="76">
        <v>0</v>
      </c>
      <c r="W2486" s="76">
        <v>250.00000000000003</v>
      </c>
      <c r="X2486" s="76"/>
      <c r="Y2486" s="516" t="s">
        <v>470</v>
      </c>
    </row>
    <row r="2487" spans="1:25" x14ac:dyDescent="0.25">
      <c r="A2487" s="75" t="str">
        <f t="shared" ref="A2487:A2550" si="89">TRIM(CONCATENATE(C2487," ",D2487," ",E2487," ",F2487," ",G2487," ",I2487," ",X2487," ",J2487))</f>
        <v>Adquisicion PFAE No_Premier Normal Mercado_Abierto Pago_Fijo_Puntual 5</v>
      </c>
      <c r="B2487" s="75" t="str">
        <f t="shared" si="88"/>
        <v>Adquisicion PFAE No_Premier Normal Mercado_Abierto Pago_Fijo_Puntual 5 0.103</v>
      </c>
      <c r="C2487" s="75" t="s">
        <v>114</v>
      </c>
      <c r="D2487" s="75" t="s">
        <v>168</v>
      </c>
      <c r="E2487" s="75" t="s">
        <v>179</v>
      </c>
      <c r="F2487" s="75" t="s">
        <v>180</v>
      </c>
      <c r="G2487" s="75" t="s">
        <v>396</v>
      </c>
      <c r="H2487" s="75"/>
      <c r="I2487" s="75" t="s">
        <v>171</v>
      </c>
      <c r="J2487" s="76">
        <v>5</v>
      </c>
      <c r="K2487" s="516" t="s">
        <v>386</v>
      </c>
      <c r="L2487" s="517">
        <v>21.44</v>
      </c>
      <c r="M2487" s="517">
        <v>22.39</v>
      </c>
      <c r="N2487" s="518">
        <v>0.10299999999999999</v>
      </c>
      <c r="O2487" s="518">
        <v>0.1</v>
      </c>
      <c r="P2487" s="518">
        <v>0.112</v>
      </c>
      <c r="Q2487" s="78">
        <v>0.44</v>
      </c>
      <c r="R2487" s="78">
        <v>0.31740000000000002</v>
      </c>
      <c r="S2487" s="69">
        <v>2.5000000000000001E-2</v>
      </c>
      <c r="T2487" s="69">
        <v>0.01</v>
      </c>
      <c r="U2487" s="518">
        <v>0.7</v>
      </c>
      <c r="V2487" s="76">
        <v>0</v>
      </c>
      <c r="W2487" s="76">
        <v>250.00000000000003</v>
      </c>
      <c r="X2487" s="76"/>
      <c r="Y2487" s="516" t="s">
        <v>470</v>
      </c>
    </row>
    <row r="2488" spans="1:25" x14ac:dyDescent="0.25">
      <c r="A2488" s="75" t="str">
        <f t="shared" si="89"/>
        <v>Adquisicion PFAE No_Premier Normal Mercado_Abierto Pago_Bajo_Puntual 20</v>
      </c>
      <c r="B2488" s="75" t="str">
        <f t="shared" si="88"/>
        <v>Adquisicion PFAE No_Premier Normal Mercado_Abierto Pago_Bajo_Puntual 20 0.0965</v>
      </c>
      <c r="C2488" s="75" t="s">
        <v>114</v>
      </c>
      <c r="D2488" s="75" t="s">
        <v>168</v>
      </c>
      <c r="E2488" s="75" t="s">
        <v>179</v>
      </c>
      <c r="F2488" s="75" t="s">
        <v>180</v>
      </c>
      <c r="G2488" s="75" t="s">
        <v>396</v>
      </c>
      <c r="H2488" s="75"/>
      <c r="I2488" s="75" t="s">
        <v>170</v>
      </c>
      <c r="J2488" s="76">
        <v>20</v>
      </c>
      <c r="K2488" s="516" t="s">
        <v>385</v>
      </c>
      <c r="L2488" s="517">
        <v>8.52</v>
      </c>
      <c r="M2488" s="517">
        <v>9.4700000000000006</v>
      </c>
      <c r="N2488" s="518">
        <v>9.6500000000000002E-2</v>
      </c>
      <c r="O2488" s="518">
        <v>9.1999999999999998E-2</v>
      </c>
      <c r="P2488" s="518">
        <v>0.10249999999999999</v>
      </c>
      <c r="Q2488" s="78">
        <v>0.44</v>
      </c>
      <c r="R2488" s="78">
        <v>0.31740000000000002</v>
      </c>
      <c r="S2488" s="69">
        <v>2.5000000000000001E-2</v>
      </c>
      <c r="T2488" s="69">
        <v>0.01</v>
      </c>
      <c r="U2488" s="518">
        <v>0.7</v>
      </c>
      <c r="V2488" s="76">
        <v>0</v>
      </c>
      <c r="W2488" s="76">
        <v>250.00000000000003</v>
      </c>
      <c r="X2488" s="76"/>
      <c r="Y2488" s="516" t="s">
        <v>470</v>
      </c>
    </row>
    <row r="2489" spans="1:25" x14ac:dyDescent="0.25">
      <c r="A2489" s="75" t="str">
        <f t="shared" si="89"/>
        <v>Adquisicion PFAE No_Premier Normal Mercado_Abierto Pago_Bajo_Puntual 20</v>
      </c>
      <c r="B2489" s="75" t="str">
        <f t="shared" si="88"/>
        <v>Adquisicion PFAE No_Premier Normal Mercado_Abierto Pago_Bajo_Puntual 20 0.103</v>
      </c>
      <c r="C2489" s="75" t="s">
        <v>114</v>
      </c>
      <c r="D2489" s="75" t="s">
        <v>168</v>
      </c>
      <c r="E2489" s="75" t="s">
        <v>179</v>
      </c>
      <c r="F2489" s="75" t="s">
        <v>180</v>
      </c>
      <c r="G2489" s="75" t="s">
        <v>396</v>
      </c>
      <c r="H2489" s="75"/>
      <c r="I2489" s="75" t="s">
        <v>170</v>
      </c>
      <c r="J2489" s="76">
        <v>20</v>
      </c>
      <c r="K2489" s="516" t="s">
        <v>386</v>
      </c>
      <c r="L2489" s="517">
        <v>9</v>
      </c>
      <c r="M2489" s="517">
        <v>9.9499999999999993</v>
      </c>
      <c r="N2489" s="518">
        <v>0.10299999999999999</v>
      </c>
      <c r="O2489" s="518">
        <v>0.1</v>
      </c>
      <c r="P2489" s="518">
        <v>0.112</v>
      </c>
      <c r="Q2489" s="78">
        <v>0.44</v>
      </c>
      <c r="R2489" s="78">
        <v>0.31740000000000002</v>
      </c>
      <c r="S2489" s="69">
        <v>2.5000000000000001E-2</v>
      </c>
      <c r="T2489" s="69">
        <v>0.01</v>
      </c>
      <c r="U2489" s="518">
        <v>0.7</v>
      </c>
      <c r="V2489" s="76">
        <v>0</v>
      </c>
      <c r="W2489" s="76">
        <v>250.00000000000003</v>
      </c>
      <c r="X2489" s="76"/>
      <c r="Y2489" s="516" t="s">
        <v>470</v>
      </c>
    </row>
    <row r="2490" spans="1:25" x14ac:dyDescent="0.25">
      <c r="A2490" s="75" t="str">
        <f t="shared" si="89"/>
        <v>Adquisicion PFAE No_Premier Normal Mercado_Abierto Pago_Bajo_Puntual 15</v>
      </c>
      <c r="B2490" s="75" t="str">
        <f t="shared" si="88"/>
        <v>Adquisicion PFAE No_Premier Normal Mercado_Abierto Pago_Bajo_Puntual 15 0.0965</v>
      </c>
      <c r="C2490" s="75" t="s">
        <v>114</v>
      </c>
      <c r="D2490" s="75" t="s">
        <v>168</v>
      </c>
      <c r="E2490" s="75" t="s">
        <v>179</v>
      </c>
      <c r="F2490" s="75" t="s">
        <v>180</v>
      </c>
      <c r="G2490" s="75" t="s">
        <v>396</v>
      </c>
      <c r="H2490" s="75"/>
      <c r="I2490" s="75" t="s">
        <v>170</v>
      </c>
      <c r="J2490" s="76">
        <v>15</v>
      </c>
      <c r="K2490" s="516" t="s">
        <v>385</v>
      </c>
      <c r="L2490" s="517">
        <v>9.6999999999999993</v>
      </c>
      <c r="M2490" s="517">
        <v>10.65</v>
      </c>
      <c r="N2490" s="518">
        <v>9.6500000000000002E-2</v>
      </c>
      <c r="O2490" s="518">
        <v>9.1999999999999998E-2</v>
      </c>
      <c r="P2490" s="518">
        <v>0.10249999999999999</v>
      </c>
      <c r="Q2490" s="78">
        <v>0.44</v>
      </c>
      <c r="R2490" s="78">
        <v>0.31740000000000002</v>
      </c>
      <c r="S2490" s="69">
        <v>2.5000000000000001E-2</v>
      </c>
      <c r="T2490" s="69">
        <v>0.01</v>
      </c>
      <c r="U2490" s="518">
        <v>0.7</v>
      </c>
      <c r="V2490" s="76">
        <v>0</v>
      </c>
      <c r="W2490" s="76">
        <v>250.00000000000003</v>
      </c>
      <c r="X2490" s="76"/>
      <c r="Y2490" s="516" t="s">
        <v>470</v>
      </c>
    </row>
    <row r="2491" spans="1:25" x14ac:dyDescent="0.25">
      <c r="A2491" s="75" t="str">
        <f t="shared" si="89"/>
        <v>Adquisicion PFAE No_Premier Normal Mercado_Abierto Pago_Bajo_Puntual 15</v>
      </c>
      <c r="B2491" s="75" t="str">
        <f t="shared" si="88"/>
        <v>Adquisicion PFAE No_Premier Normal Mercado_Abierto Pago_Bajo_Puntual 15 0.103</v>
      </c>
      <c r="C2491" s="75" t="s">
        <v>114</v>
      </c>
      <c r="D2491" s="75" t="s">
        <v>168</v>
      </c>
      <c r="E2491" s="75" t="s">
        <v>179</v>
      </c>
      <c r="F2491" s="75" t="s">
        <v>180</v>
      </c>
      <c r="G2491" s="75" t="s">
        <v>396</v>
      </c>
      <c r="H2491" s="75"/>
      <c r="I2491" s="75" t="s">
        <v>170</v>
      </c>
      <c r="J2491" s="76">
        <v>15</v>
      </c>
      <c r="K2491" s="516" t="s">
        <v>386</v>
      </c>
      <c r="L2491" s="517">
        <v>10.119999999999999</v>
      </c>
      <c r="M2491" s="517">
        <v>11.07</v>
      </c>
      <c r="N2491" s="518">
        <v>0.10299999999999999</v>
      </c>
      <c r="O2491" s="518">
        <v>0.1</v>
      </c>
      <c r="P2491" s="518">
        <v>0.112</v>
      </c>
      <c r="Q2491" s="78">
        <v>0.44</v>
      </c>
      <c r="R2491" s="78">
        <v>0.31740000000000002</v>
      </c>
      <c r="S2491" s="69">
        <v>2.5000000000000001E-2</v>
      </c>
      <c r="T2491" s="69">
        <v>0.01</v>
      </c>
      <c r="U2491" s="518">
        <v>0.7</v>
      </c>
      <c r="V2491" s="76">
        <v>0</v>
      </c>
      <c r="W2491" s="76">
        <v>250.00000000000003</v>
      </c>
      <c r="X2491" s="76"/>
      <c r="Y2491" s="516" t="s">
        <v>470</v>
      </c>
    </row>
    <row r="2492" spans="1:25" x14ac:dyDescent="0.25">
      <c r="A2492" s="75" t="str">
        <f t="shared" si="89"/>
        <v>Adquisicion PFAE No_Premier Normal Mercado_Abierto Pago_Bajo_Puntual 10</v>
      </c>
      <c r="B2492" s="75" t="str">
        <f t="shared" si="88"/>
        <v>Adquisicion PFAE No_Premier Normal Mercado_Abierto Pago_Bajo_Puntual 10 0.0965</v>
      </c>
      <c r="C2492" s="75" t="s">
        <v>114</v>
      </c>
      <c r="D2492" s="75" t="s">
        <v>168</v>
      </c>
      <c r="E2492" s="75" t="s">
        <v>179</v>
      </c>
      <c r="F2492" s="75" t="s">
        <v>180</v>
      </c>
      <c r="G2492" s="75" t="s">
        <v>396</v>
      </c>
      <c r="H2492" s="75"/>
      <c r="I2492" s="75" t="s">
        <v>170</v>
      </c>
      <c r="J2492" s="76">
        <v>10</v>
      </c>
      <c r="K2492" s="516" t="s">
        <v>385</v>
      </c>
      <c r="L2492" s="517">
        <v>12.25</v>
      </c>
      <c r="M2492" s="517">
        <v>13.2</v>
      </c>
      <c r="N2492" s="518">
        <v>9.6500000000000002E-2</v>
      </c>
      <c r="O2492" s="518">
        <v>9.1999999999999998E-2</v>
      </c>
      <c r="P2492" s="518">
        <v>0.10249999999999999</v>
      </c>
      <c r="Q2492" s="78">
        <v>0.44</v>
      </c>
      <c r="R2492" s="78">
        <v>0.31740000000000002</v>
      </c>
      <c r="S2492" s="69">
        <v>2.5000000000000001E-2</v>
      </c>
      <c r="T2492" s="69">
        <v>0.01</v>
      </c>
      <c r="U2492" s="518">
        <v>0.7</v>
      </c>
      <c r="V2492" s="76">
        <v>0</v>
      </c>
      <c r="W2492" s="76">
        <v>250.00000000000003</v>
      </c>
      <c r="X2492" s="76"/>
      <c r="Y2492" s="516" t="s">
        <v>470</v>
      </c>
    </row>
    <row r="2493" spans="1:25" x14ac:dyDescent="0.25">
      <c r="A2493" s="75" t="str">
        <f t="shared" si="89"/>
        <v>Adquisicion PFAE No_Premier Normal Mercado_Abierto Pago_Bajo_Puntual 10</v>
      </c>
      <c r="B2493" s="75" t="str">
        <f t="shared" si="88"/>
        <v>Adquisicion PFAE No_Premier Normal Mercado_Abierto Pago_Bajo_Puntual 10 0.103</v>
      </c>
      <c r="C2493" s="75" t="s">
        <v>114</v>
      </c>
      <c r="D2493" s="75" t="s">
        <v>168</v>
      </c>
      <c r="E2493" s="75" t="s">
        <v>179</v>
      </c>
      <c r="F2493" s="75" t="s">
        <v>180</v>
      </c>
      <c r="G2493" s="75" t="s">
        <v>396</v>
      </c>
      <c r="H2493" s="75"/>
      <c r="I2493" s="75" t="s">
        <v>170</v>
      </c>
      <c r="J2493" s="76">
        <v>10</v>
      </c>
      <c r="K2493" s="516" t="s">
        <v>386</v>
      </c>
      <c r="L2493" s="517">
        <v>12.62</v>
      </c>
      <c r="M2493" s="517">
        <v>13.57</v>
      </c>
      <c r="N2493" s="518">
        <v>0.10299999999999999</v>
      </c>
      <c r="O2493" s="518">
        <v>0.1</v>
      </c>
      <c r="P2493" s="518">
        <v>0.112</v>
      </c>
      <c r="Q2493" s="78">
        <v>0.44</v>
      </c>
      <c r="R2493" s="78">
        <v>0.31740000000000002</v>
      </c>
      <c r="S2493" s="69">
        <v>2.5000000000000001E-2</v>
      </c>
      <c r="T2493" s="69">
        <v>0.01</v>
      </c>
      <c r="U2493" s="518">
        <v>0.7</v>
      </c>
      <c r="V2493" s="76">
        <v>0</v>
      </c>
      <c r="W2493" s="76">
        <v>250.00000000000003</v>
      </c>
      <c r="X2493" s="76"/>
      <c r="Y2493" s="516" t="s">
        <v>470</v>
      </c>
    </row>
    <row r="2494" spans="1:25" x14ac:dyDescent="0.25">
      <c r="A2494" s="75" t="str">
        <f t="shared" si="89"/>
        <v>Adquisicion PFAE No_Premier Normal Mercado_Abierto Pago_Bajo_Puntual 5</v>
      </c>
      <c r="B2494" s="75" t="str">
        <f t="shared" si="88"/>
        <v>Adquisicion PFAE No_Premier Normal Mercado_Abierto Pago_Bajo_Puntual 5 0.0965</v>
      </c>
      <c r="C2494" s="75" t="s">
        <v>114</v>
      </c>
      <c r="D2494" s="75" t="s">
        <v>168</v>
      </c>
      <c r="E2494" s="75" t="s">
        <v>179</v>
      </c>
      <c r="F2494" s="75" t="s">
        <v>180</v>
      </c>
      <c r="G2494" s="75" t="s">
        <v>396</v>
      </c>
      <c r="H2494" s="75"/>
      <c r="I2494" s="75" t="s">
        <v>170</v>
      </c>
      <c r="J2494" s="76">
        <v>5</v>
      </c>
      <c r="K2494" s="516" t="s">
        <v>385</v>
      </c>
      <c r="L2494" s="517">
        <v>20.399999999999999</v>
      </c>
      <c r="M2494" s="517">
        <v>21.35</v>
      </c>
      <c r="N2494" s="518">
        <v>9.6500000000000002E-2</v>
      </c>
      <c r="O2494" s="518">
        <v>9.1999999999999998E-2</v>
      </c>
      <c r="P2494" s="518">
        <v>0.10249999999999999</v>
      </c>
      <c r="Q2494" s="78">
        <v>0.44</v>
      </c>
      <c r="R2494" s="78">
        <v>0.31740000000000002</v>
      </c>
      <c r="S2494" s="69">
        <v>2.5000000000000001E-2</v>
      </c>
      <c r="T2494" s="69">
        <v>0.01</v>
      </c>
      <c r="U2494" s="518">
        <v>0.7</v>
      </c>
      <c r="V2494" s="76">
        <v>0</v>
      </c>
      <c r="W2494" s="76">
        <v>250.00000000000003</v>
      </c>
      <c r="X2494" s="76"/>
      <c r="Y2494" s="516" t="s">
        <v>470</v>
      </c>
    </row>
    <row r="2495" spans="1:25" x14ac:dyDescent="0.25">
      <c r="A2495" s="75" t="str">
        <f t="shared" si="89"/>
        <v>Adquisicion PFAE No_Premier Normal Mercado_Abierto Pago_Bajo_Puntual 5</v>
      </c>
      <c r="B2495" s="75" t="str">
        <f t="shared" si="88"/>
        <v>Adquisicion PFAE No_Premier Normal Mercado_Abierto Pago_Bajo_Puntual 5 0.103</v>
      </c>
      <c r="C2495" s="75" t="s">
        <v>114</v>
      </c>
      <c r="D2495" s="75" t="s">
        <v>168</v>
      </c>
      <c r="E2495" s="75" t="s">
        <v>179</v>
      </c>
      <c r="F2495" s="75" t="s">
        <v>180</v>
      </c>
      <c r="G2495" s="75" t="s">
        <v>396</v>
      </c>
      <c r="H2495" s="75"/>
      <c r="I2495" s="75" t="s">
        <v>170</v>
      </c>
      <c r="J2495" s="76">
        <v>5</v>
      </c>
      <c r="K2495" s="516" t="s">
        <v>386</v>
      </c>
      <c r="L2495" s="517">
        <v>20.72</v>
      </c>
      <c r="M2495" s="517">
        <v>21.67</v>
      </c>
      <c r="N2495" s="518">
        <v>0.10299999999999999</v>
      </c>
      <c r="O2495" s="518">
        <v>0.1</v>
      </c>
      <c r="P2495" s="518">
        <v>0.112</v>
      </c>
      <c r="Q2495" s="78">
        <v>0.44</v>
      </c>
      <c r="R2495" s="78">
        <v>0.31740000000000002</v>
      </c>
      <c r="S2495" s="69">
        <v>2.5000000000000001E-2</v>
      </c>
      <c r="T2495" s="69">
        <v>0.01</v>
      </c>
      <c r="U2495" s="518">
        <v>0.7</v>
      </c>
      <c r="V2495" s="76">
        <v>0</v>
      </c>
      <c r="W2495" s="76">
        <v>250.00000000000003</v>
      </c>
      <c r="X2495" s="76"/>
      <c r="Y2495" s="516" t="s">
        <v>470</v>
      </c>
    </row>
    <row r="2496" spans="1:25" x14ac:dyDescent="0.25">
      <c r="A2496" s="75" t="str">
        <f t="shared" si="89"/>
        <v>Adquisicion PROF No_Premier Normal Mercado_Abierto Pago_Fijo_Puntual 20</v>
      </c>
      <c r="B2496" s="75" t="str">
        <f t="shared" si="88"/>
        <v>Adquisicion PROF No_Premier Normal Mercado_Abierto Pago_Fijo_Puntual 20 0.0965</v>
      </c>
      <c r="C2496" s="75" t="s">
        <v>114</v>
      </c>
      <c r="D2496" s="75" t="s">
        <v>169</v>
      </c>
      <c r="E2496" s="75" t="s">
        <v>179</v>
      </c>
      <c r="F2496" s="75" t="s">
        <v>180</v>
      </c>
      <c r="G2496" s="75" t="s">
        <v>396</v>
      </c>
      <c r="H2496" s="75"/>
      <c r="I2496" s="75" t="s">
        <v>171</v>
      </c>
      <c r="J2496" s="76">
        <v>20</v>
      </c>
      <c r="K2496" s="516" t="s">
        <v>385</v>
      </c>
      <c r="L2496" s="517">
        <v>9.66</v>
      </c>
      <c r="M2496" s="517">
        <v>10.61</v>
      </c>
      <c r="N2496" s="518">
        <v>9.6500000000000002E-2</v>
      </c>
      <c r="O2496" s="518">
        <v>9.1999999999999998E-2</v>
      </c>
      <c r="P2496" s="518">
        <v>0.10249999999999999</v>
      </c>
      <c r="Q2496" s="78">
        <v>0.44</v>
      </c>
      <c r="R2496" s="78">
        <v>0.31740000000000002</v>
      </c>
      <c r="S2496" s="69">
        <v>2.5000000000000001E-2</v>
      </c>
      <c r="T2496" s="69">
        <v>0.01</v>
      </c>
      <c r="U2496" s="518">
        <v>0.7</v>
      </c>
      <c r="V2496" s="76">
        <v>0</v>
      </c>
      <c r="W2496" s="76">
        <v>250.00000000000003</v>
      </c>
      <c r="X2496" s="76"/>
      <c r="Y2496" s="516" t="s">
        <v>470</v>
      </c>
    </row>
    <row r="2497" spans="1:25" x14ac:dyDescent="0.25">
      <c r="A2497" s="75" t="str">
        <f t="shared" si="89"/>
        <v>Adquisicion PROF No_Premier Normal Mercado_Abierto Pago_Fijo_Puntual 20</v>
      </c>
      <c r="B2497" s="75" t="str">
        <f t="shared" si="88"/>
        <v>Adquisicion PROF No_Premier Normal Mercado_Abierto Pago_Fijo_Puntual 20 0.103</v>
      </c>
      <c r="C2497" s="75" t="s">
        <v>114</v>
      </c>
      <c r="D2497" s="75" t="s">
        <v>169</v>
      </c>
      <c r="E2497" s="75" t="s">
        <v>179</v>
      </c>
      <c r="F2497" s="75" t="s">
        <v>180</v>
      </c>
      <c r="G2497" s="75" t="s">
        <v>396</v>
      </c>
      <c r="H2497" s="75"/>
      <c r="I2497" s="75" t="s">
        <v>171</v>
      </c>
      <c r="J2497" s="76">
        <v>20</v>
      </c>
      <c r="K2497" s="516" t="s">
        <v>386</v>
      </c>
      <c r="L2497" s="517">
        <v>10.16</v>
      </c>
      <c r="M2497" s="517">
        <v>11.11</v>
      </c>
      <c r="N2497" s="518">
        <v>0.10299999999999999</v>
      </c>
      <c r="O2497" s="518">
        <v>0.1</v>
      </c>
      <c r="P2497" s="518">
        <v>0.112</v>
      </c>
      <c r="Q2497" s="78">
        <v>0.44</v>
      </c>
      <c r="R2497" s="78">
        <v>0.31740000000000002</v>
      </c>
      <c r="S2497" s="69">
        <v>2.5000000000000001E-2</v>
      </c>
      <c r="T2497" s="69">
        <v>0.01</v>
      </c>
      <c r="U2497" s="518">
        <v>0.7</v>
      </c>
      <c r="V2497" s="76">
        <v>0</v>
      </c>
      <c r="W2497" s="76">
        <v>250.00000000000003</v>
      </c>
      <c r="X2497" s="76"/>
      <c r="Y2497" s="516" t="s">
        <v>470</v>
      </c>
    </row>
    <row r="2498" spans="1:25" x14ac:dyDescent="0.25">
      <c r="A2498" s="75" t="str">
        <f t="shared" si="89"/>
        <v>Adquisicion PROF No_Premier Normal Mercado_Abierto Pago_Fijo_Puntual 15</v>
      </c>
      <c r="B2498" s="75" t="str">
        <f t="shared" si="88"/>
        <v>Adquisicion PROF No_Premier Normal Mercado_Abierto Pago_Fijo_Puntual 15 0.0965</v>
      </c>
      <c r="C2498" s="75" t="s">
        <v>114</v>
      </c>
      <c r="D2498" s="75" t="s">
        <v>169</v>
      </c>
      <c r="E2498" s="75" t="s">
        <v>179</v>
      </c>
      <c r="F2498" s="75" t="s">
        <v>180</v>
      </c>
      <c r="G2498" s="75" t="s">
        <v>396</v>
      </c>
      <c r="H2498" s="75"/>
      <c r="I2498" s="75" t="s">
        <v>171</v>
      </c>
      <c r="J2498" s="76">
        <v>15</v>
      </c>
      <c r="K2498" s="516" t="s">
        <v>385</v>
      </c>
      <c r="L2498" s="517">
        <v>10.73</v>
      </c>
      <c r="M2498" s="517">
        <v>11.68</v>
      </c>
      <c r="N2498" s="518">
        <v>9.6500000000000002E-2</v>
      </c>
      <c r="O2498" s="518">
        <v>9.1999999999999998E-2</v>
      </c>
      <c r="P2498" s="518">
        <v>0.10249999999999999</v>
      </c>
      <c r="Q2498" s="78">
        <v>0.44</v>
      </c>
      <c r="R2498" s="78">
        <v>0.31740000000000002</v>
      </c>
      <c r="S2498" s="69">
        <v>2.5000000000000001E-2</v>
      </c>
      <c r="T2498" s="69">
        <v>0.01</v>
      </c>
      <c r="U2498" s="518">
        <v>0.7</v>
      </c>
      <c r="V2498" s="76">
        <v>0</v>
      </c>
      <c r="W2498" s="76">
        <v>250.00000000000003</v>
      </c>
      <c r="X2498" s="76"/>
      <c r="Y2498" s="516" t="s">
        <v>470</v>
      </c>
    </row>
    <row r="2499" spans="1:25" x14ac:dyDescent="0.25">
      <c r="A2499" s="75" t="str">
        <f t="shared" si="89"/>
        <v>Adquisicion PROF No_Premier Normal Mercado_Abierto Pago_Fijo_Puntual 15</v>
      </c>
      <c r="B2499" s="75" t="str">
        <f t="shared" si="88"/>
        <v>Adquisicion PROF No_Premier Normal Mercado_Abierto Pago_Fijo_Puntual 15 0.103</v>
      </c>
      <c r="C2499" s="75" t="s">
        <v>114</v>
      </c>
      <c r="D2499" s="75" t="s">
        <v>169</v>
      </c>
      <c r="E2499" s="75" t="s">
        <v>179</v>
      </c>
      <c r="F2499" s="75" t="s">
        <v>180</v>
      </c>
      <c r="G2499" s="75" t="s">
        <v>396</v>
      </c>
      <c r="H2499" s="75"/>
      <c r="I2499" s="75" t="s">
        <v>171</v>
      </c>
      <c r="J2499" s="76">
        <v>15</v>
      </c>
      <c r="K2499" s="516" t="s">
        <v>386</v>
      </c>
      <c r="L2499" s="517">
        <v>11.18</v>
      </c>
      <c r="M2499" s="517">
        <v>12.13</v>
      </c>
      <c r="N2499" s="518">
        <v>0.10299999999999999</v>
      </c>
      <c r="O2499" s="518">
        <v>0.1</v>
      </c>
      <c r="P2499" s="518">
        <v>0.112</v>
      </c>
      <c r="Q2499" s="78">
        <v>0.44</v>
      </c>
      <c r="R2499" s="78">
        <v>0.31740000000000002</v>
      </c>
      <c r="S2499" s="69">
        <v>2.5000000000000001E-2</v>
      </c>
      <c r="T2499" s="69">
        <v>0.01</v>
      </c>
      <c r="U2499" s="518">
        <v>0.7</v>
      </c>
      <c r="V2499" s="76">
        <v>0</v>
      </c>
      <c r="W2499" s="76">
        <v>250.00000000000003</v>
      </c>
      <c r="X2499" s="76"/>
      <c r="Y2499" s="516" t="s">
        <v>470</v>
      </c>
    </row>
    <row r="2500" spans="1:25" x14ac:dyDescent="0.25">
      <c r="A2500" s="75" t="str">
        <f t="shared" si="89"/>
        <v>Adquisicion PROF No_Premier Normal Mercado_Abierto Pago_Fijo_Puntual 10</v>
      </c>
      <c r="B2500" s="75" t="str">
        <f t="shared" si="88"/>
        <v>Adquisicion PROF No_Premier Normal Mercado_Abierto Pago_Fijo_Puntual 10 0.0965</v>
      </c>
      <c r="C2500" s="75" t="s">
        <v>114</v>
      </c>
      <c r="D2500" s="75" t="s">
        <v>169</v>
      </c>
      <c r="E2500" s="75" t="s">
        <v>179</v>
      </c>
      <c r="F2500" s="75" t="s">
        <v>180</v>
      </c>
      <c r="G2500" s="75" t="s">
        <v>396</v>
      </c>
      <c r="H2500" s="75"/>
      <c r="I2500" s="75" t="s">
        <v>171</v>
      </c>
      <c r="J2500" s="76">
        <v>10</v>
      </c>
      <c r="K2500" s="516" t="s">
        <v>385</v>
      </c>
      <c r="L2500" s="517">
        <v>13.16</v>
      </c>
      <c r="M2500" s="517">
        <v>14.11</v>
      </c>
      <c r="N2500" s="518">
        <v>9.6500000000000002E-2</v>
      </c>
      <c r="O2500" s="518">
        <v>9.1999999999999998E-2</v>
      </c>
      <c r="P2500" s="518">
        <v>0.10249999999999999</v>
      </c>
      <c r="Q2500" s="78">
        <v>0.44</v>
      </c>
      <c r="R2500" s="78">
        <v>0.31740000000000002</v>
      </c>
      <c r="S2500" s="69">
        <v>2.5000000000000001E-2</v>
      </c>
      <c r="T2500" s="69">
        <v>0.01</v>
      </c>
      <c r="U2500" s="518">
        <v>0.7</v>
      </c>
      <c r="V2500" s="76">
        <v>0</v>
      </c>
      <c r="W2500" s="76">
        <v>250.00000000000003</v>
      </c>
      <c r="X2500" s="76"/>
      <c r="Y2500" s="516" t="s">
        <v>470</v>
      </c>
    </row>
    <row r="2501" spans="1:25" x14ac:dyDescent="0.25">
      <c r="A2501" s="75" t="str">
        <f t="shared" si="89"/>
        <v>Adquisicion PROF No_Premier Normal Mercado_Abierto Pago_Fijo_Puntual 10</v>
      </c>
      <c r="B2501" s="75" t="str">
        <f t="shared" si="88"/>
        <v>Adquisicion PROF No_Premier Normal Mercado_Abierto Pago_Fijo_Puntual 10 0.103</v>
      </c>
      <c r="C2501" s="75" t="s">
        <v>114</v>
      </c>
      <c r="D2501" s="75" t="s">
        <v>169</v>
      </c>
      <c r="E2501" s="75" t="s">
        <v>179</v>
      </c>
      <c r="F2501" s="75" t="s">
        <v>180</v>
      </c>
      <c r="G2501" s="75" t="s">
        <v>396</v>
      </c>
      <c r="H2501" s="75"/>
      <c r="I2501" s="75" t="s">
        <v>171</v>
      </c>
      <c r="J2501" s="76">
        <v>10</v>
      </c>
      <c r="K2501" s="516" t="s">
        <v>386</v>
      </c>
      <c r="L2501" s="517">
        <v>13.54</v>
      </c>
      <c r="M2501" s="517">
        <v>14.49</v>
      </c>
      <c r="N2501" s="518">
        <v>0.10299999999999999</v>
      </c>
      <c r="O2501" s="518">
        <v>0.1</v>
      </c>
      <c r="P2501" s="518">
        <v>0.112</v>
      </c>
      <c r="Q2501" s="78">
        <v>0.44</v>
      </c>
      <c r="R2501" s="78">
        <v>0.31740000000000002</v>
      </c>
      <c r="S2501" s="69">
        <v>2.5000000000000001E-2</v>
      </c>
      <c r="T2501" s="69">
        <v>0.01</v>
      </c>
      <c r="U2501" s="518">
        <v>0.7</v>
      </c>
      <c r="V2501" s="76">
        <v>0</v>
      </c>
      <c r="W2501" s="76">
        <v>250.00000000000003</v>
      </c>
      <c r="X2501" s="76"/>
      <c r="Y2501" s="516" t="s">
        <v>470</v>
      </c>
    </row>
    <row r="2502" spans="1:25" x14ac:dyDescent="0.25">
      <c r="A2502" s="75" t="str">
        <f t="shared" si="89"/>
        <v>Adquisicion PROF No_Premier Normal Mercado_Abierto Pago_Fijo_Puntual 5</v>
      </c>
      <c r="B2502" s="75" t="str">
        <f t="shared" si="88"/>
        <v>Adquisicion PROF No_Premier Normal Mercado_Abierto Pago_Fijo_Puntual 5 0.0965</v>
      </c>
      <c r="C2502" s="75" t="s">
        <v>114</v>
      </c>
      <c r="D2502" s="75" t="s">
        <v>169</v>
      </c>
      <c r="E2502" s="75" t="s">
        <v>179</v>
      </c>
      <c r="F2502" s="75" t="s">
        <v>180</v>
      </c>
      <c r="G2502" s="75" t="s">
        <v>396</v>
      </c>
      <c r="H2502" s="75"/>
      <c r="I2502" s="75" t="s">
        <v>171</v>
      </c>
      <c r="J2502" s="76">
        <v>5</v>
      </c>
      <c r="K2502" s="516" t="s">
        <v>385</v>
      </c>
      <c r="L2502" s="517">
        <v>21.12</v>
      </c>
      <c r="M2502" s="517">
        <v>22.07</v>
      </c>
      <c r="N2502" s="518">
        <v>9.6500000000000002E-2</v>
      </c>
      <c r="O2502" s="518">
        <v>9.1999999999999998E-2</v>
      </c>
      <c r="P2502" s="518">
        <v>0.10249999999999999</v>
      </c>
      <c r="Q2502" s="78">
        <v>0.44</v>
      </c>
      <c r="R2502" s="78">
        <v>0.31740000000000002</v>
      </c>
      <c r="S2502" s="69">
        <v>2.5000000000000001E-2</v>
      </c>
      <c r="T2502" s="69">
        <v>0.01</v>
      </c>
      <c r="U2502" s="518">
        <v>0.7</v>
      </c>
      <c r="V2502" s="76">
        <v>0</v>
      </c>
      <c r="W2502" s="76">
        <v>250.00000000000003</v>
      </c>
      <c r="X2502" s="76"/>
      <c r="Y2502" s="516" t="s">
        <v>470</v>
      </c>
    </row>
    <row r="2503" spans="1:25" x14ac:dyDescent="0.25">
      <c r="A2503" s="75" t="str">
        <f t="shared" si="89"/>
        <v>Adquisicion PROF No_Premier Normal Mercado_Abierto Pago_Fijo_Puntual 5</v>
      </c>
      <c r="B2503" s="75" t="str">
        <f t="shared" si="88"/>
        <v>Adquisicion PROF No_Premier Normal Mercado_Abierto Pago_Fijo_Puntual 5 0.103</v>
      </c>
      <c r="C2503" s="75" t="s">
        <v>114</v>
      </c>
      <c r="D2503" s="75" t="s">
        <v>169</v>
      </c>
      <c r="E2503" s="75" t="s">
        <v>179</v>
      </c>
      <c r="F2503" s="75" t="s">
        <v>180</v>
      </c>
      <c r="G2503" s="75" t="s">
        <v>396</v>
      </c>
      <c r="H2503" s="75"/>
      <c r="I2503" s="75" t="s">
        <v>171</v>
      </c>
      <c r="J2503" s="76">
        <v>5</v>
      </c>
      <c r="K2503" s="516" t="s">
        <v>386</v>
      </c>
      <c r="L2503" s="517">
        <v>21.44</v>
      </c>
      <c r="M2503" s="517">
        <v>22.39</v>
      </c>
      <c r="N2503" s="518">
        <v>0.10299999999999999</v>
      </c>
      <c r="O2503" s="518">
        <v>0.1</v>
      </c>
      <c r="P2503" s="518">
        <v>0.112</v>
      </c>
      <c r="Q2503" s="78">
        <v>0.44</v>
      </c>
      <c r="R2503" s="78">
        <v>0.31740000000000002</v>
      </c>
      <c r="S2503" s="69">
        <v>2.5000000000000001E-2</v>
      </c>
      <c r="T2503" s="69">
        <v>0.01</v>
      </c>
      <c r="U2503" s="518">
        <v>0.7</v>
      </c>
      <c r="V2503" s="76">
        <v>0</v>
      </c>
      <c r="W2503" s="76">
        <v>250.00000000000003</v>
      </c>
      <c r="X2503" s="76"/>
      <c r="Y2503" s="516" t="s">
        <v>470</v>
      </c>
    </row>
    <row r="2504" spans="1:25" x14ac:dyDescent="0.25">
      <c r="A2504" s="75" t="str">
        <f t="shared" si="89"/>
        <v>Adquisicion PROF No_Premier Normal Mercado_Abierto Pago_Bajo_Puntual 20</v>
      </c>
      <c r="B2504" s="75" t="str">
        <f t="shared" si="88"/>
        <v>Adquisicion PROF No_Premier Normal Mercado_Abierto Pago_Bajo_Puntual 20 0.0965</v>
      </c>
      <c r="C2504" s="75" t="s">
        <v>114</v>
      </c>
      <c r="D2504" s="75" t="s">
        <v>169</v>
      </c>
      <c r="E2504" s="75" t="s">
        <v>179</v>
      </c>
      <c r="F2504" s="75" t="s">
        <v>180</v>
      </c>
      <c r="G2504" s="75" t="s">
        <v>396</v>
      </c>
      <c r="H2504" s="75"/>
      <c r="I2504" s="75" t="s">
        <v>170</v>
      </c>
      <c r="J2504" s="76">
        <v>20</v>
      </c>
      <c r="K2504" s="516" t="s">
        <v>385</v>
      </c>
      <c r="L2504" s="517">
        <v>8.52</v>
      </c>
      <c r="M2504" s="517">
        <v>9.4700000000000006</v>
      </c>
      <c r="N2504" s="518">
        <v>9.6500000000000002E-2</v>
      </c>
      <c r="O2504" s="518">
        <v>9.1999999999999998E-2</v>
      </c>
      <c r="P2504" s="518">
        <v>0.10249999999999999</v>
      </c>
      <c r="Q2504" s="78">
        <v>0.44</v>
      </c>
      <c r="R2504" s="78">
        <v>0.31740000000000002</v>
      </c>
      <c r="S2504" s="69">
        <v>2.5000000000000001E-2</v>
      </c>
      <c r="T2504" s="69">
        <v>0.01</v>
      </c>
      <c r="U2504" s="518">
        <v>0.7</v>
      </c>
      <c r="V2504" s="76">
        <v>0</v>
      </c>
      <c r="W2504" s="76">
        <v>250.00000000000003</v>
      </c>
      <c r="X2504" s="76"/>
      <c r="Y2504" s="516" t="s">
        <v>470</v>
      </c>
    </row>
    <row r="2505" spans="1:25" x14ac:dyDescent="0.25">
      <c r="A2505" s="75" t="str">
        <f t="shared" si="89"/>
        <v>Adquisicion PROF No_Premier Normal Mercado_Abierto Pago_Bajo_Puntual 20</v>
      </c>
      <c r="B2505" s="75" t="str">
        <f t="shared" si="88"/>
        <v>Adquisicion PROF No_Premier Normal Mercado_Abierto Pago_Bajo_Puntual 20 0.103</v>
      </c>
      <c r="C2505" s="75" t="s">
        <v>114</v>
      </c>
      <c r="D2505" s="75" t="s">
        <v>169</v>
      </c>
      <c r="E2505" s="75" t="s">
        <v>179</v>
      </c>
      <c r="F2505" s="75" t="s">
        <v>180</v>
      </c>
      <c r="G2505" s="75" t="s">
        <v>396</v>
      </c>
      <c r="H2505" s="75"/>
      <c r="I2505" s="75" t="s">
        <v>170</v>
      </c>
      <c r="J2505" s="76">
        <v>20</v>
      </c>
      <c r="K2505" s="516" t="s">
        <v>386</v>
      </c>
      <c r="L2505" s="517">
        <v>9</v>
      </c>
      <c r="M2505" s="517">
        <v>9.9499999999999993</v>
      </c>
      <c r="N2505" s="518">
        <v>0.10299999999999999</v>
      </c>
      <c r="O2505" s="518">
        <v>0.1</v>
      </c>
      <c r="P2505" s="518">
        <v>0.112</v>
      </c>
      <c r="Q2505" s="78">
        <v>0.44</v>
      </c>
      <c r="R2505" s="78">
        <v>0.31740000000000002</v>
      </c>
      <c r="S2505" s="69">
        <v>2.5000000000000001E-2</v>
      </c>
      <c r="T2505" s="69">
        <v>0.01</v>
      </c>
      <c r="U2505" s="518">
        <v>0.7</v>
      </c>
      <c r="V2505" s="76">
        <v>0</v>
      </c>
      <c r="W2505" s="76">
        <v>250.00000000000003</v>
      </c>
      <c r="X2505" s="76"/>
      <c r="Y2505" s="516" t="s">
        <v>470</v>
      </c>
    </row>
    <row r="2506" spans="1:25" x14ac:dyDescent="0.25">
      <c r="A2506" s="75" t="str">
        <f t="shared" si="89"/>
        <v>Adquisicion PROF No_Premier Normal Mercado_Abierto Pago_Bajo_Puntual 15</v>
      </c>
      <c r="B2506" s="75" t="str">
        <f t="shared" si="88"/>
        <v>Adquisicion PROF No_Premier Normal Mercado_Abierto Pago_Bajo_Puntual 15 0.0965</v>
      </c>
      <c r="C2506" s="75" t="s">
        <v>114</v>
      </c>
      <c r="D2506" s="75" t="s">
        <v>169</v>
      </c>
      <c r="E2506" s="75" t="s">
        <v>179</v>
      </c>
      <c r="F2506" s="75" t="s">
        <v>180</v>
      </c>
      <c r="G2506" s="75" t="s">
        <v>396</v>
      </c>
      <c r="H2506" s="75"/>
      <c r="I2506" s="75" t="s">
        <v>170</v>
      </c>
      <c r="J2506" s="76">
        <v>15</v>
      </c>
      <c r="K2506" s="516" t="s">
        <v>385</v>
      </c>
      <c r="L2506" s="517">
        <v>9.6999999999999993</v>
      </c>
      <c r="M2506" s="517">
        <v>10.65</v>
      </c>
      <c r="N2506" s="518">
        <v>9.6500000000000002E-2</v>
      </c>
      <c r="O2506" s="518">
        <v>9.1999999999999998E-2</v>
      </c>
      <c r="P2506" s="518">
        <v>0.10249999999999999</v>
      </c>
      <c r="Q2506" s="78">
        <v>0.44</v>
      </c>
      <c r="R2506" s="78">
        <v>0.31740000000000002</v>
      </c>
      <c r="S2506" s="69">
        <v>2.5000000000000001E-2</v>
      </c>
      <c r="T2506" s="69">
        <v>0.01</v>
      </c>
      <c r="U2506" s="518">
        <v>0.7</v>
      </c>
      <c r="V2506" s="76">
        <v>0</v>
      </c>
      <c r="W2506" s="76">
        <v>250.00000000000003</v>
      </c>
      <c r="X2506" s="76"/>
      <c r="Y2506" s="516" t="s">
        <v>470</v>
      </c>
    </row>
    <row r="2507" spans="1:25" x14ac:dyDescent="0.25">
      <c r="A2507" s="75" t="str">
        <f t="shared" si="89"/>
        <v>Adquisicion PROF No_Premier Normal Mercado_Abierto Pago_Bajo_Puntual 15</v>
      </c>
      <c r="B2507" s="75" t="str">
        <f t="shared" si="88"/>
        <v>Adquisicion PROF No_Premier Normal Mercado_Abierto Pago_Bajo_Puntual 15 0.103</v>
      </c>
      <c r="C2507" s="75" t="s">
        <v>114</v>
      </c>
      <c r="D2507" s="75" t="s">
        <v>169</v>
      </c>
      <c r="E2507" s="75" t="s">
        <v>179</v>
      </c>
      <c r="F2507" s="75" t="s">
        <v>180</v>
      </c>
      <c r="G2507" s="75" t="s">
        <v>396</v>
      </c>
      <c r="H2507" s="75"/>
      <c r="I2507" s="75" t="s">
        <v>170</v>
      </c>
      <c r="J2507" s="76">
        <v>15</v>
      </c>
      <c r="K2507" s="516" t="s">
        <v>386</v>
      </c>
      <c r="L2507" s="517">
        <v>10.119999999999999</v>
      </c>
      <c r="M2507" s="517">
        <v>11.07</v>
      </c>
      <c r="N2507" s="518">
        <v>0.10299999999999999</v>
      </c>
      <c r="O2507" s="518">
        <v>0.1</v>
      </c>
      <c r="P2507" s="518">
        <v>0.112</v>
      </c>
      <c r="Q2507" s="78">
        <v>0.44</v>
      </c>
      <c r="R2507" s="78">
        <v>0.31740000000000002</v>
      </c>
      <c r="S2507" s="69">
        <v>2.5000000000000001E-2</v>
      </c>
      <c r="T2507" s="69">
        <v>0.01</v>
      </c>
      <c r="U2507" s="518">
        <v>0.7</v>
      </c>
      <c r="V2507" s="76">
        <v>0</v>
      </c>
      <c r="W2507" s="76">
        <v>250.00000000000003</v>
      </c>
      <c r="X2507" s="76"/>
      <c r="Y2507" s="516" t="s">
        <v>470</v>
      </c>
    </row>
    <row r="2508" spans="1:25" x14ac:dyDescent="0.25">
      <c r="A2508" s="75" t="str">
        <f t="shared" si="89"/>
        <v>Adquisicion PROF No_Premier Normal Mercado_Abierto Pago_Bajo_Puntual 10</v>
      </c>
      <c r="B2508" s="75" t="str">
        <f t="shared" si="88"/>
        <v>Adquisicion PROF No_Premier Normal Mercado_Abierto Pago_Bajo_Puntual 10 0.0965</v>
      </c>
      <c r="C2508" s="75" t="s">
        <v>114</v>
      </c>
      <c r="D2508" s="75" t="s">
        <v>169</v>
      </c>
      <c r="E2508" s="75" t="s">
        <v>179</v>
      </c>
      <c r="F2508" s="75" t="s">
        <v>180</v>
      </c>
      <c r="G2508" s="75" t="s">
        <v>396</v>
      </c>
      <c r="H2508" s="75"/>
      <c r="I2508" s="75" t="s">
        <v>170</v>
      </c>
      <c r="J2508" s="76">
        <v>10</v>
      </c>
      <c r="K2508" s="516" t="s">
        <v>385</v>
      </c>
      <c r="L2508" s="517">
        <v>12.25</v>
      </c>
      <c r="M2508" s="517">
        <v>13.2</v>
      </c>
      <c r="N2508" s="518">
        <v>9.6500000000000002E-2</v>
      </c>
      <c r="O2508" s="518">
        <v>9.1999999999999998E-2</v>
      </c>
      <c r="P2508" s="518">
        <v>0.10249999999999999</v>
      </c>
      <c r="Q2508" s="78">
        <v>0.44</v>
      </c>
      <c r="R2508" s="78">
        <v>0.31740000000000002</v>
      </c>
      <c r="S2508" s="69">
        <v>2.5000000000000001E-2</v>
      </c>
      <c r="T2508" s="69">
        <v>0.01</v>
      </c>
      <c r="U2508" s="518">
        <v>0.7</v>
      </c>
      <c r="V2508" s="76">
        <v>0</v>
      </c>
      <c r="W2508" s="76">
        <v>250.00000000000003</v>
      </c>
      <c r="X2508" s="76"/>
      <c r="Y2508" s="516" t="s">
        <v>470</v>
      </c>
    </row>
    <row r="2509" spans="1:25" x14ac:dyDescent="0.25">
      <c r="A2509" s="75" t="str">
        <f t="shared" si="89"/>
        <v>Adquisicion PROF No_Premier Normal Mercado_Abierto Pago_Bajo_Puntual 10</v>
      </c>
      <c r="B2509" s="75" t="str">
        <f t="shared" si="88"/>
        <v>Adquisicion PROF No_Premier Normal Mercado_Abierto Pago_Bajo_Puntual 10 0.103</v>
      </c>
      <c r="C2509" s="75" t="s">
        <v>114</v>
      </c>
      <c r="D2509" s="75" t="s">
        <v>169</v>
      </c>
      <c r="E2509" s="75" t="s">
        <v>179</v>
      </c>
      <c r="F2509" s="75" t="s">
        <v>180</v>
      </c>
      <c r="G2509" s="75" t="s">
        <v>396</v>
      </c>
      <c r="H2509" s="75"/>
      <c r="I2509" s="75" t="s">
        <v>170</v>
      </c>
      <c r="J2509" s="76">
        <v>10</v>
      </c>
      <c r="K2509" s="516" t="s">
        <v>386</v>
      </c>
      <c r="L2509" s="517">
        <v>12.62</v>
      </c>
      <c r="M2509" s="517">
        <v>13.57</v>
      </c>
      <c r="N2509" s="518">
        <v>0.10299999999999999</v>
      </c>
      <c r="O2509" s="518">
        <v>0.1</v>
      </c>
      <c r="P2509" s="518">
        <v>0.112</v>
      </c>
      <c r="Q2509" s="78">
        <v>0.44</v>
      </c>
      <c r="R2509" s="78">
        <v>0.31740000000000002</v>
      </c>
      <c r="S2509" s="69">
        <v>2.5000000000000001E-2</v>
      </c>
      <c r="T2509" s="69">
        <v>0.01</v>
      </c>
      <c r="U2509" s="518">
        <v>0.7</v>
      </c>
      <c r="V2509" s="76">
        <v>0</v>
      </c>
      <c r="W2509" s="76">
        <v>250.00000000000003</v>
      </c>
      <c r="X2509" s="76"/>
      <c r="Y2509" s="516" t="s">
        <v>470</v>
      </c>
    </row>
    <row r="2510" spans="1:25" x14ac:dyDescent="0.25">
      <c r="A2510" s="75" t="str">
        <f t="shared" si="89"/>
        <v>Adquisicion PROF No_Premier Normal Mercado_Abierto Pago_Bajo_Puntual 5</v>
      </c>
      <c r="B2510" s="75" t="str">
        <f t="shared" si="88"/>
        <v>Adquisicion PROF No_Premier Normal Mercado_Abierto Pago_Bajo_Puntual 5 0.0965</v>
      </c>
      <c r="C2510" s="75" t="s">
        <v>114</v>
      </c>
      <c r="D2510" s="75" t="s">
        <v>169</v>
      </c>
      <c r="E2510" s="75" t="s">
        <v>179</v>
      </c>
      <c r="F2510" s="75" t="s">
        <v>180</v>
      </c>
      <c r="G2510" s="75" t="s">
        <v>396</v>
      </c>
      <c r="H2510" s="75"/>
      <c r="I2510" s="75" t="s">
        <v>170</v>
      </c>
      <c r="J2510" s="76">
        <v>5</v>
      </c>
      <c r="K2510" s="516" t="s">
        <v>385</v>
      </c>
      <c r="L2510" s="517">
        <v>20.399999999999999</v>
      </c>
      <c r="M2510" s="517">
        <v>21.35</v>
      </c>
      <c r="N2510" s="518">
        <v>9.6500000000000002E-2</v>
      </c>
      <c r="O2510" s="518">
        <v>9.1999999999999998E-2</v>
      </c>
      <c r="P2510" s="518">
        <v>0.10249999999999999</v>
      </c>
      <c r="Q2510" s="78">
        <v>0.44</v>
      </c>
      <c r="R2510" s="78">
        <v>0.31740000000000002</v>
      </c>
      <c r="S2510" s="69">
        <v>2.5000000000000001E-2</v>
      </c>
      <c r="T2510" s="69">
        <v>0.01</v>
      </c>
      <c r="U2510" s="518">
        <v>0.7</v>
      </c>
      <c r="V2510" s="76">
        <v>0</v>
      </c>
      <c r="W2510" s="76">
        <v>250.00000000000003</v>
      </c>
      <c r="X2510" s="76"/>
      <c r="Y2510" s="516" t="s">
        <v>470</v>
      </c>
    </row>
    <row r="2511" spans="1:25" x14ac:dyDescent="0.25">
      <c r="A2511" s="75" t="str">
        <f t="shared" si="89"/>
        <v>Adquisicion PROF No_Premier Normal Mercado_Abierto Pago_Bajo_Puntual 5</v>
      </c>
      <c r="B2511" s="75" t="str">
        <f t="shared" si="88"/>
        <v>Adquisicion PROF No_Premier Normal Mercado_Abierto Pago_Bajo_Puntual 5 0.103</v>
      </c>
      <c r="C2511" s="75" t="s">
        <v>114</v>
      </c>
      <c r="D2511" s="75" t="s">
        <v>169</v>
      </c>
      <c r="E2511" s="75" t="s">
        <v>179</v>
      </c>
      <c r="F2511" s="75" t="s">
        <v>180</v>
      </c>
      <c r="G2511" s="75" t="s">
        <v>396</v>
      </c>
      <c r="H2511" s="75"/>
      <c r="I2511" s="75" t="s">
        <v>170</v>
      </c>
      <c r="J2511" s="76">
        <v>5</v>
      </c>
      <c r="K2511" s="516" t="s">
        <v>386</v>
      </c>
      <c r="L2511" s="517">
        <v>20.72</v>
      </c>
      <c r="M2511" s="517">
        <v>21.67</v>
      </c>
      <c r="N2511" s="518">
        <v>0.10299999999999999</v>
      </c>
      <c r="O2511" s="518">
        <v>0.1</v>
      </c>
      <c r="P2511" s="518">
        <v>0.112</v>
      </c>
      <c r="Q2511" s="78">
        <v>0.44</v>
      </c>
      <c r="R2511" s="78">
        <v>0.31740000000000002</v>
      </c>
      <c r="S2511" s="69">
        <v>2.5000000000000001E-2</v>
      </c>
      <c r="T2511" s="69">
        <v>0.01</v>
      </c>
      <c r="U2511" s="518">
        <v>0.7</v>
      </c>
      <c r="V2511" s="76">
        <v>0</v>
      </c>
      <c r="W2511" s="76">
        <v>250.00000000000003</v>
      </c>
      <c r="X2511" s="76"/>
      <c r="Y2511" s="516" t="s">
        <v>470</v>
      </c>
    </row>
    <row r="2512" spans="1:25" x14ac:dyDescent="0.25">
      <c r="A2512" s="75" t="str">
        <f t="shared" si="89"/>
        <v>Exclusiva PF No_Premier Poder Judicial Mercado_Abierto Pago_Fijo_Puntual Si 25</v>
      </c>
      <c r="B2512" s="75" t="str">
        <f t="shared" si="88"/>
        <v>Exclusiva PF No_Premier Poder Judicial Mercado_Abierto Pago_Fijo_Puntual Si 25 0.103</v>
      </c>
      <c r="C2512" s="75" t="s">
        <v>116</v>
      </c>
      <c r="D2512" s="75" t="s">
        <v>132</v>
      </c>
      <c r="E2512" s="75" t="s">
        <v>179</v>
      </c>
      <c r="F2512" s="75" t="s">
        <v>176</v>
      </c>
      <c r="G2512" s="75" t="s">
        <v>396</v>
      </c>
      <c r="H2512" s="75"/>
      <c r="I2512" s="75" t="s">
        <v>171</v>
      </c>
      <c r="J2512" s="76">
        <v>25</v>
      </c>
      <c r="K2512" s="519" t="s">
        <v>387</v>
      </c>
      <c r="L2512" s="520">
        <v>9.65</v>
      </c>
      <c r="M2512" s="520">
        <v>10.31</v>
      </c>
      <c r="N2512" s="507">
        <v>0.10299999999999999</v>
      </c>
      <c r="O2512" s="507">
        <v>0.1</v>
      </c>
      <c r="P2512" s="507">
        <v>0.112</v>
      </c>
      <c r="Q2512" s="78">
        <v>0.44</v>
      </c>
      <c r="R2512" s="78">
        <v>0.31740000000000002</v>
      </c>
      <c r="S2512" s="69">
        <v>2.5000000000000001E-2</v>
      </c>
      <c r="T2512" s="69">
        <v>5.0000000000000001E-3</v>
      </c>
      <c r="U2512" s="507">
        <v>0.9</v>
      </c>
      <c r="V2512" s="76">
        <v>0</v>
      </c>
      <c r="W2512" s="76">
        <v>0</v>
      </c>
      <c r="X2512" s="76" t="s">
        <v>147</v>
      </c>
      <c r="Y2512" s="519" t="s">
        <v>469</v>
      </c>
    </row>
    <row r="2513" spans="1:25" x14ac:dyDescent="0.25">
      <c r="A2513" s="75" t="str">
        <f t="shared" si="89"/>
        <v>Exclusiva PF No_Premier Poder Judicial Mercado_Abierto Pago_Fijo_Puntual 25</v>
      </c>
      <c r="B2513" s="75" t="str">
        <f t="shared" si="88"/>
        <v>Exclusiva PF No_Premier Poder Judicial Mercado_Abierto Pago_Fijo_Puntual 25 0.106</v>
      </c>
      <c r="C2513" s="75" t="s">
        <v>116</v>
      </c>
      <c r="D2513" s="75" t="s">
        <v>132</v>
      </c>
      <c r="E2513" s="75" t="s">
        <v>179</v>
      </c>
      <c r="F2513" s="75" t="s">
        <v>176</v>
      </c>
      <c r="G2513" s="75" t="s">
        <v>396</v>
      </c>
      <c r="H2513" s="75"/>
      <c r="I2513" s="75" t="s">
        <v>171</v>
      </c>
      <c r="J2513" s="76">
        <v>25</v>
      </c>
      <c r="K2513" s="519">
        <v>3</v>
      </c>
      <c r="L2513" s="520">
        <v>9.93</v>
      </c>
      <c r="M2513" s="520">
        <v>10.59</v>
      </c>
      <c r="N2513" s="507">
        <v>0.106</v>
      </c>
      <c r="O2513" s="507">
        <v>0.10299999999999999</v>
      </c>
      <c r="P2513" s="507">
        <v>0.11799999999999999</v>
      </c>
      <c r="Q2513" s="78">
        <v>0.44</v>
      </c>
      <c r="R2513" s="78">
        <v>0.31740000000000002</v>
      </c>
      <c r="S2513" s="69">
        <v>2.5000000000000001E-2</v>
      </c>
      <c r="T2513" s="69">
        <v>5.0000000000000001E-3</v>
      </c>
      <c r="U2513" s="507">
        <v>0.85</v>
      </c>
      <c r="V2513" s="76">
        <v>0</v>
      </c>
      <c r="W2513" s="76">
        <v>0</v>
      </c>
      <c r="X2513" s="76"/>
      <c r="Y2513" s="519" t="s">
        <v>469</v>
      </c>
    </row>
    <row r="2514" spans="1:25" x14ac:dyDescent="0.25">
      <c r="A2514" s="75" t="str">
        <f t="shared" si="89"/>
        <v>Exclusiva PF No_Premier Poder Judicial Mercado_Abierto Pago_Fijo_Puntual Si 20</v>
      </c>
      <c r="B2514" s="75" t="str">
        <f t="shared" si="88"/>
        <v>Exclusiva PF No_Premier Poder Judicial Mercado_Abierto Pago_Fijo_Puntual Si 20 0.103</v>
      </c>
      <c r="C2514" s="75" t="s">
        <v>116</v>
      </c>
      <c r="D2514" s="75" t="s">
        <v>132</v>
      </c>
      <c r="E2514" s="75" t="s">
        <v>179</v>
      </c>
      <c r="F2514" s="75" t="s">
        <v>176</v>
      </c>
      <c r="G2514" s="75" t="s">
        <v>396</v>
      </c>
      <c r="H2514" s="75"/>
      <c r="I2514" s="75" t="s">
        <v>171</v>
      </c>
      <c r="J2514" s="76">
        <v>20</v>
      </c>
      <c r="K2514" s="519" t="s">
        <v>387</v>
      </c>
      <c r="L2514" s="520">
        <v>10.16</v>
      </c>
      <c r="M2514" s="520">
        <v>10.82</v>
      </c>
      <c r="N2514" s="507">
        <v>0.10299999999999999</v>
      </c>
      <c r="O2514" s="507">
        <v>0.1</v>
      </c>
      <c r="P2514" s="507">
        <v>0.112</v>
      </c>
      <c r="Q2514" s="78">
        <v>0.44</v>
      </c>
      <c r="R2514" s="78">
        <v>0.31740000000000002</v>
      </c>
      <c r="S2514" s="69">
        <v>2.5000000000000001E-2</v>
      </c>
      <c r="T2514" s="69">
        <v>5.0000000000000001E-3</v>
      </c>
      <c r="U2514" s="507">
        <v>0.9</v>
      </c>
      <c r="V2514" s="76">
        <v>0</v>
      </c>
      <c r="W2514" s="76">
        <v>0</v>
      </c>
      <c r="X2514" s="76" t="s">
        <v>147</v>
      </c>
      <c r="Y2514" s="519" t="s">
        <v>469</v>
      </c>
    </row>
    <row r="2515" spans="1:25" x14ac:dyDescent="0.25">
      <c r="A2515" s="75" t="str">
        <f t="shared" si="89"/>
        <v>Exclusiva PF No_Premier Poder Judicial Mercado_Abierto Pago_Fijo_Puntual 20</v>
      </c>
      <c r="B2515" s="75" t="str">
        <f t="shared" si="88"/>
        <v>Exclusiva PF No_Premier Poder Judicial Mercado_Abierto Pago_Fijo_Puntual 20 0.106</v>
      </c>
      <c r="C2515" s="75" t="s">
        <v>116</v>
      </c>
      <c r="D2515" s="75" t="s">
        <v>132</v>
      </c>
      <c r="E2515" s="75" t="s">
        <v>179</v>
      </c>
      <c r="F2515" s="75" t="s">
        <v>176</v>
      </c>
      <c r="G2515" s="75" t="s">
        <v>396</v>
      </c>
      <c r="H2515" s="75"/>
      <c r="I2515" s="75" t="s">
        <v>171</v>
      </c>
      <c r="J2515" s="76">
        <v>20</v>
      </c>
      <c r="K2515" s="519">
        <v>3</v>
      </c>
      <c r="L2515" s="520">
        <v>10.41</v>
      </c>
      <c r="M2515" s="520">
        <v>11.07</v>
      </c>
      <c r="N2515" s="507">
        <v>0.106</v>
      </c>
      <c r="O2515" s="507">
        <v>0.10299999999999999</v>
      </c>
      <c r="P2515" s="507">
        <v>0.11799999999999999</v>
      </c>
      <c r="Q2515" s="78">
        <v>0.44</v>
      </c>
      <c r="R2515" s="78">
        <v>0.31740000000000002</v>
      </c>
      <c r="S2515" s="69">
        <v>2.5000000000000001E-2</v>
      </c>
      <c r="T2515" s="69">
        <v>5.0000000000000001E-3</v>
      </c>
      <c r="U2515" s="507">
        <v>0.85</v>
      </c>
      <c r="V2515" s="76">
        <v>0</v>
      </c>
      <c r="W2515" s="76">
        <v>0</v>
      </c>
      <c r="X2515" s="76"/>
      <c r="Y2515" s="519" t="s">
        <v>469</v>
      </c>
    </row>
    <row r="2516" spans="1:25" x14ac:dyDescent="0.25">
      <c r="A2516" s="75" t="str">
        <f t="shared" si="89"/>
        <v>Exclusiva PF No_Premier Poder Judicial Mercado_Abierto Pago_Fijo_Puntual Si 15</v>
      </c>
      <c r="B2516" s="75" t="str">
        <f t="shared" si="88"/>
        <v>Exclusiva PF No_Premier Poder Judicial Mercado_Abierto Pago_Fijo_Puntual Si 15 0.103</v>
      </c>
      <c r="C2516" s="75" t="s">
        <v>116</v>
      </c>
      <c r="D2516" s="75" t="s">
        <v>132</v>
      </c>
      <c r="E2516" s="75" t="s">
        <v>179</v>
      </c>
      <c r="F2516" s="75" t="s">
        <v>176</v>
      </c>
      <c r="G2516" s="75" t="s">
        <v>396</v>
      </c>
      <c r="H2516" s="75"/>
      <c r="I2516" s="75" t="s">
        <v>171</v>
      </c>
      <c r="J2516" s="76">
        <v>15</v>
      </c>
      <c r="K2516" s="519" t="s">
        <v>387</v>
      </c>
      <c r="L2516" s="520">
        <v>11.18</v>
      </c>
      <c r="M2516" s="520">
        <v>11.84</v>
      </c>
      <c r="N2516" s="507">
        <v>0.10299999999999999</v>
      </c>
      <c r="O2516" s="507">
        <v>0.1</v>
      </c>
      <c r="P2516" s="507">
        <v>0.112</v>
      </c>
      <c r="Q2516" s="78">
        <v>0.44</v>
      </c>
      <c r="R2516" s="78">
        <v>0.31740000000000002</v>
      </c>
      <c r="S2516" s="69">
        <v>2.5000000000000001E-2</v>
      </c>
      <c r="T2516" s="69">
        <v>5.0000000000000001E-3</v>
      </c>
      <c r="U2516" s="507">
        <v>0.9</v>
      </c>
      <c r="V2516" s="76">
        <v>0</v>
      </c>
      <c r="W2516" s="76">
        <v>0</v>
      </c>
      <c r="X2516" s="76" t="s">
        <v>147</v>
      </c>
      <c r="Y2516" s="519" t="s">
        <v>469</v>
      </c>
    </row>
    <row r="2517" spans="1:25" x14ac:dyDescent="0.25">
      <c r="A2517" s="75" t="str">
        <f t="shared" si="89"/>
        <v>Exclusiva PF No_Premier Poder Judicial Mercado_Abierto Pago_Fijo_Puntual 15</v>
      </c>
      <c r="B2517" s="75" t="str">
        <f t="shared" si="88"/>
        <v>Exclusiva PF No_Premier Poder Judicial Mercado_Abierto Pago_Fijo_Puntual 15 0.106</v>
      </c>
      <c r="C2517" s="75" t="s">
        <v>116</v>
      </c>
      <c r="D2517" s="75" t="s">
        <v>132</v>
      </c>
      <c r="E2517" s="75" t="s">
        <v>179</v>
      </c>
      <c r="F2517" s="75" t="s">
        <v>176</v>
      </c>
      <c r="G2517" s="75" t="s">
        <v>396</v>
      </c>
      <c r="H2517" s="75"/>
      <c r="I2517" s="75" t="s">
        <v>171</v>
      </c>
      <c r="J2517" s="76">
        <v>15</v>
      </c>
      <c r="K2517" s="519">
        <v>3</v>
      </c>
      <c r="L2517" s="520">
        <v>11.39</v>
      </c>
      <c r="M2517" s="520">
        <v>12.05</v>
      </c>
      <c r="N2517" s="507">
        <v>0.106</v>
      </c>
      <c r="O2517" s="507">
        <v>0.10299999999999999</v>
      </c>
      <c r="P2517" s="507">
        <v>0.11799999999999999</v>
      </c>
      <c r="Q2517" s="78">
        <v>0.44</v>
      </c>
      <c r="R2517" s="78">
        <v>0.31740000000000002</v>
      </c>
      <c r="S2517" s="69">
        <v>2.5000000000000001E-2</v>
      </c>
      <c r="T2517" s="69">
        <v>5.0000000000000001E-3</v>
      </c>
      <c r="U2517" s="507">
        <v>0.85</v>
      </c>
      <c r="V2517" s="76">
        <v>0</v>
      </c>
      <c r="W2517" s="76">
        <v>0</v>
      </c>
      <c r="X2517" s="76"/>
      <c r="Y2517" s="519" t="s">
        <v>469</v>
      </c>
    </row>
    <row r="2518" spans="1:25" x14ac:dyDescent="0.25">
      <c r="A2518" s="75" t="str">
        <f t="shared" si="89"/>
        <v>Exclusiva PF No_Premier Poder Judicial Mercado_Abierto Pago_Fijo_Puntual Si 10</v>
      </c>
      <c r="B2518" s="75" t="str">
        <f t="shared" si="88"/>
        <v>Exclusiva PF No_Premier Poder Judicial Mercado_Abierto Pago_Fijo_Puntual Si 10 0.103</v>
      </c>
      <c r="C2518" s="75" t="s">
        <v>116</v>
      </c>
      <c r="D2518" s="75" t="s">
        <v>132</v>
      </c>
      <c r="E2518" s="75" t="s">
        <v>179</v>
      </c>
      <c r="F2518" s="75" t="s">
        <v>176</v>
      </c>
      <c r="G2518" s="75" t="s">
        <v>396</v>
      </c>
      <c r="H2518" s="75"/>
      <c r="I2518" s="75" t="s">
        <v>171</v>
      </c>
      <c r="J2518" s="76">
        <v>10</v>
      </c>
      <c r="K2518" s="519" t="s">
        <v>387</v>
      </c>
      <c r="L2518" s="520">
        <v>13.54</v>
      </c>
      <c r="M2518" s="520">
        <v>14.2</v>
      </c>
      <c r="N2518" s="507">
        <v>0.10299999999999999</v>
      </c>
      <c r="O2518" s="507">
        <v>0.1</v>
      </c>
      <c r="P2518" s="507">
        <v>0.112</v>
      </c>
      <c r="Q2518" s="78">
        <v>0.44</v>
      </c>
      <c r="R2518" s="78">
        <v>0.31740000000000002</v>
      </c>
      <c r="S2518" s="69">
        <v>2.5000000000000001E-2</v>
      </c>
      <c r="T2518" s="69">
        <v>5.0000000000000001E-3</v>
      </c>
      <c r="U2518" s="507">
        <v>0.9</v>
      </c>
      <c r="V2518" s="76">
        <v>0</v>
      </c>
      <c r="W2518" s="76">
        <v>0</v>
      </c>
      <c r="X2518" s="76" t="s">
        <v>147</v>
      </c>
      <c r="Y2518" s="519" t="s">
        <v>469</v>
      </c>
    </row>
    <row r="2519" spans="1:25" x14ac:dyDescent="0.25">
      <c r="A2519" s="75" t="str">
        <f t="shared" si="89"/>
        <v>Exclusiva PF No_Premier Poder Judicial Mercado_Abierto Pago_Fijo_Puntual 10</v>
      </c>
      <c r="B2519" s="75" t="str">
        <f t="shared" si="88"/>
        <v>Exclusiva PF No_Premier Poder Judicial Mercado_Abierto Pago_Fijo_Puntual 10 0.106</v>
      </c>
      <c r="C2519" s="75" t="s">
        <v>116</v>
      </c>
      <c r="D2519" s="75" t="s">
        <v>132</v>
      </c>
      <c r="E2519" s="75" t="s">
        <v>179</v>
      </c>
      <c r="F2519" s="75" t="s">
        <v>176</v>
      </c>
      <c r="G2519" s="75" t="s">
        <v>396</v>
      </c>
      <c r="H2519" s="75"/>
      <c r="I2519" s="75" t="s">
        <v>171</v>
      </c>
      <c r="J2519" s="76">
        <v>10</v>
      </c>
      <c r="K2519" s="519">
        <v>3</v>
      </c>
      <c r="L2519" s="520">
        <v>13.71</v>
      </c>
      <c r="M2519" s="520">
        <v>14.37</v>
      </c>
      <c r="N2519" s="507">
        <v>0.106</v>
      </c>
      <c r="O2519" s="507">
        <v>0.10299999999999999</v>
      </c>
      <c r="P2519" s="507">
        <v>0.11799999999999999</v>
      </c>
      <c r="Q2519" s="78">
        <v>0.44</v>
      </c>
      <c r="R2519" s="78">
        <v>0.31740000000000002</v>
      </c>
      <c r="S2519" s="69">
        <v>2.5000000000000001E-2</v>
      </c>
      <c r="T2519" s="69">
        <v>5.0000000000000001E-3</v>
      </c>
      <c r="U2519" s="507">
        <v>0.85</v>
      </c>
      <c r="V2519" s="76">
        <v>0</v>
      </c>
      <c r="W2519" s="76">
        <v>0</v>
      </c>
      <c r="X2519" s="76"/>
      <c r="Y2519" s="519" t="s">
        <v>469</v>
      </c>
    </row>
    <row r="2520" spans="1:25" x14ac:dyDescent="0.25">
      <c r="A2520" s="75" t="str">
        <f t="shared" si="89"/>
        <v>Exclusiva PF No_Premier Poder Judicial Mercado_Abierto Pago_Fijo_Puntual Si 5</v>
      </c>
      <c r="B2520" s="75" t="str">
        <f t="shared" si="88"/>
        <v>Exclusiva PF No_Premier Poder Judicial Mercado_Abierto Pago_Fijo_Puntual Si 5 0.103</v>
      </c>
      <c r="C2520" s="75" t="s">
        <v>116</v>
      </c>
      <c r="D2520" s="75" t="s">
        <v>132</v>
      </c>
      <c r="E2520" s="75" t="s">
        <v>179</v>
      </c>
      <c r="F2520" s="75" t="s">
        <v>176</v>
      </c>
      <c r="G2520" s="75" t="s">
        <v>396</v>
      </c>
      <c r="H2520" s="75"/>
      <c r="I2520" s="75" t="s">
        <v>171</v>
      </c>
      <c r="J2520" s="76">
        <v>5</v>
      </c>
      <c r="K2520" s="519" t="s">
        <v>387</v>
      </c>
      <c r="L2520" s="520">
        <v>21.44</v>
      </c>
      <c r="M2520" s="520">
        <v>22.1</v>
      </c>
      <c r="N2520" s="507">
        <v>0.10299999999999999</v>
      </c>
      <c r="O2520" s="507">
        <v>0.1</v>
      </c>
      <c r="P2520" s="507">
        <v>0.112</v>
      </c>
      <c r="Q2520" s="78">
        <v>0.44</v>
      </c>
      <c r="R2520" s="78">
        <v>0.31740000000000002</v>
      </c>
      <c r="S2520" s="69">
        <v>2.5000000000000001E-2</v>
      </c>
      <c r="T2520" s="69">
        <v>5.0000000000000001E-3</v>
      </c>
      <c r="U2520" s="507">
        <v>0.9</v>
      </c>
      <c r="V2520" s="76">
        <v>0</v>
      </c>
      <c r="W2520" s="76">
        <v>0</v>
      </c>
      <c r="X2520" s="76" t="s">
        <v>147</v>
      </c>
      <c r="Y2520" s="519" t="s">
        <v>469</v>
      </c>
    </row>
    <row r="2521" spans="1:25" x14ac:dyDescent="0.25">
      <c r="A2521" s="75" t="str">
        <f t="shared" si="89"/>
        <v>Exclusiva PF No_Premier Poder Judicial Mercado_Abierto Pago_Fijo_Puntual 5</v>
      </c>
      <c r="B2521" s="75" t="str">
        <f t="shared" si="88"/>
        <v>Exclusiva PF No_Premier Poder Judicial Mercado_Abierto Pago_Fijo_Puntual 5 0.106</v>
      </c>
      <c r="C2521" s="75" t="s">
        <v>116</v>
      </c>
      <c r="D2521" s="75" t="s">
        <v>132</v>
      </c>
      <c r="E2521" s="75" t="s">
        <v>179</v>
      </c>
      <c r="F2521" s="75" t="s">
        <v>176</v>
      </c>
      <c r="G2521" s="75" t="s">
        <v>396</v>
      </c>
      <c r="H2521" s="75"/>
      <c r="I2521" s="75" t="s">
        <v>171</v>
      </c>
      <c r="J2521" s="76">
        <v>5</v>
      </c>
      <c r="K2521" s="519">
        <v>3</v>
      </c>
      <c r="L2521" s="520">
        <v>21.59</v>
      </c>
      <c r="M2521" s="520">
        <v>22.25</v>
      </c>
      <c r="N2521" s="507">
        <v>0.106</v>
      </c>
      <c r="O2521" s="507">
        <v>0.10299999999999999</v>
      </c>
      <c r="P2521" s="507">
        <v>0.11799999999999999</v>
      </c>
      <c r="Q2521" s="78">
        <v>0.44</v>
      </c>
      <c r="R2521" s="78">
        <v>0.31740000000000002</v>
      </c>
      <c r="S2521" s="69">
        <v>2.5000000000000001E-2</v>
      </c>
      <c r="T2521" s="69">
        <v>5.0000000000000001E-3</v>
      </c>
      <c r="U2521" s="507">
        <v>0.85</v>
      </c>
      <c r="V2521" s="76">
        <v>0</v>
      </c>
      <c r="W2521" s="76">
        <v>0</v>
      </c>
      <c r="X2521" s="76"/>
      <c r="Y2521" s="519" t="s">
        <v>469</v>
      </c>
    </row>
    <row r="2522" spans="1:25" x14ac:dyDescent="0.25">
      <c r="A2522" s="75" t="str">
        <f t="shared" si="89"/>
        <v>Exclusiva PF No_Premier Poder Judicial Mercado_Abierto Pago_Bajo_Puntual Si 25</v>
      </c>
      <c r="B2522" s="75" t="str">
        <f t="shared" si="88"/>
        <v>Exclusiva PF No_Premier Poder Judicial Mercado_Abierto Pago_Bajo_Puntual Si 25 0.103</v>
      </c>
      <c r="C2522" s="75" t="s">
        <v>116</v>
      </c>
      <c r="D2522" s="75" t="s">
        <v>132</v>
      </c>
      <c r="E2522" s="75" t="s">
        <v>179</v>
      </c>
      <c r="F2522" s="75" t="s">
        <v>176</v>
      </c>
      <c r="G2522" s="75" t="s">
        <v>396</v>
      </c>
      <c r="H2522" s="75"/>
      <c r="I2522" s="75" t="s">
        <v>170</v>
      </c>
      <c r="J2522" s="523">
        <v>25</v>
      </c>
      <c r="K2522" s="519" t="s">
        <v>387</v>
      </c>
      <c r="L2522" s="525">
        <v>8.64</v>
      </c>
      <c r="M2522" s="525">
        <v>9.3000000000000007</v>
      </c>
      <c r="N2522" s="507">
        <v>0.10299999999999999</v>
      </c>
      <c r="O2522" s="507">
        <v>0.1</v>
      </c>
      <c r="P2522" s="507">
        <v>0.112</v>
      </c>
      <c r="Q2522" s="78">
        <v>0.44</v>
      </c>
      <c r="R2522" s="78">
        <v>0.31740000000000002</v>
      </c>
      <c r="S2522" s="69">
        <v>2.5000000000000001E-2</v>
      </c>
      <c r="T2522" s="69">
        <v>5.0000000000000001E-3</v>
      </c>
      <c r="U2522" s="507">
        <v>0.9</v>
      </c>
      <c r="V2522" s="76">
        <v>0</v>
      </c>
      <c r="W2522" s="76">
        <v>0</v>
      </c>
      <c r="X2522" s="76" t="s">
        <v>147</v>
      </c>
      <c r="Y2522" s="519" t="s">
        <v>469</v>
      </c>
    </row>
    <row r="2523" spans="1:25" x14ac:dyDescent="0.25">
      <c r="A2523" s="75" t="str">
        <f t="shared" si="89"/>
        <v>Exclusiva PF No_Premier Poder Judicial Mercado_Abierto Pago_Bajo_Puntual 25</v>
      </c>
      <c r="B2523" s="75" t="str">
        <f t="shared" si="88"/>
        <v>Exclusiva PF No_Premier Poder Judicial Mercado_Abierto Pago_Bajo_Puntual 25 0.106</v>
      </c>
      <c r="C2523" s="75" t="s">
        <v>116</v>
      </c>
      <c r="D2523" s="75" t="s">
        <v>132</v>
      </c>
      <c r="E2523" s="75" t="s">
        <v>179</v>
      </c>
      <c r="F2523" s="75" t="s">
        <v>176</v>
      </c>
      <c r="G2523" s="75" t="s">
        <v>396</v>
      </c>
      <c r="H2523" s="75"/>
      <c r="I2523" s="75" t="s">
        <v>170</v>
      </c>
      <c r="J2523" s="523">
        <v>25</v>
      </c>
      <c r="K2523" s="519">
        <v>3</v>
      </c>
      <c r="L2523" s="525">
        <v>8.89</v>
      </c>
      <c r="M2523" s="525">
        <v>9.5500000000000007</v>
      </c>
      <c r="N2523" s="507">
        <v>0.106</v>
      </c>
      <c r="O2523" s="507">
        <v>0.10299999999999999</v>
      </c>
      <c r="P2523" s="507">
        <v>0.11799999999999999</v>
      </c>
      <c r="Q2523" s="78">
        <v>0.44</v>
      </c>
      <c r="R2523" s="78">
        <v>0.31740000000000002</v>
      </c>
      <c r="S2523" s="69">
        <v>2.5000000000000001E-2</v>
      </c>
      <c r="T2523" s="69">
        <v>5.0000000000000001E-3</v>
      </c>
      <c r="U2523" s="507">
        <v>0.85</v>
      </c>
      <c r="V2523" s="76">
        <v>0</v>
      </c>
      <c r="W2523" s="76">
        <v>0</v>
      </c>
      <c r="X2523" s="76"/>
      <c r="Y2523" s="519" t="s">
        <v>469</v>
      </c>
    </row>
    <row r="2524" spans="1:25" x14ac:dyDescent="0.25">
      <c r="A2524" s="75" t="str">
        <f t="shared" si="89"/>
        <v>Exclusiva PF No_Premier Poder Judicial Mercado_Abierto Pago_Bajo_Puntual Si 20</v>
      </c>
      <c r="B2524" s="75" t="str">
        <f t="shared" si="88"/>
        <v>Exclusiva PF No_Premier Poder Judicial Mercado_Abierto Pago_Bajo_Puntual Si 20 0.103</v>
      </c>
      <c r="C2524" s="75" t="s">
        <v>116</v>
      </c>
      <c r="D2524" s="75" t="s">
        <v>132</v>
      </c>
      <c r="E2524" s="75" t="s">
        <v>179</v>
      </c>
      <c r="F2524" s="75" t="s">
        <v>176</v>
      </c>
      <c r="G2524" s="75" t="s">
        <v>396</v>
      </c>
      <c r="H2524" s="75"/>
      <c r="I2524" s="75" t="s">
        <v>170</v>
      </c>
      <c r="J2524" s="76">
        <v>20</v>
      </c>
      <c r="K2524" s="519" t="s">
        <v>387</v>
      </c>
      <c r="L2524" s="520">
        <v>9</v>
      </c>
      <c r="M2524" s="520">
        <v>9.66</v>
      </c>
      <c r="N2524" s="507">
        <v>0.10299999999999999</v>
      </c>
      <c r="O2524" s="507">
        <v>0.1</v>
      </c>
      <c r="P2524" s="507">
        <v>0.112</v>
      </c>
      <c r="Q2524" s="78">
        <v>0.44</v>
      </c>
      <c r="R2524" s="78">
        <v>0.31740000000000002</v>
      </c>
      <c r="S2524" s="69">
        <v>2.5000000000000001E-2</v>
      </c>
      <c r="T2524" s="69">
        <v>5.0000000000000001E-3</v>
      </c>
      <c r="U2524" s="507">
        <v>0.9</v>
      </c>
      <c r="V2524" s="76">
        <v>0</v>
      </c>
      <c r="W2524" s="76">
        <v>0</v>
      </c>
      <c r="X2524" s="76" t="s">
        <v>147</v>
      </c>
      <c r="Y2524" s="519" t="s">
        <v>469</v>
      </c>
    </row>
    <row r="2525" spans="1:25" x14ac:dyDescent="0.25">
      <c r="A2525" s="75" t="str">
        <f t="shared" si="89"/>
        <v>Exclusiva PF No_Premier Poder Judicial Mercado_Abierto Pago_Bajo_Puntual 20</v>
      </c>
      <c r="B2525" s="75" t="str">
        <f t="shared" si="88"/>
        <v>Exclusiva PF No_Premier Poder Judicial Mercado_Abierto Pago_Bajo_Puntual 20 0.106</v>
      </c>
      <c r="C2525" s="75" t="s">
        <v>116</v>
      </c>
      <c r="D2525" s="75" t="s">
        <v>132</v>
      </c>
      <c r="E2525" s="75" t="s">
        <v>179</v>
      </c>
      <c r="F2525" s="75" t="s">
        <v>176</v>
      </c>
      <c r="G2525" s="75" t="s">
        <v>396</v>
      </c>
      <c r="H2525" s="75"/>
      <c r="I2525" s="75" t="s">
        <v>170</v>
      </c>
      <c r="J2525" s="76">
        <v>20</v>
      </c>
      <c r="K2525" s="519">
        <v>3</v>
      </c>
      <c r="L2525" s="520">
        <v>9.24</v>
      </c>
      <c r="M2525" s="520">
        <v>9.9</v>
      </c>
      <c r="N2525" s="507">
        <v>0.106</v>
      </c>
      <c r="O2525" s="507">
        <v>0.10299999999999999</v>
      </c>
      <c r="P2525" s="507">
        <v>0.11799999999999999</v>
      </c>
      <c r="Q2525" s="78">
        <v>0.44</v>
      </c>
      <c r="R2525" s="78">
        <v>0.31740000000000002</v>
      </c>
      <c r="S2525" s="69">
        <v>2.5000000000000001E-2</v>
      </c>
      <c r="T2525" s="69">
        <v>5.0000000000000001E-3</v>
      </c>
      <c r="U2525" s="507">
        <v>0.85</v>
      </c>
      <c r="V2525" s="76">
        <v>0</v>
      </c>
      <c r="W2525" s="76">
        <v>0</v>
      </c>
      <c r="X2525" s="76"/>
      <c r="Y2525" s="519" t="s">
        <v>469</v>
      </c>
    </row>
    <row r="2526" spans="1:25" x14ac:dyDescent="0.25">
      <c r="A2526" s="75" t="str">
        <f t="shared" si="89"/>
        <v>Exclusiva PF No_Premier Poder Judicial Mercado_Abierto Pago_Bajo_Puntual Si 15</v>
      </c>
      <c r="B2526" s="75" t="str">
        <f t="shared" si="88"/>
        <v>Exclusiva PF No_Premier Poder Judicial Mercado_Abierto Pago_Bajo_Puntual Si 15 0.103</v>
      </c>
      <c r="C2526" s="75" t="s">
        <v>116</v>
      </c>
      <c r="D2526" s="75" t="s">
        <v>132</v>
      </c>
      <c r="E2526" s="75" t="s">
        <v>179</v>
      </c>
      <c r="F2526" s="75" t="s">
        <v>176</v>
      </c>
      <c r="G2526" s="75" t="s">
        <v>396</v>
      </c>
      <c r="H2526" s="75"/>
      <c r="I2526" s="75" t="s">
        <v>170</v>
      </c>
      <c r="J2526" s="76">
        <v>15</v>
      </c>
      <c r="K2526" s="519" t="s">
        <v>387</v>
      </c>
      <c r="L2526" s="520">
        <v>10.119999999999999</v>
      </c>
      <c r="M2526" s="520">
        <v>10.78</v>
      </c>
      <c r="N2526" s="507">
        <v>0.10299999999999999</v>
      </c>
      <c r="O2526" s="507">
        <v>0.1</v>
      </c>
      <c r="P2526" s="507">
        <v>0.112</v>
      </c>
      <c r="Q2526" s="78">
        <v>0.44</v>
      </c>
      <c r="R2526" s="78">
        <v>0.31740000000000002</v>
      </c>
      <c r="S2526" s="69">
        <v>2.5000000000000001E-2</v>
      </c>
      <c r="T2526" s="69">
        <v>5.0000000000000001E-3</v>
      </c>
      <c r="U2526" s="507">
        <v>0.9</v>
      </c>
      <c r="V2526" s="76">
        <v>0</v>
      </c>
      <c r="W2526" s="76">
        <v>0</v>
      </c>
      <c r="X2526" s="76" t="s">
        <v>147</v>
      </c>
      <c r="Y2526" s="519" t="s">
        <v>469</v>
      </c>
    </row>
    <row r="2527" spans="1:25" x14ac:dyDescent="0.25">
      <c r="A2527" s="75" t="str">
        <f t="shared" si="89"/>
        <v>Exclusiva PF No_Premier Poder Judicial Mercado_Abierto Pago_Bajo_Puntual 15</v>
      </c>
      <c r="B2527" s="75" t="str">
        <f t="shared" si="88"/>
        <v>Exclusiva PF No_Premier Poder Judicial Mercado_Abierto Pago_Bajo_Puntual 15 0.106</v>
      </c>
      <c r="C2527" s="75" t="s">
        <v>116</v>
      </c>
      <c r="D2527" s="75" t="s">
        <v>132</v>
      </c>
      <c r="E2527" s="75" t="s">
        <v>179</v>
      </c>
      <c r="F2527" s="75" t="s">
        <v>176</v>
      </c>
      <c r="G2527" s="75" t="s">
        <v>396</v>
      </c>
      <c r="H2527" s="75"/>
      <c r="I2527" s="75" t="s">
        <v>170</v>
      </c>
      <c r="J2527" s="76">
        <v>15</v>
      </c>
      <c r="K2527" s="519">
        <v>3</v>
      </c>
      <c r="L2527" s="520">
        <v>10.33</v>
      </c>
      <c r="M2527" s="520">
        <v>10.99</v>
      </c>
      <c r="N2527" s="507">
        <v>0.106</v>
      </c>
      <c r="O2527" s="507">
        <v>0.10299999999999999</v>
      </c>
      <c r="P2527" s="507">
        <v>0.11799999999999999</v>
      </c>
      <c r="Q2527" s="78">
        <v>0.44</v>
      </c>
      <c r="R2527" s="78">
        <v>0.31740000000000002</v>
      </c>
      <c r="S2527" s="69">
        <v>2.5000000000000001E-2</v>
      </c>
      <c r="T2527" s="69">
        <v>5.0000000000000001E-3</v>
      </c>
      <c r="U2527" s="507">
        <v>0.85</v>
      </c>
      <c r="V2527" s="76">
        <v>0</v>
      </c>
      <c r="W2527" s="76">
        <v>0</v>
      </c>
      <c r="X2527" s="76"/>
      <c r="Y2527" s="519" t="s">
        <v>469</v>
      </c>
    </row>
    <row r="2528" spans="1:25" x14ac:dyDescent="0.25">
      <c r="A2528" s="75" t="str">
        <f t="shared" si="89"/>
        <v>Exclusiva PF No_Premier Poder Judicial Mercado_Abierto Pago_Bajo_Puntual Si 10</v>
      </c>
      <c r="B2528" s="75" t="str">
        <f t="shared" si="88"/>
        <v>Exclusiva PF No_Premier Poder Judicial Mercado_Abierto Pago_Bajo_Puntual Si 10 0.103</v>
      </c>
      <c r="C2528" s="75" t="s">
        <v>116</v>
      </c>
      <c r="D2528" s="75" t="s">
        <v>132</v>
      </c>
      <c r="E2528" s="75" t="s">
        <v>179</v>
      </c>
      <c r="F2528" s="75" t="s">
        <v>176</v>
      </c>
      <c r="G2528" s="75" t="s">
        <v>396</v>
      </c>
      <c r="H2528" s="75"/>
      <c r="I2528" s="75" t="s">
        <v>170</v>
      </c>
      <c r="J2528" s="76">
        <v>10</v>
      </c>
      <c r="K2528" s="519" t="s">
        <v>387</v>
      </c>
      <c r="L2528" s="520">
        <v>12.62</v>
      </c>
      <c r="M2528" s="520">
        <v>13.28</v>
      </c>
      <c r="N2528" s="507">
        <v>0.10299999999999999</v>
      </c>
      <c r="O2528" s="507">
        <v>0.1</v>
      </c>
      <c r="P2528" s="507">
        <v>0.112</v>
      </c>
      <c r="Q2528" s="78">
        <v>0.44</v>
      </c>
      <c r="R2528" s="78">
        <v>0.31740000000000002</v>
      </c>
      <c r="S2528" s="69">
        <v>2.5000000000000001E-2</v>
      </c>
      <c r="T2528" s="69">
        <v>5.0000000000000001E-3</v>
      </c>
      <c r="U2528" s="507">
        <v>0.9</v>
      </c>
      <c r="V2528" s="76">
        <v>0</v>
      </c>
      <c r="W2528" s="76">
        <v>0</v>
      </c>
      <c r="X2528" s="76" t="s">
        <v>147</v>
      </c>
      <c r="Y2528" s="519" t="s">
        <v>469</v>
      </c>
    </row>
    <row r="2529" spans="1:25" x14ac:dyDescent="0.25">
      <c r="A2529" s="75" t="str">
        <f t="shared" si="89"/>
        <v>Exclusiva PF No_Premier Poder Judicial Mercado_Abierto Pago_Bajo_Puntual 10</v>
      </c>
      <c r="B2529" s="75" t="str">
        <f t="shared" si="88"/>
        <v>Exclusiva PF No_Premier Poder Judicial Mercado_Abierto Pago_Bajo_Puntual 10 0.106</v>
      </c>
      <c r="C2529" s="75" t="s">
        <v>116</v>
      </c>
      <c r="D2529" s="75" t="s">
        <v>132</v>
      </c>
      <c r="E2529" s="75" t="s">
        <v>179</v>
      </c>
      <c r="F2529" s="75" t="s">
        <v>176</v>
      </c>
      <c r="G2529" s="75" t="s">
        <v>396</v>
      </c>
      <c r="H2529" s="75"/>
      <c r="I2529" s="75" t="s">
        <v>170</v>
      </c>
      <c r="J2529" s="76">
        <v>10</v>
      </c>
      <c r="K2529" s="519">
        <v>3</v>
      </c>
      <c r="L2529" s="520">
        <v>12.78</v>
      </c>
      <c r="M2529" s="520">
        <v>13.44</v>
      </c>
      <c r="N2529" s="507">
        <v>0.106</v>
      </c>
      <c r="O2529" s="507">
        <v>0.10299999999999999</v>
      </c>
      <c r="P2529" s="507">
        <v>0.11799999999999999</v>
      </c>
      <c r="Q2529" s="78">
        <v>0.44</v>
      </c>
      <c r="R2529" s="78">
        <v>0.31740000000000002</v>
      </c>
      <c r="S2529" s="69">
        <v>2.5000000000000001E-2</v>
      </c>
      <c r="T2529" s="69">
        <v>5.0000000000000001E-3</v>
      </c>
      <c r="U2529" s="507">
        <v>0.85</v>
      </c>
      <c r="V2529" s="76">
        <v>0</v>
      </c>
      <c r="W2529" s="76">
        <v>0</v>
      </c>
      <c r="X2529" s="76"/>
      <c r="Y2529" s="519" t="s">
        <v>469</v>
      </c>
    </row>
    <row r="2530" spans="1:25" x14ac:dyDescent="0.25">
      <c r="A2530" s="75" t="str">
        <f t="shared" si="89"/>
        <v>Exclusiva PF No_Premier Poder Judicial Mercado_Abierto Pago_Bajo_Puntual Si 5</v>
      </c>
      <c r="B2530" s="75" t="str">
        <f t="shared" si="88"/>
        <v>Exclusiva PF No_Premier Poder Judicial Mercado_Abierto Pago_Bajo_Puntual Si 5 0.103</v>
      </c>
      <c r="C2530" s="75" t="s">
        <v>116</v>
      </c>
      <c r="D2530" s="75" t="s">
        <v>132</v>
      </c>
      <c r="E2530" s="75" t="s">
        <v>179</v>
      </c>
      <c r="F2530" s="75" t="s">
        <v>176</v>
      </c>
      <c r="G2530" s="75" t="s">
        <v>396</v>
      </c>
      <c r="H2530" s="75"/>
      <c r="I2530" s="75" t="s">
        <v>170</v>
      </c>
      <c r="J2530" s="76">
        <v>5</v>
      </c>
      <c r="K2530" s="519" t="s">
        <v>387</v>
      </c>
      <c r="L2530" s="520">
        <v>20.72</v>
      </c>
      <c r="M2530" s="520">
        <v>21.38</v>
      </c>
      <c r="N2530" s="507">
        <v>0.10299999999999999</v>
      </c>
      <c r="O2530" s="507">
        <v>0.1</v>
      </c>
      <c r="P2530" s="507">
        <v>0.112</v>
      </c>
      <c r="Q2530" s="78">
        <v>0.44</v>
      </c>
      <c r="R2530" s="78">
        <v>0.31740000000000002</v>
      </c>
      <c r="S2530" s="69">
        <v>2.5000000000000001E-2</v>
      </c>
      <c r="T2530" s="69">
        <v>5.0000000000000001E-3</v>
      </c>
      <c r="U2530" s="507">
        <v>0.9</v>
      </c>
      <c r="V2530" s="76">
        <v>0</v>
      </c>
      <c r="W2530" s="76">
        <v>0</v>
      </c>
      <c r="X2530" s="76" t="s">
        <v>147</v>
      </c>
      <c r="Y2530" s="519" t="s">
        <v>469</v>
      </c>
    </row>
    <row r="2531" spans="1:25" x14ac:dyDescent="0.25">
      <c r="A2531" s="75" t="str">
        <f t="shared" si="89"/>
        <v>Exclusiva PF No_Premier Poder Judicial Mercado_Abierto Pago_Bajo_Puntual 5</v>
      </c>
      <c r="B2531" s="75" t="str">
        <f t="shared" si="88"/>
        <v>Exclusiva PF No_Premier Poder Judicial Mercado_Abierto Pago_Bajo_Puntual 5 0.106</v>
      </c>
      <c r="C2531" s="75" t="s">
        <v>116</v>
      </c>
      <c r="D2531" s="75" t="s">
        <v>132</v>
      </c>
      <c r="E2531" s="75" t="s">
        <v>179</v>
      </c>
      <c r="F2531" s="75" t="s">
        <v>176</v>
      </c>
      <c r="G2531" s="75" t="s">
        <v>396</v>
      </c>
      <c r="H2531" s="75"/>
      <c r="I2531" s="75" t="s">
        <v>170</v>
      </c>
      <c r="J2531" s="76">
        <v>5</v>
      </c>
      <c r="K2531" s="519">
        <v>3</v>
      </c>
      <c r="L2531" s="520">
        <v>20.86</v>
      </c>
      <c r="M2531" s="520">
        <v>21.52</v>
      </c>
      <c r="N2531" s="507">
        <v>0.106</v>
      </c>
      <c r="O2531" s="507">
        <v>0.10299999999999999</v>
      </c>
      <c r="P2531" s="507">
        <v>0.11799999999999999</v>
      </c>
      <c r="Q2531" s="78">
        <v>0.44</v>
      </c>
      <c r="R2531" s="78">
        <v>0.31740000000000002</v>
      </c>
      <c r="S2531" s="69">
        <v>2.5000000000000001E-2</v>
      </c>
      <c r="T2531" s="69">
        <v>5.0000000000000001E-3</v>
      </c>
      <c r="U2531" s="507">
        <v>0.85</v>
      </c>
      <c r="V2531" s="76">
        <v>0</v>
      </c>
      <c r="W2531" s="76">
        <v>0</v>
      </c>
      <c r="X2531" s="76"/>
      <c r="Y2531" s="519" t="s">
        <v>469</v>
      </c>
    </row>
    <row r="2532" spans="1:25" x14ac:dyDescent="0.25">
      <c r="A2532" s="75" t="str">
        <f t="shared" si="89"/>
        <v>Exclusiva PF No_Premier Poder Judicial Mercado_Abierto Pago_Fijo_Puntual 25</v>
      </c>
      <c r="B2532" s="75" t="str">
        <f t="shared" si="88"/>
        <v>Exclusiva PF No_Premier Poder Judicial Mercado_Abierto Pago_Fijo_Puntual 25 0.0965</v>
      </c>
      <c r="C2532" s="75" t="s">
        <v>116</v>
      </c>
      <c r="D2532" s="75" t="s">
        <v>132</v>
      </c>
      <c r="E2532" s="75" t="s">
        <v>179</v>
      </c>
      <c r="F2532" s="75" t="s">
        <v>176</v>
      </c>
      <c r="G2532" s="75" t="s">
        <v>396</v>
      </c>
      <c r="H2532" s="75"/>
      <c r="I2532" s="75" t="s">
        <v>171</v>
      </c>
      <c r="J2532" s="76">
        <v>25</v>
      </c>
      <c r="K2532" s="516" t="s">
        <v>385</v>
      </c>
      <c r="L2532" s="517">
        <v>9.11</v>
      </c>
      <c r="M2532" s="517">
        <v>9.77</v>
      </c>
      <c r="N2532" s="518">
        <v>9.6500000000000002E-2</v>
      </c>
      <c r="O2532" s="518">
        <v>9.1999999999999998E-2</v>
      </c>
      <c r="P2532" s="518">
        <v>0.10249999999999999</v>
      </c>
      <c r="Q2532" s="78">
        <v>0.44</v>
      </c>
      <c r="R2532" s="78">
        <v>0.31740000000000002</v>
      </c>
      <c r="S2532" s="69">
        <v>2.5000000000000001E-2</v>
      </c>
      <c r="T2532" s="69">
        <v>5.0000000000000001E-3</v>
      </c>
      <c r="U2532" s="518">
        <v>0.7</v>
      </c>
      <c r="V2532" s="76">
        <v>0</v>
      </c>
      <c r="W2532" s="76">
        <v>0</v>
      </c>
      <c r="X2532" s="76"/>
      <c r="Y2532" s="516" t="s">
        <v>470</v>
      </c>
    </row>
    <row r="2533" spans="1:25" x14ac:dyDescent="0.25">
      <c r="A2533" s="75" t="str">
        <f t="shared" si="89"/>
        <v>Exclusiva PF No_Premier Poder Judicial Mercado_Abierto Pago_Fijo_Puntual 25</v>
      </c>
      <c r="B2533" s="75" t="str">
        <f t="shared" si="88"/>
        <v>Exclusiva PF No_Premier Poder Judicial Mercado_Abierto Pago_Fijo_Puntual 25 0.103</v>
      </c>
      <c r="C2533" s="75" t="s">
        <v>116</v>
      </c>
      <c r="D2533" s="75" t="s">
        <v>132</v>
      </c>
      <c r="E2533" s="75" t="s">
        <v>179</v>
      </c>
      <c r="F2533" s="75" t="s">
        <v>176</v>
      </c>
      <c r="G2533" s="75" t="s">
        <v>396</v>
      </c>
      <c r="H2533" s="75"/>
      <c r="I2533" s="75" t="s">
        <v>171</v>
      </c>
      <c r="J2533" s="76">
        <v>25</v>
      </c>
      <c r="K2533" s="516" t="s">
        <v>386</v>
      </c>
      <c r="L2533" s="517">
        <v>9.65</v>
      </c>
      <c r="M2533" s="517">
        <v>10.31</v>
      </c>
      <c r="N2533" s="518">
        <v>0.10299999999999999</v>
      </c>
      <c r="O2533" s="518">
        <v>0.1</v>
      </c>
      <c r="P2533" s="518">
        <v>0.112</v>
      </c>
      <c r="Q2533" s="78">
        <v>0.44</v>
      </c>
      <c r="R2533" s="78">
        <v>0.31740000000000002</v>
      </c>
      <c r="S2533" s="69">
        <v>2.5000000000000001E-2</v>
      </c>
      <c r="T2533" s="69">
        <v>5.0000000000000001E-3</v>
      </c>
      <c r="U2533" s="518">
        <v>0.7</v>
      </c>
      <c r="V2533" s="76">
        <v>0</v>
      </c>
      <c r="W2533" s="76">
        <v>0</v>
      </c>
      <c r="X2533" s="76"/>
      <c r="Y2533" s="516" t="s">
        <v>470</v>
      </c>
    </row>
    <row r="2534" spans="1:25" x14ac:dyDescent="0.25">
      <c r="A2534" s="75" t="str">
        <f t="shared" si="89"/>
        <v>Exclusiva PF No_Premier Poder Judicial Mercado_Abierto Pago_Fijo_Puntual 20</v>
      </c>
      <c r="B2534" s="75" t="str">
        <f t="shared" si="88"/>
        <v>Exclusiva PF No_Premier Poder Judicial Mercado_Abierto Pago_Fijo_Puntual 20 0.0965</v>
      </c>
      <c r="C2534" s="75" t="s">
        <v>116</v>
      </c>
      <c r="D2534" s="75" t="s">
        <v>132</v>
      </c>
      <c r="E2534" s="75" t="s">
        <v>179</v>
      </c>
      <c r="F2534" s="75" t="s">
        <v>176</v>
      </c>
      <c r="G2534" s="75" t="s">
        <v>396</v>
      </c>
      <c r="H2534" s="75"/>
      <c r="I2534" s="75" t="s">
        <v>171</v>
      </c>
      <c r="J2534" s="76">
        <v>20</v>
      </c>
      <c r="K2534" s="516" t="s">
        <v>385</v>
      </c>
      <c r="L2534" s="517">
        <v>9.66</v>
      </c>
      <c r="M2534" s="517">
        <v>10.32</v>
      </c>
      <c r="N2534" s="518">
        <v>9.6500000000000002E-2</v>
      </c>
      <c r="O2534" s="518">
        <v>9.1999999999999998E-2</v>
      </c>
      <c r="P2534" s="518">
        <v>0.10249999999999999</v>
      </c>
      <c r="Q2534" s="78">
        <v>0.44</v>
      </c>
      <c r="R2534" s="78">
        <v>0.31740000000000002</v>
      </c>
      <c r="S2534" s="69">
        <v>2.5000000000000001E-2</v>
      </c>
      <c r="T2534" s="69">
        <v>5.0000000000000001E-3</v>
      </c>
      <c r="U2534" s="518">
        <v>0.7</v>
      </c>
      <c r="V2534" s="76">
        <v>0</v>
      </c>
      <c r="W2534" s="76">
        <v>0</v>
      </c>
      <c r="X2534" s="76"/>
      <c r="Y2534" s="516" t="s">
        <v>470</v>
      </c>
    </row>
    <row r="2535" spans="1:25" x14ac:dyDescent="0.25">
      <c r="A2535" s="75" t="str">
        <f t="shared" si="89"/>
        <v>Exclusiva PF No_Premier Poder Judicial Mercado_Abierto Pago_Fijo_Puntual 20</v>
      </c>
      <c r="B2535" s="75" t="str">
        <f t="shared" si="88"/>
        <v>Exclusiva PF No_Premier Poder Judicial Mercado_Abierto Pago_Fijo_Puntual 20 0.103</v>
      </c>
      <c r="C2535" s="75" t="s">
        <v>116</v>
      </c>
      <c r="D2535" s="75" t="s">
        <v>132</v>
      </c>
      <c r="E2535" s="75" t="s">
        <v>179</v>
      </c>
      <c r="F2535" s="75" t="s">
        <v>176</v>
      </c>
      <c r="G2535" s="75" t="s">
        <v>396</v>
      </c>
      <c r="H2535" s="75"/>
      <c r="I2535" s="75" t="s">
        <v>171</v>
      </c>
      <c r="J2535" s="76">
        <v>20</v>
      </c>
      <c r="K2535" s="516" t="s">
        <v>386</v>
      </c>
      <c r="L2535" s="517">
        <v>10.16</v>
      </c>
      <c r="M2535" s="517">
        <v>10.82</v>
      </c>
      <c r="N2535" s="518">
        <v>0.10299999999999999</v>
      </c>
      <c r="O2535" s="518">
        <v>0.1</v>
      </c>
      <c r="P2535" s="518">
        <v>0.112</v>
      </c>
      <c r="Q2535" s="78">
        <v>0.44</v>
      </c>
      <c r="R2535" s="78">
        <v>0.31740000000000002</v>
      </c>
      <c r="S2535" s="69">
        <v>2.5000000000000001E-2</v>
      </c>
      <c r="T2535" s="69">
        <v>5.0000000000000001E-3</v>
      </c>
      <c r="U2535" s="518">
        <v>0.7</v>
      </c>
      <c r="V2535" s="76">
        <v>0</v>
      </c>
      <c r="W2535" s="76">
        <v>0</v>
      </c>
      <c r="X2535" s="76"/>
      <c r="Y2535" s="516" t="s">
        <v>470</v>
      </c>
    </row>
    <row r="2536" spans="1:25" x14ac:dyDescent="0.25">
      <c r="A2536" s="75" t="str">
        <f t="shared" si="89"/>
        <v>Exclusiva PF No_Premier Poder Judicial Mercado_Abierto Pago_Fijo_Puntual 15</v>
      </c>
      <c r="B2536" s="75" t="str">
        <f t="shared" si="88"/>
        <v>Exclusiva PF No_Premier Poder Judicial Mercado_Abierto Pago_Fijo_Puntual 15 0.0965</v>
      </c>
      <c r="C2536" s="75" t="s">
        <v>116</v>
      </c>
      <c r="D2536" s="75" t="s">
        <v>132</v>
      </c>
      <c r="E2536" s="75" t="s">
        <v>179</v>
      </c>
      <c r="F2536" s="75" t="s">
        <v>176</v>
      </c>
      <c r="G2536" s="75" t="s">
        <v>396</v>
      </c>
      <c r="H2536" s="75"/>
      <c r="I2536" s="75" t="s">
        <v>171</v>
      </c>
      <c r="J2536" s="76">
        <v>15</v>
      </c>
      <c r="K2536" s="516" t="s">
        <v>385</v>
      </c>
      <c r="L2536" s="517">
        <v>10.73</v>
      </c>
      <c r="M2536" s="517">
        <v>11.39</v>
      </c>
      <c r="N2536" s="518">
        <v>9.6500000000000002E-2</v>
      </c>
      <c r="O2536" s="518">
        <v>9.1999999999999998E-2</v>
      </c>
      <c r="P2536" s="518">
        <v>0.10249999999999999</v>
      </c>
      <c r="Q2536" s="78">
        <v>0.44</v>
      </c>
      <c r="R2536" s="78">
        <v>0.31740000000000002</v>
      </c>
      <c r="S2536" s="69">
        <v>2.5000000000000001E-2</v>
      </c>
      <c r="T2536" s="69">
        <v>5.0000000000000001E-3</v>
      </c>
      <c r="U2536" s="518">
        <v>0.7</v>
      </c>
      <c r="V2536" s="76">
        <v>0</v>
      </c>
      <c r="W2536" s="76">
        <v>0</v>
      </c>
      <c r="X2536" s="76"/>
      <c r="Y2536" s="516" t="s">
        <v>470</v>
      </c>
    </row>
    <row r="2537" spans="1:25" x14ac:dyDescent="0.25">
      <c r="A2537" s="75" t="str">
        <f t="shared" si="89"/>
        <v>Exclusiva PF No_Premier Poder Judicial Mercado_Abierto Pago_Fijo_Puntual 15</v>
      </c>
      <c r="B2537" s="75" t="str">
        <f t="shared" si="88"/>
        <v>Exclusiva PF No_Premier Poder Judicial Mercado_Abierto Pago_Fijo_Puntual 15 0.103</v>
      </c>
      <c r="C2537" s="75" t="s">
        <v>116</v>
      </c>
      <c r="D2537" s="75" t="s">
        <v>132</v>
      </c>
      <c r="E2537" s="75" t="s">
        <v>179</v>
      </c>
      <c r="F2537" s="75" t="s">
        <v>176</v>
      </c>
      <c r="G2537" s="75" t="s">
        <v>396</v>
      </c>
      <c r="H2537" s="75"/>
      <c r="I2537" s="75" t="s">
        <v>171</v>
      </c>
      <c r="J2537" s="76">
        <v>15</v>
      </c>
      <c r="K2537" s="516" t="s">
        <v>386</v>
      </c>
      <c r="L2537" s="517">
        <v>11.18</v>
      </c>
      <c r="M2537" s="517">
        <v>11.84</v>
      </c>
      <c r="N2537" s="518">
        <v>0.10299999999999999</v>
      </c>
      <c r="O2537" s="518">
        <v>0.1</v>
      </c>
      <c r="P2537" s="518">
        <v>0.112</v>
      </c>
      <c r="Q2537" s="78">
        <v>0.44</v>
      </c>
      <c r="R2537" s="78">
        <v>0.31740000000000002</v>
      </c>
      <c r="S2537" s="69">
        <v>2.5000000000000001E-2</v>
      </c>
      <c r="T2537" s="69">
        <v>5.0000000000000001E-3</v>
      </c>
      <c r="U2537" s="518">
        <v>0.7</v>
      </c>
      <c r="V2537" s="76">
        <v>0</v>
      </c>
      <c r="W2537" s="76">
        <v>0</v>
      </c>
      <c r="X2537" s="76"/>
      <c r="Y2537" s="516" t="s">
        <v>470</v>
      </c>
    </row>
    <row r="2538" spans="1:25" x14ac:dyDescent="0.25">
      <c r="A2538" s="75" t="str">
        <f t="shared" si="89"/>
        <v>Exclusiva PF No_Premier Poder Judicial Mercado_Abierto Pago_Fijo_Puntual 10</v>
      </c>
      <c r="B2538" s="75" t="str">
        <f t="shared" si="88"/>
        <v>Exclusiva PF No_Premier Poder Judicial Mercado_Abierto Pago_Fijo_Puntual 10 0.0965</v>
      </c>
      <c r="C2538" s="75" t="s">
        <v>116</v>
      </c>
      <c r="D2538" s="75" t="s">
        <v>132</v>
      </c>
      <c r="E2538" s="75" t="s">
        <v>179</v>
      </c>
      <c r="F2538" s="75" t="s">
        <v>176</v>
      </c>
      <c r="G2538" s="75" t="s">
        <v>396</v>
      </c>
      <c r="H2538" s="75"/>
      <c r="I2538" s="75" t="s">
        <v>171</v>
      </c>
      <c r="J2538" s="76">
        <v>10</v>
      </c>
      <c r="K2538" s="516" t="s">
        <v>385</v>
      </c>
      <c r="L2538" s="517">
        <v>13.16</v>
      </c>
      <c r="M2538" s="517">
        <v>13.82</v>
      </c>
      <c r="N2538" s="518">
        <v>9.6500000000000002E-2</v>
      </c>
      <c r="O2538" s="518">
        <v>9.1999999999999998E-2</v>
      </c>
      <c r="P2538" s="518">
        <v>0.10249999999999999</v>
      </c>
      <c r="Q2538" s="78">
        <v>0.44</v>
      </c>
      <c r="R2538" s="78">
        <v>0.31740000000000002</v>
      </c>
      <c r="S2538" s="69">
        <v>2.5000000000000001E-2</v>
      </c>
      <c r="T2538" s="69">
        <v>5.0000000000000001E-3</v>
      </c>
      <c r="U2538" s="518">
        <v>0.7</v>
      </c>
      <c r="V2538" s="76">
        <v>0</v>
      </c>
      <c r="W2538" s="76">
        <v>0</v>
      </c>
      <c r="X2538" s="76"/>
      <c r="Y2538" s="516" t="s">
        <v>470</v>
      </c>
    </row>
    <row r="2539" spans="1:25" x14ac:dyDescent="0.25">
      <c r="A2539" s="75" t="str">
        <f t="shared" si="89"/>
        <v>Exclusiva PF No_Premier Poder Judicial Mercado_Abierto Pago_Fijo_Puntual 10</v>
      </c>
      <c r="B2539" s="75" t="str">
        <f t="shared" si="88"/>
        <v>Exclusiva PF No_Premier Poder Judicial Mercado_Abierto Pago_Fijo_Puntual 10 0.103</v>
      </c>
      <c r="C2539" s="75" t="s">
        <v>116</v>
      </c>
      <c r="D2539" s="75" t="s">
        <v>132</v>
      </c>
      <c r="E2539" s="75" t="s">
        <v>179</v>
      </c>
      <c r="F2539" s="75" t="s">
        <v>176</v>
      </c>
      <c r="G2539" s="75" t="s">
        <v>396</v>
      </c>
      <c r="H2539" s="75"/>
      <c r="I2539" s="75" t="s">
        <v>171</v>
      </c>
      <c r="J2539" s="76">
        <v>10</v>
      </c>
      <c r="K2539" s="516" t="s">
        <v>386</v>
      </c>
      <c r="L2539" s="517">
        <v>13.54</v>
      </c>
      <c r="M2539" s="517">
        <v>14.2</v>
      </c>
      <c r="N2539" s="518">
        <v>0.10299999999999999</v>
      </c>
      <c r="O2539" s="518">
        <v>0.1</v>
      </c>
      <c r="P2539" s="518">
        <v>0.112</v>
      </c>
      <c r="Q2539" s="78">
        <v>0.44</v>
      </c>
      <c r="R2539" s="78">
        <v>0.31740000000000002</v>
      </c>
      <c r="S2539" s="69">
        <v>2.5000000000000001E-2</v>
      </c>
      <c r="T2539" s="69">
        <v>5.0000000000000001E-3</v>
      </c>
      <c r="U2539" s="518">
        <v>0.7</v>
      </c>
      <c r="V2539" s="76">
        <v>0</v>
      </c>
      <c r="W2539" s="76">
        <v>0</v>
      </c>
      <c r="X2539" s="76"/>
      <c r="Y2539" s="516" t="s">
        <v>470</v>
      </c>
    </row>
    <row r="2540" spans="1:25" x14ac:dyDescent="0.25">
      <c r="A2540" s="75" t="str">
        <f t="shared" si="89"/>
        <v>Exclusiva PF No_Premier Poder Judicial Mercado_Abierto Pago_Fijo_Puntual 5</v>
      </c>
      <c r="B2540" s="75" t="str">
        <f t="shared" si="88"/>
        <v>Exclusiva PF No_Premier Poder Judicial Mercado_Abierto Pago_Fijo_Puntual 5 0.0965</v>
      </c>
      <c r="C2540" s="75" t="s">
        <v>116</v>
      </c>
      <c r="D2540" s="75" t="s">
        <v>132</v>
      </c>
      <c r="E2540" s="75" t="s">
        <v>179</v>
      </c>
      <c r="F2540" s="75" t="s">
        <v>176</v>
      </c>
      <c r="G2540" s="75" t="s">
        <v>396</v>
      </c>
      <c r="H2540" s="75"/>
      <c r="I2540" s="75" t="s">
        <v>171</v>
      </c>
      <c r="J2540" s="76">
        <v>5</v>
      </c>
      <c r="K2540" s="516" t="s">
        <v>385</v>
      </c>
      <c r="L2540" s="517">
        <v>21.12</v>
      </c>
      <c r="M2540" s="517">
        <v>21.78</v>
      </c>
      <c r="N2540" s="518">
        <v>9.6500000000000002E-2</v>
      </c>
      <c r="O2540" s="518">
        <v>9.1999999999999998E-2</v>
      </c>
      <c r="P2540" s="518">
        <v>0.10249999999999999</v>
      </c>
      <c r="Q2540" s="78">
        <v>0.44</v>
      </c>
      <c r="R2540" s="78">
        <v>0.31740000000000002</v>
      </c>
      <c r="S2540" s="69">
        <v>2.5000000000000001E-2</v>
      </c>
      <c r="T2540" s="69">
        <v>5.0000000000000001E-3</v>
      </c>
      <c r="U2540" s="518">
        <v>0.7</v>
      </c>
      <c r="V2540" s="76">
        <v>0</v>
      </c>
      <c r="W2540" s="76">
        <v>0</v>
      </c>
      <c r="X2540" s="76"/>
      <c r="Y2540" s="516" t="s">
        <v>470</v>
      </c>
    </row>
    <row r="2541" spans="1:25" x14ac:dyDescent="0.25">
      <c r="A2541" s="75" t="str">
        <f t="shared" si="89"/>
        <v>Exclusiva PF No_Premier Poder Judicial Mercado_Abierto Pago_Fijo_Puntual 5</v>
      </c>
      <c r="B2541" s="75" t="str">
        <f t="shared" si="88"/>
        <v>Exclusiva PF No_Premier Poder Judicial Mercado_Abierto Pago_Fijo_Puntual 5 0.103</v>
      </c>
      <c r="C2541" s="75" t="s">
        <v>116</v>
      </c>
      <c r="D2541" s="75" t="s">
        <v>132</v>
      </c>
      <c r="E2541" s="75" t="s">
        <v>179</v>
      </c>
      <c r="F2541" s="75" t="s">
        <v>176</v>
      </c>
      <c r="G2541" s="75" t="s">
        <v>396</v>
      </c>
      <c r="H2541" s="75"/>
      <c r="I2541" s="75" t="s">
        <v>171</v>
      </c>
      <c r="J2541" s="76">
        <v>5</v>
      </c>
      <c r="K2541" s="516" t="s">
        <v>386</v>
      </c>
      <c r="L2541" s="517">
        <v>21.44</v>
      </c>
      <c r="M2541" s="517">
        <v>22.1</v>
      </c>
      <c r="N2541" s="518">
        <v>0.10299999999999999</v>
      </c>
      <c r="O2541" s="518">
        <v>0.1</v>
      </c>
      <c r="P2541" s="518">
        <v>0.112</v>
      </c>
      <c r="Q2541" s="78">
        <v>0.44</v>
      </c>
      <c r="R2541" s="78">
        <v>0.31740000000000002</v>
      </c>
      <c r="S2541" s="69">
        <v>2.5000000000000001E-2</v>
      </c>
      <c r="T2541" s="69">
        <v>5.0000000000000001E-3</v>
      </c>
      <c r="U2541" s="518">
        <v>0.7</v>
      </c>
      <c r="V2541" s="76">
        <v>0</v>
      </c>
      <c r="W2541" s="76">
        <v>0</v>
      </c>
      <c r="X2541" s="76"/>
      <c r="Y2541" s="516" t="s">
        <v>470</v>
      </c>
    </row>
    <row r="2542" spans="1:25" x14ac:dyDescent="0.25">
      <c r="A2542" s="75" t="str">
        <f t="shared" si="89"/>
        <v>Exclusiva PF No_Premier Poder Judicial Mercado_Abierto Pago_Bajo_Puntual 25</v>
      </c>
      <c r="B2542" s="75" t="str">
        <f t="shared" si="88"/>
        <v>Exclusiva PF No_Premier Poder Judicial Mercado_Abierto Pago_Bajo_Puntual 25 0.0965</v>
      </c>
      <c r="C2542" s="75" t="s">
        <v>116</v>
      </c>
      <c r="D2542" s="75" t="s">
        <v>132</v>
      </c>
      <c r="E2542" s="75" t="s">
        <v>179</v>
      </c>
      <c r="F2542" s="75" t="s">
        <v>176</v>
      </c>
      <c r="G2542" s="75" t="s">
        <v>396</v>
      </c>
      <c r="H2542" s="75"/>
      <c r="I2542" s="75" t="s">
        <v>170</v>
      </c>
      <c r="J2542" s="523">
        <v>25</v>
      </c>
      <c r="K2542" s="516" t="s">
        <v>385</v>
      </c>
      <c r="L2542" s="517">
        <v>8.1</v>
      </c>
      <c r="M2542" s="517">
        <v>8.76</v>
      </c>
      <c r="N2542" s="518">
        <v>9.6500000000000002E-2</v>
      </c>
      <c r="O2542" s="518">
        <v>9.1999999999999998E-2</v>
      </c>
      <c r="P2542" s="518">
        <v>0.10249999999999999</v>
      </c>
      <c r="Q2542" s="78">
        <v>0.44</v>
      </c>
      <c r="R2542" s="78">
        <v>0.31740000000000002</v>
      </c>
      <c r="S2542" s="69">
        <v>2.5000000000000001E-2</v>
      </c>
      <c r="T2542" s="69">
        <v>5.0000000000000001E-3</v>
      </c>
      <c r="U2542" s="518">
        <v>0.7</v>
      </c>
      <c r="V2542" s="76">
        <v>0</v>
      </c>
      <c r="W2542" s="76">
        <v>0</v>
      </c>
      <c r="X2542" s="76"/>
      <c r="Y2542" s="516" t="s">
        <v>470</v>
      </c>
    </row>
    <row r="2543" spans="1:25" x14ac:dyDescent="0.25">
      <c r="A2543" s="75" t="str">
        <f t="shared" si="89"/>
        <v>Exclusiva PF No_Premier Poder Judicial Mercado_Abierto Pago_Bajo_Puntual 25</v>
      </c>
      <c r="B2543" s="75" t="str">
        <f t="shared" si="88"/>
        <v>Exclusiva PF No_Premier Poder Judicial Mercado_Abierto Pago_Bajo_Puntual 25 0.103</v>
      </c>
      <c r="C2543" s="75" t="s">
        <v>116</v>
      </c>
      <c r="D2543" s="75" t="s">
        <v>132</v>
      </c>
      <c r="E2543" s="75" t="s">
        <v>179</v>
      </c>
      <c r="F2543" s="75" t="s">
        <v>176</v>
      </c>
      <c r="G2543" s="75" t="s">
        <v>396</v>
      </c>
      <c r="H2543" s="75"/>
      <c r="I2543" s="75" t="s">
        <v>170</v>
      </c>
      <c r="J2543" s="523">
        <v>25</v>
      </c>
      <c r="K2543" s="516" t="s">
        <v>386</v>
      </c>
      <c r="L2543" s="517">
        <v>8.64</v>
      </c>
      <c r="M2543" s="517">
        <v>9.3000000000000007</v>
      </c>
      <c r="N2543" s="518">
        <v>0.10299999999999999</v>
      </c>
      <c r="O2543" s="518">
        <v>0.1</v>
      </c>
      <c r="P2543" s="518">
        <v>0.112</v>
      </c>
      <c r="Q2543" s="78">
        <v>0.44</v>
      </c>
      <c r="R2543" s="78">
        <v>0.31740000000000002</v>
      </c>
      <c r="S2543" s="69">
        <v>2.5000000000000001E-2</v>
      </c>
      <c r="T2543" s="69">
        <v>5.0000000000000001E-3</v>
      </c>
      <c r="U2543" s="518">
        <v>0.7</v>
      </c>
      <c r="V2543" s="76">
        <v>0</v>
      </c>
      <c r="W2543" s="76">
        <v>0</v>
      </c>
      <c r="X2543" s="76"/>
      <c r="Y2543" s="516" t="s">
        <v>470</v>
      </c>
    </row>
    <row r="2544" spans="1:25" x14ac:dyDescent="0.25">
      <c r="A2544" s="75" t="str">
        <f t="shared" si="89"/>
        <v>Exclusiva PF No_Premier Poder Judicial Mercado_Abierto Pago_Bajo_Puntual 20</v>
      </c>
      <c r="B2544" s="75" t="str">
        <f t="shared" si="88"/>
        <v>Exclusiva PF No_Premier Poder Judicial Mercado_Abierto Pago_Bajo_Puntual 20 0.0965</v>
      </c>
      <c r="C2544" s="75" t="s">
        <v>116</v>
      </c>
      <c r="D2544" s="75" t="s">
        <v>132</v>
      </c>
      <c r="E2544" s="75" t="s">
        <v>179</v>
      </c>
      <c r="F2544" s="75" t="s">
        <v>176</v>
      </c>
      <c r="G2544" s="75" t="s">
        <v>396</v>
      </c>
      <c r="H2544" s="75"/>
      <c r="I2544" s="75" t="s">
        <v>170</v>
      </c>
      <c r="J2544" s="76">
        <v>20</v>
      </c>
      <c r="K2544" s="516" t="s">
        <v>385</v>
      </c>
      <c r="L2544" s="517">
        <v>8.52</v>
      </c>
      <c r="M2544" s="517">
        <v>9.18</v>
      </c>
      <c r="N2544" s="518">
        <v>9.6500000000000002E-2</v>
      </c>
      <c r="O2544" s="518">
        <v>9.1999999999999998E-2</v>
      </c>
      <c r="P2544" s="518">
        <v>0.10249999999999999</v>
      </c>
      <c r="Q2544" s="78">
        <v>0.44</v>
      </c>
      <c r="R2544" s="78">
        <v>0.31740000000000002</v>
      </c>
      <c r="S2544" s="69">
        <v>2.5000000000000001E-2</v>
      </c>
      <c r="T2544" s="69">
        <v>5.0000000000000001E-3</v>
      </c>
      <c r="U2544" s="518">
        <v>0.7</v>
      </c>
      <c r="V2544" s="76">
        <v>0</v>
      </c>
      <c r="W2544" s="76">
        <v>0</v>
      </c>
      <c r="X2544" s="76"/>
      <c r="Y2544" s="516" t="s">
        <v>470</v>
      </c>
    </row>
    <row r="2545" spans="1:25" x14ac:dyDescent="0.25">
      <c r="A2545" s="75" t="str">
        <f t="shared" si="89"/>
        <v>Exclusiva PF No_Premier Poder Judicial Mercado_Abierto Pago_Bajo_Puntual 20</v>
      </c>
      <c r="B2545" s="75" t="str">
        <f t="shared" si="88"/>
        <v>Exclusiva PF No_Premier Poder Judicial Mercado_Abierto Pago_Bajo_Puntual 20 0.103</v>
      </c>
      <c r="C2545" s="75" t="s">
        <v>116</v>
      </c>
      <c r="D2545" s="75" t="s">
        <v>132</v>
      </c>
      <c r="E2545" s="75" t="s">
        <v>179</v>
      </c>
      <c r="F2545" s="75" t="s">
        <v>176</v>
      </c>
      <c r="G2545" s="75" t="s">
        <v>396</v>
      </c>
      <c r="H2545" s="75"/>
      <c r="I2545" s="75" t="s">
        <v>170</v>
      </c>
      <c r="J2545" s="76">
        <v>20</v>
      </c>
      <c r="K2545" s="516" t="s">
        <v>386</v>
      </c>
      <c r="L2545" s="517">
        <v>9</v>
      </c>
      <c r="M2545" s="517">
        <v>9.66</v>
      </c>
      <c r="N2545" s="518">
        <v>0.10299999999999999</v>
      </c>
      <c r="O2545" s="518">
        <v>0.1</v>
      </c>
      <c r="P2545" s="518">
        <v>0.112</v>
      </c>
      <c r="Q2545" s="78">
        <v>0.44</v>
      </c>
      <c r="R2545" s="78">
        <v>0.31740000000000002</v>
      </c>
      <c r="S2545" s="69">
        <v>2.5000000000000001E-2</v>
      </c>
      <c r="T2545" s="69">
        <v>5.0000000000000001E-3</v>
      </c>
      <c r="U2545" s="518">
        <v>0.7</v>
      </c>
      <c r="V2545" s="76">
        <v>0</v>
      </c>
      <c r="W2545" s="76">
        <v>0</v>
      </c>
      <c r="X2545" s="76"/>
      <c r="Y2545" s="516" t="s">
        <v>470</v>
      </c>
    </row>
    <row r="2546" spans="1:25" x14ac:dyDescent="0.25">
      <c r="A2546" s="75" t="str">
        <f t="shared" si="89"/>
        <v>Exclusiva PF No_Premier Poder Judicial Mercado_Abierto Pago_Bajo_Puntual 15</v>
      </c>
      <c r="B2546" s="75" t="str">
        <f t="shared" si="88"/>
        <v>Exclusiva PF No_Premier Poder Judicial Mercado_Abierto Pago_Bajo_Puntual 15 0.0965</v>
      </c>
      <c r="C2546" s="75" t="s">
        <v>116</v>
      </c>
      <c r="D2546" s="75" t="s">
        <v>132</v>
      </c>
      <c r="E2546" s="75" t="s">
        <v>179</v>
      </c>
      <c r="F2546" s="75" t="s">
        <v>176</v>
      </c>
      <c r="G2546" s="75" t="s">
        <v>396</v>
      </c>
      <c r="H2546" s="75"/>
      <c r="I2546" s="75" t="s">
        <v>170</v>
      </c>
      <c r="J2546" s="76">
        <v>15</v>
      </c>
      <c r="K2546" s="516" t="s">
        <v>385</v>
      </c>
      <c r="L2546" s="517">
        <v>9.6999999999999993</v>
      </c>
      <c r="M2546" s="517">
        <v>10.36</v>
      </c>
      <c r="N2546" s="518">
        <v>9.6500000000000002E-2</v>
      </c>
      <c r="O2546" s="518">
        <v>9.1999999999999998E-2</v>
      </c>
      <c r="P2546" s="518">
        <v>0.10249999999999999</v>
      </c>
      <c r="Q2546" s="78">
        <v>0.44</v>
      </c>
      <c r="R2546" s="78">
        <v>0.31740000000000002</v>
      </c>
      <c r="S2546" s="69">
        <v>2.5000000000000001E-2</v>
      </c>
      <c r="T2546" s="69">
        <v>5.0000000000000001E-3</v>
      </c>
      <c r="U2546" s="518">
        <v>0.7</v>
      </c>
      <c r="V2546" s="76">
        <v>0</v>
      </c>
      <c r="W2546" s="76">
        <v>0</v>
      </c>
      <c r="X2546" s="76"/>
      <c r="Y2546" s="516" t="s">
        <v>470</v>
      </c>
    </row>
    <row r="2547" spans="1:25" x14ac:dyDescent="0.25">
      <c r="A2547" s="75" t="str">
        <f t="shared" si="89"/>
        <v>Exclusiva PF No_Premier Poder Judicial Mercado_Abierto Pago_Bajo_Puntual 15</v>
      </c>
      <c r="B2547" s="75" t="str">
        <f t="shared" si="88"/>
        <v>Exclusiva PF No_Premier Poder Judicial Mercado_Abierto Pago_Bajo_Puntual 15 0.103</v>
      </c>
      <c r="C2547" s="75" t="s">
        <v>116</v>
      </c>
      <c r="D2547" s="75" t="s">
        <v>132</v>
      </c>
      <c r="E2547" s="75" t="s">
        <v>179</v>
      </c>
      <c r="F2547" s="75" t="s">
        <v>176</v>
      </c>
      <c r="G2547" s="75" t="s">
        <v>396</v>
      </c>
      <c r="H2547" s="75"/>
      <c r="I2547" s="75" t="s">
        <v>170</v>
      </c>
      <c r="J2547" s="76">
        <v>15</v>
      </c>
      <c r="K2547" s="516" t="s">
        <v>386</v>
      </c>
      <c r="L2547" s="517">
        <v>10.119999999999999</v>
      </c>
      <c r="M2547" s="517">
        <v>10.78</v>
      </c>
      <c r="N2547" s="518">
        <v>0.10299999999999999</v>
      </c>
      <c r="O2547" s="518">
        <v>0.1</v>
      </c>
      <c r="P2547" s="518">
        <v>0.112</v>
      </c>
      <c r="Q2547" s="78">
        <v>0.44</v>
      </c>
      <c r="R2547" s="78">
        <v>0.31740000000000002</v>
      </c>
      <c r="S2547" s="69">
        <v>2.5000000000000001E-2</v>
      </c>
      <c r="T2547" s="69">
        <v>5.0000000000000001E-3</v>
      </c>
      <c r="U2547" s="518">
        <v>0.7</v>
      </c>
      <c r="V2547" s="76">
        <v>0</v>
      </c>
      <c r="W2547" s="76">
        <v>0</v>
      </c>
      <c r="X2547" s="76"/>
      <c r="Y2547" s="516" t="s">
        <v>470</v>
      </c>
    </row>
    <row r="2548" spans="1:25" x14ac:dyDescent="0.25">
      <c r="A2548" s="75" t="str">
        <f t="shared" si="89"/>
        <v>Exclusiva PF No_Premier Poder Judicial Mercado_Abierto Pago_Bajo_Puntual 10</v>
      </c>
      <c r="B2548" s="75" t="str">
        <f t="shared" si="88"/>
        <v>Exclusiva PF No_Premier Poder Judicial Mercado_Abierto Pago_Bajo_Puntual 10 0.0965</v>
      </c>
      <c r="C2548" s="75" t="s">
        <v>116</v>
      </c>
      <c r="D2548" s="75" t="s">
        <v>132</v>
      </c>
      <c r="E2548" s="75" t="s">
        <v>179</v>
      </c>
      <c r="F2548" s="75" t="s">
        <v>176</v>
      </c>
      <c r="G2548" s="75" t="s">
        <v>396</v>
      </c>
      <c r="H2548" s="75"/>
      <c r="I2548" s="75" t="s">
        <v>170</v>
      </c>
      <c r="J2548" s="76">
        <v>10</v>
      </c>
      <c r="K2548" s="516" t="s">
        <v>385</v>
      </c>
      <c r="L2548" s="517">
        <v>12.25</v>
      </c>
      <c r="M2548" s="517">
        <v>12.91</v>
      </c>
      <c r="N2548" s="518">
        <v>9.6500000000000002E-2</v>
      </c>
      <c r="O2548" s="518">
        <v>9.1999999999999998E-2</v>
      </c>
      <c r="P2548" s="518">
        <v>0.10249999999999999</v>
      </c>
      <c r="Q2548" s="78">
        <v>0.44</v>
      </c>
      <c r="R2548" s="78">
        <v>0.31740000000000002</v>
      </c>
      <c r="S2548" s="69">
        <v>2.5000000000000001E-2</v>
      </c>
      <c r="T2548" s="69">
        <v>5.0000000000000001E-3</v>
      </c>
      <c r="U2548" s="518">
        <v>0.7</v>
      </c>
      <c r="V2548" s="76">
        <v>0</v>
      </c>
      <c r="W2548" s="76">
        <v>0</v>
      </c>
      <c r="X2548" s="76"/>
      <c r="Y2548" s="516" t="s">
        <v>470</v>
      </c>
    </row>
    <row r="2549" spans="1:25" x14ac:dyDescent="0.25">
      <c r="A2549" s="75" t="str">
        <f t="shared" si="89"/>
        <v>Exclusiva PF No_Premier Poder Judicial Mercado_Abierto Pago_Bajo_Puntual 10</v>
      </c>
      <c r="B2549" s="75" t="str">
        <f t="shared" si="88"/>
        <v>Exclusiva PF No_Premier Poder Judicial Mercado_Abierto Pago_Bajo_Puntual 10 0.103</v>
      </c>
      <c r="C2549" s="75" t="s">
        <v>116</v>
      </c>
      <c r="D2549" s="75" t="s">
        <v>132</v>
      </c>
      <c r="E2549" s="75" t="s">
        <v>179</v>
      </c>
      <c r="F2549" s="75" t="s">
        <v>176</v>
      </c>
      <c r="G2549" s="75" t="s">
        <v>396</v>
      </c>
      <c r="H2549" s="75"/>
      <c r="I2549" s="75" t="s">
        <v>170</v>
      </c>
      <c r="J2549" s="76">
        <v>10</v>
      </c>
      <c r="K2549" s="516" t="s">
        <v>386</v>
      </c>
      <c r="L2549" s="517">
        <v>12.62</v>
      </c>
      <c r="M2549" s="517">
        <v>13.28</v>
      </c>
      <c r="N2549" s="518">
        <v>0.10299999999999999</v>
      </c>
      <c r="O2549" s="518">
        <v>0.1</v>
      </c>
      <c r="P2549" s="518">
        <v>0.112</v>
      </c>
      <c r="Q2549" s="78">
        <v>0.44</v>
      </c>
      <c r="R2549" s="78">
        <v>0.31740000000000002</v>
      </c>
      <c r="S2549" s="69">
        <v>2.5000000000000001E-2</v>
      </c>
      <c r="T2549" s="69">
        <v>5.0000000000000001E-3</v>
      </c>
      <c r="U2549" s="518">
        <v>0.7</v>
      </c>
      <c r="V2549" s="76">
        <v>0</v>
      </c>
      <c r="W2549" s="76">
        <v>0</v>
      </c>
      <c r="X2549" s="76"/>
      <c r="Y2549" s="516" t="s">
        <v>470</v>
      </c>
    </row>
    <row r="2550" spans="1:25" x14ac:dyDescent="0.25">
      <c r="A2550" s="75" t="str">
        <f t="shared" si="89"/>
        <v>Exclusiva PF No_Premier Poder Judicial Mercado_Abierto Pago_Bajo_Puntual 5</v>
      </c>
      <c r="B2550" s="75" t="str">
        <f t="shared" ref="B2550:B2613" si="90">CONCATENATE(A2550," ",N2550)</f>
        <v>Exclusiva PF No_Premier Poder Judicial Mercado_Abierto Pago_Bajo_Puntual 5 0.0965</v>
      </c>
      <c r="C2550" s="75" t="s">
        <v>116</v>
      </c>
      <c r="D2550" s="75" t="s">
        <v>132</v>
      </c>
      <c r="E2550" s="75" t="s">
        <v>179</v>
      </c>
      <c r="F2550" s="75" t="s">
        <v>176</v>
      </c>
      <c r="G2550" s="75" t="s">
        <v>396</v>
      </c>
      <c r="H2550" s="75"/>
      <c r="I2550" s="75" t="s">
        <v>170</v>
      </c>
      <c r="J2550" s="76">
        <v>5</v>
      </c>
      <c r="K2550" s="516" t="s">
        <v>385</v>
      </c>
      <c r="L2550" s="517">
        <v>20.399999999999999</v>
      </c>
      <c r="M2550" s="517">
        <v>21.06</v>
      </c>
      <c r="N2550" s="518">
        <v>9.6500000000000002E-2</v>
      </c>
      <c r="O2550" s="518">
        <v>9.1999999999999998E-2</v>
      </c>
      <c r="P2550" s="518">
        <v>0.10249999999999999</v>
      </c>
      <c r="Q2550" s="78">
        <v>0.44</v>
      </c>
      <c r="R2550" s="78">
        <v>0.31740000000000002</v>
      </c>
      <c r="S2550" s="69">
        <v>2.5000000000000001E-2</v>
      </c>
      <c r="T2550" s="69">
        <v>5.0000000000000001E-3</v>
      </c>
      <c r="U2550" s="518">
        <v>0.7</v>
      </c>
      <c r="V2550" s="76">
        <v>0</v>
      </c>
      <c r="W2550" s="76">
        <v>0</v>
      </c>
      <c r="X2550" s="76"/>
      <c r="Y2550" s="516" t="s">
        <v>470</v>
      </c>
    </row>
    <row r="2551" spans="1:25" x14ac:dyDescent="0.25">
      <c r="A2551" s="75" t="str">
        <f t="shared" ref="A2551:A2614" si="91">TRIM(CONCATENATE(C2551," ",D2551," ",E2551," ",F2551," ",G2551," ",I2551," ",X2551," ",J2551))</f>
        <v>Exclusiva PF No_Premier Poder Judicial Mercado_Abierto Pago_Bajo_Puntual 5</v>
      </c>
      <c r="B2551" s="75" t="str">
        <f t="shared" si="90"/>
        <v>Exclusiva PF No_Premier Poder Judicial Mercado_Abierto Pago_Bajo_Puntual 5 0.103</v>
      </c>
      <c r="C2551" s="75" t="s">
        <v>116</v>
      </c>
      <c r="D2551" s="75" t="s">
        <v>132</v>
      </c>
      <c r="E2551" s="75" t="s">
        <v>179</v>
      </c>
      <c r="F2551" s="75" t="s">
        <v>176</v>
      </c>
      <c r="G2551" s="75" t="s">
        <v>396</v>
      </c>
      <c r="H2551" s="75"/>
      <c r="I2551" s="75" t="s">
        <v>170</v>
      </c>
      <c r="J2551" s="76">
        <v>5</v>
      </c>
      <c r="K2551" s="516" t="s">
        <v>386</v>
      </c>
      <c r="L2551" s="517">
        <v>20.72</v>
      </c>
      <c r="M2551" s="517">
        <v>21.38</v>
      </c>
      <c r="N2551" s="518">
        <v>0.10299999999999999</v>
      </c>
      <c r="O2551" s="518">
        <v>0.1</v>
      </c>
      <c r="P2551" s="518">
        <v>0.112</v>
      </c>
      <c r="Q2551" s="78">
        <v>0.44</v>
      </c>
      <c r="R2551" s="78">
        <v>0.31740000000000002</v>
      </c>
      <c r="S2551" s="69">
        <v>2.5000000000000001E-2</v>
      </c>
      <c r="T2551" s="69">
        <v>5.0000000000000001E-3</v>
      </c>
      <c r="U2551" s="518">
        <v>0.7</v>
      </c>
      <c r="V2551" s="76">
        <v>0</v>
      </c>
      <c r="W2551" s="76">
        <v>0</v>
      </c>
      <c r="X2551" s="76"/>
      <c r="Y2551" s="516" t="s">
        <v>470</v>
      </c>
    </row>
    <row r="2552" spans="1:25" x14ac:dyDescent="0.25">
      <c r="A2552" s="75" t="str">
        <f t="shared" si="91"/>
        <v>Liquidez Consolidación de Pasivos PF No_Premier Normal Pago_Fijo_Puntual 15</v>
      </c>
      <c r="B2552" s="75" t="str">
        <f t="shared" si="90"/>
        <v>Liquidez Consolidación de Pasivos PF No_Premier Normal Pago_Fijo_Puntual 15 0.12</v>
      </c>
      <c r="C2552" s="75" t="s">
        <v>390</v>
      </c>
      <c r="D2552" s="75" t="s">
        <v>132</v>
      </c>
      <c r="E2552" s="75" t="s">
        <v>179</v>
      </c>
      <c r="F2552" s="75" t="s">
        <v>180</v>
      </c>
      <c r="G2552" s="75"/>
      <c r="H2552" s="75"/>
      <c r="I2552" s="75" t="s">
        <v>171</v>
      </c>
      <c r="J2552" s="76">
        <v>15</v>
      </c>
      <c r="K2552" s="519" t="s">
        <v>387</v>
      </c>
      <c r="L2552" s="520">
        <v>12.24</v>
      </c>
      <c r="M2552" s="520">
        <v>13.85</v>
      </c>
      <c r="N2552" s="507">
        <v>0.12</v>
      </c>
      <c r="O2552" s="507">
        <v>0.11700000000000001</v>
      </c>
      <c r="P2552" s="507">
        <v>0.129</v>
      </c>
      <c r="Q2552" s="78">
        <v>0.44</v>
      </c>
      <c r="R2552" s="78">
        <v>0.31740000000000002</v>
      </c>
      <c r="S2552" s="69">
        <v>2.5000000000000001E-2</v>
      </c>
      <c r="T2552" s="69">
        <v>0.01</v>
      </c>
      <c r="U2552" s="507">
        <v>0.75</v>
      </c>
      <c r="V2552" s="76">
        <v>0</v>
      </c>
      <c r="W2552" s="76">
        <v>250</v>
      </c>
      <c r="X2552" s="76"/>
      <c r="Y2552" s="76"/>
    </row>
    <row r="2553" spans="1:25" x14ac:dyDescent="0.25">
      <c r="A2553" s="75" t="str">
        <f t="shared" si="91"/>
        <v>Liquidez Consolidación de Pasivos PF No_Premier Normal Pago_Fijo_Puntual 14</v>
      </c>
      <c r="B2553" s="75" t="str">
        <f t="shared" si="90"/>
        <v>Liquidez Consolidación de Pasivos PF No_Premier Normal Pago_Fijo_Puntual 14 0.12</v>
      </c>
      <c r="C2553" s="75" t="s">
        <v>390</v>
      </c>
      <c r="D2553" s="75" t="s">
        <v>132</v>
      </c>
      <c r="E2553" s="75" t="s">
        <v>179</v>
      </c>
      <c r="F2553" s="75" t="s">
        <v>180</v>
      </c>
      <c r="G2553" s="75"/>
      <c r="H2553" s="75"/>
      <c r="I2553" s="75" t="s">
        <v>171</v>
      </c>
      <c r="J2553" s="76">
        <v>14</v>
      </c>
      <c r="K2553" s="519" t="s">
        <v>387</v>
      </c>
      <c r="L2553" s="520">
        <v>12.54</v>
      </c>
      <c r="M2553" s="520">
        <v>14.15</v>
      </c>
      <c r="N2553" s="507">
        <v>0.12</v>
      </c>
      <c r="O2553" s="507">
        <v>0.11700000000000001</v>
      </c>
      <c r="P2553" s="507">
        <v>0.129</v>
      </c>
      <c r="Q2553" s="78">
        <v>0.44</v>
      </c>
      <c r="R2553" s="78">
        <v>0.31740000000000002</v>
      </c>
      <c r="S2553" s="69">
        <v>2.5000000000000001E-2</v>
      </c>
      <c r="T2553" s="69">
        <v>0.01</v>
      </c>
      <c r="U2553" s="507">
        <v>0.75</v>
      </c>
      <c r="V2553" s="76">
        <v>0</v>
      </c>
      <c r="W2553" s="76">
        <v>250</v>
      </c>
      <c r="X2553" s="76"/>
      <c r="Y2553" s="76"/>
    </row>
    <row r="2554" spans="1:25" x14ac:dyDescent="0.25">
      <c r="A2554" s="75" t="str">
        <f t="shared" si="91"/>
        <v>Liquidez Consolidación de Pasivos PF No_Premier Normal Pago_Fijo_Puntual 13</v>
      </c>
      <c r="B2554" s="75" t="str">
        <f t="shared" si="90"/>
        <v>Liquidez Consolidación de Pasivos PF No_Premier Normal Pago_Fijo_Puntual 13 0.12</v>
      </c>
      <c r="C2554" s="75" t="s">
        <v>390</v>
      </c>
      <c r="D2554" s="75" t="s">
        <v>132</v>
      </c>
      <c r="E2554" s="75" t="s">
        <v>179</v>
      </c>
      <c r="F2554" s="75" t="s">
        <v>180</v>
      </c>
      <c r="G2554" s="75"/>
      <c r="H2554" s="75"/>
      <c r="I2554" s="75" t="s">
        <v>171</v>
      </c>
      <c r="J2554" s="76">
        <v>13</v>
      </c>
      <c r="K2554" s="519" t="s">
        <v>387</v>
      </c>
      <c r="L2554" s="520">
        <v>12.9</v>
      </c>
      <c r="M2554" s="520">
        <v>14.51</v>
      </c>
      <c r="N2554" s="507">
        <v>0.12</v>
      </c>
      <c r="O2554" s="507">
        <v>0.11700000000000001</v>
      </c>
      <c r="P2554" s="507">
        <v>0.129</v>
      </c>
      <c r="Q2554" s="78">
        <v>0.44</v>
      </c>
      <c r="R2554" s="78">
        <v>0.31740000000000002</v>
      </c>
      <c r="S2554" s="69">
        <v>2.5000000000000001E-2</v>
      </c>
      <c r="T2554" s="69">
        <v>0.01</v>
      </c>
      <c r="U2554" s="507">
        <v>0.75</v>
      </c>
      <c r="V2554" s="76">
        <v>0</v>
      </c>
      <c r="W2554" s="76">
        <v>250</v>
      </c>
      <c r="X2554" s="76"/>
      <c r="Y2554" s="76"/>
    </row>
    <row r="2555" spans="1:25" x14ac:dyDescent="0.25">
      <c r="A2555" s="75" t="str">
        <f t="shared" si="91"/>
        <v>Liquidez Consolidación de Pasivos PF No_Premier Normal Pago_Fijo_Puntual 12</v>
      </c>
      <c r="B2555" s="75" t="str">
        <f t="shared" si="90"/>
        <v>Liquidez Consolidación de Pasivos PF No_Premier Normal Pago_Fijo_Puntual 12 0.12</v>
      </c>
      <c r="C2555" s="75" t="s">
        <v>390</v>
      </c>
      <c r="D2555" s="75" t="s">
        <v>132</v>
      </c>
      <c r="E2555" s="75" t="s">
        <v>179</v>
      </c>
      <c r="F2555" s="75" t="s">
        <v>180</v>
      </c>
      <c r="G2555" s="75"/>
      <c r="H2555" s="75"/>
      <c r="I2555" s="75" t="s">
        <v>171</v>
      </c>
      <c r="J2555" s="76">
        <v>12</v>
      </c>
      <c r="K2555" s="519" t="s">
        <v>387</v>
      </c>
      <c r="L2555" s="520">
        <v>13.33</v>
      </c>
      <c r="M2555" s="520">
        <v>14.94</v>
      </c>
      <c r="N2555" s="507">
        <v>0.12</v>
      </c>
      <c r="O2555" s="507">
        <v>0.11700000000000001</v>
      </c>
      <c r="P2555" s="507">
        <v>0.129</v>
      </c>
      <c r="Q2555" s="78">
        <v>0.44</v>
      </c>
      <c r="R2555" s="78">
        <v>0.31740000000000002</v>
      </c>
      <c r="S2555" s="69">
        <v>2.5000000000000001E-2</v>
      </c>
      <c r="T2555" s="69">
        <v>0.01</v>
      </c>
      <c r="U2555" s="507">
        <v>0.75</v>
      </c>
      <c r="V2555" s="76">
        <v>0</v>
      </c>
      <c r="W2555" s="76">
        <v>250</v>
      </c>
      <c r="X2555" s="76"/>
      <c r="Y2555" s="76"/>
    </row>
    <row r="2556" spans="1:25" x14ac:dyDescent="0.25">
      <c r="A2556" s="75" t="str">
        <f t="shared" si="91"/>
        <v>Liquidez Consolidación de Pasivos PF No_Premier Normal Pago_Fijo_Puntual 11</v>
      </c>
      <c r="B2556" s="75" t="str">
        <f t="shared" si="90"/>
        <v>Liquidez Consolidación de Pasivos PF No_Premier Normal Pago_Fijo_Puntual 11 0.12</v>
      </c>
      <c r="C2556" s="75" t="s">
        <v>390</v>
      </c>
      <c r="D2556" s="75" t="s">
        <v>132</v>
      </c>
      <c r="E2556" s="75" t="s">
        <v>179</v>
      </c>
      <c r="F2556" s="75" t="s">
        <v>180</v>
      </c>
      <c r="G2556" s="75"/>
      <c r="H2556" s="75"/>
      <c r="I2556" s="75" t="s">
        <v>171</v>
      </c>
      <c r="J2556" s="76">
        <v>11</v>
      </c>
      <c r="K2556" s="519" t="s">
        <v>387</v>
      </c>
      <c r="L2556" s="520">
        <v>13.85</v>
      </c>
      <c r="M2556" s="520">
        <v>15.46</v>
      </c>
      <c r="N2556" s="507">
        <v>0.12</v>
      </c>
      <c r="O2556" s="507">
        <v>0.11700000000000001</v>
      </c>
      <c r="P2556" s="507">
        <v>0.129</v>
      </c>
      <c r="Q2556" s="78">
        <v>0.44</v>
      </c>
      <c r="R2556" s="78">
        <v>0.31740000000000002</v>
      </c>
      <c r="S2556" s="69">
        <v>2.5000000000000001E-2</v>
      </c>
      <c r="T2556" s="69">
        <v>0.01</v>
      </c>
      <c r="U2556" s="507">
        <v>0.75</v>
      </c>
      <c r="V2556" s="76">
        <v>0</v>
      </c>
      <c r="W2556" s="76">
        <v>250</v>
      </c>
      <c r="X2556" s="76"/>
      <c r="Y2556" s="76"/>
    </row>
    <row r="2557" spans="1:25" x14ac:dyDescent="0.25">
      <c r="A2557" s="75" t="str">
        <f t="shared" si="91"/>
        <v>Liquidez Consolidación de Pasivos PF No_Premier Normal Pago_Fijo_Puntual 10</v>
      </c>
      <c r="B2557" s="75" t="str">
        <f t="shared" si="90"/>
        <v>Liquidez Consolidación de Pasivos PF No_Premier Normal Pago_Fijo_Puntual 10 0.12</v>
      </c>
      <c r="C2557" s="75" t="s">
        <v>390</v>
      </c>
      <c r="D2557" s="75" t="s">
        <v>132</v>
      </c>
      <c r="E2557" s="75" t="s">
        <v>179</v>
      </c>
      <c r="F2557" s="75" t="s">
        <v>180</v>
      </c>
      <c r="G2557" s="75"/>
      <c r="H2557" s="75"/>
      <c r="I2557" s="75" t="s">
        <v>171</v>
      </c>
      <c r="J2557" s="76">
        <v>10</v>
      </c>
      <c r="K2557" s="519" t="s">
        <v>387</v>
      </c>
      <c r="L2557" s="520">
        <v>14.5</v>
      </c>
      <c r="M2557" s="520">
        <v>16.11</v>
      </c>
      <c r="N2557" s="507">
        <v>0.12</v>
      </c>
      <c r="O2557" s="507">
        <v>0.11700000000000001</v>
      </c>
      <c r="P2557" s="507">
        <v>0.129</v>
      </c>
      <c r="Q2557" s="78">
        <v>0.44</v>
      </c>
      <c r="R2557" s="78">
        <v>0.31740000000000002</v>
      </c>
      <c r="S2557" s="69">
        <v>2.5000000000000001E-2</v>
      </c>
      <c r="T2557" s="69">
        <v>0.01</v>
      </c>
      <c r="U2557" s="507">
        <v>0.75</v>
      </c>
      <c r="V2557" s="76">
        <v>0</v>
      </c>
      <c r="W2557" s="76">
        <v>250</v>
      </c>
      <c r="X2557" s="76"/>
      <c r="Y2557" s="76"/>
    </row>
    <row r="2558" spans="1:25" x14ac:dyDescent="0.25">
      <c r="A2558" s="75" t="str">
        <f t="shared" si="91"/>
        <v>Liquidez Consolidación de Pasivos PF No_Premier Normal Pago_Fijo_Puntual 9</v>
      </c>
      <c r="B2558" s="75" t="str">
        <f t="shared" si="90"/>
        <v>Liquidez Consolidación de Pasivos PF No_Premier Normal Pago_Fijo_Puntual 9 0.12</v>
      </c>
      <c r="C2558" s="75" t="s">
        <v>390</v>
      </c>
      <c r="D2558" s="75" t="s">
        <v>132</v>
      </c>
      <c r="E2558" s="75" t="s">
        <v>179</v>
      </c>
      <c r="F2558" s="75" t="s">
        <v>180</v>
      </c>
      <c r="G2558" s="75"/>
      <c r="H2558" s="75"/>
      <c r="I2558" s="75" t="s">
        <v>171</v>
      </c>
      <c r="J2558" s="76">
        <v>9</v>
      </c>
      <c r="K2558" s="519" t="s">
        <v>387</v>
      </c>
      <c r="L2558" s="520">
        <v>15.31</v>
      </c>
      <c r="M2558" s="520">
        <v>16.920000000000002</v>
      </c>
      <c r="N2558" s="507">
        <v>0.12</v>
      </c>
      <c r="O2558" s="507">
        <v>0.11700000000000001</v>
      </c>
      <c r="P2558" s="507">
        <v>0.129</v>
      </c>
      <c r="Q2558" s="78">
        <v>0.44</v>
      </c>
      <c r="R2558" s="78">
        <v>0.31740000000000002</v>
      </c>
      <c r="S2558" s="69">
        <v>2.5000000000000001E-2</v>
      </c>
      <c r="T2558" s="69">
        <v>0.01</v>
      </c>
      <c r="U2558" s="507">
        <v>0.75</v>
      </c>
      <c r="V2558" s="76">
        <v>0</v>
      </c>
      <c r="W2558" s="76">
        <v>250</v>
      </c>
      <c r="X2558" s="76"/>
      <c r="Y2558" s="76"/>
    </row>
    <row r="2559" spans="1:25" x14ac:dyDescent="0.25">
      <c r="A2559" s="75" t="str">
        <f t="shared" si="91"/>
        <v>Liquidez Consolidación de Pasivos PF No_Premier Normal Pago_Fijo_Puntual 8</v>
      </c>
      <c r="B2559" s="75" t="str">
        <f t="shared" si="90"/>
        <v>Liquidez Consolidación de Pasivos PF No_Premier Normal Pago_Fijo_Puntual 8 0.12</v>
      </c>
      <c r="C2559" s="75" t="s">
        <v>390</v>
      </c>
      <c r="D2559" s="75" t="s">
        <v>132</v>
      </c>
      <c r="E2559" s="75" t="s">
        <v>179</v>
      </c>
      <c r="F2559" s="75" t="s">
        <v>180</v>
      </c>
      <c r="G2559" s="75"/>
      <c r="H2559" s="75"/>
      <c r="I2559" s="75" t="s">
        <v>171</v>
      </c>
      <c r="J2559" s="76">
        <v>8</v>
      </c>
      <c r="K2559" s="519" t="s">
        <v>387</v>
      </c>
      <c r="L2559" s="520">
        <v>16.36</v>
      </c>
      <c r="M2559" s="520">
        <v>17.97</v>
      </c>
      <c r="N2559" s="507">
        <v>0.12</v>
      </c>
      <c r="O2559" s="507">
        <v>0.11700000000000001</v>
      </c>
      <c r="P2559" s="507">
        <v>0.129</v>
      </c>
      <c r="Q2559" s="78">
        <v>0.44</v>
      </c>
      <c r="R2559" s="78">
        <v>0.31740000000000002</v>
      </c>
      <c r="S2559" s="69">
        <v>2.5000000000000001E-2</v>
      </c>
      <c r="T2559" s="69">
        <v>0.01</v>
      </c>
      <c r="U2559" s="507">
        <v>0.75</v>
      </c>
      <c r="V2559" s="76">
        <v>0</v>
      </c>
      <c r="W2559" s="76">
        <v>250</v>
      </c>
      <c r="X2559" s="76"/>
      <c r="Y2559" s="76"/>
    </row>
    <row r="2560" spans="1:25" x14ac:dyDescent="0.25">
      <c r="A2560" s="75" t="str">
        <f t="shared" si="91"/>
        <v>Liquidez Consolidación de Pasivos PF No_Premier Normal Pago_Fijo_Puntual 7</v>
      </c>
      <c r="B2560" s="75" t="str">
        <f t="shared" si="90"/>
        <v>Liquidez Consolidación de Pasivos PF No_Premier Normal Pago_Fijo_Puntual 7 0.12</v>
      </c>
      <c r="C2560" s="75" t="s">
        <v>390</v>
      </c>
      <c r="D2560" s="75" t="s">
        <v>132</v>
      </c>
      <c r="E2560" s="75" t="s">
        <v>179</v>
      </c>
      <c r="F2560" s="75" t="s">
        <v>180</v>
      </c>
      <c r="G2560" s="75"/>
      <c r="H2560" s="75"/>
      <c r="I2560" s="75" t="s">
        <v>171</v>
      </c>
      <c r="J2560" s="76">
        <v>7</v>
      </c>
      <c r="K2560" s="519" t="s">
        <v>387</v>
      </c>
      <c r="L2560" s="520">
        <v>17.739999999999998</v>
      </c>
      <c r="M2560" s="520">
        <v>19.350000000000001</v>
      </c>
      <c r="N2560" s="507">
        <v>0.12</v>
      </c>
      <c r="O2560" s="507">
        <v>0.11700000000000001</v>
      </c>
      <c r="P2560" s="507">
        <v>0.129</v>
      </c>
      <c r="Q2560" s="78">
        <v>0.44</v>
      </c>
      <c r="R2560" s="78">
        <v>0.31740000000000002</v>
      </c>
      <c r="S2560" s="69">
        <v>2.5000000000000001E-2</v>
      </c>
      <c r="T2560" s="69">
        <v>0.01</v>
      </c>
      <c r="U2560" s="507">
        <v>0.75</v>
      </c>
      <c r="V2560" s="76">
        <v>0</v>
      </c>
      <c r="W2560" s="76">
        <v>250</v>
      </c>
      <c r="X2560" s="76"/>
      <c r="Y2560" s="76"/>
    </row>
    <row r="2561" spans="1:25" x14ac:dyDescent="0.25">
      <c r="A2561" s="75" t="str">
        <f t="shared" si="91"/>
        <v>Liquidez Consolidación de Pasivos PF No_Premier Normal Pago_Fijo_Puntual 6</v>
      </c>
      <c r="B2561" s="75" t="str">
        <f t="shared" si="90"/>
        <v>Liquidez Consolidación de Pasivos PF No_Premier Normal Pago_Fijo_Puntual 6 0.12</v>
      </c>
      <c r="C2561" s="75" t="s">
        <v>390</v>
      </c>
      <c r="D2561" s="75" t="s">
        <v>132</v>
      </c>
      <c r="E2561" s="75" t="s">
        <v>179</v>
      </c>
      <c r="F2561" s="75" t="s">
        <v>180</v>
      </c>
      <c r="G2561" s="75"/>
      <c r="H2561" s="75"/>
      <c r="I2561" s="75" t="s">
        <v>171</v>
      </c>
      <c r="J2561" s="76">
        <v>6</v>
      </c>
      <c r="K2561" s="519" t="s">
        <v>387</v>
      </c>
      <c r="L2561" s="520">
        <v>19.61</v>
      </c>
      <c r="M2561" s="520">
        <v>21.22</v>
      </c>
      <c r="N2561" s="507">
        <v>0.12</v>
      </c>
      <c r="O2561" s="507">
        <v>0.11700000000000001</v>
      </c>
      <c r="P2561" s="507">
        <v>0.129</v>
      </c>
      <c r="Q2561" s="78">
        <v>0.44</v>
      </c>
      <c r="R2561" s="78">
        <v>0.31740000000000002</v>
      </c>
      <c r="S2561" s="69">
        <v>2.5000000000000001E-2</v>
      </c>
      <c r="T2561" s="69">
        <v>0.01</v>
      </c>
      <c r="U2561" s="507">
        <v>0.75</v>
      </c>
      <c r="V2561" s="76">
        <v>0</v>
      </c>
      <c r="W2561" s="76">
        <v>250</v>
      </c>
      <c r="X2561" s="76"/>
      <c r="Y2561" s="76"/>
    </row>
    <row r="2562" spans="1:25" x14ac:dyDescent="0.25">
      <c r="A2562" s="75" t="str">
        <f t="shared" si="91"/>
        <v>Liquidez Consolidación de Pasivos PF No_Premier Normal Pago_Fijo_Puntual 5</v>
      </c>
      <c r="B2562" s="75" t="str">
        <f t="shared" si="90"/>
        <v>Liquidez Consolidación de Pasivos PF No_Premier Normal Pago_Fijo_Puntual 5 0.12</v>
      </c>
      <c r="C2562" s="75" t="s">
        <v>390</v>
      </c>
      <c r="D2562" s="75" t="s">
        <v>132</v>
      </c>
      <c r="E2562" s="75" t="s">
        <v>179</v>
      </c>
      <c r="F2562" s="75" t="s">
        <v>180</v>
      </c>
      <c r="G2562" s="75"/>
      <c r="H2562" s="75"/>
      <c r="I2562" s="75" t="s">
        <v>171</v>
      </c>
      <c r="J2562" s="76">
        <v>5</v>
      </c>
      <c r="K2562" s="519" t="s">
        <v>387</v>
      </c>
      <c r="L2562" s="520">
        <v>22.29</v>
      </c>
      <c r="M2562" s="520">
        <v>23.9</v>
      </c>
      <c r="N2562" s="507">
        <v>0.12</v>
      </c>
      <c r="O2562" s="507">
        <v>0.11700000000000001</v>
      </c>
      <c r="P2562" s="507">
        <v>0.129</v>
      </c>
      <c r="Q2562" s="78">
        <v>0.44</v>
      </c>
      <c r="R2562" s="78">
        <v>0.31740000000000002</v>
      </c>
      <c r="S2562" s="69">
        <v>2.5000000000000001E-2</v>
      </c>
      <c r="T2562" s="69">
        <v>0.01</v>
      </c>
      <c r="U2562" s="507">
        <v>0.75</v>
      </c>
      <c r="V2562" s="76">
        <v>0</v>
      </c>
      <c r="W2562" s="76">
        <v>250</v>
      </c>
      <c r="X2562" s="76"/>
      <c r="Y2562" s="76"/>
    </row>
    <row r="2563" spans="1:25" x14ac:dyDescent="0.25">
      <c r="A2563" s="75" t="str">
        <f t="shared" si="91"/>
        <v>Liquidez Consolidación de Pasivos PFAE No_Premier Normal Pago_Fijo_Puntual 15</v>
      </c>
      <c r="B2563" s="75" t="str">
        <f t="shared" si="90"/>
        <v>Liquidez Consolidación de Pasivos PFAE No_Premier Normal Pago_Fijo_Puntual 15 0.12</v>
      </c>
      <c r="C2563" s="75" t="s">
        <v>390</v>
      </c>
      <c r="D2563" s="75" t="s">
        <v>168</v>
      </c>
      <c r="E2563" s="75" t="s">
        <v>179</v>
      </c>
      <c r="F2563" s="75" t="s">
        <v>180</v>
      </c>
      <c r="G2563" s="75"/>
      <c r="H2563" s="75"/>
      <c r="I2563" s="75" t="s">
        <v>171</v>
      </c>
      <c r="J2563" s="76">
        <v>15</v>
      </c>
      <c r="K2563" s="519" t="s">
        <v>387</v>
      </c>
      <c r="L2563" s="520">
        <v>12.24</v>
      </c>
      <c r="M2563" s="520">
        <v>13.85</v>
      </c>
      <c r="N2563" s="507">
        <v>0.12</v>
      </c>
      <c r="O2563" s="507">
        <v>0.11700000000000001</v>
      </c>
      <c r="P2563" s="507">
        <v>0.129</v>
      </c>
      <c r="Q2563" s="78">
        <v>0.44</v>
      </c>
      <c r="R2563" s="78">
        <v>0.31740000000000002</v>
      </c>
      <c r="S2563" s="69">
        <v>2.5000000000000001E-2</v>
      </c>
      <c r="T2563" s="69">
        <v>0.01</v>
      </c>
      <c r="U2563" s="507">
        <v>0.75</v>
      </c>
      <c r="V2563" s="76">
        <v>0</v>
      </c>
      <c r="W2563" s="76">
        <v>250</v>
      </c>
      <c r="X2563" s="76"/>
      <c r="Y2563" s="76"/>
    </row>
    <row r="2564" spans="1:25" x14ac:dyDescent="0.25">
      <c r="A2564" s="75" t="str">
        <f t="shared" si="91"/>
        <v>Liquidez Consolidación de Pasivos PFAE No_Premier Normal Pago_Fijo_Puntual 14</v>
      </c>
      <c r="B2564" s="75" t="str">
        <f t="shared" si="90"/>
        <v>Liquidez Consolidación de Pasivos PFAE No_Premier Normal Pago_Fijo_Puntual 14 0.12</v>
      </c>
      <c r="C2564" s="75" t="s">
        <v>390</v>
      </c>
      <c r="D2564" s="75" t="s">
        <v>168</v>
      </c>
      <c r="E2564" s="75" t="s">
        <v>179</v>
      </c>
      <c r="F2564" s="75" t="s">
        <v>180</v>
      </c>
      <c r="G2564" s="75"/>
      <c r="H2564" s="75"/>
      <c r="I2564" s="75" t="s">
        <v>171</v>
      </c>
      <c r="J2564" s="76">
        <v>14</v>
      </c>
      <c r="K2564" s="519" t="s">
        <v>387</v>
      </c>
      <c r="L2564" s="520">
        <v>12.54</v>
      </c>
      <c r="M2564" s="520">
        <v>14.15</v>
      </c>
      <c r="N2564" s="507">
        <v>0.12</v>
      </c>
      <c r="O2564" s="507">
        <v>0.11700000000000001</v>
      </c>
      <c r="P2564" s="507">
        <v>0.129</v>
      </c>
      <c r="Q2564" s="78">
        <v>0.44</v>
      </c>
      <c r="R2564" s="78">
        <v>0.31740000000000002</v>
      </c>
      <c r="S2564" s="69">
        <v>2.5000000000000001E-2</v>
      </c>
      <c r="T2564" s="69">
        <v>0.01</v>
      </c>
      <c r="U2564" s="507">
        <v>0.75</v>
      </c>
      <c r="V2564" s="76">
        <v>0</v>
      </c>
      <c r="W2564" s="76">
        <v>250</v>
      </c>
      <c r="X2564" s="76"/>
      <c r="Y2564" s="76"/>
    </row>
    <row r="2565" spans="1:25" x14ac:dyDescent="0.25">
      <c r="A2565" s="75" t="str">
        <f t="shared" si="91"/>
        <v>Liquidez Consolidación de Pasivos PFAE No_Premier Normal Pago_Fijo_Puntual 13</v>
      </c>
      <c r="B2565" s="75" t="str">
        <f t="shared" si="90"/>
        <v>Liquidez Consolidación de Pasivos PFAE No_Premier Normal Pago_Fijo_Puntual 13 0.12</v>
      </c>
      <c r="C2565" s="75" t="s">
        <v>390</v>
      </c>
      <c r="D2565" s="75" t="s">
        <v>168</v>
      </c>
      <c r="E2565" s="75" t="s">
        <v>179</v>
      </c>
      <c r="F2565" s="75" t="s">
        <v>180</v>
      </c>
      <c r="G2565" s="75"/>
      <c r="H2565" s="75"/>
      <c r="I2565" s="75" t="s">
        <v>171</v>
      </c>
      <c r="J2565" s="76">
        <v>13</v>
      </c>
      <c r="K2565" s="519" t="s">
        <v>387</v>
      </c>
      <c r="L2565" s="520">
        <v>12.9</v>
      </c>
      <c r="M2565" s="520">
        <v>14.51</v>
      </c>
      <c r="N2565" s="507">
        <v>0.12</v>
      </c>
      <c r="O2565" s="507">
        <v>0.11700000000000001</v>
      </c>
      <c r="P2565" s="507">
        <v>0.129</v>
      </c>
      <c r="Q2565" s="78">
        <v>0.44</v>
      </c>
      <c r="R2565" s="78">
        <v>0.31740000000000002</v>
      </c>
      <c r="S2565" s="69">
        <v>2.5000000000000001E-2</v>
      </c>
      <c r="T2565" s="69">
        <v>0.01</v>
      </c>
      <c r="U2565" s="507">
        <v>0.75</v>
      </c>
      <c r="V2565" s="76">
        <v>0</v>
      </c>
      <c r="W2565" s="76">
        <v>250</v>
      </c>
      <c r="X2565" s="76"/>
      <c r="Y2565" s="76"/>
    </row>
    <row r="2566" spans="1:25" x14ac:dyDescent="0.25">
      <c r="A2566" s="75" t="str">
        <f t="shared" si="91"/>
        <v>Liquidez Consolidación de Pasivos PFAE No_Premier Normal Pago_Fijo_Puntual 12</v>
      </c>
      <c r="B2566" s="75" t="str">
        <f t="shared" si="90"/>
        <v>Liquidez Consolidación de Pasivos PFAE No_Premier Normal Pago_Fijo_Puntual 12 0.12</v>
      </c>
      <c r="C2566" s="75" t="s">
        <v>390</v>
      </c>
      <c r="D2566" s="75" t="s">
        <v>168</v>
      </c>
      <c r="E2566" s="75" t="s">
        <v>179</v>
      </c>
      <c r="F2566" s="75" t="s">
        <v>180</v>
      </c>
      <c r="G2566" s="75"/>
      <c r="H2566" s="75"/>
      <c r="I2566" s="75" t="s">
        <v>171</v>
      </c>
      <c r="J2566" s="76">
        <v>12</v>
      </c>
      <c r="K2566" s="519" t="s">
        <v>387</v>
      </c>
      <c r="L2566" s="520">
        <v>13.33</v>
      </c>
      <c r="M2566" s="520">
        <v>14.94</v>
      </c>
      <c r="N2566" s="507">
        <v>0.12</v>
      </c>
      <c r="O2566" s="507">
        <v>0.11700000000000001</v>
      </c>
      <c r="P2566" s="507">
        <v>0.129</v>
      </c>
      <c r="Q2566" s="78">
        <v>0.44</v>
      </c>
      <c r="R2566" s="78">
        <v>0.31740000000000002</v>
      </c>
      <c r="S2566" s="69">
        <v>2.5000000000000001E-2</v>
      </c>
      <c r="T2566" s="69">
        <v>0.01</v>
      </c>
      <c r="U2566" s="507">
        <v>0.75</v>
      </c>
      <c r="V2566" s="76">
        <v>0</v>
      </c>
      <c r="W2566" s="76">
        <v>250</v>
      </c>
      <c r="X2566" s="76"/>
      <c r="Y2566" s="76"/>
    </row>
    <row r="2567" spans="1:25" x14ac:dyDescent="0.25">
      <c r="A2567" s="75" t="str">
        <f t="shared" si="91"/>
        <v>Liquidez Consolidación de Pasivos PFAE No_Premier Normal Pago_Fijo_Puntual 11</v>
      </c>
      <c r="B2567" s="75" t="str">
        <f t="shared" si="90"/>
        <v>Liquidez Consolidación de Pasivos PFAE No_Premier Normal Pago_Fijo_Puntual 11 0.12</v>
      </c>
      <c r="C2567" s="75" t="s">
        <v>390</v>
      </c>
      <c r="D2567" s="75" t="s">
        <v>168</v>
      </c>
      <c r="E2567" s="75" t="s">
        <v>179</v>
      </c>
      <c r="F2567" s="75" t="s">
        <v>180</v>
      </c>
      <c r="G2567" s="75"/>
      <c r="H2567" s="75"/>
      <c r="I2567" s="75" t="s">
        <v>171</v>
      </c>
      <c r="J2567" s="76">
        <v>11</v>
      </c>
      <c r="K2567" s="519" t="s">
        <v>387</v>
      </c>
      <c r="L2567" s="520">
        <v>13.85</v>
      </c>
      <c r="M2567" s="520">
        <v>15.46</v>
      </c>
      <c r="N2567" s="507">
        <v>0.12</v>
      </c>
      <c r="O2567" s="507">
        <v>0.11700000000000001</v>
      </c>
      <c r="P2567" s="507">
        <v>0.129</v>
      </c>
      <c r="Q2567" s="78">
        <v>0.44</v>
      </c>
      <c r="R2567" s="78">
        <v>0.31740000000000002</v>
      </c>
      <c r="S2567" s="69">
        <v>2.5000000000000001E-2</v>
      </c>
      <c r="T2567" s="69">
        <v>0.01</v>
      </c>
      <c r="U2567" s="507">
        <v>0.75</v>
      </c>
      <c r="V2567" s="76">
        <v>0</v>
      </c>
      <c r="W2567" s="76">
        <v>250</v>
      </c>
      <c r="X2567" s="76"/>
      <c r="Y2567" s="76"/>
    </row>
    <row r="2568" spans="1:25" x14ac:dyDescent="0.25">
      <c r="A2568" s="75" t="str">
        <f t="shared" si="91"/>
        <v>Liquidez Consolidación de Pasivos PFAE No_Premier Normal Pago_Fijo_Puntual 10</v>
      </c>
      <c r="B2568" s="75" t="str">
        <f t="shared" si="90"/>
        <v>Liquidez Consolidación de Pasivos PFAE No_Premier Normal Pago_Fijo_Puntual 10 0.12</v>
      </c>
      <c r="C2568" s="75" t="s">
        <v>390</v>
      </c>
      <c r="D2568" s="75" t="s">
        <v>168</v>
      </c>
      <c r="E2568" s="75" t="s">
        <v>179</v>
      </c>
      <c r="F2568" s="75" t="s">
        <v>180</v>
      </c>
      <c r="G2568" s="75"/>
      <c r="H2568" s="75"/>
      <c r="I2568" s="75" t="s">
        <v>171</v>
      </c>
      <c r="J2568" s="76">
        <v>10</v>
      </c>
      <c r="K2568" s="519" t="s">
        <v>387</v>
      </c>
      <c r="L2568" s="520">
        <v>14.5</v>
      </c>
      <c r="M2568" s="520">
        <v>16.11</v>
      </c>
      <c r="N2568" s="507">
        <v>0.12</v>
      </c>
      <c r="O2568" s="507">
        <v>0.11700000000000001</v>
      </c>
      <c r="P2568" s="507">
        <v>0.129</v>
      </c>
      <c r="Q2568" s="78">
        <v>0.44</v>
      </c>
      <c r="R2568" s="78">
        <v>0.31740000000000002</v>
      </c>
      <c r="S2568" s="69">
        <v>2.5000000000000001E-2</v>
      </c>
      <c r="T2568" s="69">
        <v>0.01</v>
      </c>
      <c r="U2568" s="507">
        <v>0.75</v>
      </c>
      <c r="V2568" s="76">
        <v>0</v>
      </c>
      <c r="W2568" s="76">
        <v>250</v>
      </c>
      <c r="X2568" s="76"/>
      <c r="Y2568" s="76"/>
    </row>
    <row r="2569" spans="1:25" x14ac:dyDescent="0.25">
      <c r="A2569" s="75" t="str">
        <f t="shared" si="91"/>
        <v>Liquidez Consolidación de Pasivos PFAE No_Premier Normal Pago_Fijo_Puntual 9</v>
      </c>
      <c r="B2569" s="75" t="str">
        <f t="shared" si="90"/>
        <v>Liquidez Consolidación de Pasivos PFAE No_Premier Normal Pago_Fijo_Puntual 9 0.12</v>
      </c>
      <c r="C2569" s="75" t="s">
        <v>390</v>
      </c>
      <c r="D2569" s="75" t="s">
        <v>168</v>
      </c>
      <c r="E2569" s="75" t="s">
        <v>179</v>
      </c>
      <c r="F2569" s="75" t="s">
        <v>180</v>
      </c>
      <c r="G2569" s="75"/>
      <c r="H2569" s="75"/>
      <c r="I2569" s="75" t="s">
        <v>171</v>
      </c>
      <c r="J2569" s="76">
        <v>9</v>
      </c>
      <c r="K2569" s="519" t="s">
        <v>387</v>
      </c>
      <c r="L2569" s="520">
        <v>15.31</v>
      </c>
      <c r="M2569" s="520">
        <v>16.920000000000002</v>
      </c>
      <c r="N2569" s="507">
        <v>0.12</v>
      </c>
      <c r="O2569" s="507">
        <v>0.11700000000000001</v>
      </c>
      <c r="P2569" s="507">
        <v>0.129</v>
      </c>
      <c r="Q2569" s="78">
        <v>0.44</v>
      </c>
      <c r="R2569" s="78">
        <v>0.31740000000000002</v>
      </c>
      <c r="S2569" s="69">
        <v>2.5000000000000001E-2</v>
      </c>
      <c r="T2569" s="69">
        <v>0.01</v>
      </c>
      <c r="U2569" s="507">
        <v>0.75</v>
      </c>
      <c r="V2569" s="76">
        <v>0</v>
      </c>
      <c r="W2569" s="76">
        <v>250</v>
      </c>
      <c r="X2569" s="76"/>
      <c r="Y2569" s="76"/>
    </row>
    <row r="2570" spans="1:25" x14ac:dyDescent="0.25">
      <c r="A2570" s="75" t="str">
        <f t="shared" si="91"/>
        <v>Liquidez Consolidación de Pasivos PFAE No_Premier Normal Pago_Fijo_Puntual 8</v>
      </c>
      <c r="B2570" s="75" t="str">
        <f t="shared" si="90"/>
        <v>Liquidez Consolidación de Pasivos PFAE No_Premier Normal Pago_Fijo_Puntual 8 0.12</v>
      </c>
      <c r="C2570" s="75" t="s">
        <v>390</v>
      </c>
      <c r="D2570" s="75" t="s">
        <v>168</v>
      </c>
      <c r="E2570" s="75" t="s">
        <v>179</v>
      </c>
      <c r="F2570" s="75" t="s">
        <v>180</v>
      </c>
      <c r="G2570" s="75"/>
      <c r="H2570" s="75"/>
      <c r="I2570" s="75" t="s">
        <v>171</v>
      </c>
      <c r="J2570" s="76">
        <v>8</v>
      </c>
      <c r="K2570" s="519" t="s">
        <v>387</v>
      </c>
      <c r="L2570" s="520">
        <v>16.36</v>
      </c>
      <c r="M2570" s="520">
        <v>17.97</v>
      </c>
      <c r="N2570" s="507">
        <v>0.12</v>
      </c>
      <c r="O2570" s="507">
        <v>0.11700000000000001</v>
      </c>
      <c r="P2570" s="507">
        <v>0.129</v>
      </c>
      <c r="Q2570" s="78">
        <v>0.44</v>
      </c>
      <c r="R2570" s="78">
        <v>0.31740000000000002</v>
      </c>
      <c r="S2570" s="69">
        <v>2.5000000000000001E-2</v>
      </c>
      <c r="T2570" s="69">
        <v>0.01</v>
      </c>
      <c r="U2570" s="507">
        <v>0.75</v>
      </c>
      <c r="V2570" s="76">
        <v>0</v>
      </c>
      <c r="W2570" s="76">
        <v>250</v>
      </c>
      <c r="X2570" s="76"/>
      <c r="Y2570" s="76"/>
    </row>
    <row r="2571" spans="1:25" x14ac:dyDescent="0.25">
      <c r="A2571" s="75" t="str">
        <f t="shared" si="91"/>
        <v>Liquidez Consolidación de Pasivos PFAE No_Premier Normal Pago_Fijo_Puntual 7</v>
      </c>
      <c r="B2571" s="75" t="str">
        <f t="shared" si="90"/>
        <v>Liquidez Consolidación de Pasivos PFAE No_Premier Normal Pago_Fijo_Puntual 7 0.12</v>
      </c>
      <c r="C2571" s="75" t="s">
        <v>390</v>
      </c>
      <c r="D2571" s="75" t="s">
        <v>168</v>
      </c>
      <c r="E2571" s="75" t="s">
        <v>179</v>
      </c>
      <c r="F2571" s="75" t="s">
        <v>180</v>
      </c>
      <c r="G2571" s="75"/>
      <c r="H2571" s="75"/>
      <c r="I2571" s="75" t="s">
        <v>171</v>
      </c>
      <c r="J2571" s="76">
        <v>7</v>
      </c>
      <c r="K2571" s="519" t="s">
        <v>387</v>
      </c>
      <c r="L2571" s="520">
        <v>17.739999999999998</v>
      </c>
      <c r="M2571" s="520">
        <v>19.350000000000001</v>
      </c>
      <c r="N2571" s="507">
        <v>0.12</v>
      </c>
      <c r="O2571" s="507">
        <v>0.11700000000000001</v>
      </c>
      <c r="P2571" s="507">
        <v>0.129</v>
      </c>
      <c r="Q2571" s="78">
        <v>0.44</v>
      </c>
      <c r="R2571" s="78">
        <v>0.31740000000000002</v>
      </c>
      <c r="S2571" s="69">
        <v>2.5000000000000001E-2</v>
      </c>
      <c r="T2571" s="69">
        <v>0.01</v>
      </c>
      <c r="U2571" s="507">
        <v>0.75</v>
      </c>
      <c r="V2571" s="76">
        <v>0</v>
      </c>
      <c r="W2571" s="76">
        <v>250</v>
      </c>
      <c r="X2571" s="76"/>
      <c r="Y2571" s="76"/>
    </row>
    <row r="2572" spans="1:25" x14ac:dyDescent="0.25">
      <c r="A2572" s="75" t="str">
        <f t="shared" si="91"/>
        <v>Liquidez Consolidación de Pasivos PFAE No_Premier Normal Pago_Fijo_Puntual 6</v>
      </c>
      <c r="B2572" s="75" t="str">
        <f t="shared" si="90"/>
        <v>Liquidez Consolidación de Pasivos PFAE No_Premier Normal Pago_Fijo_Puntual 6 0.12</v>
      </c>
      <c r="C2572" s="75" t="s">
        <v>390</v>
      </c>
      <c r="D2572" s="75" t="s">
        <v>168</v>
      </c>
      <c r="E2572" s="75" t="s">
        <v>179</v>
      </c>
      <c r="F2572" s="75" t="s">
        <v>180</v>
      </c>
      <c r="G2572" s="75"/>
      <c r="H2572" s="75"/>
      <c r="I2572" s="75" t="s">
        <v>171</v>
      </c>
      <c r="J2572" s="76">
        <v>6</v>
      </c>
      <c r="K2572" s="519" t="s">
        <v>387</v>
      </c>
      <c r="L2572" s="520">
        <v>19.61</v>
      </c>
      <c r="M2572" s="520">
        <v>21.22</v>
      </c>
      <c r="N2572" s="507">
        <v>0.12</v>
      </c>
      <c r="O2572" s="507">
        <v>0.11700000000000001</v>
      </c>
      <c r="P2572" s="507">
        <v>0.129</v>
      </c>
      <c r="Q2572" s="78">
        <v>0.44</v>
      </c>
      <c r="R2572" s="78">
        <v>0.31740000000000002</v>
      </c>
      <c r="S2572" s="69">
        <v>2.5000000000000001E-2</v>
      </c>
      <c r="T2572" s="69">
        <v>0.01</v>
      </c>
      <c r="U2572" s="507">
        <v>0.75</v>
      </c>
      <c r="V2572" s="76">
        <v>0</v>
      </c>
      <c r="W2572" s="76">
        <v>250</v>
      </c>
      <c r="X2572" s="76"/>
      <c r="Y2572" s="76"/>
    </row>
    <row r="2573" spans="1:25" x14ac:dyDescent="0.25">
      <c r="A2573" s="75" t="str">
        <f t="shared" si="91"/>
        <v>Liquidez Consolidación de Pasivos PFAE No_Premier Normal Pago_Fijo_Puntual 5</v>
      </c>
      <c r="B2573" s="75" t="str">
        <f t="shared" si="90"/>
        <v>Liquidez Consolidación de Pasivos PFAE No_Premier Normal Pago_Fijo_Puntual 5 0.12</v>
      </c>
      <c r="C2573" s="75" t="s">
        <v>390</v>
      </c>
      <c r="D2573" s="75" t="s">
        <v>168</v>
      </c>
      <c r="E2573" s="75" t="s">
        <v>179</v>
      </c>
      <c r="F2573" s="75" t="s">
        <v>180</v>
      </c>
      <c r="G2573" s="75"/>
      <c r="H2573" s="75"/>
      <c r="I2573" s="75" t="s">
        <v>171</v>
      </c>
      <c r="J2573" s="76">
        <v>5</v>
      </c>
      <c r="K2573" s="519" t="s">
        <v>387</v>
      </c>
      <c r="L2573" s="520">
        <v>22.29</v>
      </c>
      <c r="M2573" s="520">
        <v>23.9</v>
      </c>
      <c r="N2573" s="507">
        <v>0.12</v>
      </c>
      <c r="O2573" s="507">
        <v>0.11700000000000001</v>
      </c>
      <c r="P2573" s="507">
        <v>0.129</v>
      </c>
      <c r="Q2573" s="78">
        <v>0.44</v>
      </c>
      <c r="R2573" s="78">
        <v>0.31740000000000002</v>
      </c>
      <c r="S2573" s="69">
        <v>2.5000000000000001E-2</v>
      </c>
      <c r="T2573" s="69">
        <v>0.01</v>
      </c>
      <c r="U2573" s="507">
        <v>0.75</v>
      </c>
      <c r="V2573" s="76">
        <v>0</v>
      </c>
      <c r="W2573" s="76">
        <v>250</v>
      </c>
      <c r="X2573" s="76"/>
      <c r="Y2573" s="76"/>
    </row>
    <row r="2574" spans="1:25" x14ac:dyDescent="0.25">
      <c r="A2574" s="75" t="str">
        <f t="shared" si="91"/>
        <v>Liquidez Consolidación de Pasivos PROF No_Premier Normal Pago_Fijo_Puntual 15</v>
      </c>
      <c r="B2574" s="75" t="str">
        <f t="shared" si="90"/>
        <v>Liquidez Consolidación de Pasivos PROF No_Premier Normal Pago_Fijo_Puntual 15 0.12</v>
      </c>
      <c r="C2574" s="75" t="s">
        <v>390</v>
      </c>
      <c r="D2574" s="75" t="s">
        <v>169</v>
      </c>
      <c r="E2574" s="75" t="s">
        <v>179</v>
      </c>
      <c r="F2574" s="75" t="s">
        <v>180</v>
      </c>
      <c r="G2574" s="75"/>
      <c r="H2574" s="75"/>
      <c r="I2574" s="75" t="s">
        <v>171</v>
      </c>
      <c r="J2574" s="76">
        <v>15</v>
      </c>
      <c r="K2574" s="519" t="s">
        <v>387</v>
      </c>
      <c r="L2574" s="520">
        <v>12.24</v>
      </c>
      <c r="M2574" s="520">
        <v>13.85</v>
      </c>
      <c r="N2574" s="507">
        <v>0.12</v>
      </c>
      <c r="O2574" s="507">
        <v>0.11700000000000001</v>
      </c>
      <c r="P2574" s="507">
        <v>0.129</v>
      </c>
      <c r="Q2574" s="78">
        <v>0.44</v>
      </c>
      <c r="R2574" s="78">
        <v>0.31740000000000002</v>
      </c>
      <c r="S2574" s="69">
        <v>2.5000000000000001E-2</v>
      </c>
      <c r="T2574" s="69">
        <v>0.01</v>
      </c>
      <c r="U2574" s="507">
        <v>0.75</v>
      </c>
      <c r="V2574" s="76">
        <v>0</v>
      </c>
      <c r="W2574" s="76">
        <v>250</v>
      </c>
      <c r="X2574" s="76"/>
      <c r="Y2574" s="76"/>
    </row>
    <row r="2575" spans="1:25" x14ac:dyDescent="0.25">
      <c r="A2575" s="75" t="str">
        <f t="shared" si="91"/>
        <v>Liquidez Consolidación de Pasivos PROF No_Premier Normal Pago_Fijo_Puntual 14</v>
      </c>
      <c r="B2575" s="75" t="str">
        <f t="shared" si="90"/>
        <v>Liquidez Consolidación de Pasivos PROF No_Premier Normal Pago_Fijo_Puntual 14 0.12</v>
      </c>
      <c r="C2575" s="75" t="s">
        <v>390</v>
      </c>
      <c r="D2575" s="75" t="s">
        <v>169</v>
      </c>
      <c r="E2575" s="75" t="s">
        <v>179</v>
      </c>
      <c r="F2575" s="75" t="s">
        <v>180</v>
      </c>
      <c r="G2575" s="75"/>
      <c r="H2575" s="75"/>
      <c r="I2575" s="75" t="s">
        <v>171</v>
      </c>
      <c r="J2575" s="76">
        <v>14</v>
      </c>
      <c r="K2575" s="519" t="s">
        <v>387</v>
      </c>
      <c r="L2575" s="520">
        <v>12.54</v>
      </c>
      <c r="M2575" s="520">
        <v>14.15</v>
      </c>
      <c r="N2575" s="507">
        <v>0.12</v>
      </c>
      <c r="O2575" s="507">
        <v>0.11700000000000001</v>
      </c>
      <c r="P2575" s="507">
        <v>0.129</v>
      </c>
      <c r="Q2575" s="78">
        <v>0.44</v>
      </c>
      <c r="R2575" s="78">
        <v>0.31740000000000002</v>
      </c>
      <c r="S2575" s="69">
        <v>2.5000000000000001E-2</v>
      </c>
      <c r="T2575" s="69">
        <v>0.01</v>
      </c>
      <c r="U2575" s="507">
        <v>0.75</v>
      </c>
      <c r="V2575" s="76">
        <v>0</v>
      </c>
      <c r="W2575" s="76">
        <v>250</v>
      </c>
      <c r="X2575" s="76"/>
      <c r="Y2575" s="76"/>
    </row>
    <row r="2576" spans="1:25" x14ac:dyDescent="0.25">
      <c r="A2576" s="75" t="str">
        <f t="shared" si="91"/>
        <v>Liquidez Consolidación de Pasivos PROF No_Premier Normal Pago_Fijo_Puntual 13</v>
      </c>
      <c r="B2576" s="75" t="str">
        <f t="shared" si="90"/>
        <v>Liquidez Consolidación de Pasivos PROF No_Premier Normal Pago_Fijo_Puntual 13 0.12</v>
      </c>
      <c r="C2576" s="75" t="s">
        <v>390</v>
      </c>
      <c r="D2576" s="75" t="s">
        <v>169</v>
      </c>
      <c r="E2576" s="75" t="s">
        <v>179</v>
      </c>
      <c r="F2576" s="75" t="s">
        <v>180</v>
      </c>
      <c r="G2576" s="75"/>
      <c r="H2576" s="75"/>
      <c r="I2576" s="75" t="s">
        <v>171</v>
      </c>
      <c r="J2576" s="76">
        <v>13</v>
      </c>
      <c r="K2576" s="519" t="s">
        <v>387</v>
      </c>
      <c r="L2576" s="520">
        <v>12.9</v>
      </c>
      <c r="M2576" s="520">
        <v>14.51</v>
      </c>
      <c r="N2576" s="507">
        <v>0.12</v>
      </c>
      <c r="O2576" s="507">
        <v>0.11700000000000001</v>
      </c>
      <c r="P2576" s="507">
        <v>0.129</v>
      </c>
      <c r="Q2576" s="78">
        <v>0.44</v>
      </c>
      <c r="R2576" s="78">
        <v>0.31740000000000002</v>
      </c>
      <c r="S2576" s="69">
        <v>2.5000000000000001E-2</v>
      </c>
      <c r="T2576" s="69">
        <v>0.01</v>
      </c>
      <c r="U2576" s="507">
        <v>0.75</v>
      </c>
      <c r="V2576" s="76">
        <v>0</v>
      </c>
      <c r="W2576" s="76">
        <v>250</v>
      </c>
      <c r="X2576" s="76"/>
      <c r="Y2576" s="76"/>
    </row>
    <row r="2577" spans="1:25" x14ac:dyDescent="0.25">
      <c r="A2577" s="75" t="str">
        <f t="shared" si="91"/>
        <v>Liquidez Consolidación de Pasivos PROF No_Premier Normal Pago_Fijo_Puntual 12</v>
      </c>
      <c r="B2577" s="75" t="str">
        <f t="shared" si="90"/>
        <v>Liquidez Consolidación de Pasivos PROF No_Premier Normal Pago_Fijo_Puntual 12 0.12</v>
      </c>
      <c r="C2577" s="75" t="s">
        <v>390</v>
      </c>
      <c r="D2577" s="75" t="s">
        <v>169</v>
      </c>
      <c r="E2577" s="75" t="s">
        <v>179</v>
      </c>
      <c r="F2577" s="75" t="s">
        <v>180</v>
      </c>
      <c r="G2577" s="75"/>
      <c r="H2577" s="75"/>
      <c r="I2577" s="75" t="s">
        <v>171</v>
      </c>
      <c r="J2577" s="76">
        <v>12</v>
      </c>
      <c r="K2577" s="519" t="s">
        <v>387</v>
      </c>
      <c r="L2577" s="520">
        <v>13.33</v>
      </c>
      <c r="M2577" s="520">
        <v>14.94</v>
      </c>
      <c r="N2577" s="507">
        <v>0.12</v>
      </c>
      <c r="O2577" s="507">
        <v>0.11700000000000001</v>
      </c>
      <c r="P2577" s="507">
        <v>0.129</v>
      </c>
      <c r="Q2577" s="78">
        <v>0.44</v>
      </c>
      <c r="R2577" s="78">
        <v>0.31740000000000002</v>
      </c>
      <c r="S2577" s="69">
        <v>2.5000000000000001E-2</v>
      </c>
      <c r="T2577" s="69">
        <v>0.01</v>
      </c>
      <c r="U2577" s="507">
        <v>0.75</v>
      </c>
      <c r="V2577" s="76">
        <v>0</v>
      </c>
      <c r="W2577" s="76">
        <v>250</v>
      </c>
      <c r="X2577" s="76"/>
      <c r="Y2577" s="76"/>
    </row>
    <row r="2578" spans="1:25" x14ac:dyDescent="0.25">
      <c r="A2578" s="75" t="str">
        <f t="shared" si="91"/>
        <v>Liquidez Consolidación de Pasivos PROF No_Premier Normal Pago_Fijo_Puntual 11</v>
      </c>
      <c r="B2578" s="75" t="str">
        <f t="shared" si="90"/>
        <v>Liquidez Consolidación de Pasivos PROF No_Premier Normal Pago_Fijo_Puntual 11 0.12</v>
      </c>
      <c r="C2578" s="75" t="s">
        <v>390</v>
      </c>
      <c r="D2578" s="75" t="s">
        <v>169</v>
      </c>
      <c r="E2578" s="75" t="s">
        <v>179</v>
      </c>
      <c r="F2578" s="75" t="s">
        <v>180</v>
      </c>
      <c r="G2578" s="75"/>
      <c r="H2578" s="75"/>
      <c r="I2578" s="75" t="s">
        <v>171</v>
      </c>
      <c r="J2578" s="76">
        <v>11</v>
      </c>
      <c r="K2578" s="519" t="s">
        <v>387</v>
      </c>
      <c r="L2578" s="520">
        <v>13.85</v>
      </c>
      <c r="M2578" s="520">
        <v>15.46</v>
      </c>
      <c r="N2578" s="507">
        <v>0.12</v>
      </c>
      <c r="O2578" s="507">
        <v>0.11700000000000001</v>
      </c>
      <c r="P2578" s="507">
        <v>0.129</v>
      </c>
      <c r="Q2578" s="78">
        <v>0.44</v>
      </c>
      <c r="R2578" s="78">
        <v>0.31740000000000002</v>
      </c>
      <c r="S2578" s="69">
        <v>2.5000000000000001E-2</v>
      </c>
      <c r="T2578" s="69">
        <v>0.01</v>
      </c>
      <c r="U2578" s="507">
        <v>0.75</v>
      </c>
      <c r="V2578" s="76">
        <v>0</v>
      </c>
      <c r="W2578" s="76">
        <v>250</v>
      </c>
      <c r="X2578" s="76"/>
      <c r="Y2578" s="76"/>
    </row>
    <row r="2579" spans="1:25" x14ac:dyDescent="0.25">
      <c r="A2579" s="75" t="str">
        <f t="shared" si="91"/>
        <v>Liquidez Consolidación de Pasivos PROF No_Premier Normal Pago_Fijo_Puntual 10</v>
      </c>
      <c r="B2579" s="75" t="str">
        <f t="shared" si="90"/>
        <v>Liquidez Consolidación de Pasivos PROF No_Premier Normal Pago_Fijo_Puntual 10 0.12</v>
      </c>
      <c r="C2579" s="75" t="s">
        <v>390</v>
      </c>
      <c r="D2579" s="75" t="s">
        <v>169</v>
      </c>
      <c r="E2579" s="75" t="s">
        <v>179</v>
      </c>
      <c r="F2579" s="75" t="s">
        <v>180</v>
      </c>
      <c r="G2579" s="75"/>
      <c r="H2579" s="75"/>
      <c r="I2579" s="75" t="s">
        <v>171</v>
      </c>
      <c r="J2579" s="76">
        <v>10</v>
      </c>
      <c r="K2579" s="519" t="s">
        <v>387</v>
      </c>
      <c r="L2579" s="520">
        <v>14.5</v>
      </c>
      <c r="M2579" s="520">
        <v>16.11</v>
      </c>
      <c r="N2579" s="507">
        <v>0.12</v>
      </c>
      <c r="O2579" s="507">
        <v>0.11700000000000001</v>
      </c>
      <c r="P2579" s="507">
        <v>0.129</v>
      </c>
      <c r="Q2579" s="78">
        <v>0.44</v>
      </c>
      <c r="R2579" s="78">
        <v>0.31740000000000002</v>
      </c>
      <c r="S2579" s="69">
        <v>2.5000000000000001E-2</v>
      </c>
      <c r="T2579" s="69">
        <v>0.01</v>
      </c>
      <c r="U2579" s="507">
        <v>0.75</v>
      </c>
      <c r="V2579" s="76">
        <v>0</v>
      </c>
      <c r="W2579" s="76">
        <v>250</v>
      </c>
      <c r="X2579" s="76"/>
      <c r="Y2579" s="76"/>
    </row>
    <row r="2580" spans="1:25" x14ac:dyDescent="0.25">
      <c r="A2580" s="75" t="str">
        <f t="shared" si="91"/>
        <v>Liquidez Consolidación de Pasivos PROF No_Premier Normal Pago_Fijo_Puntual 9</v>
      </c>
      <c r="B2580" s="75" t="str">
        <f t="shared" si="90"/>
        <v>Liquidez Consolidación de Pasivos PROF No_Premier Normal Pago_Fijo_Puntual 9 0.12</v>
      </c>
      <c r="C2580" s="75" t="s">
        <v>390</v>
      </c>
      <c r="D2580" s="75" t="s">
        <v>169</v>
      </c>
      <c r="E2580" s="75" t="s">
        <v>179</v>
      </c>
      <c r="F2580" s="75" t="s">
        <v>180</v>
      </c>
      <c r="G2580" s="75"/>
      <c r="H2580" s="75"/>
      <c r="I2580" s="75" t="s">
        <v>171</v>
      </c>
      <c r="J2580" s="76">
        <v>9</v>
      </c>
      <c r="K2580" s="519" t="s">
        <v>387</v>
      </c>
      <c r="L2580" s="520">
        <v>15.31</v>
      </c>
      <c r="M2580" s="520">
        <v>16.920000000000002</v>
      </c>
      <c r="N2580" s="507">
        <v>0.12</v>
      </c>
      <c r="O2580" s="507">
        <v>0.11700000000000001</v>
      </c>
      <c r="P2580" s="507">
        <v>0.129</v>
      </c>
      <c r="Q2580" s="78">
        <v>0.44</v>
      </c>
      <c r="R2580" s="78">
        <v>0.31740000000000002</v>
      </c>
      <c r="S2580" s="69">
        <v>2.5000000000000001E-2</v>
      </c>
      <c r="T2580" s="69">
        <v>0.01</v>
      </c>
      <c r="U2580" s="507">
        <v>0.75</v>
      </c>
      <c r="V2580" s="76">
        <v>0</v>
      </c>
      <c r="W2580" s="76">
        <v>250</v>
      </c>
      <c r="X2580" s="76"/>
      <c r="Y2580" s="76"/>
    </row>
    <row r="2581" spans="1:25" x14ac:dyDescent="0.25">
      <c r="A2581" s="75" t="str">
        <f t="shared" si="91"/>
        <v>Liquidez Consolidación de Pasivos PROF No_Premier Normal Pago_Fijo_Puntual 8</v>
      </c>
      <c r="B2581" s="75" t="str">
        <f t="shared" si="90"/>
        <v>Liquidez Consolidación de Pasivos PROF No_Premier Normal Pago_Fijo_Puntual 8 0.12</v>
      </c>
      <c r="C2581" s="75" t="s">
        <v>390</v>
      </c>
      <c r="D2581" s="75" t="s">
        <v>169</v>
      </c>
      <c r="E2581" s="75" t="s">
        <v>179</v>
      </c>
      <c r="F2581" s="75" t="s">
        <v>180</v>
      </c>
      <c r="G2581" s="75"/>
      <c r="H2581" s="75"/>
      <c r="I2581" s="75" t="s">
        <v>171</v>
      </c>
      <c r="J2581" s="76">
        <v>8</v>
      </c>
      <c r="K2581" s="519" t="s">
        <v>387</v>
      </c>
      <c r="L2581" s="520">
        <v>16.36</v>
      </c>
      <c r="M2581" s="520">
        <v>17.97</v>
      </c>
      <c r="N2581" s="507">
        <v>0.12</v>
      </c>
      <c r="O2581" s="507">
        <v>0.11700000000000001</v>
      </c>
      <c r="P2581" s="507">
        <v>0.129</v>
      </c>
      <c r="Q2581" s="78">
        <v>0.44</v>
      </c>
      <c r="R2581" s="78">
        <v>0.31740000000000002</v>
      </c>
      <c r="S2581" s="69">
        <v>2.5000000000000001E-2</v>
      </c>
      <c r="T2581" s="69">
        <v>0.01</v>
      </c>
      <c r="U2581" s="507">
        <v>0.75</v>
      </c>
      <c r="V2581" s="76">
        <v>0</v>
      </c>
      <c r="W2581" s="76">
        <v>250</v>
      </c>
      <c r="X2581" s="76"/>
      <c r="Y2581" s="76"/>
    </row>
    <row r="2582" spans="1:25" x14ac:dyDescent="0.25">
      <c r="A2582" s="75" t="str">
        <f t="shared" si="91"/>
        <v>Liquidez Consolidación de Pasivos PROF No_Premier Normal Pago_Fijo_Puntual 7</v>
      </c>
      <c r="B2582" s="75" t="str">
        <f t="shared" si="90"/>
        <v>Liquidez Consolidación de Pasivos PROF No_Premier Normal Pago_Fijo_Puntual 7 0.12</v>
      </c>
      <c r="C2582" s="75" t="s">
        <v>390</v>
      </c>
      <c r="D2582" s="75" t="s">
        <v>169</v>
      </c>
      <c r="E2582" s="75" t="s">
        <v>179</v>
      </c>
      <c r="F2582" s="75" t="s">
        <v>180</v>
      </c>
      <c r="G2582" s="75"/>
      <c r="H2582" s="75"/>
      <c r="I2582" s="75" t="s">
        <v>171</v>
      </c>
      <c r="J2582" s="76">
        <v>7</v>
      </c>
      <c r="K2582" s="519" t="s">
        <v>387</v>
      </c>
      <c r="L2582" s="520">
        <v>17.739999999999998</v>
      </c>
      <c r="M2582" s="520">
        <v>19.350000000000001</v>
      </c>
      <c r="N2582" s="507">
        <v>0.12</v>
      </c>
      <c r="O2582" s="507">
        <v>0.11700000000000001</v>
      </c>
      <c r="P2582" s="507">
        <v>0.129</v>
      </c>
      <c r="Q2582" s="78">
        <v>0.44</v>
      </c>
      <c r="R2582" s="78">
        <v>0.31740000000000002</v>
      </c>
      <c r="S2582" s="69">
        <v>2.5000000000000001E-2</v>
      </c>
      <c r="T2582" s="69">
        <v>0.01</v>
      </c>
      <c r="U2582" s="507">
        <v>0.75</v>
      </c>
      <c r="V2582" s="76">
        <v>0</v>
      </c>
      <c r="W2582" s="76">
        <v>250</v>
      </c>
      <c r="X2582" s="76"/>
      <c r="Y2582" s="76"/>
    </row>
    <row r="2583" spans="1:25" x14ac:dyDescent="0.25">
      <c r="A2583" s="75" t="str">
        <f t="shared" si="91"/>
        <v>Liquidez Consolidación de Pasivos PROF No_Premier Normal Pago_Fijo_Puntual 6</v>
      </c>
      <c r="B2583" s="75" t="str">
        <f t="shared" si="90"/>
        <v>Liquidez Consolidación de Pasivos PROF No_Premier Normal Pago_Fijo_Puntual 6 0.12</v>
      </c>
      <c r="C2583" s="75" t="s">
        <v>390</v>
      </c>
      <c r="D2583" s="75" t="s">
        <v>169</v>
      </c>
      <c r="E2583" s="75" t="s">
        <v>179</v>
      </c>
      <c r="F2583" s="75" t="s">
        <v>180</v>
      </c>
      <c r="G2583" s="75"/>
      <c r="H2583" s="75"/>
      <c r="I2583" s="75" t="s">
        <v>171</v>
      </c>
      <c r="J2583" s="76">
        <v>6</v>
      </c>
      <c r="K2583" s="519" t="s">
        <v>387</v>
      </c>
      <c r="L2583" s="520">
        <v>19.61</v>
      </c>
      <c r="M2583" s="520">
        <v>21.22</v>
      </c>
      <c r="N2583" s="507">
        <v>0.12</v>
      </c>
      <c r="O2583" s="507">
        <v>0.11700000000000001</v>
      </c>
      <c r="P2583" s="507">
        <v>0.129</v>
      </c>
      <c r="Q2583" s="78">
        <v>0.44</v>
      </c>
      <c r="R2583" s="78">
        <v>0.31740000000000002</v>
      </c>
      <c r="S2583" s="69">
        <v>2.5000000000000001E-2</v>
      </c>
      <c r="T2583" s="69">
        <v>0.01</v>
      </c>
      <c r="U2583" s="507">
        <v>0.75</v>
      </c>
      <c r="V2583" s="76">
        <v>0</v>
      </c>
      <c r="W2583" s="76">
        <v>250</v>
      </c>
      <c r="X2583" s="76"/>
      <c r="Y2583" s="76"/>
    </row>
    <row r="2584" spans="1:25" x14ac:dyDescent="0.25">
      <c r="A2584" s="75" t="str">
        <f t="shared" si="91"/>
        <v>Liquidez Consolidación de Pasivos PROF No_Premier Normal Pago_Fijo_Puntual 5</v>
      </c>
      <c r="B2584" s="75" t="str">
        <f t="shared" si="90"/>
        <v>Liquidez Consolidación de Pasivos PROF No_Premier Normal Pago_Fijo_Puntual 5 0.12</v>
      </c>
      <c r="C2584" s="75" t="s">
        <v>390</v>
      </c>
      <c r="D2584" s="75" t="s">
        <v>169</v>
      </c>
      <c r="E2584" s="75" t="s">
        <v>179</v>
      </c>
      <c r="F2584" s="75" t="s">
        <v>180</v>
      </c>
      <c r="G2584" s="75"/>
      <c r="H2584" s="75"/>
      <c r="I2584" s="75" t="s">
        <v>171</v>
      </c>
      <c r="J2584" s="76">
        <v>5</v>
      </c>
      <c r="K2584" s="519" t="s">
        <v>387</v>
      </c>
      <c r="L2584" s="520">
        <v>22.29</v>
      </c>
      <c r="M2584" s="520">
        <v>23.9</v>
      </c>
      <c r="N2584" s="507">
        <v>0.12</v>
      </c>
      <c r="O2584" s="507">
        <v>0.11700000000000001</v>
      </c>
      <c r="P2584" s="507">
        <v>0.129</v>
      </c>
      <c r="Q2584" s="78">
        <v>0.44</v>
      </c>
      <c r="R2584" s="78">
        <v>0.31740000000000002</v>
      </c>
      <c r="S2584" s="69">
        <v>2.5000000000000001E-2</v>
      </c>
      <c r="T2584" s="69">
        <v>0.01</v>
      </c>
      <c r="U2584" s="507">
        <v>0.75</v>
      </c>
      <c r="V2584" s="76">
        <v>0</v>
      </c>
      <c r="W2584" s="76">
        <v>250</v>
      </c>
      <c r="X2584" s="76"/>
      <c r="Y2584" s="76"/>
    </row>
    <row r="2585" spans="1:25" x14ac:dyDescent="0.25">
      <c r="A2585" s="75" t="str">
        <f t="shared" si="91"/>
        <v>Liquidez Consolidación de Pasivos PF Premier Pago_Fijo_Puntual 15</v>
      </c>
      <c r="B2585" s="75" t="str">
        <f t="shared" si="90"/>
        <v>Liquidez Consolidación de Pasivos PF Premier Pago_Fijo_Puntual 15 0.12</v>
      </c>
      <c r="C2585" s="75" t="s">
        <v>390</v>
      </c>
      <c r="D2585" s="75" t="s">
        <v>132</v>
      </c>
      <c r="E2585" s="75" t="s">
        <v>143</v>
      </c>
      <c r="F2585" s="75"/>
      <c r="G2585" s="75"/>
      <c r="H2585" s="75"/>
      <c r="I2585" s="75" t="s">
        <v>171</v>
      </c>
      <c r="J2585" s="76">
        <v>15</v>
      </c>
      <c r="K2585" s="519" t="s">
        <v>387</v>
      </c>
      <c r="L2585" s="520">
        <v>12.24</v>
      </c>
      <c r="M2585" s="520">
        <v>13.85</v>
      </c>
      <c r="N2585" s="507">
        <v>0.12</v>
      </c>
      <c r="O2585" s="507">
        <v>0.11700000000000001</v>
      </c>
      <c r="P2585" s="507">
        <v>0.129</v>
      </c>
      <c r="Q2585" s="78">
        <v>0.44</v>
      </c>
      <c r="R2585" s="78">
        <v>0.31740000000000002</v>
      </c>
      <c r="S2585" s="69">
        <v>2.5000000000000001E-2</v>
      </c>
      <c r="T2585" s="69">
        <v>0.01</v>
      </c>
      <c r="U2585" s="507">
        <v>0.75</v>
      </c>
      <c r="V2585" s="76">
        <v>0</v>
      </c>
      <c r="W2585" s="76">
        <v>250</v>
      </c>
      <c r="X2585" s="76"/>
      <c r="Y2585" s="76"/>
    </row>
    <row r="2586" spans="1:25" x14ac:dyDescent="0.25">
      <c r="A2586" s="75" t="str">
        <f t="shared" si="91"/>
        <v>Liquidez Consolidación de Pasivos PF Premier Pago_Fijo_Puntual 14</v>
      </c>
      <c r="B2586" s="75" t="str">
        <f t="shared" si="90"/>
        <v>Liquidez Consolidación de Pasivos PF Premier Pago_Fijo_Puntual 14 0.12</v>
      </c>
      <c r="C2586" s="75" t="s">
        <v>390</v>
      </c>
      <c r="D2586" s="75" t="s">
        <v>132</v>
      </c>
      <c r="E2586" s="75" t="s">
        <v>143</v>
      </c>
      <c r="F2586" s="75"/>
      <c r="G2586" s="75"/>
      <c r="H2586" s="75"/>
      <c r="I2586" s="75" t="s">
        <v>171</v>
      </c>
      <c r="J2586" s="76">
        <v>14</v>
      </c>
      <c r="K2586" s="519" t="s">
        <v>387</v>
      </c>
      <c r="L2586" s="520">
        <v>12.54</v>
      </c>
      <c r="M2586" s="520">
        <v>14.15</v>
      </c>
      <c r="N2586" s="507">
        <v>0.12</v>
      </c>
      <c r="O2586" s="507">
        <v>0.11700000000000001</v>
      </c>
      <c r="P2586" s="507">
        <v>0.129</v>
      </c>
      <c r="Q2586" s="78">
        <v>0.44</v>
      </c>
      <c r="R2586" s="78">
        <v>0.31740000000000002</v>
      </c>
      <c r="S2586" s="69">
        <v>2.5000000000000001E-2</v>
      </c>
      <c r="T2586" s="69">
        <v>0.01</v>
      </c>
      <c r="U2586" s="507">
        <v>0.75</v>
      </c>
      <c r="V2586" s="76">
        <v>0</v>
      </c>
      <c r="W2586" s="76">
        <v>250</v>
      </c>
      <c r="X2586" s="76"/>
      <c r="Y2586" s="76"/>
    </row>
    <row r="2587" spans="1:25" x14ac:dyDescent="0.25">
      <c r="A2587" s="75" t="str">
        <f t="shared" si="91"/>
        <v>Liquidez Consolidación de Pasivos PF Premier Pago_Fijo_Puntual 13</v>
      </c>
      <c r="B2587" s="75" t="str">
        <f t="shared" si="90"/>
        <v>Liquidez Consolidación de Pasivos PF Premier Pago_Fijo_Puntual 13 0.12</v>
      </c>
      <c r="C2587" s="75" t="s">
        <v>390</v>
      </c>
      <c r="D2587" s="75" t="s">
        <v>132</v>
      </c>
      <c r="E2587" s="75" t="s">
        <v>143</v>
      </c>
      <c r="F2587" s="75"/>
      <c r="G2587" s="75"/>
      <c r="H2587" s="75"/>
      <c r="I2587" s="75" t="s">
        <v>171</v>
      </c>
      <c r="J2587" s="76">
        <v>13</v>
      </c>
      <c r="K2587" s="519" t="s">
        <v>387</v>
      </c>
      <c r="L2587" s="520">
        <v>12.9</v>
      </c>
      <c r="M2587" s="520">
        <v>14.51</v>
      </c>
      <c r="N2587" s="507">
        <v>0.12</v>
      </c>
      <c r="O2587" s="507">
        <v>0.11700000000000001</v>
      </c>
      <c r="P2587" s="507">
        <v>0.129</v>
      </c>
      <c r="Q2587" s="78">
        <v>0.44</v>
      </c>
      <c r="R2587" s="78">
        <v>0.31740000000000002</v>
      </c>
      <c r="S2587" s="69">
        <v>2.5000000000000001E-2</v>
      </c>
      <c r="T2587" s="69">
        <v>0.01</v>
      </c>
      <c r="U2587" s="507">
        <v>0.75</v>
      </c>
      <c r="V2587" s="76">
        <v>0</v>
      </c>
      <c r="W2587" s="76">
        <v>250</v>
      </c>
      <c r="X2587" s="76"/>
      <c r="Y2587" s="76"/>
    </row>
    <row r="2588" spans="1:25" x14ac:dyDescent="0.25">
      <c r="A2588" s="75" t="str">
        <f t="shared" si="91"/>
        <v>Liquidez Consolidación de Pasivos PF Premier Pago_Fijo_Puntual 12</v>
      </c>
      <c r="B2588" s="75" t="str">
        <f t="shared" si="90"/>
        <v>Liquidez Consolidación de Pasivos PF Premier Pago_Fijo_Puntual 12 0.12</v>
      </c>
      <c r="C2588" s="75" t="s">
        <v>390</v>
      </c>
      <c r="D2588" s="75" t="s">
        <v>132</v>
      </c>
      <c r="E2588" s="75" t="s">
        <v>143</v>
      </c>
      <c r="F2588" s="75"/>
      <c r="G2588" s="75"/>
      <c r="H2588" s="75"/>
      <c r="I2588" s="75" t="s">
        <v>171</v>
      </c>
      <c r="J2588" s="76">
        <v>12</v>
      </c>
      <c r="K2588" s="519" t="s">
        <v>387</v>
      </c>
      <c r="L2588" s="520">
        <v>13.33</v>
      </c>
      <c r="M2588" s="520">
        <v>14.94</v>
      </c>
      <c r="N2588" s="507">
        <v>0.12</v>
      </c>
      <c r="O2588" s="507">
        <v>0.11700000000000001</v>
      </c>
      <c r="P2588" s="507">
        <v>0.129</v>
      </c>
      <c r="Q2588" s="78">
        <v>0.44</v>
      </c>
      <c r="R2588" s="78">
        <v>0.31740000000000002</v>
      </c>
      <c r="S2588" s="69">
        <v>2.5000000000000001E-2</v>
      </c>
      <c r="T2588" s="69">
        <v>0.01</v>
      </c>
      <c r="U2588" s="507">
        <v>0.75</v>
      </c>
      <c r="V2588" s="76">
        <v>0</v>
      </c>
      <c r="W2588" s="76">
        <v>250</v>
      </c>
      <c r="X2588" s="76"/>
      <c r="Y2588" s="76"/>
    </row>
    <row r="2589" spans="1:25" x14ac:dyDescent="0.25">
      <c r="A2589" s="75" t="str">
        <f t="shared" si="91"/>
        <v>Liquidez Consolidación de Pasivos PF Premier Pago_Fijo_Puntual 11</v>
      </c>
      <c r="B2589" s="75" t="str">
        <f t="shared" si="90"/>
        <v>Liquidez Consolidación de Pasivos PF Premier Pago_Fijo_Puntual 11 0.12</v>
      </c>
      <c r="C2589" s="75" t="s">
        <v>390</v>
      </c>
      <c r="D2589" s="75" t="s">
        <v>132</v>
      </c>
      <c r="E2589" s="75" t="s">
        <v>143</v>
      </c>
      <c r="F2589" s="75"/>
      <c r="G2589" s="75"/>
      <c r="H2589" s="75"/>
      <c r="I2589" s="75" t="s">
        <v>171</v>
      </c>
      <c r="J2589" s="76">
        <v>11</v>
      </c>
      <c r="K2589" s="519" t="s">
        <v>387</v>
      </c>
      <c r="L2589" s="520">
        <v>13.85</v>
      </c>
      <c r="M2589" s="520">
        <v>15.46</v>
      </c>
      <c r="N2589" s="507">
        <v>0.12</v>
      </c>
      <c r="O2589" s="507">
        <v>0.11700000000000001</v>
      </c>
      <c r="P2589" s="507">
        <v>0.129</v>
      </c>
      <c r="Q2589" s="78">
        <v>0.44</v>
      </c>
      <c r="R2589" s="78">
        <v>0.31740000000000002</v>
      </c>
      <c r="S2589" s="69">
        <v>2.5000000000000001E-2</v>
      </c>
      <c r="T2589" s="69">
        <v>0.01</v>
      </c>
      <c r="U2589" s="507">
        <v>0.75</v>
      </c>
      <c r="V2589" s="76">
        <v>0</v>
      </c>
      <c r="W2589" s="76">
        <v>250</v>
      </c>
      <c r="X2589" s="76"/>
      <c r="Y2589" s="76"/>
    </row>
    <row r="2590" spans="1:25" x14ac:dyDescent="0.25">
      <c r="A2590" s="75" t="str">
        <f t="shared" si="91"/>
        <v>Liquidez Consolidación de Pasivos PF Premier Pago_Fijo_Puntual 10</v>
      </c>
      <c r="B2590" s="75" t="str">
        <f t="shared" si="90"/>
        <v>Liquidez Consolidación de Pasivos PF Premier Pago_Fijo_Puntual 10 0.12</v>
      </c>
      <c r="C2590" s="75" t="s">
        <v>390</v>
      </c>
      <c r="D2590" s="75" t="s">
        <v>132</v>
      </c>
      <c r="E2590" s="75" t="s">
        <v>143</v>
      </c>
      <c r="F2590" s="75"/>
      <c r="G2590" s="75"/>
      <c r="H2590" s="75"/>
      <c r="I2590" s="75" t="s">
        <v>171</v>
      </c>
      <c r="J2590" s="76">
        <v>10</v>
      </c>
      <c r="K2590" s="519" t="s">
        <v>387</v>
      </c>
      <c r="L2590" s="520">
        <v>14.5</v>
      </c>
      <c r="M2590" s="520">
        <v>16.11</v>
      </c>
      <c r="N2590" s="507">
        <v>0.12</v>
      </c>
      <c r="O2590" s="507">
        <v>0.11700000000000001</v>
      </c>
      <c r="P2590" s="507">
        <v>0.129</v>
      </c>
      <c r="Q2590" s="78">
        <v>0.44</v>
      </c>
      <c r="R2590" s="78">
        <v>0.31740000000000002</v>
      </c>
      <c r="S2590" s="69">
        <v>2.5000000000000001E-2</v>
      </c>
      <c r="T2590" s="69">
        <v>0.01</v>
      </c>
      <c r="U2590" s="507">
        <v>0.75</v>
      </c>
      <c r="V2590" s="76">
        <v>0</v>
      </c>
      <c r="W2590" s="76">
        <v>250</v>
      </c>
      <c r="X2590" s="76"/>
      <c r="Y2590" s="76"/>
    </row>
    <row r="2591" spans="1:25" x14ac:dyDescent="0.25">
      <c r="A2591" s="75" t="str">
        <f t="shared" si="91"/>
        <v>Liquidez Consolidación de Pasivos PF Premier Pago_Fijo_Puntual 9</v>
      </c>
      <c r="B2591" s="75" t="str">
        <f t="shared" si="90"/>
        <v>Liquidez Consolidación de Pasivos PF Premier Pago_Fijo_Puntual 9 0.12</v>
      </c>
      <c r="C2591" s="75" t="s">
        <v>390</v>
      </c>
      <c r="D2591" s="75" t="s">
        <v>132</v>
      </c>
      <c r="E2591" s="75" t="s">
        <v>143</v>
      </c>
      <c r="F2591" s="75"/>
      <c r="G2591" s="75"/>
      <c r="H2591" s="75"/>
      <c r="I2591" s="75" t="s">
        <v>171</v>
      </c>
      <c r="J2591" s="76">
        <v>9</v>
      </c>
      <c r="K2591" s="519" t="s">
        <v>387</v>
      </c>
      <c r="L2591" s="520">
        <v>15.31</v>
      </c>
      <c r="M2591" s="520">
        <v>16.920000000000002</v>
      </c>
      <c r="N2591" s="507">
        <v>0.12</v>
      </c>
      <c r="O2591" s="507">
        <v>0.11700000000000001</v>
      </c>
      <c r="P2591" s="507">
        <v>0.129</v>
      </c>
      <c r="Q2591" s="78">
        <v>0.44</v>
      </c>
      <c r="R2591" s="78">
        <v>0.31740000000000002</v>
      </c>
      <c r="S2591" s="69">
        <v>2.5000000000000001E-2</v>
      </c>
      <c r="T2591" s="69">
        <v>0.01</v>
      </c>
      <c r="U2591" s="507">
        <v>0.75</v>
      </c>
      <c r="V2591" s="76">
        <v>0</v>
      </c>
      <c r="W2591" s="76">
        <v>250</v>
      </c>
      <c r="X2591" s="76"/>
      <c r="Y2591" s="76"/>
    </row>
    <row r="2592" spans="1:25" x14ac:dyDescent="0.25">
      <c r="A2592" s="75" t="str">
        <f t="shared" si="91"/>
        <v>Liquidez Consolidación de Pasivos PF Premier Pago_Fijo_Puntual 8</v>
      </c>
      <c r="B2592" s="75" t="str">
        <f t="shared" si="90"/>
        <v>Liquidez Consolidación de Pasivos PF Premier Pago_Fijo_Puntual 8 0.12</v>
      </c>
      <c r="C2592" s="75" t="s">
        <v>390</v>
      </c>
      <c r="D2592" s="75" t="s">
        <v>132</v>
      </c>
      <c r="E2592" s="75" t="s">
        <v>143</v>
      </c>
      <c r="F2592" s="75"/>
      <c r="G2592" s="75"/>
      <c r="H2592" s="75"/>
      <c r="I2592" s="75" t="s">
        <v>171</v>
      </c>
      <c r="J2592" s="76">
        <v>8</v>
      </c>
      <c r="K2592" s="519" t="s">
        <v>387</v>
      </c>
      <c r="L2592" s="520">
        <v>16.36</v>
      </c>
      <c r="M2592" s="520">
        <v>17.97</v>
      </c>
      <c r="N2592" s="507">
        <v>0.12</v>
      </c>
      <c r="O2592" s="507">
        <v>0.11700000000000001</v>
      </c>
      <c r="P2592" s="507">
        <v>0.129</v>
      </c>
      <c r="Q2592" s="78">
        <v>0.44</v>
      </c>
      <c r="R2592" s="78">
        <v>0.31740000000000002</v>
      </c>
      <c r="S2592" s="69">
        <v>2.5000000000000001E-2</v>
      </c>
      <c r="T2592" s="69">
        <v>0.01</v>
      </c>
      <c r="U2592" s="507">
        <v>0.75</v>
      </c>
      <c r="V2592" s="76">
        <v>0</v>
      </c>
      <c r="W2592" s="76">
        <v>250</v>
      </c>
      <c r="X2592" s="76"/>
      <c r="Y2592" s="76"/>
    </row>
    <row r="2593" spans="1:25" x14ac:dyDescent="0.25">
      <c r="A2593" s="75" t="str">
        <f t="shared" si="91"/>
        <v>Liquidez Consolidación de Pasivos PF Premier Pago_Fijo_Puntual 7</v>
      </c>
      <c r="B2593" s="75" t="str">
        <f t="shared" si="90"/>
        <v>Liquidez Consolidación de Pasivos PF Premier Pago_Fijo_Puntual 7 0.12</v>
      </c>
      <c r="C2593" s="75" t="s">
        <v>390</v>
      </c>
      <c r="D2593" s="75" t="s">
        <v>132</v>
      </c>
      <c r="E2593" s="75" t="s">
        <v>143</v>
      </c>
      <c r="F2593" s="75"/>
      <c r="G2593" s="75"/>
      <c r="H2593" s="75"/>
      <c r="I2593" s="75" t="s">
        <v>171</v>
      </c>
      <c r="J2593" s="76">
        <v>7</v>
      </c>
      <c r="K2593" s="519" t="s">
        <v>387</v>
      </c>
      <c r="L2593" s="520">
        <v>17.739999999999998</v>
      </c>
      <c r="M2593" s="520">
        <v>19.350000000000001</v>
      </c>
      <c r="N2593" s="507">
        <v>0.12</v>
      </c>
      <c r="O2593" s="507">
        <v>0.11700000000000001</v>
      </c>
      <c r="P2593" s="507">
        <v>0.129</v>
      </c>
      <c r="Q2593" s="78">
        <v>0.44</v>
      </c>
      <c r="R2593" s="78">
        <v>0.31740000000000002</v>
      </c>
      <c r="S2593" s="69">
        <v>2.5000000000000001E-2</v>
      </c>
      <c r="T2593" s="69">
        <v>0.01</v>
      </c>
      <c r="U2593" s="507">
        <v>0.75</v>
      </c>
      <c r="V2593" s="76">
        <v>0</v>
      </c>
      <c r="W2593" s="76">
        <v>250</v>
      </c>
      <c r="X2593" s="76"/>
      <c r="Y2593" s="76"/>
    </row>
    <row r="2594" spans="1:25" x14ac:dyDescent="0.25">
      <c r="A2594" s="75" t="str">
        <f t="shared" si="91"/>
        <v>Liquidez Consolidación de Pasivos PF Premier Pago_Fijo_Puntual 6</v>
      </c>
      <c r="B2594" s="75" t="str">
        <f t="shared" si="90"/>
        <v>Liquidez Consolidación de Pasivos PF Premier Pago_Fijo_Puntual 6 0.12</v>
      </c>
      <c r="C2594" s="75" t="s">
        <v>390</v>
      </c>
      <c r="D2594" s="75" t="s">
        <v>132</v>
      </c>
      <c r="E2594" s="75" t="s">
        <v>143</v>
      </c>
      <c r="F2594" s="75"/>
      <c r="G2594" s="75"/>
      <c r="H2594" s="75"/>
      <c r="I2594" s="75" t="s">
        <v>171</v>
      </c>
      <c r="J2594" s="76">
        <v>6</v>
      </c>
      <c r="K2594" s="519" t="s">
        <v>387</v>
      </c>
      <c r="L2594" s="520">
        <v>19.61</v>
      </c>
      <c r="M2594" s="520">
        <v>21.22</v>
      </c>
      <c r="N2594" s="507">
        <v>0.12</v>
      </c>
      <c r="O2594" s="507">
        <v>0.11700000000000001</v>
      </c>
      <c r="P2594" s="507">
        <v>0.129</v>
      </c>
      <c r="Q2594" s="78">
        <v>0.44</v>
      </c>
      <c r="R2594" s="78">
        <v>0.31740000000000002</v>
      </c>
      <c r="S2594" s="69">
        <v>2.5000000000000001E-2</v>
      </c>
      <c r="T2594" s="69">
        <v>0.01</v>
      </c>
      <c r="U2594" s="507">
        <v>0.75</v>
      </c>
      <c r="V2594" s="76">
        <v>0</v>
      </c>
      <c r="W2594" s="76">
        <v>250</v>
      </c>
      <c r="X2594" s="76"/>
      <c r="Y2594" s="76"/>
    </row>
    <row r="2595" spans="1:25" x14ac:dyDescent="0.25">
      <c r="A2595" s="75" t="str">
        <f t="shared" si="91"/>
        <v>Liquidez Consolidación de Pasivos PF Premier Pago_Fijo_Puntual 5</v>
      </c>
      <c r="B2595" s="75" t="str">
        <f t="shared" si="90"/>
        <v>Liquidez Consolidación de Pasivos PF Premier Pago_Fijo_Puntual 5 0.12</v>
      </c>
      <c r="C2595" s="75" t="s">
        <v>390</v>
      </c>
      <c r="D2595" s="75" t="s">
        <v>132</v>
      </c>
      <c r="E2595" s="75" t="s">
        <v>143</v>
      </c>
      <c r="F2595" s="75"/>
      <c r="G2595" s="75"/>
      <c r="H2595" s="75"/>
      <c r="I2595" s="75" t="s">
        <v>171</v>
      </c>
      <c r="J2595" s="76">
        <v>5</v>
      </c>
      <c r="K2595" s="519" t="s">
        <v>387</v>
      </c>
      <c r="L2595" s="520">
        <v>22.29</v>
      </c>
      <c r="M2595" s="520">
        <v>23.9</v>
      </c>
      <c r="N2595" s="507">
        <v>0.12</v>
      </c>
      <c r="O2595" s="507">
        <v>0.11700000000000001</v>
      </c>
      <c r="P2595" s="507">
        <v>0.129</v>
      </c>
      <c r="Q2595" s="78">
        <v>0.44</v>
      </c>
      <c r="R2595" s="78">
        <v>0.31740000000000002</v>
      </c>
      <c r="S2595" s="69">
        <v>2.5000000000000001E-2</v>
      </c>
      <c r="T2595" s="69">
        <v>0.01</v>
      </c>
      <c r="U2595" s="507">
        <v>0.75</v>
      </c>
      <c r="V2595" s="76">
        <v>0</v>
      </c>
      <c r="W2595" s="76">
        <v>250</v>
      </c>
      <c r="X2595" s="76"/>
      <c r="Y2595" s="76"/>
    </row>
    <row r="2596" spans="1:25" x14ac:dyDescent="0.25">
      <c r="A2596" s="75" t="str">
        <f t="shared" si="91"/>
        <v>Liquidez Consolidación de Pasivos PFAE Premier Pago_Fijo_Puntual 15</v>
      </c>
      <c r="B2596" s="75" t="str">
        <f t="shared" si="90"/>
        <v>Liquidez Consolidación de Pasivos PFAE Premier Pago_Fijo_Puntual 15 0.12</v>
      </c>
      <c r="C2596" s="75" t="s">
        <v>390</v>
      </c>
      <c r="D2596" s="75" t="s">
        <v>168</v>
      </c>
      <c r="E2596" s="75" t="s">
        <v>143</v>
      </c>
      <c r="F2596" s="75"/>
      <c r="G2596" s="75"/>
      <c r="H2596" s="75"/>
      <c r="I2596" s="75" t="s">
        <v>171</v>
      </c>
      <c r="J2596" s="76">
        <v>15</v>
      </c>
      <c r="K2596" s="519" t="s">
        <v>387</v>
      </c>
      <c r="L2596" s="520">
        <v>12.24</v>
      </c>
      <c r="M2596" s="520">
        <v>13.85</v>
      </c>
      <c r="N2596" s="507">
        <v>0.12</v>
      </c>
      <c r="O2596" s="507">
        <v>0.11700000000000001</v>
      </c>
      <c r="P2596" s="507">
        <v>0.129</v>
      </c>
      <c r="Q2596" s="78">
        <v>0.44</v>
      </c>
      <c r="R2596" s="78">
        <v>0.31740000000000002</v>
      </c>
      <c r="S2596" s="69">
        <v>2.5000000000000001E-2</v>
      </c>
      <c r="T2596" s="69">
        <v>0.01</v>
      </c>
      <c r="U2596" s="507">
        <v>0.75</v>
      </c>
      <c r="V2596" s="76">
        <v>0</v>
      </c>
      <c r="W2596" s="76">
        <v>250</v>
      </c>
      <c r="X2596" s="76"/>
      <c r="Y2596" s="76"/>
    </row>
    <row r="2597" spans="1:25" x14ac:dyDescent="0.25">
      <c r="A2597" s="75" t="str">
        <f t="shared" si="91"/>
        <v>Liquidez Consolidación de Pasivos PFAE Premier Pago_Fijo_Puntual 14</v>
      </c>
      <c r="B2597" s="75" t="str">
        <f t="shared" si="90"/>
        <v>Liquidez Consolidación de Pasivos PFAE Premier Pago_Fijo_Puntual 14 0.12</v>
      </c>
      <c r="C2597" s="75" t="s">
        <v>390</v>
      </c>
      <c r="D2597" s="75" t="s">
        <v>168</v>
      </c>
      <c r="E2597" s="75" t="s">
        <v>143</v>
      </c>
      <c r="F2597" s="75"/>
      <c r="G2597" s="75"/>
      <c r="H2597" s="75"/>
      <c r="I2597" s="75" t="s">
        <v>171</v>
      </c>
      <c r="J2597" s="76">
        <v>14</v>
      </c>
      <c r="K2597" s="519" t="s">
        <v>387</v>
      </c>
      <c r="L2597" s="520">
        <v>12.54</v>
      </c>
      <c r="M2597" s="520">
        <v>14.15</v>
      </c>
      <c r="N2597" s="507">
        <v>0.12</v>
      </c>
      <c r="O2597" s="507">
        <v>0.11700000000000001</v>
      </c>
      <c r="P2597" s="507">
        <v>0.129</v>
      </c>
      <c r="Q2597" s="78">
        <v>0.44</v>
      </c>
      <c r="R2597" s="78">
        <v>0.31740000000000002</v>
      </c>
      <c r="S2597" s="69">
        <v>2.5000000000000001E-2</v>
      </c>
      <c r="T2597" s="69">
        <v>0.01</v>
      </c>
      <c r="U2597" s="507">
        <v>0.75</v>
      </c>
      <c r="V2597" s="76">
        <v>0</v>
      </c>
      <c r="W2597" s="76">
        <v>250</v>
      </c>
      <c r="X2597" s="76"/>
      <c r="Y2597" s="76"/>
    </row>
    <row r="2598" spans="1:25" x14ac:dyDescent="0.25">
      <c r="A2598" s="75" t="str">
        <f t="shared" si="91"/>
        <v>Liquidez Consolidación de Pasivos PFAE Premier Pago_Fijo_Puntual 13</v>
      </c>
      <c r="B2598" s="75" t="str">
        <f t="shared" si="90"/>
        <v>Liquidez Consolidación de Pasivos PFAE Premier Pago_Fijo_Puntual 13 0.12</v>
      </c>
      <c r="C2598" s="75" t="s">
        <v>390</v>
      </c>
      <c r="D2598" s="75" t="s">
        <v>168</v>
      </c>
      <c r="E2598" s="75" t="s">
        <v>143</v>
      </c>
      <c r="F2598" s="75"/>
      <c r="G2598" s="75"/>
      <c r="H2598" s="75"/>
      <c r="I2598" s="75" t="s">
        <v>171</v>
      </c>
      <c r="J2598" s="76">
        <v>13</v>
      </c>
      <c r="K2598" s="519" t="s">
        <v>387</v>
      </c>
      <c r="L2598" s="520">
        <v>12.9</v>
      </c>
      <c r="M2598" s="520">
        <v>14.51</v>
      </c>
      <c r="N2598" s="507">
        <v>0.12</v>
      </c>
      <c r="O2598" s="507">
        <v>0.11700000000000001</v>
      </c>
      <c r="P2598" s="507">
        <v>0.129</v>
      </c>
      <c r="Q2598" s="78">
        <v>0.44</v>
      </c>
      <c r="R2598" s="78">
        <v>0.31740000000000002</v>
      </c>
      <c r="S2598" s="69">
        <v>2.5000000000000001E-2</v>
      </c>
      <c r="T2598" s="69">
        <v>0.01</v>
      </c>
      <c r="U2598" s="507">
        <v>0.75</v>
      </c>
      <c r="V2598" s="76">
        <v>0</v>
      </c>
      <c r="W2598" s="76">
        <v>250</v>
      </c>
      <c r="X2598" s="76"/>
      <c r="Y2598" s="76"/>
    </row>
    <row r="2599" spans="1:25" x14ac:dyDescent="0.25">
      <c r="A2599" s="75" t="str">
        <f t="shared" si="91"/>
        <v>Liquidez Consolidación de Pasivos PFAE Premier Pago_Fijo_Puntual 12</v>
      </c>
      <c r="B2599" s="75" t="str">
        <f t="shared" si="90"/>
        <v>Liquidez Consolidación de Pasivos PFAE Premier Pago_Fijo_Puntual 12 0.12</v>
      </c>
      <c r="C2599" s="75" t="s">
        <v>390</v>
      </c>
      <c r="D2599" s="75" t="s">
        <v>168</v>
      </c>
      <c r="E2599" s="75" t="s">
        <v>143</v>
      </c>
      <c r="F2599" s="75"/>
      <c r="G2599" s="75"/>
      <c r="H2599" s="75"/>
      <c r="I2599" s="75" t="s">
        <v>171</v>
      </c>
      <c r="J2599" s="76">
        <v>12</v>
      </c>
      <c r="K2599" s="519" t="s">
        <v>387</v>
      </c>
      <c r="L2599" s="520">
        <v>13.33</v>
      </c>
      <c r="M2599" s="520">
        <v>14.94</v>
      </c>
      <c r="N2599" s="507">
        <v>0.12</v>
      </c>
      <c r="O2599" s="507">
        <v>0.11700000000000001</v>
      </c>
      <c r="P2599" s="507">
        <v>0.129</v>
      </c>
      <c r="Q2599" s="78">
        <v>0.44</v>
      </c>
      <c r="R2599" s="78">
        <v>0.31740000000000002</v>
      </c>
      <c r="S2599" s="69">
        <v>2.5000000000000001E-2</v>
      </c>
      <c r="T2599" s="69">
        <v>0.01</v>
      </c>
      <c r="U2599" s="507">
        <v>0.75</v>
      </c>
      <c r="V2599" s="76">
        <v>0</v>
      </c>
      <c r="W2599" s="76">
        <v>250</v>
      </c>
      <c r="X2599" s="76"/>
      <c r="Y2599" s="76"/>
    </row>
    <row r="2600" spans="1:25" x14ac:dyDescent="0.25">
      <c r="A2600" s="75" t="str">
        <f t="shared" si="91"/>
        <v>Liquidez Consolidación de Pasivos PFAE Premier Pago_Fijo_Puntual 11</v>
      </c>
      <c r="B2600" s="75" t="str">
        <f t="shared" si="90"/>
        <v>Liquidez Consolidación de Pasivos PFAE Premier Pago_Fijo_Puntual 11 0.12</v>
      </c>
      <c r="C2600" s="75" t="s">
        <v>390</v>
      </c>
      <c r="D2600" s="75" t="s">
        <v>168</v>
      </c>
      <c r="E2600" s="75" t="s">
        <v>143</v>
      </c>
      <c r="F2600" s="75"/>
      <c r="G2600" s="75"/>
      <c r="H2600" s="75"/>
      <c r="I2600" s="75" t="s">
        <v>171</v>
      </c>
      <c r="J2600" s="76">
        <v>11</v>
      </c>
      <c r="K2600" s="519" t="s">
        <v>387</v>
      </c>
      <c r="L2600" s="520">
        <v>13.85</v>
      </c>
      <c r="M2600" s="520">
        <v>15.46</v>
      </c>
      <c r="N2600" s="507">
        <v>0.12</v>
      </c>
      <c r="O2600" s="507">
        <v>0.11700000000000001</v>
      </c>
      <c r="P2600" s="507">
        <v>0.129</v>
      </c>
      <c r="Q2600" s="78">
        <v>0.44</v>
      </c>
      <c r="R2600" s="78">
        <v>0.31740000000000002</v>
      </c>
      <c r="S2600" s="69">
        <v>2.5000000000000001E-2</v>
      </c>
      <c r="T2600" s="69">
        <v>0.01</v>
      </c>
      <c r="U2600" s="507">
        <v>0.75</v>
      </c>
      <c r="V2600" s="76">
        <v>0</v>
      </c>
      <c r="W2600" s="76">
        <v>250</v>
      </c>
      <c r="X2600" s="76"/>
      <c r="Y2600" s="76"/>
    </row>
    <row r="2601" spans="1:25" x14ac:dyDescent="0.25">
      <c r="A2601" s="75" t="str">
        <f t="shared" si="91"/>
        <v>Liquidez Consolidación de Pasivos PFAE Premier Pago_Fijo_Puntual 10</v>
      </c>
      <c r="B2601" s="75" t="str">
        <f t="shared" si="90"/>
        <v>Liquidez Consolidación de Pasivos PFAE Premier Pago_Fijo_Puntual 10 0.12</v>
      </c>
      <c r="C2601" s="75" t="s">
        <v>390</v>
      </c>
      <c r="D2601" s="75" t="s">
        <v>168</v>
      </c>
      <c r="E2601" s="75" t="s">
        <v>143</v>
      </c>
      <c r="F2601" s="75"/>
      <c r="G2601" s="75"/>
      <c r="H2601" s="75"/>
      <c r="I2601" s="75" t="s">
        <v>171</v>
      </c>
      <c r="J2601" s="76">
        <v>10</v>
      </c>
      <c r="K2601" s="519" t="s">
        <v>387</v>
      </c>
      <c r="L2601" s="520">
        <v>14.5</v>
      </c>
      <c r="M2601" s="520">
        <v>16.11</v>
      </c>
      <c r="N2601" s="507">
        <v>0.12</v>
      </c>
      <c r="O2601" s="507">
        <v>0.11700000000000001</v>
      </c>
      <c r="P2601" s="507">
        <v>0.129</v>
      </c>
      <c r="Q2601" s="78">
        <v>0.44</v>
      </c>
      <c r="R2601" s="78">
        <v>0.31740000000000002</v>
      </c>
      <c r="S2601" s="69">
        <v>2.5000000000000001E-2</v>
      </c>
      <c r="T2601" s="69">
        <v>0.01</v>
      </c>
      <c r="U2601" s="507">
        <v>0.75</v>
      </c>
      <c r="V2601" s="76">
        <v>0</v>
      </c>
      <c r="W2601" s="76">
        <v>250</v>
      </c>
      <c r="X2601" s="76"/>
      <c r="Y2601" s="76"/>
    </row>
    <row r="2602" spans="1:25" x14ac:dyDescent="0.25">
      <c r="A2602" s="75" t="str">
        <f t="shared" si="91"/>
        <v>Liquidez Consolidación de Pasivos PFAE Premier Pago_Fijo_Puntual 9</v>
      </c>
      <c r="B2602" s="75" t="str">
        <f t="shared" si="90"/>
        <v>Liquidez Consolidación de Pasivos PFAE Premier Pago_Fijo_Puntual 9 0.12</v>
      </c>
      <c r="C2602" s="75" t="s">
        <v>390</v>
      </c>
      <c r="D2602" s="75" t="s">
        <v>168</v>
      </c>
      <c r="E2602" s="75" t="s">
        <v>143</v>
      </c>
      <c r="F2602" s="75"/>
      <c r="G2602" s="75"/>
      <c r="H2602" s="75"/>
      <c r="I2602" s="75" t="s">
        <v>171</v>
      </c>
      <c r="J2602" s="76">
        <v>9</v>
      </c>
      <c r="K2602" s="519" t="s">
        <v>387</v>
      </c>
      <c r="L2602" s="520">
        <v>15.31</v>
      </c>
      <c r="M2602" s="520">
        <v>16.920000000000002</v>
      </c>
      <c r="N2602" s="507">
        <v>0.12</v>
      </c>
      <c r="O2602" s="507">
        <v>0.11700000000000001</v>
      </c>
      <c r="P2602" s="507">
        <v>0.129</v>
      </c>
      <c r="Q2602" s="78">
        <v>0.44</v>
      </c>
      <c r="R2602" s="78">
        <v>0.31740000000000002</v>
      </c>
      <c r="S2602" s="69">
        <v>2.5000000000000001E-2</v>
      </c>
      <c r="T2602" s="69">
        <v>0.01</v>
      </c>
      <c r="U2602" s="507">
        <v>0.75</v>
      </c>
      <c r="V2602" s="76">
        <v>0</v>
      </c>
      <c r="W2602" s="76">
        <v>250</v>
      </c>
      <c r="X2602" s="76"/>
      <c r="Y2602" s="76"/>
    </row>
    <row r="2603" spans="1:25" x14ac:dyDescent="0.25">
      <c r="A2603" s="75" t="str">
        <f t="shared" si="91"/>
        <v>Liquidez Consolidación de Pasivos PFAE Premier Pago_Fijo_Puntual 8</v>
      </c>
      <c r="B2603" s="75" t="str">
        <f t="shared" si="90"/>
        <v>Liquidez Consolidación de Pasivos PFAE Premier Pago_Fijo_Puntual 8 0.12</v>
      </c>
      <c r="C2603" s="75" t="s">
        <v>390</v>
      </c>
      <c r="D2603" s="75" t="s">
        <v>168</v>
      </c>
      <c r="E2603" s="75" t="s">
        <v>143</v>
      </c>
      <c r="F2603" s="75"/>
      <c r="G2603" s="75"/>
      <c r="H2603" s="75"/>
      <c r="I2603" s="75" t="s">
        <v>171</v>
      </c>
      <c r="J2603" s="76">
        <v>8</v>
      </c>
      <c r="K2603" s="519" t="s">
        <v>387</v>
      </c>
      <c r="L2603" s="520">
        <v>16.36</v>
      </c>
      <c r="M2603" s="520">
        <v>17.97</v>
      </c>
      <c r="N2603" s="507">
        <v>0.12</v>
      </c>
      <c r="O2603" s="507">
        <v>0.11700000000000001</v>
      </c>
      <c r="P2603" s="507">
        <v>0.129</v>
      </c>
      <c r="Q2603" s="78">
        <v>0.44</v>
      </c>
      <c r="R2603" s="78">
        <v>0.31740000000000002</v>
      </c>
      <c r="S2603" s="69">
        <v>2.5000000000000001E-2</v>
      </c>
      <c r="T2603" s="69">
        <v>0.01</v>
      </c>
      <c r="U2603" s="507">
        <v>0.75</v>
      </c>
      <c r="V2603" s="76">
        <v>0</v>
      </c>
      <c r="W2603" s="76">
        <v>250</v>
      </c>
      <c r="X2603" s="76"/>
      <c r="Y2603" s="76"/>
    </row>
    <row r="2604" spans="1:25" x14ac:dyDescent="0.25">
      <c r="A2604" s="75" t="str">
        <f t="shared" si="91"/>
        <v>Liquidez Consolidación de Pasivos PFAE Premier Pago_Fijo_Puntual 7</v>
      </c>
      <c r="B2604" s="75" t="str">
        <f t="shared" si="90"/>
        <v>Liquidez Consolidación de Pasivos PFAE Premier Pago_Fijo_Puntual 7 0.12</v>
      </c>
      <c r="C2604" s="75" t="s">
        <v>390</v>
      </c>
      <c r="D2604" s="75" t="s">
        <v>168</v>
      </c>
      <c r="E2604" s="75" t="s">
        <v>143</v>
      </c>
      <c r="F2604" s="75"/>
      <c r="G2604" s="75"/>
      <c r="H2604" s="75"/>
      <c r="I2604" s="75" t="s">
        <v>171</v>
      </c>
      <c r="J2604" s="76">
        <v>7</v>
      </c>
      <c r="K2604" s="519" t="s">
        <v>387</v>
      </c>
      <c r="L2604" s="520">
        <v>17.739999999999998</v>
      </c>
      <c r="M2604" s="520">
        <v>19.350000000000001</v>
      </c>
      <c r="N2604" s="507">
        <v>0.12</v>
      </c>
      <c r="O2604" s="507">
        <v>0.11700000000000001</v>
      </c>
      <c r="P2604" s="507">
        <v>0.129</v>
      </c>
      <c r="Q2604" s="78">
        <v>0.44</v>
      </c>
      <c r="R2604" s="78">
        <v>0.31740000000000002</v>
      </c>
      <c r="S2604" s="69">
        <v>2.5000000000000001E-2</v>
      </c>
      <c r="T2604" s="69">
        <v>0.01</v>
      </c>
      <c r="U2604" s="507">
        <v>0.75</v>
      </c>
      <c r="V2604" s="76">
        <v>0</v>
      </c>
      <c r="W2604" s="76">
        <v>250</v>
      </c>
      <c r="X2604" s="76"/>
      <c r="Y2604" s="76"/>
    </row>
    <row r="2605" spans="1:25" x14ac:dyDescent="0.25">
      <c r="A2605" s="75" t="str">
        <f t="shared" si="91"/>
        <v>Liquidez Consolidación de Pasivos PFAE Premier Pago_Fijo_Puntual 6</v>
      </c>
      <c r="B2605" s="75" t="str">
        <f t="shared" si="90"/>
        <v>Liquidez Consolidación de Pasivos PFAE Premier Pago_Fijo_Puntual 6 0.12</v>
      </c>
      <c r="C2605" s="75" t="s">
        <v>390</v>
      </c>
      <c r="D2605" s="75" t="s">
        <v>168</v>
      </c>
      <c r="E2605" s="75" t="s">
        <v>143</v>
      </c>
      <c r="F2605" s="75"/>
      <c r="G2605" s="75"/>
      <c r="H2605" s="75"/>
      <c r="I2605" s="75" t="s">
        <v>171</v>
      </c>
      <c r="J2605" s="76">
        <v>6</v>
      </c>
      <c r="K2605" s="519" t="s">
        <v>387</v>
      </c>
      <c r="L2605" s="520">
        <v>19.61</v>
      </c>
      <c r="M2605" s="520">
        <v>21.22</v>
      </c>
      <c r="N2605" s="507">
        <v>0.12</v>
      </c>
      <c r="O2605" s="507">
        <v>0.11700000000000001</v>
      </c>
      <c r="P2605" s="507">
        <v>0.129</v>
      </c>
      <c r="Q2605" s="78">
        <v>0.44</v>
      </c>
      <c r="R2605" s="78">
        <v>0.31740000000000002</v>
      </c>
      <c r="S2605" s="69">
        <v>2.5000000000000001E-2</v>
      </c>
      <c r="T2605" s="69">
        <v>0.01</v>
      </c>
      <c r="U2605" s="507">
        <v>0.75</v>
      </c>
      <c r="V2605" s="76">
        <v>0</v>
      </c>
      <c r="W2605" s="76">
        <v>250</v>
      </c>
      <c r="X2605" s="76"/>
      <c r="Y2605" s="76"/>
    </row>
    <row r="2606" spans="1:25" x14ac:dyDescent="0.25">
      <c r="A2606" s="75" t="str">
        <f t="shared" si="91"/>
        <v>Liquidez Consolidación de Pasivos PFAE Premier Pago_Fijo_Puntual 5</v>
      </c>
      <c r="B2606" s="75" t="str">
        <f t="shared" si="90"/>
        <v>Liquidez Consolidación de Pasivos PFAE Premier Pago_Fijo_Puntual 5 0.12</v>
      </c>
      <c r="C2606" s="75" t="s">
        <v>390</v>
      </c>
      <c r="D2606" s="75" t="s">
        <v>168</v>
      </c>
      <c r="E2606" s="75" t="s">
        <v>143</v>
      </c>
      <c r="F2606" s="75"/>
      <c r="G2606" s="75"/>
      <c r="H2606" s="75"/>
      <c r="I2606" s="75" t="s">
        <v>171</v>
      </c>
      <c r="J2606" s="76">
        <v>5</v>
      </c>
      <c r="K2606" s="519" t="s">
        <v>387</v>
      </c>
      <c r="L2606" s="520">
        <v>22.29</v>
      </c>
      <c r="M2606" s="520">
        <v>23.9</v>
      </c>
      <c r="N2606" s="507">
        <v>0.12</v>
      </c>
      <c r="O2606" s="507">
        <v>0.11700000000000001</v>
      </c>
      <c r="P2606" s="507">
        <v>0.129</v>
      </c>
      <c r="Q2606" s="78">
        <v>0.44</v>
      </c>
      <c r="R2606" s="78">
        <v>0.31740000000000002</v>
      </c>
      <c r="S2606" s="69">
        <v>2.5000000000000001E-2</v>
      </c>
      <c r="T2606" s="69">
        <v>0.01</v>
      </c>
      <c r="U2606" s="507">
        <v>0.75</v>
      </c>
      <c r="V2606" s="76">
        <v>0</v>
      </c>
      <c r="W2606" s="76">
        <v>250</v>
      </c>
      <c r="X2606" s="76"/>
      <c r="Y2606" s="76"/>
    </row>
    <row r="2607" spans="1:25" x14ac:dyDescent="0.25">
      <c r="A2607" s="75" t="str">
        <f t="shared" si="91"/>
        <v>Liquidez Consolidación de Pasivos PROF Premier Pago_Fijo_Puntual 15</v>
      </c>
      <c r="B2607" s="75" t="str">
        <f t="shared" si="90"/>
        <v>Liquidez Consolidación de Pasivos PROF Premier Pago_Fijo_Puntual 15 0.12</v>
      </c>
      <c r="C2607" s="75" t="s">
        <v>390</v>
      </c>
      <c r="D2607" s="75" t="s">
        <v>169</v>
      </c>
      <c r="E2607" s="75" t="s">
        <v>143</v>
      </c>
      <c r="F2607" s="75"/>
      <c r="G2607" s="75"/>
      <c r="H2607" s="75"/>
      <c r="I2607" s="75" t="s">
        <v>171</v>
      </c>
      <c r="J2607" s="76">
        <v>15</v>
      </c>
      <c r="K2607" s="519" t="s">
        <v>387</v>
      </c>
      <c r="L2607" s="520">
        <v>12.24</v>
      </c>
      <c r="M2607" s="520">
        <v>13.85</v>
      </c>
      <c r="N2607" s="507">
        <v>0.12</v>
      </c>
      <c r="O2607" s="507">
        <v>0.11700000000000001</v>
      </c>
      <c r="P2607" s="507">
        <v>0.129</v>
      </c>
      <c r="Q2607" s="78">
        <v>0.44</v>
      </c>
      <c r="R2607" s="78">
        <v>0.31740000000000002</v>
      </c>
      <c r="S2607" s="69">
        <v>2.5000000000000001E-2</v>
      </c>
      <c r="T2607" s="69">
        <v>0.01</v>
      </c>
      <c r="U2607" s="507">
        <v>0.75</v>
      </c>
      <c r="V2607" s="76">
        <v>0</v>
      </c>
      <c r="W2607" s="76">
        <v>250</v>
      </c>
      <c r="X2607" s="76"/>
      <c r="Y2607" s="76"/>
    </row>
    <row r="2608" spans="1:25" x14ac:dyDescent="0.25">
      <c r="A2608" s="75" t="str">
        <f t="shared" si="91"/>
        <v>Liquidez Consolidación de Pasivos PROF Premier Pago_Fijo_Puntual 14</v>
      </c>
      <c r="B2608" s="75" t="str">
        <f t="shared" si="90"/>
        <v>Liquidez Consolidación de Pasivos PROF Premier Pago_Fijo_Puntual 14 0.12</v>
      </c>
      <c r="C2608" s="75" t="s">
        <v>390</v>
      </c>
      <c r="D2608" s="75" t="s">
        <v>169</v>
      </c>
      <c r="E2608" s="75" t="s">
        <v>143</v>
      </c>
      <c r="F2608" s="75"/>
      <c r="G2608" s="75"/>
      <c r="H2608" s="75"/>
      <c r="I2608" s="75" t="s">
        <v>171</v>
      </c>
      <c r="J2608" s="76">
        <v>14</v>
      </c>
      <c r="K2608" s="519" t="s">
        <v>387</v>
      </c>
      <c r="L2608" s="520">
        <v>12.54</v>
      </c>
      <c r="M2608" s="520">
        <v>14.15</v>
      </c>
      <c r="N2608" s="507">
        <v>0.12</v>
      </c>
      <c r="O2608" s="507">
        <v>0.11700000000000001</v>
      </c>
      <c r="P2608" s="507">
        <v>0.129</v>
      </c>
      <c r="Q2608" s="78">
        <v>0.44</v>
      </c>
      <c r="R2608" s="78">
        <v>0.31740000000000002</v>
      </c>
      <c r="S2608" s="69">
        <v>2.5000000000000001E-2</v>
      </c>
      <c r="T2608" s="69">
        <v>0.01</v>
      </c>
      <c r="U2608" s="507">
        <v>0.75</v>
      </c>
      <c r="V2608" s="76">
        <v>0</v>
      </c>
      <c r="W2608" s="76">
        <v>250</v>
      </c>
      <c r="X2608" s="76"/>
      <c r="Y2608" s="76"/>
    </row>
    <row r="2609" spans="1:25" x14ac:dyDescent="0.25">
      <c r="A2609" s="75" t="str">
        <f t="shared" si="91"/>
        <v>Liquidez Consolidación de Pasivos PROF Premier Pago_Fijo_Puntual 13</v>
      </c>
      <c r="B2609" s="75" t="str">
        <f t="shared" si="90"/>
        <v>Liquidez Consolidación de Pasivos PROF Premier Pago_Fijo_Puntual 13 0.12</v>
      </c>
      <c r="C2609" s="75" t="s">
        <v>390</v>
      </c>
      <c r="D2609" s="75" t="s">
        <v>169</v>
      </c>
      <c r="E2609" s="75" t="s">
        <v>143</v>
      </c>
      <c r="F2609" s="75"/>
      <c r="G2609" s="75"/>
      <c r="H2609" s="75"/>
      <c r="I2609" s="75" t="s">
        <v>171</v>
      </c>
      <c r="J2609" s="76">
        <v>13</v>
      </c>
      <c r="K2609" s="519" t="s">
        <v>387</v>
      </c>
      <c r="L2609" s="520">
        <v>12.9</v>
      </c>
      <c r="M2609" s="520">
        <v>14.51</v>
      </c>
      <c r="N2609" s="507">
        <v>0.12</v>
      </c>
      <c r="O2609" s="507">
        <v>0.11700000000000001</v>
      </c>
      <c r="P2609" s="507">
        <v>0.129</v>
      </c>
      <c r="Q2609" s="78">
        <v>0.44</v>
      </c>
      <c r="R2609" s="78">
        <v>0.31740000000000002</v>
      </c>
      <c r="S2609" s="69">
        <v>2.5000000000000001E-2</v>
      </c>
      <c r="T2609" s="69">
        <v>0.01</v>
      </c>
      <c r="U2609" s="507">
        <v>0.75</v>
      </c>
      <c r="V2609" s="76">
        <v>0</v>
      </c>
      <c r="W2609" s="76">
        <v>250</v>
      </c>
      <c r="X2609" s="76"/>
      <c r="Y2609" s="76"/>
    </row>
    <row r="2610" spans="1:25" x14ac:dyDescent="0.25">
      <c r="A2610" s="75" t="str">
        <f t="shared" si="91"/>
        <v>Liquidez Consolidación de Pasivos PROF Premier Pago_Fijo_Puntual 12</v>
      </c>
      <c r="B2610" s="75" t="str">
        <f t="shared" si="90"/>
        <v>Liquidez Consolidación de Pasivos PROF Premier Pago_Fijo_Puntual 12 0.12</v>
      </c>
      <c r="C2610" s="75" t="s">
        <v>390</v>
      </c>
      <c r="D2610" s="75" t="s">
        <v>169</v>
      </c>
      <c r="E2610" s="75" t="s">
        <v>143</v>
      </c>
      <c r="F2610" s="75"/>
      <c r="G2610" s="75"/>
      <c r="H2610" s="75"/>
      <c r="I2610" s="75" t="s">
        <v>171</v>
      </c>
      <c r="J2610" s="76">
        <v>12</v>
      </c>
      <c r="K2610" s="519" t="s">
        <v>387</v>
      </c>
      <c r="L2610" s="520">
        <v>13.33</v>
      </c>
      <c r="M2610" s="520">
        <v>14.94</v>
      </c>
      <c r="N2610" s="507">
        <v>0.12</v>
      </c>
      <c r="O2610" s="507">
        <v>0.11700000000000001</v>
      </c>
      <c r="P2610" s="507">
        <v>0.129</v>
      </c>
      <c r="Q2610" s="78">
        <v>0.44</v>
      </c>
      <c r="R2610" s="78">
        <v>0.31740000000000002</v>
      </c>
      <c r="S2610" s="69">
        <v>2.5000000000000001E-2</v>
      </c>
      <c r="T2610" s="69">
        <v>0.01</v>
      </c>
      <c r="U2610" s="507">
        <v>0.75</v>
      </c>
      <c r="V2610" s="76">
        <v>0</v>
      </c>
      <c r="W2610" s="76">
        <v>250</v>
      </c>
      <c r="X2610" s="76"/>
      <c r="Y2610" s="76"/>
    </row>
    <row r="2611" spans="1:25" x14ac:dyDescent="0.25">
      <c r="A2611" s="75" t="str">
        <f t="shared" si="91"/>
        <v>Liquidez Consolidación de Pasivos PROF Premier Pago_Fijo_Puntual 11</v>
      </c>
      <c r="B2611" s="75" t="str">
        <f t="shared" si="90"/>
        <v>Liquidez Consolidación de Pasivos PROF Premier Pago_Fijo_Puntual 11 0.12</v>
      </c>
      <c r="C2611" s="75" t="s">
        <v>390</v>
      </c>
      <c r="D2611" s="75" t="s">
        <v>169</v>
      </c>
      <c r="E2611" s="75" t="s">
        <v>143</v>
      </c>
      <c r="F2611" s="75"/>
      <c r="G2611" s="75"/>
      <c r="H2611" s="75"/>
      <c r="I2611" s="75" t="s">
        <v>171</v>
      </c>
      <c r="J2611" s="76">
        <v>11</v>
      </c>
      <c r="K2611" s="519" t="s">
        <v>387</v>
      </c>
      <c r="L2611" s="520">
        <v>13.85</v>
      </c>
      <c r="M2611" s="520">
        <v>15.46</v>
      </c>
      <c r="N2611" s="507">
        <v>0.12</v>
      </c>
      <c r="O2611" s="507">
        <v>0.11700000000000001</v>
      </c>
      <c r="P2611" s="507">
        <v>0.129</v>
      </c>
      <c r="Q2611" s="78">
        <v>0.44</v>
      </c>
      <c r="R2611" s="78">
        <v>0.31740000000000002</v>
      </c>
      <c r="S2611" s="69">
        <v>2.5000000000000001E-2</v>
      </c>
      <c r="T2611" s="69">
        <v>0.01</v>
      </c>
      <c r="U2611" s="507">
        <v>0.75</v>
      </c>
      <c r="V2611" s="76">
        <v>0</v>
      </c>
      <c r="W2611" s="76">
        <v>250</v>
      </c>
      <c r="X2611" s="76"/>
      <c r="Y2611" s="76"/>
    </row>
    <row r="2612" spans="1:25" x14ac:dyDescent="0.25">
      <c r="A2612" s="75" t="str">
        <f t="shared" si="91"/>
        <v>Liquidez Consolidación de Pasivos PROF Premier Pago_Fijo_Puntual 10</v>
      </c>
      <c r="B2612" s="75" t="str">
        <f t="shared" si="90"/>
        <v>Liquidez Consolidación de Pasivos PROF Premier Pago_Fijo_Puntual 10 0.12</v>
      </c>
      <c r="C2612" s="75" t="s">
        <v>390</v>
      </c>
      <c r="D2612" s="75" t="s">
        <v>169</v>
      </c>
      <c r="E2612" s="75" t="s">
        <v>143</v>
      </c>
      <c r="F2612" s="75"/>
      <c r="G2612" s="75"/>
      <c r="H2612" s="75"/>
      <c r="I2612" s="75" t="s">
        <v>171</v>
      </c>
      <c r="J2612" s="76">
        <v>10</v>
      </c>
      <c r="K2612" s="519" t="s">
        <v>387</v>
      </c>
      <c r="L2612" s="520">
        <v>14.5</v>
      </c>
      <c r="M2612" s="520">
        <v>16.11</v>
      </c>
      <c r="N2612" s="507">
        <v>0.12</v>
      </c>
      <c r="O2612" s="507">
        <v>0.11700000000000001</v>
      </c>
      <c r="P2612" s="507">
        <v>0.129</v>
      </c>
      <c r="Q2612" s="78">
        <v>0.44</v>
      </c>
      <c r="R2612" s="78">
        <v>0.31740000000000002</v>
      </c>
      <c r="S2612" s="69">
        <v>2.5000000000000001E-2</v>
      </c>
      <c r="T2612" s="69">
        <v>0.01</v>
      </c>
      <c r="U2612" s="507">
        <v>0.75</v>
      </c>
      <c r="V2612" s="76">
        <v>0</v>
      </c>
      <c r="W2612" s="76">
        <v>250</v>
      </c>
      <c r="X2612" s="76"/>
      <c r="Y2612" s="76"/>
    </row>
    <row r="2613" spans="1:25" x14ac:dyDescent="0.25">
      <c r="A2613" s="75" t="str">
        <f t="shared" si="91"/>
        <v>Liquidez Consolidación de Pasivos PROF Premier Pago_Fijo_Puntual 9</v>
      </c>
      <c r="B2613" s="75" t="str">
        <f t="shared" si="90"/>
        <v>Liquidez Consolidación de Pasivos PROF Premier Pago_Fijo_Puntual 9 0.12</v>
      </c>
      <c r="C2613" s="75" t="s">
        <v>390</v>
      </c>
      <c r="D2613" s="75" t="s">
        <v>169</v>
      </c>
      <c r="E2613" s="75" t="s">
        <v>143</v>
      </c>
      <c r="F2613" s="75"/>
      <c r="G2613" s="75"/>
      <c r="H2613" s="75"/>
      <c r="I2613" s="75" t="s">
        <v>171</v>
      </c>
      <c r="J2613" s="76">
        <v>9</v>
      </c>
      <c r="K2613" s="519" t="s">
        <v>387</v>
      </c>
      <c r="L2613" s="520">
        <v>15.31</v>
      </c>
      <c r="M2613" s="520">
        <v>16.920000000000002</v>
      </c>
      <c r="N2613" s="507">
        <v>0.12</v>
      </c>
      <c r="O2613" s="507">
        <v>0.11700000000000001</v>
      </c>
      <c r="P2613" s="507">
        <v>0.129</v>
      </c>
      <c r="Q2613" s="78">
        <v>0.44</v>
      </c>
      <c r="R2613" s="78">
        <v>0.31740000000000002</v>
      </c>
      <c r="S2613" s="69">
        <v>2.5000000000000001E-2</v>
      </c>
      <c r="T2613" s="69">
        <v>0.01</v>
      </c>
      <c r="U2613" s="507">
        <v>0.75</v>
      </c>
      <c r="V2613" s="76">
        <v>0</v>
      </c>
      <c r="W2613" s="76">
        <v>250</v>
      </c>
      <c r="X2613" s="76"/>
      <c r="Y2613" s="76"/>
    </row>
    <row r="2614" spans="1:25" x14ac:dyDescent="0.25">
      <c r="A2614" s="75" t="str">
        <f t="shared" si="91"/>
        <v>Liquidez Consolidación de Pasivos PROF Premier Pago_Fijo_Puntual 8</v>
      </c>
      <c r="B2614" s="75" t="str">
        <f t="shared" ref="B2614:B2617" si="92">CONCATENATE(A2614," ",N2614)</f>
        <v>Liquidez Consolidación de Pasivos PROF Premier Pago_Fijo_Puntual 8 0.12</v>
      </c>
      <c r="C2614" s="75" t="s">
        <v>390</v>
      </c>
      <c r="D2614" s="75" t="s">
        <v>169</v>
      </c>
      <c r="E2614" s="75" t="s">
        <v>143</v>
      </c>
      <c r="F2614" s="75"/>
      <c r="G2614" s="75"/>
      <c r="H2614" s="75"/>
      <c r="I2614" s="75" t="s">
        <v>171</v>
      </c>
      <c r="J2614" s="76">
        <v>8</v>
      </c>
      <c r="K2614" s="519" t="s">
        <v>387</v>
      </c>
      <c r="L2614" s="520">
        <v>16.36</v>
      </c>
      <c r="M2614" s="520">
        <v>17.97</v>
      </c>
      <c r="N2614" s="507">
        <v>0.12</v>
      </c>
      <c r="O2614" s="507">
        <v>0.11700000000000001</v>
      </c>
      <c r="P2614" s="507">
        <v>0.129</v>
      </c>
      <c r="Q2614" s="78">
        <v>0.44</v>
      </c>
      <c r="R2614" s="78">
        <v>0.31740000000000002</v>
      </c>
      <c r="S2614" s="69">
        <v>2.5000000000000001E-2</v>
      </c>
      <c r="T2614" s="69">
        <v>0.01</v>
      </c>
      <c r="U2614" s="507">
        <v>0.75</v>
      </c>
      <c r="V2614" s="76">
        <v>0</v>
      </c>
      <c r="W2614" s="76">
        <v>250</v>
      </c>
      <c r="X2614" s="76"/>
      <c r="Y2614" s="76"/>
    </row>
    <row r="2615" spans="1:25" x14ac:dyDescent="0.25">
      <c r="A2615" s="75" t="str">
        <f t="shared" ref="A2615:A2617" si="93">TRIM(CONCATENATE(C2615," ",D2615," ",E2615," ",F2615," ",G2615," ",I2615," ",X2615," ",J2615))</f>
        <v>Liquidez Consolidación de Pasivos PROF Premier Pago_Fijo_Puntual 7</v>
      </c>
      <c r="B2615" s="75" t="str">
        <f t="shared" si="92"/>
        <v>Liquidez Consolidación de Pasivos PROF Premier Pago_Fijo_Puntual 7 0.12</v>
      </c>
      <c r="C2615" s="75" t="s">
        <v>390</v>
      </c>
      <c r="D2615" s="75" t="s">
        <v>169</v>
      </c>
      <c r="E2615" s="75" t="s">
        <v>143</v>
      </c>
      <c r="F2615" s="75"/>
      <c r="G2615" s="75"/>
      <c r="H2615" s="75"/>
      <c r="I2615" s="75" t="s">
        <v>171</v>
      </c>
      <c r="J2615" s="76">
        <v>7</v>
      </c>
      <c r="K2615" s="519" t="s">
        <v>387</v>
      </c>
      <c r="L2615" s="520">
        <v>17.739999999999998</v>
      </c>
      <c r="M2615" s="520">
        <v>19.350000000000001</v>
      </c>
      <c r="N2615" s="507">
        <v>0.12</v>
      </c>
      <c r="O2615" s="507">
        <v>0.11700000000000001</v>
      </c>
      <c r="P2615" s="507">
        <v>0.129</v>
      </c>
      <c r="Q2615" s="78">
        <v>0.44</v>
      </c>
      <c r="R2615" s="78">
        <v>0.31740000000000002</v>
      </c>
      <c r="S2615" s="69">
        <v>2.5000000000000001E-2</v>
      </c>
      <c r="T2615" s="69">
        <v>0.01</v>
      </c>
      <c r="U2615" s="507">
        <v>0.75</v>
      </c>
      <c r="V2615" s="76">
        <v>0</v>
      </c>
      <c r="W2615" s="76">
        <v>250</v>
      </c>
      <c r="X2615" s="76"/>
      <c r="Y2615" s="76"/>
    </row>
    <row r="2616" spans="1:25" x14ac:dyDescent="0.25">
      <c r="A2616" s="75" t="str">
        <f t="shared" si="93"/>
        <v>Liquidez Consolidación de Pasivos PROF Premier Pago_Fijo_Puntual 6</v>
      </c>
      <c r="B2616" s="75" t="str">
        <f t="shared" si="92"/>
        <v>Liquidez Consolidación de Pasivos PROF Premier Pago_Fijo_Puntual 6 0.12</v>
      </c>
      <c r="C2616" s="75" t="s">
        <v>390</v>
      </c>
      <c r="D2616" s="75" t="s">
        <v>169</v>
      </c>
      <c r="E2616" s="75" t="s">
        <v>143</v>
      </c>
      <c r="F2616" s="75"/>
      <c r="G2616" s="75"/>
      <c r="H2616" s="75"/>
      <c r="I2616" s="75" t="s">
        <v>171</v>
      </c>
      <c r="J2616" s="76">
        <v>6</v>
      </c>
      <c r="K2616" s="519" t="s">
        <v>387</v>
      </c>
      <c r="L2616" s="520">
        <v>19.61</v>
      </c>
      <c r="M2616" s="520">
        <v>21.22</v>
      </c>
      <c r="N2616" s="507">
        <v>0.12</v>
      </c>
      <c r="O2616" s="507">
        <v>0.11700000000000001</v>
      </c>
      <c r="P2616" s="507">
        <v>0.129</v>
      </c>
      <c r="Q2616" s="78">
        <v>0.44</v>
      </c>
      <c r="R2616" s="78">
        <v>0.31740000000000002</v>
      </c>
      <c r="S2616" s="69">
        <v>2.5000000000000001E-2</v>
      </c>
      <c r="T2616" s="69">
        <v>0.01</v>
      </c>
      <c r="U2616" s="507">
        <v>0.75</v>
      </c>
      <c r="V2616" s="76">
        <v>0</v>
      </c>
      <c r="W2616" s="76">
        <v>250</v>
      </c>
      <c r="X2616" s="76"/>
      <c r="Y2616" s="76"/>
    </row>
    <row r="2617" spans="1:25" x14ac:dyDescent="0.25">
      <c r="A2617" s="75" t="str">
        <f t="shared" si="93"/>
        <v>Liquidez Consolidación de Pasivos PROF Premier Pago_Fijo_Puntual 5</v>
      </c>
      <c r="B2617" s="75" t="str">
        <f t="shared" si="92"/>
        <v>Liquidez Consolidación de Pasivos PROF Premier Pago_Fijo_Puntual 5 0.12</v>
      </c>
      <c r="C2617" s="75" t="s">
        <v>390</v>
      </c>
      <c r="D2617" s="75" t="s">
        <v>169</v>
      </c>
      <c r="E2617" s="75" t="s">
        <v>143</v>
      </c>
      <c r="F2617" s="75"/>
      <c r="G2617" s="75"/>
      <c r="H2617" s="75"/>
      <c r="I2617" s="75" t="s">
        <v>171</v>
      </c>
      <c r="J2617" s="76">
        <v>5</v>
      </c>
      <c r="K2617" s="519" t="s">
        <v>387</v>
      </c>
      <c r="L2617" s="520">
        <v>22.29</v>
      </c>
      <c r="M2617" s="520">
        <v>23.9</v>
      </c>
      <c r="N2617" s="507">
        <v>0.12</v>
      </c>
      <c r="O2617" s="507">
        <v>0.11700000000000001</v>
      </c>
      <c r="P2617" s="507">
        <v>0.129</v>
      </c>
      <c r="Q2617" s="78">
        <v>0.44</v>
      </c>
      <c r="R2617" s="78">
        <v>0.31740000000000002</v>
      </c>
      <c r="S2617" s="69">
        <v>2.5000000000000001E-2</v>
      </c>
      <c r="T2617" s="69">
        <v>0.01</v>
      </c>
      <c r="U2617" s="507">
        <v>0.75</v>
      </c>
      <c r="V2617" s="76">
        <v>0</v>
      </c>
      <c r="W2617" s="76">
        <v>250</v>
      </c>
      <c r="X2617" s="76"/>
      <c r="Y2617" s="76"/>
    </row>
  </sheetData>
  <sheetProtection algorithmName="SHA-512" hashValue="0/5N9dV2U72cY7ZtTeQX8tf6bt6hCYjZkyCWx7jEshb3Spk9zwHjaGE1xqXm1fwXqtQmyQl7jHUazIqWQD7Sdw==" saltValue="kgrRCi+ewiaouI11Lz1mDQ==" spinCount="100000" sheet="1" autoFilter="0"/>
  <autoFilter ref="A1:Y2617" xr:uid="{00000000-0001-0000-0A00-000000000000}"/>
  <sortState xmlns:xlrd2="http://schemas.microsoft.com/office/spreadsheetml/2017/richdata2" ref="A2:W2419">
    <sortCondition descending="1" ref="I2:I2419"/>
    <sortCondition ref="C2:C2419"/>
    <sortCondition ref="D2:D2419"/>
    <sortCondition ref="E2:E2419"/>
    <sortCondition ref="F2:F2419"/>
    <sortCondition ref="G2:G2419"/>
    <sortCondition ref="H2:H2419"/>
    <sortCondition descending="1" ref="J2:J2419"/>
    <sortCondition ref="K2:K2419"/>
    <sortCondition ref="L2:L2419"/>
    <sortCondition ref="M2:M2419"/>
  </sortState>
  <pageMargins left="0.7" right="0.7" top="0.75" bottom="0.75" header="0.3" footer="0.3"/>
  <pageSetup orientation="portrait" r:id="rId1"/>
  <headerFooter>
    <oddFooter>&amp;C&amp;1#&amp;"Calibri"&amp;10&amp;K000000PUBLIC</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tabColor rgb="FFFF0000"/>
  </sheetPr>
  <dimension ref="A1:AC467"/>
  <sheetViews>
    <sheetView zoomScale="112" zoomScaleNormal="112" workbookViewId="0">
      <pane ySplit="20" topLeftCell="A21" activePane="bottomLeft" state="frozen"/>
      <selection pane="bottomLeft" activeCell="A21" sqref="A21"/>
    </sheetView>
  </sheetViews>
  <sheetFormatPr baseColWidth="10" defaultColWidth="0" defaultRowHeight="15" x14ac:dyDescent="0.25"/>
  <cols>
    <col min="1" max="2" width="2.140625" style="6" customWidth="1"/>
    <col min="3" max="3" width="17.140625" style="6" customWidth="1"/>
    <col min="4" max="4" width="15.42578125" style="6" customWidth="1"/>
    <col min="5" max="5" width="16" style="6" customWidth="1"/>
    <col min="6" max="6" width="18" style="6" customWidth="1"/>
    <col min="7" max="7" width="16.42578125" style="6" customWidth="1"/>
    <col min="8" max="8" width="15.42578125" style="6" customWidth="1"/>
    <col min="9" max="9" width="35.85546875" style="63" bestFit="1" customWidth="1"/>
    <col min="10" max="10" width="16.42578125" style="63" customWidth="1"/>
    <col min="11" max="11" width="13.85546875" style="63" bestFit="1" customWidth="1"/>
    <col min="12" max="12" width="22.140625" style="6" bestFit="1" customWidth="1"/>
    <col min="13" max="13" width="17.140625" style="6" customWidth="1"/>
    <col min="14" max="15" width="18.5703125" style="6" customWidth="1"/>
    <col min="16" max="16" width="21.5703125" style="6" customWidth="1"/>
    <col min="17" max="17" width="18.5703125" style="6" customWidth="1"/>
    <col min="18" max="18" width="22.85546875" style="6" bestFit="1" customWidth="1"/>
    <col min="19" max="20" width="18.5703125" style="6" customWidth="1"/>
    <col min="21" max="21" width="18.5703125" style="6" hidden="1" customWidth="1"/>
    <col min="22" max="23" width="11.42578125" style="6" hidden="1" customWidth="1"/>
    <col min="24" max="24" width="14" style="6" hidden="1" customWidth="1"/>
    <col min="25" max="26" width="11.42578125" style="6" hidden="1" customWidth="1"/>
    <col min="27" max="27" width="29.85546875" style="6" hidden="1" customWidth="1"/>
    <col min="28" max="16384" width="11.42578125" style="6" hidden="1"/>
  </cols>
  <sheetData>
    <row r="1" spans="3:21" x14ac:dyDescent="0.25">
      <c r="F1" s="7"/>
      <c r="L1" s="7"/>
      <c r="M1" s="7"/>
      <c r="N1" s="7"/>
      <c r="O1" s="7"/>
      <c r="P1" s="7"/>
    </row>
    <row r="2" spans="3:21" x14ac:dyDescent="0.25">
      <c r="N2" s="11"/>
      <c r="O2" s="11"/>
    </row>
    <row r="3" spans="3:21" ht="26.25" x14ac:dyDescent="0.25">
      <c r="I3" s="726" t="s">
        <v>3</v>
      </c>
      <c r="J3" s="726"/>
      <c r="K3" s="726"/>
      <c r="L3" s="726"/>
      <c r="R3" s="185" t="str">
        <f>Caratula!Q10</f>
        <v>Versión M111 V3</v>
      </c>
      <c r="S3" s="64"/>
      <c r="T3" s="64"/>
    </row>
    <row r="4" spans="3:21" ht="23.25" x14ac:dyDescent="0.25">
      <c r="C4" s="1" t="s">
        <v>2</v>
      </c>
      <c r="D4" s="1"/>
      <c r="E4" s="1"/>
      <c r="F4" s="1"/>
      <c r="G4" s="1"/>
      <c r="H4" s="1"/>
      <c r="L4" s="1"/>
      <c r="M4" s="1"/>
      <c r="N4" s="5"/>
      <c r="O4" s="5"/>
      <c r="P4" s="1"/>
      <c r="Q4" s="1"/>
      <c r="R4" s="1"/>
      <c r="S4" s="1"/>
      <c r="T4" s="1"/>
      <c r="U4" s="1"/>
    </row>
    <row r="5" spans="3:21" ht="13.5" customHeight="1" x14ac:dyDescent="0.25">
      <c r="C5" s="1"/>
      <c r="D5" s="1"/>
      <c r="E5" s="1"/>
      <c r="F5" s="1"/>
      <c r="G5" s="1"/>
      <c r="H5" s="1"/>
      <c r="L5" s="5"/>
      <c r="M5" s="5"/>
      <c r="N5" s="5"/>
      <c r="O5" s="5"/>
      <c r="P5" s="5"/>
      <c r="Q5" s="1"/>
      <c r="R5" s="1"/>
      <c r="S5" s="1"/>
      <c r="T5" s="1"/>
      <c r="U5" s="1"/>
    </row>
    <row r="6" spans="3:21" ht="3" customHeight="1" x14ac:dyDescent="0.25">
      <c r="C6" s="2"/>
      <c r="D6" s="2"/>
      <c r="E6" s="2"/>
      <c r="F6" s="2"/>
      <c r="G6" s="2"/>
      <c r="H6" s="2"/>
      <c r="I6" s="65"/>
      <c r="J6" s="65"/>
      <c r="K6" s="65"/>
      <c r="L6" s="2"/>
      <c r="M6" s="2"/>
      <c r="N6" s="8"/>
      <c r="O6" s="8"/>
      <c r="P6" s="8"/>
      <c r="Q6" s="8"/>
      <c r="R6" s="8"/>
      <c r="S6" s="8"/>
      <c r="T6" s="8"/>
      <c r="U6" s="8"/>
    </row>
    <row r="7" spans="3:21" ht="18.75" x14ac:dyDescent="0.25">
      <c r="C7" s="9" t="s">
        <v>4</v>
      </c>
      <c r="D7" s="9"/>
      <c r="E7" s="9"/>
      <c r="G7" s="9"/>
      <c r="H7" s="9"/>
      <c r="I7" s="10" t="s">
        <v>6</v>
      </c>
      <c r="J7" s="6"/>
      <c r="K7" s="6"/>
    </row>
    <row r="8" spans="3:21" x14ac:dyDescent="0.25">
      <c r="C8" s="3" t="s">
        <v>5</v>
      </c>
      <c r="D8" s="3"/>
      <c r="E8" s="37">
        <f>Caratula!F20</f>
        <v>0</v>
      </c>
      <c r="G8" s="3"/>
      <c r="H8" s="3"/>
      <c r="I8" s="3" t="s">
        <v>7</v>
      </c>
      <c r="J8" s="52">
        <f>Caratula!F28</f>
        <v>0</v>
      </c>
      <c r="K8" s="52"/>
      <c r="L8" s="52"/>
      <c r="M8" s="52"/>
    </row>
    <row r="9" spans="3:21" x14ac:dyDescent="0.25">
      <c r="C9" s="3" t="s">
        <v>192</v>
      </c>
      <c r="D9" s="3"/>
      <c r="E9" s="37">
        <f>Caratula!F18</f>
        <v>0</v>
      </c>
      <c r="G9" s="3"/>
      <c r="H9" s="3"/>
      <c r="I9" s="3" t="s">
        <v>20</v>
      </c>
      <c r="J9" s="52">
        <f>Caratula!X63</f>
        <v>0</v>
      </c>
      <c r="K9" s="52"/>
      <c r="L9" s="52"/>
      <c r="M9" s="52"/>
      <c r="O9" s="12"/>
    </row>
    <row r="10" spans="3:21" x14ac:dyDescent="0.25">
      <c r="C10" s="3" t="s">
        <v>24</v>
      </c>
      <c r="D10" s="3"/>
      <c r="E10" s="37" t="str">
        <f>IF(Caratula!F21="","",Caratula!F21)</f>
        <v/>
      </c>
      <c r="G10" s="3"/>
      <c r="H10" s="3"/>
      <c r="I10" s="3" t="s">
        <v>39</v>
      </c>
      <c r="J10" s="13" t="e">
        <f>VLOOKUP(TRIM(CONCATENATE(E8," ",Caratula!F17," ",E9," ",E12," ",E10," ",E14," ",E15," ",Caratula!F24)),Catalogo_Condicione_Financieras!B:W,13,0)</f>
        <v>#N/A</v>
      </c>
      <c r="K10" s="28" t="s">
        <v>26</v>
      </c>
      <c r="L10" s="13" t="e">
        <f>VLOOKUP(TRIM(CONCATENATE(E8," ",Caratula!F17," ",E9," ",E12," ",E10," ",E14," ",E15," ",Caratula!F24)),Catalogo_Condicione_Financieras!B:W,14,0)</f>
        <v>#N/A</v>
      </c>
      <c r="M10" s="28" t="s">
        <v>23</v>
      </c>
      <c r="N10" s="13" t="e">
        <f>VLOOKUP(TRIM(CONCATENATE(E8," ",Caratula!F17," ",E9," ",E12," ",E10," ",E14," ",E15," ",Caratula!F24)),Catalogo_Condicione_Financieras!B:W,15,0)</f>
        <v>#N/A</v>
      </c>
    </row>
    <row r="11" spans="3:21" ht="15" customHeight="1" x14ac:dyDescent="0.25">
      <c r="C11" s="6" t="s">
        <v>157</v>
      </c>
      <c r="E11" s="13">
        <f>Caratula!F24</f>
        <v>0</v>
      </c>
      <c r="I11" s="6"/>
      <c r="J11" s="6"/>
      <c r="K11" s="6"/>
      <c r="N11" s="37"/>
    </row>
    <row r="12" spans="3:21" ht="20.25" customHeight="1" x14ac:dyDescent="0.25">
      <c r="C12" s="6" t="str">
        <f>IF(Caratula!F22="","","Tipo de Cliente")</f>
        <v/>
      </c>
      <c r="E12" s="6" t="str">
        <f>IF(Caratula!F22="","",Caratula!F22)</f>
        <v/>
      </c>
      <c r="I12" s="493" t="str">
        <f>Caratula!N18</f>
        <v>C. Contratación Crédito</v>
      </c>
      <c r="J12" s="13" t="e">
        <f>Caratula!S18</f>
        <v>#N/A</v>
      </c>
      <c r="K12" s="28" t="s">
        <v>34</v>
      </c>
      <c r="L12" s="36" t="e">
        <f>VLOOKUP(TRIM(CONCATENATE(E8," ",Caratula!F17," ",E9," ",E12," ",E10," ",E14," ",E15," ",Caratula!F24)),Catalogo_Condicione_Financieras!B:W,16,0)</f>
        <v>#N/A</v>
      </c>
      <c r="M12" s="28" t="s">
        <v>35</v>
      </c>
      <c r="N12" s="36" t="e">
        <f>VLOOKUP(TRIM(CONCATENATE(E8," ",Caratula!F17," ",E9," ",E12," ",E10," ",E14," ",E15," ",Caratula!F24)),Catalogo_Condicione_Financieras!B:W,17,0)</f>
        <v>#N/A</v>
      </c>
    </row>
    <row r="13" spans="3:21" ht="18.75" x14ac:dyDescent="0.25">
      <c r="C13" s="9" t="s">
        <v>19</v>
      </c>
      <c r="D13" s="9"/>
      <c r="G13" s="9"/>
      <c r="H13" s="9"/>
      <c r="I13" s="494" t="s">
        <v>374</v>
      </c>
      <c r="J13" s="52">
        <f>VLOOKUP(J8,Costo_Avaluos!$A$3:$B$11,2)</f>
        <v>2146</v>
      </c>
      <c r="K13" s="52"/>
      <c r="L13" s="52"/>
      <c r="M13" s="52"/>
      <c r="O13" s="14"/>
    </row>
    <row r="14" spans="3:21" ht="15.75" customHeight="1" x14ac:dyDescent="0.25">
      <c r="C14" s="3" t="s">
        <v>25</v>
      </c>
      <c r="D14" s="3"/>
      <c r="E14" s="53">
        <f>Caratula!F16</f>
        <v>0</v>
      </c>
      <c r="G14" s="3"/>
      <c r="H14" s="3"/>
      <c r="I14" s="6" t="s">
        <v>8</v>
      </c>
      <c r="J14" s="6"/>
      <c r="K14" s="6"/>
    </row>
    <row r="15" spans="3:21" x14ac:dyDescent="0.25">
      <c r="C15" s="6" t="s">
        <v>0</v>
      </c>
      <c r="E15" s="37">
        <f>Caratula!F23</f>
        <v>0</v>
      </c>
      <c r="G15" s="6" t="e">
        <f>MAX(C21:C320)</f>
        <v>#N/A</v>
      </c>
      <c r="I15" s="6" t="s">
        <v>22</v>
      </c>
      <c r="J15" s="479" t="e">
        <f>VLOOKUP(TRIM(CONCATENATE(E8," ",Caratula!F17," ",E9," ",E12," ",E10," ",E14," ",E15," ",Caratula!F24)),Catalogo_Condicione_Financieras!B:W,11,0)</f>
        <v>#N/A</v>
      </c>
      <c r="K15" s="37"/>
      <c r="L15" s="37" t="s">
        <v>53</v>
      </c>
      <c r="M15" s="37" t="s">
        <v>148</v>
      </c>
      <c r="O15" s="6" t="s">
        <v>372</v>
      </c>
      <c r="Q15" s="37" t="e">
        <f>VLOOKUP(TRIM(CONCATENATE(E8," ",Caratula!F17," ",E9," ",E12," ",E10," ",E14," ",E15," ",Caratula!F24)),Catalogo_Condicione_Financieras!B:W,22,0)</f>
        <v>#N/A</v>
      </c>
    </row>
    <row r="16" spans="3:21" x14ac:dyDescent="0.25">
      <c r="C16" s="6" t="str">
        <f>IF(Caratula!F20="Pago_Hipoteca+Liquidez","Tabla a simular","")</f>
        <v/>
      </c>
      <c r="E16" s="6" t="str">
        <f>IF(Caratula!F36="","",Caratula!F36)</f>
        <v/>
      </c>
      <c r="G16" s="11" t="e">
        <f>F21</f>
        <v>#N/A</v>
      </c>
      <c r="I16" s="6" t="s">
        <v>188</v>
      </c>
      <c r="J16" s="480" t="e">
        <f>VLOOKUP(TRIM(CONCATENATE(E8," ",Caratula!F17," ",E9," ",E12," ",E10," ",E14," ",E15," ",Caratula!F24)),Catalogo_Condicione_Financieras!B:W,12,0)</f>
        <v>#N/A</v>
      </c>
      <c r="K16" s="6"/>
    </row>
    <row r="17" spans="3:29" ht="18.75" x14ac:dyDescent="0.25">
      <c r="E17" s="53"/>
      <c r="F17" s="20"/>
      <c r="I17" s="6" t="s">
        <v>9</v>
      </c>
      <c r="J17" s="40" t="str">
        <f>IF(ISERROR(((1+IRR(X20:X320))^(12))-1),"-",(((1+IRR(X20:X320))^(12))-1))</f>
        <v>-</v>
      </c>
      <c r="K17" s="6"/>
      <c r="L17" s="38" t="s">
        <v>154</v>
      </c>
      <c r="M17" s="39">
        <f>IF(E14="Pago_Bajo_Puntual",1.9%,0)</f>
        <v>0</v>
      </c>
    </row>
    <row r="18" spans="3:29" ht="15.75" thickBot="1" x14ac:dyDescent="0.3"/>
    <row r="19" spans="3:29" ht="39.75" customHeight="1" thickBot="1" x14ac:dyDescent="0.3">
      <c r="C19" s="4" t="s">
        <v>125</v>
      </c>
      <c r="D19" s="4" t="s">
        <v>10</v>
      </c>
      <c r="E19" s="4" t="s">
        <v>160</v>
      </c>
      <c r="F19" s="4" t="s">
        <v>11</v>
      </c>
      <c r="G19" s="4" t="s">
        <v>12</v>
      </c>
      <c r="H19" s="4" t="s">
        <v>13</v>
      </c>
      <c r="I19" s="4" t="s">
        <v>14</v>
      </c>
      <c r="J19" s="4" t="s">
        <v>372</v>
      </c>
      <c r="K19" s="4" t="str">
        <f>IF(E8="Liquidez","Iva Intereses",IF(AND(E8="Pago_Hipoteca+Liquidez",E16="Liquidez"),"Iva Intereses",""))</f>
        <v/>
      </c>
      <c r="L19" s="4" t="s">
        <v>163</v>
      </c>
      <c r="M19" s="4" t="s">
        <v>127</v>
      </c>
      <c r="N19" s="4" t="s">
        <v>370</v>
      </c>
      <c r="O19" s="4" t="s">
        <v>373</v>
      </c>
      <c r="P19" s="4" t="s">
        <v>18</v>
      </c>
      <c r="Q19" s="4" t="s">
        <v>162</v>
      </c>
      <c r="R19" s="4" t="s">
        <v>126</v>
      </c>
      <c r="S19" s="4" t="s">
        <v>159</v>
      </c>
      <c r="T19" s="476" t="s">
        <v>15</v>
      </c>
      <c r="U19" s="4" t="s">
        <v>133</v>
      </c>
      <c r="V19" s="4"/>
      <c r="W19" s="4"/>
      <c r="X19" s="32" t="s">
        <v>134</v>
      </c>
      <c r="Y19" s="32" t="s">
        <v>135</v>
      </c>
      <c r="Z19" s="37" t="s">
        <v>140</v>
      </c>
      <c r="AA19" s="37" t="s">
        <v>138</v>
      </c>
      <c r="AB19" s="37" t="s">
        <v>139</v>
      </c>
      <c r="AC19" s="6" t="s">
        <v>156</v>
      </c>
    </row>
    <row r="20" spans="3:29" hidden="1" x14ac:dyDescent="0.25">
      <c r="C20" s="27">
        <v>0</v>
      </c>
      <c r="E20" s="18"/>
      <c r="F20" s="15"/>
      <c r="G20" s="15"/>
      <c r="H20" s="16"/>
      <c r="I20" s="16"/>
      <c r="T20" s="22">
        <f>IF(OR(J8="",J9=""),"",MIN(J8,J9))</f>
        <v>0</v>
      </c>
      <c r="U20" s="6" t="str">
        <f>IF(C20&gt;0,1,"")</f>
        <v/>
      </c>
      <c r="V20" s="37">
        <v>0</v>
      </c>
      <c r="X20" s="33">
        <f>IF(ISNUMBER(J9),-J9,0)+IF(I12="Comisión por apertura",IF(ISNUMBER(J12),J12*J9,0),0)+IF(ISNUMBER(J13),J13/1.16,0)+IF(ISNUMBER(Caratula!S19),Caratula!S19/1.16)</f>
        <v>1850.0000000000002</v>
      </c>
      <c r="Z20" s="35" t="e">
        <f>SUM(M21:M320)</f>
        <v>#N/A</v>
      </c>
      <c r="AA20" s="66" t="e">
        <f>IF(D17="NO",0,J9*J10*3/12)</f>
        <v>#N/A</v>
      </c>
    </row>
    <row r="21" spans="3:29" x14ac:dyDescent="0.25">
      <c r="C21" s="27">
        <v>1</v>
      </c>
      <c r="D21" s="30">
        <f>T20</f>
        <v>0</v>
      </c>
      <c r="E21" s="20" t="e">
        <f>IF(C21="","",IF(T20&lt;E20,T20+$G$21,$J$9*$J$15/1000))</f>
        <v>#N/A</v>
      </c>
      <c r="F21" s="20" t="e">
        <f t="shared" ref="F21:F84" si="0">IF(C21="","",E21-G21+P21+M21)</f>
        <v>#N/A</v>
      </c>
      <c r="G21" s="20" t="e">
        <f t="shared" ref="G21:G84" si="1">IF(C21="","",IF(T20*(Q21/12)&lt;0,"",T20*(Q21/12)))</f>
        <v>#N/A</v>
      </c>
      <c r="H21" s="24" t="e">
        <f>IF(C21="","",L$12*T$20/1000)</f>
        <v>#N/A</v>
      </c>
      <c r="I21" s="20" t="e">
        <f>IF(C21="","",IF(AND($E$8="Pago_Hipoteca+Liquidez",$E$16="Liquidez"),0,IF((($J$8*0.8)*($N$12/1.16))&gt;T20*($N$12/1.16),($J$8*0.8)*($N$12/1.16),($N$12/1.16)*T20)/1000))</f>
        <v>#N/A</v>
      </c>
      <c r="J21" s="63" t="e">
        <f t="shared" ref="J21:J85" si="2">IF($D$17="SI",0,IF(D21="","",$Q$15))</f>
        <v>#N/A</v>
      </c>
      <c r="K21" s="66" t="str">
        <f>IFERROR(IF($E$8="Liquidez",G21*0.16,IF(AND($E$8="Pago_Hipoteca+Liquidez",$E$16="Liquidez"),G21*0.16,"")),"")</f>
        <v/>
      </c>
      <c r="L21" s="17"/>
      <c r="M21" s="23">
        <f>IF(C21="","",IF(L21="",0,L21-N21-O21))</f>
        <v>0</v>
      </c>
      <c r="N21" s="23" t="e">
        <f t="shared" ref="N21:N84" si="3">IF(C21="","",(L21+P21)*$J$12)</f>
        <v>#N/A</v>
      </c>
      <c r="O21" s="23" t="e">
        <f t="shared" ref="O21:O84" si="4">IF(C21="","",((L21+P21)*$J$12)*0.16)</f>
        <v>#N/A</v>
      </c>
      <c r="P21" s="17"/>
      <c r="Q21" s="19" t="e">
        <f>IF(C21="","",'Tabla_Puntual&amp;Relacionamiento'!$E$2)</f>
        <v>#N/A</v>
      </c>
      <c r="R21" s="19"/>
      <c r="S21" s="11" t="e">
        <f>IF(C21="","",IF($K$19="",E21+H21+I21+J21+L21+P21,E21+H21+I21+J21+K21+L21+P21))</f>
        <v>#N/A</v>
      </c>
      <c r="T21" s="23" t="e">
        <f t="shared" ref="T21:T84" si="5">IF(C21="","",T20-F21)</f>
        <v>#N/A</v>
      </c>
      <c r="U21" s="37">
        <f t="shared" ref="U21:U84" si="6">IF(C21="","",1)</f>
        <v>1</v>
      </c>
      <c r="V21" s="37" t="str">
        <f>IF(ISNUMBER(V20),IF($E$15*12&gt;=V20+1,V20+1,""),"")</f>
        <v/>
      </c>
      <c r="X21" s="31">
        <f t="shared" ref="X21:X84" si="7">IF(C21="","",IF($D$17="SI",AB21,
IF(ISNUMBER(V21),IF($E$14="Pago_Fijo_Puntual",PMT(Q21/12,$E$15*12,-$J$9),
Y21*$J$15*$J$9/1000)+H21+AB21+P21+I21/1.16+$Q$15,0)))</f>
        <v>0</v>
      </c>
      <c r="Y21" s="34">
        <v>1</v>
      </c>
      <c r="Z21" s="31" t="e">
        <f t="shared" ref="Z21:Z84" si="8">IF($AA$20=0,0,IF(M21&gt;AA20,MAX(0,M21-AA20),M21))</f>
        <v>#N/A</v>
      </c>
      <c r="AA21" s="66">
        <f t="shared" ref="AA21:AA84" si="9">IFERROR(MAX(0,AA20-M21),0)</f>
        <v>0</v>
      </c>
      <c r="AB21" s="6" t="e">
        <f t="shared" ref="AB21:AB84" si="10">IF($D$17="NO",M21,IF(AA21&gt;0,0,Z21))</f>
        <v>#N/A</v>
      </c>
    </row>
    <row r="22" spans="3:29" x14ac:dyDescent="0.25">
      <c r="C22" s="27" t="e">
        <f t="shared" ref="C22:C85" si="11">IF(OR(C21="",T21&lt;=0),"",IF(C21+1&lt;=E$15*12,C21+1,""))</f>
        <v>#N/A</v>
      </c>
      <c r="D22" s="30" t="e">
        <f t="shared" ref="D22:D85" si="12">IF(T21&lt;=0,"",T21)</f>
        <v>#N/A</v>
      </c>
      <c r="E22" s="20" t="e">
        <f>IF(C22="","",IF(T21&lt;E21,T21+G22,IF(E14="Pago_Fijo_Puntual",$J$9*$J$15/1000,IF($E$14="Pago_Bajo_Puntual",E21+(E21*R22)))))</f>
        <v>#N/A</v>
      </c>
      <c r="F22" s="20" t="e">
        <f t="shared" si="0"/>
        <v>#N/A</v>
      </c>
      <c r="G22" s="21" t="e">
        <f t="shared" si="1"/>
        <v>#N/A</v>
      </c>
      <c r="H22" s="24" t="e">
        <f t="shared" ref="H22:H85" si="13">IF(C22="","",L$12*T21/1000)</f>
        <v>#N/A</v>
      </c>
      <c r="I22" s="21" t="e">
        <f>IF(C22="","",IF(AND($E$8="Pago_Hipoteca+Liquidez",$E$16="Liquidez"),0,IF((($J$8*0.8)*($N$12/1.16))&gt;T21*($N$12/1.16),($J$8*0.8)*($N$12/1.16),($N$12/1.16)*T21)/1000))</f>
        <v>#N/A</v>
      </c>
      <c r="J22" s="63" t="e">
        <f t="shared" si="2"/>
        <v>#N/A</v>
      </c>
      <c r="K22" s="66" t="str">
        <f>IFERROR(IF($E$8="Liquidez",G22*0.16,IF(AND($E$8="Pago_Hipoteca+Liquidez",$E$16="Liquidez"),G22*0.16,"")),"")</f>
        <v/>
      </c>
      <c r="L22" s="17"/>
      <c r="M22" s="23" t="e">
        <f t="shared" ref="M22:M85" si="14">IF(C22="","",IF(L22="",0,L22-N22-O22))</f>
        <v>#N/A</v>
      </c>
      <c r="N22" s="23" t="e">
        <f t="shared" si="3"/>
        <v>#N/A</v>
      </c>
      <c r="O22" s="23" t="e">
        <f t="shared" si="4"/>
        <v>#N/A</v>
      </c>
      <c r="P22" s="17"/>
      <c r="Q22" s="19" t="e">
        <f>IF(C22="","",'Tabla_Puntual&amp;Relacionamiento'!$E$2)</f>
        <v>#N/A</v>
      </c>
      <c r="R22" s="19"/>
      <c r="S22" s="11" t="e">
        <f t="shared" ref="S22:S85" si="15">IF(C22="","",IF($K$19="",E22+H22+I22+J22+L22+P22,E22+H22+I22+J22+K22+L22+P22))</f>
        <v>#N/A</v>
      </c>
      <c r="T22" s="23" t="e">
        <f t="shared" si="5"/>
        <v>#N/A</v>
      </c>
      <c r="U22" s="37" t="e">
        <f t="shared" si="6"/>
        <v>#N/A</v>
      </c>
      <c r="V22" s="37" t="e">
        <f>C22</f>
        <v>#N/A</v>
      </c>
      <c r="X22" s="31" t="e">
        <f t="shared" si="7"/>
        <v>#N/A</v>
      </c>
      <c r="Y22" s="34">
        <f t="shared" ref="Y22:Y32" si="16">Y21</f>
        <v>1</v>
      </c>
      <c r="Z22" s="31" t="e">
        <f t="shared" si="8"/>
        <v>#N/A</v>
      </c>
      <c r="AA22" s="66">
        <f t="shared" si="9"/>
        <v>0</v>
      </c>
      <c r="AB22" s="6" t="e">
        <f t="shared" si="10"/>
        <v>#N/A</v>
      </c>
    </row>
    <row r="23" spans="3:29" x14ac:dyDescent="0.25">
      <c r="C23" s="27" t="e">
        <f t="shared" si="11"/>
        <v>#N/A</v>
      </c>
      <c r="D23" s="30" t="e">
        <f t="shared" si="12"/>
        <v>#N/A</v>
      </c>
      <c r="E23" s="20" t="e">
        <f t="shared" ref="E23:E86" si="17">IF(C23="","",IF(T22&lt;E22,T22+G23,IF($E$14="Pago_Fijo_Puntual",$J$9*$J$15/1000,IF($E$14="Pago_Bajo_Puntual",E22+(E22*R23)))))</f>
        <v>#N/A</v>
      </c>
      <c r="F23" s="20" t="e">
        <f t="shared" si="0"/>
        <v>#N/A</v>
      </c>
      <c r="G23" s="21" t="e">
        <f t="shared" si="1"/>
        <v>#N/A</v>
      </c>
      <c r="H23" s="24" t="e">
        <f t="shared" si="13"/>
        <v>#N/A</v>
      </c>
      <c r="I23" s="21" t="e">
        <f>IF(C23="","",IF(AND($E$8="Pago_Hipoteca+Liquidez",$E$16="Liquidez"),0,IF((($J$8*0.8)*($N$12/1.16))&gt;T22*($N$12/1.16),($J$8*0.8)*($N$12/1.16),($N$12/1.16)*T22)/1000))</f>
        <v>#N/A</v>
      </c>
      <c r="J23" s="63" t="e">
        <f t="shared" si="2"/>
        <v>#N/A</v>
      </c>
      <c r="K23" s="66" t="str">
        <f>IFERROR(IF($E$8="Liquidez",G23*0.16,IF(AND($E$8="Pago_Hipoteca+Liquidez",$E$16="Liquidez"),G23*0.16,"")),"")</f>
        <v/>
      </c>
      <c r="L23" s="17"/>
      <c r="M23" s="23" t="e">
        <f t="shared" si="14"/>
        <v>#N/A</v>
      </c>
      <c r="N23" s="23" t="e">
        <f t="shared" si="3"/>
        <v>#N/A</v>
      </c>
      <c r="O23" s="23" t="e">
        <f t="shared" si="4"/>
        <v>#N/A</v>
      </c>
      <c r="P23" s="17"/>
      <c r="Q23" s="19" t="e">
        <f>IF(C23="","",'Tabla_Puntual&amp;Relacionamiento'!$E$2)</f>
        <v>#N/A</v>
      </c>
      <c r="R23" s="19"/>
      <c r="S23" s="11" t="e">
        <f t="shared" si="15"/>
        <v>#N/A</v>
      </c>
      <c r="T23" s="23" t="e">
        <f t="shared" si="5"/>
        <v>#N/A</v>
      </c>
      <c r="U23" s="37" t="e">
        <f t="shared" si="6"/>
        <v>#N/A</v>
      </c>
      <c r="V23" s="37" t="e">
        <f t="shared" ref="V23:V86" si="18">C23</f>
        <v>#N/A</v>
      </c>
      <c r="X23" s="31" t="e">
        <f t="shared" si="7"/>
        <v>#N/A</v>
      </c>
      <c r="Y23" s="34">
        <f t="shared" si="16"/>
        <v>1</v>
      </c>
      <c r="Z23" s="31" t="e">
        <f t="shared" si="8"/>
        <v>#N/A</v>
      </c>
      <c r="AA23" s="66">
        <f t="shared" si="9"/>
        <v>0</v>
      </c>
      <c r="AB23" s="6" t="e">
        <f t="shared" si="10"/>
        <v>#N/A</v>
      </c>
    </row>
    <row r="24" spans="3:29" x14ac:dyDescent="0.25">
      <c r="C24" s="27" t="e">
        <f t="shared" si="11"/>
        <v>#N/A</v>
      </c>
      <c r="D24" s="30" t="e">
        <f t="shared" si="12"/>
        <v>#N/A</v>
      </c>
      <c r="E24" s="20" t="e">
        <f t="shared" si="17"/>
        <v>#N/A</v>
      </c>
      <c r="F24" s="20" t="e">
        <f t="shared" si="0"/>
        <v>#N/A</v>
      </c>
      <c r="G24" s="21" t="e">
        <f t="shared" si="1"/>
        <v>#N/A</v>
      </c>
      <c r="H24" s="24" t="e">
        <f t="shared" si="13"/>
        <v>#N/A</v>
      </c>
      <c r="I24" s="21" t="e">
        <f>IF(C24="","",IF(AND($E$8="Pago_Hipoteca+Liquidez",$E$16="Liquidez"),0,IF((($J$8*0.8)*($N$12/1.16))&gt;T23*($N$12/1.16),($J$8*0.8)*($N$12/1.16),($N$12/1.16)*T23)/1000))</f>
        <v>#N/A</v>
      </c>
      <c r="J24" s="63" t="e">
        <f t="shared" si="2"/>
        <v>#N/A</v>
      </c>
      <c r="K24" s="66" t="str">
        <f t="shared" ref="K24:K87" si="19">IFERROR(IF($E$8="Liquidez",G24*0.16,IF(AND($E$8="Pago_Hipoteca+Liquidez",$E$16="Liquidez"),G24*0.16,"")),"")</f>
        <v/>
      </c>
      <c r="L24" s="17"/>
      <c r="M24" s="23" t="e">
        <f t="shared" si="14"/>
        <v>#N/A</v>
      </c>
      <c r="N24" s="23" t="e">
        <f t="shared" si="3"/>
        <v>#N/A</v>
      </c>
      <c r="O24" s="23" t="e">
        <f t="shared" si="4"/>
        <v>#N/A</v>
      </c>
      <c r="P24" s="17"/>
      <c r="Q24" s="19" t="e">
        <f>IF(C24="","",'Tabla_Puntual&amp;Relacionamiento'!$E$2)</f>
        <v>#N/A</v>
      </c>
      <c r="R24" s="19"/>
      <c r="S24" s="11" t="e">
        <f t="shared" si="15"/>
        <v>#N/A</v>
      </c>
      <c r="T24" s="23" t="e">
        <f t="shared" si="5"/>
        <v>#N/A</v>
      </c>
      <c r="U24" s="37" t="e">
        <f t="shared" si="6"/>
        <v>#N/A</v>
      </c>
      <c r="V24" s="37" t="e">
        <f t="shared" si="18"/>
        <v>#N/A</v>
      </c>
      <c r="X24" s="31" t="e">
        <f t="shared" si="7"/>
        <v>#N/A</v>
      </c>
      <c r="Y24" s="34">
        <f t="shared" si="16"/>
        <v>1</v>
      </c>
      <c r="Z24" s="31" t="e">
        <f t="shared" si="8"/>
        <v>#N/A</v>
      </c>
      <c r="AA24" s="66">
        <f t="shared" si="9"/>
        <v>0</v>
      </c>
      <c r="AB24" s="6" t="e">
        <f t="shared" si="10"/>
        <v>#N/A</v>
      </c>
    </row>
    <row r="25" spans="3:29" x14ac:dyDescent="0.25">
      <c r="C25" s="27" t="e">
        <f t="shared" si="11"/>
        <v>#N/A</v>
      </c>
      <c r="D25" s="30" t="e">
        <f t="shared" si="12"/>
        <v>#N/A</v>
      </c>
      <c r="E25" s="20" t="e">
        <f t="shared" si="17"/>
        <v>#N/A</v>
      </c>
      <c r="F25" s="20" t="e">
        <f t="shared" si="0"/>
        <v>#N/A</v>
      </c>
      <c r="G25" s="21" t="e">
        <f t="shared" si="1"/>
        <v>#N/A</v>
      </c>
      <c r="H25" s="24" t="e">
        <f t="shared" si="13"/>
        <v>#N/A</v>
      </c>
      <c r="I25" s="21" t="e">
        <f t="shared" ref="I25:I88" si="20">IF(C25="","",IF(AND($E$8="Pago_Hipoteca+Liquidez",$E$16="Liquidez"),0,IF((($J$8*0.8)*($N$12/1.16))&gt;T24*($N$12/1.16),($J$8*0.8)*($N$12/1.16),($N$12/1.16)*T24)/1000))</f>
        <v>#N/A</v>
      </c>
      <c r="J25" s="63" t="e">
        <f t="shared" si="2"/>
        <v>#N/A</v>
      </c>
      <c r="K25" s="66" t="str">
        <f t="shared" si="19"/>
        <v/>
      </c>
      <c r="L25" s="17"/>
      <c r="M25" s="23" t="e">
        <f t="shared" si="14"/>
        <v>#N/A</v>
      </c>
      <c r="N25" s="23" t="e">
        <f t="shared" si="3"/>
        <v>#N/A</v>
      </c>
      <c r="O25" s="23" t="e">
        <f t="shared" si="4"/>
        <v>#N/A</v>
      </c>
      <c r="P25" s="17"/>
      <c r="Q25" s="19" t="e">
        <f>IF(C25="","",'Tabla_Puntual&amp;Relacionamiento'!$E$2)</f>
        <v>#N/A</v>
      </c>
      <c r="R25" s="19"/>
      <c r="S25" s="11" t="e">
        <f t="shared" si="15"/>
        <v>#N/A</v>
      </c>
      <c r="T25" s="23" t="e">
        <f t="shared" si="5"/>
        <v>#N/A</v>
      </c>
      <c r="U25" s="37" t="e">
        <f t="shared" si="6"/>
        <v>#N/A</v>
      </c>
      <c r="V25" s="37" t="e">
        <f t="shared" si="18"/>
        <v>#N/A</v>
      </c>
      <c r="X25" s="31" t="e">
        <f t="shared" si="7"/>
        <v>#N/A</v>
      </c>
      <c r="Y25" s="34">
        <f t="shared" si="16"/>
        <v>1</v>
      </c>
      <c r="Z25" s="31" t="e">
        <f t="shared" si="8"/>
        <v>#N/A</v>
      </c>
      <c r="AA25" s="66">
        <f t="shared" si="9"/>
        <v>0</v>
      </c>
      <c r="AB25" s="6" t="e">
        <f t="shared" si="10"/>
        <v>#N/A</v>
      </c>
    </row>
    <row r="26" spans="3:29" x14ac:dyDescent="0.25">
      <c r="C26" s="27" t="e">
        <f t="shared" si="11"/>
        <v>#N/A</v>
      </c>
      <c r="D26" s="30" t="e">
        <f t="shared" si="12"/>
        <v>#N/A</v>
      </c>
      <c r="E26" s="20" t="e">
        <f t="shared" si="17"/>
        <v>#N/A</v>
      </c>
      <c r="F26" s="20" t="e">
        <f t="shared" si="0"/>
        <v>#N/A</v>
      </c>
      <c r="G26" s="21" t="e">
        <f t="shared" si="1"/>
        <v>#N/A</v>
      </c>
      <c r="H26" s="24" t="e">
        <f t="shared" si="13"/>
        <v>#N/A</v>
      </c>
      <c r="I26" s="21" t="e">
        <f t="shared" si="20"/>
        <v>#N/A</v>
      </c>
      <c r="J26" s="63" t="e">
        <f t="shared" si="2"/>
        <v>#N/A</v>
      </c>
      <c r="K26" s="66" t="str">
        <f t="shared" si="19"/>
        <v/>
      </c>
      <c r="L26" s="17"/>
      <c r="M26" s="23" t="e">
        <f t="shared" si="14"/>
        <v>#N/A</v>
      </c>
      <c r="N26" s="23" t="e">
        <f t="shared" si="3"/>
        <v>#N/A</v>
      </c>
      <c r="O26" s="23" t="e">
        <f t="shared" si="4"/>
        <v>#N/A</v>
      </c>
      <c r="P26" s="17"/>
      <c r="Q26" s="19" t="e">
        <f>IF(C26="","",'Tabla_Puntual&amp;Relacionamiento'!$E$2)</f>
        <v>#N/A</v>
      </c>
      <c r="R26" s="19"/>
      <c r="S26" s="11" t="e">
        <f t="shared" si="15"/>
        <v>#N/A</v>
      </c>
      <c r="T26" s="23" t="e">
        <f t="shared" si="5"/>
        <v>#N/A</v>
      </c>
      <c r="U26" s="37" t="e">
        <f t="shared" si="6"/>
        <v>#N/A</v>
      </c>
      <c r="V26" s="37" t="e">
        <f t="shared" si="18"/>
        <v>#N/A</v>
      </c>
      <c r="X26" s="31" t="e">
        <f t="shared" si="7"/>
        <v>#N/A</v>
      </c>
      <c r="Y26" s="34">
        <f t="shared" si="16"/>
        <v>1</v>
      </c>
      <c r="Z26" s="31" t="e">
        <f t="shared" si="8"/>
        <v>#N/A</v>
      </c>
      <c r="AA26" s="66">
        <f t="shared" si="9"/>
        <v>0</v>
      </c>
      <c r="AB26" s="6" t="e">
        <f t="shared" si="10"/>
        <v>#N/A</v>
      </c>
    </row>
    <row r="27" spans="3:29" x14ac:dyDescent="0.25">
      <c r="C27" s="27" t="e">
        <f t="shared" si="11"/>
        <v>#N/A</v>
      </c>
      <c r="D27" s="30" t="e">
        <f t="shared" si="12"/>
        <v>#N/A</v>
      </c>
      <c r="E27" s="20" t="e">
        <f t="shared" si="17"/>
        <v>#N/A</v>
      </c>
      <c r="F27" s="20" t="e">
        <f t="shared" si="0"/>
        <v>#N/A</v>
      </c>
      <c r="G27" s="21" t="e">
        <f t="shared" si="1"/>
        <v>#N/A</v>
      </c>
      <c r="H27" s="24" t="e">
        <f t="shared" si="13"/>
        <v>#N/A</v>
      </c>
      <c r="I27" s="21" t="e">
        <f t="shared" si="20"/>
        <v>#N/A</v>
      </c>
      <c r="J27" s="63" t="e">
        <f t="shared" si="2"/>
        <v>#N/A</v>
      </c>
      <c r="K27" s="66" t="str">
        <f t="shared" si="19"/>
        <v/>
      </c>
      <c r="L27" s="17"/>
      <c r="M27" s="23" t="e">
        <f t="shared" si="14"/>
        <v>#N/A</v>
      </c>
      <c r="N27" s="23" t="e">
        <f t="shared" si="3"/>
        <v>#N/A</v>
      </c>
      <c r="O27" s="23" t="e">
        <f t="shared" si="4"/>
        <v>#N/A</v>
      </c>
      <c r="P27" s="17"/>
      <c r="Q27" s="19" t="e">
        <f>IF(C27="","",'Tabla_Puntual&amp;Relacionamiento'!$E$2)</f>
        <v>#N/A</v>
      </c>
      <c r="R27" s="19"/>
      <c r="S27" s="11" t="e">
        <f t="shared" si="15"/>
        <v>#N/A</v>
      </c>
      <c r="T27" s="23" t="e">
        <f t="shared" si="5"/>
        <v>#N/A</v>
      </c>
      <c r="U27" s="37" t="e">
        <f t="shared" si="6"/>
        <v>#N/A</v>
      </c>
      <c r="V27" s="37" t="e">
        <f t="shared" si="18"/>
        <v>#N/A</v>
      </c>
      <c r="X27" s="31" t="e">
        <f t="shared" si="7"/>
        <v>#N/A</v>
      </c>
      <c r="Y27" s="34">
        <f t="shared" si="16"/>
        <v>1</v>
      </c>
      <c r="Z27" s="31" t="e">
        <f t="shared" si="8"/>
        <v>#N/A</v>
      </c>
      <c r="AA27" s="66">
        <f t="shared" si="9"/>
        <v>0</v>
      </c>
      <c r="AB27" s="6" t="e">
        <f t="shared" si="10"/>
        <v>#N/A</v>
      </c>
    </row>
    <row r="28" spans="3:29" x14ac:dyDescent="0.25">
      <c r="C28" s="27" t="e">
        <f t="shared" si="11"/>
        <v>#N/A</v>
      </c>
      <c r="D28" s="30" t="e">
        <f t="shared" si="12"/>
        <v>#N/A</v>
      </c>
      <c r="E28" s="20" t="e">
        <f t="shared" si="17"/>
        <v>#N/A</v>
      </c>
      <c r="F28" s="20" t="e">
        <f t="shared" si="0"/>
        <v>#N/A</v>
      </c>
      <c r="G28" s="21" t="e">
        <f t="shared" si="1"/>
        <v>#N/A</v>
      </c>
      <c r="H28" s="24" t="e">
        <f t="shared" si="13"/>
        <v>#N/A</v>
      </c>
      <c r="I28" s="21" t="e">
        <f t="shared" si="20"/>
        <v>#N/A</v>
      </c>
      <c r="J28" s="63" t="e">
        <f t="shared" si="2"/>
        <v>#N/A</v>
      </c>
      <c r="K28" s="66" t="str">
        <f t="shared" si="19"/>
        <v/>
      </c>
      <c r="L28" s="17"/>
      <c r="M28" s="23" t="e">
        <f t="shared" si="14"/>
        <v>#N/A</v>
      </c>
      <c r="N28" s="23" t="e">
        <f t="shared" si="3"/>
        <v>#N/A</v>
      </c>
      <c r="O28" s="23" t="e">
        <f t="shared" si="4"/>
        <v>#N/A</v>
      </c>
      <c r="P28" s="17"/>
      <c r="Q28" s="19" t="e">
        <f>IF(C28="","",'Tabla_Puntual&amp;Relacionamiento'!$E$2)</f>
        <v>#N/A</v>
      </c>
      <c r="R28" s="19"/>
      <c r="S28" s="11" t="e">
        <f t="shared" si="15"/>
        <v>#N/A</v>
      </c>
      <c r="T28" s="23" t="e">
        <f t="shared" si="5"/>
        <v>#N/A</v>
      </c>
      <c r="U28" s="37" t="e">
        <f t="shared" si="6"/>
        <v>#N/A</v>
      </c>
      <c r="V28" s="37" t="e">
        <f t="shared" si="18"/>
        <v>#N/A</v>
      </c>
      <c r="X28" s="31" t="e">
        <f t="shared" si="7"/>
        <v>#N/A</v>
      </c>
      <c r="Y28" s="34">
        <f t="shared" si="16"/>
        <v>1</v>
      </c>
      <c r="Z28" s="31" t="e">
        <f t="shared" si="8"/>
        <v>#N/A</v>
      </c>
      <c r="AA28" s="66">
        <f t="shared" si="9"/>
        <v>0</v>
      </c>
      <c r="AB28" s="6" t="e">
        <f t="shared" si="10"/>
        <v>#N/A</v>
      </c>
    </row>
    <row r="29" spans="3:29" x14ac:dyDescent="0.25">
      <c r="C29" s="27" t="e">
        <f t="shared" si="11"/>
        <v>#N/A</v>
      </c>
      <c r="D29" s="30" t="e">
        <f t="shared" si="12"/>
        <v>#N/A</v>
      </c>
      <c r="E29" s="20" t="e">
        <f t="shared" si="17"/>
        <v>#N/A</v>
      </c>
      <c r="F29" s="20" t="e">
        <f t="shared" si="0"/>
        <v>#N/A</v>
      </c>
      <c r="G29" s="21" t="e">
        <f t="shared" si="1"/>
        <v>#N/A</v>
      </c>
      <c r="H29" s="24" t="e">
        <f t="shared" si="13"/>
        <v>#N/A</v>
      </c>
      <c r="I29" s="21" t="e">
        <f t="shared" si="20"/>
        <v>#N/A</v>
      </c>
      <c r="J29" s="63" t="e">
        <f t="shared" si="2"/>
        <v>#N/A</v>
      </c>
      <c r="K29" s="66" t="str">
        <f t="shared" si="19"/>
        <v/>
      </c>
      <c r="L29" s="17"/>
      <c r="M29" s="23" t="e">
        <f t="shared" si="14"/>
        <v>#N/A</v>
      </c>
      <c r="N29" s="23" t="e">
        <f t="shared" si="3"/>
        <v>#N/A</v>
      </c>
      <c r="O29" s="23" t="e">
        <f t="shared" si="4"/>
        <v>#N/A</v>
      </c>
      <c r="P29" s="17"/>
      <c r="Q29" s="19" t="e">
        <f>IF(C29="","",'Tabla_Puntual&amp;Relacionamiento'!$E$2)</f>
        <v>#N/A</v>
      </c>
      <c r="R29" s="19"/>
      <c r="S29" s="11" t="e">
        <f t="shared" si="15"/>
        <v>#N/A</v>
      </c>
      <c r="T29" s="23" t="e">
        <f t="shared" si="5"/>
        <v>#N/A</v>
      </c>
      <c r="U29" s="37" t="e">
        <f t="shared" si="6"/>
        <v>#N/A</v>
      </c>
      <c r="V29" s="37" t="e">
        <f t="shared" si="18"/>
        <v>#N/A</v>
      </c>
      <c r="X29" s="31" t="e">
        <f t="shared" si="7"/>
        <v>#N/A</v>
      </c>
      <c r="Y29" s="34">
        <f t="shared" si="16"/>
        <v>1</v>
      </c>
      <c r="Z29" s="31" t="e">
        <f t="shared" si="8"/>
        <v>#N/A</v>
      </c>
      <c r="AA29" s="66">
        <f t="shared" si="9"/>
        <v>0</v>
      </c>
      <c r="AB29" s="6" t="e">
        <f t="shared" si="10"/>
        <v>#N/A</v>
      </c>
    </row>
    <row r="30" spans="3:29" x14ac:dyDescent="0.25">
      <c r="C30" s="27" t="e">
        <f t="shared" si="11"/>
        <v>#N/A</v>
      </c>
      <c r="D30" s="30" t="e">
        <f t="shared" si="12"/>
        <v>#N/A</v>
      </c>
      <c r="E30" s="20" t="e">
        <f t="shared" si="17"/>
        <v>#N/A</v>
      </c>
      <c r="F30" s="20" t="e">
        <f t="shared" si="0"/>
        <v>#N/A</v>
      </c>
      <c r="G30" s="21" t="e">
        <f t="shared" si="1"/>
        <v>#N/A</v>
      </c>
      <c r="H30" s="24" t="e">
        <f t="shared" si="13"/>
        <v>#N/A</v>
      </c>
      <c r="I30" s="21" t="e">
        <f t="shared" si="20"/>
        <v>#N/A</v>
      </c>
      <c r="J30" s="63" t="e">
        <f t="shared" si="2"/>
        <v>#N/A</v>
      </c>
      <c r="K30" s="66" t="str">
        <f t="shared" si="19"/>
        <v/>
      </c>
      <c r="L30" s="17"/>
      <c r="M30" s="23" t="e">
        <f t="shared" si="14"/>
        <v>#N/A</v>
      </c>
      <c r="N30" s="23" t="e">
        <f t="shared" si="3"/>
        <v>#N/A</v>
      </c>
      <c r="O30" s="23" t="e">
        <f t="shared" si="4"/>
        <v>#N/A</v>
      </c>
      <c r="P30" s="17"/>
      <c r="Q30" s="19" t="e">
        <f>IF(C30="","",'Tabla_Puntual&amp;Relacionamiento'!$E$2)</f>
        <v>#N/A</v>
      </c>
      <c r="R30" s="19"/>
      <c r="S30" s="11" t="e">
        <f t="shared" si="15"/>
        <v>#N/A</v>
      </c>
      <c r="T30" s="23" t="e">
        <f t="shared" si="5"/>
        <v>#N/A</v>
      </c>
      <c r="U30" s="37" t="e">
        <f t="shared" si="6"/>
        <v>#N/A</v>
      </c>
      <c r="V30" s="37" t="e">
        <f t="shared" si="18"/>
        <v>#N/A</v>
      </c>
      <c r="X30" s="31" t="e">
        <f t="shared" si="7"/>
        <v>#N/A</v>
      </c>
      <c r="Y30" s="34">
        <f t="shared" si="16"/>
        <v>1</v>
      </c>
      <c r="Z30" s="31" t="e">
        <f t="shared" si="8"/>
        <v>#N/A</v>
      </c>
      <c r="AA30" s="66">
        <f t="shared" si="9"/>
        <v>0</v>
      </c>
      <c r="AB30" s="6" t="e">
        <f t="shared" si="10"/>
        <v>#N/A</v>
      </c>
    </row>
    <row r="31" spans="3:29" x14ac:dyDescent="0.25">
      <c r="C31" s="27" t="e">
        <f t="shared" si="11"/>
        <v>#N/A</v>
      </c>
      <c r="D31" s="30" t="e">
        <f t="shared" si="12"/>
        <v>#N/A</v>
      </c>
      <c r="E31" s="20" t="e">
        <f t="shared" si="17"/>
        <v>#N/A</v>
      </c>
      <c r="F31" s="20" t="e">
        <f t="shared" si="0"/>
        <v>#N/A</v>
      </c>
      <c r="G31" s="21" t="e">
        <f t="shared" si="1"/>
        <v>#N/A</v>
      </c>
      <c r="H31" s="24" t="e">
        <f t="shared" si="13"/>
        <v>#N/A</v>
      </c>
      <c r="I31" s="21" t="e">
        <f t="shared" si="20"/>
        <v>#N/A</v>
      </c>
      <c r="J31" s="63" t="e">
        <f t="shared" si="2"/>
        <v>#N/A</v>
      </c>
      <c r="K31" s="66" t="str">
        <f t="shared" si="19"/>
        <v/>
      </c>
      <c r="L31" s="17"/>
      <c r="M31" s="23" t="e">
        <f t="shared" si="14"/>
        <v>#N/A</v>
      </c>
      <c r="N31" s="23" t="e">
        <f t="shared" si="3"/>
        <v>#N/A</v>
      </c>
      <c r="O31" s="23" t="e">
        <f t="shared" si="4"/>
        <v>#N/A</v>
      </c>
      <c r="P31" s="17"/>
      <c r="Q31" s="19" t="e">
        <f>IF(C31="","",'Tabla_Puntual&amp;Relacionamiento'!$E$2)</f>
        <v>#N/A</v>
      </c>
      <c r="R31" s="19"/>
      <c r="S31" s="11" t="e">
        <f t="shared" si="15"/>
        <v>#N/A</v>
      </c>
      <c r="T31" s="23" t="e">
        <f t="shared" si="5"/>
        <v>#N/A</v>
      </c>
      <c r="U31" s="37" t="e">
        <f t="shared" si="6"/>
        <v>#N/A</v>
      </c>
      <c r="V31" s="37" t="e">
        <f t="shared" si="18"/>
        <v>#N/A</v>
      </c>
      <c r="X31" s="31" t="e">
        <f t="shared" si="7"/>
        <v>#N/A</v>
      </c>
      <c r="Y31" s="34">
        <f t="shared" si="16"/>
        <v>1</v>
      </c>
      <c r="Z31" s="31" t="e">
        <f t="shared" si="8"/>
        <v>#N/A</v>
      </c>
      <c r="AA31" s="66">
        <f t="shared" si="9"/>
        <v>0</v>
      </c>
      <c r="AB31" s="6" t="e">
        <f t="shared" si="10"/>
        <v>#N/A</v>
      </c>
    </row>
    <row r="32" spans="3:29" x14ac:dyDescent="0.25">
      <c r="C32" s="27" t="e">
        <f t="shared" si="11"/>
        <v>#N/A</v>
      </c>
      <c r="D32" s="30" t="e">
        <f t="shared" si="12"/>
        <v>#N/A</v>
      </c>
      <c r="E32" s="20" t="e">
        <f t="shared" si="17"/>
        <v>#N/A</v>
      </c>
      <c r="F32" s="20" t="e">
        <f t="shared" si="0"/>
        <v>#N/A</v>
      </c>
      <c r="G32" s="21" t="e">
        <f t="shared" si="1"/>
        <v>#N/A</v>
      </c>
      <c r="H32" s="24" t="e">
        <f t="shared" si="13"/>
        <v>#N/A</v>
      </c>
      <c r="I32" s="21" t="e">
        <f t="shared" si="20"/>
        <v>#N/A</v>
      </c>
      <c r="J32" s="63" t="e">
        <f t="shared" si="2"/>
        <v>#N/A</v>
      </c>
      <c r="K32" s="66" t="str">
        <f t="shared" si="19"/>
        <v/>
      </c>
      <c r="L32" s="17"/>
      <c r="M32" s="23" t="e">
        <f t="shared" si="14"/>
        <v>#N/A</v>
      </c>
      <c r="N32" s="23" t="e">
        <f t="shared" si="3"/>
        <v>#N/A</v>
      </c>
      <c r="O32" s="23" t="e">
        <f t="shared" si="4"/>
        <v>#N/A</v>
      </c>
      <c r="P32" s="17"/>
      <c r="Q32" s="19" t="e">
        <f>IF(C32="","",'Tabla_Puntual&amp;Relacionamiento'!$E$2)</f>
        <v>#N/A</v>
      </c>
      <c r="R32" s="19"/>
      <c r="S32" s="11" t="e">
        <f t="shared" si="15"/>
        <v>#N/A</v>
      </c>
      <c r="T32" s="23" t="e">
        <f t="shared" si="5"/>
        <v>#N/A</v>
      </c>
      <c r="U32" s="37" t="e">
        <f t="shared" si="6"/>
        <v>#N/A</v>
      </c>
      <c r="V32" s="37" t="e">
        <f t="shared" si="18"/>
        <v>#N/A</v>
      </c>
      <c r="X32" s="31" t="e">
        <f t="shared" si="7"/>
        <v>#N/A</v>
      </c>
      <c r="Y32" s="34">
        <f t="shared" si="16"/>
        <v>1</v>
      </c>
      <c r="Z32" s="31" t="e">
        <f t="shared" si="8"/>
        <v>#N/A</v>
      </c>
      <c r="AA32" s="66">
        <f t="shared" si="9"/>
        <v>0</v>
      </c>
      <c r="AB32" s="6" t="e">
        <f t="shared" si="10"/>
        <v>#N/A</v>
      </c>
    </row>
    <row r="33" spans="3:29" x14ac:dyDescent="0.25">
      <c r="C33" s="27" t="e">
        <f t="shared" si="11"/>
        <v>#N/A</v>
      </c>
      <c r="D33" s="30" t="e">
        <f t="shared" si="12"/>
        <v>#N/A</v>
      </c>
      <c r="E33" s="20" t="e">
        <f t="shared" si="17"/>
        <v>#N/A</v>
      </c>
      <c r="F33" s="20" t="e">
        <f t="shared" si="0"/>
        <v>#N/A</v>
      </c>
      <c r="G33" s="21" t="e">
        <f t="shared" si="1"/>
        <v>#N/A</v>
      </c>
      <c r="H33" s="24" t="e">
        <f t="shared" si="13"/>
        <v>#N/A</v>
      </c>
      <c r="I33" s="21" t="e">
        <f t="shared" si="20"/>
        <v>#N/A</v>
      </c>
      <c r="J33" s="63" t="e">
        <f t="shared" si="2"/>
        <v>#N/A</v>
      </c>
      <c r="K33" s="66" t="str">
        <f t="shared" si="19"/>
        <v/>
      </c>
      <c r="L33" s="17"/>
      <c r="M33" s="23" t="e">
        <f t="shared" si="14"/>
        <v>#N/A</v>
      </c>
      <c r="N33" s="23" t="e">
        <f t="shared" si="3"/>
        <v>#N/A</v>
      </c>
      <c r="O33" s="23" t="e">
        <f t="shared" si="4"/>
        <v>#N/A</v>
      </c>
      <c r="P33" s="17"/>
      <c r="Q33" s="19" t="e">
        <f>IF(C33="","",'Tabla_Puntual&amp;Relacionamiento'!$E$3)</f>
        <v>#N/A</v>
      </c>
      <c r="R33" s="19" t="e">
        <f>IF(C33="","",IF($E$14="Pago_Bajo_Puntual",$M$17,""))</f>
        <v>#N/A</v>
      </c>
      <c r="S33" s="11" t="e">
        <f t="shared" si="15"/>
        <v>#N/A</v>
      </c>
      <c r="T33" s="23" t="e">
        <f t="shared" si="5"/>
        <v>#N/A</v>
      </c>
      <c r="U33" s="37" t="e">
        <f t="shared" si="6"/>
        <v>#N/A</v>
      </c>
      <c r="V33" s="37" t="e">
        <f t="shared" si="18"/>
        <v>#N/A</v>
      </c>
      <c r="X33" s="31" t="e">
        <f t="shared" si="7"/>
        <v>#N/A</v>
      </c>
      <c r="Y33" s="34">
        <f>Y32*1.019</f>
        <v>1.0189999999999999</v>
      </c>
      <c r="Z33" s="31" t="e">
        <f t="shared" si="8"/>
        <v>#N/A</v>
      </c>
      <c r="AA33" s="66">
        <f t="shared" si="9"/>
        <v>0</v>
      </c>
      <c r="AB33" s="6" t="e">
        <f t="shared" si="10"/>
        <v>#N/A</v>
      </c>
      <c r="AC33" s="48">
        <f>M17</f>
        <v>0</v>
      </c>
    </row>
    <row r="34" spans="3:29" x14ac:dyDescent="0.25">
      <c r="C34" s="27" t="e">
        <f t="shared" si="11"/>
        <v>#N/A</v>
      </c>
      <c r="D34" s="30" t="e">
        <f t="shared" si="12"/>
        <v>#N/A</v>
      </c>
      <c r="E34" s="20" t="e">
        <f t="shared" si="17"/>
        <v>#N/A</v>
      </c>
      <c r="F34" s="20" t="e">
        <f t="shared" si="0"/>
        <v>#N/A</v>
      </c>
      <c r="G34" s="21" t="e">
        <f t="shared" si="1"/>
        <v>#N/A</v>
      </c>
      <c r="H34" s="24" t="e">
        <f t="shared" si="13"/>
        <v>#N/A</v>
      </c>
      <c r="I34" s="21" t="e">
        <f t="shared" si="20"/>
        <v>#N/A</v>
      </c>
      <c r="J34" s="63" t="e">
        <f t="shared" si="2"/>
        <v>#N/A</v>
      </c>
      <c r="K34" s="66" t="str">
        <f t="shared" si="19"/>
        <v/>
      </c>
      <c r="L34" s="17"/>
      <c r="M34" s="23" t="e">
        <f t="shared" si="14"/>
        <v>#N/A</v>
      </c>
      <c r="N34" s="23" t="e">
        <f t="shared" si="3"/>
        <v>#N/A</v>
      </c>
      <c r="O34" s="23" t="e">
        <f t="shared" si="4"/>
        <v>#N/A</v>
      </c>
      <c r="P34" s="17"/>
      <c r="Q34" s="19" t="e">
        <f>IF(C34="","",'Tabla_Puntual&amp;Relacionamiento'!$E$3)</f>
        <v>#N/A</v>
      </c>
      <c r="R34" s="19"/>
      <c r="S34" s="11" t="e">
        <f t="shared" si="15"/>
        <v>#N/A</v>
      </c>
      <c r="T34" s="23" t="e">
        <f t="shared" si="5"/>
        <v>#N/A</v>
      </c>
      <c r="U34" s="37" t="e">
        <f t="shared" si="6"/>
        <v>#N/A</v>
      </c>
      <c r="V34" s="37" t="e">
        <f t="shared" si="18"/>
        <v>#N/A</v>
      </c>
      <c r="X34" s="31" t="e">
        <f t="shared" si="7"/>
        <v>#N/A</v>
      </c>
      <c r="Y34" s="34">
        <f t="shared" ref="Y34:Y44" si="21">Y33</f>
        <v>1.0189999999999999</v>
      </c>
      <c r="Z34" s="31" t="e">
        <f t="shared" si="8"/>
        <v>#N/A</v>
      </c>
      <c r="AA34" s="66">
        <f t="shared" si="9"/>
        <v>0</v>
      </c>
      <c r="AB34" s="6" t="e">
        <f t="shared" si="10"/>
        <v>#N/A</v>
      </c>
      <c r="AC34" s="48">
        <f>AC33</f>
        <v>0</v>
      </c>
    </row>
    <row r="35" spans="3:29" x14ac:dyDescent="0.25">
      <c r="C35" s="27" t="e">
        <f t="shared" si="11"/>
        <v>#N/A</v>
      </c>
      <c r="D35" s="30" t="e">
        <f t="shared" si="12"/>
        <v>#N/A</v>
      </c>
      <c r="E35" s="20" t="e">
        <f t="shared" si="17"/>
        <v>#N/A</v>
      </c>
      <c r="F35" s="20" t="e">
        <f t="shared" si="0"/>
        <v>#N/A</v>
      </c>
      <c r="G35" s="21" t="e">
        <f t="shared" si="1"/>
        <v>#N/A</v>
      </c>
      <c r="H35" s="24" t="e">
        <f t="shared" si="13"/>
        <v>#N/A</v>
      </c>
      <c r="I35" s="21" t="e">
        <f t="shared" si="20"/>
        <v>#N/A</v>
      </c>
      <c r="J35" s="63" t="e">
        <f t="shared" si="2"/>
        <v>#N/A</v>
      </c>
      <c r="K35" s="66" t="str">
        <f t="shared" si="19"/>
        <v/>
      </c>
      <c r="L35" s="17"/>
      <c r="M35" s="23" t="e">
        <f t="shared" si="14"/>
        <v>#N/A</v>
      </c>
      <c r="N35" s="23" t="e">
        <f t="shared" si="3"/>
        <v>#N/A</v>
      </c>
      <c r="O35" s="23" t="e">
        <f t="shared" si="4"/>
        <v>#N/A</v>
      </c>
      <c r="P35" s="17"/>
      <c r="Q35" s="19" t="e">
        <f>IF(C35="","",'Tabla_Puntual&amp;Relacionamiento'!$E$3)</f>
        <v>#N/A</v>
      </c>
      <c r="R35" s="19"/>
      <c r="S35" s="11" t="e">
        <f t="shared" si="15"/>
        <v>#N/A</v>
      </c>
      <c r="T35" s="23" t="e">
        <f t="shared" si="5"/>
        <v>#N/A</v>
      </c>
      <c r="U35" s="37" t="e">
        <f t="shared" si="6"/>
        <v>#N/A</v>
      </c>
      <c r="V35" s="37" t="e">
        <f t="shared" si="18"/>
        <v>#N/A</v>
      </c>
      <c r="X35" s="31" t="e">
        <f t="shared" si="7"/>
        <v>#N/A</v>
      </c>
      <c r="Y35" s="34">
        <f t="shared" si="21"/>
        <v>1.0189999999999999</v>
      </c>
      <c r="Z35" s="31" t="e">
        <f t="shared" si="8"/>
        <v>#N/A</v>
      </c>
      <c r="AA35" s="66">
        <f t="shared" si="9"/>
        <v>0</v>
      </c>
      <c r="AB35" s="6" t="e">
        <f t="shared" si="10"/>
        <v>#N/A</v>
      </c>
      <c r="AC35" s="48">
        <f t="shared" ref="AC35:AC98" si="22">AC34</f>
        <v>0</v>
      </c>
    </row>
    <row r="36" spans="3:29" x14ac:dyDescent="0.25">
      <c r="C36" s="27" t="e">
        <f t="shared" si="11"/>
        <v>#N/A</v>
      </c>
      <c r="D36" s="30" t="e">
        <f t="shared" si="12"/>
        <v>#N/A</v>
      </c>
      <c r="E36" s="20" t="e">
        <f t="shared" si="17"/>
        <v>#N/A</v>
      </c>
      <c r="F36" s="20" t="e">
        <f t="shared" si="0"/>
        <v>#N/A</v>
      </c>
      <c r="G36" s="21" t="e">
        <f t="shared" si="1"/>
        <v>#N/A</v>
      </c>
      <c r="H36" s="24" t="e">
        <f t="shared" si="13"/>
        <v>#N/A</v>
      </c>
      <c r="I36" s="21" t="e">
        <f t="shared" si="20"/>
        <v>#N/A</v>
      </c>
      <c r="J36" s="63" t="e">
        <f t="shared" si="2"/>
        <v>#N/A</v>
      </c>
      <c r="K36" s="66" t="str">
        <f t="shared" si="19"/>
        <v/>
      </c>
      <c r="L36" s="17"/>
      <c r="M36" s="23" t="e">
        <f t="shared" si="14"/>
        <v>#N/A</v>
      </c>
      <c r="N36" s="23" t="e">
        <f t="shared" si="3"/>
        <v>#N/A</v>
      </c>
      <c r="O36" s="23" t="e">
        <f t="shared" si="4"/>
        <v>#N/A</v>
      </c>
      <c r="P36" s="17"/>
      <c r="Q36" s="19" t="e">
        <f>IF(C36="","",'Tabla_Puntual&amp;Relacionamiento'!$E$3)</f>
        <v>#N/A</v>
      </c>
      <c r="R36" s="19"/>
      <c r="S36" s="11" t="e">
        <f t="shared" si="15"/>
        <v>#N/A</v>
      </c>
      <c r="T36" s="23" t="e">
        <f t="shared" si="5"/>
        <v>#N/A</v>
      </c>
      <c r="U36" s="37" t="e">
        <f t="shared" si="6"/>
        <v>#N/A</v>
      </c>
      <c r="V36" s="37" t="e">
        <f t="shared" si="18"/>
        <v>#N/A</v>
      </c>
      <c r="X36" s="31" t="e">
        <f t="shared" si="7"/>
        <v>#N/A</v>
      </c>
      <c r="Y36" s="34">
        <f t="shared" si="21"/>
        <v>1.0189999999999999</v>
      </c>
      <c r="Z36" s="31" t="e">
        <f t="shared" si="8"/>
        <v>#N/A</v>
      </c>
      <c r="AA36" s="66">
        <f t="shared" si="9"/>
        <v>0</v>
      </c>
      <c r="AB36" s="6" t="e">
        <f t="shared" si="10"/>
        <v>#N/A</v>
      </c>
      <c r="AC36" s="48">
        <f t="shared" si="22"/>
        <v>0</v>
      </c>
    </row>
    <row r="37" spans="3:29" x14ac:dyDescent="0.25">
      <c r="C37" s="27" t="e">
        <f t="shared" si="11"/>
        <v>#N/A</v>
      </c>
      <c r="D37" s="30" t="e">
        <f t="shared" si="12"/>
        <v>#N/A</v>
      </c>
      <c r="E37" s="20" t="e">
        <f t="shared" si="17"/>
        <v>#N/A</v>
      </c>
      <c r="F37" s="20" t="e">
        <f t="shared" si="0"/>
        <v>#N/A</v>
      </c>
      <c r="G37" s="21" t="e">
        <f t="shared" si="1"/>
        <v>#N/A</v>
      </c>
      <c r="H37" s="24" t="e">
        <f t="shared" si="13"/>
        <v>#N/A</v>
      </c>
      <c r="I37" s="21" t="e">
        <f t="shared" si="20"/>
        <v>#N/A</v>
      </c>
      <c r="J37" s="63" t="e">
        <f t="shared" si="2"/>
        <v>#N/A</v>
      </c>
      <c r="K37" s="66" t="str">
        <f t="shared" si="19"/>
        <v/>
      </c>
      <c r="L37" s="17"/>
      <c r="M37" s="23" t="e">
        <f t="shared" si="14"/>
        <v>#N/A</v>
      </c>
      <c r="N37" s="23" t="e">
        <f t="shared" si="3"/>
        <v>#N/A</v>
      </c>
      <c r="O37" s="23" t="e">
        <f t="shared" si="4"/>
        <v>#N/A</v>
      </c>
      <c r="P37" s="17"/>
      <c r="Q37" s="19" t="e">
        <f>IF(C37="","",'Tabla_Puntual&amp;Relacionamiento'!$E$3)</f>
        <v>#N/A</v>
      </c>
      <c r="R37" s="19"/>
      <c r="S37" s="11" t="e">
        <f t="shared" si="15"/>
        <v>#N/A</v>
      </c>
      <c r="T37" s="23" t="e">
        <f t="shared" si="5"/>
        <v>#N/A</v>
      </c>
      <c r="U37" s="37" t="e">
        <f t="shared" si="6"/>
        <v>#N/A</v>
      </c>
      <c r="V37" s="37" t="e">
        <f t="shared" si="18"/>
        <v>#N/A</v>
      </c>
      <c r="X37" s="31" t="e">
        <f t="shared" si="7"/>
        <v>#N/A</v>
      </c>
      <c r="Y37" s="34">
        <f t="shared" si="21"/>
        <v>1.0189999999999999</v>
      </c>
      <c r="Z37" s="31" t="e">
        <f t="shared" si="8"/>
        <v>#N/A</v>
      </c>
      <c r="AA37" s="66">
        <f t="shared" si="9"/>
        <v>0</v>
      </c>
      <c r="AB37" s="6" t="e">
        <f t="shared" si="10"/>
        <v>#N/A</v>
      </c>
      <c r="AC37" s="48">
        <f t="shared" si="22"/>
        <v>0</v>
      </c>
    </row>
    <row r="38" spans="3:29" x14ac:dyDescent="0.25">
      <c r="C38" s="27" t="e">
        <f t="shared" si="11"/>
        <v>#N/A</v>
      </c>
      <c r="D38" s="30" t="e">
        <f t="shared" si="12"/>
        <v>#N/A</v>
      </c>
      <c r="E38" s="20" t="e">
        <f t="shared" si="17"/>
        <v>#N/A</v>
      </c>
      <c r="F38" s="20" t="e">
        <f t="shared" si="0"/>
        <v>#N/A</v>
      </c>
      <c r="G38" s="21" t="e">
        <f t="shared" si="1"/>
        <v>#N/A</v>
      </c>
      <c r="H38" s="24" t="e">
        <f t="shared" si="13"/>
        <v>#N/A</v>
      </c>
      <c r="I38" s="21" t="e">
        <f t="shared" si="20"/>
        <v>#N/A</v>
      </c>
      <c r="J38" s="63" t="e">
        <f t="shared" si="2"/>
        <v>#N/A</v>
      </c>
      <c r="K38" s="66" t="str">
        <f t="shared" si="19"/>
        <v/>
      </c>
      <c r="L38" s="17"/>
      <c r="M38" s="23" t="e">
        <f t="shared" si="14"/>
        <v>#N/A</v>
      </c>
      <c r="N38" s="23" t="e">
        <f t="shared" si="3"/>
        <v>#N/A</v>
      </c>
      <c r="O38" s="23" t="e">
        <f t="shared" si="4"/>
        <v>#N/A</v>
      </c>
      <c r="P38" s="17"/>
      <c r="Q38" s="19" t="e">
        <f>IF(C38="","",'Tabla_Puntual&amp;Relacionamiento'!$E$3)</f>
        <v>#N/A</v>
      </c>
      <c r="R38" s="19"/>
      <c r="S38" s="11" t="e">
        <f t="shared" si="15"/>
        <v>#N/A</v>
      </c>
      <c r="T38" s="23" t="e">
        <f t="shared" si="5"/>
        <v>#N/A</v>
      </c>
      <c r="U38" s="37" t="e">
        <f t="shared" si="6"/>
        <v>#N/A</v>
      </c>
      <c r="V38" s="37" t="e">
        <f t="shared" si="18"/>
        <v>#N/A</v>
      </c>
      <c r="X38" s="31" t="e">
        <f t="shared" si="7"/>
        <v>#N/A</v>
      </c>
      <c r="Y38" s="34">
        <f t="shared" si="21"/>
        <v>1.0189999999999999</v>
      </c>
      <c r="Z38" s="31" t="e">
        <f t="shared" si="8"/>
        <v>#N/A</v>
      </c>
      <c r="AA38" s="66">
        <f t="shared" si="9"/>
        <v>0</v>
      </c>
      <c r="AB38" s="6" t="e">
        <f t="shared" si="10"/>
        <v>#N/A</v>
      </c>
      <c r="AC38" s="48">
        <f t="shared" si="22"/>
        <v>0</v>
      </c>
    </row>
    <row r="39" spans="3:29" x14ac:dyDescent="0.25">
      <c r="C39" s="27" t="e">
        <f t="shared" si="11"/>
        <v>#N/A</v>
      </c>
      <c r="D39" s="30" t="e">
        <f t="shared" si="12"/>
        <v>#N/A</v>
      </c>
      <c r="E39" s="20" t="e">
        <f t="shared" si="17"/>
        <v>#N/A</v>
      </c>
      <c r="F39" s="20" t="e">
        <f t="shared" si="0"/>
        <v>#N/A</v>
      </c>
      <c r="G39" s="21" t="e">
        <f t="shared" si="1"/>
        <v>#N/A</v>
      </c>
      <c r="H39" s="24" t="e">
        <f t="shared" si="13"/>
        <v>#N/A</v>
      </c>
      <c r="I39" s="21" t="e">
        <f t="shared" si="20"/>
        <v>#N/A</v>
      </c>
      <c r="J39" s="63" t="e">
        <f t="shared" si="2"/>
        <v>#N/A</v>
      </c>
      <c r="K39" s="66" t="str">
        <f t="shared" si="19"/>
        <v/>
      </c>
      <c r="L39" s="17"/>
      <c r="M39" s="23" t="e">
        <f t="shared" si="14"/>
        <v>#N/A</v>
      </c>
      <c r="N39" s="23" t="e">
        <f t="shared" si="3"/>
        <v>#N/A</v>
      </c>
      <c r="O39" s="23" t="e">
        <f t="shared" si="4"/>
        <v>#N/A</v>
      </c>
      <c r="P39" s="17"/>
      <c r="Q39" s="19" t="e">
        <f>IF(C39="","",'Tabla_Puntual&amp;Relacionamiento'!$E$3)</f>
        <v>#N/A</v>
      </c>
      <c r="R39" s="19"/>
      <c r="S39" s="11" t="e">
        <f t="shared" si="15"/>
        <v>#N/A</v>
      </c>
      <c r="T39" s="23" t="e">
        <f t="shared" si="5"/>
        <v>#N/A</v>
      </c>
      <c r="U39" s="37" t="e">
        <f t="shared" si="6"/>
        <v>#N/A</v>
      </c>
      <c r="V39" s="37" t="e">
        <f t="shared" si="18"/>
        <v>#N/A</v>
      </c>
      <c r="X39" s="31" t="e">
        <f t="shared" si="7"/>
        <v>#N/A</v>
      </c>
      <c r="Y39" s="34">
        <f t="shared" si="21"/>
        <v>1.0189999999999999</v>
      </c>
      <c r="Z39" s="31" t="e">
        <f t="shared" si="8"/>
        <v>#N/A</v>
      </c>
      <c r="AA39" s="66">
        <f t="shared" si="9"/>
        <v>0</v>
      </c>
      <c r="AB39" s="6" t="e">
        <f t="shared" si="10"/>
        <v>#N/A</v>
      </c>
      <c r="AC39" s="48">
        <f t="shared" si="22"/>
        <v>0</v>
      </c>
    </row>
    <row r="40" spans="3:29" x14ac:dyDescent="0.25">
      <c r="C40" s="27" t="e">
        <f t="shared" si="11"/>
        <v>#N/A</v>
      </c>
      <c r="D40" s="30" t="e">
        <f t="shared" si="12"/>
        <v>#N/A</v>
      </c>
      <c r="E40" s="20" t="e">
        <f t="shared" si="17"/>
        <v>#N/A</v>
      </c>
      <c r="F40" s="20" t="e">
        <f t="shared" si="0"/>
        <v>#N/A</v>
      </c>
      <c r="G40" s="21" t="e">
        <f t="shared" si="1"/>
        <v>#N/A</v>
      </c>
      <c r="H40" s="24" t="e">
        <f t="shared" si="13"/>
        <v>#N/A</v>
      </c>
      <c r="I40" s="21" t="e">
        <f t="shared" si="20"/>
        <v>#N/A</v>
      </c>
      <c r="J40" s="63" t="e">
        <f t="shared" si="2"/>
        <v>#N/A</v>
      </c>
      <c r="K40" s="66" t="str">
        <f t="shared" si="19"/>
        <v/>
      </c>
      <c r="L40" s="17"/>
      <c r="M40" s="23" t="e">
        <f t="shared" si="14"/>
        <v>#N/A</v>
      </c>
      <c r="N40" s="23" t="e">
        <f t="shared" si="3"/>
        <v>#N/A</v>
      </c>
      <c r="O40" s="23" t="e">
        <f t="shared" si="4"/>
        <v>#N/A</v>
      </c>
      <c r="P40" s="17"/>
      <c r="Q40" s="19" t="e">
        <f>IF(C40="","",'Tabla_Puntual&amp;Relacionamiento'!$E$3)</f>
        <v>#N/A</v>
      </c>
      <c r="R40" s="19"/>
      <c r="S40" s="11" t="e">
        <f t="shared" si="15"/>
        <v>#N/A</v>
      </c>
      <c r="T40" s="23" t="e">
        <f t="shared" si="5"/>
        <v>#N/A</v>
      </c>
      <c r="U40" s="37" t="e">
        <f t="shared" si="6"/>
        <v>#N/A</v>
      </c>
      <c r="V40" s="37" t="e">
        <f t="shared" si="18"/>
        <v>#N/A</v>
      </c>
      <c r="X40" s="31" t="e">
        <f t="shared" si="7"/>
        <v>#N/A</v>
      </c>
      <c r="Y40" s="34">
        <f t="shared" si="21"/>
        <v>1.0189999999999999</v>
      </c>
      <c r="Z40" s="31" t="e">
        <f t="shared" si="8"/>
        <v>#N/A</v>
      </c>
      <c r="AA40" s="66">
        <f t="shared" si="9"/>
        <v>0</v>
      </c>
      <c r="AB40" s="6" t="e">
        <f t="shared" si="10"/>
        <v>#N/A</v>
      </c>
      <c r="AC40" s="48">
        <f t="shared" si="22"/>
        <v>0</v>
      </c>
    </row>
    <row r="41" spans="3:29" x14ac:dyDescent="0.25">
      <c r="C41" s="27" t="e">
        <f t="shared" si="11"/>
        <v>#N/A</v>
      </c>
      <c r="D41" s="30" t="e">
        <f t="shared" si="12"/>
        <v>#N/A</v>
      </c>
      <c r="E41" s="20" t="e">
        <f t="shared" si="17"/>
        <v>#N/A</v>
      </c>
      <c r="F41" s="20" t="e">
        <f t="shared" si="0"/>
        <v>#N/A</v>
      </c>
      <c r="G41" s="21" t="e">
        <f t="shared" si="1"/>
        <v>#N/A</v>
      </c>
      <c r="H41" s="24" t="e">
        <f t="shared" si="13"/>
        <v>#N/A</v>
      </c>
      <c r="I41" s="21" t="e">
        <f t="shared" si="20"/>
        <v>#N/A</v>
      </c>
      <c r="J41" s="63" t="e">
        <f t="shared" si="2"/>
        <v>#N/A</v>
      </c>
      <c r="K41" s="66" t="str">
        <f t="shared" si="19"/>
        <v/>
      </c>
      <c r="L41" s="17"/>
      <c r="M41" s="23" t="e">
        <f t="shared" si="14"/>
        <v>#N/A</v>
      </c>
      <c r="N41" s="23" t="e">
        <f t="shared" si="3"/>
        <v>#N/A</v>
      </c>
      <c r="O41" s="23" t="e">
        <f t="shared" si="4"/>
        <v>#N/A</v>
      </c>
      <c r="P41" s="17"/>
      <c r="Q41" s="19" t="e">
        <f>IF(C41="","",'Tabla_Puntual&amp;Relacionamiento'!$E$3)</f>
        <v>#N/A</v>
      </c>
      <c r="R41" s="19"/>
      <c r="S41" s="11" t="e">
        <f t="shared" si="15"/>
        <v>#N/A</v>
      </c>
      <c r="T41" s="23" t="e">
        <f t="shared" si="5"/>
        <v>#N/A</v>
      </c>
      <c r="U41" s="37" t="e">
        <f t="shared" si="6"/>
        <v>#N/A</v>
      </c>
      <c r="V41" s="37" t="e">
        <f t="shared" si="18"/>
        <v>#N/A</v>
      </c>
      <c r="X41" s="31" t="e">
        <f t="shared" si="7"/>
        <v>#N/A</v>
      </c>
      <c r="Y41" s="34">
        <f t="shared" si="21"/>
        <v>1.0189999999999999</v>
      </c>
      <c r="Z41" s="31" t="e">
        <f t="shared" si="8"/>
        <v>#N/A</v>
      </c>
      <c r="AA41" s="66">
        <f t="shared" si="9"/>
        <v>0</v>
      </c>
      <c r="AB41" s="6" t="e">
        <f t="shared" si="10"/>
        <v>#N/A</v>
      </c>
      <c r="AC41" s="48">
        <f t="shared" si="22"/>
        <v>0</v>
      </c>
    </row>
    <row r="42" spans="3:29" x14ac:dyDescent="0.25">
      <c r="C42" s="27" t="e">
        <f t="shared" si="11"/>
        <v>#N/A</v>
      </c>
      <c r="D42" s="30" t="e">
        <f t="shared" si="12"/>
        <v>#N/A</v>
      </c>
      <c r="E42" s="20" t="e">
        <f t="shared" si="17"/>
        <v>#N/A</v>
      </c>
      <c r="F42" s="20" t="e">
        <f t="shared" si="0"/>
        <v>#N/A</v>
      </c>
      <c r="G42" s="21" t="e">
        <f t="shared" si="1"/>
        <v>#N/A</v>
      </c>
      <c r="H42" s="24" t="e">
        <f t="shared" si="13"/>
        <v>#N/A</v>
      </c>
      <c r="I42" s="21" t="e">
        <f t="shared" si="20"/>
        <v>#N/A</v>
      </c>
      <c r="J42" s="63" t="e">
        <f t="shared" si="2"/>
        <v>#N/A</v>
      </c>
      <c r="K42" s="66" t="str">
        <f t="shared" si="19"/>
        <v/>
      </c>
      <c r="L42" s="17"/>
      <c r="M42" s="23" t="e">
        <f t="shared" si="14"/>
        <v>#N/A</v>
      </c>
      <c r="N42" s="23" t="e">
        <f t="shared" si="3"/>
        <v>#N/A</v>
      </c>
      <c r="O42" s="23" t="e">
        <f t="shared" si="4"/>
        <v>#N/A</v>
      </c>
      <c r="P42" s="17"/>
      <c r="Q42" s="19" t="e">
        <f>IF(C42="","",'Tabla_Puntual&amp;Relacionamiento'!$E$3)</f>
        <v>#N/A</v>
      </c>
      <c r="R42" s="19"/>
      <c r="S42" s="11" t="e">
        <f t="shared" si="15"/>
        <v>#N/A</v>
      </c>
      <c r="T42" s="23" t="e">
        <f t="shared" si="5"/>
        <v>#N/A</v>
      </c>
      <c r="U42" s="37" t="e">
        <f t="shared" si="6"/>
        <v>#N/A</v>
      </c>
      <c r="V42" s="37" t="e">
        <f t="shared" si="18"/>
        <v>#N/A</v>
      </c>
      <c r="X42" s="31" t="e">
        <f t="shared" si="7"/>
        <v>#N/A</v>
      </c>
      <c r="Y42" s="34">
        <f t="shared" si="21"/>
        <v>1.0189999999999999</v>
      </c>
      <c r="Z42" s="31" t="e">
        <f t="shared" si="8"/>
        <v>#N/A</v>
      </c>
      <c r="AA42" s="66">
        <f t="shared" si="9"/>
        <v>0</v>
      </c>
      <c r="AB42" s="6" t="e">
        <f t="shared" si="10"/>
        <v>#N/A</v>
      </c>
      <c r="AC42" s="48">
        <f t="shared" si="22"/>
        <v>0</v>
      </c>
    </row>
    <row r="43" spans="3:29" x14ac:dyDescent="0.25">
      <c r="C43" s="27" t="e">
        <f t="shared" si="11"/>
        <v>#N/A</v>
      </c>
      <c r="D43" s="30" t="e">
        <f t="shared" si="12"/>
        <v>#N/A</v>
      </c>
      <c r="E43" s="20" t="e">
        <f t="shared" si="17"/>
        <v>#N/A</v>
      </c>
      <c r="F43" s="20" t="e">
        <f t="shared" si="0"/>
        <v>#N/A</v>
      </c>
      <c r="G43" s="21" t="e">
        <f t="shared" si="1"/>
        <v>#N/A</v>
      </c>
      <c r="H43" s="24" t="e">
        <f t="shared" si="13"/>
        <v>#N/A</v>
      </c>
      <c r="I43" s="21" t="e">
        <f t="shared" si="20"/>
        <v>#N/A</v>
      </c>
      <c r="J43" s="63" t="e">
        <f t="shared" si="2"/>
        <v>#N/A</v>
      </c>
      <c r="K43" s="66" t="str">
        <f t="shared" si="19"/>
        <v/>
      </c>
      <c r="L43" s="17"/>
      <c r="M43" s="23" t="e">
        <f t="shared" si="14"/>
        <v>#N/A</v>
      </c>
      <c r="N43" s="23" t="e">
        <f t="shared" si="3"/>
        <v>#N/A</v>
      </c>
      <c r="O43" s="23" t="e">
        <f t="shared" si="4"/>
        <v>#N/A</v>
      </c>
      <c r="P43" s="17"/>
      <c r="Q43" s="19" t="e">
        <f>IF(C43="","",'Tabla_Puntual&amp;Relacionamiento'!$E$3)</f>
        <v>#N/A</v>
      </c>
      <c r="R43" s="19"/>
      <c r="S43" s="11" t="e">
        <f t="shared" si="15"/>
        <v>#N/A</v>
      </c>
      <c r="T43" s="23" t="e">
        <f t="shared" si="5"/>
        <v>#N/A</v>
      </c>
      <c r="U43" s="37" t="e">
        <f t="shared" si="6"/>
        <v>#N/A</v>
      </c>
      <c r="V43" s="37" t="e">
        <f t="shared" si="18"/>
        <v>#N/A</v>
      </c>
      <c r="X43" s="31" t="e">
        <f t="shared" si="7"/>
        <v>#N/A</v>
      </c>
      <c r="Y43" s="34">
        <f t="shared" si="21"/>
        <v>1.0189999999999999</v>
      </c>
      <c r="Z43" s="31" t="e">
        <f t="shared" si="8"/>
        <v>#N/A</v>
      </c>
      <c r="AA43" s="66">
        <f t="shared" si="9"/>
        <v>0</v>
      </c>
      <c r="AB43" s="6" t="e">
        <f t="shared" si="10"/>
        <v>#N/A</v>
      </c>
      <c r="AC43" s="48">
        <f t="shared" si="22"/>
        <v>0</v>
      </c>
    </row>
    <row r="44" spans="3:29" x14ac:dyDescent="0.25">
      <c r="C44" s="27" t="e">
        <f t="shared" si="11"/>
        <v>#N/A</v>
      </c>
      <c r="D44" s="30" t="e">
        <f t="shared" si="12"/>
        <v>#N/A</v>
      </c>
      <c r="E44" s="20" t="e">
        <f t="shared" si="17"/>
        <v>#N/A</v>
      </c>
      <c r="F44" s="20" t="e">
        <f t="shared" si="0"/>
        <v>#N/A</v>
      </c>
      <c r="G44" s="21" t="e">
        <f t="shared" si="1"/>
        <v>#N/A</v>
      </c>
      <c r="H44" s="24" t="e">
        <f t="shared" si="13"/>
        <v>#N/A</v>
      </c>
      <c r="I44" s="21" t="e">
        <f t="shared" si="20"/>
        <v>#N/A</v>
      </c>
      <c r="J44" s="63" t="e">
        <f t="shared" si="2"/>
        <v>#N/A</v>
      </c>
      <c r="K44" s="66" t="str">
        <f t="shared" si="19"/>
        <v/>
      </c>
      <c r="L44" s="17"/>
      <c r="M44" s="23" t="e">
        <f t="shared" si="14"/>
        <v>#N/A</v>
      </c>
      <c r="N44" s="23" t="e">
        <f t="shared" si="3"/>
        <v>#N/A</v>
      </c>
      <c r="O44" s="23" t="e">
        <f t="shared" si="4"/>
        <v>#N/A</v>
      </c>
      <c r="P44" s="17"/>
      <c r="Q44" s="19" t="e">
        <f>IF(C44="","",'Tabla_Puntual&amp;Relacionamiento'!$E$3)</f>
        <v>#N/A</v>
      </c>
      <c r="R44" s="19"/>
      <c r="S44" s="11" t="e">
        <f t="shared" si="15"/>
        <v>#N/A</v>
      </c>
      <c r="T44" s="23" t="e">
        <f t="shared" si="5"/>
        <v>#N/A</v>
      </c>
      <c r="U44" s="37" t="e">
        <f t="shared" si="6"/>
        <v>#N/A</v>
      </c>
      <c r="V44" s="37" t="e">
        <f t="shared" si="18"/>
        <v>#N/A</v>
      </c>
      <c r="X44" s="31" t="e">
        <f t="shared" si="7"/>
        <v>#N/A</v>
      </c>
      <c r="Y44" s="34">
        <f t="shared" si="21"/>
        <v>1.0189999999999999</v>
      </c>
      <c r="Z44" s="31" t="e">
        <f t="shared" si="8"/>
        <v>#N/A</v>
      </c>
      <c r="AA44" s="66">
        <f t="shared" si="9"/>
        <v>0</v>
      </c>
      <c r="AB44" s="6" t="e">
        <f t="shared" si="10"/>
        <v>#N/A</v>
      </c>
      <c r="AC44" s="48">
        <f t="shared" si="22"/>
        <v>0</v>
      </c>
    </row>
    <row r="45" spans="3:29" x14ac:dyDescent="0.25">
      <c r="C45" s="27" t="e">
        <f t="shared" si="11"/>
        <v>#N/A</v>
      </c>
      <c r="D45" s="30" t="e">
        <f t="shared" si="12"/>
        <v>#N/A</v>
      </c>
      <c r="E45" s="20" t="e">
        <f t="shared" si="17"/>
        <v>#N/A</v>
      </c>
      <c r="F45" s="20" t="e">
        <f t="shared" si="0"/>
        <v>#N/A</v>
      </c>
      <c r="G45" s="21" t="e">
        <f t="shared" si="1"/>
        <v>#N/A</v>
      </c>
      <c r="H45" s="24" t="e">
        <f t="shared" si="13"/>
        <v>#N/A</v>
      </c>
      <c r="I45" s="21" t="e">
        <f t="shared" si="20"/>
        <v>#N/A</v>
      </c>
      <c r="J45" s="63" t="e">
        <f t="shared" si="2"/>
        <v>#N/A</v>
      </c>
      <c r="K45" s="66" t="str">
        <f t="shared" si="19"/>
        <v/>
      </c>
      <c r="L45" s="17"/>
      <c r="M45" s="23" t="e">
        <f t="shared" si="14"/>
        <v>#N/A</v>
      </c>
      <c r="N45" s="23" t="e">
        <f t="shared" si="3"/>
        <v>#N/A</v>
      </c>
      <c r="O45" s="23" t="e">
        <f t="shared" si="4"/>
        <v>#N/A</v>
      </c>
      <c r="P45" s="17"/>
      <c r="Q45" s="19" t="e">
        <f>IF(C45="","",'Tabla_Puntual&amp;Relacionamiento'!$E$4)</f>
        <v>#N/A</v>
      </c>
      <c r="R45" s="19" t="e">
        <f>IF(C45="","",IF($E$14="Pago_Bajo_Puntual",$M$17,""))</f>
        <v>#N/A</v>
      </c>
      <c r="S45" s="11" t="e">
        <f t="shared" si="15"/>
        <v>#N/A</v>
      </c>
      <c r="T45" s="23" t="e">
        <f t="shared" si="5"/>
        <v>#N/A</v>
      </c>
      <c r="U45" s="37" t="e">
        <f t="shared" si="6"/>
        <v>#N/A</v>
      </c>
      <c r="V45" s="37" t="e">
        <f t="shared" si="18"/>
        <v>#N/A</v>
      </c>
      <c r="X45" s="31" t="e">
        <f t="shared" si="7"/>
        <v>#N/A</v>
      </c>
      <c r="Y45" s="34">
        <f>Y44*1.019</f>
        <v>1.0383609999999999</v>
      </c>
      <c r="Z45" s="31" t="e">
        <f t="shared" si="8"/>
        <v>#N/A</v>
      </c>
      <c r="AA45" s="66">
        <f t="shared" si="9"/>
        <v>0</v>
      </c>
      <c r="AB45" s="6" t="e">
        <f t="shared" si="10"/>
        <v>#N/A</v>
      </c>
      <c r="AC45" s="48">
        <f>AC44+$M$17</f>
        <v>0</v>
      </c>
    </row>
    <row r="46" spans="3:29" x14ac:dyDescent="0.25">
      <c r="C46" s="27" t="e">
        <f t="shared" si="11"/>
        <v>#N/A</v>
      </c>
      <c r="D46" s="30" t="e">
        <f t="shared" si="12"/>
        <v>#N/A</v>
      </c>
      <c r="E46" s="20" t="e">
        <f t="shared" si="17"/>
        <v>#N/A</v>
      </c>
      <c r="F46" s="20" t="e">
        <f t="shared" si="0"/>
        <v>#N/A</v>
      </c>
      <c r="G46" s="21" t="e">
        <f t="shared" si="1"/>
        <v>#N/A</v>
      </c>
      <c r="H46" s="24" t="e">
        <f t="shared" si="13"/>
        <v>#N/A</v>
      </c>
      <c r="I46" s="21" t="e">
        <f t="shared" si="20"/>
        <v>#N/A</v>
      </c>
      <c r="J46" s="63" t="e">
        <f t="shared" si="2"/>
        <v>#N/A</v>
      </c>
      <c r="K46" s="66" t="str">
        <f t="shared" si="19"/>
        <v/>
      </c>
      <c r="L46" s="17"/>
      <c r="M46" s="23" t="e">
        <f t="shared" si="14"/>
        <v>#N/A</v>
      </c>
      <c r="N46" s="23" t="e">
        <f t="shared" si="3"/>
        <v>#N/A</v>
      </c>
      <c r="O46" s="23" t="e">
        <f t="shared" si="4"/>
        <v>#N/A</v>
      </c>
      <c r="P46" s="17"/>
      <c r="Q46" s="19" t="e">
        <f>IF(C46="","",'Tabla_Puntual&amp;Relacionamiento'!$E$4)</f>
        <v>#N/A</v>
      </c>
      <c r="R46" s="19"/>
      <c r="S46" s="11" t="e">
        <f t="shared" si="15"/>
        <v>#N/A</v>
      </c>
      <c r="T46" s="23" t="e">
        <f t="shared" si="5"/>
        <v>#N/A</v>
      </c>
      <c r="U46" s="37" t="e">
        <f t="shared" si="6"/>
        <v>#N/A</v>
      </c>
      <c r="V46" s="37" t="e">
        <f t="shared" si="18"/>
        <v>#N/A</v>
      </c>
      <c r="X46" s="31" t="e">
        <f t="shared" si="7"/>
        <v>#N/A</v>
      </c>
      <c r="Y46" s="34">
        <f t="shared" ref="Y46:Y56" si="23">Y45</f>
        <v>1.0383609999999999</v>
      </c>
      <c r="Z46" s="31" t="e">
        <f t="shared" si="8"/>
        <v>#N/A</v>
      </c>
      <c r="AA46" s="66">
        <f t="shared" si="9"/>
        <v>0</v>
      </c>
      <c r="AB46" s="6" t="e">
        <f t="shared" si="10"/>
        <v>#N/A</v>
      </c>
      <c r="AC46" s="48">
        <f t="shared" si="22"/>
        <v>0</v>
      </c>
    </row>
    <row r="47" spans="3:29" x14ac:dyDescent="0.25">
      <c r="C47" s="27" t="e">
        <f t="shared" si="11"/>
        <v>#N/A</v>
      </c>
      <c r="D47" s="30" t="e">
        <f t="shared" si="12"/>
        <v>#N/A</v>
      </c>
      <c r="E47" s="20" t="e">
        <f t="shared" si="17"/>
        <v>#N/A</v>
      </c>
      <c r="F47" s="20" t="e">
        <f t="shared" si="0"/>
        <v>#N/A</v>
      </c>
      <c r="G47" s="21" t="e">
        <f t="shared" si="1"/>
        <v>#N/A</v>
      </c>
      <c r="H47" s="24" t="e">
        <f t="shared" si="13"/>
        <v>#N/A</v>
      </c>
      <c r="I47" s="21" t="e">
        <f t="shared" si="20"/>
        <v>#N/A</v>
      </c>
      <c r="J47" s="63" t="e">
        <f t="shared" si="2"/>
        <v>#N/A</v>
      </c>
      <c r="K47" s="66" t="str">
        <f t="shared" si="19"/>
        <v/>
      </c>
      <c r="L47" s="17"/>
      <c r="M47" s="23" t="e">
        <f t="shared" si="14"/>
        <v>#N/A</v>
      </c>
      <c r="N47" s="23" t="e">
        <f t="shared" si="3"/>
        <v>#N/A</v>
      </c>
      <c r="O47" s="23" t="e">
        <f t="shared" si="4"/>
        <v>#N/A</v>
      </c>
      <c r="P47" s="17"/>
      <c r="Q47" s="19" t="e">
        <f>IF(C47="","",'Tabla_Puntual&amp;Relacionamiento'!$E$4)</f>
        <v>#N/A</v>
      </c>
      <c r="R47" s="19"/>
      <c r="S47" s="11" t="e">
        <f t="shared" si="15"/>
        <v>#N/A</v>
      </c>
      <c r="T47" s="23" t="e">
        <f t="shared" si="5"/>
        <v>#N/A</v>
      </c>
      <c r="U47" s="37" t="e">
        <f t="shared" si="6"/>
        <v>#N/A</v>
      </c>
      <c r="V47" s="37" t="e">
        <f t="shared" si="18"/>
        <v>#N/A</v>
      </c>
      <c r="X47" s="31" t="e">
        <f t="shared" si="7"/>
        <v>#N/A</v>
      </c>
      <c r="Y47" s="34">
        <f t="shared" si="23"/>
        <v>1.0383609999999999</v>
      </c>
      <c r="Z47" s="31" t="e">
        <f t="shared" si="8"/>
        <v>#N/A</v>
      </c>
      <c r="AA47" s="66">
        <f t="shared" si="9"/>
        <v>0</v>
      </c>
      <c r="AB47" s="6" t="e">
        <f t="shared" si="10"/>
        <v>#N/A</v>
      </c>
      <c r="AC47" s="48">
        <f t="shared" si="22"/>
        <v>0</v>
      </c>
    </row>
    <row r="48" spans="3:29" x14ac:dyDescent="0.25">
      <c r="C48" s="27" t="e">
        <f t="shared" si="11"/>
        <v>#N/A</v>
      </c>
      <c r="D48" s="30" t="e">
        <f t="shared" si="12"/>
        <v>#N/A</v>
      </c>
      <c r="E48" s="20" t="e">
        <f t="shared" si="17"/>
        <v>#N/A</v>
      </c>
      <c r="F48" s="20" t="e">
        <f t="shared" si="0"/>
        <v>#N/A</v>
      </c>
      <c r="G48" s="21" t="e">
        <f t="shared" si="1"/>
        <v>#N/A</v>
      </c>
      <c r="H48" s="24" t="e">
        <f t="shared" si="13"/>
        <v>#N/A</v>
      </c>
      <c r="I48" s="21" t="e">
        <f t="shared" si="20"/>
        <v>#N/A</v>
      </c>
      <c r="J48" s="63" t="e">
        <f t="shared" si="2"/>
        <v>#N/A</v>
      </c>
      <c r="K48" s="66" t="str">
        <f t="shared" si="19"/>
        <v/>
      </c>
      <c r="L48" s="17"/>
      <c r="M48" s="23" t="e">
        <f t="shared" si="14"/>
        <v>#N/A</v>
      </c>
      <c r="N48" s="23" t="e">
        <f t="shared" si="3"/>
        <v>#N/A</v>
      </c>
      <c r="O48" s="23" t="e">
        <f t="shared" si="4"/>
        <v>#N/A</v>
      </c>
      <c r="P48" s="17"/>
      <c r="Q48" s="19" t="e">
        <f>IF(C48="","",'Tabla_Puntual&amp;Relacionamiento'!$E$4)</f>
        <v>#N/A</v>
      </c>
      <c r="R48" s="19"/>
      <c r="S48" s="11" t="e">
        <f t="shared" si="15"/>
        <v>#N/A</v>
      </c>
      <c r="T48" s="23" t="e">
        <f t="shared" si="5"/>
        <v>#N/A</v>
      </c>
      <c r="U48" s="37" t="e">
        <f t="shared" si="6"/>
        <v>#N/A</v>
      </c>
      <c r="V48" s="37" t="e">
        <f t="shared" si="18"/>
        <v>#N/A</v>
      </c>
      <c r="X48" s="31" t="e">
        <f t="shared" si="7"/>
        <v>#N/A</v>
      </c>
      <c r="Y48" s="34">
        <f t="shared" si="23"/>
        <v>1.0383609999999999</v>
      </c>
      <c r="Z48" s="31" t="e">
        <f t="shared" si="8"/>
        <v>#N/A</v>
      </c>
      <c r="AA48" s="66">
        <f t="shared" si="9"/>
        <v>0</v>
      </c>
      <c r="AB48" s="6" t="e">
        <f t="shared" si="10"/>
        <v>#N/A</v>
      </c>
      <c r="AC48" s="48">
        <f t="shared" si="22"/>
        <v>0</v>
      </c>
    </row>
    <row r="49" spans="3:29" x14ac:dyDescent="0.25">
      <c r="C49" s="27" t="e">
        <f t="shared" si="11"/>
        <v>#N/A</v>
      </c>
      <c r="D49" s="30" t="e">
        <f t="shared" si="12"/>
        <v>#N/A</v>
      </c>
      <c r="E49" s="20" t="e">
        <f t="shared" si="17"/>
        <v>#N/A</v>
      </c>
      <c r="F49" s="20" t="e">
        <f t="shared" si="0"/>
        <v>#N/A</v>
      </c>
      <c r="G49" s="21" t="e">
        <f t="shared" si="1"/>
        <v>#N/A</v>
      </c>
      <c r="H49" s="24" t="e">
        <f t="shared" si="13"/>
        <v>#N/A</v>
      </c>
      <c r="I49" s="21" t="e">
        <f t="shared" si="20"/>
        <v>#N/A</v>
      </c>
      <c r="J49" s="63" t="e">
        <f t="shared" si="2"/>
        <v>#N/A</v>
      </c>
      <c r="K49" s="66" t="str">
        <f t="shared" si="19"/>
        <v/>
      </c>
      <c r="L49" s="17"/>
      <c r="M49" s="23" t="e">
        <f t="shared" si="14"/>
        <v>#N/A</v>
      </c>
      <c r="N49" s="23" t="e">
        <f t="shared" si="3"/>
        <v>#N/A</v>
      </c>
      <c r="O49" s="23" t="e">
        <f t="shared" si="4"/>
        <v>#N/A</v>
      </c>
      <c r="P49" s="17"/>
      <c r="Q49" s="19" t="e">
        <f>IF(C49="","",'Tabla_Puntual&amp;Relacionamiento'!$E$4)</f>
        <v>#N/A</v>
      </c>
      <c r="R49" s="19"/>
      <c r="S49" s="11" t="e">
        <f t="shared" si="15"/>
        <v>#N/A</v>
      </c>
      <c r="T49" s="23" t="e">
        <f t="shared" si="5"/>
        <v>#N/A</v>
      </c>
      <c r="U49" s="37" t="e">
        <f t="shared" si="6"/>
        <v>#N/A</v>
      </c>
      <c r="V49" s="37" t="e">
        <f t="shared" si="18"/>
        <v>#N/A</v>
      </c>
      <c r="X49" s="31" t="e">
        <f t="shared" si="7"/>
        <v>#N/A</v>
      </c>
      <c r="Y49" s="34">
        <f t="shared" si="23"/>
        <v>1.0383609999999999</v>
      </c>
      <c r="Z49" s="31" t="e">
        <f t="shared" si="8"/>
        <v>#N/A</v>
      </c>
      <c r="AA49" s="66">
        <f t="shared" si="9"/>
        <v>0</v>
      </c>
      <c r="AB49" s="6" t="e">
        <f t="shared" si="10"/>
        <v>#N/A</v>
      </c>
      <c r="AC49" s="48">
        <f t="shared" si="22"/>
        <v>0</v>
      </c>
    </row>
    <row r="50" spans="3:29" x14ac:dyDescent="0.25">
      <c r="C50" s="27" t="e">
        <f t="shared" si="11"/>
        <v>#N/A</v>
      </c>
      <c r="D50" s="30" t="e">
        <f t="shared" si="12"/>
        <v>#N/A</v>
      </c>
      <c r="E50" s="20" t="e">
        <f t="shared" si="17"/>
        <v>#N/A</v>
      </c>
      <c r="F50" s="20" t="e">
        <f t="shared" si="0"/>
        <v>#N/A</v>
      </c>
      <c r="G50" s="21" t="e">
        <f t="shared" si="1"/>
        <v>#N/A</v>
      </c>
      <c r="H50" s="24" t="e">
        <f t="shared" si="13"/>
        <v>#N/A</v>
      </c>
      <c r="I50" s="21" t="e">
        <f t="shared" si="20"/>
        <v>#N/A</v>
      </c>
      <c r="J50" s="63" t="e">
        <f t="shared" si="2"/>
        <v>#N/A</v>
      </c>
      <c r="K50" s="66" t="str">
        <f t="shared" si="19"/>
        <v/>
      </c>
      <c r="L50" s="17"/>
      <c r="M50" s="23" t="e">
        <f t="shared" si="14"/>
        <v>#N/A</v>
      </c>
      <c r="N50" s="23" t="e">
        <f t="shared" si="3"/>
        <v>#N/A</v>
      </c>
      <c r="O50" s="23" t="e">
        <f t="shared" si="4"/>
        <v>#N/A</v>
      </c>
      <c r="P50" s="17"/>
      <c r="Q50" s="19" t="e">
        <f>IF(C50="","",'Tabla_Puntual&amp;Relacionamiento'!$E$4)</f>
        <v>#N/A</v>
      </c>
      <c r="R50" s="19"/>
      <c r="S50" s="11" t="e">
        <f t="shared" si="15"/>
        <v>#N/A</v>
      </c>
      <c r="T50" s="23" t="e">
        <f t="shared" si="5"/>
        <v>#N/A</v>
      </c>
      <c r="U50" s="37" t="e">
        <f t="shared" si="6"/>
        <v>#N/A</v>
      </c>
      <c r="V50" s="37" t="e">
        <f t="shared" si="18"/>
        <v>#N/A</v>
      </c>
      <c r="X50" s="31" t="e">
        <f t="shared" si="7"/>
        <v>#N/A</v>
      </c>
      <c r="Y50" s="34">
        <f t="shared" si="23"/>
        <v>1.0383609999999999</v>
      </c>
      <c r="Z50" s="31" t="e">
        <f t="shared" si="8"/>
        <v>#N/A</v>
      </c>
      <c r="AA50" s="66">
        <f t="shared" si="9"/>
        <v>0</v>
      </c>
      <c r="AB50" s="6" t="e">
        <f t="shared" si="10"/>
        <v>#N/A</v>
      </c>
      <c r="AC50" s="48">
        <f t="shared" si="22"/>
        <v>0</v>
      </c>
    </row>
    <row r="51" spans="3:29" x14ac:dyDescent="0.25">
      <c r="C51" s="27" t="e">
        <f t="shared" si="11"/>
        <v>#N/A</v>
      </c>
      <c r="D51" s="30" t="e">
        <f t="shared" si="12"/>
        <v>#N/A</v>
      </c>
      <c r="E51" s="20" t="e">
        <f t="shared" si="17"/>
        <v>#N/A</v>
      </c>
      <c r="F51" s="20" t="e">
        <f t="shared" si="0"/>
        <v>#N/A</v>
      </c>
      <c r="G51" s="21" t="e">
        <f t="shared" si="1"/>
        <v>#N/A</v>
      </c>
      <c r="H51" s="24" t="e">
        <f t="shared" si="13"/>
        <v>#N/A</v>
      </c>
      <c r="I51" s="21" t="e">
        <f t="shared" si="20"/>
        <v>#N/A</v>
      </c>
      <c r="J51" s="63" t="e">
        <f t="shared" si="2"/>
        <v>#N/A</v>
      </c>
      <c r="K51" s="66" t="str">
        <f t="shared" si="19"/>
        <v/>
      </c>
      <c r="L51" s="17"/>
      <c r="M51" s="23" t="e">
        <f t="shared" si="14"/>
        <v>#N/A</v>
      </c>
      <c r="N51" s="23" t="e">
        <f t="shared" si="3"/>
        <v>#N/A</v>
      </c>
      <c r="O51" s="23" t="e">
        <f t="shared" si="4"/>
        <v>#N/A</v>
      </c>
      <c r="P51" s="17"/>
      <c r="Q51" s="19" t="e">
        <f>IF(C51="","",'Tabla_Puntual&amp;Relacionamiento'!$E$4)</f>
        <v>#N/A</v>
      </c>
      <c r="R51" s="19"/>
      <c r="S51" s="11" t="e">
        <f t="shared" si="15"/>
        <v>#N/A</v>
      </c>
      <c r="T51" s="23" t="e">
        <f t="shared" si="5"/>
        <v>#N/A</v>
      </c>
      <c r="U51" s="37" t="e">
        <f t="shared" si="6"/>
        <v>#N/A</v>
      </c>
      <c r="V51" s="37" t="e">
        <f t="shared" si="18"/>
        <v>#N/A</v>
      </c>
      <c r="X51" s="31" t="e">
        <f t="shared" si="7"/>
        <v>#N/A</v>
      </c>
      <c r="Y51" s="34">
        <f t="shared" si="23"/>
        <v>1.0383609999999999</v>
      </c>
      <c r="Z51" s="31" t="e">
        <f t="shared" si="8"/>
        <v>#N/A</v>
      </c>
      <c r="AA51" s="66">
        <f t="shared" si="9"/>
        <v>0</v>
      </c>
      <c r="AB51" s="6" t="e">
        <f t="shared" si="10"/>
        <v>#N/A</v>
      </c>
      <c r="AC51" s="48">
        <f t="shared" si="22"/>
        <v>0</v>
      </c>
    </row>
    <row r="52" spans="3:29" x14ac:dyDescent="0.25">
      <c r="C52" s="27" t="e">
        <f t="shared" si="11"/>
        <v>#N/A</v>
      </c>
      <c r="D52" s="30" t="e">
        <f t="shared" si="12"/>
        <v>#N/A</v>
      </c>
      <c r="E52" s="20" t="e">
        <f t="shared" si="17"/>
        <v>#N/A</v>
      </c>
      <c r="F52" s="20" t="e">
        <f t="shared" si="0"/>
        <v>#N/A</v>
      </c>
      <c r="G52" s="21" t="e">
        <f t="shared" si="1"/>
        <v>#N/A</v>
      </c>
      <c r="H52" s="24" t="e">
        <f t="shared" si="13"/>
        <v>#N/A</v>
      </c>
      <c r="I52" s="21" t="e">
        <f t="shared" si="20"/>
        <v>#N/A</v>
      </c>
      <c r="J52" s="63" t="e">
        <f t="shared" si="2"/>
        <v>#N/A</v>
      </c>
      <c r="K52" s="66" t="str">
        <f t="shared" si="19"/>
        <v/>
      </c>
      <c r="L52" s="17"/>
      <c r="M52" s="23" t="e">
        <f t="shared" si="14"/>
        <v>#N/A</v>
      </c>
      <c r="N52" s="23" t="e">
        <f t="shared" si="3"/>
        <v>#N/A</v>
      </c>
      <c r="O52" s="23" t="e">
        <f t="shared" si="4"/>
        <v>#N/A</v>
      </c>
      <c r="P52" s="17"/>
      <c r="Q52" s="19" t="e">
        <f>IF(C52="","",'Tabla_Puntual&amp;Relacionamiento'!$E$4)</f>
        <v>#N/A</v>
      </c>
      <c r="R52" s="19"/>
      <c r="S52" s="11" t="e">
        <f t="shared" si="15"/>
        <v>#N/A</v>
      </c>
      <c r="T52" s="23" t="e">
        <f t="shared" si="5"/>
        <v>#N/A</v>
      </c>
      <c r="U52" s="37" t="e">
        <f t="shared" si="6"/>
        <v>#N/A</v>
      </c>
      <c r="V52" s="37" t="e">
        <f t="shared" si="18"/>
        <v>#N/A</v>
      </c>
      <c r="X52" s="31" t="e">
        <f t="shared" si="7"/>
        <v>#N/A</v>
      </c>
      <c r="Y52" s="34">
        <f t="shared" si="23"/>
        <v>1.0383609999999999</v>
      </c>
      <c r="Z52" s="31" t="e">
        <f t="shared" si="8"/>
        <v>#N/A</v>
      </c>
      <c r="AA52" s="66">
        <f t="shared" si="9"/>
        <v>0</v>
      </c>
      <c r="AB52" s="6" t="e">
        <f t="shared" si="10"/>
        <v>#N/A</v>
      </c>
      <c r="AC52" s="48">
        <f t="shared" si="22"/>
        <v>0</v>
      </c>
    </row>
    <row r="53" spans="3:29" x14ac:dyDescent="0.25">
      <c r="C53" s="27" t="e">
        <f t="shared" si="11"/>
        <v>#N/A</v>
      </c>
      <c r="D53" s="30" t="e">
        <f t="shared" si="12"/>
        <v>#N/A</v>
      </c>
      <c r="E53" s="20" t="e">
        <f t="shared" si="17"/>
        <v>#N/A</v>
      </c>
      <c r="F53" s="20" t="e">
        <f t="shared" si="0"/>
        <v>#N/A</v>
      </c>
      <c r="G53" s="21" t="e">
        <f t="shared" si="1"/>
        <v>#N/A</v>
      </c>
      <c r="H53" s="24" t="e">
        <f t="shared" si="13"/>
        <v>#N/A</v>
      </c>
      <c r="I53" s="21" t="e">
        <f t="shared" si="20"/>
        <v>#N/A</v>
      </c>
      <c r="J53" s="63" t="e">
        <f t="shared" si="2"/>
        <v>#N/A</v>
      </c>
      <c r="K53" s="66" t="str">
        <f t="shared" si="19"/>
        <v/>
      </c>
      <c r="L53" s="17"/>
      <c r="M53" s="23" t="e">
        <f t="shared" si="14"/>
        <v>#N/A</v>
      </c>
      <c r="N53" s="23" t="e">
        <f t="shared" si="3"/>
        <v>#N/A</v>
      </c>
      <c r="O53" s="23" t="e">
        <f t="shared" si="4"/>
        <v>#N/A</v>
      </c>
      <c r="P53" s="17"/>
      <c r="Q53" s="19" t="e">
        <f>IF(C53="","",'Tabla_Puntual&amp;Relacionamiento'!$E$4)</f>
        <v>#N/A</v>
      </c>
      <c r="R53" s="19"/>
      <c r="S53" s="11" t="e">
        <f t="shared" si="15"/>
        <v>#N/A</v>
      </c>
      <c r="T53" s="23" t="e">
        <f t="shared" si="5"/>
        <v>#N/A</v>
      </c>
      <c r="U53" s="37" t="e">
        <f t="shared" si="6"/>
        <v>#N/A</v>
      </c>
      <c r="V53" s="37" t="e">
        <f t="shared" si="18"/>
        <v>#N/A</v>
      </c>
      <c r="X53" s="31" t="e">
        <f t="shared" si="7"/>
        <v>#N/A</v>
      </c>
      <c r="Y53" s="34">
        <f t="shared" si="23"/>
        <v>1.0383609999999999</v>
      </c>
      <c r="Z53" s="31" t="e">
        <f t="shared" si="8"/>
        <v>#N/A</v>
      </c>
      <c r="AA53" s="66">
        <f t="shared" si="9"/>
        <v>0</v>
      </c>
      <c r="AB53" s="6" t="e">
        <f t="shared" si="10"/>
        <v>#N/A</v>
      </c>
      <c r="AC53" s="48">
        <f t="shared" si="22"/>
        <v>0</v>
      </c>
    </row>
    <row r="54" spans="3:29" x14ac:dyDescent="0.25">
      <c r="C54" s="27" t="e">
        <f t="shared" si="11"/>
        <v>#N/A</v>
      </c>
      <c r="D54" s="30" t="e">
        <f t="shared" si="12"/>
        <v>#N/A</v>
      </c>
      <c r="E54" s="20" t="e">
        <f t="shared" si="17"/>
        <v>#N/A</v>
      </c>
      <c r="F54" s="20" t="e">
        <f t="shared" si="0"/>
        <v>#N/A</v>
      </c>
      <c r="G54" s="21" t="e">
        <f t="shared" si="1"/>
        <v>#N/A</v>
      </c>
      <c r="H54" s="24" t="e">
        <f t="shared" si="13"/>
        <v>#N/A</v>
      </c>
      <c r="I54" s="21" t="e">
        <f t="shared" si="20"/>
        <v>#N/A</v>
      </c>
      <c r="J54" s="63" t="e">
        <f t="shared" si="2"/>
        <v>#N/A</v>
      </c>
      <c r="K54" s="66" t="str">
        <f t="shared" si="19"/>
        <v/>
      </c>
      <c r="L54" s="17"/>
      <c r="M54" s="23" t="e">
        <f t="shared" si="14"/>
        <v>#N/A</v>
      </c>
      <c r="N54" s="23" t="e">
        <f t="shared" si="3"/>
        <v>#N/A</v>
      </c>
      <c r="O54" s="23" t="e">
        <f t="shared" si="4"/>
        <v>#N/A</v>
      </c>
      <c r="P54" s="17"/>
      <c r="Q54" s="19" t="e">
        <f>IF(C54="","",'Tabla_Puntual&amp;Relacionamiento'!$E$4)</f>
        <v>#N/A</v>
      </c>
      <c r="R54" s="19"/>
      <c r="S54" s="11" t="e">
        <f t="shared" si="15"/>
        <v>#N/A</v>
      </c>
      <c r="T54" s="23" t="e">
        <f t="shared" si="5"/>
        <v>#N/A</v>
      </c>
      <c r="U54" s="37" t="e">
        <f t="shared" si="6"/>
        <v>#N/A</v>
      </c>
      <c r="V54" s="37" t="e">
        <f t="shared" si="18"/>
        <v>#N/A</v>
      </c>
      <c r="X54" s="31" t="e">
        <f t="shared" si="7"/>
        <v>#N/A</v>
      </c>
      <c r="Y54" s="34">
        <f t="shared" si="23"/>
        <v>1.0383609999999999</v>
      </c>
      <c r="Z54" s="31" t="e">
        <f t="shared" si="8"/>
        <v>#N/A</v>
      </c>
      <c r="AA54" s="66">
        <f t="shared" si="9"/>
        <v>0</v>
      </c>
      <c r="AB54" s="6" t="e">
        <f t="shared" si="10"/>
        <v>#N/A</v>
      </c>
      <c r="AC54" s="48">
        <f t="shared" si="22"/>
        <v>0</v>
      </c>
    </row>
    <row r="55" spans="3:29" x14ac:dyDescent="0.25">
      <c r="C55" s="27" t="e">
        <f t="shared" si="11"/>
        <v>#N/A</v>
      </c>
      <c r="D55" s="30" t="e">
        <f t="shared" si="12"/>
        <v>#N/A</v>
      </c>
      <c r="E55" s="20" t="e">
        <f t="shared" si="17"/>
        <v>#N/A</v>
      </c>
      <c r="F55" s="20" t="e">
        <f t="shared" si="0"/>
        <v>#N/A</v>
      </c>
      <c r="G55" s="21" t="e">
        <f t="shared" si="1"/>
        <v>#N/A</v>
      </c>
      <c r="H55" s="24" t="e">
        <f t="shared" si="13"/>
        <v>#N/A</v>
      </c>
      <c r="I55" s="21" t="e">
        <f t="shared" si="20"/>
        <v>#N/A</v>
      </c>
      <c r="J55" s="63" t="e">
        <f t="shared" si="2"/>
        <v>#N/A</v>
      </c>
      <c r="K55" s="66" t="str">
        <f t="shared" si="19"/>
        <v/>
      </c>
      <c r="L55" s="17"/>
      <c r="M55" s="23" t="e">
        <f t="shared" si="14"/>
        <v>#N/A</v>
      </c>
      <c r="N55" s="23" t="e">
        <f t="shared" si="3"/>
        <v>#N/A</v>
      </c>
      <c r="O55" s="23" t="e">
        <f t="shared" si="4"/>
        <v>#N/A</v>
      </c>
      <c r="P55" s="17"/>
      <c r="Q55" s="19" t="e">
        <f>IF(C55="","",'Tabla_Puntual&amp;Relacionamiento'!$E$4)</f>
        <v>#N/A</v>
      </c>
      <c r="R55" s="19"/>
      <c r="S55" s="11" t="e">
        <f t="shared" si="15"/>
        <v>#N/A</v>
      </c>
      <c r="T55" s="23" t="e">
        <f t="shared" si="5"/>
        <v>#N/A</v>
      </c>
      <c r="U55" s="37" t="e">
        <f t="shared" si="6"/>
        <v>#N/A</v>
      </c>
      <c r="V55" s="37" t="e">
        <f t="shared" si="18"/>
        <v>#N/A</v>
      </c>
      <c r="X55" s="31" t="e">
        <f t="shared" si="7"/>
        <v>#N/A</v>
      </c>
      <c r="Y55" s="34">
        <f t="shared" si="23"/>
        <v>1.0383609999999999</v>
      </c>
      <c r="Z55" s="31" t="e">
        <f t="shared" si="8"/>
        <v>#N/A</v>
      </c>
      <c r="AA55" s="66">
        <f t="shared" si="9"/>
        <v>0</v>
      </c>
      <c r="AB55" s="6" t="e">
        <f t="shared" si="10"/>
        <v>#N/A</v>
      </c>
      <c r="AC55" s="48">
        <f t="shared" si="22"/>
        <v>0</v>
      </c>
    </row>
    <row r="56" spans="3:29" x14ac:dyDescent="0.25">
      <c r="C56" s="27" t="e">
        <f t="shared" si="11"/>
        <v>#N/A</v>
      </c>
      <c r="D56" s="30" t="e">
        <f t="shared" si="12"/>
        <v>#N/A</v>
      </c>
      <c r="E56" s="20" t="e">
        <f t="shared" si="17"/>
        <v>#N/A</v>
      </c>
      <c r="F56" s="20" t="e">
        <f t="shared" si="0"/>
        <v>#N/A</v>
      </c>
      <c r="G56" s="21" t="e">
        <f t="shared" si="1"/>
        <v>#N/A</v>
      </c>
      <c r="H56" s="24" t="e">
        <f t="shared" si="13"/>
        <v>#N/A</v>
      </c>
      <c r="I56" s="21" t="e">
        <f t="shared" si="20"/>
        <v>#N/A</v>
      </c>
      <c r="J56" s="63" t="e">
        <f t="shared" si="2"/>
        <v>#N/A</v>
      </c>
      <c r="K56" s="66" t="str">
        <f t="shared" si="19"/>
        <v/>
      </c>
      <c r="L56" s="17"/>
      <c r="M56" s="23" t="e">
        <f t="shared" si="14"/>
        <v>#N/A</v>
      </c>
      <c r="N56" s="23" t="e">
        <f t="shared" si="3"/>
        <v>#N/A</v>
      </c>
      <c r="O56" s="23" t="e">
        <f t="shared" si="4"/>
        <v>#N/A</v>
      </c>
      <c r="P56" s="17"/>
      <c r="Q56" s="19" t="e">
        <f>IF(C56="","",'Tabla_Puntual&amp;Relacionamiento'!$E$4)</f>
        <v>#N/A</v>
      </c>
      <c r="R56" s="19"/>
      <c r="S56" s="11" t="e">
        <f t="shared" si="15"/>
        <v>#N/A</v>
      </c>
      <c r="T56" s="23" t="e">
        <f t="shared" si="5"/>
        <v>#N/A</v>
      </c>
      <c r="U56" s="37" t="e">
        <f t="shared" si="6"/>
        <v>#N/A</v>
      </c>
      <c r="V56" s="37" t="e">
        <f t="shared" si="18"/>
        <v>#N/A</v>
      </c>
      <c r="X56" s="31" t="e">
        <f t="shared" si="7"/>
        <v>#N/A</v>
      </c>
      <c r="Y56" s="34">
        <f t="shared" si="23"/>
        <v>1.0383609999999999</v>
      </c>
      <c r="Z56" s="31" t="e">
        <f t="shared" si="8"/>
        <v>#N/A</v>
      </c>
      <c r="AA56" s="66">
        <f t="shared" si="9"/>
        <v>0</v>
      </c>
      <c r="AB56" s="6" t="e">
        <f t="shared" si="10"/>
        <v>#N/A</v>
      </c>
      <c r="AC56" s="48">
        <f t="shared" si="22"/>
        <v>0</v>
      </c>
    </row>
    <row r="57" spans="3:29" x14ac:dyDescent="0.25">
      <c r="C57" s="27" t="e">
        <f t="shared" si="11"/>
        <v>#N/A</v>
      </c>
      <c r="D57" s="30" t="e">
        <f t="shared" si="12"/>
        <v>#N/A</v>
      </c>
      <c r="E57" s="20" t="e">
        <f t="shared" si="17"/>
        <v>#N/A</v>
      </c>
      <c r="F57" s="20" t="e">
        <f t="shared" si="0"/>
        <v>#N/A</v>
      </c>
      <c r="G57" s="21" t="e">
        <f t="shared" si="1"/>
        <v>#N/A</v>
      </c>
      <c r="H57" s="24" t="e">
        <f t="shared" si="13"/>
        <v>#N/A</v>
      </c>
      <c r="I57" s="21" t="e">
        <f t="shared" si="20"/>
        <v>#N/A</v>
      </c>
      <c r="J57" s="63" t="e">
        <f t="shared" si="2"/>
        <v>#N/A</v>
      </c>
      <c r="K57" s="66" t="str">
        <f t="shared" si="19"/>
        <v/>
      </c>
      <c r="L57" s="17"/>
      <c r="M57" s="23" t="e">
        <f t="shared" si="14"/>
        <v>#N/A</v>
      </c>
      <c r="N57" s="23" t="e">
        <f t="shared" si="3"/>
        <v>#N/A</v>
      </c>
      <c r="O57" s="23" t="e">
        <f t="shared" si="4"/>
        <v>#N/A</v>
      </c>
      <c r="P57" s="17"/>
      <c r="Q57" s="19" t="e">
        <f>IF(C57="","",'Tabla_Puntual&amp;Relacionamiento'!$E$5)</f>
        <v>#N/A</v>
      </c>
      <c r="R57" s="19" t="e">
        <f>IF(C57="","",IF($E$14="Pago_Bajo_Puntual",$M$17,""))</f>
        <v>#N/A</v>
      </c>
      <c r="S57" s="11" t="e">
        <f t="shared" si="15"/>
        <v>#N/A</v>
      </c>
      <c r="T57" s="23" t="e">
        <f t="shared" si="5"/>
        <v>#N/A</v>
      </c>
      <c r="U57" s="37" t="e">
        <f t="shared" si="6"/>
        <v>#N/A</v>
      </c>
      <c r="V57" s="37" t="e">
        <f t="shared" si="18"/>
        <v>#N/A</v>
      </c>
      <c r="X57" s="31" t="e">
        <f t="shared" si="7"/>
        <v>#N/A</v>
      </c>
      <c r="Y57" s="34">
        <f>Y56*1.019</f>
        <v>1.0580898589999999</v>
      </c>
      <c r="Z57" s="31" t="e">
        <f t="shared" si="8"/>
        <v>#N/A</v>
      </c>
      <c r="AA57" s="66">
        <f t="shared" si="9"/>
        <v>0</v>
      </c>
      <c r="AB57" s="6" t="e">
        <f t="shared" si="10"/>
        <v>#N/A</v>
      </c>
      <c r="AC57" s="48">
        <f>AC56+$M$17</f>
        <v>0</v>
      </c>
    </row>
    <row r="58" spans="3:29" x14ac:dyDescent="0.25">
      <c r="C58" s="27" t="e">
        <f t="shared" si="11"/>
        <v>#N/A</v>
      </c>
      <c r="D58" s="30" t="e">
        <f t="shared" si="12"/>
        <v>#N/A</v>
      </c>
      <c r="E58" s="20" t="e">
        <f t="shared" si="17"/>
        <v>#N/A</v>
      </c>
      <c r="F58" s="20" t="e">
        <f t="shared" si="0"/>
        <v>#N/A</v>
      </c>
      <c r="G58" s="21" t="e">
        <f t="shared" si="1"/>
        <v>#N/A</v>
      </c>
      <c r="H58" s="24" t="e">
        <f t="shared" si="13"/>
        <v>#N/A</v>
      </c>
      <c r="I58" s="21" t="e">
        <f t="shared" si="20"/>
        <v>#N/A</v>
      </c>
      <c r="J58" s="63" t="e">
        <f t="shared" si="2"/>
        <v>#N/A</v>
      </c>
      <c r="K58" s="66" t="str">
        <f t="shared" si="19"/>
        <v/>
      </c>
      <c r="L58" s="17"/>
      <c r="M58" s="23" t="e">
        <f t="shared" si="14"/>
        <v>#N/A</v>
      </c>
      <c r="N58" s="23" t="e">
        <f t="shared" si="3"/>
        <v>#N/A</v>
      </c>
      <c r="O58" s="23" t="e">
        <f t="shared" si="4"/>
        <v>#N/A</v>
      </c>
      <c r="P58" s="17"/>
      <c r="Q58" s="19" t="e">
        <f>IF(C58="","",'Tabla_Puntual&amp;Relacionamiento'!$E$5)</f>
        <v>#N/A</v>
      </c>
      <c r="R58" s="19"/>
      <c r="S58" s="11" t="e">
        <f t="shared" si="15"/>
        <v>#N/A</v>
      </c>
      <c r="T58" s="23" t="e">
        <f t="shared" si="5"/>
        <v>#N/A</v>
      </c>
      <c r="U58" s="37" t="e">
        <f t="shared" si="6"/>
        <v>#N/A</v>
      </c>
      <c r="V58" s="37" t="e">
        <f t="shared" si="18"/>
        <v>#N/A</v>
      </c>
      <c r="X58" s="31" t="e">
        <f t="shared" si="7"/>
        <v>#N/A</v>
      </c>
      <c r="Y58" s="34">
        <f t="shared" ref="Y58:Y68" si="24">Y57</f>
        <v>1.0580898589999999</v>
      </c>
      <c r="Z58" s="31" t="e">
        <f t="shared" si="8"/>
        <v>#N/A</v>
      </c>
      <c r="AA58" s="66">
        <f t="shared" si="9"/>
        <v>0</v>
      </c>
      <c r="AB58" s="6" t="e">
        <f t="shared" si="10"/>
        <v>#N/A</v>
      </c>
      <c r="AC58" s="48">
        <f t="shared" si="22"/>
        <v>0</v>
      </c>
    </row>
    <row r="59" spans="3:29" x14ac:dyDescent="0.25">
      <c r="C59" s="27" t="e">
        <f t="shared" si="11"/>
        <v>#N/A</v>
      </c>
      <c r="D59" s="30" t="e">
        <f t="shared" si="12"/>
        <v>#N/A</v>
      </c>
      <c r="E59" s="20" t="e">
        <f t="shared" si="17"/>
        <v>#N/A</v>
      </c>
      <c r="F59" s="20" t="e">
        <f t="shared" si="0"/>
        <v>#N/A</v>
      </c>
      <c r="G59" s="21" t="e">
        <f t="shared" si="1"/>
        <v>#N/A</v>
      </c>
      <c r="H59" s="24" t="e">
        <f t="shared" si="13"/>
        <v>#N/A</v>
      </c>
      <c r="I59" s="21" t="e">
        <f t="shared" si="20"/>
        <v>#N/A</v>
      </c>
      <c r="J59" s="63" t="e">
        <f t="shared" si="2"/>
        <v>#N/A</v>
      </c>
      <c r="K59" s="66" t="str">
        <f t="shared" si="19"/>
        <v/>
      </c>
      <c r="L59" s="17"/>
      <c r="M59" s="23" t="e">
        <f t="shared" si="14"/>
        <v>#N/A</v>
      </c>
      <c r="N59" s="23" t="e">
        <f t="shared" si="3"/>
        <v>#N/A</v>
      </c>
      <c r="O59" s="23" t="e">
        <f t="shared" si="4"/>
        <v>#N/A</v>
      </c>
      <c r="P59" s="17"/>
      <c r="Q59" s="19" t="e">
        <f>IF(C59="","",'Tabla_Puntual&amp;Relacionamiento'!$E$5)</f>
        <v>#N/A</v>
      </c>
      <c r="R59" s="19"/>
      <c r="S59" s="11" t="e">
        <f t="shared" si="15"/>
        <v>#N/A</v>
      </c>
      <c r="T59" s="23" t="e">
        <f t="shared" si="5"/>
        <v>#N/A</v>
      </c>
      <c r="U59" s="37" t="e">
        <f t="shared" si="6"/>
        <v>#N/A</v>
      </c>
      <c r="V59" s="37" t="e">
        <f t="shared" si="18"/>
        <v>#N/A</v>
      </c>
      <c r="X59" s="31" t="e">
        <f t="shared" si="7"/>
        <v>#N/A</v>
      </c>
      <c r="Y59" s="34">
        <f t="shared" si="24"/>
        <v>1.0580898589999999</v>
      </c>
      <c r="Z59" s="31" t="e">
        <f t="shared" si="8"/>
        <v>#N/A</v>
      </c>
      <c r="AA59" s="66">
        <f t="shared" si="9"/>
        <v>0</v>
      </c>
      <c r="AB59" s="6" t="e">
        <f t="shared" si="10"/>
        <v>#N/A</v>
      </c>
      <c r="AC59" s="48">
        <f t="shared" si="22"/>
        <v>0</v>
      </c>
    </row>
    <row r="60" spans="3:29" x14ac:dyDescent="0.25">
      <c r="C60" s="27" t="e">
        <f t="shared" si="11"/>
        <v>#N/A</v>
      </c>
      <c r="D60" s="30" t="e">
        <f t="shared" si="12"/>
        <v>#N/A</v>
      </c>
      <c r="E60" s="20" t="e">
        <f t="shared" si="17"/>
        <v>#N/A</v>
      </c>
      <c r="F60" s="20" t="e">
        <f t="shared" si="0"/>
        <v>#N/A</v>
      </c>
      <c r="G60" s="21" t="e">
        <f t="shared" si="1"/>
        <v>#N/A</v>
      </c>
      <c r="H60" s="24" t="e">
        <f t="shared" si="13"/>
        <v>#N/A</v>
      </c>
      <c r="I60" s="21" t="e">
        <f t="shared" si="20"/>
        <v>#N/A</v>
      </c>
      <c r="J60" s="63" t="e">
        <f t="shared" si="2"/>
        <v>#N/A</v>
      </c>
      <c r="K60" s="66" t="str">
        <f t="shared" si="19"/>
        <v/>
      </c>
      <c r="L60" s="17"/>
      <c r="M60" s="23" t="e">
        <f t="shared" si="14"/>
        <v>#N/A</v>
      </c>
      <c r="N60" s="23" t="e">
        <f t="shared" si="3"/>
        <v>#N/A</v>
      </c>
      <c r="O60" s="23" t="e">
        <f t="shared" si="4"/>
        <v>#N/A</v>
      </c>
      <c r="P60" s="17"/>
      <c r="Q60" s="19" t="e">
        <f>IF(C60="","",'Tabla_Puntual&amp;Relacionamiento'!$E$5)</f>
        <v>#N/A</v>
      </c>
      <c r="R60" s="19"/>
      <c r="S60" s="11" t="e">
        <f t="shared" si="15"/>
        <v>#N/A</v>
      </c>
      <c r="T60" s="23" t="e">
        <f t="shared" si="5"/>
        <v>#N/A</v>
      </c>
      <c r="U60" s="37" t="e">
        <f t="shared" si="6"/>
        <v>#N/A</v>
      </c>
      <c r="V60" s="37" t="e">
        <f t="shared" si="18"/>
        <v>#N/A</v>
      </c>
      <c r="X60" s="31" t="e">
        <f t="shared" si="7"/>
        <v>#N/A</v>
      </c>
      <c r="Y60" s="34">
        <f t="shared" si="24"/>
        <v>1.0580898589999999</v>
      </c>
      <c r="Z60" s="31" t="e">
        <f t="shared" si="8"/>
        <v>#N/A</v>
      </c>
      <c r="AA60" s="66">
        <f t="shared" si="9"/>
        <v>0</v>
      </c>
      <c r="AB60" s="6" t="e">
        <f t="shared" si="10"/>
        <v>#N/A</v>
      </c>
      <c r="AC60" s="48">
        <f t="shared" si="22"/>
        <v>0</v>
      </c>
    </row>
    <row r="61" spans="3:29" x14ac:dyDescent="0.25">
      <c r="C61" s="27" t="e">
        <f t="shared" si="11"/>
        <v>#N/A</v>
      </c>
      <c r="D61" s="30" t="e">
        <f t="shared" si="12"/>
        <v>#N/A</v>
      </c>
      <c r="E61" s="20" t="e">
        <f t="shared" si="17"/>
        <v>#N/A</v>
      </c>
      <c r="F61" s="20" t="e">
        <f t="shared" si="0"/>
        <v>#N/A</v>
      </c>
      <c r="G61" s="21" t="e">
        <f t="shared" si="1"/>
        <v>#N/A</v>
      </c>
      <c r="H61" s="24" t="e">
        <f t="shared" si="13"/>
        <v>#N/A</v>
      </c>
      <c r="I61" s="21" t="e">
        <f t="shared" si="20"/>
        <v>#N/A</v>
      </c>
      <c r="J61" s="63" t="e">
        <f t="shared" si="2"/>
        <v>#N/A</v>
      </c>
      <c r="K61" s="66" t="str">
        <f t="shared" si="19"/>
        <v/>
      </c>
      <c r="L61" s="17"/>
      <c r="M61" s="23" t="e">
        <f t="shared" si="14"/>
        <v>#N/A</v>
      </c>
      <c r="N61" s="23" t="e">
        <f t="shared" si="3"/>
        <v>#N/A</v>
      </c>
      <c r="O61" s="23" t="e">
        <f t="shared" si="4"/>
        <v>#N/A</v>
      </c>
      <c r="P61" s="17"/>
      <c r="Q61" s="19" t="e">
        <f>IF(C61="","",'Tabla_Puntual&amp;Relacionamiento'!$E$5)</f>
        <v>#N/A</v>
      </c>
      <c r="R61" s="19"/>
      <c r="S61" s="11" t="e">
        <f t="shared" si="15"/>
        <v>#N/A</v>
      </c>
      <c r="T61" s="23" t="e">
        <f t="shared" si="5"/>
        <v>#N/A</v>
      </c>
      <c r="U61" s="37" t="e">
        <f t="shared" si="6"/>
        <v>#N/A</v>
      </c>
      <c r="V61" s="37" t="e">
        <f t="shared" si="18"/>
        <v>#N/A</v>
      </c>
      <c r="X61" s="31" t="e">
        <f t="shared" si="7"/>
        <v>#N/A</v>
      </c>
      <c r="Y61" s="34">
        <f t="shared" si="24"/>
        <v>1.0580898589999999</v>
      </c>
      <c r="Z61" s="31" t="e">
        <f t="shared" si="8"/>
        <v>#N/A</v>
      </c>
      <c r="AA61" s="66">
        <f t="shared" si="9"/>
        <v>0</v>
      </c>
      <c r="AB61" s="6" t="e">
        <f t="shared" si="10"/>
        <v>#N/A</v>
      </c>
      <c r="AC61" s="48">
        <f t="shared" si="22"/>
        <v>0</v>
      </c>
    </row>
    <row r="62" spans="3:29" x14ac:dyDescent="0.25">
      <c r="C62" s="27" t="e">
        <f t="shared" si="11"/>
        <v>#N/A</v>
      </c>
      <c r="D62" s="30" t="e">
        <f t="shared" si="12"/>
        <v>#N/A</v>
      </c>
      <c r="E62" s="20" t="e">
        <f t="shared" si="17"/>
        <v>#N/A</v>
      </c>
      <c r="F62" s="20" t="e">
        <f t="shared" si="0"/>
        <v>#N/A</v>
      </c>
      <c r="G62" s="21" t="e">
        <f t="shared" si="1"/>
        <v>#N/A</v>
      </c>
      <c r="H62" s="24" t="e">
        <f t="shared" si="13"/>
        <v>#N/A</v>
      </c>
      <c r="I62" s="21" t="e">
        <f t="shared" si="20"/>
        <v>#N/A</v>
      </c>
      <c r="J62" s="63" t="e">
        <f t="shared" si="2"/>
        <v>#N/A</v>
      </c>
      <c r="K62" s="66" t="str">
        <f t="shared" si="19"/>
        <v/>
      </c>
      <c r="L62" s="17"/>
      <c r="M62" s="23" t="e">
        <f t="shared" si="14"/>
        <v>#N/A</v>
      </c>
      <c r="N62" s="23" t="e">
        <f t="shared" si="3"/>
        <v>#N/A</v>
      </c>
      <c r="O62" s="23" t="e">
        <f t="shared" si="4"/>
        <v>#N/A</v>
      </c>
      <c r="P62" s="17"/>
      <c r="Q62" s="19" t="e">
        <f>IF(C62="","",'Tabla_Puntual&amp;Relacionamiento'!$E$5)</f>
        <v>#N/A</v>
      </c>
      <c r="R62" s="19"/>
      <c r="S62" s="11" t="e">
        <f t="shared" si="15"/>
        <v>#N/A</v>
      </c>
      <c r="T62" s="23" t="e">
        <f t="shared" si="5"/>
        <v>#N/A</v>
      </c>
      <c r="U62" s="37" t="e">
        <f t="shared" si="6"/>
        <v>#N/A</v>
      </c>
      <c r="V62" s="37" t="e">
        <f t="shared" si="18"/>
        <v>#N/A</v>
      </c>
      <c r="X62" s="31" t="e">
        <f t="shared" si="7"/>
        <v>#N/A</v>
      </c>
      <c r="Y62" s="34">
        <f t="shared" si="24"/>
        <v>1.0580898589999999</v>
      </c>
      <c r="Z62" s="31" t="e">
        <f t="shared" si="8"/>
        <v>#N/A</v>
      </c>
      <c r="AA62" s="66">
        <f t="shared" si="9"/>
        <v>0</v>
      </c>
      <c r="AB62" s="6" t="e">
        <f t="shared" si="10"/>
        <v>#N/A</v>
      </c>
      <c r="AC62" s="48">
        <f t="shared" si="22"/>
        <v>0</v>
      </c>
    </row>
    <row r="63" spans="3:29" x14ac:dyDescent="0.25">
      <c r="C63" s="27" t="e">
        <f t="shared" si="11"/>
        <v>#N/A</v>
      </c>
      <c r="D63" s="30" t="e">
        <f t="shared" si="12"/>
        <v>#N/A</v>
      </c>
      <c r="E63" s="20" t="e">
        <f t="shared" si="17"/>
        <v>#N/A</v>
      </c>
      <c r="F63" s="20" t="e">
        <f t="shared" si="0"/>
        <v>#N/A</v>
      </c>
      <c r="G63" s="21" t="e">
        <f t="shared" si="1"/>
        <v>#N/A</v>
      </c>
      <c r="H63" s="24" t="e">
        <f t="shared" si="13"/>
        <v>#N/A</v>
      </c>
      <c r="I63" s="21" t="e">
        <f t="shared" si="20"/>
        <v>#N/A</v>
      </c>
      <c r="J63" s="63" t="e">
        <f t="shared" si="2"/>
        <v>#N/A</v>
      </c>
      <c r="K63" s="66" t="str">
        <f t="shared" si="19"/>
        <v/>
      </c>
      <c r="L63" s="17"/>
      <c r="M63" s="23" t="e">
        <f t="shared" si="14"/>
        <v>#N/A</v>
      </c>
      <c r="N63" s="23" t="e">
        <f t="shared" si="3"/>
        <v>#N/A</v>
      </c>
      <c r="O63" s="23" t="e">
        <f t="shared" si="4"/>
        <v>#N/A</v>
      </c>
      <c r="P63" s="17"/>
      <c r="Q63" s="19" t="e">
        <f>IF(C63="","",'Tabla_Puntual&amp;Relacionamiento'!$E$5)</f>
        <v>#N/A</v>
      </c>
      <c r="R63" s="19"/>
      <c r="S63" s="11" t="e">
        <f t="shared" si="15"/>
        <v>#N/A</v>
      </c>
      <c r="T63" s="23" t="e">
        <f t="shared" si="5"/>
        <v>#N/A</v>
      </c>
      <c r="U63" s="37" t="e">
        <f t="shared" si="6"/>
        <v>#N/A</v>
      </c>
      <c r="V63" s="37" t="e">
        <f t="shared" si="18"/>
        <v>#N/A</v>
      </c>
      <c r="X63" s="31" t="e">
        <f t="shared" si="7"/>
        <v>#N/A</v>
      </c>
      <c r="Y63" s="34">
        <f t="shared" si="24"/>
        <v>1.0580898589999999</v>
      </c>
      <c r="Z63" s="31" t="e">
        <f t="shared" si="8"/>
        <v>#N/A</v>
      </c>
      <c r="AA63" s="66">
        <f t="shared" si="9"/>
        <v>0</v>
      </c>
      <c r="AB63" s="6" t="e">
        <f t="shared" si="10"/>
        <v>#N/A</v>
      </c>
      <c r="AC63" s="48">
        <f t="shared" si="22"/>
        <v>0</v>
      </c>
    </row>
    <row r="64" spans="3:29" x14ac:dyDescent="0.25">
      <c r="C64" s="27" t="e">
        <f t="shared" si="11"/>
        <v>#N/A</v>
      </c>
      <c r="D64" s="30" t="e">
        <f t="shared" si="12"/>
        <v>#N/A</v>
      </c>
      <c r="E64" s="20" t="e">
        <f t="shared" si="17"/>
        <v>#N/A</v>
      </c>
      <c r="F64" s="20" t="e">
        <f t="shared" si="0"/>
        <v>#N/A</v>
      </c>
      <c r="G64" s="21" t="e">
        <f t="shared" si="1"/>
        <v>#N/A</v>
      </c>
      <c r="H64" s="24" t="e">
        <f t="shared" si="13"/>
        <v>#N/A</v>
      </c>
      <c r="I64" s="21" t="e">
        <f t="shared" si="20"/>
        <v>#N/A</v>
      </c>
      <c r="J64" s="63" t="e">
        <f t="shared" si="2"/>
        <v>#N/A</v>
      </c>
      <c r="K64" s="66" t="str">
        <f t="shared" si="19"/>
        <v/>
      </c>
      <c r="L64" s="17"/>
      <c r="M64" s="23" t="e">
        <f t="shared" si="14"/>
        <v>#N/A</v>
      </c>
      <c r="N64" s="23" t="e">
        <f t="shared" si="3"/>
        <v>#N/A</v>
      </c>
      <c r="O64" s="23" t="e">
        <f t="shared" si="4"/>
        <v>#N/A</v>
      </c>
      <c r="P64" s="17"/>
      <c r="Q64" s="19" t="e">
        <f>IF(C64="","",'Tabla_Puntual&amp;Relacionamiento'!$E$5)</f>
        <v>#N/A</v>
      </c>
      <c r="R64" s="19"/>
      <c r="S64" s="11" t="e">
        <f t="shared" si="15"/>
        <v>#N/A</v>
      </c>
      <c r="T64" s="23" t="e">
        <f t="shared" si="5"/>
        <v>#N/A</v>
      </c>
      <c r="U64" s="37" t="e">
        <f t="shared" si="6"/>
        <v>#N/A</v>
      </c>
      <c r="V64" s="37" t="e">
        <f t="shared" si="18"/>
        <v>#N/A</v>
      </c>
      <c r="X64" s="31" t="e">
        <f t="shared" si="7"/>
        <v>#N/A</v>
      </c>
      <c r="Y64" s="34">
        <f t="shared" si="24"/>
        <v>1.0580898589999999</v>
      </c>
      <c r="Z64" s="31" t="e">
        <f t="shared" si="8"/>
        <v>#N/A</v>
      </c>
      <c r="AA64" s="66">
        <f t="shared" si="9"/>
        <v>0</v>
      </c>
      <c r="AB64" s="6" t="e">
        <f t="shared" si="10"/>
        <v>#N/A</v>
      </c>
      <c r="AC64" s="48">
        <f t="shared" si="22"/>
        <v>0</v>
      </c>
    </row>
    <row r="65" spans="3:29" x14ac:dyDescent="0.25">
      <c r="C65" s="27" t="e">
        <f t="shared" si="11"/>
        <v>#N/A</v>
      </c>
      <c r="D65" s="30" t="e">
        <f t="shared" si="12"/>
        <v>#N/A</v>
      </c>
      <c r="E65" s="20" t="e">
        <f t="shared" si="17"/>
        <v>#N/A</v>
      </c>
      <c r="F65" s="20" t="e">
        <f t="shared" si="0"/>
        <v>#N/A</v>
      </c>
      <c r="G65" s="21" t="e">
        <f t="shared" si="1"/>
        <v>#N/A</v>
      </c>
      <c r="H65" s="24" t="e">
        <f t="shared" si="13"/>
        <v>#N/A</v>
      </c>
      <c r="I65" s="21" t="e">
        <f t="shared" si="20"/>
        <v>#N/A</v>
      </c>
      <c r="J65" s="63" t="e">
        <f t="shared" si="2"/>
        <v>#N/A</v>
      </c>
      <c r="K65" s="66" t="str">
        <f t="shared" si="19"/>
        <v/>
      </c>
      <c r="L65" s="17"/>
      <c r="M65" s="23" t="e">
        <f t="shared" si="14"/>
        <v>#N/A</v>
      </c>
      <c r="N65" s="23" t="e">
        <f t="shared" si="3"/>
        <v>#N/A</v>
      </c>
      <c r="O65" s="23" t="e">
        <f t="shared" si="4"/>
        <v>#N/A</v>
      </c>
      <c r="P65" s="17"/>
      <c r="Q65" s="19" t="e">
        <f>IF(C65="","",'Tabla_Puntual&amp;Relacionamiento'!$E$5)</f>
        <v>#N/A</v>
      </c>
      <c r="R65" s="19"/>
      <c r="S65" s="11" t="e">
        <f t="shared" si="15"/>
        <v>#N/A</v>
      </c>
      <c r="T65" s="23" t="e">
        <f t="shared" si="5"/>
        <v>#N/A</v>
      </c>
      <c r="U65" s="37" t="e">
        <f t="shared" si="6"/>
        <v>#N/A</v>
      </c>
      <c r="V65" s="37" t="e">
        <f t="shared" si="18"/>
        <v>#N/A</v>
      </c>
      <c r="X65" s="31" t="e">
        <f t="shared" si="7"/>
        <v>#N/A</v>
      </c>
      <c r="Y65" s="34">
        <f t="shared" si="24"/>
        <v>1.0580898589999999</v>
      </c>
      <c r="Z65" s="31" t="e">
        <f t="shared" si="8"/>
        <v>#N/A</v>
      </c>
      <c r="AA65" s="66">
        <f t="shared" si="9"/>
        <v>0</v>
      </c>
      <c r="AB65" s="6" t="e">
        <f t="shared" si="10"/>
        <v>#N/A</v>
      </c>
      <c r="AC65" s="48">
        <f t="shared" si="22"/>
        <v>0</v>
      </c>
    </row>
    <row r="66" spans="3:29" x14ac:dyDescent="0.25">
      <c r="C66" s="27" t="e">
        <f t="shared" si="11"/>
        <v>#N/A</v>
      </c>
      <c r="D66" s="30" t="e">
        <f t="shared" si="12"/>
        <v>#N/A</v>
      </c>
      <c r="E66" s="20" t="e">
        <f t="shared" si="17"/>
        <v>#N/A</v>
      </c>
      <c r="F66" s="20" t="e">
        <f t="shared" si="0"/>
        <v>#N/A</v>
      </c>
      <c r="G66" s="21" t="e">
        <f t="shared" si="1"/>
        <v>#N/A</v>
      </c>
      <c r="H66" s="24" t="e">
        <f t="shared" si="13"/>
        <v>#N/A</v>
      </c>
      <c r="I66" s="21" t="e">
        <f t="shared" si="20"/>
        <v>#N/A</v>
      </c>
      <c r="J66" s="63" t="e">
        <f t="shared" si="2"/>
        <v>#N/A</v>
      </c>
      <c r="K66" s="66" t="str">
        <f t="shared" si="19"/>
        <v/>
      </c>
      <c r="L66" s="17"/>
      <c r="M66" s="23" t="e">
        <f t="shared" si="14"/>
        <v>#N/A</v>
      </c>
      <c r="N66" s="23" t="e">
        <f t="shared" si="3"/>
        <v>#N/A</v>
      </c>
      <c r="O66" s="23" t="e">
        <f t="shared" si="4"/>
        <v>#N/A</v>
      </c>
      <c r="P66" s="17"/>
      <c r="Q66" s="19" t="e">
        <f>IF(C66="","",'Tabla_Puntual&amp;Relacionamiento'!$E$5)</f>
        <v>#N/A</v>
      </c>
      <c r="R66" s="19"/>
      <c r="S66" s="11" t="e">
        <f t="shared" si="15"/>
        <v>#N/A</v>
      </c>
      <c r="T66" s="23" t="e">
        <f t="shared" si="5"/>
        <v>#N/A</v>
      </c>
      <c r="U66" s="37" t="e">
        <f t="shared" si="6"/>
        <v>#N/A</v>
      </c>
      <c r="V66" s="37" t="e">
        <f t="shared" si="18"/>
        <v>#N/A</v>
      </c>
      <c r="X66" s="31" t="e">
        <f t="shared" si="7"/>
        <v>#N/A</v>
      </c>
      <c r="Y66" s="34">
        <f t="shared" si="24"/>
        <v>1.0580898589999999</v>
      </c>
      <c r="Z66" s="31" t="e">
        <f t="shared" si="8"/>
        <v>#N/A</v>
      </c>
      <c r="AA66" s="66">
        <f t="shared" si="9"/>
        <v>0</v>
      </c>
      <c r="AB66" s="6" t="e">
        <f t="shared" si="10"/>
        <v>#N/A</v>
      </c>
      <c r="AC66" s="48">
        <f t="shared" si="22"/>
        <v>0</v>
      </c>
    </row>
    <row r="67" spans="3:29" x14ac:dyDescent="0.25">
      <c r="C67" s="27" t="e">
        <f t="shared" si="11"/>
        <v>#N/A</v>
      </c>
      <c r="D67" s="30" t="e">
        <f t="shared" si="12"/>
        <v>#N/A</v>
      </c>
      <c r="E67" s="20" t="e">
        <f t="shared" si="17"/>
        <v>#N/A</v>
      </c>
      <c r="F67" s="20" t="e">
        <f t="shared" si="0"/>
        <v>#N/A</v>
      </c>
      <c r="G67" s="21" t="e">
        <f t="shared" si="1"/>
        <v>#N/A</v>
      </c>
      <c r="H67" s="24" t="e">
        <f t="shared" si="13"/>
        <v>#N/A</v>
      </c>
      <c r="I67" s="21" t="e">
        <f t="shared" si="20"/>
        <v>#N/A</v>
      </c>
      <c r="J67" s="63" t="e">
        <f t="shared" si="2"/>
        <v>#N/A</v>
      </c>
      <c r="K67" s="66" t="str">
        <f t="shared" si="19"/>
        <v/>
      </c>
      <c r="L67" s="17"/>
      <c r="M67" s="23" t="e">
        <f t="shared" si="14"/>
        <v>#N/A</v>
      </c>
      <c r="N67" s="23" t="e">
        <f t="shared" si="3"/>
        <v>#N/A</v>
      </c>
      <c r="O67" s="23" t="e">
        <f t="shared" si="4"/>
        <v>#N/A</v>
      </c>
      <c r="P67" s="17"/>
      <c r="Q67" s="19" t="e">
        <f>IF(C67="","",'Tabla_Puntual&amp;Relacionamiento'!$E$5)</f>
        <v>#N/A</v>
      </c>
      <c r="R67" s="19"/>
      <c r="S67" s="11" t="e">
        <f t="shared" si="15"/>
        <v>#N/A</v>
      </c>
      <c r="T67" s="23" t="e">
        <f t="shared" si="5"/>
        <v>#N/A</v>
      </c>
      <c r="U67" s="37" t="e">
        <f t="shared" si="6"/>
        <v>#N/A</v>
      </c>
      <c r="V67" s="37" t="e">
        <f t="shared" si="18"/>
        <v>#N/A</v>
      </c>
      <c r="X67" s="31" t="e">
        <f t="shared" si="7"/>
        <v>#N/A</v>
      </c>
      <c r="Y67" s="34">
        <f t="shared" si="24"/>
        <v>1.0580898589999999</v>
      </c>
      <c r="Z67" s="31" t="e">
        <f t="shared" si="8"/>
        <v>#N/A</v>
      </c>
      <c r="AA67" s="66">
        <f t="shared" si="9"/>
        <v>0</v>
      </c>
      <c r="AB67" s="6" t="e">
        <f t="shared" si="10"/>
        <v>#N/A</v>
      </c>
      <c r="AC67" s="48">
        <f t="shared" si="22"/>
        <v>0</v>
      </c>
    </row>
    <row r="68" spans="3:29" x14ac:dyDescent="0.25">
      <c r="C68" s="27" t="e">
        <f t="shared" si="11"/>
        <v>#N/A</v>
      </c>
      <c r="D68" s="30" t="e">
        <f t="shared" si="12"/>
        <v>#N/A</v>
      </c>
      <c r="E68" s="20" t="e">
        <f t="shared" si="17"/>
        <v>#N/A</v>
      </c>
      <c r="F68" s="20" t="e">
        <f t="shared" si="0"/>
        <v>#N/A</v>
      </c>
      <c r="G68" s="21" t="e">
        <f t="shared" si="1"/>
        <v>#N/A</v>
      </c>
      <c r="H68" s="24" t="e">
        <f t="shared" si="13"/>
        <v>#N/A</v>
      </c>
      <c r="I68" s="21" t="e">
        <f t="shared" si="20"/>
        <v>#N/A</v>
      </c>
      <c r="J68" s="63" t="e">
        <f t="shared" si="2"/>
        <v>#N/A</v>
      </c>
      <c r="K68" s="66" t="str">
        <f t="shared" si="19"/>
        <v/>
      </c>
      <c r="L68" s="17"/>
      <c r="M68" s="23" t="e">
        <f t="shared" si="14"/>
        <v>#N/A</v>
      </c>
      <c r="N68" s="23" t="e">
        <f t="shared" si="3"/>
        <v>#N/A</v>
      </c>
      <c r="O68" s="23" t="e">
        <f t="shared" si="4"/>
        <v>#N/A</v>
      </c>
      <c r="P68" s="17"/>
      <c r="Q68" s="19" t="e">
        <f>IF(C68="","",'Tabla_Puntual&amp;Relacionamiento'!$E$5)</f>
        <v>#N/A</v>
      </c>
      <c r="R68" s="19"/>
      <c r="S68" s="11" t="e">
        <f t="shared" si="15"/>
        <v>#N/A</v>
      </c>
      <c r="T68" s="23" t="e">
        <f t="shared" si="5"/>
        <v>#N/A</v>
      </c>
      <c r="U68" s="37" t="e">
        <f t="shared" si="6"/>
        <v>#N/A</v>
      </c>
      <c r="V68" s="37" t="e">
        <f t="shared" si="18"/>
        <v>#N/A</v>
      </c>
      <c r="X68" s="31" t="e">
        <f t="shared" si="7"/>
        <v>#N/A</v>
      </c>
      <c r="Y68" s="34">
        <f t="shared" si="24"/>
        <v>1.0580898589999999</v>
      </c>
      <c r="Z68" s="31" t="e">
        <f t="shared" si="8"/>
        <v>#N/A</v>
      </c>
      <c r="AA68" s="66">
        <f t="shared" si="9"/>
        <v>0</v>
      </c>
      <c r="AB68" s="6" t="e">
        <f t="shared" si="10"/>
        <v>#N/A</v>
      </c>
      <c r="AC68" s="48">
        <f t="shared" si="22"/>
        <v>0</v>
      </c>
    </row>
    <row r="69" spans="3:29" x14ac:dyDescent="0.25">
      <c r="C69" s="27" t="e">
        <f t="shared" si="11"/>
        <v>#N/A</v>
      </c>
      <c r="D69" s="30" t="e">
        <f t="shared" si="12"/>
        <v>#N/A</v>
      </c>
      <c r="E69" s="20" t="e">
        <f t="shared" si="17"/>
        <v>#N/A</v>
      </c>
      <c r="F69" s="20" t="e">
        <f t="shared" si="0"/>
        <v>#N/A</v>
      </c>
      <c r="G69" s="21" t="e">
        <f t="shared" si="1"/>
        <v>#N/A</v>
      </c>
      <c r="H69" s="24" t="e">
        <f t="shared" si="13"/>
        <v>#N/A</v>
      </c>
      <c r="I69" s="21" t="e">
        <f t="shared" si="20"/>
        <v>#N/A</v>
      </c>
      <c r="J69" s="63" t="e">
        <f t="shared" si="2"/>
        <v>#N/A</v>
      </c>
      <c r="K69" s="66" t="str">
        <f t="shared" si="19"/>
        <v/>
      </c>
      <c r="L69" s="17"/>
      <c r="M69" s="23" t="e">
        <f t="shared" si="14"/>
        <v>#N/A</v>
      </c>
      <c r="N69" s="23" t="e">
        <f t="shared" si="3"/>
        <v>#N/A</v>
      </c>
      <c r="O69" s="23" t="e">
        <f t="shared" si="4"/>
        <v>#N/A</v>
      </c>
      <c r="P69" s="17"/>
      <c r="Q69" s="19" t="e">
        <f>IF(C69="","",'Tabla_Puntual&amp;Relacionamiento'!$E$6)</f>
        <v>#N/A</v>
      </c>
      <c r="R69" s="19" t="e">
        <f>IF(C69="","",IF($E$14="Pago_Bajo_Puntual",$M$17,""))</f>
        <v>#N/A</v>
      </c>
      <c r="S69" s="11" t="e">
        <f t="shared" si="15"/>
        <v>#N/A</v>
      </c>
      <c r="T69" s="23" t="e">
        <f t="shared" si="5"/>
        <v>#N/A</v>
      </c>
      <c r="U69" s="37" t="e">
        <f t="shared" si="6"/>
        <v>#N/A</v>
      </c>
      <c r="V69" s="37" t="e">
        <f t="shared" si="18"/>
        <v>#N/A</v>
      </c>
      <c r="X69" s="31" t="e">
        <f t="shared" si="7"/>
        <v>#N/A</v>
      </c>
      <c r="Y69" s="34">
        <f>Y68*1.019</f>
        <v>1.0781935663209998</v>
      </c>
      <c r="Z69" s="31" t="e">
        <f t="shared" si="8"/>
        <v>#N/A</v>
      </c>
      <c r="AA69" s="66">
        <f t="shared" si="9"/>
        <v>0</v>
      </c>
      <c r="AB69" s="6" t="e">
        <f t="shared" si="10"/>
        <v>#N/A</v>
      </c>
      <c r="AC69" s="48">
        <f>AC68+$M$17</f>
        <v>0</v>
      </c>
    </row>
    <row r="70" spans="3:29" x14ac:dyDescent="0.25">
      <c r="C70" s="27" t="e">
        <f t="shared" si="11"/>
        <v>#N/A</v>
      </c>
      <c r="D70" s="30" t="e">
        <f t="shared" si="12"/>
        <v>#N/A</v>
      </c>
      <c r="E70" s="20" t="e">
        <f t="shared" si="17"/>
        <v>#N/A</v>
      </c>
      <c r="F70" s="20" t="e">
        <f t="shared" si="0"/>
        <v>#N/A</v>
      </c>
      <c r="G70" s="21" t="e">
        <f t="shared" si="1"/>
        <v>#N/A</v>
      </c>
      <c r="H70" s="24" t="e">
        <f t="shared" si="13"/>
        <v>#N/A</v>
      </c>
      <c r="I70" s="21" t="e">
        <f t="shared" si="20"/>
        <v>#N/A</v>
      </c>
      <c r="J70" s="63" t="e">
        <f t="shared" si="2"/>
        <v>#N/A</v>
      </c>
      <c r="K70" s="66" t="str">
        <f t="shared" si="19"/>
        <v/>
      </c>
      <c r="L70" s="17"/>
      <c r="M70" s="23" t="e">
        <f t="shared" si="14"/>
        <v>#N/A</v>
      </c>
      <c r="N70" s="23" t="e">
        <f t="shared" si="3"/>
        <v>#N/A</v>
      </c>
      <c r="O70" s="23" t="e">
        <f t="shared" si="4"/>
        <v>#N/A</v>
      </c>
      <c r="P70" s="17"/>
      <c r="Q70" s="19" t="e">
        <f>IF(C70="","",'Tabla_Puntual&amp;Relacionamiento'!$E$6)</f>
        <v>#N/A</v>
      </c>
      <c r="R70" s="19"/>
      <c r="S70" s="11" t="e">
        <f t="shared" si="15"/>
        <v>#N/A</v>
      </c>
      <c r="T70" s="23" t="e">
        <f t="shared" si="5"/>
        <v>#N/A</v>
      </c>
      <c r="U70" s="37" t="e">
        <f t="shared" si="6"/>
        <v>#N/A</v>
      </c>
      <c r="V70" s="37" t="e">
        <f t="shared" si="18"/>
        <v>#N/A</v>
      </c>
      <c r="X70" s="31" t="e">
        <f t="shared" si="7"/>
        <v>#N/A</v>
      </c>
      <c r="Y70" s="34">
        <f t="shared" ref="Y70:Y80" si="25">Y69</f>
        <v>1.0781935663209998</v>
      </c>
      <c r="Z70" s="31" t="e">
        <f t="shared" si="8"/>
        <v>#N/A</v>
      </c>
      <c r="AA70" s="66">
        <f t="shared" si="9"/>
        <v>0</v>
      </c>
      <c r="AB70" s="6" t="e">
        <f t="shared" si="10"/>
        <v>#N/A</v>
      </c>
      <c r="AC70" s="48">
        <f t="shared" si="22"/>
        <v>0</v>
      </c>
    </row>
    <row r="71" spans="3:29" x14ac:dyDescent="0.25">
      <c r="C71" s="27" t="e">
        <f t="shared" si="11"/>
        <v>#N/A</v>
      </c>
      <c r="D71" s="30" t="e">
        <f t="shared" si="12"/>
        <v>#N/A</v>
      </c>
      <c r="E71" s="20" t="e">
        <f t="shared" si="17"/>
        <v>#N/A</v>
      </c>
      <c r="F71" s="20" t="e">
        <f t="shared" si="0"/>
        <v>#N/A</v>
      </c>
      <c r="G71" s="21" t="e">
        <f t="shared" si="1"/>
        <v>#N/A</v>
      </c>
      <c r="H71" s="24" t="e">
        <f t="shared" si="13"/>
        <v>#N/A</v>
      </c>
      <c r="I71" s="21" t="e">
        <f t="shared" si="20"/>
        <v>#N/A</v>
      </c>
      <c r="J71" s="63" t="e">
        <f t="shared" si="2"/>
        <v>#N/A</v>
      </c>
      <c r="K71" s="66" t="str">
        <f t="shared" si="19"/>
        <v/>
      </c>
      <c r="L71" s="17"/>
      <c r="M71" s="23" t="e">
        <f t="shared" si="14"/>
        <v>#N/A</v>
      </c>
      <c r="N71" s="23" t="e">
        <f t="shared" si="3"/>
        <v>#N/A</v>
      </c>
      <c r="O71" s="23" t="e">
        <f t="shared" si="4"/>
        <v>#N/A</v>
      </c>
      <c r="P71" s="17"/>
      <c r="Q71" s="19" t="e">
        <f>IF(C71="","",'Tabla_Puntual&amp;Relacionamiento'!$E$6)</f>
        <v>#N/A</v>
      </c>
      <c r="R71" s="19"/>
      <c r="S71" s="11" t="e">
        <f t="shared" si="15"/>
        <v>#N/A</v>
      </c>
      <c r="T71" s="23" t="e">
        <f t="shared" si="5"/>
        <v>#N/A</v>
      </c>
      <c r="U71" s="37" t="e">
        <f t="shared" si="6"/>
        <v>#N/A</v>
      </c>
      <c r="V71" s="37" t="e">
        <f t="shared" si="18"/>
        <v>#N/A</v>
      </c>
      <c r="X71" s="31" t="e">
        <f t="shared" si="7"/>
        <v>#N/A</v>
      </c>
      <c r="Y71" s="34">
        <f t="shared" si="25"/>
        <v>1.0781935663209998</v>
      </c>
      <c r="Z71" s="31" t="e">
        <f t="shared" si="8"/>
        <v>#N/A</v>
      </c>
      <c r="AA71" s="66">
        <f t="shared" si="9"/>
        <v>0</v>
      </c>
      <c r="AB71" s="6" t="e">
        <f t="shared" si="10"/>
        <v>#N/A</v>
      </c>
      <c r="AC71" s="48">
        <f t="shared" si="22"/>
        <v>0</v>
      </c>
    </row>
    <row r="72" spans="3:29" x14ac:dyDescent="0.25">
      <c r="C72" s="27" t="e">
        <f t="shared" si="11"/>
        <v>#N/A</v>
      </c>
      <c r="D72" s="30" t="e">
        <f t="shared" si="12"/>
        <v>#N/A</v>
      </c>
      <c r="E72" s="20" t="e">
        <f t="shared" si="17"/>
        <v>#N/A</v>
      </c>
      <c r="F72" s="20" t="e">
        <f t="shared" si="0"/>
        <v>#N/A</v>
      </c>
      <c r="G72" s="21" t="e">
        <f t="shared" si="1"/>
        <v>#N/A</v>
      </c>
      <c r="H72" s="24" t="e">
        <f t="shared" si="13"/>
        <v>#N/A</v>
      </c>
      <c r="I72" s="21" t="e">
        <f t="shared" si="20"/>
        <v>#N/A</v>
      </c>
      <c r="J72" s="63" t="e">
        <f t="shared" si="2"/>
        <v>#N/A</v>
      </c>
      <c r="K72" s="66" t="str">
        <f t="shared" si="19"/>
        <v/>
      </c>
      <c r="L72" s="17"/>
      <c r="M72" s="23" t="e">
        <f t="shared" si="14"/>
        <v>#N/A</v>
      </c>
      <c r="N72" s="23" t="e">
        <f t="shared" si="3"/>
        <v>#N/A</v>
      </c>
      <c r="O72" s="23" t="e">
        <f t="shared" si="4"/>
        <v>#N/A</v>
      </c>
      <c r="P72" s="17"/>
      <c r="Q72" s="19" t="e">
        <f>IF(C72="","",'Tabla_Puntual&amp;Relacionamiento'!$E$6)</f>
        <v>#N/A</v>
      </c>
      <c r="R72" s="19"/>
      <c r="S72" s="11" t="e">
        <f t="shared" si="15"/>
        <v>#N/A</v>
      </c>
      <c r="T72" s="23" t="e">
        <f t="shared" si="5"/>
        <v>#N/A</v>
      </c>
      <c r="U72" s="37" t="e">
        <f t="shared" si="6"/>
        <v>#N/A</v>
      </c>
      <c r="V72" s="37" t="e">
        <f t="shared" si="18"/>
        <v>#N/A</v>
      </c>
      <c r="X72" s="31" t="e">
        <f t="shared" si="7"/>
        <v>#N/A</v>
      </c>
      <c r="Y72" s="34">
        <f t="shared" si="25"/>
        <v>1.0781935663209998</v>
      </c>
      <c r="Z72" s="31" t="e">
        <f t="shared" si="8"/>
        <v>#N/A</v>
      </c>
      <c r="AA72" s="66">
        <f t="shared" si="9"/>
        <v>0</v>
      </c>
      <c r="AB72" s="6" t="e">
        <f t="shared" si="10"/>
        <v>#N/A</v>
      </c>
      <c r="AC72" s="48">
        <f t="shared" si="22"/>
        <v>0</v>
      </c>
    </row>
    <row r="73" spans="3:29" x14ac:dyDescent="0.25">
      <c r="C73" s="27" t="e">
        <f t="shared" si="11"/>
        <v>#N/A</v>
      </c>
      <c r="D73" s="30" t="e">
        <f t="shared" si="12"/>
        <v>#N/A</v>
      </c>
      <c r="E73" s="20" t="e">
        <f t="shared" si="17"/>
        <v>#N/A</v>
      </c>
      <c r="F73" s="20" t="e">
        <f t="shared" si="0"/>
        <v>#N/A</v>
      </c>
      <c r="G73" s="21" t="e">
        <f t="shared" si="1"/>
        <v>#N/A</v>
      </c>
      <c r="H73" s="24" t="e">
        <f t="shared" si="13"/>
        <v>#N/A</v>
      </c>
      <c r="I73" s="21" t="e">
        <f t="shared" si="20"/>
        <v>#N/A</v>
      </c>
      <c r="J73" s="63" t="e">
        <f t="shared" si="2"/>
        <v>#N/A</v>
      </c>
      <c r="K73" s="66" t="str">
        <f t="shared" si="19"/>
        <v/>
      </c>
      <c r="L73" s="17"/>
      <c r="M73" s="23" t="e">
        <f t="shared" si="14"/>
        <v>#N/A</v>
      </c>
      <c r="N73" s="23" t="e">
        <f t="shared" si="3"/>
        <v>#N/A</v>
      </c>
      <c r="O73" s="23" t="e">
        <f t="shared" si="4"/>
        <v>#N/A</v>
      </c>
      <c r="P73" s="17"/>
      <c r="Q73" s="19" t="e">
        <f>IF(C73="","",'Tabla_Puntual&amp;Relacionamiento'!$E$6)</f>
        <v>#N/A</v>
      </c>
      <c r="R73" s="19"/>
      <c r="S73" s="11" t="e">
        <f t="shared" si="15"/>
        <v>#N/A</v>
      </c>
      <c r="T73" s="23" t="e">
        <f t="shared" si="5"/>
        <v>#N/A</v>
      </c>
      <c r="U73" s="37" t="e">
        <f t="shared" si="6"/>
        <v>#N/A</v>
      </c>
      <c r="V73" s="37" t="e">
        <f t="shared" si="18"/>
        <v>#N/A</v>
      </c>
      <c r="X73" s="31" t="e">
        <f t="shared" si="7"/>
        <v>#N/A</v>
      </c>
      <c r="Y73" s="34">
        <f t="shared" si="25"/>
        <v>1.0781935663209998</v>
      </c>
      <c r="Z73" s="31" t="e">
        <f t="shared" si="8"/>
        <v>#N/A</v>
      </c>
      <c r="AA73" s="66">
        <f t="shared" si="9"/>
        <v>0</v>
      </c>
      <c r="AB73" s="6" t="e">
        <f t="shared" si="10"/>
        <v>#N/A</v>
      </c>
      <c r="AC73" s="48">
        <f t="shared" si="22"/>
        <v>0</v>
      </c>
    </row>
    <row r="74" spans="3:29" x14ac:dyDescent="0.25">
      <c r="C74" s="27" t="e">
        <f t="shared" si="11"/>
        <v>#N/A</v>
      </c>
      <c r="D74" s="30" t="e">
        <f t="shared" si="12"/>
        <v>#N/A</v>
      </c>
      <c r="E74" s="20" t="e">
        <f t="shared" si="17"/>
        <v>#N/A</v>
      </c>
      <c r="F74" s="20" t="e">
        <f t="shared" si="0"/>
        <v>#N/A</v>
      </c>
      <c r="G74" s="21" t="e">
        <f t="shared" si="1"/>
        <v>#N/A</v>
      </c>
      <c r="H74" s="24" t="e">
        <f t="shared" si="13"/>
        <v>#N/A</v>
      </c>
      <c r="I74" s="21" t="e">
        <f t="shared" si="20"/>
        <v>#N/A</v>
      </c>
      <c r="J74" s="63" t="e">
        <f t="shared" si="2"/>
        <v>#N/A</v>
      </c>
      <c r="K74" s="66" t="str">
        <f t="shared" si="19"/>
        <v/>
      </c>
      <c r="L74" s="17"/>
      <c r="M74" s="23" t="e">
        <f t="shared" si="14"/>
        <v>#N/A</v>
      </c>
      <c r="N74" s="23" t="e">
        <f t="shared" si="3"/>
        <v>#N/A</v>
      </c>
      <c r="O74" s="23" t="e">
        <f t="shared" si="4"/>
        <v>#N/A</v>
      </c>
      <c r="P74" s="17"/>
      <c r="Q74" s="19" t="e">
        <f>IF(C74="","",'Tabla_Puntual&amp;Relacionamiento'!$E$6)</f>
        <v>#N/A</v>
      </c>
      <c r="R74" s="19"/>
      <c r="S74" s="11" t="e">
        <f t="shared" si="15"/>
        <v>#N/A</v>
      </c>
      <c r="T74" s="23" t="e">
        <f t="shared" si="5"/>
        <v>#N/A</v>
      </c>
      <c r="U74" s="37" t="e">
        <f t="shared" si="6"/>
        <v>#N/A</v>
      </c>
      <c r="V74" s="37" t="e">
        <f t="shared" si="18"/>
        <v>#N/A</v>
      </c>
      <c r="X74" s="31" t="e">
        <f t="shared" si="7"/>
        <v>#N/A</v>
      </c>
      <c r="Y74" s="34">
        <f t="shared" si="25"/>
        <v>1.0781935663209998</v>
      </c>
      <c r="Z74" s="31" t="e">
        <f t="shared" si="8"/>
        <v>#N/A</v>
      </c>
      <c r="AA74" s="66">
        <f t="shared" si="9"/>
        <v>0</v>
      </c>
      <c r="AB74" s="6" t="e">
        <f t="shared" si="10"/>
        <v>#N/A</v>
      </c>
      <c r="AC74" s="48">
        <f t="shared" si="22"/>
        <v>0</v>
      </c>
    </row>
    <row r="75" spans="3:29" x14ac:dyDescent="0.25">
      <c r="C75" s="27" t="e">
        <f t="shared" si="11"/>
        <v>#N/A</v>
      </c>
      <c r="D75" s="30" t="e">
        <f t="shared" si="12"/>
        <v>#N/A</v>
      </c>
      <c r="E75" s="20" t="e">
        <f t="shared" si="17"/>
        <v>#N/A</v>
      </c>
      <c r="F75" s="20" t="e">
        <f t="shared" si="0"/>
        <v>#N/A</v>
      </c>
      <c r="G75" s="21" t="e">
        <f t="shared" si="1"/>
        <v>#N/A</v>
      </c>
      <c r="H75" s="24" t="e">
        <f t="shared" si="13"/>
        <v>#N/A</v>
      </c>
      <c r="I75" s="21" t="e">
        <f t="shared" si="20"/>
        <v>#N/A</v>
      </c>
      <c r="J75" s="63" t="e">
        <f t="shared" si="2"/>
        <v>#N/A</v>
      </c>
      <c r="K75" s="66" t="str">
        <f t="shared" si="19"/>
        <v/>
      </c>
      <c r="L75" s="17"/>
      <c r="M75" s="23" t="e">
        <f t="shared" si="14"/>
        <v>#N/A</v>
      </c>
      <c r="N75" s="23" t="e">
        <f t="shared" si="3"/>
        <v>#N/A</v>
      </c>
      <c r="O75" s="23" t="e">
        <f t="shared" si="4"/>
        <v>#N/A</v>
      </c>
      <c r="P75" s="17"/>
      <c r="Q75" s="19" t="e">
        <f>IF(C75="","",'Tabla_Puntual&amp;Relacionamiento'!$E$6)</f>
        <v>#N/A</v>
      </c>
      <c r="R75" s="19"/>
      <c r="S75" s="11" t="e">
        <f t="shared" si="15"/>
        <v>#N/A</v>
      </c>
      <c r="T75" s="23" t="e">
        <f t="shared" si="5"/>
        <v>#N/A</v>
      </c>
      <c r="U75" s="37" t="e">
        <f t="shared" si="6"/>
        <v>#N/A</v>
      </c>
      <c r="V75" s="37" t="e">
        <f t="shared" si="18"/>
        <v>#N/A</v>
      </c>
      <c r="X75" s="31" t="e">
        <f t="shared" si="7"/>
        <v>#N/A</v>
      </c>
      <c r="Y75" s="34">
        <f t="shared" si="25"/>
        <v>1.0781935663209998</v>
      </c>
      <c r="Z75" s="31" t="e">
        <f t="shared" si="8"/>
        <v>#N/A</v>
      </c>
      <c r="AA75" s="66">
        <f t="shared" si="9"/>
        <v>0</v>
      </c>
      <c r="AB75" s="6" t="e">
        <f t="shared" si="10"/>
        <v>#N/A</v>
      </c>
      <c r="AC75" s="48">
        <f t="shared" si="22"/>
        <v>0</v>
      </c>
    </row>
    <row r="76" spans="3:29" x14ac:dyDescent="0.25">
      <c r="C76" s="27" t="e">
        <f t="shared" si="11"/>
        <v>#N/A</v>
      </c>
      <c r="D76" s="30" t="e">
        <f t="shared" si="12"/>
        <v>#N/A</v>
      </c>
      <c r="E76" s="20" t="e">
        <f t="shared" si="17"/>
        <v>#N/A</v>
      </c>
      <c r="F76" s="20" t="e">
        <f t="shared" si="0"/>
        <v>#N/A</v>
      </c>
      <c r="G76" s="21" t="e">
        <f t="shared" si="1"/>
        <v>#N/A</v>
      </c>
      <c r="H76" s="24" t="e">
        <f t="shared" si="13"/>
        <v>#N/A</v>
      </c>
      <c r="I76" s="21" t="e">
        <f t="shared" si="20"/>
        <v>#N/A</v>
      </c>
      <c r="J76" s="63" t="e">
        <f t="shared" si="2"/>
        <v>#N/A</v>
      </c>
      <c r="K76" s="66" t="str">
        <f t="shared" si="19"/>
        <v/>
      </c>
      <c r="L76" s="17"/>
      <c r="M76" s="23" t="e">
        <f t="shared" si="14"/>
        <v>#N/A</v>
      </c>
      <c r="N76" s="23" t="e">
        <f t="shared" si="3"/>
        <v>#N/A</v>
      </c>
      <c r="O76" s="23" t="e">
        <f t="shared" si="4"/>
        <v>#N/A</v>
      </c>
      <c r="P76" s="17"/>
      <c r="Q76" s="19" t="e">
        <f>IF(C76="","",'Tabla_Puntual&amp;Relacionamiento'!$E$6)</f>
        <v>#N/A</v>
      </c>
      <c r="R76" s="19"/>
      <c r="S76" s="11" t="e">
        <f t="shared" si="15"/>
        <v>#N/A</v>
      </c>
      <c r="T76" s="23" t="e">
        <f t="shared" si="5"/>
        <v>#N/A</v>
      </c>
      <c r="U76" s="37" t="e">
        <f t="shared" si="6"/>
        <v>#N/A</v>
      </c>
      <c r="V76" s="37" t="e">
        <f t="shared" si="18"/>
        <v>#N/A</v>
      </c>
      <c r="X76" s="31" t="e">
        <f t="shared" si="7"/>
        <v>#N/A</v>
      </c>
      <c r="Y76" s="34">
        <f t="shared" si="25"/>
        <v>1.0781935663209998</v>
      </c>
      <c r="Z76" s="31" t="e">
        <f t="shared" si="8"/>
        <v>#N/A</v>
      </c>
      <c r="AA76" s="66">
        <f t="shared" si="9"/>
        <v>0</v>
      </c>
      <c r="AB76" s="6" t="e">
        <f t="shared" si="10"/>
        <v>#N/A</v>
      </c>
      <c r="AC76" s="48">
        <f t="shared" si="22"/>
        <v>0</v>
      </c>
    </row>
    <row r="77" spans="3:29" x14ac:dyDescent="0.25">
      <c r="C77" s="27" t="e">
        <f t="shared" si="11"/>
        <v>#N/A</v>
      </c>
      <c r="D77" s="30" t="e">
        <f t="shared" si="12"/>
        <v>#N/A</v>
      </c>
      <c r="E77" s="20" t="e">
        <f t="shared" si="17"/>
        <v>#N/A</v>
      </c>
      <c r="F77" s="20" t="e">
        <f t="shared" si="0"/>
        <v>#N/A</v>
      </c>
      <c r="G77" s="21" t="e">
        <f t="shared" si="1"/>
        <v>#N/A</v>
      </c>
      <c r="H77" s="24" t="e">
        <f t="shared" si="13"/>
        <v>#N/A</v>
      </c>
      <c r="I77" s="21" t="e">
        <f t="shared" si="20"/>
        <v>#N/A</v>
      </c>
      <c r="J77" s="63" t="e">
        <f t="shared" si="2"/>
        <v>#N/A</v>
      </c>
      <c r="K77" s="66" t="str">
        <f t="shared" si="19"/>
        <v/>
      </c>
      <c r="L77" s="17"/>
      <c r="M77" s="23" t="e">
        <f t="shared" si="14"/>
        <v>#N/A</v>
      </c>
      <c r="N77" s="23" t="e">
        <f t="shared" si="3"/>
        <v>#N/A</v>
      </c>
      <c r="O77" s="23" t="e">
        <f t="shared" si="4"/>
        <v>#N/A</v>
      </c>
      <c r="P77" s="17"/>
      <c r="Q77" s="19" t="e">
        <f>IF(C77="","",'Tabla_Puntual&amp;Relacionamiento'!$E$6)</f>
        <v>#N/A</v>
      </c>
      <c r="R77" s="19"/>
      <c r="S77" s="11" t="e">
        <f t="shared" si="15"/>
        <v>#N/A</v>
      </c>
      <c r="T77" s="23" t="e">
        <f t="shared" si="5"/>
        <v>#N/A</v>
      </c>
      <c r="U77" s="37" t="e">
        <f t="shared" si="6"/>
        <v>#N/A</v>
      </c>
      <c r="V77" s="37" t="e">
        <f t="shared" si="18"/>
        <v>#N/A</v>
      </c>
      <c r="X77" s="31" t="e">
        <f t="shared" si="7"/>
        <v>#N/A</v>
      </c>
      <c r="Y77" s="34">
        <f t="shared" si="25"/>
        <v>1.0781935663209998</v>
      </c>
      <c r="Z77" s="31" t="e">
        <f t="shared" si="8"/>
        <v>#N/A</v>
      </c>
      <c r="AA77" s="66">
        <f t="shared" si="9"/>
        <v>0</v>
      </c>
      <c r="AB77" s="6" t="e">
        <f t="shared" si="10"/>
        <v>#N/A</v>
      </c>
      <c r="AC77" s="48">
        <f t="shared" si="22"/>
        <v>0</v>
      </c>
    </row>
    <row r="78" spans="3:29" x14ac:dyDescent="0.25">
      <c r="C78" s="27" t="e">
        <f t="shared" si="11"/>
        <v>#N/A</v>
      </c>
      <c r="D78" s="30" t="e">
        <f t="shared" si="12"/>
        <v>#N/A</v>
      </c>
      <c r="E78" s="20" t="e">
        <f t="shared" si="17"/>
        <v>#N/A</v>
      </c>
      <c r="F78" s="20" t="e">
        <f t="shared" si="0"/>
        <v>#N/A</v>
      </c>
      <c r="G78" s="21" t="e">
        <f t="shared" si="1"/>
        <v>#N/A</v>
      </c>
      <c r="H78" s="24" t="e">
        <f t="shared" si="13"/>
        <v>#N/A</v>
      </c>
      <c r="I78" s="21" t="e">
        <f t="shared" si="20"/>
        <v>#N/A</v>
      </c>
      <c r="J78" s="63" t="e">
        <f t="shared" si="2"/>
        <v>#N/A</v>
      </c>
      <c r="K78" s="66" t="str">
        <f t="shared" si="19"/>
        <v/>
      </c>
      <c r="L78" s="17"/>
      <c r="M78" s="23" t="e">
        <f t="shared" si="14"/>
        <v>#N/A</v>
      </c>
      <c r="N78" s="23" t="e">
        <f t="shared" si="3"/>
        <v>#N/A</v>
      </c>
      <c r="O78" s="23" t="e">
        <f t="shared" si="4"/>
        <v>#N/A</v>
      </c>
      <c r="P78" s="17"/>
      <c r="Q78" s="19" t="e">
        <f>IF(C78="","",'Tabla_Puntual&amp;Relacionamiento'!$E$6)</f>
        <v>#N/A</v>
      </c>
      <c r="R78" s="19"/>
      <c r="S78" s="11" t="e">
        <f t="shared" si="15"/>
        <v>#N/A</v>
      </c>
      <c r="T78" s="23" t="e">
        <f t="shared" si="5"/>
        <v>#N/A</v>
      </c>
      <c r="U78" s="37" t="e">
        <f t="shared" si="6"/>
        <v>#N/A</v>
      </c>
      <c r="V78" s="37" t="e">
        <f t="shared" si="18"/>
        <v>#N/A</v>
      </c>
      <c r="X78" s="31" t="e">
        <f t="shared" si="7"/>
        <v>#N/A</v>
      </c>
      <c r="Y78" s="34">
        <f t="shared" si="25"/>
        <v>1.0781935663209998</v>
      </c>
      <c r="Z78" s="31" t="e">
        <f t="shared" si="8"/>
        <v>#N/A</v>
      </c>
      <c r="AA78" s="66">
        <f t="shared" si="9"/>
        <v>0</v>
      </c>
      <c r="AB78" s="6" t="e">
        <f t="shared" si="10"/>
        <v>#N/A</v>
      </c>
      <c r="AC78" s="48">
        <f t="shared" si="22"/>
        <v>0</v>
      </c>
    </row>
    <row r="79" spans="3:29" x14ac:dyDescent="0.25">
      <c r="C79" s="27" t="e">
        <f t="shared" si="11"/>
        <v>#N/A</v>
      </c>
      <c r="D79" s="30" t="e">
        <f t="shared" si="12"/>
        <v>#N/A</v>
      </c>
      <c r="E79" s="20" t="e">
        <f t="shared" si="17"/>
        <v>#N/A</v>
      </c>
      <c r="F79" s="20" t="e">
        <f t="shared" si="0"/>
        <v>#N/A</v>
      </c>
      <c r="G79" s="21" t="e">
        <f t="shared" si="1"/>
        <v>#N/A</v>
      </c>
      <c r="H79" s="24" t="e">
        <f t="shared" si="13"/>
        <v>#N/A</v>
      </c>
      <c r="I79" s="21" t="e">
        <f t="shared" si="20"/>
        <v>#N/A</v>
      </c>
      <c r="J79" s="63" t="e">
        <f t="shared" si="2"/>
        <v>#N/A</v>
      </c>
      <c r="K79" s="66" t="str">
        <f t="shared" si="19"/>
        <v/>
      </c>
      <c r="L79" s="17"/>
      <c r="M79" s="23" t="e">
        <f t="shared" si="14"/>
        <v>#N/A</v>
      </c>
      <c r="N79" s="23" t="e">
        <f t="shared" si="3"/>
        <v>#N/A</v>
      </c>
      <c r="O79" s="23" t="e">
        <f t="shared" si="4"/>
        <v>#N/A</v>
      </c>
      <c r="P79" s="17"/>
      <c r="Q79" s="19" t="e">
        <f>IF(C79="","",'Tabla_Puntual&amp;Relacionamiento'!$E$6)</f>
        <v>#N/A</v>
      </c>
      <c r="R79" s="19"/>
      <c r="S79" s="11" t="e">
        <f t="shared" si="15"/>
        <v>#N/A</v>
      </c>
      <c r="T79" s="23" t="e">
        <f t="shared" si="5"/>
        <v>#N/A</v>
      </c>
      <c r="U79" s="37" t="e">
        <f t="shared" si="6"/>
        <v>#N/A</v>
      </c>
      <c r="V79" s="37" t="e">
        <f t="shared" si="18"/>
        <v>#N/A</v>
      </c>
      <c r="X79" s="31" t="e">
        <f t="shared" si="7"/>
        <v>#N/A</v>
      </c>
      <c r="Y79" s="34">
        <f t="shared" si="25"/>
        <v>1.0781935663209998</v>
      </c>
      <c r="Z79" s="31" t="e">
        <f t="shared" si="8"/>
        <v>#N/A</v>
      </c>
      <c r="AA79" s="66">
        <f t="shared" si="9"/>
        <v>0</v>
      </c>
      <c r="AB79" s="6" t="e">
        <f t="shared" si="10"/>
        <v>#N/A</v>
      </c>
      <c r="AC79" s="48">
        <f t="shared" si="22"/>
        <v>0</v>
      </c>
    </row>
    <row r="80" spans="3:29" x14ac:dyDescent="0.25">
      <c r="C80" s="27" t="e">
        <f t="shared" si="11"/>
        <v>#N/A</v>
      </c>
      <c r="D80" s="30" t="e">
        <f t="shared" si="12"/>
        <v>#N/A</v>
      </c>
      <c r="E80" s="20" t="e">
        <f t="shared" si="17"/>
        <v>#N/A</v>
      </c>
      <c r="F80" s="20" t="e">
        <f t="shared" si="0"/>
        <v>#N/A</v>
      </c>
      <c r="G80" s="21" t="e">
        <f t="shared" si="1"/>
        <v>#N/A</v>
      </c>
      <c r="H80" s="24" t="e">
        <f t="shared" si="13"/>
        <v>#N/A</v>
      </c>
      <c r="I80" s="21" t="e">
        <f t="shared" si="20"/>
        <v>#N/A</v>
      </c>
      <c r="J80" s="63" t="e">
        <f t="shared" si="2"/>
        <v>#N/A</v>
      </c>
      <c r="K80" s="66" t="str">
        <f t="shared" si="19"/>
        <v/>
      </c>
      <c r="L80" s="17"/>
      <c r="M80" s="23" t="e">
        <f t="shared" si="14"/>
        <v>#N/A</v>
      </c>
      <c r="N80" s="23" t="e">
        <f t="shared" si="3"/>
        <v>#N/A</v>
      </c>
      <c r="O80" s="23" t="e">
        <f t="shared" si="4"/>
        <v>#N/A</v>
      </c>
      <c r="P80" s="17"/>
      <c r="Q80" s="19" t="e">
        <f>IF(C80="","",'Tabla_Puntual&amp;Relacionamiento'!$E$6)</f>
        <v>#N/A</v>
      </c>
      <c r="R80" s="19"/>
      <c r="S80" s="11" t="e">
        <f t="shared" si="15"/>
        <v>#N/A</v>
      </c>
      <c r="T80" s="23" t="e">
        <f t="shared" si="5"/>
        <v>#N/A</v>
      </c>
      <c r="U80" s="37" t="e">
        <f t="shared" si="6"/>
        <v>#N/A</v>
      </c>
      <c r="V80" s="37" t="e">
        <f t="shared" si="18"/>
        <v>#N/A</v>
      </c>
      <c r="X80" s="31" t="e">
        <f t="shared" si="7"/>
        <v>#N/A</v>
      </c>
      <c r="Y80" s="34">
        <f t="shared" si="25"/>
        <v>1.0781935663209998</v>
      </c>
      <c r="Z80" s="31" t="e">
        <f t="shared" si="8"/>
        <v>#N/A</v>
      </c>
      <c r="AA80" s="66">
        <f t="shared" si="9"/>
        <v>0</v>
      </c>
      <c r="AB80" s="6" t="e">
        <f t="shared" si="10"/>
        <v>#N/A</v>
      </c>
      <c r="AC80" s="48">
        <f t="shared" si="22"/>
        <v>0</v>
      </c>
    </row>
    <row r="81" spans="3:29" x14ac:dyDescent="0.25">
      <c r="C81" s="27" t="e">
        <f t="shared" si="11"/>
        <v>#N/A</v>
      </c>
      <c r="D81" s="30" t="e">
        <f t="shared" si="12"/>
        <v>#N/A</v>
      </c>
      <c r="E81" s="20" t="e">
        <f t="shared" si="17"/>
        <v>#N/A</v>
      </c>
      <c r="F81" s="20" t="e">
        <f t="shared" si="0"/>
        <v>#N/A</v>
      </c>
      <c r="G81" s="21" t="e">
        <f t="shared" si="1"/>
        <v>#N/A</v>
      </c>
      <c r="H81" s="24" t="e">
        <f t="shared" si="13"/>
        <v>#N/A</v>
      </c>
      <c r="I81" s="21" t="e">
        <f t="shared" si="20"/>
        <v>#N/A</v>
      </c>
      <c r="J81" s="63" t="e">
        <f t="shared" si="2"/>
        <v>#N/A</v>
      </c>
      <c r="K81" s="66" t="str">
        <f t="shared" si="19"/>
        <v/>
      </c>
      <c r="L81" s="17"/>
      <c r="M81" s="23" t="e">
        <f t="shared" si="14"/>
        <v>#N/A</v>
      </c>
      <c r="N81" s="23" t="e">
        <f t="shared" si="3"/>
        <v>#N/A</v>
      </c>
      <c r="O81" s="23" t="e">
        <f t="shared" si="4"/>
        <v>#N/A</v>
      </c>
      <c r="P81" s="17"/>
      <c r="Q81" s="19" t="e">
        <f>IF(C81="","",'Tabla_Puntual&amp;Relacionamiento'!$E$7)</f>
        <v>#N/A</v>
      </c>
      <c r="R81" s="19" t="e">
        <f>IF(C81="","",IF($E$14="Pago_Bajo_Puntual",$M$17,""))</f>
        <v>#N/A</v>
      </c>
      <c r="S81" s="11" t="e">
        <f t="shared" si="15"/>
        <v>#N/A</v>
      </c>
      <c r="T81" s="23" t="e">
        <f t="shared" si="5"/>
        <v>#N/A</v>
      </c>
      <c r="U81" s="37" t="e">
        <f t="shared" si="6"/>
        <v>#N/A</v>
      </c>
      <c r="V81" s="37" t="e">
        <f t="shared" si="18"/>
        <v>#N/A</v>
      </c>
      <c r="X81" s="31" t="e">
        <f t="shared" si="7"/>
        <v>#N/A</v>
      </c>
      <c r="Y81" s="34">
        <f>Y80*1.019</f>
        <v>1.0986792440810986</v>
      </c>
      <c r="Z81" s="31" t="e">
        <f t="shared" si="8"/>
        <v>#N/A</v>
      </c>
      <c r="AA81" s="66">
        <f t="shared" si="9"/>
        <v>0</v>
      </c>
      <c r="AB81" s="6" t="e">
        <f t="shared" si="10"/>
        <v>#N/A</v>
      </c>
      <c r="AC81" s="48">
        <f>AC80+$M$17</f>
        <v>0</v>
      </c>
    </row>
    <row r="82" spans="3:29" x14ac:dyDescent="0.25">
      <c r="C82" s="27" t="e">
        <f t="shared" si="11"/>
        <v>#N/A</v>
      </c>
      <c r="D82" s="30" t="e">
        <f t="shared" si="12"/>
        <v>#N/A</v>
      </c>
      <c r="E82" s="20" t="e">
        <f t="shared" si="17"/>
        <v>#N/A</v>
      </c>
      <c r="F82" s="20" t="e">
        <f t="shared" si="0"/>
        <v>#N/A</v>
      </c>
      <c r="G82" s="21" t="e">
        <f t="shared" si="1"/>
        <v>#N/A</v>
      </c>
      <c r="H82" s="24" t="e">
        <f t="shared" si="13"/>
        <v>#N/A</v>
      </c>
      <c r="I82" s="21" t="e">
        <f t="shared" si="20"/>
        <v>#N/A</v>
      </c>
      <c r="J82" s="63" t="e">
        <f t="shared" si="2"/>
        <v>#N/A</v>
      </c>
      <c r="K82" s="66" t="str">
        <f t="shared" si="19"/>
        <v/>
      </c>
      <c r="L82" s="17"/>
      <c r="M82" s="23" t="e">
        <f t="shared" si="14"/>
        <v>#N/A</v>
      </c>
      <c r="N82" s="23" t="e">
        <f t="shared" si="3"/>
        <v>#N/A</v>
      </c>
      <c r="O82" s="23" t="e">
        <f t="shared" si="4"/>
        <v>#N/A</v>
      </c>
      <c r="P82" s="17"/>
      <c r="Q82" s="19" t="e">
        <f>IF(C82="","",'Tabla_Puntual&amp;Relacionamiento'!$E$7)</f>
        <v>#N/A</v>
      </c>
      <c r="R82" s="19"/>
      <c r="S82" s="11" t="e">
        <f t="shared" si="15"/>
        <v>#N/A</v>
      </c>
      <c r="T82" s="23" t="e">
        <f t="shared" si="5"/>
        <v>#N/A</v>
      </c>
      <c r="U82" s="37" t="e">
        <f t="shared" si="6"/>
        <v>#N/A</v>
      </c>
      <c r="V82" s="37" t="e">
        <f t="shared" si="18"/>
        <v>#N/A</v>
      </c>
      <c r="X82" s="31" t="e">
        <f t="shared" si="7"/>
        <v>#N/A</v>
      </c>
      <c r="Y82" s="34">
        <f t="shared" ref="Y82:Y92" si="26">Y81</f>
        <v>1.0986792440810986</v>
      </c>
      <c r="Z82" s="31" t="e">
        <f t="shared" si="8"/>
        <v>#N/A</v>
      </c>
      <c r="AA82" s="66">
        <f t="shared" si="9"/>
        <v>0</v>
      </c>
      <c r="AB82" s="6" t="e">
        <f t="shared" si="10"/>
        <v>#N/A</v>
      </c>
      <c r="AC82" s="48">
        <f t="shared" si="22"/>
        <v>0</v>
      </c>
    </row>
    <row r="83" spans="3:29" x14ac:dyDescent="0.25">
      <c r="C83" s="27" t="e">
        <f t="shared" si="11"/>
        <v>#N/A</v>
      </c>
      <c r="D83" s="30" t="e">
        <f t="shared" si="12"/>
        <v>#N/A</v>
      </c>
      <c r="E83" s="20" t="e">
        <f t="shared" si="17"/>
        <v>#N/A</v>
      </c>
      <c r="F83" s="20" t="e">
        <f t="shared" si="0"/>
        <v>#N/A</v>
      </c>
      <c r="G83" s="21" t="e">
        <f t="shared" si="1"/>
        <v>#N/A</v>
      </c>
      <c r="H83" s="24" t="e">
        <f t="shared" si="13"/>
        <v>#N/A</v>
      </c>
      <c r="I83" s="21" t="e">
        <f t="shared" si="20"/>
        <v>#N/A</v>
      </c>
      <c r="J83" s="63" t="e">
        <f t="shared" si="2"/>
        <v>#N/A</v>
      </c>
      <c r="K83" s="66" t="str">
        <f t="shared" si="19"/>
        <v/>
      </c>
      <c r="L83" s="17"/>
      <c r="M83" s="23" t="e">
        <f t="shared" si="14"/>
        <v>#N/A</v>
      </c>
      <c r="N83" s="23" t="e">
        <f t="shared" si="3"/>
        <v>#N/A</v>
      </c>
      <c r="O83" s="23" t="e">
        <f t="shared" si="4"/>
        <v>#N/A</v>
      </c>
      <c r="P83" s="17"/>
      <c r="Q83" s="19" t="e">
        <f>IF(C83="","",'Tabla_Puntual&amp;Relacionamiento'!$E$7)</f>
        <v>#N/A</v>
      </c>
      <c r="R83" s="19"/>
      <c r="S83" s="11" t="e">
        <f t="shared" si="15"/>
        <v>#N/A</v>
      </c>
      <c r="T83" s="23" t="e">
        <f t="shared" si="5"/>
        <v>#N/A</v>
      </c>
      <c r="U83" s="37" t="e">
        <f t="shared" si="6"/>
        <v>#N/A</v>
      </c>
      <c r="V83" s="37" t="e">
        <f t="shared" si="18"/>
        <v>#N/A</v>
      </c>
      <c r="X83" s="31" t="e">
        <f t="shared" si="7"/>
        <v>#N/A</v>
      </c>
      <c r="Y83" s="34">
        <f t="shared" si="26"/>
        <v>1.0986792440810986</v>
      </c>
      <c r="Z83" s="31" t="e">
        <f t="shared" si="8"/>
        <v>#N/A</v>
      </c>
      <c r="AA83" s="66">
        <f t="shared" si="9"/>
        <v>0</v>
      </c>
      <c r="AB83" s="6" t="e">
        <f t="shared" si="10"/>
        <v>#N/A</v>
      </c>
      <c r="AC83" s="48">
        <f t="shared" si="22"/>
        <v>0</v>
      </c>
    </row>
    <row r="84" spans="3:29" x14ac:dyDescent="0.25">
      <c r="C84" s="27" t="e">
        <f t="shared" si="11"/>
        <v>#N/A</v>
      </c>
      <c r="D84" s="30" t="e">
        <f t="shared" si="12"/>
        <v>#N/A</v>
      </c>
      <c r="E84" s="20" t="e">
        <f t="shared" si="17"/>
        <v>#N/A</v>
      </c>
      <c r="F84" s="20" t="e">
        <f t="shared" si="0"/>
        <v>#N/A</v>
      </c>
      <c r="G84" s="21" t="e">
        <f t="shared" si="1"/>
        <v>#N/A</v>
      </c>
      <c r="H84" s="24" t="e">
        <f t="shared" si="13"/>
        <v>#N/A</v>
      </c>
      <c r="I84" s="21" t="e">
        <f t="shared" si="20"/>
        <v>#N/A</v>
      </c>
      <c r="J84" s="63" t="e">
        <f t="shared" si="2"/>
        <v>#N/A</v>
      </c>
      <c r="K84" s="66" t="str">
        <f t="shared" si="19"/>
        <v/>
      </c>
      <c r="L84" s="17"/>
      <c r="M84" s="23" t="e">
        <f t="shared" si="14"/>
        <v>#N/A</v>
      </c>
      <c r="N84" s="23" t="e">
        <f t="shared" si="3"/>
        <v>#N/A</v>
      </c>
      <c r="O84" s="23" t="e">
        <f t="shared" si="4"/>
        <v>#N/A</v>
      </c>
      <c r="P84" s="17"/>
      <c r="Q84" s="19" t="e">
        <f>IF(C84="","",'Tabla_Puntual&amp;Relacionamiento'!$E$7)</f>
        <v>#N/A</v>
      </c>
      <c r="R84" s="19"/>
      <c r="S84" s="11" t="e">
        <f t="shared" si="15"/>
        <v>#N/A</v>
      </c>
      <c r="T84" s="23" t="e">
        <f t="shared" si="5"/>
        <v>#N/A</v>
      </c>
      <c r="U84" s="37" t="e">
        <f t="shared" si="6"/>
        <v>#N/A</v>
      </c>
      <c r="V84" s="37" t="e">
        <f t="shared" si="18"/>
        <v>#N/A</v>
      </c>
      <c r="X84" s="31" t="e">
        <f t="shared" si="7"/>
        <v>#N/A</v>
      </c>
      <c r="Y84" s="34">
        <f t="shared" si="26"/>
        <v>1.0986792440810986</v>
      </c>
      <c r="Z84" s="31" t="e">
        <f t="shared" si="8"/>
        <v>#N/A</v>
      </c>
      <c r="AA84" s="66">
        <f t="shared" si="9"/>
        <v>0</v>
      </c>
      <c r="AB84" s="6" t="e">
        <f t="shared" si="10"/>
        <v>#N/A</v>
      </c>
      <c r="AC84" s="48">
        <f t="shared" si="22"/>
        <v>0</v>
      </c>
    </row>
    <row r="85" spans="3:29" x14ac:dyDescent="0.25">
      <c r="C85" s="27" t="e">
        <f t="shared" si="11"/>
        <v>#N/A</v>
      </c>
      <c r="D85" s="30" t="e">
        <f t="shared" si="12"/>
        <v>#N/A</v>
      </c>
      <c r="E85" s="20" t="e">
        <f t="shared" si="17"/>
        <v>#N/A</v>
      </c>
      <c r="F85" s="20" t="e">
        <f t="shared" ref="F85:F148" si="27">IF(C85="","",E85-G85+P85+M85)</f>
        <v>#N/A</v>
      </c>
      <c r="G85" s="21" t="e">
        <f t="shared" ref="G85:G148" si="28">IF(C85="","",IF(T84*(Q85/12)&lt;0,"",T84*(Q85/12)))</f>
        <v>#N/A</v>
      </c>
      <c r="H85" s="24" t="e">
        <f t="shared" si="13"/>
        <v>#N/A</v>
      </c>
      <c r="I85" s="21" t="e">
        <f t="shared" si="20"/>
        <v>#N/A</v>
      </c>
      <c r="J85" s="63" t="e">
        <f t="shared" si="2"/>
        <v>#N/A</v>
      </c>
      <c r="K85" s="66" t="str">
        <f t="shared" si="19"/>
        <v/>
      </c>
      <c r="L85" s="17"/>
      <c r="M85" s="23" t="e">
        <f t="shared" si="14"/>
        <v>#N/A</v>
      </c>
      <c r="N85" s="23" t="e">
        <f t="shared" ref="N85:N148" si="29">IF(C85="","",(L85+P85)*$J$12)</f>
        <v>#N/A</v>
      </c>
      <c r="O85" s="23" t="e">
        <f t="shared" ref="O85:O148" si="30">IF(C85="","",((L85+P85)*$J$12)*0.16)</f>
        <v>#N/A</v>
      </c>
      <c r="P85" s="17"/>
      <c r="Q85" s="19" t="e">
        <f>IF(C85="","",'Tabla_Puntual&amp;Relacionamiento'!$E$7)</f>
        <v>#N/A</v>
      </c>
      <c r="R85" s="19"/>
      <c r="S85" s="11" t="e">
        <f t="shared" si="15"/>
        <v>#N/A</v>
      </c>
      <c r="T85" s="23" t="e">
        <f t="shared" ref="T85:T148" si="31">IF(C85="","",T84-F85)</f>
        <v>#N/A</v>
      </c>
      <c r="U85" s="37" t="e">
        <f t="shared" ref="U85:U148" si="32">IF(C85="","",1)</f>
        <v>#N/A</v>
      </c>
      <c r="V85" s="37" t="e">
        <f t="shared" si="18"/>
        <v>#N/A</v>
      </c>
      <c r="X85" s="31" t="e">
        <f t="shared" ref="X85:X148" si="33">IF(C85="","",IF($D$17="SI",AB85,
IF(ISNUMBER(V85),IF($E$14="Pago_Fijo_Puntual",PMT(Q85/12,$E$15*12,-$J$9),
Y85*$J$15*$J$9/1000)+H85+AB85+P85+I85/1.16+$Q$15,0)))</f>
        <v>#N/A</v>
      </c>
      <c r="Y85" s="34">
        <f t="shared" si="26"/>
        <v>1.0986792440810986</v>
      </c>
      <c r="Z85" s="31" t="e">
        <f t="shared" ref="Z85:Z148" si="34">IF($AA$20=0,0,IF(M85&gt;AA84,MAX(0,M85-AA84),M85))</f>
        <v>#N/A</v>
      </c>
      <c r="AA85" s="66">
        <f t="shared" ref="AA85:AA148" si="35">IFERROR(MAX(0,AA84-M85),0)</f>
        <v>0</v>
      </c>
      <c r="AB85" s="6" t="e">
        <f t="shared" ref="AB85:AB148" si="36">IF($D$17="NO",M85,IF(AA85&gt;0,0,Z85))</f>
        <v>#N/A</v>
      </c>
      <c r="AC85" s="48">
        <f t="shared" si="22"/>
        <v>0</v>
      </c>
    </row>
    <row r="86" spans="3:29" x14ac:dyDescent="0.25">
      <c r="C86" s="27" t="e">
        <f t="shared" ref="C86:C149" si="37">IF(OR(C85="",T85&lt;=0),"",IF(C85+1&lt;=E$15*12,C85+1,""))</f>
        <v>#N/A</v>
      </c>
      <c r="D86" s="30" t="e">
        <f t="shared" ref="D86:D149" si="38">IF(T85&lt;=0,"",T85)</f>
        <v>#N/A</v>
      </c>
      <c r="E86" s="20" t="e">
        <f t="shared" si="17"/>
        <v>#N/A</v>
      </c>
      <c r="F86" s="20" t="e">
        <f t="shared" si="27"/>
        <v>#N/A</v>
      </c>
      <c r="G86" s="21" t="e">
        <f t="shared" si="28"/>
        <v>#N/A</v>
      </c>
      <c r="H86" s="24" t="e">
        <f t="shared" ref="H86:H149" si="39">IF(C86="","",L$12*T85/1000)</f>
        <v>#N/A</v>
      </c>
      <c r="I86" s="21" t="e">
        <f t="shared" si="20"/>
        <v>#N/A</v>
      </c>
      <c r="J86" s="63" t="e">
        <f t="shared" ref="J86:J149" si="40">IF($D$17="SI",0,IF(D86="","",$Q$15))</f>
        <v>#N/A</v>
      </c>
      <c r="K86" s="66" t="str">
        <f t="shared" si="19"/>
        <v/>
      </c>
      <c r="L86" s="17"/>
      <c r="M86" s="23" t="e">
        <f t="shared" ref="M86:M149" si="41">IF(C86="","",IF(L86="",0,L86-N86-O86))</f>
        <v>#N/A</v>
      </c>
      <c r="N86" s="23" t="e">
        <f t="shared" si="29"/>
        <v>#N/A</v>
      </c>
      <c r="O86" s="23" t="e">
        <f t="shared" si="30"/>
        <v>#N/A</v>
      </c>
      <c r="P86" s="17"/>
      <c r="Q86" s="19" t="e">
        <f>IF(C86="","",'Tabla_Puntual&amp;Relacionamiento'!$E$7)</f>
        <v>#N/A</v>
      </c>
      <c r="R86" s="19"/>
      <c r="S86" s="11" t="e">
        <f t="shared" ref="S86:S149" si="42">IF(C86="","",IF($K$19="",E86+H86+I86+J86+L86+P86,E86+H86+I86+J86+K86+L86+P86))</f>
        <v>#N/A</v>
      </c>
      <c r="T86" s="23" t="e">
        <f t="shared" si="31"/>
        <v>#N/A</v>
      </c>
      <c r="U86" s="37" t="e">
        <f t="shared" si="32"/>
        <v>#N/A</v>
      </c>
      <c r="V86" s="37" t="e">
        <f t="shared" si="18"/>
        <v>#N/A</v>
      </c>
      <c r="X86" s="31" t="e">
        <f t="shared" si="33"/>
        <v>#N/A</v>
      </c>
      <c r="Y86" s="34">
        <f t="shared" si="26"/>
        <v>1.0986792440810986</v>
      </c>
      <c r="Z86" s="31" t="e">
        <f t="shared" si="34"/>
        <v>#N/A</v>
      </c>
      <c r="AA86" s="66">
        <f t="shared" si="35"/>
        <v>0</v>
      </c>
      <c r="AB86" s="6" t="e">
        <f t="shared" si="36"/>
        <v>#N/A</v>
      </c>
      <c r="AC86" s="48">
        <f t="shared" si="22"/>
        <v>0</v>
      </c>
    </row>
    <row r="87" spans="3:29" x14ac:dyDescent="0.25">
      <c r="C87" s="27" t="e">
        <f t="shared" si="37"/>
        <v>#N/A</v>
      </c>
      <c r="D87" s="30" t="e">
        <f t="shared" si="38"/>
        <v>#N/A</v>
      </c>
      <c r="E87" s="20" t="e">
        <f t="shared" ref="E87:E150" si="43">IF(C87="","",IF(T86&lt;E86,T86+G87,IF($E$14="Pago_Fijo_Puntual",$J$9*$J$15/1000,IF($E$14="Pago_Bajo_Puntual",E86+(E86*R87)))))</f>
        <v>#N/A</v>
      </c>
      <c r="F87" s="20" t="e">
        <f t="shared" si="27"/>
        <v>#N/A</v>
      </c>
      <c r="G87" s="21" t="e">
        <f t="shared" si="28"/>
        <v>#N/A</v>
      </c>
      <c r="H87" s="24" t="e">
        <f t="shared" si="39"/>
        <v>#N/A</v>
      </c>
      <c r="I87" s="21" t="e">
        <f t="shared" si="20"/>
        <v>#N/A</v>
      </c>
      <c r="J87" s="63" t="e">
        <f t="shared" si="40"/>
        <v>#N/A</v>
      </c>
      <c r="K87" s="66" t="str">
        <f t="shared" si="19"/>
        <v/>
      </c>
      <c r="L87" s="17"/>
      <c r="M87" s="23" t="e">
        <f t="shared" si="41"/>
        <v>#N/A</v>
      </c>
      <c r="N87" s="23" t="e">
        <f t="shared" si="29"/>
        <v>#N/A</v>
      </c>
      <c r="O87" s="23" t="e">
        <f t="shared" si="30"/>
        <v>#N/A</v>
      </c>
      <c r="P87" s="17"/>
      <c r="Q87" s="19" t="e">
        <f>IF(C87="","",'Tabla_Puntual&amp;Relacionamiento'!$E$7)</f>
        <v>#N/A</v>
      </c>
      <c r="R87" s="19"/>
      <c r="S87" s="11" t="e">
        <f t="shared" si="42"/>
        <v>#N/A</v>
      </c>
      <c r="T87" s="23" t="e">
        <f t="shared" si="31"/>
        <v>#N/A</v>
      </c>
      <c r="U87" s="37" t="e">
        <f t="shared" si="32"/>
        <v>#N/A</v>
      </c>
      <c r="V87" s="37" t="e">
        <f t="shared" ref="V87:V150" si="44">C87</f>
        <v>#N/A</v>
      </c>
      <c r="X87" s="31" t="e">
        <f t="shared" si="33"/>
        <v>#N/A</v>
      </c>
      <c r="Y87" s="34">
        <f t="shared" si="26"/>
        <v>1.0986792440810986</v>
      </c>
      <c r="Z87" s="31" t="e">
        <f t="shared" si="34"/>
        <v>#N/A</v>
      </c>
      <c r="AA87" s="66">
        <f t="shared" si="35"/>
        <v>0</v>
      </c>
      <c r="AB87" s="6" t="e">
        <f t="shared" si="36"/>
        <v>#N/A</v>
      </c>
      <c r="AC87" s="48">
        <f t="shared" si="22"/>
        <v>0</v>
      </c>
    </row>
    <row r="88" spans="3:29" x14ac:dyDescent="0.25">
      <c r="C88" s="27" t="e">
        <f t="shared" si="37"/>
        <v>#N/A</v>
      </c>
      <c r="D88" s="30" t="e">
        <f t="shared" si="38"/>
        <v>#N/A</v>
      </c>
      <c r="E88" s="20" t="e">
        <f t="shared" si="43"/>
        <v>#N/A</v>
      </c>
      <c r="F88" s="20" t="e">
        <f t="shared" si="27"/>
        <v>#N/A</v>
      </c>
      <c r="G88" s="21" t="e">
        <f t="shared" si="28"/>
        <v>#N/A</v>
      </c>
      <c r="H88" s="24" t="e">
        <f t="shared" si="39"/>
        <v>#N/A</v>
      </c>
      <c r="I88" s="21" t="e">
        <f t="shared" si="20"/>
        <v>#N/A</v>
      </c>
      <c r="J88" s="63" t="e">
        <f t="shared" si="40"/>
        <v>#N/A</v>
      </c>
      <c r="K88" s="66" t="str">
        <f t="shared" ref="K88:K151" si="45">IFERROR(IF($E$8="Liquidez",G88*0.16,IF(AND($E$8="Pago_Hipoteca+Liquidez",$E$16="Liquidez"),G88*0.16,"")),"")</f>
        <v/>
      </c>
      <c r="L88" s="17"/>
      <c r="M88" s="23" t="e">
        <f t="shared" si="41"/>
        <v>#N/A</v>
      </c>
      <c r="N88" s="23" t="e">
        <f t="shared" si="29"/>
        <v>#N/A</v>
      </c>
      <c r="O88" s="23" t="e">
        <f t="shared" si="30"/>
        <v>#N/A</v>
      </c>
      <c r="P88" s="17"/>
      <c r="Q88" s="19" t="e">
        <f>IF(C88="","",'Tabla_Puntual&amp;Relacionamiento'!$E$7)</f>
        <v>#N/A</v>
      </c>
      <c r="R88" s="19"/>
      <c r="S88" s="11" t="e">
        <f t="shared" si="42"/>
        <v>#N/A</v>
      </c>
      <c r="T88" s="23" t="e">
        <f t="shared" si="31"/>
        <v>#N/A</v>
      </c>
      <c r="U88" s="37" t="e">
        <f t="shared" si="32"/>
        <v>#N/A</v>
      </c>
      <c r="V88" s="37" t="e">
        <f t="shared" si="44"/>
        <v>#N/A</v>
      </c>
      <c r="X88" s="31" t="e">
        <f t="shared" si="33"/>
        <v>#N/A</v>
      </c>
      <c r="Y88" s="34">
        <f t="shared" si="26"/>
        <v>1.0986792440810986</v>
      </c>
      <c r="Z88" s="31" t="e">
        <f t="shared" si="34"/>
        <v>#N/A</v>
      </c>
      <c r="AA88" s="66">
        <f t="shared" si="35"/>
        <v>0</v>
      </c>
      <c r="AB88" s="6" t="e">
        <f t="shared" si="36"/>
        <v>#N/A</v>
      </c>
      <c r="AC88" s="48">
        <f t="shared" si="22"/>
        <v>0</v>
      </c>
    </row>
    <row r="89" spans="3:29" x14ac:dyDescent="0.25">
      <c r="C89" s="27" t="e">
        <f t="shared" si="37"/>
        <v>#N/A</v>
      </c>
      <c r="D89" s="30" t="e">
        <f t="shared" si="38"/>
        <v>#N/A</v>
      </c>
      <c r="E89" s="20" t="e">
        <f t="shared" si="43"/>
        <v>#N/A</v>
      </c>
      <c r="F89" s="20" t="e">
        <f t="shared" si="27"/>
        <v>#N/A</v>
      </c>
      <c r="G89" s="21" t="e">
        <f t="shared" si="28"/>
        <v>#N/A</v>
      </c>
      <c r="H89" s="24" t="e">
        <f t="shared" si="39"/>
        <v>#N/A</v>
      </c>
      <c r="I89" s="21" t="e">
        <f t="shared" ref="I89:I152" si="46">IF(C89="","",IF(AND($E$8="Pago_Hipoteca+Liquidez",$E$16="Liquidez"),0,IF((($J$8*0.8)*($N$12/1.16))&gt;T88*($N$12/1.16),($J$8*0.8)*($N$12/1.16),($N$12/1.16)*T88)/1000))</f>
        <v>#N/A</v>
      </c>
      <c r="J89" s="63" t="e">
        <f t="shared" si="40"/>
        <v>#N/A</v>
      </c>
      <c r="K89" s="66" t="str">
        <f t="shared" si="45"/>
        <v/>
      </c>
      <c r="L89" s="17"/>
      <c r="M89" s="23" t="e">
        <f t="shared" si="41"/>
        <v>#N/A</v>
      </c>
      <c r="N89" s="23" t="e">
        <f t="shared" si="29"/>
        <v>#N/A</v>
      </c>
      <c r="O89" s="23" t="e">
        <f t="shared" si="30"/>
        <v>#N/A</v>
      </c>
      <c r="P89" s="17"/>
      <c r="Q89" s="19" t="e">
        <f>IF(C89="","",'Tabla_Puntual&amp;Relacionamiento'!$E$7)</f>
        <v>#N/A</v>
      </c>
      <c r="R89" s="19"/>
      <c r="S89" s="11" t="e">
        <f t="shared" si="42"/>
        <v>#N/A</v>
      </c>
      <c r="T89" s="23" t="e">
        <f t="shared" si="31"/>
        <v>#N/A</v>
      </c>
      <c r="U89" s="37" t="e">
        <f t="shared" si="32"/>
        <v>#N/A</v>
      </c>
      <c r="V89" s="37" t="e">
        <f t="shared" si="44"/>
        <v>#N/A</v>
      </c>
      <c r="X89" s="31" t="e">
        <f t="shared" si="33"/>
        <v>#N/A</v>
      </c>
      <c r="Y89" s="34">
        <f t="shared" si="26"/>
        <v>1.0986792440810986</v>
      </c>
      <c r="Z89" s="31" t="e">
        <f t="shared" si="34"/>
        <v>#N/A</v>
      </c>
      <c r="AA89" s="66">
        <f t="shared" si="35"/>
        <v>0</v>
      </c>
      <c r="AB89" s="6" t="e">
        <f t="shared" si="36"/>
        <v>#N/A</v>
      </c>
      <c r="AC89" s="48">
        <f t="shared" si="22"/>
        <v>0</v>
      </c>
    </row>
    <row r="90" spans="3:29" x14ac:dyDescent="0.25">
      <c r="C90" s="27" t="e">
        <f t="shared" si="37"/>
        <v>#N/A</v>
      </c>
      <c r="D90" s="30" t="e">
        <f t="shared" si="38"/>
        <v>#N/A</v>
      </c>
      <c r="E90" s="20" t="e">
        <f t="shared" si="43"/>
        <v>#N/A</v>
      </c>
      <c r="F90" s="20" t="e">
        <f t="shared" si="27"/>
        <v>#N/A</v>
      </c>
      <c r="G90" s="21" t="e">
        <f t="shared" si="28"/>
        <v>#N/A</v>
      </c>
      <c r="H90" s="24" t="e">
        <f t="shared" si="39"/>
        <v>#N/A</v>
      </c>
      <c r="I90" s="21" t="e">
        <f t="shared" si="46"/>
        <v>#N/A</v>
      </c>
      <c r="J90" s="63" t="e">
        <f t="shared" si="40"/>
        <v>#N/A</v>
      </c>
      <c r="K90" s="66" t="str">
        <f t="shared" si="45"/>
        <v/>
      </c>
      <c r="L90" s="17"/>
      <c r="M90" s="23" t="e">
        <f t="shared" si="41"/>
        <v>#N/A</v>
      </c>
      <c r="N90" s="23" t="e">
        <f t="shared" si="29"/>
        <v>#N/A</v>
      </c>
      <c r="O90" s="23" t="e">
        <f t="shared" si="30"/>
        <v>#N/A</v>
      </c>
      <c r="P90" s="17"/>
      <c r="Q90" s="19" t="e">
        <f>IF(C90="","",'Tabla_Puntual&amp;Relacionamiento'!$E$7)</f>
        <v>#N/A</v>
      </c>
      <c r="R90" s="19"/>
      <c r="S90" s="11" t="e">
        <f t="shared" si="42"/>
        <v>#N/A</v>
      </c>
      <c r="T90" s="23" t="e">
        <f t="shared" si="31"/>
        <v>#N/A</v>
      </c>
      <c r="U90" s="37" t="e">
        <f t="shared" si="32"/>
        <v>#N/A</v>
      </c>
      <c r="V90" s="37" t="e">
        <f t="shared" si="44"/>
        <v>#N/A</v>
      </c>
      <c r="X90" s="31" t="e">
        <f t="shared" si="33"/>
        <v>#N/A</v>
      </c>
      <c r="Y90" s="34">
        <f t="shared" si="26"/>
        <v>1.0986792440810986</v>
      </c>
      <c r="Z90" s="31" t="e">
        <f t="shared" si="34"/>
        <v>#N/A</v>
      </c>
      <c r="AA90" s="66">
        <f t="shared" si="35"/>
        <v>0</v>
      </c>
      <c r="AB90" s="6" t="e">
        <f t="shared" si="36"/>
        <v>#N/A</v>
      </c>
      <c r="AC90" s="48">
        <f t="shared" si="22"/>
        <v>0</v>
      </c>
    </row>
    <row r="91" spans="3:29" x14ac:dyDescent="0.25">
      <c r="C91" s="27" t="e">
        <f t="shared" si="37"/>
        <v>#N/A</v>
      </c>
      <c r="D91" s="30" t="e">
        <f t="shared" si="38"/>
        <v>#N/A</v>
      </c>
      <c r="E91" s="20" t="e">
        <f t="shared" si="43"/>
        <v>#N/A</v>
      </c>
      <c r="F91" s="20" t="e">
        <f t="shared" si="27"/>
        <v>#N/A</v>
      </c>
      <c r="G91" s="21" t="e">
        <f t="shared" si="28"/>
        <v>#N/A</v>
      </c>
      <c r="H91" s="24" t="e">
        <f t="shared" si="39"/>
        <v>#N/A</v>
      </c>
      <c r="I91" s="21" t="e">
        <f t="shared" si="46"/>
        <v>#N/A</v>
      </c>
      <c r="J91" s="63" t="e">
        <f t="shared" si="40"/>
        <v>#N/A</v>
      </c>
      <c r="K91" s="66" t="str">
        <f t="shared" si="45"/>
        <v/>
      </c>
      <c r="L91" s="17"/>
      <c r="M91" s="23" t="e">
        <f t="shared" si="41"/>
        <v>#N/A</v>
      </c>
      <c r="N91" s="23" t="e">
        <f t="shared" si="29"/>
        <v>#N/A</v>
      </c>
      <c r="O91" s="23" t="e">
        <f t="shared" si="30"/>
        <v>#N/A</v>
      </c>
      <c r="P91" s="17"/>
      <c r="Q91" s="19" t="e">
        <f>IF(C91="","",'Tabla_Puntual&amp;Relacionamiento'!$E$7)</f>
        <v>#N/A</v>
      </c>
      <c r="R91" s="19"/>
      <c r="S91" s="11" t="e">
        <f t="shared" si="42"/>
        <v>#N/A</v>
      </c>
      <c r="T91" s="23" t="e">
        <f t="shared" si="31"/>
        <v>#N/A</v>
      </c>
      <c r="U91" s="37" t="e">
        <f t="shared" si="32"/>
        <v>#N/A</v>
      </c>
      <c r="V91" s="37" t="e">
        <f t="shared" si="44"/>
        <v>#N/A</v>
      </c>
      <c r="X91" s="31" t="e">
        <f t="shared" si="33"/>
        <v>#N/A</v>
      </c>
      <c r="Y91" s="34">
        <f t="shared" si="26"/>
        <v>1.0986792440810986</v>
      </c>
      <c r="Z91" s="31" t="e">
        <f t="shared" si="34"/>
        <v>#N/A</v>
      </c>
      <c r="AA91" s="66">
        <f t="shared" si="35"/>
        <v>0</v>
      </c>
      <c r="AB91" s="6" t="e">
        <f t="shared" si="36"/>
        <v>#N/A</v>
      </c>
      <c r="AC91" s="48">
        <f t="shared" si="22"/>
        <v>0</v>
      </c>
    </row>
    <row r="92" spans="3:29" x14ac:dyDescent="0.25">
      <c r="C92" s="27" t="e">
        <f t="shared" si="37"/>
        <v>#N/A</v>
      </c>
      <c r="D92" s="30" t="e">
        <f t="shared" si="38"/>
        <v>#N/A</v>
      </c>
      <c r="E92" s="20" t="e">
        <f t="shared" si="43"/>
        <v>#N/A</v>
      </c>
      <c r="F92" s="20" t="e">
        <f t="shared" si="27"/>
        <v>#N/A</v>
      </c>
      <c r="G92" s="21" t="e">
        <f t="shared" si="28"/>
        <v>#N/A</v>
      </c>
      <c r="H92" s="24" t="e">
        <f t="shared" si="39"/>
        <v>#N/A</v>
      </c>
      <c r="I92" s="21" t="e">
        <f t="shared" si="46"/>
        <v>#N/A</v>
      </c>
      <c r="J92" s="63" t="e">
        <f t="shared" si="40"/>
        <v>#N/A</v>
      </c>
      <c r="K92" s="66" t="str">
        <f t="shared" si="45"/>
        <v/>
      </c>
      <c r="L92" s="17"/>
      <c r="M92" s="23" t="e">
        <f t="shared" si="41"/>
        <v>#N/A</v>
      </c>
      <c r="N92" s="23" t="e">
        <f t="shared" si="29"/>
        <v>#N/A</v>
      </c>
      <c r="O92" s="23" t="e">
        <f t="shared" si="30"/>
        <v>#N/A</v>
      </c>
      <c r="P92" s="17"/>
      <c r="Q92" s="19" t="e">
        <f>IF(C92="","",'Tabla_Puntual&amp;Relacionamiento'!$E$7)</f>
        <v>#N/A</v>
      </c>
      <c r="R92" s="19"/>
      <c r="S92" s="11" t="e">
        <f t="shared" si="42"/>
        <v>#N/A</v>
      </c>
      <c r="T92" s="23" t="e">
        <f t="shared" si="31"/>
        <v>#N/A</v>
      </c>
      <c r="U92" s="37" t="e">
        <f t="shared" si="32"/>
        <v>#N/A</v>
      </c>
      <c r="V92" s="37" t="e">
        <f t="shared" si="44"/>
        <v>#N/A</v>
      </c>
      <c r="X92" s="31" t="e">
        <f t="shared" si="33"/>
        <v>#N/A</v>
      </c>
      <c r="Y92" s="34">
        <f t="shared" si="26"/>
        <v>1.0986792440810986</v>
      </c>
      <c r="Z92" s="31" t="e">
        <f t="shared" si="34"/>
        <v>#N/A</v>
      </c>
      <c r="AA92" s="66">
        <f t="shared" si="35"/>
        <v>0</v>
      </c>
      <c r="AB92" s="6" t="e">
        <f t="shared" si="36"/>
        <v>#N/A</v>
      </c>
      <c r="AC92" s="48">
        <f t="shared" si="22"/>
        <v>0</v>
      </c>
    </row>
    <row r="93" spans="3:29" x14ac:dyDescent="0.25">
      <c r="C93" s="27" t="e">
        <f t="shared" si="37"/>
        <v>#N/A</v>
      </c>
      <c r="D93" s="30" t="e">
        <f t="shared" si="38"/>
        <v>#N/A</v>
      </c>
      <c r="E93" s="20" t="e">
        <f t="shared" si="43"/>
        <v>#N/A</v>
      </c>
      <c r="F93" s="20" t="e">
        <f t="shared" si="27"/>
        <v>#N/A</v>
      </c>
      <c r="G93" s="21" t="e">
        <f t="shared" si="28"/>
        <v>#N/A</v>
      </c>
      <c r="H93" s="24" t="e">
        <f t="shared" si="39"/>
        <v>#N/A</v>
      </c>
      <c r="I93" s="21" t="e">
        <f t="shared" si="46"/>
        <v>#N/A</v>
      </c>
      <c r="J93" s="63" t="e">
        <f t="shared" si="40"/>
        <v>#N/A</v>
      </c>
      <c r="K93" s="66" t="str">
        <f t="shared" si="45"/>
        <v/>
      </c>
      <c r="L93" s="17"/>
      <c r="M93" s="23" t="e">
        <f t="shared" si="41"/>
        <v>#N/A</v>
      </c>
      <c r="N93" s="23" t="e">
        <f t="shared" si="29"/>
        <v>#N/A</v>
      </c>
      <c r="O93" s="23" t="e">
        <f t="shared" si="30"/>
        <v>#N/A</v>
      </c>
      <c r="P93" s="17"/>
      <c r="Q93" s="19" t="e">
        <f>IF(C93="","",'Tabla_Puntual&amp;Relacionamiento'!$E$8)</f>
        <v>#N/A</v>
      </c>
      <c r="R93" s="19" t="e">
        <f>IF(C93="","",IF($E$14="Pago_Bajo_Puntual",$M$17,""))</f>
        <v>#N/A</v>
      </c>
      <c r="S93" s="11" t="e">
        <f t="shared" si="42"/>
        <v>#N/A</v>
      </c>
      <c r="T93" s="23" t="e">
        <f t="shared" si="31"/>
        <v>#N/A</v>
      </c>
      <c r="U93" s="37" t="e">
        <f t="shared" si="32"/>
        <v>#N/A</v>
      </c>
      <c r="V93" s="37" t="e">
        <f t="shared" si="44"/>
        <v>#N/A</v>
      </c>
      <c r="X93" s="31" t="e">
        <f t="shared" si="33"/>
        <v>#N/A</v>
      </c>
      <c r="Y93" s="34">
        <f>Y92*1.019</f>
        <v>1.1195541497186394</v>
      </c>
      <c r="Z93" s="31" t="e">
        <f t="shared" si="34"/>
        <v>#N/A</v>
      </c>
      <c r="AA93" s="66">
        <f t="shared" si="35"/>
        <v>0</v>
      </c>
      <c r="AB93" s="6" t="e">
        <f t="shared" si="36"/>
        <v>#N/A</v>
      </c>
      <c r="AC93" s="48">
        <f>AC92+$M$17</f>
        <v>0</v>
      </c>
    </row>
    <row r="94" spans="3:29" x14ac:dyDescent="0.25">
      <c r="C94" s="27" t="e">
        <f t="shared" si="37"/>
        <v>#N/A</v>
      </c>
      <c r="D94" s="30" t="e">
        <f t="shared" si="38"/>
        <v>#N/A</v>
      </c>
      <c r="E94" s="20" t="e">
        <f t="shared" si="43"/>
        <v>#N/A</v>
      </c>
      <c r="F94" s="20" t="e">
        <f t="shared" si="27"/>
        <v>#N/A</v>
      </c>
      <c r="G94" s="21" t="e">
        <f t="shared" si="28"/>
        <v>#N/A</v>
      </c>
      <c r="H94" s="24" t="e">
        <f t="shared" si="39"/>
        <v>#N/A</v>
      </c>
      <c r="I94" s="21" t="e">
        <f t="shared" si="46"/>
        <v>#N/A</v>
      </c>
      <c r="J94" s="63" t="e">
        <f t="shared" si="40"/>
        <v>#N/A</v>
      </c>
      <c r="K94" s="66" t="str">
        <f t="shared" si="45"/>
        <v/>
      </c>
      <c r="L94" s="17"/>
      <c r="M94" s="23" t="e">
        <f t="shared" si="41"/>
        <v>#N/A</v>
      </c>
      <c r="N94" s="23" t="e">
        <f t="shared" si="29"/>
        <v>#N/A</v>
      </c>
      <c r="O94" s="23" t="e">
        <f t="shared" si="30"/>
        <v>#N/A</v>
      </c>
      <c r="P94" s="17"/>
      <c r="Q94" s="19" t="e">
        <f>IF(C94="","",'Tabla_Puntual&amp;Relacionamiento'!$E$8)</f>
        <v>#N/A</v>
      </c>
      <c r="R94" s="19"/>
      <c r="S94" s="11" t="e">
        <f t="shared" si="42"/>
        <v>#N/A</v>
      </c>
      <c r="T94" s="23" t="e">
        <f t="shared" si="31"/>
        <v>#N/A</v>
      </c>
      <c r="U94" s="37" t="e">
        <f t="shared" si="32"/>
        <v>#N/A</v>
      </c>
      <c r="V94" s="37" t="e">
        <f t="shared" si="44"/>
        <v>#N/A</v>
      </c>
      <c r="X94" s="31" t="e">
        <f t="shared" si="33"/>
        <v>#N/A</v>
      </c>
      <c r="Y94" s="34">
        <f t="shared" ref="Y94:Y104" si="47">Y93</f>
        <v>1.1195541497186394</v>
      </c>
      <c r="Z94" s="31" t="e">
        <f t="shared" si="34"/>
        <v>#N/A</v>
      </c>
      <c r="AA94" s="66">
        <f t="shared" si="35"/>
        <v>0</v>
      </c>
      <c r="AB94" s="6" t="e">
        <f t="shared" si="36"/>
        <v>#N/A</v>
      </c>
      <c r="AC94" s="48">
        <f t="shared" si="22"/>
        <v>0</v>
      </c>
    </row>
    <row r="95" spans="3:29" x14ac:dyDescent="0.25">
      <c r="C95" s="27" t="e">
        <f t="shared" si="37"/>
        <v>#N/A</v>
      </c>
      <c r="D95" s="30" t="e">
        <f t="shared" si="38"/>
        <v>#N/A</v>
      </c>
      <c r="E95" s="20" t="e">
        <f t="shared" si="43"/>
        <v>#N/A</v>
      </c>
      <c r="F95" s="20" t="e">
        <f t="shared" si="27"/>
        <v>#N/A</v>
      </c>
      <c r="G95" s="21" t="e">
        <f t="shared" si="28"/>
        <v>#N/A</v>
      </c>
      <c r="H95" s="24" t="e">
        <f t="shared" si="39"/>
        <v>#N/A</v>
      </c>
      <c r="I95" s="21" t="e">
        <f t="shared" si="46"/>
        <v>#N/A</v>
      </c>
      <c r="J95" s="63" t="e">
        <f t="shared" si="40"/>
        <v>#N/A</v>
      </c>
      <c r="K95" s="66" t="str">
        <f t="shared" si="45"/>
        <v/>
      </c>
      <c r="L95" s="17"/>
      <c r="M95" s="23" t="e">
        <f t="shared" si="41"/>
        <v>#N/A</v>
      </c>
      <c r="N95" s="23" t="e">
        <f t="shared" si="29"/>
        <v>#N/A</v>
      </c>
      <c r="O95" s="23" t="e">
        <f t="shared" si="30"/>
        <v>#N/A</v>
      </c>
      <c r="P95" s="17"/>
      <c r="Q95" s="19" t="e">
        <f>IF(C95="","",'Tabla_Puntual&amp;Relacionamiento'!$E$8)</f>
        <v>#N/A</v>
      </c>
      <c r="R95" s="19"/>
      <c r="S95" s="11" t="e">
        <f t="shared" si="42"/>
        <v>#N/A</v>
      </c>
      <c r="T95" s="23" t="e">
        <f t="shared" si="31"/>
        <v>#N/A</v>
      </c>
      <c r="U95" s="37" t="e">
        <f t="shared" si="32"/>
        <v>#N/A</v>
      </c>
      <c r="V95" s="37" t="e">
        <f t="shared" si="44"/>
        <v>#N/A</v>
      </c>
      <c r="X95" s="31" t="e">
        <f t="shared" si="33"/>
        <v>#N/A</v>
      </c>
      <c r="Y95" s="34">
        <f t="shared" si="47"/>
        <v>1.1195541497186394</v>
      </c>
      <c r="Z95" s="31" t="e">
        <f t="shared" si="34"/>
        <v>#N/A</v>
      </c>
      <c r="AA95" s="66">
        <f t="shared" si="35"/>
        <v>0</v>
      </c>
      <c r="AB95" s="6" t="e">
        <f t="shared" si="36"/>
        <v>#N/A</v>
      </c>
      <c r="AC95" s="48">
        <f t="shared" si="22"/>
        <v>0</v>
      </c>
    </row>
    <row r="96" spans="3:29" x14ac:dyDescent="0.25">
      <c r="C96" s="27" t="e">
        <f t="shared" si="37"/>
        <v>#N/A</v>
      </c>
      <c r="D96" s="30" t="e">
        <f t="shared" si="38"/>
        <v>#N/A</v>
      </c>
      <c r="E96" s="20" t="e">
        <f t="shared" si="43"/>
        <v>#N/A</v>
      </c>
      <c r="F96" s="20" t="e">
        <f t="shared" si="27"/>
        <v>#N/A</v>
      </c>
      <c r="G96" s="21" t="e">
        <f t="shared" si="28"/>
        <v>#N/A</v>
      </c>
      <c r="H96" s="24" t="e">
        <f t="shared" si="39"/>
        <v>#N/A</v>
      </c>
      <c r="I96" s="21" t="e">
        <f t="shared" si="46"/>
        <v>#N/A</v>
      </c>
      <c r="J96" s="63" t="e">
        <f t="shared" si="40"/>
        <v>#N/A</v>
      </c>
      <c r="K96" s="66" t="str">
        <f t="shared" si="45"/>
        <v/>
      </c>
      <c r="L96" s="17"/>
      <c r="M96" s="23" t="e">
        <f t="shared" si="41"/>
        <v>#N/A</v>
      </c>
      <c r="N96" s="23" t="e">
        <f t="shared" si="29"/>
        <v>#N/A</v>
      </c>
      <c r="O96" s="23" t="e">
        <f t="shared" si="30"/>
        <v>#N/A</v>
      </c>
      <c r="P96" s="17"/>
      <c r="Q96" s="19" t="e">
        <f>IF(C96="","",'Tabla_Puntual&amp;Relacionamiento'!$E$8)</f>
        <v>#N/A</v>
      </c>
      <c r="R96" s="19"/>
      <c r="S96" s="11" t="e">
        <f t="shared" si="42"/>
        <v>#N/A</v>
      </c>
      <c r="T96" s="23" t="e">
        <f t="shared" si="31"/>
        <v>#N/A</v>
      </c>
      <c r="U96" s="37" t="e">
        <f t="shared" si="32"/>
        <v>#N/A</v>
      </c>
      <c r="V96" s="37" t="e">
        <f t="shared" si="44"/>
        <v>#N/A</v>
      </c>
      <c r="X96" s="31" t="e">
        <f t="shared" si="33"/>
        <v>#N/A</v>
      </c>
      <c r="Y96" s="34">
        <f t="shared" si="47"/>
        <v>1.1195541497186394</v>
      </c>
      <c r="Z96" s="31" t="e">
        <f t="shared" si="34"/>
        <v>#N/A</v>
      </c>
      <c r="AA96" s="66">
        <f t="shared" si="35"/>
        <v>0</v>
      </c>
      <c r="AB96" s="6" t="e">
        <f t="shared" si="36"/>
        <v>#N/A</v>
      </c>
      <c r="AC96" s="48">
        <f t="shared" si="22"/>
        <v>0</v>
      </c>
    </row>
    <row r="97" spans="3:29" x14ac:dyDescent="0.25">
      <c r="C97" s="27" t="e">
        <f t="shared" si="37"/>
        <v>#N/A</v>
      </c>
      <c r="D97" s="30" t="e">
        <f t="shared" si="38"/>
        <v>#N/A</v>
      </c>
      <c r="E97" s="20" t="e">
        <f t="shared" si="43"/>
        <v>#N/A</v>
      </c>
      <c r="F97" s="20" t="e">
        <f t="shared" si="27"/>
        <v>#N/A</v>
      </c>
      <c r="G97" s="21" t="e">
        <f t="shared" si="28"/>
        <v>#N/A</v>
      </c>
      <c r="H97" s="24" t="e">
        <f t="shared" si="39"/>
        <v>#N/A</v>
      </c>
      <c r="I97" s="21" t="e">
        <f t="shared" si="46"/>
        <v>#N/A</v>
      </c>
      <c r="J97" s="63" t="e">
        <f t="shared" si="40"/>
        <v>#N/A</v>
      </c>
      <c r="K97" s="66" t="str">
        <f t="shared" si="45"/>
        <v/>
      </c>
      <c r="L97" s="17"/>
      <c r="M97" s="23" t="e">
        <f t="shared" si="41"/>
        <v>#N/A</v>
      </c>
      <c r="N97" s="23" t="e">
        <f t="shared" si="29"/>
        <v>#N/A</v>
      </c>
      <c r="O97" s="23" t="e">
        <f t="shared" si="30"/>
        <v>#N/A</v>
      </c>
      <c r="P97" s="17"/>
      <c r="Q97" s="19" t="e">
        <f>IF(C97="","",'Tabla_Puntual&amp;Relacionamiento'!$E$8)</f>
        <v>#N/A</v>
      </c>
      <c r="R97" s="19"/>
      <c r="S97" s="11" t="e">
        <f t="shared" si="42"/>
        <v>#N/A</v>
      </c>
      <c r="T97" s="23" t="e">
        <f t="shared" si="31"/>
        <v>#N/A</v>
      </c>
      <c r="U97" s="37" t="e">
        <f t="shared" si="32"/>
        <v>#N/A</v>
      </c>
      <c r="V97" s="37" t="e">
        <f t="shared" si="44"/>
        <v>#N/A</v>
      </c>
      <c r="X97" s="31" t="e">
        <f t="shared" si="33"/>
        <v>#N/A</v>
      </c>
      <c r="Y97" s="34">
        <f t="shared" si="47"/>
        <v>1.1195541497186394</v>
      </c>
      <c r="Z97" s="31" t="e">
        <f t="shared" si="34"/>
        <v>#N/A</v>
      </c>
      <c r="AA97" s="66">
        <f t="shared" si="35"/>
        <v>0</v>
      </c>
      <c r="AB97" s="6" t="e">
        <f t="shared" si="36"/>
        <v>#N/A</v>
      </c>
      <c r="AC97" s="48">
        <f t="shared" si="22"/>
        <v>0</v>
      </c>
    </row>
    <row r="98" spans="3:29" x14ac:dyDescent="0.25">
      <c r="C98" s="27" t="e">
        <f t="shared" si="37"/>
        <v>#N/A</v>
      </c>
      <c r="D98" s="30" t="e">
        <f t="shared" si="38"/>
        <v>#N/A</v>
      </c>
      <c r="E98" s="20" t="e">
        <f t="shared" si="43"/>
        <v>#N/A</v>
      </c>
      <c r="F98" s="20" t="e">
        <f t="shared" si="27"/>
        <v>#N/A</v>
      </c>
      <c r="G98" s="21" t="e">
        <f t="shared" si="28"/>
        <v>#N/A</v>
      </c>
      <c r="H98" s="24" t="e">
        <f t="shared" si="39"/>
        <v>#N/A</v>
      </c>
      <c r="I98" s="21" t="e">
        <f t="shared" si="46"/>
        <v>#N/A</v>
      </c>
      <c r="J98" s="63" t="e">
        <f t="shared" si="40"/>
        <v>#N/A</v>
      </c>
      <c r="K98" s="66" t="str">
        <f t="shared" si="45"/>
        <v/>
      </c>
      <c r="L98" s="17"/>
      <c r="M98" s="23" t="e">
        <f t="shared" si="41"/>
        <v>#N/A</v>
      </c>
      <c r="N98" s="23" t="e">
        <f t="shared" si="29"/>
        <v>#N/A</v>
      </c>
      <c r="O98" s="23" t="e">
        <f t="shared" si="30"/>
        <v>#N/A</v>
      </c>
      <c r="P98" s="17"/>
      <c r="Q98" s="19" t="e">
        <f>IF(C98="","",'Tabla_Puntual&amp;Relacionamiento'!$E$8)</f>
        <v>#N/A</v>
      </c>
      <c r="R98" s="19"/>
      <c r="S98" s="11" t="e">
        <f t="shared" si="42"/>
        <v>#N/A</v>
      </c>
      <c r="T98" s="23" t="e">
        <f t="shared" si="31"/>
        <v>#N/A</v>
      </c>
      <c r="U98" s="37" t="e">
        <f t="shared" si="32"/>
        <v>#N/A</v>
      </c>
      <c r="V98" s="37" t="e">
        <f t="shared" si="44"/>
        <v>#N/A</v>
      </c>
      <c r="X98" s="31" t="e">
        <f t="shared" si="33"/>
        <v>#N/A</v>
      </c>
      <c r="Y98" s="34">
        <f t="shared" si="47"/>
        <v>1.1195541497186394</v>
      </c>
      <c r="Z98" s="31" t="e">
        <f t="shared" si="34"/>
        <v>#N/A</v>
      </c>
      <c r="AA98" s="66">
        <f t="shared" si="35"/>
        <v>0</v>
      </c>
      <c r="AB98" s="6" t="e">
        <f t="shared" si="36"/>
        <v>#N/A</v>
      </c>
      <c r="AC98" s="48">
        <f t="shared" si="22"/>
        <v>0</v>
      </c>
    </row>
    <row r="99" spans="3:29" x14ac:dyDescent="0.25">
      <c r="C99" s="27" t="e">
        <f t="shared" si="37"/>
        <v>#N/A</v>
      </c>
      <c r="D99" s="30" t="e">
        <f t="shared" si="38"/>
        <v>#N/A</v>
      </c>
      <c r="E99" s="20" t="e">
        <f t="shared" si="43"/>
        <v>#N/A</v>
      </c>
      <c r="F99" s="20" t="e">
        <f t="shared" si="27"/>
        <v>#N/A</v>
      </c>
      <c r="G99" s="21" t="e">
        <f t="shared" si="28"/>
        <v>#N/A</v>
      </c>
      <c r="H99" s="24" t="e">
        <f t="shared" si="39"/>
        <v>#N/A</v>
      </c>
      <c r="I99" s="21" t="e">
        <f t="shared" si="46"/>
        <v>#N/A</v>
      </c>
      <c r="J99" s="63" t="e">
        <f t="shared" si="40"/>
        <v>#N/A</v>
      </c>
      <c r="K99" s="66" t="str">
        <f t="shared" si="45"/>
        <v/>
      </c>
      <c r="L99" s="17"/>
      <c r="M99" s="23" t="e">
        <f t="shared" si="41"/>
        <v>#N/A</v>
      </c>
      <c r="N99" s="23" t="e">
        <f t="shared" si="29"/>
        <v>#N/A</v>
      </c>
      <c r="O99" s="23" t="e">
        <f t="shared" si="30"/>
        <v>#N/A</v>
      </c>
      <c r="P99" s="17"/>
      <c r="Q99" s="19" t="e">
        <f>IF(C99="","",'Tabla_Puntual&amp;Relacionamiento'!$E$8)</f>
        <v>#N/A</v>
      </c>
      <c r="R99" s="19"/>
      <c r="S99" s="11" t="e">
        <f t="shared" si="42"/>
        <v>#N/A</v>
      </c>
      <c r="T99" s="23" t="e">
        <f t="shared" si="31"/>
        <v>#N/A</v>
      </c>
      <c r="U99" s="37" t="e">
        <f t="shared" si="32"/>
        <v>#N/A</v>
      </c>
      <c r="V99" s="37" t="e">
        <f t="shared" si="44"/>
        <v>#N/A</v>
      </c>
      <c r="X99" s="31" t="e">
        <f t="shared" si="33"/>
        <v>#N/A</v>
      </c>
      <c r="Y99" s="34">
        <f t="shared" si="47"/>
        <v>1.1195541497186394</v>
      </c>
      <c r="Z99" s="31" t="e">
        <f t="shared" si="34"/>
        <v>#N/A</v>
      </c>
      <c r="AA99" s="66">
        <f t="shared" si="35"/>
        <v>0</v>
      </c>
      <c r="AB99" s="6" t="e">
        <f t="shared" si="36"/>
        <v>#N/A</v>
      </c>
      <c r="AC99" s="48">
        <f t="shared" ref="AC99:AC162" si="48">AC98</f>
        <v>0</v>
      </c>
    </row>
    <row r="100" spans="3:29" x14ac:dyDescent="0.25">
      <c r="C100" s="27" t="e">
        <f t="shared" si="37"/>
        <v>#N/A</v>
      </c>
      <c r="D100" s="30" t="e">
        <f t="shared" si="38"/>
        <v>#N/A</v>
      </c>
      <c r="E100" s="20" t="e">
        <f t="shared" si="43"/>
        <v>#N/A</v>
      </c>
      <c r="F100" s="20" t="e">
        <f t="shared" si="27"/>
        <v>#N/A</v>
      </c>
      <c r="G100" s="21" t="e">
        <f t="shared" si="28"/>
        <v>#N/A</v>
      </c>
      <c r="H100" s="24" t="e">
        <f t="shared" si="39"/>
        <v>#N/A</v>
      </c>
      <c r="I100" s="21" t="e">
        <f t="shared" si="46"/>
        <v>#N/A</v>
      </c>
      <c r="J100" s="63" t="e">
        <f t="shared" si="40"/>
        <v>#N/A</v>
      </c>
      <c r="K100" s="66" t="str">
        <f t="shared" si="45"/>
        <v/>
      </c>
      <c r="L100" s="17"/>
      <c r="M100" s="23" t="e">
        <f t="shared" si="41"/>
        <v>#N/A</v>
      </c>
      <c r="N100" s="23" t="e">
        <f t="shared" si="29"/>
        <v>#N/A</v>
      </c>
      <c r="O100" s="23" t="e">
        <f t="shared" si="30"/>
        <v>#N/A</v>
      </c>
      <c r="P100" s="17"/>
      <c r="Q100" s="19" t="e">
        <f>IF(C100="","",'Tabla_Puntual&amp;Relacionamiento'!$E$8)</f>
        <v>#N/A</v>
      </c>
      <c r="R100" s="19"/>
      <c r="S100" s="11" t="e">
        <f t="shared" si="42"/>
        <v>#N/A</v>
      </c>
      <c r="T100" s="23" t="e">
        <f t="shared" si="31"/>
        <v>#N/A</v>
      </c>
      <c r="U100" s="37" t="e">
        <f t="shared" si="32"/>
        <v>#N/A</v>
      </c>
      <c r="V100" s="37" t="e">
        <f t="shared" si="44"/>
        <v>#N/A</v>
      </c>
      <c r="X100" s="31" t="e">
        <f t="shared" si="33"/>
        <v>#N/A</v>
      </c>
      <c r="Y100" s="34">
        <f t="shared" si="47"/>
        <v>1.1195541497186394</v>
      </c>
      <c r="Z100" s="31" t="e">
        <f t="shared" si="34"/>
        <v>#N/A</v>
      </c>
      <c r="AA100" s="66">
        <f t="shared" si="35"/>
        <v>0</v>
      </c>
      <c r="AB100" s="6" t="e">
        <f t="shared" si="36"/>
        <v>#N/A</v>
      </c>
      <c r="AC100" s="48">
        <f t="shared" si="48"/>
        <v>0</v>
      </c>
    </row>
    <row r="101" spans="3:29" x14ac:dyDescent="0.25">
      <c r="C101" s="27" t="e">
        <f t="shared" si="37"/>
        <v>#N/A</v>
      </c>
      <c r="D101" s="30" t="e">
        <f t="shared" si="38"/>
        <v>#N/A</v>
      </c>
      <c r="E101" s="20" t="e">
        <f t="shared" si="43"/>
        <v>#N/A</v>
      </c>
      <c r="F101" s="20" t="e">
        <f t="shared" si="27"/>
        <v>#N/A</v>
      </c>
      <c r="G101" s="21" t="e">
        <f t="shared" si="28"/>
        <v>#N/A</v>
      </c>
      <c r="H101" s="24" t="e">
        <f t="shared" si="39"/>
        <v>#N/A</v>
      </c>
      <c r="I101" s="21" t="e">
        <f t="shared" si="46"/>
        <v>#N/A</v>
      </c>
      <c r="J101" s="63" t="e">
        <f t="shared" si="40"/>
        <v>#N/A</v>
      </c>
      <c r="K101" s="66" t="str">
        <f t="shared" si="45"/>
        <v/>
      </c>
      <c r="L101" s="17"/>
      <c r="M101" s="23" t="e">
        <f t="shared" si="41"/>
        <v>#N/A</v>
      </c>
      <c r="N101" s="23" t="e">
        <f t="shared" si="29"/>
        <v>#N/A</v>
      </c>
      <c r="O101" s="23" t="e">
        <f t="shared" si="30"/>
        <v>#N/A</v>
      </c>
      <c r="P101" s="17"/>
      <c r="Q101" s="19" t="e">
        <f>IF(C101="","",'Tabla_Puntual&amp;Relacionamiento'!$E$8)</f>
        <v>#N/A</v>
      </c>
      <c r="R101" s="19"/>
      <c r="S101" s="11" t="e">
        <f t="shared" si="42"/>
        <v>#N/A</v>
      </c>
      <c r="T101" s="23" t="e">
        <f t="shared" si="31"/>
        <v>#N/A</v>
      </c>
      <c r="U101" s="37" t="e">
        <f t="shared" si="32"/>
        <v>#N/A</v>
      </c>
      <c r="V101" s="37" t="e">
        <f t="shared" si="44"/>
        <v>#N/A</v>
      </c>
      <c r="X101" s="31" t="e">
        <f t="shared" si="33"/>
        <v>#N/A</v>
      </c>
      <c r="Y101" s="34">
        <f t="shared" si="47"/>
        <v>1.1195541497186394</v>
      </c>
      <c r="Z101" s="31" t="e">
        <f t="shared" si="34"/>
        <v>#N/A</v>
      </c>
      <c r="AA101" s="66">
        <f t="shared" si="35"/>
        <v>0</v>
      </c>
      <c r="AB101" s="6" t="e">
        <f t="shared" si="36"/>
        <v>#N/A</v>
      </c>
      <c r="AC101" s="48">
        <f t="shared" si="48"/>
        <v>0</v>
      </c>
    </row>
    <row r="102" spans="3:29" x14ac:dyDescent="0.25">
      <c r="C102" s="27" t="e">
        <f t="shared" si="37"/>
        <v>#N/A</v>
      </c>
      <c r="D102" s="30" t="e">
        <f t="shared" si="38"/>
        <v>#N/A</v>
      </c>
      <c r="E102" s="20" t="e">
        <f t="shared" si="43"/>
        <v>#N/A</v>
      </c>
      <c r="F102" s="20" t="e">
        <f t="shared" si="27"/>
        <v>#N/A</v>
      </c>
      <c r="G102" s="21" t="e">
        <f t="shared" si="28"/>
        <v>#N/A</v>
      </c>
      <c r="H102" s="24" t="e">
        <f t="shared" si="39"/>
        <v>#N/A</v>
      </c>
      <c r="I102" s="21" t="e">
        <f t="shared" si="46"/>
        <v>#N/A</v>
      </c>
      <c r="J102" s="63" t="e">
        <f t="shared" si="40"/>
        <v>#N/A</v>
      </c>
      <c r="K102" s="66" t="str">
        <f t="shared" si="45"/>
        <v/>
      </c>
      <c r="L102" s="17"/>
      <c r="M102" s="23" t="e">
        <f t="shared" si="41"/>
        <v>#N/A</v>
      </c>
      <c r="N102" s="23" t="e">
        <f t="shared" si="29"/>
        <v>#N/A</v>
      </c>
      <c r="O102" s="23" t="e">
        <f t="shared" si="30"/>
        <v>#N/A</v>
      </c>
      <c r="P102" s="17"/>
      <c r="Q102" s="19" t="e">
        <f>IF(C102="","",'Tabla_Puntual&amp;Relacionamiento'!$E$8)</f>
        <v>#N/A</v>
      </c>
      <c r="R102" s="19"/>
      <c r="S102" s="11" t="e">
        <f t="shared" si="42"/>
        <v>#N/A</v>
      </c>
      <c r="T102" s="23" t="e">
        <f t="shared" si="31"/>
        <v>#N/A</v>
      </c>
      <c r="U102" s="37" t="e">
        <f t="shared" si="32"/>
        <v>#N/A</v>
      </c>
      <c r="V102" s="37" t="e">
        <f t="shared" si="44"/>
        <v>#N/A</v>
      </c>
      <c r="X102" s="31" t="e">
        <f t="shared" si="33"/>
        <v>#N/A</v>
      </c>
      <c r="Y102" s="34">
        <f t="shared" si="47"/>
        <v>1.1195541497186394</v>
      </c>
      <c r="Z102" s="31" t="e">
        <f t="shared" si="34"/>
        <v>#N/A</v>
      </c>
      <c r="AA102" s="66">
        <f t="shared" si="35"/>
        <v>0</v>
      </c>
      <c r="AB102" s="6" t="e">
        <f t="shared" si="36"/>
        <v>#N/A</v>
      </c>
      <c r="AC102" s="48">
        <f t="shared" si="48"/>
        <v>0</v>
      </c>
    </row>
    <row r="103" spans="3:29" x14ac:dyDescent="0.25">
      <c r="C103" s="27" t="e">
        <f t="shared" si="37"/>
        <v>#N/A</v>
      </c>
      <c r="D103" s="30" t="e">
        <f t="shared" si="38"/>
        <v>#N/A</v>
      </c>
      <c r="E103" s="20" t="e">
        <f t="shared" si="43"/>
        <v>#N/A</v>
      </c>
      <c r="F103" s="20" t="e">
        <f t="shared" si="27"/>
        <v>#N/A</v>
      </c>
      <c r="G103" s="21" t="e">
        <f t="shared" si="28"/>
        <v>#N/A</v>
      </c>
      <c r="H103" s="24" t="e">
        <f t="shared" si="39"/>
        <v>#N/A</v>
      </c>
      <c r="I103" s="21" t="e">
        <f t="shared" si="46"/>
        <v>#N/A</v>
      </c>
      <c r="J103" s="63" t="e">
        <f t="shared" si="40"/>
        <v>#N/A</v>
      </c>
      <c r="K103" s="66" t="str">
        <f t="shared" si="45"/>
        <v/>
      </c>
      <c r="L103" s="17"/>
      <c r="M103" s="23" t="e">
        <f t="shared" si="41"/>
        <v>#N/A</v>
      </c>
      <c r="N103" s="23" t="e">
        <f t="shared" si="29"/>
        <v>#N/A</v>
      </c>
      <c r="O103" s="23" t="e">
        <f t="shared" si="30"/>
        <v>#N/A</v>
      </c>
      <c r="P103" s="17"/>
      <c r="Q103" s="19" t="e">
        <f>IF(C103="","",'Tabla_Puntual&amp;Relacionamiento'!$E$8)</f>
        <v>#N/A</v>
      </c>
      <c r="R103" s="19"/>
      <c r="S103" s="11" t="e">
        <f t="shared" si="42"/>
        <v>#N/A</v>
      </c>
      <c r="T103" s="23" t="e">
        <f t="shared" si="31"/>
        <v>#N/A</v>
      </c>
      <c r="U103" s="37" t="e">
        <f t="shared" si="32"/>
        <v>#N/A</v>
      </c>
      <c r="V103" s="37" t="e">
        <f t="shared" si="44"/>
        <v>#N/A</v>
      </c>
      <c r="X103" s="31" t="e">
        <f t="shared" si="33"/>
        <v>#N/A</v>
      </c>
      <c r="Y103" s="34">
        <f t="shared" si="47"/>
        <v>1.1195541497186394</v>
      </c>
      <c r="Z103" s="31" t="e">
        <f t="shared" si="34"/>
        <v>#N/A</v>
      </c>
      <c r="AA103" s="66">
        <f t="shared" si="35"/>
        <v>0</v>
      </c>
      <c r="AB103" s="6" t="e">
        <f t="shared" si="36"/>
        <v>#N/A</v>
      </c>
      <c r="AC103" s="48">
        <f t="shared" si="48"/>
        <v>0</v>
      </c>
    </row>
    <row r="104" spans="3:29" x14ac:dyDescent="0.25">
      <c r="C104" s="27" t="e">
        <f t="shared" si="37"/>
        <v>#N/A</v>
      </c>
      <c r="D104" s="30" t="e">
        <f t="shared" si="38"/>
        <v>#N/A</v>
      </c>
      <c r="E104" s="20" t="e">
        <f t="shared" si="43"/>
        <v>#N/A</v>
      </c>
      <c r="F104" s="20" t="e">
        <f t="shared" si="27"/>
        <v>#N/A</v>
      </c>
      <c r="G104" s="21" t="e">
        <f t="shared" si="28"/>
        <v>#N/A</v>
      </c>
      <c r="H104" s="24" t="e">
        <f t="shared" si="39"/>
        <v>#N/A</v>
      </c>
      <c r="I104" s="21" t="e">
        <f t="shared" si="46"/>
        <v>#N/A</v>
      </c>
      <c r="J104" s="63" t="e">
        <f t="shared" si="40"/>
        <v>#N/A</v>
      </c>
      <c r="K104" s="66" t="str">
        <f t="shared" si="45"/>
        <v/>
      </c>
      <c r="L104" s="17"/>
      <c r="M104" s="23" t="e">
        <f t="shared" si="41"/>
        <v>#N/A</v>
      </c>
      <c r="N104" s="23" t="e">
        <f t="shared" si="29"/>
        <v>#N/A</v>
      </c>
      <c r="O104" s="23" t="e">
        <f t="shared" si="30"/>
        <v>#N/A</v>
      </c>
      <c r="P104" s="17"/>
      <c r="Q104" s="19" t="e">
        <f>IF(C104="","",'Tabla_Puntual&amp;Relacionamiento'!$E$8)</f>
        <v>#N/A</v>
      </c>
      <c r="R104" s="19"/>
      <c r="S104" s="11" t="e">
        <f t="shared" si="42"/>
        <v>#N/A</v>
      </c>
      <c r="T104" s="23" t="e">
        <f t="shared" si="31"/>
        <v>#N/A</v>
      </c>
      <c r="U104" s="37" t="e">
        <f t="shared" si="32"/>
        <v>#N/A</v>
      </c>
      <c r="V104" s="37" t="e">
        <f t="shared" si="44"/>
        <v>#N/A</v>
      </c>
      <c r="X104" s="31" t="e">
        <f t="shared" si="33"/>
        <v>#N/A</v>
      </c>
      <c r="Y104" s="34">
        <f t="shared" si="47"/>
        <v>1.1195541497186394</v>
      </c>
      <c r="Z104" s="31" t="e">
        <f t="shared" si="34"/>
        <v>#N/A</v>
      </c>
      <c r="AA104" s="66">
        <f t="shared" si="35"/>
        <v>0</v>
      </c>
      <c r="AB104" s="6" t="e">
        <f t="shared" si="36"/>
        <v>#N/A</v>
      </c>
      <c r="AC104" s="48">
        <f t="shared" si="48"/>
        <v>0</v>
      </c>
    </row>
    <row r="105" spans="3:29" x14ac:dyDescent="0.25">
      <c r="C105" s="27" t="e">
        <f t="shared" si="37"/>
        <v>#N/A</v>
      </c>
      <c r="D105" s="30" t="e">
        <f t="shared" si="38"/>
        <v>#N/A</v>
      </c>
      <c r="E105" s="20" t="e">
        <f t="shared" si="43"/>
        <v>#N/A</v>
      </c>
      <c r="F105" s="20" t="e">
        <f t="shared" si="27"/>
        <v>#N/A</v>
      </c>
      <c r="G105" s="21" t="e">
        <f t="shared" si="28"/>
        <v>#N/A</v>
      </c>
      <c r="H105" s="24" t="e">
        <f t="shared" si="39"/>
        <v>#N/A</v>
      </c>
      <c r="I105" s="21" t="e">
        <f t="shared" si="46"/>
        <v>#N/A</v>
      </c>
      <c r="J105" s="63" t="e">
        <f t="shared" si="40"/>
        <v>#N/A</v>
      </c>
      <c r="K105" s="66" t="str">
        <f t="shared" si="45"/>
        <v/>
      </c>
      <c r="L105" s="17"/>
      <c r="M105" s="23" t="e">
        <f t="shared" si="41"/>
        <v>#N/A</v>
      </c>
      <c r="N105" s="23" t="e">
        <f t="shared" si="29"/>
        <v>#N/A</v>
      </c>
      <c r="O105" s="23" t="e">
        <f t="shared" si="30"/>
        <v>#N/A</v>
      </c>
      <c r="P105" s="17"/>
      <c r="Q105" s="19" t="e">
        <f>IF(C105="","",'Tabla_Puntual&amp;Relacionamiento'!$E$9)</f>
        <v>#N/A</v>
      </c>
      <c r="R105" s="19" t="e">
        <f>IF(C105="","",IF($E$14="Pago_Bajo_Puntual",$M$17,""))</f>
        <v>#N/A</v>
      </c>
      <c r="S105" s="11" t="e">
        <f t="shared" si="42"/>
        <v>#N/A</v>
      </c>
      <c r="T105" s="23" t="e">
        <f t="shared" si="31"/>
        <v>#N/A</v>
      </c>
      <c r="U105" s="37" t="e">
        <f t="shared" si="32"/>
        <v>#N/A</v>
      </c>
      <c r="V105" s="37" t="e">
        <f t="shared" si="44"/>
        <v>#N/A</v>
      </c>
      <c r="X105" s="31" t="e">
        <f t="shared" si="33"/>
        <v>#N/A</v>
      </c>
      <c r="Y105" s="34">
        <f>Y104*1.019</f>
        <v>1.1408256785632935</v>
      </c>
      <c r="Z105" s="31" t="e">
        <f t="shared" si="34"/>
        <v>#N/A</v>
      </c>
      <c r="AA105" s="66">
        <f t="shared" si="35"/>
        <v>0</v>
      </c>
      <c r="AB105" s="6" t="e">
        <f t="shared" si="36"/>
        <v>#N/A</v>
      </c>
      <c r="AC105" s="48">
        <f>AC104+$M$17</f>
        <v>0</v>
      </c>
    </row>
    <row r="106" spans="3:29" x14ac:dyDescent="0.25">
      <c r="C106" s="27" t="e">
        <f t="shared" si="37"/>
        <v>#N/A</v>
      </c>
      <c r="D106" s="30" t="e">
        <f t="shared" si="38"/>
        <v>#N/A</v>
      </c>
      <c r="E106" s="20" t="e">
        <f t="shared" si="43"/>
        <v>#N/A</v>
      </c>
      <c r="F106" s="20" t="e">
        <f t="shared" si="27"/>
        <v>#N/A</v>
      </c>
      <c r="G106" s="21" t="e">
        <f t="shared" si="28"/>
        <v>#N/A</v>
      </c>
      <c r="H106" s="24" t="e">
        <f t="shared" si="39"/>
        <v>#N/A</v>
      </c>
      <c r="I106" s="21" t="e">
        <f t="shared" si="46"/>
        <v>#N/A</v>
      </c>
      <c r="J106" s="63" t="e">
        <f t="shared" si="40"/>
        <v>#N/A</v>
      </c>
      <c r="K106" s="66" t="str">
        <f t="shared" si="45"/>
        <v/>
      </c>
      <c r="L106" s="17"/>
      <c r="M106" s="23" t="e">
        <f t="shared" si="41"/>
        <v>#N/A</v>
      </c>
      <c r="N106" s="23" t="e">
        <f t="shared" si="29"/>
        <v>#N/A</v>
      </c>
      <c r="O106" s="23" t="e">
        <f t="shared" si="30"/>
        <v>#N/A</v>
      </c>
      <c r="P106" s="17"/>
      <c r="Q106" s="19" t="e">
        <f>IF(C106="","",'Tabla_Puntual&amp;Relacionamiento'!$E$9)</f>
        <v>#N/A</v>
      </c>
      <c r="R106" s="19"/>
      <c r="S106" s="11" t="e">
        <f t="shared" si="42"/>
        <v>#N/A</v>
      </c>
      <c r="T106" s="23" t="e">
        <f t="shared" si="31"/>
        <v>#N/A</v>
      </c>
      <c r="U106" s="37" t="e">
        <f t="shared" si="32"/>
        <v>#N/A</v>
      </c>
      <c r="V106" s="37" t="e">
        <f t="shared" si="44"/>
        <v>#N/A</v>
      </c>
      <c r="X106" s="31" t="e">
        <f t="shared" si="33"/>
        <v>#N/A</v>
      </c>
      <c r="Y106" s="34">
        <f t="shared" ref="Y106:Y116" si="49">Y105</f>
        <v>1.1408256785632935</v>
      </c>
      <c r="Z106" s="31" t="e">
        <f t="shared" si="34"/>
        <v>#N/A</v>
      </c>
      <c r="AA106" s="66">
        <f t="shared" si="35"/>
        <v>0</v>
      </c>
      <c r="AB106" s="6" t="e">
        <f t="shared" si="36"/>
        <v>#N/A</v>
      </c>
      <c r="AC106" s="48">
        <f t="shared" si="48"/>
        <v>0</v>
      </c>
    </row>
    <row r="107" spans="3:29" x14ac:dyDescent="0.25">
      <c r="C107" s="27" t="e">
        <f t="shared" si="37"/>
        <v>#N/A</v>
      </c>
      <c r="D107" s="30" t="e">
        <f t="shared" si="38"/>
        <v>#N/A</v>
      </c>
      <c r="E107" s="20" t="e">
        <f t="shared" si="43"/>
        <v>#N/A</v>
      </c>
      <c r="F107" s="20" t="e">
        <f t="shared" si="27"/>
        <v>#N/A</v>
      </c>
      <c r="G107" s="21" t="e">
        <f t="shared" si="28"/>
        <v>#N/A</v>
      </c>
      <c r="H107" s="24" t="e">
        <f t="shared" si="39"/>
        <v>#N/A</v>
      </c>
      <c r="I107" s="21" t="e">
        <f t="shared" si="46"/>
        <v>#N/A</v>
      </c>
      <c r="J107" s="63" t="e">
        <f t="shared" si="40"/>
        <v>#N/A</v>
      </c>
      <c r="K107" s="66" t="str">
        <f t="shared" si="45"/>
        <v/>
      </c>
      <c r="L107" s="17"/>
      <c r="M107" s="23" t="e">
        <f t="shared" si="41"/>
        <v>#N/A</v>
      </c>
      <c r="N107" s="23" t="e">
        <f t="shared" si="29"/>
        <v>#N/A</v>
      </c>
      <c r="O107" s="23" t="e">
        <f t="shared" si="30"/>
        <v>#N/A</v>
      </c>
      <c r="P107" s="17"/>
      <c r="Q107" s="19" t="e">
        <f>IF(C107="","",'Tabla_Puntual&amp;Relacionamiento'!$E$9)</f>
        <v>#N/A</v>
      </c>
      <c r="R107" s="19"/>
      <c r="S107" s="11" t="e">
        <f t="shared" si="42"/>
        <v>#N/A</v>
      </c>
      <c r="T107" s="23" t="e">
        <f t="shared" si="31"/>
        <v>#N/A</v>
      </c>
      <c r="U107" s="37" t="e">
        <f t="shared" si="32"/>
        <v>#N/A</v>
      </c>
      <c r="V107" s="37" t="e">
        <f t="shared" si="44"/>
        <v>#N/A</v>
      </c>
      <c r="X107" s="31" t="e">
        <f t="shared" si="33"/>
        <v>#N/A</v>
      </c>
      <c r="Y107" s="34">
        <f t="shared" si="49"/>
        <v>1.1408256785632935</v>
      </c>
      <c r="Z107" s="31" t="e">
        <f t="shared" si="34"/>
        <v>#N/A</v>
      </c>
      <c r="AA107" s="66">
        <f t="shared" si="35"/>
        <v>0</v>
      </c>
      <c r="AB107" s="6" t="e">
        <f t="shared" si="36"/>
        <v>#N/A</v>
      </c>
      <c r="AC107" s="48">
        <f t="shared" si="48"/>
        <v>0</v>
      </c>
    </row>
    <row r="108" spans="3:29" x14ac:dyDescent="0.25">
      <c r="C108" s="27" t="e">
        <f t="shared" si="37"/>
        <v>#N/A</v>
      </c>
      <c r="D108" s="30" t="e">
        <f t="shared" si="38"/>
        <v>#N/A</v>
      </c>
      <c r="E108" s="20" t="e">
        <f t="shared" si="43"/>
        <v>#N/A</v>
      </c>
      <c r="F108" s="20" t="e">
        <f t="shared" si="27"/>
        <v>#N/A</v>
      </c>
      <c r="G108" s="21" t="e">
        <f t="shared" si="28"/>
        <v>#N/A</v>
      </c>
      <c r="H108" s="24" t="e">
        <f t="shared" si="39"/>
        <v>#N/A</v>
      </c>
      <c r="I108" s="21" t="e">
        <f t="shared" si="46"/>
        <v>#N/A</v>
      </c>
      <c r="J108" s="63" t="e">
        <f t="shared" si="40"/>
        <v>#N/A</v>
      </c>
      <c r="K108" s="66" t="str">
        <f t="shared" si="45"/>
        <v/>
      </c>
      <c r="L108" s="17"/>
      <c r="M108" s="23" t="e">
        <f t="shared" si="41"/>
        <v>#N/A</v>
      </c>
      <c r="N108" s="23" t="e">
        <f t="shared" si="29"/>
        <v>#N/A</v>
      </c>
      <c r="O108" s="23" t="e">
        <f t="shared" si="30"/>
        <v>#N/A</v>
      </c>
      <c r="P108" s="17"/>
      <c r="Q108" s="19" t="e">
        <f>IF(C108="","",'Tabla_Puntual&amp;Relacionamiento'!$E$9)</f>
        <v>#N/A</v>
      </c>
      <c r="R108" s="19"/>
      <c r="S108" s="11" t="e">
        <f t="shared" si="42"/>
        <v>#N/A</v>
      </c>
      <c r="T108" s="23" t="e">
        <f t="shared" si="31"/>
        <v>#N/A</v>
      </c>
      <c r="U108" s="37" t="e">
        <f t="shared" si="32"/>
        <v>#N/A</v>
      </c>
      <c r="V108" s="37" t="e">
        <f t="shared" si="44"/>
        <v>#N/A</v>
      </c>
      <c r="X108" s="31" t="e">
        <f t="shared" si="33"/>
        <v>#N/A</v>
      </c>
      <c r="Y108" s="34">
        <f t="shared" si="49"/>
        <v>1.1408256785632935</v>
      </c>
      <c r="Z108" s="31" t="e">
        <f t="shared" si="34"/>
        <v>#N/A</v>
      </c>
      <c r="AA108" s="66">
        <f t="shared" si="35"/>
        <v>0</v>
      </c>
      <c r="AB108" s="6" t="e">
        <f t="shared" si="36"/>
        <v>#N/A</v>
      </c>
      <c r="AC108" s="48">
        <f t="shared" si="48"/>
        <v>0</v>
      </c>
    </row>
    <row r="109" spans="3:29" x14ac:dyDescent="0.25">
      <c r="C109" s="27" t="e">
        <f t="shared" si="37"/>
        <v>#N/A</v>
      </c>
      <c r="D109" s="30" t="e">
        <f t="shared" si="38"/>
        <v>#N/A</v>
      </c>
      <c r="E109" s="20" t="e">
        <f t="shared" si="43"/>
        <v>#N/A</v>
      </c>
      <c r="F109" s="20" t="e">
        <f t="shared" si="27"/>
        <v>#N/A</v>
      </c>
      <c r="G109" s="21" t="e">
        <f t="shared" si="28"/>
        <v>#N/A</v>
      </c>
      <c r="H109" s="24" t="e">
        <f t="shared" si="39"/>
        <v>#N/A</v>
      </c>
      <c r="I109" s="21" t="e">
        <f t="shared" si="46"/>
        <v>#N/A</v>
      </c>
      <c r="J109" s="63" t="e">
        <f t="shared" si="40"/>
        <v>#N/A</v>
      </c>
      <c r="K109" s="66" t="str">
        <f t="shared" si="45"/>
        <v/>
      </c>
      <c r="L109" s="17"/>
      <c r="M109" s="23" t="e">
        <f t="shared" si="41"/>
        <v>#N/A</v>
      </c>
      <c r="N109" s="23" t="e">
        <f t="shared" si="29"/>
        <v>#N/A</v>
      </c>
      <c r="O109" s="23" t="e">
        <f t="shared" si="30"/>
        <v>#N/A</v>
      </c>
      <c r="P109" s="17"/>
      <c r="Q109" s="19" t="e">
        <f>IF(C109="","",'Tabla_Puntual&amp;Relacionamiento'!$E$9)</f>
        <v>#N/A</v>
      </c>
      <c r="R109" s="19"/>
      <c r="S109" s="11" t="e">
        <f t="shared" si="42"/>
        <v>#N/A</v>
      </c>
      <c r="T109" s="23" t="e">
        <f t="shared" si="31"/>
        <v>#N/A</v>
      </c>
      <c r="U109" s="37" t="e">
        <f t="shared" si="32"/>
        <v>#N/A</v>
      </c>
      <c r="V109" s="37" t="e">
        <f t="shared" si="44"/>
        <v>#N/A</v>
      </c>
      <c r="X109" s="31" t="e">
        <f t="shared" si="33"/>
        <v>#N/A</v>
      </c>
      <c r="Y109" s="34">
        <f t="shared" si="49"/>
        <v>1.1408256785632935</v>
      </c>
      <c r="Z109" s="31" t="e">
        <f t="shared" si="34"/>
        <v>#N/A</v>
      </c>
      <c r="AA109" s="66">
        <f t="shared" si="35"/>
        <v>0</v>
      </c>
      <c r="AB109" s="6" t="e">
        <f t="shared" si="36"/>
        <v>#N/A</v>
      </c>
      <c r="AC109" s="48">
        <f t="shared" si="48"/>
        <v>0</v>
      </c>
    </row>
    <row r="110" spans="3:29" x14ac:dyDescent="0.25">
      <c r="C110" s="27" t="e">
        <f t="shared" si="37"/>
        <v>#N/A</v>
      </c>
      <c r="D110" s="30" t="e">
        <f t="shared" si="38"/>
        <v>#N/A</v>
      </c>
      <c r="E110" s="20" t="e">
        <f t="shared" si="43"/>
        <v>#N/A</v>
      </c>
      <c r="F110" s="20" t="e">
        <f t="shared" si="27"/>
        <v>#N/A</v>
      </c>
      <c r="G110" s="21" t="e">
        <f t="shared" si="28"/>
        <v>#N/A</v>
      </c>
      <c r="H110" s="24" t="e">
        <f t="shared" si="39"/>
        <v>#N/A</v>
      </c>
      <c r="I110" s="21" t="e">
        <f t="shared" si="46"/>
        <v>#N/A</v>
      </c>
      <c r="J110" s="63" t="e">
        <f t="shared" si="40"/>
        <v>#N/A</v>
      </c>
      <c r="K110" s="66" t="str">
        <f t="shared" si="45"/>
        <v/>
      </c>
      <c r="L110" s="17"/>
      <c r="M110" s="23" t="e">
        <f t="shared" si="41"/>
        <v>#N/A</v>
      </c>
      <c r="N110" s="23" t="e">
        <f t="shared" si="29"/>
        <v>#N/A</v>
      </c>
      <c r="O110" s="23" t="e">
        <f t="shared" si="30"/>
        <v>#N/A</v>
      </c>
      <c r="P110" s="17"/>
      <c r="Q110" s="19" t="e">
        <f>IF(C110="","",'Tabla_Puntual&amp;Relacionamiento'!$E$9)</f>
        <v>#N/A</v>
      </c>
      <c r="R110" s="19"/>
      <c r="S110" s="11" t="e">
        <f t="shared" si="42"/>
        <v>#N/A</v>
      </c>
      <c r="T110" s="23" t="e">
        <f t="shared" si="31"/>
        <v>#N/A</v>
      </c>
      <c r="U110" s="37" t="e">
        <f t="shared" si="32"/>
        <v>#N/A</v>
      </c>
      <c r="V110" s="37" t="e">
        <f t="shared" si="44"/>
        <v>#N/A</v>
      </c>
      <c r="X110" s="31" t="e">
        <f t="shared" si="33"/>
        <v>#N/A</v>
      </c>
      <c r="Y110" s="34">
        <f t="shared" si="49"/>
        <v>1.1408256785632935</v>
      </c>
      <c r="Z110" s="31" t="e">
        <f t="shared" si="34"/>
        <v>#N/A</v>
      </c>
      <c r="AA110" s="66">
        <f t="shared" si="35"/>
        <v>0</v>
      </c>
      <c r="AB110" s="6" t="e">
        <f t="shared" si="36"/>
        <v>#N/A</v>
      </c>
      <c r="AC110" s="48">
        <f t="shared" si="48"/>
        <v>0</v>
      </c>
    </row>
    <row r="111" spans="3:29" x14ac:dyDescent="0.25">
      <c r="C111" s="27" t="e">
        <f t="shared" si="37"/>
        <v>#N/A</v>
      </c>
      <c r="D111" s="30" t="e">
        <f t="shared" si="38"/>
        <v>#N/A</v>
      </c>
      <c r="E111" s="20" t="e">
        <f t="shared" si="43"/>
        <v>#N/A</v>
      </c>
      <c r="F111" s="20" t="e">
        <f t="shared" si="27"/>
        <v>#N/A</v>
      </c>
      <c r="G111" s="21" t="e">
        <f t="shared" si="28"/>
        <v>#N/A</v>
      </c>
      <c r="H111" s="24" t="e">
        <f t="shared" si="39"/>
        <v>#N/A</v>
      </c>
      <c r="I111" s="21" t="e">
        <f t="shared" si="46"/>
        <v>#N/A</v>
      </c>
      <c r="J111" s="63" t="e">
        <f t="shared" si="40"/>
        <v>#N/A</v>
      </c>
      <c r="K111" s="66" t="str">
        <f t="shared" si="45"/>
        <v/>
      </c>
      <c r="L111" s="17"/>
      <c r="M111" s="23" t="e">
        <f t="shared" si="41"/>
        <v>#N/A</v>
      </c>
      <c r="N111" s="23" t="e">
        <f t="shared" si="29"/>
        <v>#N/A</v>
      </c>
      <c r="O111" s="23" t="e">
        <f t="shared" si="30"/>
        <v>#N/A</v>
      </c>
      <c r="P111" s="17"/>
      <c r="Q111" s="19" t="e">
        <f>IF(C111="","",'Tabla_Puntual&amp;Relacionamiento'!$E$9)</f>
        <v>#N/A</v>
      </c>
      <c r="R111" s="19"/>
      <c r="S111" s="11" t="e">
        <f t="shared" si="42"/>
        <v>#N/A</v>
      </c>
      <c r="T111" s="23" t="e">
        <f t="shared" si="31"/>
        <v>#N/A</v>
      </c>
      <c r="U111" s="37" t="e">
        <f t="shared" si="32"/>
        <v>#N/A</v>
      </c>
      <c r="V111" s="37" t="e">
        <f t="shared" si="44"/>
        <v>#N/A</v>
      </c>
      <c r="X111" s="31" t="e">
        <f t="shared" si="33"/>
        <v>#N/A</v>
      </c>
      <c r="Y111" s="34">
        <f t="shared" si="49"/>
        <v>1.1408256785632935</v>
      </c>
      <c r="Z111" s="31" t="e">
        <f t="shared" si="34"/>
        <v>#N/A</v>
      </c>
      <c r="AA111" s="66">
        <f t="shared" si="35"/>
        <v>0</v>
      </c>
      <c r="AB111" s="6" t="e">
        <f t="shared" si="36"/>
        <v>#N/A</v>
      </c>
      <c r="AC111" s="48">
        <f t="shared" si="48"/>
        <v>0</v>
      </c>
    </row>
    <row r="112" spans="3:29" x14ac:dyDescent="0.25">
      <c r="C112" s="27" t="e">
        <f t="shared" si="37"/>
        <v>#N/A</v>
      </c>
      <c r="D112" s="30" t="e">
        <f t="shared" si="38"/>
        <v>#N/A</v>
      </c>
      <c r="E112" s="20" t="e">
        <f t="shared" si="43"/>
        <v>#N/A</v>
      </c>
      <c r="F112" s="20" t="e">
        <f t="shared" si="27"/>
        <v>#N/A</v>
      </c>
      <c r="G112" s="21" t="e">
        <f t="shared" si="28"/>
        <v>#N/A</v>
      </c>
      <c r="H112" s="24" t="e">
        <f t="shared" si="39"/>
        <v>#N/A</v>
      </c>
      <c r="I112" s="21" t="e">
        <f t="shared" si="46"/>
        <v>#N/A</v>
      </c>
      <c r="J112" s="63" t="e">
        <f t="shared" si="40"/>
        <v>#N/A</v>
      </c>
      <c r="K112" s="66" t="str">
        <f t="shared" si="45"/>
        <v/>
      </c>
      <c r="L112" s="17"/>
      <c r="M112" s="23" t="e">
        <f t="shared" si="41"/>
        <v>#N/A</v>
      </c>
      <c r="N112" s="23" t="e">
        <f t="shared" si="29"/>
        <v>#N/A</v>
      </c>
      <c r="O112" s="23" t="e">
        <f t="shared" si="30"/>
        <v>#N/A</v>
      </c>
      <c r="P112" s="17"/>
      <c r="Q112" s="19" t="e">
        <f>IF(C112="","",'Tabla_Puntual&amp;Relacionamiento'!$E$9)</f>
        <v>#N/A</v>
      </c>
      <c r="R112" s="19"/>
      <c r="S112" s="11" t="e">
        <f t="shared" si="42"/>
        <v>#N/A</v>
      </c>
      <c r="T112" s="23" t="e">
        <f t="shared" si="31"/>
        <v>#N/A</v>
      </c>
      <c r="U112" s="37" t="e">
        <f t="shared" si="32"/>
        <v>#N/A</v>
      </c>
      <c r="V112" s="37" t="e">
        <f t="shared" si="44"/>
        <v>#N/A</v>
      </c>
      <c r="X112" s="31" t="e">
        <f t="shared" si="33"/>
        <v>#N/A</v>
      </c>
      <c r="Y112" s="34">
        <f t="shared" si="49"/>
        <v>1.1408256785632935</v>
      </c>
      <c r="Z112" s="31" t="e">
        <f t="shared" si="34"/>
        <v>#N/A</v>
      </c>
      <c r="AA112" s="66">
        <f t="shared" si="35"/>
        <v>0</v>
      </c>
      <c r="AB112" s="6" t="e">
        <f t="shared" si="36"/>
        <v>#N/A</v>
      </c>
      <c r="AC112" s="48">
        <f t="shared" si="48"/>
        <v>0</v>
      </c>
    </row>
    <row r="113" spans="3:29" x14ac:dyDescent="0.25">
      <c r="C113" s="27" t="e">
        <f t="shared" si="37"/>
        <v>#N/A</v>
      </c>
      <c r="D113" s="30" t="e">
        <f t="shared" si="38"/>
        <v>#N/A</v>
      </c>
      <c r="E113" s="20" t="e">
        <f t="shared" si="43"/>
        <v>#N/A</v>
      </c>
      <c r="F113" s="20" t="e">
        <f t="shared" si="27"/>
        <v>#N/A</v>
      </c>
      <c r="G113" s="21" t="e">
        <f t="shared" si="28"/>
        <v>#N/A</v>
      </c>
      <c r="H113" s="24" t="e">
        <f t="shared" si="39"/>
        <v>#N/A</v>
      </c>
      <c r="I113" s="21" t="e">
        <f t="shared" si="46"/>
        <v>#N/A</v>
      </c>
      <c r="J113" s="63" t="e">
        <f t="shared" si="40"/>
        <v>#N/A</v>
      </c>
      <c r="K113" s="66" t="str">
        <f t="shared" si="45"/>
        <v/>
      </c>
      <c r="L113" s="17"/>
      <c r="M113" s="23" t="e">
        <f t="shared" si="41"/>
        <v>#N/A</v>
      </c>
      <c r="N113" s="23" t="e">
        <f t="shared" si="29"/>
        <v>#N/A</v>
      </c>
      <c r="O113" s="23" t="e">
        <f t="shared" si="30"/>
        <v>#N/A</v>
      </c>
      <c r="P113" s="17"/>
      <c r="Q113" s="19" t="e">
        <f>IF(C113="","",'Tabla_Puntual&amp;Relacionamiento'!$E$9)</f>
        <v>#N/A</v>
      </c>
      <c r="R113" s="19"/>
      <c r="S113" s="11" t="e">
        <f t="shared" si="42"/>
        <v>#N/A</v>
      </c>
      <c r="T113" s="23" t="e">
        <f t="shared" si="31"/>
        <v>#N/A</v>
      </c>
      <c r="U113" s="37" t="e">
        <f t="shared" si="32"/>
        <v>#N/A</v>
      </c>
      <c r="V113" s="37" t="e">
        <f t="shared" si="44"/>
        <v>#N/A</v>
      </c>
      <c r="X113" s="31" t="e">
        <f t="shared" si="33"/>
        <v>#N/A</v>
      </c>
      <c r="Y113" s="34">
        <f t="shared" si="49"/>
        <v>1.1408256785632935</v>
      </c>
      <c r="Z113" s="31" t="e">
        <f t="shared" si="34"/>
        <v>#N/A</v>
      </c>
      <c r="AA113" s="66">
        <f t="shared" si="35"/>
        <v>0</v>
      </c>
      <c r="AB113" s="6" t="e">
        <f t="shared" si="36"/>
        <v>#N/A</v>
      </c>
      <c r="AC113" s="48">
        <f t="shared" si="48"/>
        <v>0</v>
      </c>
    </row>
    <row r="114" spans="3:29" x14ac:dyDescent="0.25">
      <c r="C114" s="27" t="e">
        <f t="shared" si="37"/>
        <v>#N/A</v>
      </c>
      <c r="D114" s="30" t="e">
        <f t="shared" si="38"/>
        <v>#N/A</v>
      </c>
      <c r="E114" s="20" t="e">
        <f t="shared" si="43"/>
        <v>#N/A</v>
      </c>
      <c r="F114" s="20" t="e">
        <f t="shared" si="27"/>
        <v>#N/A</v>
      </c>
      <c r="G114" s="21" t="e">
        <f t="shared" si="28"/>
        <v>#N/A</v>
      </c>
      <c r="H114" s="24" t="e">
        <f t="shared" si="39"/>
        <v>#N/A</v>
      </c>
      <c r="I114" s="21" t="e">
        <f t="shared" si="46"/>
        <v>#N/A</v>
      </c>
      <c r="J114" s="63" t="e">
        <f t="shared" si="40"/>
        <v>#N/A</v>
      </c>
      <c r="K114" s="66" t="str">
        <f t="shared" si="45"/>
        <v/>
      </c>
      <c r="L114" s="17"/>
      <c r="M114" s="23" t="e">
        <f t="shared" si="41"/>
        <v>#N/A</v>
      </c>
      <c r="N114" s="23" t="e">
        <f t="shared" si="29"/>
        <v>#N/A</v>
      </c>
      <c r="O114" s="23" t="e">
        <f t="shared" si="30"/>
        <v>#N/A</v>
      </c>
      <c r="P114" s="17"/>
      <c r="Q114" s="19" t="e">
        <f>IF(C114="","",'Tabla_Puntual&amp;Relacionamiento'!$E$9)</f>
        <v>#N/A</v>
      </c>
      <c r="R114" s="19"/>
      <c r="S114" s="11" t="e">
        <f t="shared" si="42"/>
        <v>#N/A</v>
      </c>
      <c r="T114" s="23" t="e">
        <f t="shared" si="31"/>
        <v>#N/A</v>
      </c>
      <c r="U114" s="37" t="e">
        <f t="shared" si="32"/>
        <v>#N/A</v>
      </c>
      <c r="V114" s="37" t="e">
        <f t="shared" si="44"/>
        <v>#N/A</v>
      </c>
      <c r="X114" s="31" t="e">
        <f t="shared" si="33"/>
        <v>#N/A</v>
      </c>
      <c r="Y114" s="34">
        <f t="shared" si="49"/>
        <v>1.1408256785632935</v>
      </c>
      <c r="Z114" s="31" t="e">
        <f t="shared" si="34"/>
        <v>#N/A</v>
      </c>
      <c r="AA114" s="66">
        <f t="shared" si="35"/>
        <v>0</v>
      </c>
      <c r="AB114" s="6" t="e">
        <f t="shared" si="36"/>
        <v>#N/A</v>
      </c>
      <c r="AC114" s="48">
        <f t="shared" si="48"/>
        <v>0</v>
      </c>
    </row>
    <row r="115" spans="3:29" x14ac:dyDescent="0.25">
      <c r="C115" s="27" t="e">
        <f t="shared" si="37"/>
        <v>#N/A</v>
      </c>
      <c r="D115" s="30" t="e">
        <f t="shared" si="38"/>
        <v>#N/A</v>
      </c>
      <c r="E115" s="20" t="e">
        <f t="shared" si="43"/>
        <v>#N/A</v>
      </c>
      <c r="F115" s="20" t="e">
        <f t="shared" si="27"/>
        <v>#N/A</v>
      </c>
      <c r="G115" s="21" t="e">
        <f t="shared" si="28"/>
        <v>#N/A</v>
      </c>
      <c r="H115" s="24" t="e">
        <f t="shared" si="39"/>
        <v>#N/A</v>
      </c>
      <c r="I115" s="21" t="e">
        <f t="shared" si="46"/>
        <v>#N/A</v>
      </c>
      <c r="J115" s="63" t="e">
        <f t="shared" si="40"/>
        <v>#N/A</v>
      </c>
      <c r="K115" s="66" t="str">
        <f t="shared" si="45"/>
        <v/>
      </c>
      <c r="L115" s="17"/>
      <c r="M115" s="23" t="e">
        <f t="shared" si="41"/>
        <v>#N/A</v>
      </c>
      <c r="N115" s="23" t="e">
        <f t="shared" si="29"/>
        <v>#N/A</v>
      </c>
      <c r="O115" s="23" t="e">
        <f t="shared" si="30"/>
        <v>#N/A</v>
      </c>
      <c r="P115" s="17"/>
      <c r="Q115" s="19" t="e">
        <f>IF(C115="","",'Tabla_Puntual&amp;Relacionamiento'!$E$9)</f>
        <v>#N/A</v>
      </c>
      <c r="R115" s="19"/>
      <c r="S115" s="11" t="e">
        <f t="shared" si="42"/>
        <v>#N/A</v>
      </c>
      <c r="T115" s="23" t="e">
        <f t="shared" si="31"/>
        <v>#N/A</v>
      </c>
      <c r="U115" s="37" t="e">
        <f t="shared" si="32"/>
        <v>#N/A</v>
      </c>
      <c r="V115" s="37" t="e">
        <f t="shared" si="44"/>
        <v>#N/A</v>
      </c>
      <c r="X115" s="31" t="e">
        <f t="shared" si="33"/>
        <v>#N/A</v>
      </c>
      <c r="Y115" s="34">
        <f t="shared" si="49"/>
        <v>1.1408256785632935</v>
      </c>
      <c r="Z115" s="31" t="e">
        <f t="shared" si="34"/>
        <v>#N/A</v>
      </c>
      <c r="AA115" s="66">
        <f t="shared" si="35"/>
        <v>0</v>
      </c>
      <c r="AB115" s="6" t="e">
        <f t="shared" si="36"/>
        <v>#N/A</v>
      </c>
      <c r="AC115" s="48">
        <f t="shared" si="48"/>
        <v>0</v>
      </c>
    </row>
    <row r="116" spans="3:29" x14ac:dyDescent="0.25">
      <c r="C116" s="27" t="e">
        <f t="shared" si="37"/>
        <v>#N/A</v>
      </c>
      <c r="D116" s="30" t="e">
        <f t="shared" si="38"/>
        <v>#N/A</v>
      </c>
      <c r="E116" s="20" t="e">
        <f t="shared" si="43"/>
        <v>#N/A</v>
      </c>
      <c r="F116" s="20" t="e">
        <f t="shared" si="27"/>
        <v>#N/A</v>
      </c>
      <c r="G116" s="21" t="e">
        <f t="shared" si="28"/>
        <v>#N/A</v>
      </c>
      <c r="H116" s="24" t="e">
        <f t="shared" si="39"/>
        <v>#N/A</v>
      </c>
      <c r="I116" s="21" t="e">
        <f t="shared" si="46"/>
        <v>#N/A</v>
      </c>
      <c r="J116" s="63" t="e">
        <f t="shared" si="40"/>
        <v>#N/A</v>
      </c>
      <c r="K116" s="66" t="str">
        <f t="shared" si="45"/>
        <v/>
      </c>
      <c r="L116" s="17"/>
      <c r="M116" s="23" t="e">
        <f t="shared" si="41"/>
        <v>#N/A</v>
      </c>
      <c r="N116" s="23" t="e">
        <f t="shared" si="29"/>
        <v>#N/A</v>
      </c>
      <c r="O116" s="23" t="e">
        <f t="shared" si="30"/>
        <v>#N/A</v>
      </c>
      <c r="P116" s="17"/>
      <c r="Q116" s="19" t="e">
        <f>IF(C116="","",'Tabla_Puntual&amp;Relacionamiento'!$E$9)</f>
        <v>#N/A</v>
      </c>
      <c r="R116" s="19"/>
      <c r="S116" s="11" t="e">
        <f t="shared" si="42"/>
        <v>#N/A</v>
      </c>
      <c r="T116" s="23" t="e">
        <f t="shared" si="31"/>
        <v>#N/A</v>
      </c>
      <c r="U116" s="37" t="e">
        <f t="shared" si="32"/>
        <v>#N/A</v>
      </c>
      <c r="V116" s="37" t="e">
        <f t="shared" si="44"/>
        <v>#N/A</v>
      </c>
      <c r="X116" s="31" t="e">
        <f t="shared" si="33"/>
        <v>#N/A</v>
      </c>
      <c r="Y116" s="34">
        <f t="shared" si="49"/>
        <v>1.1408256785632935</v>
      </c>
      <c r="Z116" s="31" t="e">
        <f t="shared" si="34"/>
        <v>#N/A</v>
      </c>
      <c r="AA116" s="66">
        <f t="shared" si="35"/>
        <v>0</v>
      </c>
      <c r="AB116" s="6" t="e">
        <f t="shared" si="36"/>
        <v>#N/A</v>
      </c>
      <c r="AC116" s="48">
        <f t="shared" si="48"/>
        <v>0</v>
      </c>
    </row>
    <row r="117" spans="3:29" x14ac:dyDescent="0.25">
      <c r="C117" s="27" t="e">
        <f t="shared" si="37"/>
        <v>#N/A</v>
      </c>
      <c r="D117" s="30" t="e">
        <f t="shared" si="38"/>
        <v>#N/A</v>
      </c>
      <c r="E117" s="20" t="e">
        <f t="shared" si="43"/>
        <v>#N/A</v>
      </c>
      <c r="F117" s="20" t="e">
        <f t="shared" si="27"/>
        <v>#N/A</v>
      </c>
      <c r="G117" s="21" t="e">
        <f t="shared" si="28"/>
        <v>#N/A</v>
      </c>
      <c r="H117" s="24" t="e">
        <f t="shared" si="39"/>
        <v>#N/A</v>
      </c>
      <c r="I117" s="21" t="e">
        <f t="shared" si="46"/>
        <v>#N/A</v>
      </c>
      <c r="J117" s="63" t="e">
        <f t="shared" si="40"/>
        <v>#N/A</v>
      </c>
      <c r="K117" s="66" t="str">
        <f t="shared" si="45"/>
        <v/>
      </c>
      <c r="L117" s="17"/>
      <c r="M117" s="23" t="e">
        <f t="shared" si="41"/>
        <v>#N/A</v>
      </c>
      <c r="N117" s="23" t="e">
        <f t="shared" si="29"/>
        <v>#N/A</v>
      </c>
      <c r="O117" s="23" t="e">
        <f t="shared" si="30"/>
        <v>#N/A</v>
      </c>
      <c r="P117" s="17"/>
      <c r="Q117" s="19" t="e">
        <f>IF(C117="","",'Tabla_Puntual&amp;Relacionamiento'!$E$10)</f>
        <v>#N/A</v>
      </c>
      <c r="R117" s="19" t="e">
        <f>IF(C117="","",IF($E$14="Pago_Bajo_Puntual",$M$17,""))</f>
        <v>#N/A</v>
      </c>
      <c r="S117" s="11" t="e">
        <f t="shared" si="42"/>
        <v>#N/A</v>
      </c>
      <c r="T117" s="23" t="e">
        <f t="shared" si="31"/>
        <v>#N/A</v>
      </c>
      <c r="U117" s="37" t="e">
        <f t="shared" si="32"/>
        <v>#N/A</v>
      </c>
      <c r="V117" s="37" t="e">
        <f t="shared" si="44"/>
        <v>#N/A</v>
      </c>
      <c r="X117" s="31" t="e">
        <f t="shared" si="33"/>
        <v>#N/A</v>
      </c>
      <c r="Y117" s="34">
        <f>Y116*1.019</f>
        <v>1.162501366455996</v>
      </c>
      <c r="Z117" s="31" t="e">
        <f t="shared" si="34"/>
        <v>#N/A</v>
      </c>
      <c r="AA117" s="66">
        <f t="shared" si="35"/>
        <v>0</v>
      </c>
      <c r="AB117" s="6" t="e">
        <f t="shared" si="36"/>
        <v>#N/A</v>
      </c>
      <c r="AC117" s="48">
        <f>AC116+$M$17</f>
        <v>0</v>
      </c>
    </row>
    <row r="118" spans="3:29" x14ac:dyDescent="0.25">
      <c r="C118" s="27" t="e">
        <f t="shared" si="37"/>
        <v>#N/A</v>
      </c>
      <c r="D118" s="30" t="e">
        <f t="shared" si="38"/>
        <v>#N/A</v>
      </c>
      <c r="E118" s="20" t="e">
        <f t="shared" si="43"/>
        <v>#N/A</v>
      </c>
      <c r="F118" s="20" t="e">
        <f t="shared" si="27"/>
        <v>#N/A</v>
      </c>
      <c r="G118" s="21" t="e">
        <f t="shared" si="28"/>
        <v>#N/A</v>
      </c>
      <c r="H118" s="24" t="e">
        <f t="shared" si="39"/>
        <v>#N/A</v>
      </c>
      <c r="I118" s="21" t="e">
        <f t="shared" si="46"/>
        <v>#N/A</v>
      </c>
      <c r="J118" s="63" t="e">
        <f t="shared" si="40"/>
        <v>#N/A</v>
      </c>
      <c r="K118" s="66" t="str">
        <f t="shared" si="45"/>
        <v/>
      </c>
      <c r="L118" s="17"/>
      <c r="M118" s="23" t="e">
        <f t="shared" si="41"/>
        <v>#N/A</v>
      </c>
      <c r="N118" s="23" t="e">
        <f t="shared" si="29"/>
        <v>#N/A</v>
      </c>
      <c r="O118" s="23" t="e">
        <f t="shared" si="30"/>
        <v>#N/A</v>
      </c>
      <c r="P118" s="17"/>
      <c r="Q118" s="19" t="e">
        <f>IF(C118="","",'Tabla_Puntual&amp;Relacionamiento'!$E$10)</f>
        <v>#N/A</v>
      </c>
      <c r="R118" s="19"/>
      <c r="S118" s="11" t="e">
        <f t="shared" si="42"/>
        <v>#N/A</v>
      </c>
      <c r="T118" s="23" t="e">
        <f t="shared" si="31"/>
        <v>#N/A</v>
      </c>
      <c r="U118" s="37" t="e">
        <f t="shared" si="32"/>
        <v>#N/A</v>
      </c>
      <c r="V118" s="37" t="e">
        <f t="shared" si="44"/>
        <v>#N/A</v>
      </c>
      <c r="X118" s="31" t="e">
        <f t="shared" si="33"/>
        <v>#N/A</v>
      </c>
      <c r="Y118" s="34">
        <f t="shared" ref="Y118:Y128" si="50">Y117</f>
        <v>1.162501366455996</v>
      </c>
      <c r="Z118" s="31" t="e">
        <f t="shared" si="34"/>
        <v>#N/A</v>
      </c>
      <c r="AA118" s="66">
        <f t="shared" si="35"/>
        <v>0</v>
      </c>
      <c r="AB118" s="6" t="e">
        <f t="shared" si="36"/>
        <v>#N/A</v>
      </c>
      <c r="AC118" s="48">
        <f t="shared" si="48"/>
        <v>0</v>
      </c>
    </row>
    <row r="119" spans="3:29" x14ac:dyDescent="0.25">
      <c r="C119" s="27" t="e">
        <f t="shared" si="37"/>
        <v>#N/A</v>
      </c>
      <c r="D119" s="30" t="e">
        <f t="shared" si="38"/>
        <v>#N/A</v>
      </c>
      <c r="E119" s="20" t="e">
        <f t="shared" si="43"/>
        <v>#N/A</v>
      </c>
      <c r="F119" s="20" t="e">
        <f t="shared" si="27"/>
        <v>#N/A</v>
      </c>
      <c r="G119" s="21" t="e">
        <f t="shared" si="28"/>
        <v>#N/A</v>
      </c>
      <c r="H119" s="24" t="e">
        <f t="shared" si="39"/>
        <v>#N/A</v>
      </c>
      <c r="I119" s="21" t="e">
        <f t="shared" si="46"/>
        <v>#N/A</v>
      </c>
      <c r="J119" s="63" t="e">
        <f t="shared" si="40"/>
        <v>#N/A</v>
      </c>
      <c r="K119" s="66" t="str">
        <f t="shared" si="45"/>
        <v/>
      </c>
      <c r="L119" s="17"/>
      <c r="M119" s="23" t="e">
        <f t="shared" si="41"/>
        <v>#N/A</v>
      </c>
      <c r="N119" s="23" t="e">
        <f t="shared" si="29"/>
        <v>#N/A</v>
      </c>
      <c r="O119" s="23" t="e">
        <f t="shared" si="30"/>
        <v>#N/A</v>
      </c>
      <c r="P119" s="17"/>
      <c r="Q119" s="19" t="e">
        <f>IF(C119="","",'Tabla_Puntual&amp;Relacionamiento'!$E$10)</f>
        <v>#N/A</v>
      </c>
      <c r="R119" s="19"/>
      <c r="S119" s="11" t="e">
        <f t="shared" si="42"/>
        <v>#N/A</v>
      </c>
      <c r="T119" s="23" t="e">
        <f t="shared" si="31"/>
        <v>#N/A</v>
      </c>
      <c r="U119" s="37" t="e">
        <f t="shared" si="32"/>
        <v>#N/A</v>
      </c>
      <c r="V119" s="37" t="e">
        <f t="shared" si="44"/>
        <v>#N/A</v>
      </c>
      <c r="X119" s="31" t="e">
        <f t="shared" si="33"/>
        <v>#N/A</v>
      </c>
      <c r="Y119" s="34">
        <f t="shared" si="50"/>
        <v>1.162501366455996</v>
      </c>
      <c r="Z119" s="31" t="e">
        <f t="shared" si="34"/>
        <v>#N/A</v>
      </c>
      <c r="AA119" s="66">
        <f t="shared" si="35"/>
        <v>0</v>
      </c>
      <c r="AB119" s="6" t="e">
        <f t="shared" si="36"/>
        <v>#N/A</v>
      </c>
      <c r="AC119" s="48">
        <f t="shared" si="48"/>
        <v>0</v>
      </c>
    </row>
    <row r="120" spans="3:29" x14ac:dyDescent="0.25">
      <c r="C120" s="27" t="e">
        <f t="shared" si="37"/>
        <v>#N/A</v>
      </c>
      <c r="D120" s="30" t="e">
        <f t="shared" si="38"/>
        <v>#N/A</v>
      </c>
      <c r="E120" s="20" t="e">
        <f t="shared" si="43"/>
        <v>#N/A</v>
      </c>
      <c r="F120" s="20" t="e">
        <f t="shared" si="27"/>
        <v>#N/A</v>
      </c>
      <c r="G120" s="21" t="e">
        <f t="shared" si="28"/>
        <v>#N/A</v>
      </c>
      <c r="H120" s="24" t="e">
        <f t="shared" si="39"/>
        <v>#N/A</v>
      </c>
      <c r="I120" s="21" t="e">
        <f t="shared" si="46"/>
        <v>#N/A</v>
      </c>
      <c r="J120" s="63" t="e">
        <f t="shared" si="40"/>
        <v>#N/A</v>
      </c>
      <c r="K120" s="66" t="str">
        <f t="shared" si="45"/>
        <v/>
      </c>
      <c r="L120" s="17"/>
      <c r="M120" s="23" t="e">
        <f t="shared" si="41"/>
        <v>#N/A</v>
      </c>
      <c r="N120" s="23" t="e">
        <f t="shared" si="29"/>
        <v>#N/A</v>
      </c>
      <c r="O120" s="23" t="e">
        <f t="shared" si="30"/>
        <v>#N/A</v>
      </c>
      <c r="P120" s="17"/>
      <c r="Q120" s="19" t="e">
        <f>IF(C120="","",'Tabla_Puntual&amp;Relacionamiento'!$E$10)</f>
        <v>#N/A</v>
      </c>
      <c r="R120" s="19"/>
      <c r="S120" s="11" t="e">
        <f t="shared" si="42"/>
        <v>#N/A</v>
      </c>
      <c r="T120" s="23" t="e">
        <f t="shared" si="31"/>
        <v>#N/A</v>
      </c>
      <c r="U120" s="37" t="e">
        <f t="shared" si="32"/>
        <v>#N/A</v>
      </c>
      <c r="V120" s="37" t="e">
        <f t="shared" si="44"/>
        <v>#N/A</v>
      </c>
      <c r="X120" s="31" t="e">
        <f t="shared" si="33"/>
        <v>#N/A</v>
      </c>
      <c r="Y120" s="34">
        <f t="shared" si="50"/>
        <v>1.162501366455996</v>
      </c>
      <c r="Z120" s="31" t="e">
        <f t="shared" si="34"/>
        <v>#N/A</v>
      </c>
      <c r="AA120" s="66">
        <f t="shared" si="35"/>
        <v>0</v>
      </c>
      <c r="AB120" s="6" t="e">
        <f t="shared" si="36"/>
        <v>#N/A</v>
      </c>
      <c r="AC120" s="48">
        <f t="shared" si="48"/>
        <v>0</v>
      </c>
    </row>
    <row r="121" spans="3:29" x14ac:dyDescent="0.25">
      <c r="C121" s="27" t="e">
        <f t="shared" si="37"/>
        <v>#N/A</v>
      </c>
      <c r="D121" s="30" t="e">
        <f t="shared" si="38"/>
        <v>#N/A</v>
      </c>
      <c r="E121" s="20" t="e">
        <f t="shared" si="43"/>
        <v>#N/A</v>
      </c>
      <c r="F121" s="20" t="e">
        <f t="shared" si="27"/>
        <v>#N/A</v>
      </c>
      <c r="G121" s="21" t="e">
        <f t="shared" si="28"/>
        <v>#N/A</v>
      </c>
      <c r="H121" s="24" t="e">
        <f t="shared" si="39"/>
        <v>#N/A</v>
      </c>
      <c r="I121" s="21" t="e">
        <f t="shared" si="46"/>
        <v>#N/A</v>
      </c>
      <c r="J121" s="63" t="e">
        <f t="shared" si="40"/>
        <v>#N/A</v>
      </c>
      <c r="K121" s="66" t="str">
        <f t="shared" si="45"/>
        <v/>
      </c>
      <c r="L121" s="17"/>
      <c r="M121" s="23" t="e">
        <f t="shared" si="41"/>
        <v>#N/A</v>
      </c>
      <c r="N121" s="23" t="e">
        <f t="shared" si="29"/>
        <v>#N/A</v>
      </c>
      <c r="O121" s="23" t="e">
        <f t="shared" si="30"/>
        <v>#N/A</v>
      </c>
      <c r="P121" s="17"/>
      <c r="Q121" s="19" t="e">
        <f>IF(C121="","",'Tabla_Puntual&amp;Relacionamiento'!$E$10)</f>
        <v>#N/A</v>
      </c>
      <c r="R121" s="19"/>
      <c r="S121" s="11" t="e">
        <f t="shared" si="42"/>
        <v>#N/A</v>
      </c>
      <c r="T121" s="23" t="e">
        <f t="shared" si="31"/>
        <v>#N/A</v>
      </c>
      <c r="U121" s="37" t="e">
        <f t="shared" si="32"/>
        <v>#N/A</v>
      </c>
      <c r="V121" s="37" t="e">
        <f t="shared" si="44"/>
        <v>#N/A</v>
      </c>
      <c r="X121" s="31" t="e">
        <f t="shared" si="33"/>
        <v>#N/A</v>
      </c>
      <c r="Y121" s="34">
        <f t="shared" si="50"/>
        <v>1.162501366455996</v>
      </c>
      <c r="Z121" s="31" t="e">
        <f t="shared" si="34"/>
        <v>#N/A</v>
      </c>
      <c r="AA121" s="66">
        <f t="shared" si="35"/>
        <v>0</v>
      </c>
      <c r="AB121" s="6" t="e">
        <f t="shared" si="36"/>
        <v>#N/A</v>
      </c>
      <c r="AC121" s="48">
        <f t="shared" si="48"/>
        <v>0</v>
      </c>
    </row>
    <row r="122" spans="3:29" x14ac:dyDescent="0.25">
      <c r="C122" s="27" t="e">
        <f t="shared" si="37"/>
        <v>#N/A</v>
      </c>
      <c r="D122" s="30" t="e">
        <f t="shared" si="38"/>
        <v>#N/A</v>
      </c>
      <c r="E122" s="20" t="e">
        <f t="shared" si="43"/>
        <v>#N/A</v>
      </c>
      <c r="F122" s="20" t="e">
        <f t="shared" si="27"/>
        <v>#N/A</v>
      </c>
      <c r="G122" s="21" t="e">
        <f t="shared" si="28"/>
        <v>#N/A</v>
      </c>
      <c r="H122" s="24" t="e">
        <f t="shared" si="39"/>
        <v>#N/A</v>
      </c>
      <c r="I122" s="21" t="e">
        <f t="shared" si="46"/>
        <v>#N/A</v>
      </c>
      <c r="J122" s="63" t="e">
        <f t="shared" si="40"/>
        <v>#N/A</v>
      </c>
      <c r="K122" s="66" t="str">
        <f t="shared" si="45"/>
        <v/>
      </c>
      <c r="L122" s="17"/>
      <c r="M122" s="23" t="e">
        <f t="shared" si="41"/>
        <v>#N/A</v>
      </c>
      <c r="N122" s="23" t="e">
        <f t="shared" si="29"/>
        <v>#N/A</v>
      </c>
      <c r="O122" s="23" t="e">
        <f t="shared" si="30"/>
        <v>#N/A</v>
      </c>
      <c r="P122" s="17"/>
      <c r="Q122" s="19" t="e">
        <f>IF(C122="","",'Tabla_Puntual&amp;Relacionamiento'!$E$10)</f>
        <v>#N/A</v>
      </c>
      <c r="R122" s="19"/>
      <c r="S122" s="11" t="e">
        <f t="shared" si="42"/>
        <v>#N/A</v>
      </c>
      <c r="T122" s="23" t="e">
        <f t="shared" si="31"/>
        <v>#N/A</v>
      </c>
      <c r="U122" s="37" t="e">
        <f t="shared" si="32"/>
        <v>#N/A</v>
      </c>
      <c r="V122" s="37" t="e">
        <f t="shared" si="44"/>
        <v>#N/A</v>
      </c>
      <c r="X122" s="31" t="e">
        <f t="shared" si="33"/>
        <v>#N/A</v>
      </c>
      <c r="Y122" s="34">
        <f t="shared" si="50"/>
        <v>1.162501366455996</v>
      </c>
      <c r="Z122" s="31" t="e">
        <f t="shared" si="34"/>
        <v>#N/A</v>
      </c>
      <c r="AA122" s="66">
        <f t="shared" si="35"/>
        <v>0</v>
      </c>
      <c r="AB122" s="6" t="e">
        <f t="shared" si="36"/>
        <v>#N/A</v>
      </c>
      <c r="AC122" s="48">
        <f t="shared" si="48"/>
        <v>0</v>
      </c>
    </row>
    <row r="123" spans="3:29" x14ac:dyDescent="0.25">
      <c r="C123" s="27" t="e">
        <f t="shared" si="37"/>
        <v>#N/A</v>
      </c>
      <c r="D123" s="30" t="e">
        <f t="shared" si="38"/>
        <v>#N/A</v>
      </c>
      <c r="E123" s="20" t="e">
        <f t="shared" si="43"/>
        <v>#N/A</v>
      </c>
      <c r="F123" s="20" t="e">
        <f t="shared" si="27"/>
        <v>#N/A</v>
      </c>
      <c r="G123" s="21" t="e">
        <f t="shared" si="28"/>
        <v>#N/A</v>
      </c>
      <c r="H123" s="24" t="e">
        <f t="shared" si="39"/>
        <v>#N/A</v>
      </c>
      <c r="I123" s="21" t="e">
        <f t="shared" si="46"/>
        <v>#N/A</v>
      </c>
      <c r="J123" s="63" t="e">
        <f t="shared" si="40"/>
        <v>#N/A</v>
      </c>
      <c r="K123" s="66" t="str">
        <f t="shared" si="45"/>
        <v/>
      </c>
      <c r="L123" s="17"/>
      <c r="M123" s="23" t="e">
        <f t="shared" si="41"/>
        <v>#N/A</v>
      </c>
      <c r="N123" s="23" t="e">
        <f t="shared" si="29"/>
        <v>#N/A</v>
      </c>
      <c r="O123" s="23" t="e">
        <f t="shared" si="30"/>
        <v>#N/A</v>
      </c>
      <c r="P123" s="17"/>
      <c r="Q123" s="19" t="e">
        <f>IF(C123="","",'Tabla_Puntual&amp;Relacionamiento'!$E$10)</f>
        <v>#N/A</v>
      </c>
      <c r="R123" s="19"/>
      <c r="S123" s="11" t="e">
        <f t="shared" si="42"/>
        <v>#N/A</v>
      </c>
      <c r="T123" s="23" t="e">
        <f t="shared" si="31"/>
        <v>#N/A</v>
      </c>
      <c r="U123" s="37" t="e">
        <f t="shared" si="32"/>
        <v>#N/A</v>
      </c>
      <c r="V123" s="37" t="e">
        <f t="shared" si="44"/>
        <v>#N/A</v>
      </c>
      <c r="X123" s="31" t="e">
        <f t="shared" si="33"/>
        <v>#N/A</v>
      </c>
      <c r="Y123" s="34">
        <f t="shared" si="50"/>
        <v>1.162501366455996</v>
      </c>
      <c r="Z123" s="31" t="e">
        <f t="shared" si="34"/>
        <v>#N/A</v>
      </c>
      <c r="AA123" s="66">
        <f t="shared" si="35"/>
        <v>0</v>
      </c>
      <c r="AB123" s="6" t="e">
        <f t="shared" si="36"/>
        <v>#N/A</v>
      </c>
      <c r="AC123" s="48">
        <f t="shared" si="48"/>
        <v>0</v>
      </c>
    </row>
    <row r="124" spans="3:29" x14ac:dyDescent="0.25">
      <c r="C124" s="27" t="e">
        <f t="shared" si="37"/>
        <v>#N/A</v>
      </c>
      <c r="D124" s="30" t="e">
        <f t="shared" si="38"/>
        <v>#N/A</v>
      </c>
      <c r="E124" s="20" t="e">
        <f t="shared" si="43"/>
        <v>#N/A</v>
      </c>
      <c r="F124" s="20" t="e">
        <f t="shared" si="27"/>
        <v>#N/A</v>
      </c>
      <c r="G124" s="21" t="e">
        <f t="shared" si="28"/>
        <v>#N/A</v>
      </c>
      <c r="H124" s="24" t="e">
        <f t="shared" si="39"/>
        <v>#N/A</v>
      </c>
      <c r="I124" s="21" t="e">
        <f t="shared" si="46"/>
        <v>#N/A</v>
      </c>
      <c r="J124" s="63" t="e">
        <f t="shared" si="40"/>
        <v>#N/A</v>
      </c>
      <c r="K124" s="66" t="str">
        <f t="shared" si="45"/>
        <v/>
      </c>
      <c r="L124" s="17"/>
      <c r="M124" s="23" t="e">
        <f t="shared" si="41"/>
        <v>#N/A</v>
      </c>
      <c r="N124" s="23" t="e">
        <f t="shared" si="29"/>
        <v>#N/A</v>
      </c>
      <c r="O124" s="23" t="e">
        <f t="shared" si="30"/>
        <v>#N/A</v>
      </c>
      <c r="P124" s="17"/>
      <c r="Q124" s="19" t="e">
        <f>IF(C124="","",'Tabla_Puntual&amp;Relacionamiento'!$E$10)</f>
        <v>#N/A</v>
      </c>
      <c r="R124" s="19"/>
      <c r="S124" s="11" t="e">
        <f t="shared" si="42"/>
        <v>#N/A</v>
      </c>
      <c r="T124" s="23" t="e">
        <f t="shared" si="31"/>
        <v>#N/A</v>
      </c>
      <c r="U124" s="37" t="e">
        <f t="shared" si="32"/>
        <v>#N/A</v>
      </c>
      <c r="V124" s="37" t="e">
        <f t="shared" si="44"/>
        <v>#N/A</v>
      </c>
      <c r="X124" s="31" t="e">
        <f t="shared" si="33"/>
        <v>#N/A</v>
      </c>
      <c r="Y124" s="34">
        <f t="shared" si="50"/>
        <v>1.162501366455996</v>
      </c>
      <c r="Z124" s="31" t="e">
        <f t="shared" si="34"/>
        <v>#N/A</v>
      </c>
      <c r="AA124" s="66">
        <f t="shared" si="35"/>
        <v>0</v>
      </c>
      <c r="AB124" s="6" t="e">
        <f t="shared" si="36"/>
        <v>#N/A</v>
      </c>
      <c r="AC124" s="48">
        <f t="shared" si="48"/>
        <v>0</v>
      </c>
    </row>
    <row r="125" spans="3:29" x14ac:dyDescent="0.25">
      <c r="C125" s="27" t="e">
        <f t="shared" si="37"/>
        <v>#N/A</v>
      </c>
      <c r="D125" s="30" t="e">
        <f t="shared" si="38"/>
        <v>#N/A</v>
      </c>
      <c r="E125" s="20" t="e">
        <f t="shared" si="43"/>
        <v>#N/A</v>
      </c>
      <c r="F125" s="20" t="e">
        <f t="shared" si="27"/>
        <v>#N/A</v>
      </c>
      <c r="G125" s="21" t="e">
        <f t="shared" si="28"/>
        <v>#N/A</v>
      </c>
      <c r="H125" s="24" t="e">
        <f t="shared" si="39"/>
        <v>#N/A</v>
      </c>
      <c r="I125" s="21" t="e">
        <f t="shared" si="46"/>
        <v>#N/A</v>
      </c>
      <c r="J125" s="63" t="e">
        <f t="shared" si="40"/>
        <v>#N/A</v>
      </c>
      <c r="K125" s="66" t="str">
        <f t="shared" si="45"/>
        <v/>
      </c>
      <c r="L125" s="17"/>
      <c r="M125" s="23" t="e">
        <f t="shared" si="41"/>
        <v>#N/A</v>
      </c>
      <c r="N125" s="23" t="e">
        <f t="shared" si="29"/>
        <v>#N/A</v>
      </c>
      <c r="O125" s="23" t="e">
        <f t="shared" si="30"/>
        <v>#N/A</v>
      </c>
      <c r="P125" s="17"/>
      <c r="Q125" s="19" t="e">
        <f>IF(C125="","",'Tabla_Puntual&amp;Relacionamiento'!$E$10)</f>
        <v>#N/A</v>
      </c>
      <c r="R125" s="19"/>
      <c r="S125" s="11" t="e">
        <f t="shared" si="42"/>
        <v>#N/A</v>
      </c>
      <c r="T125" s="23" t="e">
        <f t="shared" si="31"/>
        <v>#N/A</v>
      </c>
      <c r="U125" s="37" t="e">
        <f t="shared" si="32"/>
        <v>#N/A</v>
      </c>
      <c r="V125" s="37" t="e">
        <f t="shared" si="44"/>
        <v>#N/A</v>
      </c>
      <c r="X125" s="31" t="e">
        <f t="shared" si="33"/>
        <v>#N/A</v>
      </c>
      <c r="Y125" s="34">
        <f t="shared" si="50"/>
        <v>1.162501366455996</v>
      </c>
      <c r="Z125" s="31" t="e">
        <f t="shared" si="34"/>
        <v>#N/A</v>
      </c>
      <c r="AA125" s="66">
        <f t="shared" si="35"/>
        <v>0</v>
      </c>
      <c r="AB125" s="6" t="e">
        <f t="shared" si="36"/>
        <v>#N/A</v>
      </c>
      <c r="AC125" s="48">
        <f t="shared" si="48"/>
        <v>0</v>
      </c>
    </row>
    <row r="126" spans="3:29" x14ac:dyDescent="0.25">
      <c r="C126" s="27" t="e">
        <f t="shared" si="37"/>
        <v>#N/A</v>
      </c>
      <c r="D126" s="30" t="e">
        <f t="shared" si="38"/>
        <v>#N/A</v>
      </c>
      <c r="E126" s="20" t="e">
        <f t="shared" si="43"/>
        <v>#N/A</v>
      </c>
      <c r="F126" s="20" t="e">
        <f t="shared" si="27"/>
        <v>#N/A</v>
      </c>
      <c r="G126" s="21" t="e">
        <f t="shared" si="28"/>
        <v>#N/A</v>
      </c>
      <c r="H126" s="24" t="e">
        <f t="shared" si="39"/>
        <v>#N/A</v>
      </c>
      <c r="I126" s="21" t="e">
        <f t="shared" si="46"/>
        <v>#N/A</v>
      </c>
      <c r="J126" s="63" t="e">
        <f t="shared" si="40"/>
        <v>#N/A</v>
      </c>
      <c r="K126" s="66" t="str">
        <f t="shared" si="45"/>
        <v/>
      </c>
      <c r="L126" s="17"/>
      <c r="M126" s="23" t="e">
        <f t="shared" si="41"/>
        <v>#N/A</v>
      </c>
      <c r="N126" s="23" t="e">
        <f t="shared" si="29"/>
        <v>#N/A</v>
      </c>
      <c r="O126" s="23" t="e">
        <f t="shared" si="30"/>
        <v>#N/A</v>
      </c>
      <c r="P126" s="17"/>
      <c r="Q126" s="19" t="e">
        <f>IF(C126="","",'Tabla_Puntual&amp;Relacionamiento'!$E$10)</f>
        <v>#N/A</v>
      </c>
      <c r="R126" s="19"/>
      <c r="S126" s="11" t="e">
        <f t="shared" si="42"/>
        <v>#N/A</v>
      </c>
      <c r="T126" s="23" t="e">
        <f t="shared" si="31"/>
        <v>#N/A</v>
      </c>
      <c r="U126" s="37" t="e">
        <f t="shared" si="32"/>
        <v>#N/A</v>
      </c>
      <c r="V126" s="37" t="e">
        <f t="shared" si="44"/>
        <v>#N/A</v>
      </c>
      <c r="X126" s="31" t="e">
        <f t="shared" si="33"/>
        <v>#N/A</v>
      </c>
      <c r="Y126" s="34">
        <f t="shared" si="50"/>
        <v>1.162501366455996</v>
      </c>
      <c r="Z126" s="31" t="e">
        <f t="shared" si="34"/>
        <v>#N/A</v>
      </c>
      <c r="AA126" s="66">
        <f t="shared" si="35"/>
        <v>0</v>
      </c>
      <c r="AB126" s="6" t="e">
        <f t="shared" si="36"/>
        <v>#N/A</v>
      </c>
      <c r="AC126" s="48">
        <f t="shared" si="48"/>
        <v>0</v>
      </c>
    </row>
    <row r="127" spans="3:29" x14ac:dyDescent="0.25">
      <c r="C127" s="27" t="e">
        <f t="shared" si="37"/>
        <v>#N/A</v>
      </c>
      <c r="D127" s="30" t="e">
        <f t="shared" si="38"/>
        <v>#N/A</v>
      </c>
      <c r="E127" s="20" t="e">
        <f t="shared" si="43"/>
        <v>#N/A</v>
      </c>
      <c r="F127" s="20" t="e">
        <f t="shared" si="27"/>
        <v>#N/A</v>
      </c>
      <c r="G127" s="21" t="e">
        <f t="shared" si="28"/>
        <v>#N/A</v>
      </c>
      <c r="H127" s="24" t="e">
        <f t="shared" si="39"/>
        <v>#N/A</v>
      </c>
      <c r="I127" s="21" t="e">
        <f t="shared" si="46"/>
        <v>#N/A</v>
      </c>
      <c r="J127" s="63" t="e">
        <f t="shared" si="40"/>
        <v>#N/A</v>
      </c>
      <c r="K127" s="66" t="str">
        <f t="shared" si="45"/>
        <v/>
      </c>
      <c r="L127" s="17"/>
      <c r="M127" s="23" t="e">
        <f t="shared" si="41"/>
        <v>#N/A</v>
      </c>
      <c r="N127" s="23" t="e">
        <f t="shared" si="29"/>
        <v>#N/A</v>
      </c>
      <c r="O127" s="23" t="e">
        <f t="shared" si="30"/>
        <v>#N/A</v>
      </c>
      <c r="P127" s="17"/>
      <c r="Q127" s="19" t="e">
        <f>IF(C127="","",'Tabla_Puntual&amp;Relacionamiento'!$E$10)</f>
        <v>#N/A</v>
      </c>
      <c r="R127" s="19"/>
      <c r="S127" s="11" t="e">
        <f t="shared" si="42"/>
        <v>#N/A</v>
      </c>
      <c r="T127" s="23" t="e">
        <f t="shared" si="31"/>
        <v>#N/A</v>
      </c>
      <c r="U127" s="37" t="e">
        <f t="shared" si="32"/>
        <v>#N/A</v>
      </c>
      <c r="V127" s="37" t="e">
        <f t="shared" si="44"/>
        <v>#N/A</v>
      </c>
      <c r="X127" s="31" t="e">
        <f t="shared" si="33"/>
        <v>#N/A</v>
      </c>
      <c r="Y127" s="34">
        <f t="shared" si="50"/>
        <v>1.162501366455996</v>
      </c>
      <c r="Z127" s="31" t="e">
        <f t="shared" si="34"/>
        <v>#N/A</v>
      </c>
      <c r="AA127" s="66">
        <f t="shared" si="35"/>
        <v>0</v>
      </c>
      <c r="AB127" s="6" t="e">
        <f t="shared" si="36"/>
        <v>#N/A</v>
      </c>
      <c r="AC127" s="48">
        <f t="shared" si="48"/>
        <v>0</v>
      </c>
    </row>
    <row r="128" spans="3:29" x14ac:dyDescent="0.25">
      <c r="C128" s="27" t="e">
        <f t="shared" si="37"/>
        <v>#N/A</v>
      </c>
      <c r="D128" s="30" t="e">
        <f t="shared" si="38"/>
        <v>#N/A</v>
      </c>
      <c r="E128" s="20" t="e">
        <f t="shared" si="43"/>
        <v>#N/A</v>
      </c>
      <c r="F128" s="20" t="e">
        <f t="shared" si="27"/>
        <v>#N/A</v>
      </c>
      <c r="G128" s="21" t="e">
        <f t="shared" si="28"/>
        <v>#N/A</v>
      </c>
      <c r="H128" s="24" t="e">
        <f t="shared" si="39"/>
        <v>#N/A</v>
      </c>
      <c r="I128" s="21" t="e">
        <f t="shared" si="46"/>
        <v>#N/A</v>
      </c>
      <c r="J128" s="63" t="e">
        <f t="shared" si="40"/>
        <v>#N/A</v>
      </c>
      <c r="K128" s="66" t="str">
        <f t="shared" si="45"/>
        <v/>
      </c>
      <c r="L128" s="17"/>
      <c r="M128" s="23" t="e">
        <f t="shared" si="41"/>
        <v>#N/A</v>
      </c>
      <c r="N128" s="23" t="e">
        <f t="shared" si="29"/>
        <v>#N/A</v>
      </c>
      <c r="O128" s="23" t="e">
        <f t="shared" si="30"/>
        <v>#N/A</v>
      </c>
      <c r="P128" s="17"/>
      <c r="Q128" s="19" t="e">
        <f>IF(C128="","",'Tabla_Puntual&amp;Relacionamiento'!$E$10)</f>
        <v>#N/A</v>
      </c>
      <c r="R128" s="19"/>
      <c r="S128" s="11" t="e">
        <f t="shared" si="42"/>
        <v>#N/A</v>
      </c>
      <c r="T128" s="23" t="e">
        <f t="shared" si="31"/>
        <v>#N/A</v>
      </c>
      <c r="U128" s="37" t="e">
        <f t="shared" si="32"/>
        <v>#N/A</v>
      </c>
      <c r="V128" s="37" t="e">
        <f t="shared" si="44"/>
        <v>#N/A</v>
      </c>
      <c r="X128" s="31" t="e">
        <f t="shared" si="33"/>
        <v>#N/A</v>
      </c>
      <c r="Y128" s="34">
        <f t="shared" si="50"/>
        <v>1.162501366455996</v>
      </c>
      <c r="Z128" s="31" t="e">
        <f t="shared" si="34"/>
        <v>#N/A</v>
      </c>
      <c r="AA128" s="66">
        <f t="shared" si="35"/>
        <v>0</v>
      </c>
      <c r="AB128" s="6" t="e">
        <f t="shared" si="36"/>
        <v>#N/A</v>
      </c>
      <c r="AC128" s="48">
        <f t="shared" si="48"/>
        <v>0</v>
      </c>
    </row>
    <row r="129" spans="3:29" x14ac:dyDescent="0.25">
      <c r="C129" s="27" t="e">
        <f t="shared" si="37"/>
        <v>#N/A</v>
      </c>
      <c r="D129" s="30" t="e">
        <f t="shared" si="38"/>
        <v>#N/A</v>
      </c>
      <c r="E129" s="20" t="e">
        <f t="shared" si="43"/>
        <v>#N/A</v>
      </c>
      <c r="F129" s="20" t="e">
        <f t="shared" si="27"/>
        <v>#N/A</v>
      </c>
      <c r="G129" s="21" t="e">
        <f t="shared" si="28"/>
        <v>#N/A</v>
      </c>
      <c r="H129" s="24" t="e">
        <f t="shared" si="39"/>
        <v>#N/A</v>
      </c>
      <c r="I129" s="21" t="e">
        <f t="shared" si="46"/>
        <v>#N/A</v>
      </c>
      <c r="J129" s="63" t="e">
        <f t="shared" si="40"/>
        <v>#N/A</v>
      </c>
      <c r="K129" s="66" t="str">
        <f t="shared" si="45"/>
        <v/>
      </c>
      <c r="L129" s="17"/>
      <c r="M129" s="23" t="e">
        <f t="shared" si="41"/>
        <v>#N/A</v>
      </c>
      <c r="N129" s="23" t="e">
        <f t="shared" si="29"/>
        <v>#N/A</v>
      </c>
      <c r="O129" s="23" t="e">
        <f t="shared" si="30"/>
        <v>#N/A</v>
      </c>
      <c r="P129" s="17"/>
      <c r="Q129" s="19" t="e">
        <f>IF(C129="","",'Tabla_Puntual&amp;Relacionamiento'!$E$11)</f>
        <v>#N/A</v>
      </c>
      <c r="R129" s="19" t="e">
        <f>IF(C129="","",IF($E$14="Pago_Bajo_Puntual",$M$17,""))</f>
        <v>#N/A</v>
      </c>
      <c r="S129" s="11" t="e">
        <f t="shared" si="42"/>
        <v>#N/A</v>
      </c>
      <c r="T129" s="23" t="e">
        <f t="shared" si="31"/>
        <v>#N/A</v>
      </c>
      <c r="U129" s="37" t="e">
        <f t="shared" si="32"/>
        <v>#N/A</v>
      </c>
      <c r="V129" s="37" t="e">
        <f t="shared" si="44"/>
        <v>#N/A</v>
      </c>
      <c r="X129" s="31" t="e">
        <f t="shared" si="33"/>
        <v>#N/A</v>
      </c>
      <c r="Y129" s="34">
        <f>Y128*1.019</f>
        <v>1.1845888924186598</v>
      </c>
      <c r="Z129" s="31" t="e">
        <f t="shared" si="34"/>
        <v>#N/A</v>
      </c>
      <c r="AA129" s="66">
        <f t="shared" si="35"/>
        <v>0</v>
      </c>
      <c r="AB129" s="6" t="e">
        <f t="shared" si="36"/>
        <v>#N/A</v>
      </c>
      <c r="AC129" s="48">
        <f>AC128+$M$17</f>
        <v>0</v>
      </c>
    </row>
    <row r="130" spans="3:29" x14ac:dyDescent="0.25">
      <c r="C130" s="27" t="e">
        <f t="shared" si="37"/>
        <v>#N/A</v>
      </c>
      <c r="D130" s="30" t="e">
        <f t="shared" si="38"/>
        <v>#N/A</v>
      </c>
      <c r="E130" s="20" t="e">
        <f t="shared" si="43"/>
        <v>#N/A</v>
      </c>
      <c r="F130" s="20" t="e">
        <f t="shared" si="27"/>
        <v>#N/A</v>
      </c>
      <c r="G130" s="21" t="e">
        <f t="shared" si="28"/>
        <v>#N/A</v>
      </c>
      <c r="H130" s="24" t="e">
        <f t="shared" si="39"/>
        <v>#N/A</v>
      </c>
      <c r="I130" s="21" t="e">
        <f t="shared" si="46"/>
        <v>#N/A</v>
      </c>
      <c r="J130" s="63" t="e">
        <f t="shared" si="40"/>
        <v>#N/A</v>
      </c>
      <c r="K130" s="66" t="str">
        <f t="shared" si="45"/>
        <v/>
      </c>
      <c r="L130" s="17"/>
      <c r="M130" s="23" t="e">
        <f t="shared" si="41"/>
        <v>#N/A</v>
      </c>
      <c r="N130" s="23" t="e">
        <f t="shared" si="29"/>
        <v>#N/A</v>
      </c>
      <c r="O130" s="23" t="e">
        <f t="shared" si="30"/>
        <v>#N/A</v>
      </c>
      <c r="P130" s="17"/>
      <c r="Q130" s="19" t="e">
        <f>IF(C130="","",'Tabla_Puntual&amp;Relacionamiento'!$E$11)</f>
        <v>#N/A</v>
      </c>
      <c r="R130" s="19"/>
      <c r="S130" s="11" t="e">
        <f t="shared" si="42"/>
        <v>#N/A</v>
      </c>
      <c r="T130" s="23" t="e">
        <f t="shared" si="31"/>
        <v>#N/A</v>
      </c>
      <c r="U130" s="37" t="e">
        <f t="shared" si="32"/>
        <v>#N/A</v>
      </c>
      <c r="V130" s="37" t="e">
        <f t="shared" si="44"/>
        <v>#N/A</v>
      </c>
      <c r="X130" s="31" t="e">
        <f t="shared" si="33"/>
        <v>#N/A</v>
      </c>
      <c r="Y130" s="34">
        <f t="shared" ref="Y130:Y140" si="51">Y129</f>
        <v>1.1845888924186598</v>
      </c>
      <c r="Z130" s="31" t="e">
        <f t="shared" si="34"/>
        <v>#N/A</v>
      </c>
      <c r="AA130" s="66">
        <f t="shared" si="35"/>
        <v>0</v>
      </c>
      <c r="AB130" s="6" t="e">
        <f t="shared" si="36"/>
        <v>#N/A</v>
      </c>
      <c r="AC130" s="48">
        <f t="shared" si="48"/>
        <v>0</v>
      </c>
    </row>
    <row r="131" spans="3:29" x14ac:dyDescent="0.25">
      <c r="C131" s="27" t="e">
        <f t="shared" si="37"/>
        <v>#N/A</v>
      </c>
      <c r="D131" s="30" t="e">
        <f t="shared" si="38"/>
        <v>#N/A</v>
      </c>
      <c r="E131" s="20" t="e">
        <f t="shared" si="43"/>
        <v>#N/A</v>
      </c>
      <c r="F131" s="20" t="e">
        <f t="shared" si="27"/>
        <v>#N/A</v>
      </c>
      <c r="G131" s="21" t="e">
        <f t="shared" si="28"/>
        <v>#N/A</v>
      </c>
      <c r="H131" s="24" t="e">
        <f t="shared" si="39"/>
        <v>#N/A</v>
      </c>
      <c r="I131" s="21" t="e">
        <f t="shared" si="46"/>
        <v>#N/A</v>
      </c>
      <c r="J131" s="63" t="e">
        <f t="shared" si="40"/>
        <v>#N/A</v>
      </c>
      <c r="K131" s="66" t="str">
        <f t="shared" si="45"/>
        <v/>
      </c>
      <c r="L131" s="17"/>
      <c r="M131" s="23" t="e">
        <f t="shared" si="41"/>
        <v>#N/A</v>
      </c>
      <c r="N131" s="23" t="e">
        <f t="shared" si="29"/>
        <v>#N/A</v>
      </c>
      <c r="O131" s="23" t="e">
        <f t="shared" si="30"/>
        <v>#N/A</v>
      </c>
      <c r="P131" s="17"/>
      <c r="Q131" s="19" t="e">
        <f>IF(C131="","",'Tabla_Puntual&amp;Relacionamiento'!$E$11)</f>
        <v>#N/A</v>
      </c>
      <c r="R131" s="19"/>
      <c r="S131" s="11" t="e">
        <f t="shared" si="42"/>
        <v>#N/A</v>
      </c>
      <c r="T131" s="23" t="e">
        <f t="shared" si="31"/>
        <v>#N/A</v>
      </c>
      <c r="U131" s="37" t="e">
        <f t="shared" si="32"/>
        <v>#N/A</v>
      </c>
      <c r="V131" s="37" t="e">
        <f t="shared" si="44"/>
        <v>#N/A</v>
      </c>
      <c r="X131" s="31" t="e">
        <f t="shared" si="33"/>
        <v>#N/A</v>
      </c>
      <c r="Y131" s="34">
        <f t="shared" si="51"/>
        <v>1.1845888924186598</v>
      </c>
      <c r="Z131" s="31" t="e">
        <f t="shared" si="34"/>
        <v>#N/A</v>
      </c>
      <c r="AA131" s="66">
        <f t="shared" si="35"/>
        <v>0</v>
      </c>
      <c r="AB131" s="6" t="e">
        <f t="shared" si="36"/>
        <v>#N/A</v>
      </c>
      <c r="AC131" s="48">
        <f t="shared" si="48"/>
        <v>0</v>
      </c>
    </row>
    <row r="132" spans="3:29" x14ac:dyDescent="0.25">
      <c r="C132" s="27" t="e">
        <f t="shared" si="37"/>
        <v>#N/A</v>
      </c>
      <c r="D132" s="30" t="e">
        <f t="shared" si="38"/>
        <v>#N/A</v>
      </c>
      <c r="E132" s="20" t="e">
        <f t="shared" si="43"/>
        <v>#N/A</v>
      </c>
      <c r="F132" s="20" t="e">
        <f t="shared" si="27"/>
        <v>#N/A</v>
      </c>
      <c r="G132" s="21" t="e">
        <f t="shared" si="28"/>
        <v>#N/A</v>
      </c>
      <c r="H132" s="24" t="e">
        <f t="shared" si="39"/>
        <v>#N/A</v>
      </c>
      <c r="I132" s="21" t="e">
        <f t="shared" si="46"/>
        <v>#N/A</v>
      </c>
      <c r="J132" s="63" t="e">
        <f t="shared" si="40"/>
        <v>#N/A</v>
      </c>
      <c r="K132" s="66" t="str">
        <f t="shared" si="45"/>
        <v/>
      </c>
      <c r="L132" s="17"/>
      <c r="M132" s="23" t="e">
        <f t="shared" si="41"/>
        <v>#N/A</v>
      </c>
      <c r="N132" s="23" t="e">
        <f t="shared" si="29"/>
        <v>#N/A</v>
      </c>
      <c r="O132" s="23" t="e">
        <f t="shared" si="30"/>
        <v>#N/A</v>
      </c>
      <c r="P132" s="17"/>
      <c r="Q132" s="19" t="e">
        <f>IF(C132="","",'Tabla_Puntual&amp;Relacionamiento'!$E$11)</f>
        <v>#N/A</v>
      </c>
      <c r="R132" s="19"/>
      <c r="S132" s="11" t="e">
        <f t="shared" si="42"/>
        <v>#N/A</v>
      </c>
      <c r="T132" s="23" t="e">
        <f t="shared" si="31"/>
        <v>#N/A</v>
      </c>
      <c r="U132" s="37" t="e">
        <f t="shared" si="32"/>
        <v>#N/A</v>
      </c>
      <c r="V132" s="37" t="e">
        <f t="shared" si="44"/>
        <v>#N/A</v>
      </c>
      <c r="X132" s="31" t="e">
        <f t="shared" si="33"/>
        <v>#N/A</v>
      </c>
      <c r="Y132" s="34">
        <f t="shared" si="51"/>
        <v>1.1845888924186598</v>
      </c>
      <c r="Z132" s="31" t="e">
        <f t="shared" si="34"/>
        <v>#N/A</v>
      </c>
      <c r="AA132" s="66">
        <f t="shared" si="35"/>
        <v>0</v>
      </c>
      <c r="AB132" s="6" t="e">
        <f t="shared" si="36"/>
        <v>#N/A</v>
      </c>
      <c r="AC132" s="48">
        <f t="shared" si="48"/>
        <v>0</v>
      </c>
    </row>
    <row r="133" spans="3:29" x14ac:dyDescent="0.25">
      <c r="C133" s="27" t="e">
        <f t="shared" si="37"/>
        <v>#N/A</v>
      </c>
      <c r="D133" s="30" t="e">
        <f t="shared" si="38"/>
        <v>#N/A</v>
      </c>
      <c r="E133" s="20" t="e">
        <f t="shared" si="43"/>
        <v>#N/A</v>
      </c>
      <c r="F133" s="20" t="e">
        <f t="shared" si="27"/>
        <v>#N/A</v>
      </c>
      <c r="G133" s="21" t="e">
        <f t="shared" si="28"/>
        <v>#N/A</v>
      </c>
      <c r="H133" s="24" t="e">
        <f t="shared" si="39"/>
        <v>#N/A</v>
      </c>
      <c r="I133" s="21" t="e">
        <f t="shared" si="46"/>
        <v>#N/A</v>
      </c>
      <c r="J133" s="63" t="e">
        <f t="shared" si="40"/>
        <v>#N/A</v>
      </c>
      <c r="K133" s="66" t="str">
        <f t="shared" si="45"/>
        <v/>
      </c>
      <c r="L133" s="17"/>
      <c r="M133" s="23" t="e">
        <f t="shared" si="41"/>
        <v>#N/A</v>
      </c>
      <c r="N133" s="23" t="e">
        <f t="shared" si="29"/>
        <v>#N/A</v>
      </c>
      <c r="O133" s="23" t="e">
        <f t="shared" si="30"/>
        <v>#N/A</v>
      </c>
      <c r="P133" s="17"/>
      <c r="Q133" s="19" t="e">
        <f>IF(C133="","",'Tabla_Puntual&amp;Relacionamiento'!$E$11)</f>
        <v>#N/A</v>
      </c>
      <c r="R133" s="19"/>
      <c r="S133" s="11" t="e">
        <f t="shared" si="42"/>
        <v>#N/A</v>
      </c>
      <c r="T133" s="23" t="e">
        <f t="shared" si="31"/>
        <v>#N/A</v>
      </c>
      <c r="U133" s="37" t="e">
        <f t="shared" si="32"/>
        <v>#N/A</v>
      </c>
      <c r="V133" s="37" t="e">
        <f t="shared" si="44"/>
        <v>#N/A</v>
      </c>
      <c r="X133" s="31" t="e">
        <f t="shared" si="33"/>
        <v>#N/A</v>
      </c>
      <c r="Y133" s="34">
        <f t="shared" si="51"/>
        <v>1.1845888924186598</v>
      </c>
      <c r="Z133" s="31" t="e">
        <f t="shared" si="34"/>
        <v>#N/A</v>
      </c>
      <c r="AA133" s="66">
        <f t="shared" si="35"/>
        <v>0</v>
      </c>
      <c r="AB133" s="6" t="e">
        <f t="shared" si="36"/>
        <v>#N/A</v>
      </c>
      <c r="AC133" s="48">
        <f t="shared" si="48"/>
        <v>0</v>
      </c>
    </row>
    <row r="134" spans="3:29" x14ac:dyDescent="0.25">
      <c r="C134" s="27" t="e">
        <f t="shared" si="37"/>
        <v>#N/A</v>
      </c>
      <c r="D134" s="30" t="e">
        <f t="shared" si="38"/>
        <v>#N/A</v>
      </c>
      <c r="E134" s="20" t="e">
        <f t="shared" si="43"/>
        <v>#N/A</v>
      </c>
      <c r="F134" s="20" t="e">
        <f t="shared" si="27"/>
        <v>#N/A</v>
      </c>
      <c r="G134" s="21" t="e">
        <f t="shared" si="28"/>
        <v>#N/A</v>
      </c>
      <c r="H134" s="24" t="e">
        <f t="shared" si="39"/>
        <v>#N/A</v>
      </c>
      <c r="I134" s="21" t="e">
        <f t="shared" si="46"/>
        <v>#N/A</v>
      </c>
      <c r="J134" s="63" t="e">
        <f t="shared" si="40"/>
        <v>#N/A</v>
      </c>
      <c r="K134" s="66" t="str">
        <f t="shared" si="45"/>
        <v/>
      </c>
      <c r="L134" s="17"/>
      <c r="M134" s="23" t="e">
        <f t="shared" si="41"/>
        <v>#N/A</v>
      </c>
      <c r="N134" s="23" t="e">
        <f t="shared" si="29"/>
        <v>#N/A</v>
      </c>
      <c r="O134" s="23" t="e">
        <f t="shared" si="30"/>
        <v>#N/A</v>
      </c>
      <c r="P134" s="17"/>
      <c r="Q134" s="19" t="e">
        <f>IF(C134="","",'Tabla_Puntual&amp;Relacionamiento'!$E$11)</f>
        <v>#N/A</v>
      </c>
      <c r="R134" s="19"/>
      <c r="S134" s="11" t="e">
        <f t="shared" si="42"/>
        <v>#N/A</v>
      </c>
      <c r="T134" s="23" t="e">
        <f t="shared" si="31"/>
        <v>#N/A</v>
      </c>
      <c r="U134" s="37" t="e">
        <f t="shared" si="32"/>
        <v>#N/A</v>
      </c>
      <c r="V134" s="37" t="e">
        <f t="shared" si="44"/>
        <v>#N/A</v>
      </c>
      <c r="X134" s="31" t="e">
        <f t="shared" si="33"/>
        <v>#N/A</v>
      </c>
      <c r="Y134" s="34">
        <f t="shared" si="51"/>
        <v>1.1845888924186598</v>
      </c>
      <c r="Z134" s="31" t="e">
        <f t="shared" si="34"/>
        <v>#N/A</v>
      </c>
      <c r="AA134" s="66">
        <f t="shared" si="35"/>
        <v>0</v>
      </c>
      <c r="AB134" s="6" t="e">
        <f t="shared" si="36"/>
        <v>#N/A</v>
      </c>
      <c r="AC134" s="48">
        <f t="shared" si="48"/>
        <v>0</v>
      </c>
    </row>
    <row r="135" spans="3:29" x14ac:dyDescent="0.25">
      <c r="C135" s="27" t="e">
        <f t="shared" si="37"/>
        <v>#N/A</v>
      </c>
      <c r="D135" s="30" t="e">
        <f t="shared" si="38"/>
        <v>#N/A</v>
      </c>
      <c r="E135" s="20" t="e">
        <f t="shared" si="43"/>
        <v>#N/A</v>
      </c>
      <c r="F135" s="20" t="e">
        <f t="shared" si="27"/>
        <v>#N/A</v>
      </c>
      <c r="G135" s="21" t="e">
        <f t="shared" si="28"/>
        <v>#N/A</v>
      </c>
      <c r="H135" s="24" t="e">
        <f t="shared" si="39"/>
        <v>#N/A</v>
      </c>
      <c r="I135" s="21" t="e">
        <f t="shared" si="46"/>
        <v>#N/A</v>
      </c>
      <c r="J135" s="63" t="e">
        <f t="shared" si="40"/>
        <v>#N/A</v>
      </c>
      <c r="K135" s="66" t="str">
        <f t="shared" si="45"/>
        <v/>
      </c>
      <c r="L135" s="17"/>
      <c r="M135" s="23" t="e">
        <f t="shared" si="41"/>
        <v>#N/A</v>
      </c>
      <c r="N135" s="23" t="e">
        <f t="shared" si="29"/>
        <v>#N/A</v>
      </c>
      <c r="O135" s="23" t="e">
        <f t="shared" si="30"/>
        <v>#N/A</v>
      </c>
      <c r="P135" s="17"/>
      <c r="Q135" s="19" t="e">
        <f>IF(C135="","",'Tabla_Puntual&amp;Relacionamiento'!$E$11)</f>
        <v>#N/A</v>
      </c>
      <c r="R135" s="19"/>
      <c r="S135" s="11" t="e">
        <f t="shared" si="42"/>
        <v>#N/A</v>
      </c>
      <c r="T135" s="23" t="e">
        <f t="shared" si="31"/>
        <v>#N/A</v>
      </c>
      <c r="U135" s="37" t="e">
        <f t="shared" si="32"/>
        <v>#N/A</v>
      </c>
      <c r="V135" s="37" t="e">
        <f t="shared" si="44"/>
        <v>#N/A</v>
      </c>
      <c r="X135" s="31" t="e">
        <f t="shared" si="33"/>
        <v>#N/A</v>
      </c>
      <c r="Y135" s="34">
        <f t="shared" si="51"/>
        <v>1.1845888924186598</v>
      </c>
      <c r="Z135" s="31" t="e">
        <f t="shared" si="34"/>
        <v>#N/A</v>
      </c>
      <c r="AA135" s="66">
        <f t="shared" si="35"/>
        <v>0</v>
      </c>
      <c r="AB135" s="6" t="e">
        <f t="shared" si="36"/>
        <v>#N/A</v>
      </c>
      <c r="AC135" s="48">
        <f t="shared" si="48"/>
        <v>0</v>
      </c>
    </row>
    <row r="136" spans="3:29" x14ac:dyDescent="0.25">
      <c r="C136" s="27" t="e">
        <f t="shared" si="37"/>
        <v>#N/A</v>
      </c>
      <c r="D136" s="30" t="e">
        <f t="shared" si="38"/>
        <v>#N/A</v>
      </c>
      <c r="E136" s="20" t="e">
        <f t="shared" si="43"/>
        <v>#N/A</v>
      </c>
      <c r="F136" s="20" t="e">
        <f t="shared" si="27"/>
        <v>#N/A</v>
      </c>
      <c r="G136" s="21" t="e">
        <f t="shared" si="28"/>
        <v>#N/A</v>
      </c>
      <c r="H136" s="24" t="e">
        <f t="shared" si="39"/>
        <v>#N/A</v>
      </c>
      <c r="I136" s="21" t="e">
        <f t="shared" si="46"/>
        <v>#N/A</v>
      </c>
      <c r="J136" s="63" t="e">
        <f t="shared" si="40"/>
        <v>#N/A</v>
      </c>
      <c r="K136" s="66" t="str">
        <f t="shared" si="45"/>
        <v/>
      </c>
      <c r="L136" s="17"/>
      <c r="M136" s="23" t="e">
        <f t="shared" si="41"/>
        <v>#N/A</v>
      </c>
      <c r="N136" s="23" t="e">
        <f t="shared" si="29"/>
        <v>#N/A</v>
      </c>
      <c r="O136" s="23" t="e">
        <f t="shared" si="30"/>
        <v>#N/A</v>
      </c>
      <c r="P136" s="17"/>
      <c r="Q136" s="19" t="e">
        <f>IF(C136="","",'Tabla_Puntual&amp;Relacionamiento'!$E$11)</f>
        <v>#N/A</v>
      </c>
      <c r="R136" s="19"/>
      <c r="S136" s="11" t="e">
        <f t="shared" si="42"/>
        <v>#N/A</v>
      </c>
      <c r="T136" s="23" t="e">
        <f t="shared" si="31"/>
        <v>#N/A</v>
      </c>
      <c r="U136" s="37" t="e">
        <f t="shared" si="32"/>
        <v>#N/A</v>
      </c>
      <c r="V136" s="37" t="e">
        <f t="shared" si="44"/>
        <v>#N/A</v>
      </c>
      <c r="X136" s="31" t="e">
        <f t="shared" si="33"/>
        <v>#N/A</v>
      </c>
      <c r="Y136" s="34">
        <f t="shared" si="51"/>
        <v>1.1845888924186598</v>
      </c>
      <c r="Z136" s="31" t="e">
        <f t="shared" si="34"/>
        <v>#N/A</v>
      </c>
      <c r="AA136" s="66">
        <f t="shared" si="35"/>
        <v>0</v>
      </c>
      <c r="AB136" s="6" t="e">
        <f t="shared" si="36"/>
        <v>#N/A</v>
      </c>
      <c r="AC136" s="48">
        <f t="shared" si="48"/>
        <v>0</v>
      </c>
    </row>
    <row r="137" spans="3:29" x14ac:dyDescent="0.25">
      <c r="C137" s="27" t="e">
        <f t="shared" si="37"/>
        <v>#N/A</v>
      </c>
      <c r="D137" s="30" t="e">
        <f t="shared" si="38"/>
        <v>#N/A</v>
      </c>
      <c r="E137" s="20" t="e">
        <f t="shared" si="43"/>
        <v>#N/A</v>
      </c>
      <c r="F137" s="20" t="e">
        <f t="shared" si="27"/>
        <v>#N/A</v>
      </c>
      <c r="G137" s="21" t="e">
        <f t="shared" si="28"/>
        <v>#N/A</v>
      </c>
      <c r="H137" s="24" t="e">
        <f t="shared" si="39"/>
        <v>#N/A</v>
      </c>
      <c r="I137" s="21" t="e">
        <f t="shared" si="46"/>
        <v>#N/A</v>
      </c>
      <c r="J137" s="63" t="e">
        <f t="shared" si="40"/>
        <v>#N/A</v>
      </c>
      <c r="K137" s="66" t="str">
        <f t="shared" si="45"/>
        <v/>
      </c>
      <c r="L137" s="17"/>
      <c r="M137" s="23" t="e">
        <f t="shared" si="41"/>
        <v>#N/A</v>
      </c>
      <c r="N137" s="23" t="e">
        <f t="shared" si="29"/>
        <v>#N/A</v>
      </c>
      <c r="O137" s="23" t="e">
        <f t="shared" si="30"/>
        <v>#N/A</v>
      </c>
      <c r="P137" s="17"/>
      <c r="Q137" s="19" t="e">
        <f>IF(C137="","",'Tabla_Puntual&amp;Relacionamiento'!$E$11)</f>
        <v>#N/A</v>
      </c>
      <c r="R137" s="19"/>
      <c r="S137" s="11" t="e">
        <f t="shared" si="42"/>
        <v>#N/A</v>
      </c>
      <c r="T137" s="23" t="e">
        <f t="shared" si="31"/>
        <v>#N/A</v>
      </c>
      <c r="U137" s="37" t="e">
        <f t="shared" si="32"/>
        <v>#N/A</v>
      </c>
      <c r="V137" s="37" t="e">
        <f t="shared" si="44"/>
        <v>#N/A</v>
      </c>
      <c r="X137" s="31" t="e">
        <f t="shared" si="33"/>
        <v>#N/A</v>
      </c>
      <c r="Y137" s="34">
        <f t="shared" si="51"/>
        <v>1.1845888924186598</v>
      </c>
      <c r="Z137" s="31" t="e">
        <f t="shared" si="34"/>
        <v>#N/A</v>
      </c>
      <c r="AA137" s="66">
        <f t="shared" si="35"/>
        <v>0</v>
      </c>
      <c r="AB137" s="6" t="e">
        <f t="shared" si="36"/>
        <v>#N/A</v>
      </c>
      <c r="AC137" s="48">
        <f t="shared" si="48"/>
        <v>0</v>
      </c>
    </row>
    <row r="138" spans="3:29" x14ac:dyDescent="0.25">
      <c r="C138" s="27" t="e">
        <f t="shared" si="37"/>
        <v>#N/A</v>
      </c>
      <c r="D138" s="30" t="e">
        <f t="shared" si="38"/>
        <v>#N/A</v>
      </c>
      <c r="E138" s="20" t="e">
        <f t="shared" si="43"/>
        <v>#N/A</v>
      </c>
      <c r="F138" s="20" t="e">
        <f t="shared" si="27"/>
        <v>#N/A</v>
      </c>
      <c r="G138" s="21" t="e">
        <f t="shared" si="28"/>
        <v>#N/A</v>
      </c>
      <c r="H138" s="24" t="e">
        <f t="shared" si="39"/>
        <v>#N/A</v>
      </c>
      <c r="I138" s="21" t="e">
        <f t="shared" si="46"/>
        <v>#N/A</v>
      </c>
      <c r="J138" s="63" t="e">
        <f t="shared" si="40"/>
        <v>#N/A</v>
      </c>
      <c r="K138" s="66" t="str">
        <f t="shared" si="45"/>
        <v/>
      </c>
      <c r="L138" s="17"/>
      <c r="M138" s="23" t="e">
        <f t="shared" si="41"/>
        <v>#N/A</v>
      </c>
      <c r="N138" s="23" t="e">
        <f t="shared" si="29"/>
        <v>#N/A</v>
      </c>
      <c r="O138" s="23" t="e">
        <f t="shared" si="30"/>
        <v>#N/A</v>
      </c>
      <c r="P138" s="17"/>
      <c r="Q138" s="19" t="e">
        <f>IF(C138="","",'Tabla_Puntual&amp;Relacionamiento'!$E$11)</f>
        <v>#N/A</v>
      </c>
      <c r="R138" s="19"/>
      <c r="S138" s="11" t="e">
        <f t="shared" si="42"/>
        <v>#N/A</v>
      </c>
      <c r="T138" s="23" t="e">
        <f t="shared" si="31"/>
        <v>#N/A</v>
      </c>
      <c r="U138" s="37" t="e">
        <f t="shared" si="32"/>
        <v>#N/A</v>
      </c>
      <c r="V138" s="37" t="e">
        <f t="shared" si="44"/>
        <v>#N/A</v>
      </c>
      <c r="X138" s="31" t="e">
        <f t="shared" si="33"/>
        <v>#N/A</v>
      </c>
      <c r="Y138" s="34">
        <f t="shared" si="51"/>
        <v>1.1845888924186598</v>
      </c>
      <c r="Z138" s="31" t="e">
        <f t="shared" si="34"/>
        <v>#N/A</v>
      </c>
      <c r="AA138" s="66">
        <f t="shared" si="35"/>
        <v>0</v>
      </c>
      <c r="AB138" s="6" t="e">
        <f t="shared" si="36"/>
        <v>#N/A</v>
      </c>
      <c r="AC138" s="48">
        <f t="shared" si="48"/>
        <v>0</v>
      </c>
    </row>
    <row r="139" spans="3:29" x14ac:dyDescent="0.25">
      <c r="C139" s="27" t="e">
        <f t="shared" si="37"/>
        <v>#N/A</v>
      </c>
      <c r="D139" s="30" t="e">
        <f t="shared" si="38"/>
        <v>#N/A</v>
      </c>
      <c r="E139" s="20" t="e">
        <f t="shared" si="43"/>
        <v>#N/A</v>
      </c>
      <c r="F139" s="20" t="e">
        <f t="shared" si="27"/>
        <v>#N/A</v>
      </c>
      <c r="G139" s="21" t="e">
        <f t="shared" si="28"/>
        <v>#N/A</v>
      </c>
      <c r="H139" s="24" t="e">
        <f t="shared" si="39"/>
        <v>#N/A</v>
      </c>
      <c r="I139" s="21" t="e">
        <f t="shared" si="46"/>
        <v>#N/A</v>
      </c>
      <c r="J139" s="63" t="e">
        <f t="shared" si="40"/>
        <v>#N/A</v>
      </c>
      <c r="K139" s="66" t="str">
        <f t="shared" si="45"/>
        <v/>
      </c>
      <c r="L139" s="17"/>
      <c r="M139" s="23" t="e">
        <f t="shared" si="41"/>
        <v>#N/A</v>
      </c>
      <c r="N139" s="23" t="e">
        <f t="shared" si="29"/>
        <v>#N/A</v>
      </c>
      <c r="O139" s="23" t="e">
        <f t="shared" si="30"/>
        <v>#N/A</v>
      </c>
      <c r="P139" s="17"/>
      <c r="Q139" s="19" t="e">
        <f>IF(C139="","",'Tabla_Puntual&amp;Relacionamiento'!$E$11)</f>
        <v>#N/A</v>
      </c>
      <c r="R139" s="19"/>
      <c r="S139" s="11" t="e">
        <f t="shared" si="42"/>
        <v>#N/A</v>
      </c>
      <c r="T139" s="23" t="e">
        <f t="shared" si="31"/>
        <v>#N/A</v>
      </c>
      <c r="U139" s="37" t="e">
        <f t="shared" si="32"/>
        <v>#N/A</v>
      </c>
      <c r="V139" s="37" t="e">
        <f t="shared" si="44"/>
        <v>#N/A</v>
      </c>
      <c r="X139" s="31" t="e">
        <f t="shared" si="33"/>
        <v>#N/A</v>
      </c>
      <c r="Y139" s="34">
        <f t="shared" si="51"/>
        <v>1.1845888924186598</v>
      </c>
      <c r="Z139" s="31" t="e">
        <f t="shared" si="34"/>
        <v>#N/A</v>
      </c>
      <c r="AA139" s="66">
        <f t="shared" si="35"/>
        <v>0</v>
      </c>
      <c r="AB139" s="6" t="e">
        <f t="shared" si="36"/>
        <v>#N/A</v>
      </c>
      <c r="AC139" s="48">
        <f t="shared" si="48"/>
        <v>0</v>
      </c>
    </row>
    <row r="140" spans="3:29" x14ac:dyDescent="0.25">
      <c r="C140" s="27" t="e">
        <f t="shared" si="37"/>
        <v>#N/A</v>
      </c>
      <c r="D140" s="30" t="e">
        <f t="shared" si="38"/>
        <v>#N/A</v>
      </c>
      <c r="E140" s="20" t="e">
        <f t="shared" si="43"/>
        <v>#N/A</v>
      </c>
      <c r="F140" s="20" t="e">
        <f t="shared" si="27"/>
        <v>#N/A</v>
      </c>
      <c r="G140" s="21" t="e">
        <f t="shared" si="28"/>
        <v>#N/A</v>
      </c>
      <c r="H140" s="24" t="e">
        <f t="shared" si="39"/>
        <v>#N/A</v>
      </c>
      <c r="I140" s="21" t="e">
        <f t="shared" si="46"/>
        <v>#N/A</v>
      </c>
      <c r="J140" s="63" t="e">
        <f t="shared" si="40"/>
        <v>#N/A</v>
      </c>
      <c r="K140" s="66" t="str">
        <f t="shared" si="45"/>
        <v/>
      </c>
      <c r="L140" s="17"/>
      <c r="M140" s="23" t="e">
        <f t="shared" si="41"/>
        <v>#N/A</v>
      </c>
      <c r="N140" s="23" t="e">
        <f t="shared" si="29"/>
        <v>#N/A</v>
      </c>
      <c r="O140" s="23" t="e">
        <f t="shared" si="30"/>
        <v>#N/A</v>
      </c>
      <c r="P140" s="17"/>
      <c r="Q140" s="19" t="e">
        <f>IF(C140="","",'Tabla_Puntual&amp;Relacionamiento'!$E$11)</f>
        <v>#N/A</v>
      </c>
      <c r="R140" s="19"/>
      <c r="S140" s="11" t="e">
        <f t="shared" si="42"/>
        <v>#N/A</v>
      </c>
      <c r="T140" s="23" t="e">
        <f t="shared" si="31"/>
        <v>#N/A</v>
      </c>
      <c r="U140" s="37" t="e">
        <f t="shared" si="32"/>
        <v>#N/A</v>
      </c>
      <c r="V140" s="37" t="e">
        <f t="shared" si="44"/>
        <v>#N/A</v>
      </c>
      <c r="X140" s="31" t="e">
        <f t="shared" si="33"/>
        <v>#N/A</v>
      </c>
      <c r="Y140" s="34">
        <f t="shared" si="51"/>
        <v>1.1845888924186598</v>
      </c>
      <c r="Z140" s="31" t="e">
        <f t="shared" si="34"/>
        <v>#N/A</v>
      </c>
      <c r="AA140" s="66">
        <f t="shared" si="35"/>
        <v>0</v>
      </c>
      <c r="AB140" s="6" t="e">
        <f t="shared" si="36"/>
        <v>#N/A</v>
      </c>
      <c r="AC140" s="48">
        <f t="shared" si="48"/>
        <v>0</v>
      </c>
    </row>
    <row r="141" spans="3:29" x14ac:dyDescent="0.25">
      <c r="C141" s="27" t="e">
        <f t="shared" si="37"/>
        <v>#N/A</v>
      </c>
      <c r="D141" s="30" t="e">
        <f t="shared" si="38"/>
        <v>#N/A</v>
      </c>
      <c r="E141" s="20" t="e">
        <f t="shared" si="43"/>
        <v>#N/A</v>
      </c>
      <c r="F141" s="20" t="e">
        <f t="shared" si="27"/>
        <v>#N/A</v>
      </c>
      <c r="G141" s="21" t="e">
        <f t="shared" si="28"/>
        <v>#N/A</v>
      </c>
      <c r="H141" s="24" t="e">
        <f t="shared" si="39"/>
        <v>#N/A</v>
      </c>
      <c r="I141" s="21" t="e">
        <f t="shared" si="46"/>
        <v>#N/A</v>
      </c>
      <c r="J141" s="63" t="e">
        <f t="shared" si="40"/>
        <v>#N/A</v>
      </c>
      <c r="K141" s="66" t="str">
        <f t="shared" si="45"/>
        <v/>
      </c>
      <c r="L141" s="17"/>
      <c r="M141" s="23" t="e">
        <f t="shared" si="41"/>
        <v>#N/A</v>
      </c>
      <c r="N141" s="23" t="e">
        <f t="shared" si="29"/>
        <v>#N/A</v>
      </c>
      <c r="O141" s="23" t="e">
        <f t="shared" si="30"/>
        <v>#N/A</v>
      </c>
      <c r="P141" s="17"/>
      <c r="Q141" s="19" t="e">
        <f>IF(C141="","",'Tabla_Puntual&amp;Relacionamiento'!$E$12)</f>
        <v>#N/A</v>
      </c>
      <c r="R141" s="19" t="e">
        <f>IF(C141="","",IF($E$14="Pago_Bajo_Puntual",$M$17,""))</f>
        <v>#N/A</v>
      </c>
      <c r="S141" s="11" t="e">
        <f t="shared" si="42"/>
        <v>#N/A</v>
      </c>
      <c r="T141" s="23" t="e">
        <f t="shared" si="31"/>
        <v>#N/A</v>
      </c>
      <c r="U141" s="37" t="e">
        <f t="shared" si="32"/>
        <v>#N/A</v>
      </c>
      <c r="V141" s="37" t="e">
        <f t="shared" si="44"/>
        <v>#N/A</v>
      </c>
      <c r="X141" s="31" t="e">
        <f t="shared" si="33"/>
        <v>#N/A</v>
      </c>
      <c r="Y141" s="34">
        <f>Y140*1.019</f>
        <v>1.2070960813746143</v>
      </c>
      <c r="Z141" s="31" t="e">
        <f t="shared" si="34"/>
        <v>#N/A</v>
      </c>
      <c r="AA141" s="66">
        <f t="shared" si="35"/>
        <v>0</v>
      </c>
      <c r="AB141" s="6" t="e">
        <f t="shared" si="36"/>
        <v>#N/A</v>
      </c>
      <c r="AC141" s="48">
        <f>AC140+$M$17</f>
        <v>0</v>
      </c>
    </row>
    <row r="142" spans="3:29" x14ac:dyDescent="0.25">
      <c r="C142" s="27" t="e">
        <f t="shared" si="37"/>
        <v>#N/A</v>
      </c>
      <c r="D142" s="30" t="e">
        <f t="shared" si="38"/>
        <v>#N/A</v>
      </c>
      <c r="E142" s="20" t="e">
        <f t="shared" si="43"/>
        <v>#N/A</v>
      </c>
      <c r="F142" s="20" t="e">
        <f t="shared" si="27"/>
        <v>#N/A</v>
      </c>
      <c r="G142" s="21" t="e">
        <f t="shared" si="28"/>
        <v>#N/A</v>
      </c>
      <c r="H142" s="24" t="e">
        <f t="shared" si="39"/>
        <v>#N/A</v>
      </c>
      <c r="I142" s="21" t="e">
        <f t="shared" si="46"/>
        <v>#N/A</v>
      </c>
      <c r="J142" s="63" t="e">
        <f t="shared" si="40"/>
        <v>#N/A</v>
      </c>
      <c r="K142" s="66" t="str">
        <f t="shared" si="45"/>
        <v/>
      </c>
      <c r="L142" s="17"/>
      <c r="M142" s="23" t="e">
        <f t="shared" si="41"/>
        <v>#N/A</v>
      </c>
      <c r="N142" s="23" t="e">
        <f t="shared" si="29"/>
        <v>#N/A</v>
      </c>
      <c r="O142" s="23" t="e">
        <f t="shared" si="30"/>
        <v>#N/A</v>
      </c>
      <c r="P142" s="17"/>
      <c r="Q142" s="19" t="e">
        <f>IF(C142="","",'Tabla_Puntual&amp;Relacionamiento'!$E$12)</f>
        <v>#N/A</v>
      </c>
      <c r="R142" s="19"/>
      <c r="S142" s="11" t="e">
        <f t="shared" si="42"/>
        <v>#N/A</v>
      </c>
      <c r="T142" s="23" t="e">
        <f t="shared" si="31"/>
        <v>#N/A</v>
      </c>
      <c r="U142" s="37" t="e">
        <f t="shared" si="32"/>
        <v>#N/A</v>
      </c>
      <c r="V142" s="37" t="e">
        <f t="shared" si="44"/>
        <v>#N/A</v>
      </c>
      <c r="X142" s="31" t="e">
        <f t="shared" si="33"/>
        <v>#N/A</v>
      </c>
      <c r="Y142" s="34">
        <f t="shared" ref="Y142:Y152" si="52">Y141</f>
        <v>1.2070960813746143</v>
      </c>
      <c r="Z142" s="31" t="e">
        <f t="shared" si="34"/>
        <v>#N/A</v>
      </c>
      <c r="AA142" s="66">
        <f t="shared" si="35"/>
        <v>0</v>
      </c>
      <c r="AB142" s="6" t="e">
        <f t="shared" si="36"/>
        <v>#N/A</v>
      </c>
      <c r="AC142" s="48">
        <f t="shared" si="48"/>
        <v>0</v>
      </c>
    </row>
    <row r="143" spans="3:29" x14ac:dyDescent="0.25">
      <c r="C143" s="27" t="e">
        <f t="shared" si="37"/>
        <v>#N/A</v>
      </c>
      <c r="D143" s="30" t="e">
        <f t="shared" si="38"/>
        <v>#N/A</v>
      </c>
      <c r="E143" s="20" t="e">
        <f t="shared" si="43"/>
        <v>#N/A</v>
      </c>
      <c r="F143" s="20" t="e">
        <f t="shared" si="27"/>
        <v>#N/A</v>
      </c>
      <c r="G143" s="21" t="e">
        <f t="shared" si="28"/>
        <v>#N/A</v>
      </c>
      <c r="H143" s="24" t="e">
        <f t="shared" si="39"/>
        <v>#N/A</v>
      </c>
      <c r="I143" s="21" t="e">
        <f t="shared" si="46"/>
        <v>#N/A</v>
      </c>
      <c r="J143" s="63" t="e">
        <f t="shared" si="40"/>
        <v>#N/A</v>
      </c>
      <c r="K143" s="66" t="str">
        <f t="shared" si="45"/>
        <v/>
      </c>
      <c r="L143" s="17"/>
      <c r="M143" s="23" t="e">
        <f t="shared" si="41"/>
        <v>#N/A</v>
      </c>
      <c r="N143" s="23" t="e">
        <f t="shared" si="29"/>
        <v>#N/A</v>
      </c>
      <c r="O143" s="23" t="e">
        <f t="shared" si="30"/>
        <v>#N/A</v>
      </c>
      <c r="P143" s="17"/>
      <c r="Q143" s="19" t="e">
        <f>IF(C143="","",'Tabla_Puntual&amp;Relacionamiento'!$E$12)</f>
        <v>#N/A</v>
      </c>
      <c r="R143" s="19"/>
      <c r="S143" s="11" t="e">
        <f t="shared" si="42"/>
        <v>#N/A</v>
      </c>
      <c r="T143" s="23" t="e">
        <f t="shared" si="31"/>
        <v>#N/A</v>
      </c>
      <c r="U143" s="37" t="e">
        <f t="shared" si="32"/>
        <v>#N/A</v>
      </c>
      <c r="V143" s="37" t="e">
        <f t="shared" si="44"/>
        <v>#N/A</v>
      </c>
      <c r="X143" s="31" t="e">
        <f t="shared" si="33"/>
        <v>#N/A</v>
      </c>
      <c r="Y143" s="34">
        <f t="shared" si="52"/>
        <v>1.2070960813746143</v>
      </c>
      <c r="Z143" s="31" t="e">
        <f t="shared" si="34"/>
        <v>#N/A</v>
      </c>
      <c r="AA143" s="66">
        <f t="shared" si="35"/>
        <v>0</v>
      </c>
      <c r="AB143" s="6" t="e">
        <f t="shared" si="36"/>
        <v>#N/A</v>
      </c>
      <c r="AC143" s="48">
        <f t="shared" si="48"/>
        <v>0</v>
      </c>
    </row>
    <row r="144" spans="3:29" x14ac:dyDescent="0.25">
      <c r="C144" s="27" t="e">
        <f t="shared" si="37"/>
        <v>#N/A</v>
      </c>
      <c r="D144" s="30" t="e">
        <f t="shared" si="38"/>
        <v>#N/A</v>
      </c>
      <c r="E144" s="20" t="e">
        <f t="shared" si="43"/>
        <v>#N/A</v>
      </c>
      <c r="F144" s="20" t="e">
        <f t="shared" si="27"/>
        <v>#N/A</v>
      </c>
      <c r="G144" s="21" t="e">
        <f t="shared" si="28"/>
        <v>#N/A</v>
      </c>
      <c r="H144" s="24" t="e">
        <f t="shared" si="39"/>
        <v>#N/A</v>
      </c>
      <c r="I144" s="21" t="e">
        <f t="shared" si="46"/>
        <v>#N/A</v>
      </c>
      <c r="J144" s="63" t="e">
        <f t="shared" si="40"/>
        <v>#N/A</v>
      </c>
      <c r="K144" s="66" t="str">
        <f t="shared" si="45"/>
        <v/>
      </c>
      <c r="L144" s="17"/>
      <c r="M144" s="23" t="e">
        <f t="shared" si="41"/>
        <v>#N/A</v>
      </c>
      <c r="N144" s="23" t="e">
        <f t="shared" si="29"/>
        <v>#N/A</v>
      </c>
      <c r="O144" s="23" t="e">
        <f t="shared" si="30"/>
        <v>#N/A</v>
      </c>
      <c r="P144" s="17"/>
      <c r="Q144" s="19" t="e">
        <f>IF(C144="","",'Tabla_Puntual&amp;Relacionamiento'!$E$12)</f>
        <v>#N/A</v>
      </c>
      <c r="R144" s="19"/>
      <c r="S144" s="11" t="e">
        <f t="shared" si="42"/>
        <v>#N/A</v>
      </c>
      <c r="T144" s="23" t="e">
        <f t="shared" si="31"/>
        <v>#N/A</v>
      </c>
      <c r="U144" s="37" t="e">
        <f t="shared" si="32"/>
        <v>#N/A</v>
      </c>
      <c r="V144" s="37" t="e">
        <f t="shared" si="44"/>
        <v>#N/A</v>
      </c>
      <c r="X144" s="31" t="e">
        <f t="shared" si="33"/>
        <v>#N/A</v>
      </c>
      <c r="Y144" s="34">
        <f t="shared" si="52"/>
        <v>1.2070960813746143</v>
      </c>
      <c r="Z144" s="31" t="e">
        <f t="shared" si="34"/>
        <v>#N/A</v>
      </c>
      <c r="AA144" s="66">
        <f t="shared" si="35"/>
        <v>0</v>
      </c>
      <c r="AB144" s="6" t="e">
        <f t="shared" si="36"/>
        <v>#N/A</v>
      </c>
      <c r="AC144" s="48">
        <f t="shared" si="48"/>
        <v>0</v>
      </c>
    </row>
    <row r="145" spans="3:29" x14ac:dyDescent="0.25">
      <c r="C145" s="27" t="e">
        <f t="shared" si="37"/>
        <v>#N/A</v>
      </c>
      <c r="D145" s="30" t="e">
        <f t="shared" si="38"/>
        <v>#N/A</v>
      </c>
      <c r="E145" s="20" t="e">
        <f t="shared" si="43"/>
        <v>#N/A</v>
      </c>
      <c r="F145" s="20" t="e">
        <f t="shared" si="27"/>
        <v>#N/A</v>
      </c>
      <c r="G145" s="21" t="e">
        <f t="shared" si="28"/>
        <v>#N/A</v>
      </c>
      <c r="H145" s="24" t="e">
        <f t="shared" si="39"/>
        <v>#N/A</v>
      </c>
      <c r="I145" s="21" t="e">
        <f t="shared" si="46"/>
        <v>#N/A</v>
      </c>
      <c r="J145" s="63" t="e">
        <f t="shared" si="40"/>
        <v>#N/A</v>
      </c>
      <c r="K145" s="66" t="str">
        <f t="shared" si="45"/>
        <v/>
      </c>
      <c r="L145" s="17"/>
      <c r="M145" s="23" t="e">
        <f t="shared" si="41"/>
        <v>#N/A</v>
      </c>
      <c r="N145" s="23" t="e">
        <f t="shared" si="29"/>
        <v>#N/A</v>
      </c>
      <c r="O145" s="23" t="e">
        <f t="shared" si="30"/>
        <v>#N/A</v>
      </c>
      <c r="P145" s="17"/>
      <c r="Q145" s="19" t="e">
        <f>IF(C145="","",'Tabla_Puntual&amp;Relacionamiento'!$E$12)</f>
        <v>#N/A</v>
      </c>
      <c r="R145" s="19"/>
      <c r="S145" s="11" t="e">
        <f t="shared" si="42"/>
        <v>#N/A</v>
      </c>
      <c r="T145" s="23" t="e">
        <f t="shared" si="31"/>
        <v>#N/A</v>
      </c>
      <c r="U145" s="37" t="e">
        <f t="shared" si="32"/>
        <v>#N/A</v>
      </c>
      <c r="V145" s="37" t="e">
        <f t="shared" si="44"/>
        <v>#N/A</v>
      </c>
      <c r="X145" s="31" t="e">
        <f t="shared" si="33"/>
        <v>#N/A</v>
      </c>
      <c r="Y145" s="34">
        <f t="shared" si="52"/>
        <v>1.2070960813746143</v>
      </c>
      <c r="Z145" s="31" t="e">
        <f t="shared" si="34"/>
        <v>#N/A</v>
      </c>
      <c r="AA145" s="66">
        <f t="shared" si="35"/>
        <v>0</v>
      </c>
      <c r="AB145" s="6" t="e">
        <f t="shared" si="36"/>
        <v>#N/A</v>
      </c>
      <c r="AC145" s="48">
        <f t="shared" si="48"/>
        <v>0</v>
      </c>
    </row>
    <row r="146" spans="3:29" x14ac:dyDescent="0.25">
      <c r="C146" s="27" t="e">
        <f t="shared" si="37"/>
        <v>#N/A</v>
      </c>
      <c r="D146" s="30" t="e">
        <f t="shared" si="38"/>
        <v>#N/A</v>
      </c>
      <c r="E146" s="20" t="e">
        <f t="shared" si="43"/>
        <v>#N/A</v>
      </c>
      <c r="F146" s="20" t="e">
        <f t="shared" si="27"/>
        <v>#N/A</v>
      </c>
      <c r="G146" s="21" t="e">
        <f t="shared" si="28"/>
        <v>#N/A</v>
      </c>
      <c r="H146" s="24" t="e">
        <f t="shared" si="39"/>
        <v>#N/A</v>
      </c>
      <c r="I146" s="21" t="e">
        <f t="shared" si="46"/>
        <v>#N/A</v>
      </c>
      <c r="J146" s="63" t="e">
        <f t="shared" si="40"/>
        <v>#N/A</v>
      </c>
      <c r="K146" s="66" t="str">
        <f t="shared" si="45"/>
        <v/>
      </c>
      <c r="L146" s="17"/>
      <c r="M146" s="23" t="e">
        <f t="shared" si="41"/>
        <v>#N/A</v>
      </c>
      <c r="N146" s="23" t="e">
        <f t="shared" si="29"/>
        <v>#N/A</v>
      </c>
      <c r="O146" s="23" t="e">
        <f t="shared" si="30"/>
        <v>#N/A</v>
      </c>
      <c r="P146" s="17"/>
      <c r="Q146" s="19" t="e">
        <f>IF(C146="","",'Tabla_Puntual&amp;Relacionamiento'!$E$12)</f>
        <v>#N/A</v>
      </c>
      <c r="R146" s="19"/>
      <c r="S146" s="11" t="e">
        <f t="shared" si="42"/>
        <v>#N/A</v>
      </c>
      <c r="T146" s="23" t="e">
        <f t="shared" si="31"/>
        <v>#N/A</v>
      </c>
      <c r="U146" s="37" t="e">
        <f t="shared" si="32"/>
        <v>#N/A</v>
      </c>
      <c r="V146" s="37" t="e">
        <f t="shared" si="44"/>
        <v>#N/A</v>
      </c>
      <c r="X146" s="31" t="e">
        <f t="shared" si="33"/>
        <v>#N/A</v>
      </c>
      <c r="Y146" s="34">
        <f t="shared" si="52"/>
        <v>1.2070960813746143</v>
      </c>
      <c r="Z146" s="31" t="e">
        <f t="shared" si="34"/>
        <v>#N/A</v>
      </c>
      <c r="AA146" s="66">
        <f t="shared" si="35"/>
        <v>0</v>
      </c>
      <c r="AB146" s="6" t="e">
        <f t="shared" si="36"/>
        <v>#N/A</v>
      </c>
      <c r="AC146" s="48">
        <f t="shared" si="48"/>
        <v>0</v>
      </c>
    </row>
    <row r="147" spans="3:29" x14ac:dyDescent="0.25">
      <c r="C147" s="27" t="e">
        <f t="shared" si="37"/>
        <v>#N/A</v>
      </c>
      <c r="D147" s="30" t="e">
        <f t="shared" si="38"/>
        <v>#N/A</v>
      </c>
      <c r="E147" s="20" t="e">
        <f t="shared" si="43"/>
        <v>#N/A</v>
      </c>
      <c r="F147" s="20" t="e">
        <f t="shared" si="27"/>
        <v>#N/A</v>
      </c>
      <c r="G147" s="21" t="e">
        <f t="shared" si="28"/>
        <v>#N/A</v>
      </c>
      <c r="H147" s="24" t="e">
        <f t="shared" si="39"/>
        <v>#N/A</v>
      </c>
      <c r="I147" s="21" t="e">
        <f t="shared" si="46"/>
        <v>#N/A</v>
      </c>
      <c r="J147" s="63" t="e">
        <f t="shared" si="40"/>
        <v>#N/A</v>
      </c>
      <c r="K147" s="66" t="str">
        <f t="shared" si="45"/>
        <v/>
      </c>
      <c r="L147" s="17"/>
      <c r="M147" s="23" t="e">
        <f t="shared" si="41"/>
        <v>#N/A</v>
      </c>
      <c r="N147" s="23" t="e">
        <f t="shared" si="29"/>
        <v>#N/A</v>
      </c>
      <c r="O147" s="23" t="e">
        <f t="shared" si="30"/>
        <v>#N/A</v>
      </c>
      <c r="P147" s="17"/>
      <c r="Q147" s="19" t="e">
        <f>IF(C147="","",'Tabla_Puntual&amp;Relacionamiento'!$E$12)</f>
        <v>#N/A</v>
      </c>
      <c r="R147" s="19"/>
      <c r="S147" s="11" t="e">
        <f t="shared" si="42"/>
        <v>#N/A</v>
      </c>
      <c r="T147" s="23" t="e">
        <f t="shared" si="31"/>
        <v>#N/A</v>
      </c>
      <c r="U147" s="37" t="e">
        <f t="shared" si="32"/>
        <v>#N/A</v>
      </c>
      <c r="V147" s="37" t="e">
        <f t="shared" si="44"/>
        <v>#N/A</v>
      </c>
      <c r="X147" s="31" t="e">
        <f t="shared" si="33"/>
        <v>#N/A</v>
      </c>
      <c r="Y147" s="34">
        <f t="shared" si="52"/>
        <v>1.2070960813746143</v>
      </c>
      <c r="Z147" s="31" t="e">
        <f t="shared" si="34"/>
        <v>#N/A</v>
      </c>
      <c r="AA147" s="66">
        <f t="shared" si="35"/>
        <v>0</v>
      </c>
      <c r="AB147" s="6" t="e">
        <f t="shared" si="36"/>
        <v>#N/A</v>
      </c>
      <c r="AC147" s="48">
        <f t="shared" si="48"/>
        <v>0</v>
      </c>
    </row>
    <row r="148" spans="3:29" x14ac:dyDescent="0.25">
      <c r="C148" s="27" t="e">
        <f t="shared" si="37"/>
        <v>#N/A</v>
      </c>
      <c r="D148" s="30" t="e">
        <f t="shared" si="38"/>
        <v>#N/A</v>
      </c>
      <c r="E148" s="20" t="e">
        <f t="shared" si="43"/>
        <v>#N/A</v>
      </c>
      <c r="F148" s="20" t="e">
        <f t="shared" si="27"/>
        <v>#N/A</v>
      </c>
      <c r="G148" s="21" t="e">
        <f t="shared" si="28"/>
        <v>#N/A</v>
      </c>
      <c r="H148" s="24" t="e">
        <f t="shared" si="39"/>
        <v>#N/A</v>
      </c>
      <c r="I148" s="21" t="e">
        <f t="shared" si="46"/>
        <v>#N/A</v>
      </c>
      <c r="J148" s="63" t="e">
        <f t="shared" si="40"/>
        <v>#N/A</v>
      </c>
      <c r="K148" s="66" t="str">
        <f t="shared" si="45"/>
        <v/>
      </c>
      <c r="L148" s="17"/>
      <c r="M148" s="23" t="e">
        <f t="shared" si="41"/>
        <v>#N/A</v>
      </c>
      <c r="N148" s="23" t="e">
        <f t="shared" si="29"/>
        <v>#N/A</v>
      </c>
      <c r="O148" s="23" t="e">
        <f t="shared" si="30"/>
        <v>#N/A</v>
      </c>
      <c r="P148" s="17"/>
      <c r="Q148" s="19" t="e">
        <f>IF(C148="","",'Tabla_Puntual&amp;Relacionamiento'!$E$12)</f>
        <v>#N/A</v>
      </c>
      <c r="R148" s="19"/>
      <c r="S148" s="11" t="e">
        <f t="shared" si="42"/>
        <v>#N/A</v>
      </c>
      <c r="T148" s="23" t="e">
        <f t="shared" si="31"/>
        <v>#N/A</v>
      </c>
      <c r="U148" s="37" t="e">
        <f t="shared" si="32"/>
        <v>#N/A</v>
      </c>
      <c r="V148" s="37" t="e">
        <f t="shared" si="44"/>
        <v>#N/A</v>
      </c>
      <c r="X148" s="31" t="e">
        <f t="shared" si="33"/>
        <v>#N/A</v>
      </c>
      <c r="Y148" s="34">
        <f t="shared" si="52"/>
        <v>1.2070960813746143</v>
      </c>
      <c r="Z148" s="31" t="e">
        <f t="shared" si="34"/>
        <v>#N/A</v>
      </c>
      <c r="AA148" s="66">
        <f t="shared" si="35"/>
        <v>0</v>
      </c>
      <c r="AB148" s="6" t="e">
        <f t="shared" si="36"/>
        <v>#N/A</v>
      </c>
      <c r="AC148" s="48">
        <f t="shared" si="48"/>
        <v>0</v>
      </c>
    </row>
    <row r="149" spans="3:29" x14ac:dyDescent="0.25">
      <c r="C149" s="27" t="e">
        <f t="shared" si="37"/>
        <v>#N/A</v>
      </c>
      <c r="D149" s="30" t="e">
        <f t="shared" si="38"/>
        <v>#N/A</v>
      </c>
      <c r="E149" s="20" t="e">
        <f t="shared" si="43"/>
        <v>#N/A</v>
      </c>
      <c r="F149" s="20" t="e">
        <f t="shared" ref="F149:F212" si="53">IF(C149="","",E149-G149+P149+M149)</f>
        <v>#N/A</v>
      </c>
      <c r="G149" s="21" t="e">
        <f t="shared" ref="G149:G212" si="54">IF(C149="","",IF(T148*(Q149/12)&lt;0,"",T148*(Q149/12)))</f>
        <v>#N/A</v>
      </c>
      <c r="H149" s="24" t="e">
        <f t="shared" si="39"/>
        <v>#N/A</v>
      </c>
      <c r="I149" s="21" t="e">
        <f t="shared" si="46"/>
        <v>#N/A</v>
      </c>
      <c r="J149" s="63" t="e">
        <f t="shared" si="40"/>
        <v>#N/A</v>
      </c>
      <c r="K149" s="66" t="str">
        <f t="shared" si="45"/>
        <v/>
      </c>
      <c r="L149" s="17"/>
      <c r="M149" s="23" t="e">
        <f t="shared" si="41"/>
        <v>#N/A</v>
      </c>
      <c r="N149" s="23" t="e">
        <f t="shared" ref="N149:N212" si="55">IF(C149="","",(L149+P149)*$J$12)</f>
        <v>#N/A</v>
      </c>
      <c r="O149" s="23" t="e">
        <f t="shared" ref="O149:O212" si="56">IF(C149="","",((L149+P149)*$J$12)*0.16)</f>
        <v>#N/A</v>
      </c>
      <c r="P149" s="17"/>
      <c r="Q149" s="19" t="e">
        <f>IF(C149="","",'Tabla_Puntual&amp;Relacionamiento'!$E$12)</f>
        <v>#N/A</v>
      </c>
      <c r="R149" s="19"/>
      <c r="S149" s="11" t="e">
        <f t="shared" si="42"/>
        <v>#N/A</v>
      </c>
      <c r="T149" s="23" t="e">
        <f t="shared" ref="T149:T212" si="57">IF(C149="","",T148-F149)</f>
        <v>#N/A</v>
      </c>
      <c r="U149" s="37" t="e">
        <f t="shared" ref="U149:U212" si="58">IF(C149="","",1)</f>
        <v>#N/A</v>
      </c>
      <c r="V149" s="37" t="e">
        <f t="shared" si="44"/>
        <v>#N/A</v>
      </c>
      <c r="X149" s="31" t="e">
        <f t="shared" ref="X149:X212" si="59">IF(C149="","",IF($D$17="SI",AB149,
IF(ISNUMBER(V149),IF($E$14="Pago_Fijo_Puntual",PMT(Q149/12,$E$15*12,-$J$9),
Y149*$J$15*$J$9/1000)+H149+AB149+P149+I149/1.16+$Q$15,0)))</f>
        <v>#N/A</v>
      </c>
      <c r="Y149" s="34">
        <f t="shared" si="52"/>
        <v>1.2070960813746143</v>
      </c>
      <c r="Z149" s="31" t="e">
        <f t="shared" ref="Z149:Z212" si="60">IF($AA$20=0,0,IF(M149&gt;AA148,MAX(0,M149-AA148),M149))</f>
        <v>#N/A</v>
      </c>
      <c r="AA149" s="66">
        <f t="shared" ref="AA149:AA212" si="61">IFERROR(MAX(0,AA148-M149),0)</f>
        <v>0</v>
      </c>
      <c r="AB149" s="6" t="e">
        <f t="shared" ref="AB149:AB212" si="62">IF($D$17="NO",M149,IF(AA149&gt;0,0,Z149))</f>
        <v>#N/A</v>
      </c>
      <c r="AC149" s="48">
        <f t="shared" si="48"/>
        <v>0</v>
      </c>
    </row>
    <row r="150" spans="3:29" x14ac:dyDescent="0.25">
      <c r="C150" s="27" t="e">
        <f t="shared" ref="C150:C213" si="63">IF(OR(C149="",T149&lt;=0),"",IF(C149+1&lt;=E$15*12,C149+1,""))</f>
        <v>#N/A</v>
      </c>
      <c r="D150" s="30" t="e">
        <f t="shared" ref="D150:D213" si="64">IF(T149&lt;=0,"",T149)</f>
        <v>#N/A</v>
      </c>
      <c r="E150" s="20" t="e">
        <f t="shared" si="43"/>
        <v>#N/A</v>
      </c>
      <c r="F150" s="20" t="e">
        <f t="shared" si="53"/>
        <v>#N/A</v>
      </c>
      <c r="G150" s="21" t="e">
        <f t="shared" si="54"/>
        <v>#N/A</v>
      </c>
      <c r="H150" s="24" t="e">
        <f t="shared" ref="H150:H213" si="65">IF(C150="","",L$12*T149/1000)</f>
        <v>#N/A</v>
      </c>
      <c r="I150" s="21" t="e">
        <f t="shared" si="46"/>
        <v>#N/A</v>
      </c>
      <c r="J150" s="63" t="e">
        <f t="shared" ref="J150:J213" si="66">IF($D$17="SI",0,IF(D150="","",$Q$15))</f>
        <v>#N/A</v>
      </c>
      <c r="K150" s="66" t="str">
        <f t="shared" si="45"/>
        <v/>
      </c>
      <c r="L150" s="17"/>
      <c r="M150" s="23" t="e">
        <f t="shared" ref="M150:M213" si="67">IF(C150="","",IF(L150="",0,L150-N150-O150))</f>
        <v>#N/A</v>
      </c>
      <c r="N150" s="23" t="e">
        <f t="shared" si="55"/>
        <v>#N/A</v>
      </c>
      <c r="O150" s="23" t="e">
        <f t="shared" si="56"/>
        <v>#N/A</v>
      </c>
      <c r="P150" s="17"/>
      <c r="Q150" s="19" t="e">
        <f>IF(C150="","",'Tabla_Puntual&amp;Relacionamiento'!$E$12)</f>
        <v>#N/A</v>
      </c>
      <c r="R150" s="19"/>
      <c r="S150" s="11" t="e">
        <f t="shared" ref="S150:S213" si="68">IF(C150="","",IF($K$19="",E150+H150+I150+J150+L150+P150,E150+H150+I150+J150+K150+L150+P150))</f>
        <v>#N/A</v>
      </c>
      <c r="T150" s="23" t="e">
        <f t="shared" si="57"/>
        <v>#N/A</v>
      </c>
      <c r="U150" s="37" t="e">
        <f t="shared" si="58"/>
        <v>#N/A</v>
      </c>
      <c r="V150" s="37" t="e">
        <f t="shared" si="44"/>
        <v>#N/A</v>
      </c>
      <c r="X150" s="31" t="e">
        <f t="shared" si="59"/>
        <v>#N/A</v>
      </c>
      <c r="Y150" s="34">
        <f t="shared" si="52"/>
        <v>1.2070960813746143</v>
      </c>
      <c r="Z150" s="31" t="e">
        <f t="shared" si="60"/>
        <v>#N/A</v>
      </c>
      <c r="AA150" s="66">
        <f t="shared" si="61"/>
        <v>0</v>
      </c>
      <c r="AB150" s="6" t="e">
        <f t="shared" si="62"/>
        <v>#N/A</v>
      </c>
      <c r="AC150" s="48">
        <f t="shared" si="48"/>
        <v>0</v>
      </c>
    </row>
    <row r="151" spans="3:29" x14ac:dyDescent="0.25">
      <c r="C151" s="27" t="e">
        <f t="shared" si="63"/>
        <v>#N/A</v>
      </c>
      <c r="D151" s="30" t="e">
        <f t="shared" si="64"/>
        <v>#N/A</v>
      </c>
      <c r="E151" s="20" t="e">
        <f t="shared" ref="E151:E214" si="69">IF(C151="","",IF(T150&lt;E150,T150+G151,IF($E$14="Pago_Fijo_Puntual",$J$9*$J$15/1000,IF($E$14="Pago_Bajo_Puntual",E150+(E150*R151)))))</f>
        <v>#N/A</v>
      </c>
      <c r="F151" s="20" t="e">
        <f t="shared" si="53"/>
        <v>#N/A</v>
      </c>
      <c r="G151" s="21" t="e">
        <f t="shared" si="54"/>
        <v>#N/A</v>
      </c>
      <c r="H151" s="24" t="e">
        <f t="shared" si="65"/>
        <v>#N/A</v>
      </c>
      <c r="I151" s="21" t="e">
        <f t="shared" si="46"/>
        <v>#N/A</v>
      </c>
      <c r="J151" s="63" t="e">
        <f t="shared" si="66"/>
        <v>#N/A</v>
      </c>
      <c r="K151" s="66" t="str">
        <f t="shared" si="45"/>
        <v/>
      </c>
      <c r="L151" s="17"/>
      <c r="M151" s="23" t="e">
        <f t="shared" si="67"/>
        <v>#N/A</v>
      </c>
      <c r="N151" s="23" t="e">
        <f t="shared" si="55"/>
        <v>#N/A</v>
      </c>
      <c r="O151" s="23" t="e">
        <f t="shared" si="56"/>
        <v>#N/A</v>
      </c>
      <c r="P151" s="17"/>
      <c r="Q151" s="19" t="e">
        <f>IF(C151="","",'Tabla_Puntual&amp;Relacionamiento'!$E$12)</f>
        <v>#N/A</v>
      </c>
      <c r="R151" s="19"/>
      <c r="S151" s="11" t="e">
        <f t="shared" si="68"/>
        <v>#N/A</v>
      </c>
      <c r="T151" s="23" t="e">
        <f t="shared" si="57"/>
        <v>#N/A</v>
      </c>
      <c r="U151" s="37" t="e">
        <f t="shared" si="58"/>
        <v>#N/A</v>
      </c>
      <c r="V151" s="37" t="e">
        <f t="shared" ref="V151:V214" si="70">C151</f>
        <v>#N/A</v>
      </c>
      <c r="X151" s="31" t="e">
        <f t="shared" si="59"/>
        <v>#N/A</v>
      </c>
      <c r="Y151" s="34">
        <f t="shared" si="52"/>
        <v>1.2070960813746143</v>
      </c>
      <c r="Z151" s="31" t="e">
        <f t="shared" si="60"/>
        <v>#N/A</v>
      </c>
      <c r="AA151" s="66">
        <f t="shared" si="61"/>
        <v>0</v>
      </c>
      <c r="AB151" s="6" t="e">
        <f t="shared" si="62"/>
        <v>#N/A</v>
      </c>
      <c r="AC151" s="48">
        <f t="shared" si="48"/>
        <v>0</v>
      </c>
    </row>
    <row r="152" spans="3:29" x14ac:dyDescent="0.25">
      <c r="C152" s="27" t="e">
        <f t="shared" si="63"/>
        <v>#N/A</v>
      </c>
      <c r="D152" s="30" t="e">
        <f t="shared" si="64"/>
        <v>#N/A</v>
      </c>
      <c r="E152" s="20" t="e">
        <f t="shared" si="69"/>
        <v>#N/A</v>
      </c>
      <c r="F152" s="20" t="e">
        <f t="shared" si="53"/>
        <v>#N/A</v>
      </c>
      <c r="G152" s="21" t="e">
        <f t="shared" si="54"/>
        <v>#N/A</v>
      </c>
      <c r="H152" s="24" t="e">
        <f t="shared" si="65"/>
        <v>#N/A</v>
      </c>
      <c r="I152" s="21" t="e">
        <f t="shared" si="46"/>
        <v>#N/A</v>
      </c>
      <c r="J152" s="63" t="e">
        <f t="shared" si="66"/>
        <v>#N/A</v>
      </c>
      <c r="K152" s="66" t="str">
        <f t="shared" ref="K152:K215" si="71">IFERROR(IF($E$8="Liquidez",G152*0.16,IF(AND($E$8="Pago_Hipoteca+Liquidez",$E$16="Liquidez"),G152*0.16,"")),"")</f>
        <v/>
      </c>
      <c r="L152" s="17"/>
      <c r="M152" s="23" t="e">
        <f t="shared" si="67"/>
        <v>#N/A</v>
      </c>
      <c r="N152" s="23" t="e">
        <f t="shared" si="55"/>
        <v>#N/A</v>
      </c>
      <c r="O152" s="23" t="e">
        <f t="shared" si="56"/>
        <v>#N/A</v>
      </c>
      <c r="P152" s="17"/>
      <c r="Q152" s="19" t="e">
        <f>IF(C152="","",'Tabla_Puntual&amp;Relacionamiento'!$E$12)</f>
        <v>#N/A</v>
      </c>
      <c r="R152" s="19"/>
      <c r="S152" s="11" t="e">
        <f t="shared" si="68"/>
        <v>#N/A</v>
      </c>
      <c r="T152" s="23" t="e">
        <f t="shared" si="57"/>
        <v>#N/A</v>
      </c>
      <c r="U152" s="37" t="e">
        <f t="shared" si="58"/>
        <v>#N/A</v>
      </c>
      <c r="V152" s="37" t="e">
        <f t="shared" si="70"/>
        <v>#N/A</v>
      </c>
      <c r="X152" s="31" t="e">
        <f t="shared" si="59"/>
        <v>#N/A</v>
      </c>
      <c r="Y152" s="34">
        <f t="shared" si="52"/>
        <v>1.2070960813746143</v>
      </c>
      <c r="Z152" s="31" t="e">
        <f t="shared" si="60"/>
        <v>#N/A</v>
      </c>
      <c r="AA152" s="66">
        <f t="shared" si="61"/>
        <v>0</v>
      </c>
      <c r="AB152" s="6" t="e">
        <f t="shared" si="62"/>
        <v>#N/A</v>
      </c>
      <c r="AC152" s="48">
        <f t="shared" si="48"/>
        <v>0</v>
      </c>
    </row>
    <row r="153" spans="3:29" x14ac:dyDescent="0.25">
      <c r="C153" s="27" t="e">
        <f t="shared" si="63"/>
        <v>#N/A</v>
      </c>
      <c r="D153" s="30" t="e">
        <f t="shared" si="64"/>
        <v>#N/A</v>
      </c>
      <c r="E153" s="20" t="e">
        <f t="shared" si="69"/>
        <v>#N/A</v>
      </c>
      <c r="F153" s="20" t="e">
        <f t="shared" si="53"/>
        <v>#N/A</v>
      </c>
      <c r="G153" s="21" t="e">
        <f t="shared" si="54"/>
        <v>#N/A</v>
      </c>
      <c r="H153" s="24" t="e">
        <f t="shared" si="65"/>
        <v>#N/A</v>
      </c>
      <c r="I153" s="21" t="e">
        <f t="shared" ref="I153:I216" si="72">IF(C153="","",IF(AND($E$8="Pago_Hipoteca+Liquidez",$E$16="Liquidez"),0,IF((($J$8*0.8)*($N$12/1.16))&gt;T152*($N$12/1.16),($J$8*0.8)*($N$12/1.16),($N$12/1.16)*T152)/1000))</f>
        <v>#N/A</v>
      </c>
      <c r="J153" s="63" t="e">
        <f t="shared" si="66"/>
        <v>#N/A</v>
      </c>
      <c r="K153" s="66" t="str">
        <f t="shared" si="71"/>
        <v/>
      </c>
      <c r="L153" s="17"/>
      <c r="M153" s="23" t="e">
        <f t="shared" si="67"/>
        <v>#N/A</v>
      </c>
      <c r="N153" s="23" t="e">
        <f t="shared" si="55"/>
        <v>#N/A</v>
      </c>
      <c r="O153" s="23" t="e">
        <f t="shared" si="56"/>
        <v>#N/A</v>
      </c>
      <c r="P153" s="17"/>
      <c r="Q153" s="19" t="e">
        <f>IF(C153="","",'Tabla_Puntual&amp;Relacionamiento'!$E$13)</f>
        <v>#N/A</v>
      </c>
      <c r="R153" s="19" t="e">
        <f>IF(C153="","",IF($E$14="Pago_Bajo_Puntual",$M$17,""))</f>
        <v>#N/A</v>
      </c>
      <c r="S153" s="11" t="e">
        <f t="shared" si="68"/>
        <v>#N/A</v>
      </c>
      <c r="T153" s="23" t="e">
        <f t="shared" si="57"/>
        <v>#N/A</v>
      </c>
      <c r="U153" s="37" t="e">
        <f t="shared" si="58"/>
        <v>#N/A</v>
      </c>
      <c r="V153" s="37" t="e">
        <f t="shared" si="70"/>
        <v>#N/A</v>
      </c>
      <c r="X153" s="31" t="e">
        <f t="shared" si="59"/>
        <v>#N/A</v>
      </c>
      <c r="Y153" s="34">
        <f>Y152*1.019</f>
        <v>1.2300309069207318</v>
      </c>
      <c r="Z153" s="31" t="e">
        <f t="shared" si="60"/>
        <v>#N/A</v>
      </c>
      <c r="AA153" s="66">
        <f t="shared" si="61"/>
        <v>0</v>
      </c>
      <c r="AB153" s="6" t="e">
        <f t="shared" si="62"/>
        <v>#N/A</v>
      </c>
      <c r="AC153" s="48">
        <f>AC152+$M$17</f>
        <v>0</v>
      </c>
    </row>
    <row r="154" spans="3:29" x14ac:dyDescent="0.25">
      <c r="C154" s="27" t="e">
        <f t="shared" si="63"/>
        <v>#N/A</v>
      </c>
      <c r="D154" s="30" t="e">
        <f t="shared" si="64"/>
        <v>#N/A</v>
      </c>
      <c r="E154" s="20" t="e">
        <f t="shared" si="69"/>
        <v>#N/A</v>
      </c>
      <c r="F154" s="20" t="e">
        <f t="shared" si="53"/>
        <v>#N/A</v>
      </c>
      <c r="G154" s="21" t="e">
        <f t="shared" si="54"/>
        <v>#N/A</v>
      </c>
      <c r="H154" s="24" t="e">
        <f t="shared" si="65"/>
        <v>#N/A</v>
      </c>
      <c r="I154" s="21" t="e">
        <f t="shared" si="72"/>
        <v>#N/A</v>
      </c>
      <c r="J154" s="63" t="e">
        <f t="shared" si="66"/>
        <v>#N/A</v>
      </c>
      <c r="K154" s="66" t="str">
        <f t="shared" si="71"/>
        <v/>
      </c>
      <c r="L154" s="17"/>
      <c r="M154" s="23" t="e">
        <f t="shared" si="67"/>
        <v>#N/A</v>
      </c>
      <c r="N154" s="23" t="e">
        <f t="shared" si="55"/>
        <v>#N/A</v>
      </c>
      <c r="O154" s="23" t="e">
        <f t="shared" si="56"/>
        <v>#N/A</v>
      </c>
      <c r="P154" s="17"/>
      <c r="Q154" s="19" t="e">
        <f>IF(C154="","",'Tabla_Puntual&amp;Relacionamiento'!$E$13)</f>
        <v>#N/A</v>
      </c>
      <c r="R154" s="19"/>
      <c r="S154" s="11" t="e">
        <f t="shared" si="68"/>
        <v>#N/A</v>
      </c>
      <c r="T154" s="23" t="e">
        <f t="shared" si="57"/>
        <v>#N/A</v>
      </c>
      <c r="U154" s="37" t="e">
        <f t="shared" si="58"/>
        <v>#N/A</v>
      </c>
      <c r="V154" s="37" t="e">
        <f t="shared" si="70"/>
        <v>#N/A</v>
      </c>
      <c r="X154" s="31" t="e">
        <f t="shared" si="59"/>
        <v>#N/A</v>
      </c>
      <c r="Y154" s="34">
        <f t="shared" ref="Y154:Y164" si="73">Y153</f>
        <v>1.2300309069207318</v>
      </c>
      <c r="Z154" s="31" t="e">
        <f t="shared" si="60"/>
        <v>#N/A</v>
      </c>
      <c r="AA154" s="66">
        <f t="shared" si="61"/>
        <v>0</v>
      </c>
      <c r="AB154" s="6" t="e">
        <f t="shared" si="62"/>
        <v>#N/A</v>
      </c>
      <c r="AC154" s="48">
        <f t="shared" si="48"/>
        <v>0</v>
      </c>
    </row>
    <row r="155" spans="3:29" x14ac:dyDescent="0.25">
      <c r="C155" s="27" t="e">
        <f t="shared" si="63"/>
        <v>#N/A</v>
      </c>
      <c r="D155" s="30" t="e">
        <f t="shared" si="64"/>
        <v>#N/A</v>
      </c>
      <c r="E155" s="20" t="e">
        <f t="shared" si="69"/>
        <v>#N/A</v>
      </c>
      <c r="F155" s="20" t="e">
        <f t="shared" si="53"/>
        <v>#N/A</v>
      </c>
      <c r="G155" s="21" t="e">
        <f t="shared" si="54"/>
        <v>#N/A</v>
      </c>
      <c r="H155" s="24" t="e">
        <f t="shared" si="65"/>
        <v>#N/A</v>
      </c>
      <c r="I155" s="21" t="e">
        <f t="shared" si="72"/>
        <v>#N/A</v>
      </c>
      <c r="J155" s="63" t="e">
        <f t="shared" si="66"/>
        <v>#N/A</v>
      </c>
      <c r="K155" s="66" t="str">
        <f t="shared" si="71"/>
        <v/>
      </c>
      <c r="L155" s="17"/>
      <c r="M155" s="23" t="e">
        <f t="shared" si="67"/>
        <v>#N/A</v>
      </c>
      <c r="N155" s="23" t="e">
        <f t="shared" si="55"/>
        <v>#N/A</v>
      </c>
      <c r="O155" s="23" t="e">
        <f t="shared" si="56"/>
        <v>#N/A</v>
      </c>
      <c r="P155" s="17"/>
      <c r="Q155" s="19" t="e">
        <f>IF(C155="","",'Tabla_Puntual&amp;Relacionamiento'!$E$13)</f>
        <v>#N/A</v>
      </c>
      <c r="R155" s="19"/>
      <c r="S155" s="11" t="e">
        <f t="shared" si="68"/>
        <v>#N/A</v>
      </c>
      <c r="T155" s="23" t="e">
        <f t="shared" si="57"/>
        <v>#N/A</v>
      </c>
      <c r="U155" s="37" t="e">
        <f t="shared" si="58"/>
        <v>#N/A</v>
      </c>
      <c r="V155" s="37" t="e">
        <f t="shared" si="70"/>
        <v>#N/A</v>
      </c>
      <c r="X155" s="31" t="e">
        <f t="shared" si="59"/>
        <v>#N/A</v>
      </c>
      <c r="Y155" s="34">
        <f t="shared" si="73"/>
        <v>1.2300309069207318</v>
      </c>
      <c r="Z155" s="31" t="e">
        <f t="shared" si="60"/>
        <v>#N/A</v>
      </c>
      <c r="AA155" s="66">
        <f t="shared" si="61"/>
        <v>0</v>
      </c>
      <c r="AB155" s="6" t="e">
        <f t="shared" si="62"/>
        <v>#N/A</v>
      </c>
      <c r="AC155" s="48">
        <f t="shared" si="48"/>
        <v>0</v>
      </c>
    </row>
    <row r="156" spans="3:29" x14ac:dyDescent="0.25">
      <c r="C156" s="27" t="e">
        <f t="shared" si="63"/>
        <v>#N/A</v>
      </c>
      <c r="D156" s="30" t="e">
        <f t="shared" si="64"/>
        <v>#N/A</v>
      </c>
      <c r="E156" s="20" t="e">
        <f t="shared" si="69"/>
        <v>#N/A</v>
      </c>
      <c r="F156" s="20" t="e">
        <f t="shared" si="53"/>
        <v>#N/A</v>
      </c>
      <c r="G156" s="21" t="e">
        <f t="shared" si="54"/>
        <v>#N/A</v>
      </c>
      <c r="H156" s="24" t="e">
        <f t="shared" si="65"/>
        <v>#N/A</v>
      </c>
      <c r="I156" s="21" t="e">
        <f t="shared" si="72"/>
        <v>#N/A</v>
      </c>
      <c r="J156" s="63" t="e">
        <f t="shared" si="66"/>
        <v>#N/A</v>
      </c>
      <c r="K156" s="66" t="str">
        <f t="shared" si="71"/>
        <v/>
      </c>
      <c r="L156" s="17"/>
      <c r="M156" s="23" t="e">
        <f t="shared" si="67"/>
        <v>#N/A</v>
      </c>
      <c r="N156" s="23" t="e">
        <f t="shared" si="55"/>
        <v>#N/A</v>
      </c>
      <c r="O156" s="23" t="e">
        <f t="shared" si="56"/>
        <v>#N/A</v>
      </c>
      <c r="P156" s="17"/>
      <c r="Q156" s="19" t="e">
        <f>IF(C156="","",'Tabla_Puntual&amp;Relacionamiento'!$E$13)</f>
        <v>#N/A</v>
      </c>
      <c r="R156" s="19"/>
      <c r="S156" s="11" t="e">
        <f t="shared" si="68"/>
        <v>#N/A</v>
      </c>
      <c r="T156" s="23" t="e">
        <f t="shared" si="57"/>
        <v>#N/A</v>
      </c>
      <c r="U156" s="37" t="e">
        <f t="shared" si="58"/>
        <v>#N/A</v>
      </c>
      <c r="V156" s="37" t="e">
        <f t="shared" si="70"/>
        <v>#N/A</v>
      </c>
      <c r="X156" s="31" t="e">
        <f t="shared" si="59"/>
        <v>#N/A</v>
      </c>
      <c r="Y156" s="34">
        <f t="shared" si="73"/>
        <v>1.2300309069207318</v>
      </c>
      <c r="Z156" s="31" t="e">
        <f t="shared" si="60"/>
        <v>#N/A</v>
      </c>
      <c r="AA156" s="66">
        <f t="shared" si="61"/>
        <v>0</v>
      </c>
      <c r="AB156" s="6" t="e">
        <f t="shared" si="62"/>
        <v>#N/A</v>
      </c>
      <c r="AC156" s="48">
        <f t="shared" si="48"/>
        <v>0</v>
      </c>
    </row>
    <row r="157" spans="3:29" x14ac:dyDescent="0.25">
      <c r="C157" s="27" t="e">
        <f t="shared" si="63"/>
        <v>#N/A</v>
      </c>
      <c r="D157" s="30" t="e">
        <f t="shared" si="64"/>
        <v>#N/A</v>
      </c>
      <c r="E157" s="20" t="e">
        <f t="shared" si="69"/>
        <v>#N/A</v>
      </c>
      <c r="F157" s="20" t="e">
        <f t="shared" si="53"/>
        <v>#N/A</v>
      </c>
      <c r="G157" s="21" t="e">
        <f t="shared" si="54"/>
        <v>#N/A</v>
      </c>
      <c r="H157" s="24" t="e">
        <f t="shared" si="65"/>
        <v>#N/A</v>
      </c>
      <c r="I157" s="21" t="e">
        <f t="shared" si="72"/>
        <v>#N/A</v>
      </c>
      <c r="J157" s="63" t="e">
        <f t="shared" si="66"/>
        <v>#N/A</v>
      </c>
      <c r="K157" s="66" t="str">
        <f t="shared" si="71"/>
        <v/>
      </c>
      <c r="L157" s="17"/>
      <c r="M157" s="23" t="e">
        <f t="shared" si="67"/>
        <v>#N/A</v>
      </c>
      <c r="N157" s="23" t="e">
        <f t="shared" si="55"/>
        <v>#N/A</v>
      </c>
      <c r="O157" s="23" t="e">
        <f t="shared" si="56"/>
        <v>#N/A</v>
      </c>
      <c r="P157" s="17"/>
      <c r="Q157" s="19" t="e">
        <f>IF(C157="","",'Tabla_Puntual&amp;Relacionamiento'!$E$13)</f>
        <v>#N/A</v>
      </c>
      <c r="R157" s="19"/>
      <c r="S157" s="11" t="e">
        <f t="shared" si="68"/>
        <v>#N/A</v>
      </c>
      <c r="T157" s="23" t="e">
        <f t="shared" si="57"/>
        <v>#N/A</v>
      </c>
      <c r="U157" s="37" t="e">
        <f t="shared" si="58"/>
        <v>#N/A</v>
      </c>
      <c r="V157" s="37" t="e">
        <f t="shared" si="70"/>
        <v>#N/A</v>
      </c>
      <c r="X157" s="31" t="e">
        <f t="shared" si="59"/>
        <v>#N/A</v>
      </c>
      <c r="Y157" s="34">
        <f t="shared" si="73"/>
        <v>1.2300309069207318</v>
      </c>
      <c r="Z157" s="31" t="e">
        <f t="shared" si="60"/>
        <v>#N/A</v>
      </c>
      <c r="AA157" s="66">
        <f t="shared" si="61"/>
        <v>0</v>
      </c>
      <c r="AB157" s="6" t="e">
        <f t="shared" si="62"/>
        <v>#N/A</v>
      </c>
      <c r="AC157" s="48">
        <f t="shared" si="48"/>
        <v>0</v>
      </c>
    </row>
    <row r="158" spans="3:29" x14ac:dyDescent="0.25">
      <c r="C158" s="27" t="e">
        <f t="shared" si="63"/>
        <v>#N/A</v>
      </c>
      <c r="D158" s="30" t="e">
        <f t="shared" si="64"/>
        <v>#N/A</v>
      </c>
      <c r="E158" s="20" t="e">
        <f t="shared" si="69"/>
        <v>#N/A</v>
      </c>
      <c r="F158" s="20" t="e">
        <f t="shared" si="53"/>
        <v>#N/A</v>
      </c>
      <c r="G158" s="21" t="e">
        <f t="shared" si="54"/>
        <v>#N/A</v>
      </c>
      <c r="H158" s="24" t="e">
        <f t="shared" si="65"/>
        <v>#N/A</v>
      </c>
      <c r="I158" s="21" t="e">
        <f t="shared" si="72"/>
        <v>#N/A</v>
      </c>
      <c r="J158" s="63" t="e">
        <f t="shared" si="66"/>
        <v>#N/A</v>
      </c>
      <c r="K158" s="66" t="str">
        <f t="shared" si="71"/>
        <v/>
      </c>
      <c r="L158" s="17"/>
      <c r="M158" s="23" t="e">
        <f t="shared" si="67"/>
        <v>#N/A</v>
      </c>
      <c r="N158" s="23" t="e">
        <f t="shared" si="55"/>
        <v>#N/A</v>
      </c>
      <c r="O158" s="23" t="e">
        <f t="shared" si="56"/>
        <v>#N/A</v>
      </c>
      <c r="P158" s="17"/>
      <c r="Q158" s="19" t="e">
        <f>IF(C158="","",'Tabla_Puntual&amp;Relacionamiento'!$E$13)</f>
        <v>#N/A</v>
      </c>
      <c r="R158" s="19"/>
      <c r="S158" s="11" t="e">
        <f t="shared" si="68"/>
        <v>#N/A</v>
      </c>
      <c r="T158" s="23" t="e">
        <f t="shared" si="57"/>
        <v>#N/A</v>
      </c>
      <c r="U158" s="37" t="e">
        <f t="shared" si="58"/>
        <v>#N/A</v>
      </c>
      <c r="V158" s="37" t="e">
        <f t="shared" si="70"/>
        <v>#N/A</v>
      </c>
      <c r="X158" s="31" t="e">
        <f t="shared" si="59"/>
        <v>#N/A</v>
      </c>
      <c r="Y158" s="34">
        <f t="shared" si="73"/>
        <v>1.2300309069207318</v>
      </c>
      <c r="Z158" s="31" t="e">
        <f t="shared" si="60"/>
        <v>#N/A</v>
      </c>
      <c r="AA158" s="66">
        <f t="shared" si="61"/>
        <v>0</v>
      </c>
      <c r="AB158" s="6" t="e">
        <f t="shared" si="62"/>
        <v>#N/A</v>
      </c>
      <c r="AC158" s="48">
        <f t="shared" si="48"/>
        <v>0</v>
      </c>
    </row>
    <row r="159" spans="3:29" x14ac:dyDescent="0.25">
      <c r="C159" s="27" t="e">
        <f t="shared" si="63"/>
        <v>#N/A</v>
      </c>
      <c r="D159" s="30" t="e">
        <f t="shared" si="64"/>
        <v>#N/A</v>
      </c>
      <c r="E159" s="20" t="e">
        <f t="shared" si="69"/>
        <v>#N/A</v>
      </c>
      <c r="F159" s="20" t="e">
        <f t="shared" si="53"/>
        <v>#N/A</v>
      </c>
      <c r="G159" s="21" t="e">
        <f t="shared" si="54"/>
        <v>#N/A</v>
      </c>
      <c r="H159" s="24" t="e">
        <f t="shared" si="65"/>
        <v>#N/A</v>
      </c>
      <c r="I159" s="21" t="e">
        <f t="shared" si="72"/>
        <v>#N/A</v>
      </c>
      <c r="J159" s="63" t="e">
        <f t="shared" si="66"/>
        <v>#N/A</v>
      </c>
      <c r="K159" s="66" t="str">
        <f t="shared" si="71"/>
        <v/>
      </c>
      <c r="L159" s="17"/>
      <c r="M159" s="23" t="e">
        <f t="shared" si="67"/>
        <v>#N/A</v>
      </c>
      <c r="N159" s="23" t="e">
        <f t="shared" si="55"/>
        <v>#N/A</v>
      </c>
      <c r="O159" s="23" t="e">
        <f t="shared" si="56"/>
        <v>#N/A</v>
      </c>
      <c r="P159" s="17"/>
      <c r="Q159" s="19" t="e">
        <f>IF(C159="","",'Tabla_Puntual&amp;Relacionamiento'!$E$13)</f>
        <v>#N/A</v>
      </c>
      <c r="R159" s="19"/>
      <c r="S159" s="11" t="e">
        <f t="shared" si="68"/>
        <v>#N/A</v>
      </c>
      <c r="T159" s="23" t="e">
        <f t="shared" si="57"/>
        <v>#N/A</v>
      </c>
      <c r="U159" s="37" t="e">
        <f t="shared" si="58"/>
        <v>#N/A</v>
      </c>
      <c r="V159" s="37" t="e">
        <f t="shared" si="70"/>
        <v>#N/A</v>
      </c>
      <c r="X159" s="31" t="e">
        <f t="shared" si="59"/>
        <v>#N/A</v>
      </c>
      <c r="Y159" s="34">
        <f t="shared" si="73"/>
        <v>1.2300309069207318</v>
      </c>
      <c r="Z159" s="31" t="e">
        <f t="shared" si="60"/>
        <v>#N/A</v>
      </c>
      <c r="AA159" s="66">
        <f t="shared" si="61"/>
        <v>0</v>
      </c>
      <c r="AB159" s="6" t="e">
        <f t="shared" si="62"/>
        <v>#N/A</v>
      </c>
      <c r="AC159" s="48">
        <f t="shared" si="48"/>
        <v>0</v>
      </c>
    </row>
    <row r="160" spans="3:29" x14ac:dyDescent="0.25">
      <c r="C160" s="27" t="e">
        <f t="shared" si="63"/>
        <v>#N/A</v>
      </c>
      <c r="D160" s="30" t="e">
        <f t="shared" si="64"/>
        <v>#N/A</v>
      </c>
      <c r="E160" s="20" t="e">
        <f t="shared" si="69"/>
        <v>#N/A</v>
      </c>
      <c r="F160" s="20" t="e">
        <f t="shared" si="53"/>
        <v>#N/A</v>
      </c>
      <c r="G160" s="21" t="e">
        <f t="shared" si="54"/>
        <v>#N/A</v>
      </c>
      <c r="H160" s="24" t="e">
        <f t="shared" si="65"/>
        <v>#N/A</v>
      </c>
      <c r="I160" s="21" t="e">
        <f t="shared" si="72"/>
        <v>#N/A</v>
      </c>
      <c r="J160" s="63" t="e">
        <f t="shared" si="66"/>
        <v>#N/A</v>
      </c>
      <c r="K160" s="66" t="str">
        <f t="shared" si="71"/>
        <v/>
      </c>
      <c r="L160" s="17"/>
      <c r="M160" s="23" t="e">
        <f t="shared" si="67"/>
        <v>#N/A</v>
      </c>
      <c r="N160" s="23" t="e">
        <f t="shared" si="55"/>
        <v>#N/A</v>
      </c>
      <c r="O160" s="23" t="e">
        <f t="shared" si="56"/>
        <v>#N/A</v>
      </c>
      <c r="P160" s="17"/>
      <c r="Q160" s="19" t="e">
        <f>IF(C160="","",'Tabla_Puntual&amp;Relacionamiento'!$E$13)</f>
        <v>#N/A</v>
      </c>
      <c r="R160" s="19"/>
      <c r="S160" s="11" t="e">
        <f t="shared" si="68"/>
        <v>#N/A</v>
      </c>
      <c r="T160" s="23" t="e">
        <f t="shared" si="57"/>
        <v>#N/A</v>
      </c>
      <c r="U160" s="37" t="e">
        <f t="shared" si="58"/>
        <v>#N/A</v>
      </c>
      <c r="V160" s="37" t="e">
        <f t="shared" si="70"/>
        <v>#N/A</v>
      </c>
      <c r="X160" s="31" t="e">
        <f t="shared" si="59"/>
        <v>#N/A</v>
      </c>
      <c r="Y160" s="34">
        <f t="shared" si="73"/>
        <v>1.2300309069207318</v>
      </c>
      <c r="Z160" s="31" t="e">
        <f t="shared" si="60"/>
        <v>#N/A</v>
      </c>
      <c r="AA160" s="66">
        <f t="shared" si="61"/>
        <v>0</v>
      </c>
      <c r="AB160" s="6" t="e">
        <f t="shared" si="62"/>
        <v>#N/A</v>
      </c>
      <c r="AC160" s="48">
        <f t="shared" si="48"/>
        <v>0</v>
      </c>
    </row>
    <row r="161" spans="3:29" x14ac:dyDescent="0.25">
      <c r="C161" s="27" t="e">
        <f t="shared" si="63"/>
        <v>#N/A</v>
      </c>
      <c r="D161" s="30" t="e">
        <f t="shared" si="64"/>
        <v>#N/A</v>
      </c>
      <c r="E161" s="20" t="e">
        <f t="shared" si="69"/>
        <v>#N/A</v>
      </c>
      <c r="F161" s="20" t="e">
        <f t="shared" si="53"/>
        <v>#N/A</v>
      </c>
      <c r="G161" s="21" t="e">
        <f t="shared" si="54"/>
        <v>#N/A</v>
      </c>
      <c r="H161" s="24" t="e">
        <f t="shared" si="65"/>
        <v>#N/A</v>
      </c>
      <c r="I161" s="21" t="e">
        <f t="shared" si="72"/>
        <v>#N/A</v>
      </c>
      <c r="J161" s="63" t="e">
        <f t="shared" si="66"/>
        <v>#N/A</v>
      </c>
      <c r="K161" s="66" t="str">
        <f t="shared" si="71"/>
        <v/>
      </c>
      <c r="L161" s="17"/>
      <c r="M161" s="23" t="e">
        <f t="shared" si="67"/>
        <v>#N/A</v>
      </c>
      <c r="N161" s="23" t="e">
        <f t="shared" si="55"/>
        <v>#N/A</v>
      </c>
      <c r="O161" s="23" t="e">
        <f t="shared" si="56"/>
        <v>#N/A</v>
      </c>
      <c r="P161" s="17"/>
      <c r="Q161" s="19" t="e">
        <f>IF(C161="","",'Tabla_Puntual&amp;Relacionamiento'!$E$13)</f>
        <v>#N/A</v>
      </c>
      <c r="R161" s="19"/>
      <c r="S161" s="11" t="e">
        <f t="shared" si="68"/>
        <v>#N/A</v>
      </c>
      <c r="T161" s="23" t="e">
        <f t="shared" si="57"/>
        <v>#N/A</v>
      </c>
      <c r="U161" s="37" t="e">
        <f t="shared" si="58"/>
        <v>#N/A</v>
      </c>
      <c r="V161" s="37" t="e">
        <f t="shared" si="70"/>
        <v>#N/A</v>
      </c>
      <c r="X161" s="31" t="e">
        <f t="shared" si="59"/>
        <v>#N/A</v>
      </c>
      <c r="Y161" s="34">
        <f t="shared" si="73"/>
        <v>1.2300309069207318</v>
      </c>
      <c r="Z161" s="31" t="e">
        <f t="shared" si="60"/>
        <v>#N/A</v>
      </c>
      <c r="AA161" s="66">
        <f t="shared" si="61"/>
        <v>0</v>
      </c>
      <c r="AB161" s="6" t="e">
        <f t="shared" si="62"/>
        <v>#N/A</v>
      </c>
      <c r="AC161" s="48">
        <f t="shared" si="48"/>
        <v>0</v>
      </c>
    </row>
    <row r="162" spans="3:29" x14ac:dyDescent="0.25">
      <c r="C162" s="27" t="e">
        <f t="shared" si="63"/>
        <v>#N/A</v>
      </c>
      <c r="D162" s="30" t="e">
        <f t="shared" si="64"/>
        <v>#N/A</v>
      </c>
      <c r="E162" s="20" t="e">
        <f t="shared" si="69"/>
        <v>#N/A</v>
      </c>
      <c r="F162" s="20" t="e">
        <f t="shared" si="53"/>
        <v>#N/A</v>
      </c>
      <c r="G162" s="21" t="e">
        <f t="shared" si="54"/>
        <v>#N/A</v>
      </c>
      <c r="H162" s="24" t="e">
        <f t="shared" si="65"/>
        <v>#N/A</v>
      </c>
      <c r="I162" s="21" t="e">
        <f t="shared" si="72"/>
        <v>#N/A</v>
      </c>
      <c r="J162" s="63" t="e">
        <f t="shared" si="66"/>
        <v>#N/A</v>
      </c>
      <c r="K162" s="66" t="str">
        <f t="shared" si="71"/>
        <v/>
      </c>
      <c r="L162" s="17"/>
      <c r="M162" s="23" t="e">
        <f t="shared" si="67"/>
        <v>#N/A</v>
      </c>
      <c r="N162" s="23" t="e">
        <f t="shared" si="55"/>
        <v>#N/A</v>
      </c>
      <c r="O162" s="23" t="e">
        <f t="shared" si="56"/>
        <v>#N/A</v>
      </c>
      <c r="P162" s="17"/>
      <c r="Q162" s="19" t="e">
        <f>IF(C162="","",'Tabla_Puntual&amp;Relacionamiento'!$E$13)</f>
        <v>#N/A</v>
      </c>
      <c r="R162" s="19"/>
      <c r="S162" s="11" t="e">
        <f t="shared" si="68"/>
        <v>#N/A</v>
      </c>
      <c r="T162" s="23" t="e">
        <f t="shared" si="57"/>
        <v>#N/A</v>
      </c>
      <c r="U162" s="37" t="e">
        <f t="shared" si="58"/>
        <v>#N/A</v>
      </c>
      <c r="V162" s="37" t="e">
        <f t="shared" si="70"/>
        <v>#N/A</v>
      </c>
      <c r="X162" s="31" t="e">
        <f t="shared" si="59"/>
        <v>#N/A</v>
      </c>
      <c r="Y162" s="34">
        <f t="shared" si="73"/>
        <v>1.2300309069207318</v>
      </c>
      <c r="Z162" s="31" t="e">
        <f t="shared" si="60"/>
        <v>#N/A</v>
      </c>
      <c r="AA162" s="66">
        <f t="shared" si="61"/>
        <v>0</v>
      </c>
      <c r="AB162" s="6" t="e">
        <f t="shared" si="62"/>
        <v>#N/A</v>
      </c>
      <c r="AC162" s="48">
        <f t="shared" si="48"/>
        <v>0</v>
      </c>
    </row>
    <row r="163" spans="3:29" x14ac:dyDescent="0.25">
      <c r="C163" s="27" t="e">
        <f t="shared" si="63"/>
        <v>#N/A</v>
      </c>
      <c r="D163" s="30" t="e">
        <f t="shared" si="64"/>
        <v>#N/A</v>
      </c>
      <c r="E163" s="20" t="e">
        <f t="shared" si="69"/>
        <v>#N/A</v>
      </c>
      <c r="F163" s="20" t="e">
        <f t="shared" si="53"/>
        <v>#N/A</v>
      </c>
      <c r="G163" s="21" t="e">
        <f t="shared" si="54"/>
        <v>#N/A</v>
      </c>
      <c r="H163" s="24" t="e">
        <f t="shared" si="65"/>
        <v>#N/A</v>
      </c>
      <c r="I163" s="21" t="e">
        <f t="shared" si="72"/>
        <v>#N/A</v>
      </c>
      <c r="J163" s="63" t="e">
        <f t="shared" si="66"/>
        <v>#N/A</v>
      </c>
      <c r="K163" s="66" t="str">
        <f t="shared" si="71"/>
        <v/>
      </c>
      <c r="L163" s="17"/>
      <c r="M163" s="23" t="e">
        <f t="shared" si="67"/>
        <v>#N/A</v>
      </c>
      <c r="N163" s="23" t="e">
        <f t="shared" si="55"/>
        <v>#N/A</v>
      </c>
      <c r="O163" s="23" t="e">
        <f t="shared" si="56"/>
        <v>#N/A</v>
      </c>
      <c r="P163" s="17"/>
      <c r="Q163" s="19" t="e">
        <f>IF(C163="","",'Tabla_Puntual&amp;Relacionamiento'!$E$13)</f>
        <v>#N/A</v>
      </c>
      <c r="R163" s="19"/>
      <c r="S163" s="11" t="e">
        <f t="shared" si="68"/>
        <v>#N/A</v>
      </c>
      <c r="T163" s="23" t="e">
        <f t="shared" si="57"/>
        <v>#N/A</v>
      </c>
      <c r="U163" s="37" t="e">
        <f t="shared" si="58"/>
        <v>#N/A</v>
      </c>
      <c r="V163" s="37" t="e">
        <f t="shared" si="70"/>
        <v>#N/A</v>
      </c>
      <c r="X163" s="31" t="e">
        <f t="shared" si="59"/>
        <v>#N/A</v>
      </c>
      <c r="Y163" s="34">
        <f t="shared" si="73"/>
        <v>1.2300309069207318</v>
      </c>
      <c r="Z163" s="31" t="e">
        <f t="shared" si="60"/>
        <v>#N/A</v>
      </c>
      <c r="AA163" s="66">
        <f t="shared" si="61"/>
        <v>0</v>
      </c>
      <c r="AB163" s="6" t="e">
        <f t="shared" si="62"/>
        <v>#N/A</v>
      </c>
      <c r="AC163" s="48">
        <f t="shared" ref="AC163:AC226" si="74">AC162</f>
        <v>0</v>
      </c>
    </row>
    <row r="164" spans="3:29" x14ac:dyDescent="0.25">
      <c r="C164" s="27" t="e">
        <f t="shared" si="63"/>
        <v>#N/A</v>
      </c>
      <c r="D164" s="30" t="e">
        <f t="shared" si="64"/>
        <v>#N/A</v>
      </c>
      <c r="E164" s="20" t="e">
        <f t="shared" si="69"/>
        <v>#N/A</v>
      </c>
      <c r="F164" s="20" t="e">
        <f t="shared" si="53"/>
        <v>#N/A</v>
      </c>
      <c r="G164" s="21" t="e">
        <f t="shared" si="54"/>
        <v>#N/A</v>
      </c>
      <c r="H164" s="24" t="e">
        <f t="shared" si="65"/>
        <v>#N/A</v>
      </c>
      <c r="I164" s="21" t="e">
        <f t="shared" si="72"/>
        <v>#N/A</v>
      </c>
      <c r="J164" s="63" t="e">
        <f t="shared" si="66"/>
        <v>#N/A</v>
      </c>
      <c r="K164" s="66" t="str">
        <f t="shared" si="71"/>
        <v/>
      </c>
      <c r="L164" s="17"/>
      <c r="M164" s="23" t="e">
        <f t="shared" si="67"/>
        <v>#N/A</v>
      </c>
      <c r="N164" s="23" t="e">
        <f t="shared" si="55"/>
        <v>#N/A</v>
      </c>
      <c r="O164" s="23" t="e">
        <f t="shared" si="56"/>
        <v>#N/A</v>
      </c>
      <c r="P164" s="17"/>
      <c r="Q164" s="19" t="e">
        <f>IF(C164="","",'Tabla_Puntual&amp;Relacionamiento'!$E$13)</f>
        <v>#N/A</v>
      </c>
      <c r="R164" s="19"/>
      <c r="S164" s="11" t="e">
        <f t="shared" si="68"/>
        <v>#N/A</v>
      </c>
      <c r="T164" s="23" t="e">
        <f t="shared" si="57"/>
        <v>#N/A</v>
      </c>
      <c r="U164" s="37" t="e">
        <f t="shared" si="58"/>
        <v>#N/A</v>
      </c>
      <c r="V164" s="37" t="e">
        <f t="shared" si="70"/>
        <v>#N/A</v>
      </c>
      <c r="X164" s="31" t="e">
        <f t="shared" si="59"/>
        <v>#N/A</v>
      </c>
      <c r="Y164" s="34">
        <f t="shared" si="73"/>
        <v>1.2300309069207318</v>
      </c>
      <c r="Z164" s="31" t="e">
        <f t="shared" si="60"/>
        <v>#N/A</v>
      </c>
      <c r="AA164" s="66">
        <f t="shared" si="61"/>
        <v>0</v>
      </c>
      <c r="AB164" s="6" t="e">
        <f t="shared" si="62"/>
        <v>#N/A</v>
      </c>
      <c r="AC164" s="48">
        <f t="shared" si="74"/>
        <v>0</v>
      </c>
    </row>
    <row r="165" spans="3:29" x14ac:dyDescent="0.25">
      <c r="C165" s="27" t="e">
        <f t="shared" si="63"/>
        <v>#N/A</v>
      </c>
      <c r="D165" s="30" t="e">
        <f t="shared" si="64"/>
        <v>#N/A</v>
      </c>
      <c r="E165" s="20" t="e">
        <f t="shared" si="69"/>
        <v>#N/A</v>
      </c>
      <c r="F165" s="20" t="e">
        <f t="shared" si="53"/>
        <v>#N/A</v>
      </c>
      <c r="G165" s="21" t="e">
        <f t="shared" si="54"/>
        <v>#N/A</v>
      </c>
      <c r="H165" s="24" t="e">
        <f t="shared" si="65"/>
        <v>#N/A</v>
      </c>
      <c r="I165" s="21" t="e">
        <f t="shared" si="72"/>
        <v>#N/A</v>
      </c>
      <c r="J165" s="63" t="e">
        <f t="shared" si="66"/>
        <v>#N/A</v>
      </c>
      <c r="K165" s="66" t="str">
        <f t="shared" si="71"/>
        <v/>
      </c>
      <c r="L165" s="17"/>
      <c r="M165" s="23" t="e">
        <f t="shared" si="67"/>
        <v>#N/A</v>
      </c>
      <c r="N165" s="23" t="e">
        <f t="shared" si="55"/>
        <v>#N/A</v>
      </c>
      <c r="O165" s="23" t="e">
        <f t="shared" si="56"/>
        <v>#N/A</v>
      </c>
      <c r="P165" s="17"/>
      <c r="Q165" s="19" t="e">
        <f>IF(C165="","",'Tabla_Puntual&amp;Relacionamiento'!$E$14)</f>
        <v>#N/A</v>
      </c>
      <c r="R165" s="19" t="e">
        <f>IF(C165="","",IF($E$14="Pago_Bajo_Puntual",$M$17,""))</f>
        <v>#N/A</v>
      </c>
      <c r="S165" s="11" t="e">
        <f t="shared" si="68"/>
        <v>#N/A</v>
      </c>
      <c r="T165" s="23" t="e">
        <f t="shared" si="57"/>
        <v>#N/A</v>
      </c>
      <c r="U165" s="37" t="e">
        <f t="shared" si="58"/>
        <v>#N/A</v>
      </c>
      <c r="V165" s="37" t="e">
        <f t="shared" si="70"/>
        <v>#N/A</v>
      </c>
      <c r="X165" s="31" t="e">
        <f t="shared" si="59"/>
        <v>#N/A</v>
      </c>
      <c r="Y165" s="34">
        <f>Y164*1.019</f>
        <v>1.2534014941522256</v>
      </c>
      <c r="Z165" s="31" t="e">
        <f t="shared" si="60"/>
        <v>#N/A</v>
      </c>
      <c r="AA165" s="66">
        <f t="shared" si="61"/>
        <v>0</v>
      </c>
      <c r="AB165" s="6" t="e">
        <f t="shared" si="62"/>
        <v>#N/A</v>
      </c>
      <c r="AC165" s="48">
        <f>AC164+$M$17</f>
        <v>0</v>
      </c>
    </row>
    <row r="166" spans="3:29" x14ac:dyDescent="0.25">
      <c r="C166" s="27" t="e">
        <f t="shared" si="63"/>
        <v>#N/A</v>
      </c>
      <c r="D166" s="30" t="e">
        <f t="shared" si="64"/>
        <v>#N/A</v>
      </c>
      <c r="E166" s="20" t="e">
        <f t="shared" si="69"/>
        <v>#N/A</v>
      </c>
      <c r="F166" s="20" t="e">
        <f t="shared" si="53"/>
        <v>#N/A</v>
      </c>
      <c r="G166" s="21" t="e">
        <f t="shared" si="54"/>
        <v>#N/A</v>
      </c>
      <c r="H166" s="24" t="e">
        <f t="shared" si="65"/>
        <v>#N/A</v>
      </c>
      <c r="I166" s="21" t="e">
        <f t="shared" si="72"/>
        <v>#N/A</v>
      </c>
      <c r="J166" s="63" t="e">
        <f t="shared" si="66"/>
        <v>#N/A</v>
      </c>
      <c r="K166" s="66" t="str">
        <f t="shared" si="71"/>
        <v/>
      </c>
      <c r="L166" s="17"/>
      <c r="M166" s="23" t="e">
        <f t="shared" si="67"/>
        <v>#N/A</v>
      </c>
      <c r="N166" s="23" t="e">
        <f t="shared" si="55"/>
        <v>#N/A</v>
      </c>
      <c r="O166" s="23" t="e">
        <f t="shared" si="56"/>
        <v>#N/A</v>
      </c>
      <c r="P166" s="17"/>
      <c r="Q166" s="19" t="e">
        <f>IF(C166="","",'Tabla_Puntual&amp;Relacionamiento'!$E$14)</f>
        <v>#N/A</v>
      </c>
      <c r="R166" s="19"/>
      <c r="S166" s="11" t="e">
        <f t="shared" si="68"/>
        <v>#N/A</v>
      </c>
      <c r="T166" s="23" t="e">
        <f t="shared" si="57"/>
        <v>#N/A</v>
      </c>
      <c r="U166" s="37" t="e">
        <f t="shared" si="58"/>
        <v>#N/A</v>
      </c>
      <c r="V166" s="37" t="e">
        <f t="shared" si="70"/>
        <v>#N/A</v>
      </c>
      <c r="X166" s="31" t="e">
        <f t="shared" si="59"/>
        <v>#N/A</v>
      </c>
      <c r="Y166" s="34">
        <f t="shared" ref="Y166:Y176" si="75">Y165</f>
        <v>1.2534014941522256</v>
      </c>
      <c r="Z166" s="31" t="e">
        <f t="shared" si="60"/>
        <v>#N/A</v>
      </c>
      <c r="AA166" s="66">
        <f t="shared" si="61"/>
        <v>0</v>
      </c>
      <c r="AB166" s="6" t="e">
        <f t="shared" si="62"/>
        <v>#N/A</v>
      </c>
      <c r="AC166" s="48">
        <f t="shared" si="74"/>
        <v>0</v>
      </c>
    </row>
    <row r="167" spans="3:29" x14ac:dyDescent="0.25">
      <c r="C167" s="27" t="e">
        <f t="shared" si="63"/>
        <v>#N/A</v>
      </c>
      <c r="D167" s="30" t="e">
        <f t="shared" si="64"/>
        <v>#N/A</v>
      </c>
      <c r="E167" s="20" t="e">
        <f t="shared" si="69"/>
        <v>#N/A</v>
      </c>
      <c r="F167" s="20" t="e">
        <f t="shared" si="53"/>
        <v>#N/A</v>
      </c>
      <c r="G167" s="21" t="e">
        <f t="shared" si="54"/>
        <v>#N/A</v>
      </c>
      <c r="H167" s="24" t="e">
        <f t="shared" si="65"/>
        <v>#N/A</v>
      </c>
      <c r="I167" s="21" t="e">
        <f t="shared" si="72"/>
        <v>#N/A</v>
      </c>
      <c r="J167" s="63" t="e">
        <f t="shared" si="66"/>
        <v>#N/A</v>
      </c>
      <c r="K167" s="66" t="str">
        <f t="shared" si="71"/>
        <v/>
      </c>
      <c r="L167" s="17"/>
      <c r="M167" s="23" t="e">
        <f t="shared" si="67"/>
        <v>#N/A</v>
      </c>
      <c r="N167" s="23" t="e">
        <f t="shared" si="55"/>
        <v>#N/A</v>
      </c>
      <c r="O167" s="23" t="e">
        <f t="shared" si="56"/>
        <v>#N/A</v>
      </c>
      <c r="P167" s="17"/>
      <c r="Q167" s="19" t="e">
        <f>IF(C167="","",'Tabla_Puntual&amp;Relacionamiento'!$E$14)</f>
        <v>#N/A</v>
      </c>
      <c r="R167" s="19"/>
      <c r="S167" s="11" t="e">
        <f t="shared" si="68"/>
        <v>#N/A</v>
      </c>
      <c r="T167" s="23" t="e">
        <f t="shared" si="57"/>
        <v>#N/A</v>
      </c>
      <c r="U167" s="37" t="e">
        <f t="shared" si="58"/>
        <v>#N/A</v>
      </c>
      <c r="V167" s="37" t="e">
        <f t="shared" si="70"/>
        <v>#N/A</v>
      </c>
      <c r="X167" s="31" t="e">
        <f t="shared" si="59"/>
        <v>#N/A</v>
      </c>
      <c r="Y167" s="34">
        <f t="shared" si="75"/>
        <v>1.2534014941522256</v>
      </c>
      <c r="Z167" s="31" t="e">
        <f t="shared" si="60"/>
        <v>#N/A</v>
      </c>
      <c r="AA167" s="66">
        <f t="shared" si="61"/>
        <v>0</v>
      </c>
      <c r="AB167" s="6" t="e">
        <f t="shared" si="62"/>
        <v>#N/A</v>
      </c>
      <c r="AC167" s="48">
        <f t="shared" si="74"/>
        <v>0</v>
      </c>
    </row>
    <row r="168" spans="3:29" x14ac:dyDescent="0.25">
      <c r="C168" s="27" t="e">
        <f t="shared" si="63"/>
        <v>#N/A</v>
      </c>
      <c r="D168" s="30" t="e">
        <f t="shared" si="64"/>
        <v>#N/A</v>
      </c>
      <c r="E168" s="20" t="e">
        <f t="shared" si="69"/>
        <v>#N/A</v>
      </c>
      <c r="F168" s="20" t="e">
        <f t="shared" si="53"/>
        <v>#N/A</v>
      </c>
      <c r="G168" s="21" t="e">
        <f t="shared" si="54"/>
        <v>#N/A</v>
      </c>
      <c r="H168" s="24" t="e">
        <f t="shared" si="65"/>
        <v>#N/A</v>
      </c>
      <c r="I168" s="21" t="e">
        <f t="shared" si="72"/>
        <v>#N/A</v>
      </c>
      <c r="J168" s="63" t="e">
        <f t="shared" si="66"/>
        <v>#N/A</v>
      </c>
      <c r="K168" s="66" t="str">
        <f t="shared" si="71"/>
        <v/>
      </c>
      <c r="L168" s="17"/>
      <c r="M168" s="23" t="e">
        <f t="shared" si="67"/>
        <v>#N/A</v>
      </c>
      <c r="N168" s="23" t="e">
        <f t="shared" si="55"/>
        <v>#N/A</v>
      </c>
      <c r="O168" s="23" t="e">
        <f t="shared" si="56"/>
        <v>#N/A</v>
      </c>
      <c r="P168" s="17"/>
      <c r="Q168" s="19" t="e">
        <f>IF(C168="","",'Tabla_Puntual&amp;Relacionamiento'!$E$14)</f>
        <v>#N/A</v>
      </c>
      <c r="R168" s="19"/>
      <c r="S168" s="11" t="e">
        <f t="shared" si="68"/>
        <v>#N/A</v>
      </c>
      <c r="T168" s="23" t="e">
        <f t="shared" si="57"/>
        <v>#N/A</v>
      </c>
      <c r="U168" s="37" t="e">
        <f t="shared" si="58"/>
        <v>#N/A</v>
      </c>
      <c r="V168" s="37" t="e">
        <f t="shared" si="70"/>
        <v>#N/A</v>
      </c>
      <c r="X168" s="31" t="e">
        <f t="shared" si="59"/>
        <v>#N/A</v>
      </c>
      <c r="Y168" s="34">
        <f t="shared" si="75"/>
        <v>1.2534014941522256</v>
      </c>
      <c r="Z168" s="31" t="e">
        <f t="shared" si="60"/>
        <v>#N/A</v>
      </c>
      <c r="AA168" s="66">
        <f t="shared" si="61"/>
        <v>0</v>
      </c>
      <c r="AB168" s="6" t="e">
        <f t="shared" si="62"/>
        <v>#N/A</v>
      </c>
      <c r="AC168" s="48">
        <f t="shared" si="74"/>
        <v>0</v>
      </c>
    </row>
    <row r="169" spans="3:29" x14ac:dyDescent="0.25">
      <c r="C169" s="27" t="e">
        <f t="shared" si="63"/>
        <v>#N/A</v>
      </c>
      <c r="D169" s="30" t="e">
        <f t="shared" si="64"/>
        <v>#N/A</v>
      </c>
      <c r="E169" s="20" t="e">
        <f t="shared" si="69"/>
        <v>#N/A</v>
      </c>
      <c r="F169" s="20" t="e">
        <f t="shared" si="53"/>
        <v>#N/A</v>
      </c>
      <c r="G169" s="21" t="e">
        <f t="shared" si="54"/>
        <v>#N/A</v>
      </c>
      <c r="H169" s="24" t="e">
        <f t="shared" si="65"/>
        <v>#N/A</v>
      </c>
      <c r="I169" s="21" t="e">
        <f t="shared" si="72"/>
        <v>#N/A</v>
      </c>
      <c r="J169" s="63" t="e">
        <f t="shared" si="66"/>
        <v>#N/A</v>
      </c>
      <c r="K169" s="66" t="str">
        <f t="shared" si="71"/>
        <v/>
      </c>
      <c r="L169" s="17"/>
      <c r="M169" s="23" t="e">
        <f t="shared" si="67"/>
        <v>#N/A</v>
      </c>
      <c r="N169" s="23" t="e">
        <f t="shared" si="55"/>
        <v>#N/A</v>
      </c>
      <c r="O169" s="23" t="e">
        <f t="shared" si="56"/>
        <v>#N/A</v>
      </c>
      <c r="P169" s="17"/>
      <c r="Q169" s="19" t="e">
        <f>IF(C169="","",'Tabla_Puntual&amp;Relacionamiento'!$E$14)</f>
        <v>#N/A</v>
      </c>
      <c r="R169" s="19"/>
      <c r="S169" s="11" t="e">
        <f t="shared" si="68"/>
        <v>#N/A</v>
      </c>
      <c r="T169" s="23" t="e">
        <f t="shared" si="57"/>
        <v>#N/A</v>
      </c>
      <c r="U169" s="37" t="e">
        <f t="shared" si="58"/>
        <v>#N/A</v>
      </c>
      <c r="V169" s="37" t="e">
        <f t="shared" si="70"/>
        <v>#N/A</v>
      </c>
      <c r="X169" s="31" t="e">
        <f t="shared" si="59"/>
        <v>#N/A</v>
      </c>
      <c r="Y169" s="34">
        <f t="shared" si="75"/>
        <v>1.2534014941522256</v>
      </c>
      <c r="Z169" s="31" t="e">
        <f t="shared" si="60"/>
        <v>#N/A</v>
      </c>
      <c r="AA169" s="66">
        <f t="shared" si="61"/>
        <v>0</v>
      </c>
      <c r="AB169" s="6" t="e">
        <f t="shared" si="62"/>
        <v>#N/A</v>
      </c>
      <c r="AC169" s="48">
        <f t="shared" si="74"/>
        <v>0</v>
      </c>
    </row>
    <row r="170" spans="3:29" x14ac:dyDescent="0.25">
      <c r="C170" s="27" t="e">
        <f t="shared" si="63"/>
        <v>#N/A</v>
      </c>
      <c r="D170" s="30" t="e">
        <f t="shared" si="64"/>
        <v>#N/A</v>
      </c>
      <c r="E170" s="20" t="e">
        <f t="shared" si="69"/>
        <v>#N/A</v>
      </c>
      <c r="F170" s="20" t="e">
        <f t="shared" si="53"/>
        <v>#N/A</v>
      </c>
      <c r="G170" s="21" t="e">
        <f t="shared" si="54"/>
        <v>#N/A</v>
      </c>
      <c r="H170" s="24" t="e">
        <f t="shared" si="65"/>
        <v>#N/A</v>
      </c>
      <c r="I170" s="21" t="e">
        <f t="shared" si="72"/>
        <v>#N/A</v>
      </c>
      <c r="J170" s="63" t="e">
        <f t="shared" si="66"/>
        <v>#N/A</v>
      </c>
      <c r="K170" s="66" t="str">
        <f t="shared" si="71"/>
        <v/>
      </c>
      <c r="L170" s="17"/>
      <c r="M170" s="23" t="e">
        <f t="shared" si="67"/>
        <v>#N/A</v>
      </c>
      <c r="N170" s="23" t="e">
        <f t="shared" si="55"/>
        <v>#N/A</v>
      </c>
      <c r="O170" s="23" t="e">
        <f t="shared" si="56"/>
        <v>#N/A</v>
      </c>
      <c r="P170" s="17"/>
      <c r="Q170" s="19" t="e">
        <f>IF(C170="","",'Tabla_Puntual&amp;Relacionamiento'!$E$14)</f>
        <v>#N/A</v>
      </c>
      <c r="R170" s="19"/>
      <c r="S170" s="11" t="e">
        <f t="shared" si="68"/>
        <v>#N/A</v>
      </c>
      <c r="T170" s="23" t="e">
        <f t="shared" si="57"/>
        <v>#N/A</v>
      </c>
      <c r="U170" s="37" t="e">
        <f t="shared" si="58"/>
        <v>#N/A</v>
      </c>
      <c r="V170" s="37" t="e">
        <f t="shared" si="70"/>
        <v>#N/A</v>
      </c>
      <c r="X170" s="31" t="e">
        <f t="shared" si="59"/>
        <v>#N/A</v>
      </c>
      <c r="Y170" s="34">
        <f t="shared" si="75"/>
        <v>1.2534014941522256</v>
      </c>
      <c r="Z170" s="31" t="e">
        <f t="shared" si="60"/>
        <v>#N/A</v>
      </c>
      <c r="AA170" s="66">
        <f t="shared" si="61"/>
        <v>0</v>
      </c>
      <c r="AB170" s="6" t="e">
        <f t="shared" si="62"/>
        <v>#N/A</v>
      </c>
      <c r="AC170" s="48">
        <f t="shared" si="74"/>
        <v>0</v>
      </c>
    </row>
    <row r="171" spans="3:29" x14ac:dyDescent="0.25">
      <c r="C171" s="27" t="e">
        <f t="shared" si="63"/>
        <v>#N/A</v>
      </c>
      <c r="D171" s="30" t="e">
        <f t="shared" si="64"/>
        <v>#N/A</v>
      </c>
      <c r="E171" s="20" t="e">
        <f t="shared" si="69"/>
        <v>#N/A</v>
      </c>
      <c r="F171" s="20" t="e">
        <f t="shared" si="53"/>
        <v>#N/A</v>
      </c>
      <c r="G171" s="21" t="e">
        <f t="shared" si="54"/>
        <v>#N/A</v>
      </c>
      <c r="H171" s="24" t="e">
        <f t="shared" si="65"/>
        <v>#N/A</v>
      </c>
      <c r="I171" s="21" t="e">
        <f t="shared" si="72"/>
        <v>#N/A</v>
      </c>
      <c r="J171" s="63" t="e">
        <f t="shared" si="66"/>
        <v>#N/A</v>
      </c>
      <c r="K171" s="66" t="str">
        <f t="shared" si="71"/>
        <v/>
      </c>
      <c r="L171" s="17"/>
      <c r="M171" s="23" t="e">
        <f t="shared" si="67"/>
        <v>#N/A</v>
      </c>
      <c r="N171" s="23" t="e">
        <f t="shared" si="55"/>
        <v>#N/A</v>
      </c>
      <c r="O171" s="23" t="e">
        <f t="shared" si="56"/>
        <v>#N/A</v>
      </c>
      <c r="P171" s="17"/>
      <c r="Q171" s="19" t="e">
        <f>IF(C171="","",'Tabla_Puntual&amp;Relacionamiento'!$E$14)</f>
        <v>#N/A</v>
      </c>
      <c r="R171" s="19"/>
      <c r="S171" s="11" t="e">
        <f t="shared" si="68"/>
        <v>#N/A</v>
      </c>
      <c r="T171" s="23" t="e">
        <f t="shared" si="57"/>
        <v>#N/A</v>
      </c>
      <c r="U171" s="37" t="e">
        <f t="shared" si="58"/>
        <v>#N/A</v>
      </c>
      <c r="V171" s="37" t="e">
        <f t="shared" si="70"/>
        <v>#N/A</v>
      </c>
      <c r="X171" s="31" t="e">
        <f t="shared" si="59"/>
        <v>#N/A</v>
      </c>
      <c r="Y171" s="34">
        <f t="shared" si="75"/>
        <v>1.2534014941522256</v>
      </c>
      <c r="Z171" s="31" t="e">
        <f t="shared" si="60"/>
        <v>#N/A</v>
      </c>
      <c r="AA171" s="66">
        <f t="shared" si="61"/>
        <v>0</v>
      </c>
      <c r="AB171" s="6" t="e">
        <f t="shared" si="62"/>
        <v>#N/A</v>
      </c>
      <c r="AC171" s="48">
        <f t="shared" si="74"/>
        <v>0</v>
      </c>
    </row>
    <row r="172" spans="3:29" x14ac:dyDescent="0.25">
      <c r="C172" s="27" t="e">
        <f t="shared" si="63"/>
        <v>#N/A</v>
      </c>
      <c r="D172" s="30" t="e">
        <f t="shared" si="64"/>
        <v>#N/A</v>
      </c>
      <c r="E172" s="20" t="e">
        <f t="shared" si="69"/>
        <v>#N/A</v>
      </c>
      <c r="F172" s="20" t="e">
        <f t="shared" si="53"/>
        <v>#N/A</v>
      </c>
      <c r="G172" s="21" t="e">
        <f t="shared" si="54"/>
        <v>#N/A</v>
      </c>
      <c r="H172" s="24" t="e">
        <f t="shared" si="65"/>
        <v>#N/A</v>
      </c>
      <c r="I172" s="21" t="e">
        <f t="shared" si="72"/>
        <v>#N/A</v>
      </c>
      <c r="J172" s="63" t="e">
        <f t="shared" si="66"/>
        <v>#N/A</v>
      </c>
      <c r="K172" s="66" t="str">
        <f t="shared" si="71"/>
        <v/>
      </c>
      <c r="L172" s="17"/>
      <c r="M172" s="23" t="e">
        <f t="shared" si="67"/>
        <v>#N/A</v>
      </c>
      <c r="N172" s="23" t="e">
        <f t="shared" si="55"/>
        <v>#N/A</v>
      </c>
      <c r="O172" s="23" t="e">
        <f t="shared" si="56"/>
        <v>#N/A</v>
      </c>
      <c r="P172" s="17"/>
      <c r="Q172" s="19" t="e">
        <f>IF(C172="","",'Tabla_Puntual&amp;Relacionamiento'!$E$14)</f>
        <v>#N/A</v>
      </c>
      <c r="R172" s="19"/>
      <c r="S172" s="11" t="e">
        <f t="shared" si="68"/>
        <v>#N/A</v>
      </c>
      <c r="T172" s="23" t="e">
        <f t="shared" si="57"/>
        <v>#N/A</v>
      </c>
      <c r="U172" s="37" t="e">
        <f t="shared" si="58"/>
        <v>#N/A</v>
      </c>
      <c r="V172" s="37" t="e">
        <f t="shared" si="70"/>
        <v>#N/A</v>
      </c>
      <c r="X172" s="31" t="e">
        <f t="shared" si="59"/>
        <v>#N/A</v>
      </c>
      <c r="Y172" s="34">
        <f t="shared" si="75"/>
        <v>1.2534014941522256</v>
      </c>
      <c r="Z172" s="31" t="e">
        <f t="shared" si="60"/>
        <v>#N/A</v>
      </c>
      <c r="AA172" s="66">
        <f t="shared" si="61"/>
        <v>0</v>
      </c>
      <c r="AB172" s="6" t="e">
        <f t="shared" si="62"/>
        <v>#N/A</v>
      </c>
      <c r="AC172" s="48">
        <f t="shared" si="74"/>
        <v>0</v>
      </c>
    </row>
    <row r="173" spans="3:29" x14ac:dyDescent="0.25">
      <c r="C173" s="27" t="e">
        <f t="shared" si="63"/>
        <v>#N/A</v>
      </c>
      <c r="D173" s="30" t="e">
        <f t="shared" si="64"/>
        <v>#N/A</v>
      </c>
      <c r="E173" s="20" t="e">
        <f t="shared" si="69"/>
        <v>#N/A</v>
      </c>
      <c r="F173" s="20" t="e">
        <f t="shared" si="53"/>
        <v>#N/A</v>
      </c>
      <c r="G173" s="21" t="e">
        <f t="shared" si="54"/>
        <v>#N/A</v>
      </c>
      <c r="H173" s="24" t="e">
        <f t="shared" si="65"/>
        <v>#N/A</v>
      </c>
      <c r="I173" s="21" t="e">
        <f t="shared" si="72"/>
        <v>#N/A</v>
      </c>
      <c r="J173" s="63" t="e">
        <f t="shared" si="66"/>
        <v>#N/A</v>
      </c>
      <c r="K173" s="66" t="str">
        <f t="shared" si="71"/>
        <v/>
      </c>
      <c r="L173" s="17"/>
      <c r="M173" s="23" t="e">
        <f t="shared" si="67"/>
        <v>#N/A</v>
      </c>
      <c r="N173" s="23" t="e">
        <f t="shared" si="55"/>
        <v>#N/A</v>
      </c>
      <c r="O173" s="23" t="e">
        <f t="shared" si="56"/>
        <v>#N/A</v>
      </c>
      <c r="P173" s="17"/>
      <c r="Q173" s="19" t="e">
        <f>IF(C173="","",'Tabla_Puntual&amp;Relacionamiento'!$E$14)</f>
        <v>#N/A</v>
      </c>
      <c r="R173" s="19"/>
      <c r="S173" s="11" t="e">
        <f t="shared" si="68"/>
        <v>#N/A</v>
      </c>
      <c r="T173" s="23" t="e">
        <f t="shared" si="57"/>
        <v>#N/A</v>
      </c>
      <c r="U173" s="37" t="e">
        <f t="shared" si="58"/>
        <v>#N/A</v>
      </c>
      <c r="V173" s="37" t="e">
        <f t="shared" si="70"/>
        <v>#N/A</v>
      </c>
      <c r="X173" s="31" t="e">
        <f t="shared" si="59"/>
        <v>#N/A</v>
      </c>
      <c r="Y173" s="34">
        <f t="shared" si="75"/>
        <v>1.2534014941522256</v>
      </c>
      <c r="Z173" s="31" t="e">
        <f t="shared" si="60"/>
        <v>#N/A</v>
      </c>
      <c r="AA173" s="66">
        <f t="shared" si="61"/>
        <v>0</v>
      </c>
      <c r="AB173" s="6" t="e">
        <f t="shared" si="62"/>
        <v>#N/A</v>
      </c>
      <c r="AC173" s="48">
        <f t="shared" si="74"/>
        <v>0</v>
      </c>
    </row>
    <row r="174" spans="3:29" x14ac:dyDescent="0.25">
      <c r="C174" s="27" t="e">
        <f t="shared" si="63"/>
        <v>#N/A</v>
      </c>
      <c r="D174" s="30" t="e">
        <f t="shared" si="64"/>
        <v>#N/A</v>
      </c>
      <c r="E174" s="20" t="e">
        <f t="shared" si="69"/>
        <v>#N/A</v>
      </c>
      <c r="F174" s="20" t="e">
        <f t="shared" si="53"/>
        <v>#N/A</v>
      </c>
      <c r="G174" s="21" t="e">
        <f t="shared" si="54"/>
        <v>#N/A</v>
      </c>
      <c r="H174" s="24" t="e">
        <f t="shared" si="65"/>
        <v>#N/A</v>
      </c>
      <c r="I174" s="21" t="e">
        <f t="shared" si="72"/>
        <v>#N/A</v>
      </c>
      <c r="J174" s="63" t="e">
        <f t="shared" si="66"/>
        <v>#N/A</v>
      </c>
      <c r="K174" s="66" t="str">
        <f t="shared" si="71"/>
        <v/>
      </c>
      <c r="L174" s="17"/>
      <c r="M174" s="23" t="e">
        <f t="shared" si="67"/>
        <v>#N/A</v>
      </c>
      <c r="N174" s="23" t="e">
        <f t="shared" si="55"/>
        <v>#N/A</v>
      </c>
      <c r="O174" s="23" t="e">
        <f t="shared" si="56"/>
        <v>#N/A</v>
      </c>
      <c r="P174" s="17"/>
      <c r="Q174" s="19" t="e">
        <f>IF(C174="","",'Tabla_Puntual&amp;Relacionamiento'!$E$14)</f>
        <v>#N/A</v>
      </c>
      <c r="R174" s="19"/>
      <c r="S174" s="11" t="e">
        <f t="shared" si="68"/>
        <v>#N/A</v>
      </c>
      <c r="T174" s="23" t="e">
        <f t="shared" si="57"/>
        <v>#N/A</v>
      </c>
      <c r="U174" s="37" t="e">
        <f t="shared" si="58"/>
        <v>#N/A</v>
      </c>
      <c r="V174" s="37" t="e">
        <f t="shared" si="70"/>
        <v>#N/A</v>
      </c>
      <c r="X174" s="31" t="e">
        <f t="shared" si="59"/>
        <v>#N/A</v>
      </c>
      <c r="Y174" s="34">
        <f t="shared" si="75"/>
        <v>1.2534014941522256</v>
      </c>
      <c r="Z174" s="31" t="e">
        <f t="shared" si="60"/>
        <v>#N/A</v>
      </c>
      <c r="AA174" s="66">
        <f t="shared" si="61"/>
        <v>0</v>
      </c>
      <c r="AB174" s="6" t="e">
        <f t="shared" si="62"/>
        <v>#N/A</v>
      </c>
      <c r="AC174" s="48">
        <f t="shared" si="74"/>
        <v>0</v>
      </c>
    </row>
    <row r="175" spans="3:29" x14ac:dyDescent="0.25">
      <c r="C175" s="27" t="e">
        <f t="shared" si="63"/>
        <v>#N/A</v>
      </c>
      <c r="D175" s="30" t="e">
        <f t="shared" si="64"/>
        <v>#N/A</v>
      </c>
      <c r="E175" s="20" t="e">
        <f t="shared" si="69"/>
        <v>#N/A</v>
      </c>
      <c r="F175" s="20" t="e">
        <f t="shared" si="53"/>
        <v>#N/A</v>
      </c>
      <c r="G175" s="21" t="e">
        <f t="shared" si="54"/>
        <v>#N/A</v>
      </c>
      <c r="H175" s="24" t="e">
        <f t="shared" si="65"/>
        <v>#N/A</v>
      </c>
      <c r="I175" s="21" t="e">
        <f t="shared" si="72"/>
        <v>#N/A</v>
      </c>
      <c r="J175" s="63" t="e">
        <f t="shared" si="66"/>
        <v>#N/A</v>
      </c>
      <c r="K175" s="66" t="str">
        <f t="shared" si="71"/>
        <v/>
      </c>
      <c r="L175" s="17"/>
      <c r="M175" s="23" t="e">
        <f t="shared" si="67"/>
        <v>#N/A</v>
      </c>
      <c r="N175" s="23" t="e">
        <f t="shared" si="55"/>
        <v>#N/A</v>
      </c>
      <c r="O175" s="23" t="e">
        <f t="shared" si="56"/>
        <v>#N/A</v>
      </c>
      <c r="P175" s="17"/>
      <c r="Q175" s="19" t="e">
        <f>IF(C175="","",'Tabla_Puntual&amp;Relacionamiento'!$E$14)</f>
        <v>#N/A</v>
      </c>
      <c r="R175" s="19"/>
      <c r="S175" s="11" t="e">
        <f t="shared" si="68"/>
        <v>#N/A</v>
      </c>
      <c r="T175" s="23" t="e">
        <f t="shared" si="57"/>
        <v>#N/A</v>
      </c>
      <c r="U175" s="37" t="e">
        <f t="shared" si="58"/>
        <v>#N/A</v>
      </c>
      <c r="V175" s="37" t="e">
        <f t="shared" si="70"/>
        <v>#N/A</v>
      </c>
      <c r="X175" s="31" t="e">
        <f t="shared" si="59"/>
        <v>#N/A</v>
      </c>
      <c r="Y175" s="34">
        <f t="shared" si="75"/>
        <v>1.2534014941522256</v>
      </c>
      <c r="Z175" s="31" t="e">
        <f t="shared" si="60"/>
        <v>#N/A</v>
      </c>
      <c r="AA175" s="66">
        <f t="shared" si="61"/>
        <v>0</v>
      </c>
      <c r="AB175" s="6" t="e">
        <f t="shared" si="62"/>
        <v>#N/A</v>
      </c>
      <c r="AC175" s="48">
        <f t="shared" si="74"/>
        <v>0</v>
      </c>
    </row>
    <row r="176" spans="3:29" x14ac:dyDescent="0.25">
      <c r="C176" s="27" t="e">
        <f t="shared" si="63"/>
        <v>#N/A</v>
      </c>
      <c r="D176" s="30" t="e">
        <f t="shared" si="64"/>
        <v>#N/A</v>
      </c>
      <c r="E176" s="20" t="e">
        <f t="shared" si="69"/>
        <v>#N/A</v>
      </c>
      <c r="F176" s="20" t="e">
        <f t="shared" si="53"/>
        <v>#N/A</v>
      </c>
      <c r="G176" s="21" t="e">
        <f t="shared" si="54"/>
        <v>#N/A</v>
      </c>
      <c r="H176" s="24" t="e">
        <f t="shared" si="65"/>
        <v>#N/A</v>
      </c>
      <c r="I176" s="21" t="e">
        <f t="shared" si="72"/>
        <v>#N/A</v>
      </c>
      <c r="J176" s="63" t="e">
        <f t="shared" si="66"/>
        <v>#N/A</v>
      </c>
      <c r="K176" s="66" t="str">
        <f t="shared" si="71"/>
        <v/>
      </c>
      <c r="L176" s="17"/>
      <c r="M176" s="23" t="e">
        <f t="shared" si="67"/>
        <v>#N/A</v>
      </c>
      <c r="N176" s="23" t="e">
        <f t="shared" si="55"/>
        <v>#N/A</v>
      </c>
      <c r="O176" s="23" t="e">
        <f t="shared" si="56"/>
        <v>#N/A</v>
      </c>
      <c r="P176" s="17"/>
      <c r="Q176" s="19" t="e">
        <f>IF(C176="","",'Tabla_Puntual&amp;Relacionamiento'!$E$14)</f>
        <v>#N/A</v>
      </c>
      <c r="R176" s="19"/>
      <c r="S176" s="11" t="e">
        <f t="shared" si="68"/>
        <v>#N/A</v>
      </c>
      <c r="T176" s="23" t="e">
        <f t="shared" si="57"/>
        <v>#N/A</v>
      </c>
      <c r="U176" s="37" t="e">
        <f t="shared" si="58"/>
        <v>#N/A</v>
      </c>
      <c r="V176" s="37" t="e">
        <f t="shared" si="70"/>
        <v>#N/A</v>
      </c>
      <c r="X176" s="31" t="e">
        <f t="shared" si="59"/>
        <v>#N/A</v>
      </c>
      <c r="Y176" s="34">
        <f t="shared" si="75"/>
        <v>1.2534014941522256</v>
      </c>
      <c r="Z176" s="31" t="e">
        <f t="shared" si="60"/>
        <v>#N/A</v>
      </c>
      <c r="AA176" s="66">
        <f t="shared" si="61"/>
        <v>0</v>
      </c>
      <c r="AB176" s="6" t="e">
        <f t="shared" si="62"/>
        <v>#N/A</v>
      </c>
      <c r="AC176" s="48">
        <f t="shared" si="74"/>
        <v>0</v>
      </c>
    </row>
    <row r="177" spans="3:29" x14ac:dyDescent="0.25">
      <c r="C177" s="27" t="e">
        <f t="shared" si="63"/>
        <v>#N/A</v>
      </c>
      <c r="D177" s="30" t="e">
        <f t="shared" si="64"/>
        <v>#N/A</v>
      </c>
      <c r="E177" s="20" t="e">
        <f t="shared" si="69"/>
        <v>#N/A</v>
      </c>
      <c r="F177" s="20" t="e">
        <f t="shared" si="53"/>
        <v>#N/A</v>
      </c>
      <c r="G177" s="21" t="e">
        <f t="shared" si="54"/>
        <v>#N/A</v>
      </c>
      <c r="H177" s="24" t="e">
        <f t="shared" si="65"/>
        <v>#N/A</v>
      </c>
      <c r="I177" s="21" t="e">
        <f t="shared" si="72"/>
        <v>#N/A</v>
      </c>
      <c r="J177" s="63" t="e">
        <f t="shared" si="66"/>
        <v>#N/A</v>
      </c>
      <c r="K177" s="66" t="str">
        <f t="shared" si="71"/>
        <v/>
      </c>
      <c r="L177" s="17"/>
      <c r="M177" s="23" t="e">
        <f t="shared" si="67"/>
        <v>#N/A</v>
      </c>
      <c r="N177" s="23" t="e">
        <f t="shared" si="55"/>
        <v>#N/A</v>
      </c>
      <c r="O177" s="23" t="e">
        <f t="shared" si="56"/>
        <v>#N/A</v>
      </c>
      <c r="P177" s="17"/>
      <c r="Q177" s="19" t="e">
        <f>IF(C177="","",'Tabla_Puntual&amp;Relacionamiento'!$E$15)</f>
        <v>#N/A</v>
      </c>
      <c r="R177" s="19" t="e">
        <f>IF(C177="","",IF($E$14="Pago_Bajo_Puntual",$M$17,""))</f>
        <v>#N/A</v>
      </c>
      <c r="S177" s="11" t="e">
        <f t="shared" si="68"/>
        <v>#N/A</v>
      </c>
      <c r="T177" s="23" t="e">
        <f t="shared" si="57"/>
        <v>#N/A</v>
      </c>
      <c r="U177" s="37" t="e">
        <f t="shared" si="58"/>
        <v>#N/A</v>
      </c>
      <c r="V177" s="37" t="e">
        <f t="shared" si="70"/>
        <v>#N/A</v>
      </c>
      <c r="X177" s="31" t="e">
        <f t="shared" si="59"/>
        <v>#N/A</v>
      </c>
      <c r="Y177" s="34">
        <f>Y176*1.019</f>
        <v>1.2772161225411178</v>
      </c>
      <c r="Z177" s="31" t="e">
        <f t="shared" si="60"/>
        <v>#N/A</v>
      </c>
      <c r="AA177" s="66">
        <f t="shared" si="61"/>
        <v>0</v>
      </c>
      <c r="AB177" s="6" t="e">
        <f t="shared" si="62"/>
        <v>#N/A</v>
      </c>
      <c r="AC177" s="48">
        <f>AC176+$M$17</f>
        <v>0</v>
      </c>
    </row>
    <row r="178" spans="3:29" x14ac:dyDescent="0.25">
      <c r="C178" s="27" t="e">
        <f t="shared" si="63"/>
        <v>#N/A</v>
      </c>
      <c r="D178" s="30" t="e">
        <f t="shared" si="64"/>
        <v>#N/A</v>
      </c>
      <c r="E178" s="20" t="e">
        <f t="shared" si="69"/>
        <v>#N/A</v>
      </c>
      <c r="F178" s="20" t="e">
        <f t="shared" si="53"/>
        <v>#N/A</v>
      </c>
      <c r="G178" s="21" t="e">
        <f t="shared" si="54"/>
        <v>#N/A</v>
      </c>
      <c r="H178" s="24" t="e">
        <f t="shared" si="65"/>
        <v>#N/A</v>
      </c>
      <c r="I178" s="21" t="e">
        <f t="shared" si="72"/>
        <v>#N/A</v>
      </c>
      <c r="J178" s="63" t="e">
        <f t="shared" si="66"/>
        <v>#N/A</v>
      </c>
      <c r="K178" s="66" t="str">
        <f t="shared" si="71"/>
        <v/>
      </c>
      <c r="L178" s="17"/>
      <c r="M178" s="23" t="e">
        <f t="shared" si="67"/>
        <v>#N/A</v>
      </c>
      <c r="N178" s="23" t="e">
        <f t="shared" si="55"/>
        <v>#N/A</v>
      </c>
      <c r="O178" s="23" t="e">
        <f t="shared" si="56"/>
        <v>#N/A</v>
      </c>
      <c r="P178" s="17"/>
      <c r="Q178" s="19" t="e">
        <f>IF(C178="","",'Tabla_Puntual&amp;Relacionamiento'!$E$15)</f>
        <v>#N/A</v>
      </c>
      <c r="R178" s="19"/>
      <c r="S178" s="11" t="e">
        <f t="shared" si="68"/>
        <v>#N/A</v>
      </c>
      <c r="T178" s="23" t="e">
        <f t="shared" si="57"/>
        <v>#N/A</v>
      </c>
      <c r="U178" s="37" t="e">
        <f t="shared" si="58"/>
        <v>#N/A</v>
      </c>
      <c r="V178" s="37" t="e">
        <f t="shared" si="70"/>
        <v>#N/A</v>
      </c>
      <c r="X178" s="31" t="e">
        <f t="shared" si="59"/>
        <v>#N/A</v>
      </c>
      <c r="Y178" s="34">
        <f t="shared" ref="Y178:Y188" si="76">Y177</f>
        <v>1.2772161225411178</v>
      </c>
      <c r="Z178" s="31" t="e">
        <f t="shared" si="60"/>
        <v>#N/A</v>
      </c>
      <c r="AA178" s="66">
        <f t="shared" si="61"/>
        <v>0</v>
      </c>
      <c r="AB178" s="6" t="e">
        <f t="shared" si="62"/>
        <v>#N/A</v>
      </c>
      <c r="AC178" s="48">
        <f t="shared" si="74"/>
        <v>0</v>
      </c>
    </row>
    <row r="179" spans="3:29" x14ac:dyDescent="0.25">
      <c r="C179" s="27" t="e">
        <f t="shared" si="63"/>
        <v>#N/A</v>
      </c>
      <c r="D179" s="30" t="e">
        <f t="shared" si="64"/>
        <v>#N/A</v>
      </c>
      <c r="E179" s="20" t="e">
        <f t="shared" si="69"/>
        <v>#N/A</v>
      </c>
      <c r="F179" s="20" t="e">
        <f t="shared" si="53"/>
        <v>#N/A</v>
      </c>
      <c r="G179" s="21" t="e">
        <f t="shared" si="54"/>
        <v>#N/A</v>
      </c>
      <c r="H179" s="24" t="e">
        <f t="shared" si="65"/>
        <v>#N/A</v>
      </c>
      <c r="I179" s="21" t="e">
        <f t="shared" si="72"/>
        <v>#N/A</v>
      </c>
      <c r="J179" s="63" t="e">
        <f t="shared" si="66"/>
        <v>#N/A</v>
      </c>
      <c r="K179" s="66" t="str">
        <f t="shared" si="71"/>
        <v/>
      </c>
      <c r="L179" s="17"/>
      <c r="M179" s="23" t="e">
        <f t="shared" si="67"/>
        <v>#N/A</v>
      </c>
      <c r="N179" s="23" t="e">
        <f t="shared" si="55"/>
        <v>#N/A</v>
      </c>
      <c r="O179" s="23" t="e">
        <f t="shared" si="56"/>
        <v>#N/A</v>
      </c>
      <c r="P179" s="17"/>
      <c r="Q179" s="19" t="e">
        <f>IF(C179="","",'Tabla_Puntual&amp;Relacionamiento'!$E$15)</f>
        <v>#N/A</v>
      </c>
      <c r="R179" s="19"/>
      <c r="S179" s="11" t="e">
        <f t="shared" si="68"/>
        <v>#N/A</v>
      </c>
      <c r="T179" s="23" t="e">
        <f t="shared" si="57"/>
        <v>#N/A</v>
      </c>
      <c r="U179" s="37" t="e">
        <f t="shared" si="58"/>
        <v>#N/A</v>
      </c>
      <c r="V179" s="37" t="e">
        <f t="shared" si="70"/>
        <v>#N/A</v>
      </c>
      <c r="X179" s="31" t="e">
        <f t="shared" si="59"/>
        <v>#N/A</v>
      </c>
      <c r="Y179" s="34">
        <f t="shared" si="76"/>
        <v>1.2772161225411178</v>
      </c>
      <c r="Z179" s="31" t="e">
        <f t="shared" si="60"/>
        <v>#N/A</v>
      </c>
      <c r="AA179" s="66">
        <f t="shared" si="61"/>
        <v>0</v>
      </c>
      <c r="AB179" s="6" t="e">
        <f t="shared" si="62"/>
        <v>#N/A</v>
      </c>
      <c r="AC179" s="48">
        <f t="shared" si="74"/>
        <v>0</v>
      </c>
    </row>
    <row r="180" spans="3:29" x14ac:dyDescent="0.25">
      <c r="C180" s="27" t="e">
        <f t="shared" si="63"/>
        <v>#N/A</v>
      </c>
      <c r="D180" s="30" t="e">
        <f t="shared" si="64"/>
        <v>#N/A</v>
      </c>
      <c r="E180" s="20" t="e">
        <f t="shared" si="69"/>
        <v>#N/A</v>
      </c>
      <c r="F180" s="20" t="e">
        <f t="shared" si="53"/>
        <v>#N/A</v>
      </c>
      <c r="G180" s="21" t="e">
        <f t="shared" si="54"/>
        <v>#N/A</v>
      </c>
      <c r="H180" s="24" t="e">
        <f t="shared" si="65"/>
        <v>#N/A</v>
      </c>
      <c r="I180" s="21" t="e">
        <f t="shared" si="72"/>
        <v>#N/A</v>
      </c>
      <c r="J180" s="63" t="e">
        <f t="shared" si="66"/>
        <v>#N/A</v>
      </c>
      <c r="K180" s="66" t="str">
        <f t="shared" si="71"/>
        <v/>
      </c>
      <c r="L180" s="17"/>
      <c r="M180" s="23" t="e">
        <f t="shared" si="67"/>
        <v>#N/A</v>
      </c>
      <c r="N180" s="23" t="e">
        <f t="shared" si="55"/>
        <v>#N/A</v>
      </c>
      <c r="O180" s="23" t="e">
        <f t="shared" si="56"/>
        <v>#N/A</v>
      </c>
      <c r="P180" s="17"/>
      <c r="Q180" s="19" t="e">
        <f>IF(C180="","",'Tabla_Puntual&amp;Relacionamiento'!$E$15)</f>
        <v>#N/A</v>
      </c>
      <c r="R180" s="19"/>
      <c r="S180" s="11" t="e">
        <f t="shared" si="68"/>
        <v>#N/A</v>
      </c>
      <c r="T180" s="23" t="e">
        <f t="shared" si="57"/>
        <v>#N/A</v>
      </c>
      <c r="U180" s="37" t="e">
        <f t="shared" si="58"/>
        <v>#N/A</v>
      </c>
      <c r="V180" s="37" t="e">
        <f t="shared" si="70"/>
        <v>#N/A</v>
      </c>
      <c r="X180" s="31" t="e">
        <f t="shared" si="59"/>
        <v>#N/A</v>
      </c>
      <c r="Y180" s="34">
        <f t="shared" si="76"/>
        <v>1.2772161225411178</v>
      </c>
      <c r="Z180" s="31" t="e">
        <f t="shared" si="60"/>
        <v>#N/A</v>
      </c>
      <c r="AA180" s="66">
        <f t="shared" si="61"/>
        <v>0</v>
      </c>
      <c r="AB180" s="6" t="e">
        <f t="shared" si="62"/>
        <v>#N/A</v>
      </c>
      <c r="AC180" s="48">
        <f t="shared" si="74"/>
        <v>0</v>
      </c>
    </row>
    <row r="181" spans="3:29" x14ac:dyDescent="0.25">
      <c r="C181" s="27" t="e">
        <f t="shared" si="63"/>
        <v>#N/A</v>
      </c>
      <c r="D181" s="30" t="e">
        <f t="shared" si="64"/>
        <v>#N/A</v>
      </c>
      <c r="E181" s="20" t="e">
        <f t="shared" si="69"/>
        <v>#N/A</v>
      </c>
      <c r="F181" s="20" t="e">
        <f t="shared" si="53"/>
        <v>#N/A</v>
      </c>
      <c r="G181" s="21" t="e">
        <f t="shared" si="54"/>
        <v>#N/A</v>
      </c>
      <c r="H181" s="24" t="e">
        <f t="shared" si="65"/>
        <v>#N/A</v>
      </c>
      <c r="I181" s="21" t="e">
        <f t="shared" si="72"/>
        <v>#N/A</v>
      </c>
      <c r="J181" s="63" t="e">
        <f t="shared" si="66"/>
        <v>#N/A</v>
      </c>
      <c r="K181" s="66" t="str">
        <f t="shared" si="71"/>
        <v/>
      </c>
      <c r="L181" s="17"/>
      <c r="M181" s="23" t="e">
        <f t="shared" si="67"/>
        <v>#N/A</v>
      </c>
      <c r="N181" s="23" t="e">
        <f t="shared" si="55"/>
        <v>#N/A</v>
      </c>
      <c r="O181" s="23" t="e">
        <f t="shared" si="56"/>
        <v>#N/A</v>
      </c>
      <c r="P181" s="17"/>
      <c r="Q181" s="19" t="e">
        <f>IF(C181="","",'Tabla_Puntual&amp;Relacionamiento'!$E$15)</f>
        <v>#N/A</v>
      </c>
      <c r="R181" s="19"/>
      <c r="S181" s="11" t="e">
        <f t="shared" si="68"/>
        <v>#N/A</v>
      </c>
      <c r="T181" s="23" t="e">
        <f t="shared" si="57"/>
        <v>#N/A</v>
      </c>
      <c r="U181" s="37" t="e">
        <f t="shared" si="58"/>
        <v>#N/A</v>
      </c>
      <c r="V181" s="37" t="e">
        <f t="shared" si="70"/>
        <v>#N/A</v>
      </c>
      <c r="X181" s="31" t="e">
        <f t="shared" si="59"/>
        <v>#N/A</v>
      </c>
      <c r="Y181" s="34">
        <f t="shared" si="76"/>
        <v>1.2772161225411178</v>
      </c>
      <c r="Z181" s="31" t="e">
        <f t="shared" si="60"/>
        <v>#N/A</v>
      </c>
      <c r="AA181" s="66">
        <f t="shared" si="61"/>
        <v>0</v>
      </c>
      <c r="AB181" s="6" t="e">
        <f t="shared" si="62"/>
        <v>#N/A</v>
      </c>
      <c r="AC181" s="48">
        <f t="shared" si="74"/>
        <v>0</v>
      </c>
    </row>
    <row r="182" spans="3:29" x14ac:dyDescent="0.25">
      <c r="C182" s="27" t="e">
        <f t="shared" si="63"/>
        <v>#N/A</v>
      </c>
      <c r="D182" s="30" t="e">
        <f t="shared" si="64"/>
        <v>#N/A</v>
      </c>
      <c r="E182" s="20" t="e">
        <f t="shared" si="69"/>
        <v>#N/A</v>
      </c>
      <c r="F182" s="20" t="e">
        <f t="shared" si="53"/>
        <v>#N/A</v>
      </c>
      <c r="G182" s="21" t="e">
        <f t="shared" si="54"/>
        <v>#N/A</v>
      </c>
      <c r="H182" s="24" t="e">
        <f t="shared" si="65"/>
        <v>#N/A</v>
      </c>
      <c r="I182" s="21" t="e">
        <f t="shared" si="72"/>
        <v>#N/A</v>
      </c>
      <c r="J182" s="63" t="e">
        <f t="shared" si="66"/>
        <v>#N/A</v>
      </c>
      <c r="K182" s="66" t="str">
        <f t="shared" si="71"/>
        <v/>
      </c>
      <c r="L182" s="17"/>
      <c r="M182" s="23" t="e">
        <f t="shared" si="67"/>
        <v>#N/A</v>
      </c>
      <c r="N182" s="23" t="e">
        <f t="shared" si="55"/>
        <v>#N/A</v>
      </c>
      <c r="O182" s="23" t="e">
        <f t="shared" si="56"/>
        <v>#N/A</v>
      </c>
      <c r="P182" s="17"/>
      <c r="Q182" s="19" t="e">
        <f>IF(C182="","",'Tabla_Puntual&amp;Relacionamiento'!$E$15)</f>
        <v>#N/A</v>
      </c>
      <c r="R182" s="19"/>
      <c r="S182" s="11" t="e">
        <f t="shared" si="68"/>
        <v>#N/A</v>
      </c>
      <c r="T182" s="23" t="e">
        <f t="shared" si="57"/>
        <v>#N/A</v>
      </c>
      <c r="U182" s="37" t="e">
        <f t="shared" si="58"/>
        <v>#N/A</v>
      </c>
      <c r="V182" s="37" t="e">
        <f t="shared" si="70"/>
        <v>#N/A</v>
      </c>
      <c r="X182" s="31" t="e">
        <f t="shared" si="59"/>
        <v>#N/A</v>
      </c>
      <c r="Y182" s="34">
        <f t="shared" si="76"/>
        <v>1.2772161225411178</v>
      </c>
      <c r="Z182" s="31" t="e">
        <f t="shared" si="60"/>
        <v>#N/A</v>
      </c>
      <c r="AA182" s="66">
        <f t="shared" si="61"/>
        <v>0</v>
      </c>
      <c r="AB182" s="6" t="e">
        <f t="shared" si="62"/>
        <v>#N/A</v>
      </c>
      <c r="AC182" s="48">
        <f t="shared" si="74"/>
        <v>0</v>
      </c>
    </row>
    <row r="183" spans="3:29" x14ac:dyDescent="0.25">
      <c r="C183" s="27" t="e">
        <f t="shared" si="63"/>
        <v>#N/A</v>
      </c>
      <c r="D183" s="30" t="e">
        <f t="shared" si="64"/>
        <v>#N/A</v>
      </c>
      <c r="E183" s="20" t="e">
        <f t="shared" si="69"/>
        <v>#N/A</v>
      </c>
      <c r="F183" s="20" t="e">
        <f t="shared" si="53"/>
        <v>#N/A</v>
      </c>
      <c r="G183" s="21" t="e">
        <f t="shared" si="54"/>
        <v>#N/A</v>
      </c>
      <c r="H183" s="24" t="e">
        <f t="shared" si="65"/>
        <v>#N/A</v>
      </c>
      <c r="I183" s="21" t="e">
        <f t="shared" si="72"/>
        <v>#N/A</v>
      </c>
      <c r="J183" s="63" t="e">
        <f t="shared" si="66"/>
        <v>#N/A</v>
      </c>
      <c r="K183" s="66" t="str">
        <f t="shared" si="71"/>
        <v/>
      </c>
      <c r="L183" s="17"/>
      <c r="M183" s="23" t="e">
        <f t="shared" si="67"/>
        <v>#N/A</v>
      </c>
      <c r="N183" s="23" t="e">
        <f t="shared" si="55"/>
        <v>#N/A</v>
      </c>
      <c r="O183" s="23" t="e">
        <f t="shared" si="56"/>
        <v>#N/A</v>
      </c>
      <c r="P183" s="17"/>
      <c r="Q183" s="19" t="e">
        <f>IF(C183="","",'Tabla_Puntual&amp;Relacionamiento'!$E$15)</f>
        <v>#N/A</v>
      </c>
      <c r="R183" s="19"/>
      <c r="S183" s="11" t="e">
        <f t="shared" si="68"/>
        <v>#N/A</v>
      </c>
      <c r="T183" s="23" t="e">
        <f t="shared" si="57"/>
        <v>#N/A</v>
      </c>
      <c r="U183" s="37" t="e">
        <f t="shared" si="58"/>
        <v>#N/A</v>
      </c>
      <c r="V183" s="37" t="e">
        <f t="shared" si="70"/>
        <v>#N/A</v>
      </c>
      <c r="X183" s="31" t="e">
        <f t="shared" si="59"/>
        <v>#N/A</v>
      </c>
      <c r="Y183" s="34">
        <f t="shared" si="76"/>
        <v>1.2772161225411178</v>
      </c>
      <c r="Z183" s="31" t="e">
        <f t="shared" si="60"/>
        <v>#N/A</v>
      </c>
      <c r="AA183" s="66">
        <f t="shared" si="61"/>
        <v>0</v>
      </c>
      <c r="AB183" s="6" t="e">
        <f t="shared" si="62"/>
        <v>#N/A</v>
      </c>
      <c r="AC183" s="48">
        <f t="shared" si="74"/>
        <v>0</v>
      </c>
    </row>
    <row r="184" spans="3:29" x14ac:dyDescent="0.25">
      <c r="C184" s="27" t="e">
        <f t="shared" si="63"/>
        <v>#N/A</v>
      </c>
      <c r="D184" s="30" t="e">
        <f t="shared" si="64"/>
        <v>#N/A</v>
      </c>
      <c r="E184" s="20" t="e">
        <f t="shared" si="69"/>
        <v>#N/A</v>
      </c>
      <c r="F184" s="20" t="e">
        <f t="shared" si="53"/>
        <v>#N/A</v>
      </c>
      <c r="G184" s="21" t="e">
        <f t="shared" si="54"/>
        <v>#N/A</v>
      </c>
      <c r="H184" s="24" t="e">
        <f t="shared" si="65"/>
        <v>#N/A</v>
      </c>
      <c r="I184" s="21" t="e">
        <f t="shared" si="72"/>
        <v>#N/A</v>
      </c>
      <c r="J184" s="63" t="e">
        <f t="shared" si="66"/>
        <v>#N/A</v>
      </c>
      <c r="K184" s="66" t="str">
        <f t="shared" si="71"/>
        <v/>
      </c>
      <c r="L184" s="17"/>
      <c r="M184" s="23" t="e">
        <f t="shared" si="67"/>
        <v>#N/A</v>
      </c>
      <c r="N184" s="23" t="e">
        <f t="shared" si="55"/>
        <v>#N/A</v>
      </c>
      <c r="O184" s="23" t="e">
        <f t="shared" si="56"/>
        <v>#N/A</v>
      </c>
      <c r="P184" s="17"/>
      <c r="Q184" s="19" t="e">
        <f>IF(C184="","",'Tabla_Puntual&amp;Relacionamiento'!$E$15)</f>
        <v>#N/A</v>
      </c>
      <c r="R184" s="19"/>
      <c r="S184" s="11" t="e">
        <f t="shared" si="68"/>
        <v>#N/A</v>
      </c>
      <c r="T184" s="23" t="e">
        <f t="shared" si="57"/>
        <v>#N/A</v>
      </c>
      <c r="U184" s="37" t="e">
        <f t="shared" si="58"/>
        <v>#N/A</v>
      </c>
      <c r="V184" s="37" t="e">
        <f t="shared" si="70"/>
        <v>#N/A</v>
      </c>
      <c r="X184" s="31" t="e">
        <f t="shared" si="59"/>
        <v>#N/A</v>
      </c>
      <c r="Y184" s="34">
        <f t="shared" si="76"/>
        <v>1.2772161225411178</v>
      </c>
      <c r="Z184" s="31" t="e">
        <f t="shared" si="60"/>
        <v>#N/A</v>
      </c>
      <c r="AA184" s="66">
        <f t="shared" si="61"/>
        <v>0</v>
      </c>
      <c r="AB184" s="6" t="e">
        <f t="shared" si="62"/>
        <v>#N/A</v>
      </c>
      <c r="AC184" s="48">
        <f t="shared" si="74"/>
        <v>0</v>
      </c>
    </row>
    <row r="185" spans="3:29" x14ac:dyDescent="0.25">
      <c r="C185" s="27" t="e">
        <f t="shared" si="63"/>
        <v>#N/A</v>
      </c>
      <c r="D185" s="30" t="e">
        <f t="shared" si="64"/>
        <v>#N/A</v>
      </c>
      <c r="E185" s="20" t="e">
        <f t="shared" si="69"/>
        <v>#N/A</v>
      </c>
      <c r="F185" s="20" t="e">
        <f t="shared" si="53"/>
        <v>#N/A</v>
      </c>
      <c r="G185" s="21" t="e">
        <f t="shared" si="54"/>
        <v>#N/A</v>
      </c>
      <c r="H185" s="24" t="e">
        <f t="shared" si="65"/>
        <v>#N/A</v>
      </c>
      <c r="I185" s="21" t="e">
        <f t="shared" si="72"/>
        <v>#N/A</v>
      </c>
      <c r="J185" s="63" t="e">
        <f t="shared" si="66"/>
        <v>#N/A</v>
      </c>
      <c r="K185" s="66" t="str">
        <f t="shared" si="71"/>
        <v/>
      </c>
      <c r="L185" s="17"/>
      <c r="M185" s="23" t="e">
        <f t="shared" si="67"/>
        <v>#N/A</v>
      </c>
      <c r="N185" s="23" t="e">
        <f t="shared" si="55"/>
        <v>#N/A</v>
      </c>
      <c r="O185" s="23" t="e">
        <f t="shared" si="56"/>
        <v>#N/A</v>
      </c>
      <c r="P185" s="17"/>
      <c r="Q185" s="19" t="e">
        <f>IF(C185="","",'Tabla_Puntual&amp;Relacionamiento'!$E$15)</f>
        <v>#N/A</v>
      </c>
      <c r="R185" s="19"/>
      <c r="S185" s="11" t="e">
        <f t="shared" si="68"/>
        <v>#N/A</v>
      </c>
      <c r="T185" s="23" t="e">
        <f t="shared" si="57"/>
        <v>#N/A</v>
      </c>
      <c r="U185" s="37" t="e">
        <f t="shared" si="58"/>
        <v>#N/A</v>
      </c>
      <c r="V185" s="37" t="e">
        <f t="shared" si="70"/>
        <v>#N/A</v>
      </c>
      <c r="X185" s="31" t="e">
        <f t="shared" si="59"/>
        <v>#N/A</v>
      </c>
      <c r="Y185" s="34">
        <f t="shared" si="76"/>
        <v>1.2772161225411178</v>
      </c>
      <c r="Z185" s="31" t="e">
        <f t="shared" si="60"/>
        <v>#N/A</v>
      </c>
      <c r="AA185" s="66">
        <f t="shared" si="61"/>
        <v>0</v>
      </c>
      <c r="AB185" s="6" t="e">
        <f t="shared" si="62"/>
        <v>#N/A</v>
      </c>
      <c r="AC185" s="48">
        <f t="shared" si="74"/>
        <v>0</v>
      </c>
    </row>
    <row r="186" spans="3:29" x14ac:dyDescent="0.25">
      <c r="C186" s="27" t="e">
        <f t="shared" si="63"/>
        <v>#N/A</v>
      </c>
      <c r="D186" s="30" t="e">
        <f t="shared" si="64"/>
        <v>#N/A</v>
      </c>
      <c r="E186" s="20" t="e">
        <f t="shared" si="69"/>
        <v>#N/A</v>
      </c>
      <c r="F186" s="20" t="e">
        <f t="shared" si="53"/>
        <v>#N/A</v>
      </c>
      <c r="G186" s="21" t="e">
        <f t="shared" si="54"/>
        <v>#N/A</v>
      </c>
      <c r="H186" s="24" t="e">
        <f t="shared" si="65"/>
        <v>#N/A</v>
      </c>
      <c r="I186" s="21" t="e">
        <f t="shared" si="72"/>
        <v>#N/A</v>
      </c>
      <c r="J186" s="63" t="e">
        <f t="shared" si="66"/>
        <v>#N/A</v>
      </c>
      <c r="K186" s="66" t="str">
        <f t="shared" si="71"/>
        <v/>
      </c>
      <c r="L186" s="17"/>
      <c r="M186" s="23" t="e">
        <f t="shared" si="67"/>
        <v>#N/A</v>
      </c>
      <c r="N186" s="23" t="e">
        <f t="shared" si="55"/>
        <v>#N/A</v>
      </c>
      <c r="O186" s="23" t="e">
        <f t="shared" si="56"/>
        <v>#N/A</v>
      </c>
      <c r="P186" s="17"/>
      <c r="Q186" s="19" t="e">
        <f>IF(C186="","",'Tabla_Puntual&amp;Relacionamiento'!$E$15)</f>
        <v>#N/A</v>
      </c>
      <c r="R186" s="19"/>
      <c r="S186" s="11" t="e">
        <f t="shared" si="68"/>
        <v>#N/A</v>
      </c>
      <c r="T186" s="23" t="e">
        <f t="shared" si="57"/>
        <v>#N/A</v>
      </c>
      <c r="U186" s="37" t="e">
        <f t="shared" si="58"/>
        <v>#N/A</v>
      </c>
      <c r="V186" s="37" t="e">
        <f t="shared" si="70"/>
        <v>#N/A</v>
      </c>
      <c r="X186" s="31" t="e">
        <f t="shared" si="59"/>
        <v>#N/A</v>
      </c>
      <c r="Y186" s="34">
        <f t="shared" si="76"/>
        <v>1.2772161225411178</v>
      </c>
      <c r="Z186" s="31" t="e">
        <f t="shared" si="60"/>
        <v>#N/A</v>
      </c>
      <c r="AA186" s="66">
        <f t="shared" si="61"/>
        <v>0</v>
      </c>
      <c r="AB186" s="6" t="e">
        <f t="shared" si="62"/>
        <v>#N/A</v>
      </c>
      <c r="AC186" s="48">
        <f t="shared" si="74"/>
        <v>0</v>
      </c>
    </row>
    <row r="187" spans="3:29" x14ac:dyDescent="0.25">
      <c r="C187" s="27" t="e">
        <f t="shared" si="63"/>
        <v>#N/A</v>
      </c>
      <c r="D187" s="30" t="e">
        <f t="shared" si="64"/>
        <v>#N/A</v>
      </c>
      <c r="E187" s="20" t="e">
        <f t="shared" si="69"/>
        <v>#N/A</v>
      </c>
      <c r="F187" s="20" t="e">
        <f t="shared" si="53"/>
        <v>#N/A</v>
      </c>
      <c r="G187" s="21" t="e">
        <f t="shared" si="54"/>
        <v>#N/A</v>
      </c>
      <c r="H187" s="24" t="e">
        <f t="shared" si="65"/>
        <v>#N/A</v>
      </c>
      <c r="I187" s="21" t="e">
        <f t="shared" si="72"/>
        <v>#N/A</v>
      </c>
      <c r="J187" s="63" t="e">
        <f t="shared" si="66"/>
        <v>#N/A</v>
      </c>
      <c r="K187" s="66" t="str">
        <f t="shared" si="71"/>
        <v/>
      </c>
      <c r="L187" s="17"/>
      <c r="M187" s="23" t="e">
        <f t="shared" si="67"/>
        <v>#N/A</v>
      </c>
      <c r="N187" s="23" t="e">
        <f t="shared" si="55"/>
        <v>#N/A</v>
      </c>
      <c r="O187" s="23" t="e">
        <f t="shared" si="56"/>
        <v>#N/A</v>
      </c>
      <c r="P187" s="17"/>
      <c r="Q187" s="19" t="e">
        <f>IF(C187="","",'Tabla_Puntual&amp;Relacionamiento'!$E$15)</f>
        <v>#N/A</v>
      </c>
      <c r="R187" s="19"/>
      <c r="S187" s="11" t="e">
        <f t="shared" si="68"/>
        <v>#N/A</v>
      </c>
      <c r="T187" s="23" t="e">
        <f t="shared" si="57"/>
        <v>#N/A</v>
      </c>
      <c r="U187" s="37" t="e">
        <f t="shared" si="58"/>
        <v>#N/A</v>
      </c>
      <c r="V187" s="37" t="e">
        <f t="shared" si="70"/>
        <v>#N/A</v>
      </c>
      <c r="X187" s="31" t="e">
        <f t="shared" si="59"/>
        <v>#N/A</v>
      </c>
      <c r="Y187" s="34">
        <f t="shared" si="76"/>
        <v>1.2772161225411178</v>
      </c>
      <c r="Z187" s="31" t="e">
        <f t="shared" si="60"/>
        <v>#N/A</v>
      </c>
      <c r="AA187" s="66">
        <f t="shared" si="61"/>
        <v>0</v>
      </c>
      <c r="AB187" s="6" t="e">
        <f t="shared" si="62"/>
        <v>#N/A</v>
      </c>
      <c r="AC187" s="48">
        <f t="shared" si="74"/>
        <v>0</v>
      </c>
    </row>
    <row r="188" spans="3:29" x14ac:dyDescent="0.25">
      <c r="C188" s="27" t="e">
        <f t="shared" si="63"/>
        <v>#N/A</v>
      </c>
      <c r="D188" s="30" t="e">
        <f t="shared" si="64"/>
        <v>#N/A</v>
      </c>
      <c r="E188" s="20" t="e">
        <f t="shared" si="69"/>
        <v>#N/A</v>
      </c>
      <c r="F188" s="20" t="e">
        <f t="shared" si="53"/>
        <v>#N/A</v>
      </c>
      <c r="G188" s="21" t="e">
        <f t="shared" si="54"/>
        <v>#N/A</v>
      </c>
      <c r="H188" s="24" t="e">
        <f t="shared" si="65"/>
        <v>#N/A</v>
      </c>
      <c r="I188" s="21" t="e">
        <f t="shared" si="72"/>
        <v>#N/A</v>
      </c>
      <c r="J188" s="63" t="e">
        <f t="shared" si="66"/>
        <v>#N/A</v>
      </c>
      <c r="K188" s="66" t="str">
        <f t="shared" si="71"/>
        <v/>
      </c>
      <c r="L188" s="17"/>
      <c r="M188" s="23" t="e">
        <f t="shared" si="67"/>
        <v>#N/A</v>
      </c>
      <c r="N188" s="23" t="e">
        <f t="shared" si="55"/>
        <v>#N/A</v>
      </c>
      <c r="O188" s="23" t="e">
        <f t="shared" si="56"/>
        <v>#N/A</v>
      </c>
      <c r="P188" s="17"/>
      <c r="Q188" s="19" t="e">
        <f>IF(C188="","",'Tabla_Puntual&amp;Relacionamiento'!$E$15)</f>
        <v>#N/A</v>
      </c>
      <c r="R188" s="19"/>
      <c r="S188" s="11" t="e">
        <f t="shared" si="68"/>
        <v>#N/A</v>
      </c>
      <c r="T188" s="23" t="e">
        <f t="shared" si="57"/>
        <v>#N/A</v>
      </c>
      <c r="U188" s="37" t="e">
        <f t="shared" si="58"/>
        <v>#N/A</v>
      </c>
      <c r="V188" s="37" t="e">
        <f t="shared" si="70"/>
        <v>#N/A</v>
      </c>
      <c r="X188" s="31" t="e">
        <f t="shared" si="59"/>
        <v>#N/A</v>
      </c>
      <c r="Y188" s="34">
        <f t="shared" si="76"/>
        <v>1.2772161225411178</v>
      </c>
      <c r="Z188" s="31" t="e">
        <f t="shared" si="60"/>
        <v>#N/A</v>
      </c>
      <c r="AA188" s="66">
        <f t="shared" si="61"/>
        <v>0</v>
      </c>
      <c r="AB188" s="6" t="e">
        <f t="shared" si="62"/>
        <v>#N/A</v>
      </c>
      <c r="AC188" s="48">
        <f t="shared" si="74"/>
        <v>0</v>
      </c>
    </row>
    <row r="189" spans="3:29" x14ac:dyDescent="0.25">
      <c r="C189" s="27" t="e">
        <f t="shared" si="63"/>
        <v>#N/A</v>
      </c>
      <c r="D189" s="30" t="e">
        <f t="shared" si="64"/>
        <v>#N/A</v>
      </c>
      <c r="E189" s="20" t="e">
        <f t="shared" si="69"/>
        <v>#N/A</v>
      </c>
      <c r="F189" s="20" t="e">
        <f t="shared" si="53"/>
        <v>#N/A</v>
      </c>
      <c r="G189" s="21" t="e">
        <f t="shared" si="54"/>
        <v>#N/A</v>
      </c>
      <c r="H189" s="24" t="e">
        <f t="shared" si="65"/>
        <v>#N/A</v>
      </c>
      <c r="I189" s="21" t="e">
        <f t="shared" si="72"/>
        <v>#N/A</v>
      </c>
      <c r="J189" s="63" t="e">
        <f t="shared" si="66"/>
        <v>#N/A</v>
      </c>
      <c r="K189" s="66" t="str">
        <f t="shared" si="71"/>
        <v/>
      </c>
      <c r="L189" s="17"/>
      <c r="M189" s="23" t="e">
        <f t="shared" si="67"/>
        <v>#N/A</v>
      </c>
      <c r="N189" s="23" t="e">
        <f t="shared" si="55"/>
        <v>#N/A</v>
      </c>
      <c r="O189" s="23" t="e">
        <f t="shared" si="56"/>
        <v>#N/A</v>
      </c>
      <c r="P189" s="17"/>
      <c r="Q189" s="19" t="e">
        <f>IF(C189="","",'Tabla_Puntual&amp;Relacionamiento'!$E$16)</f>
        <v>#N/A</v>
      </c>
      <c r="R189" s="19" t="e">
        <f>IF(C189="","",IF($E$14="Pago_Bajo_Puntual",$M$17,""))</f>
        <v>#N/A</v>
      </c>
      <c r="S189" s="11" t="e">
        <f t="shared" si="68"/>
        <v>#N/A</v>
      </c>
      <c r="T189" s="23" t="e">
        <f t="shared" si="57"/>
        <v>#N/A</v>
      </c>
      <c r="U189" s="37" t="e">
        <f t="shared" si="58"/>
        <v>#N/A</v>
      </c>
      <c r="V189" s="37" t="e">
        <f t="shared" si="70"/>
        <v>#N/A</v>
      </c>
      <c r="X189" s="31" t="e">
        <f t="shared" si="59"/>
        <v>#N/A</v>
      </c>
      <c r="Y189" s="34">
        <f>Y188*1.019</f>
        <v>1.3014832288693989</v>
      </c>
      <c r="Z189" s="31" t="e">
        <f t="shared" si="60"/>
        <v>#N/A</v>
      </c>
      <c r="AA189" s="66">
        <f t="shared" si="61"/>
        <v>0</v>
      </c>
      <c r="AB189" s="6" t="e">
        <f t="shared" si="62"/>
        <v>#N/A</v>
      </c>
      <c r="AC189" s="48">
        <f>AC188+$M$17</f>
        <v>0</v>
      </c>
    </row>
    <row r="190" spans="3:29" x14ac:dyDescent="0.25">
      <c r="C190" s="27" t="e">
        <f t="shared" si="63"/>
        <v>#N/A</v>
      </c>
      <c r="D190" s="30" t="e">
        <f t="shared" si="64"/>
        <v>#N/A</v>
      </c>
      <c r="E190" s="20" t="e">
        <f t="shared" si="69"/>
        <v>#N/A</v>
      </c>
      <c r="F190" s="20" t="e">
        <f t="shared" si="53"/>
        <v>#N/A</v>
      </c>
      <c r="G190" s="21" t="e">
        <f t="shared" si="54"/>
        <v>#N/A</v>
      </c>
      <c r="H190" s="24" t="e">
        <f t="shared" si="65"/>
        <v>#N/A</v>
      </c>
      <c r="I190" s="21" t="e">
        <f t="shared" si="72"/>
        <v>#N/A</v>
      </c>
      <c r="J190" s="63" t="e">
        <f t="shared" si="66"/>
        <v>#N/A</v>
      </c>
      <c r="K190" s="66" t="str">
        <f t="shared" si="71"/>
        <v/>
      </c>
      <c r="L190" s="17"/>
      <c r="M190" s="23" t="e">
        <f t="shared" si="67"/>
        <v>#N/A</v>
      </c>
      <c r="N190" s="23" t="e">
        <f t="shared" si="55"/>
        <v>#N/A</v>
      </c>
      <c r="O190" s="23" t="e">
        <f t="shared" si="56"/>
        <v>#N/A</v>
      </c>
      <c r="P190" s="17"/>
      <c r="Q190" s="19" t="e">
        <f>IF(C190="","",'Tabla_Puntual&amp;Relacionamiento'!$E$16)</f>
        <v>#N/A</v>
      </c>
      <c r="R190" s="19"/>
      <c r="S190" s="11" t="e">
        <f t="shared" si="68"/>
        <v>#N/A</v>
      </c>
      <c r="T190" s="23" t="e">
        <f t="shared" si="57"/>
        <v>#N/A</v>
      </c>
      <c r="U190" s="37" t="e">
        <f t="shared" si="58"/>
        <v>#N/A</v>
      </c>
      <c r="V190" s="37" t="e">
        <f t="shared" si="70"/>
        <v>#N/A</v>
      </c>
      <c r="X190" s="31" t="e">
        <f t="shared" si="59"/>
        <v>#N/A</v>
      </c>
      <c r="Y190" s="34">
        <f t="shared" ref="Y190:Y200" si="77">Y189</f>
        <v>1.3014832288693989</v>
      </c>
      <c r="Z190" s="31" t="e">
        <f t="shared" si="60"/>
        <v>#N/A</v>
      </c>
      <c r="AA190" s="66">
        <f t="shared" si="61"/>
        <v>0</v>
      </c>
      <c r="AB190" s="6" t="e">
        <f t="shared" si="62"/>
        <v>#N/A</v>
      </c>
      <c r="AC190" s="48">
        <f t="shared" si="74"/>
        <v>0</v>
      </c>
    </row>
    <row r="191" spans="3:29" x14ac:dyDescent="0.25">
      <c r="C191" s="27" t="e">
        <f t="shared" si="63"/>
        <v>#N/A</v>
      </c>
      <c r="D191" s="30" t="e">
        <f t="shared" si="64"/>
        <v>#N/A</v>
      </c>
      <c r="E191" s="20" t="e">
        <f t="shared" si="69"/>
        <v>#N/A</v>
      </c>
      <c r="F191" s="20" t="e">
        <f t="shared" si="53"/>
        <v>#N/A</v>
      </c>
      <c r="G191" s="21" t="e">
        <f t="shared" si="54"/>
        <v>#N/A</v>
      </c>
      <c r="H191" s="24" t="e">
        <f t="shared" si="65"/>
        <v>#N/A</v>
      </c>
      <c r="I191" s="21" t="e">
        <f t="shared" si="72"/>
        <v>#N/A</v>
      </c>
      <c r="J191" s="63" t="e">
        <f t="shared" si="66"/>
        <v>#N/A</v>
      </c>
      <c r="K191" s="66" t="str">
        <f t="shared" si="71"/>
        <v/>
      </c>
      <c r="L191" s="17"/>
      <c r="M191" s="23" t="e">
        <f t="shared" si="67"/>
        <v>#N/A</v>
      </c>
      <c r="N191" s="23" t="e">
        <f t="shared" si="55"/>
        <v>#N/A</v>
      </c>
      <c r="O191" s="23" t="e">
        <f t="shared" si="56"/>
        <v>#N/A</v>
      </c>
      <c r="P191" s="17"/>
      <c r="Q191" s="19" t="e">
        <f>IF(C191="","",'Tabla_Puntual&amp;Relacionamiento'!$E$16)</f>
        <v>#N/A</v>
      </c>
      <c r="R191" s="19"/>
      <c r="S191" s="11" t="e">
        <f t="shared" si="68"/>
        <v>#N/A</v>
      </c>
      <c r="T191" s="23" t="e">
        <f t="shared" si="57"/>
        <v>#N/A</v>
      </c>
      <c r="U191" s="37" t="e">
        <f t="shared" si="58"/>
        <v>#N/A</v>
      </c>
      <c r="V191" s="37" t="e">
        <f t="shared" si="70"/>
        <v>#N/A</v>
      </c>
      <c r="X191" s="31" t="e">
        <f t="shared" si="59"/>
        <v>#N/A</v>
      </c>
      <c r="Y191" s="34">
        <f t="shared" si="77"/>
        <v>1.3014832288693989</v>
      </c>
      <c r="Z191" s="31" t="e">
        <f t="shared" si="60"/>
        <v>#N/A</v>
      </c>
      <c r="AA191" s="66">
        <f t="shared" si="61"/>
        <v>0</v>
      </c>
      <c r="AB191" s="6" t="e">
        <f t="shared" si="62"/>
        <v>#N/A</v>
      </c>
      <c r="AC191" s="48">
        <f t="shared" si="74"/>
        <v>0</v>
      </c>
    </row>
    <row r="192" spans="3:29" x14ac:dyDescent="0.25">
      <c r="C192" s="27" t="e">
        <f t="shared" si="63"/>
        <v>#N/A</v>
      </c>
      <c r="D192" s="30" t="e">
        <f t="shared" si="64"/>
        <v>#N/A</v>
      </c>
      <c r="E192" s="20" t="e">
        <f t="shared" si="69"/>
        <v>#N/A</v>
      </c>
      <c r="F192" s="20" t="e">
        <f t="shared" si="53"/>
        <v>#N/A</v>
      </c>
      <c r="G192" s="21" t="e">
        <f t="shared" si="54"/>
        <v>#N/A</v>
      </c>
      <c r="H192" s="24" t="e">
        <f t="shared" si="65"/>
        <v>#N/A</v>
      </c>
      <c r="I192" s="21" t="e">
        <f t="shared" si="72"/>
        <v>#N/A</v>
      </c>
      <c r="J192" s="63" t="e">
        <f t="shared" si="66"/>
        <v>#N/A</v>
      </c>
      <c r="K192" s="66" t="str">
        <f t="shared" si="71"/>
        <v/>
      </c>
      <c r="L192" s="17"/>
      <c r="M192" s="23" t="e">
        <f t="shared" si="67"/>
        <v>#N/A</v>
      </c>
      <c r="N192" s="23" t="e">
        <f t="shared" si="55"/>
        <v>#N/A</v>
      </c>
      <c r="O192" s="23" t="e">
        <f t="shared" si="56"/>
        <v>#N/A</v>
      </c>
      <c r="P192" s="17"/>
      <c r="Q192" s="19" t="e">
        <f>IF(C192="","",'Tabla_Puntual&amp;Relacionamiento'!$E$16)</f>
        <v>#N/A</v>
      </c>
      <c r="R192" s="19"/>
      <c r="S192" s="11" t="e">
        <f t="shared" si="68"/>
        <v>#N/A</v>
      </c>
      <c r="T192" s="23" t="e">
        <f t="shared" si="57"/>
        <v>#N/A</v>
      </c>
      <c r="U192" s="37" t="e">
        <f t="shared" si="58"/>
        <v>#N/A</v>
      </c>
      <c r="V192" s="37" t="e">
        <f t="shared" si="70"/>
        <v>#N/A</v>
      </c>
      <c r="X192" s="31" t="e">
        <f t="shared" si="59"/>
        <v>#N/A</v>
      </c>
      <c r="Y192" s="34">
        <f t="shared" si="77"/>
        <v>1.3014832288693989</v>
      </c>
      <c r="Z192" s="31" t="e">
        <f t="shared" si="60"/>
        <v>#N/A</v>
      </c>
      <c r="AA192" s="66">
        <f t="shared" si="61"/>
        <v>0</v>
      </c>
      <c r="AB192" s="6" t="e">
        <f t="shared" si="62"/>
        <v>#N/A</v>
      </c>
      <c r="AC192" s="48">
        <f t="shared" si="74"/>
        <v>0</v>
      </c>
    </row>
    <row r="193" spans="3:29" x14ac:dyDescent="0.25">
      <c r="C193" s="27" t="e">
        <f t="shared" si="63"/>
        <v>#N/A</v>
      </c>
      <c r="D193" s="30" t="e">
        <f t="shared" si="64"/>
        <v>#N/A</v>
      </c>
      <c r="E193" s="20" t="e">
        <f t="shared" si="69"/>
        <v>#N/A</v>
      </c>
      <c r="F193" s="20" t="e">
        <f t="shared" si="53"/>
        <v>#N/A</v>
      </c>
      <c r="G193" s="21" t="e">
        <f t="shared" si="54"/>
        <v>#N/A</v>
      </c>
      <c r="H193" s="24" t="e">
        <f t="shared" si="65"/>
        <v>#N/A</v>
      </c>
      <c r="I193" s="21" t="e">
        <f t="shared" si="72"/>
        <v>#N/A</v>
      </c>
      <c r="J193" s="63" t="e">
        <f t="shared" si="66"/>
        <v>#N/A</v>
      </c>
      <c r="K193" s="66" t="str">
        <f t="shared" si="71"/>
        <v/>
      </c>
      <c r="L193" s="17"/>
      <c r="M193" s="23" t="e">
        <f t="shared" si="67"/>
        <v>#N/A</v>
      </c>
      <c r="N193" s="23" t="e">
        <f t="shared" si="55"/>
        <v>#N/A</v>
      </c>
      <c r="O193" s="23" t="e">
        <f t="shared" si="56"/>
        <v>#N/A</v>
      </c>
      <c r="P193" s="17"/>
      <c r="Q193" s="19" t="e">
        <f>IF(C193="","",'Tabla_Puntual&amp;Relacionamiento'!$E$16)</f>
        <v>#N/A</v>
      </c>
      <c r="R193" s="19"/>
      <c r="S193" s="11" t="e">
        <f t="shared" si="68"/>
        <v>#N/A</v>
      </c>
      <c r="T193" s="23" t="e">
        <f t="shared" si="57"/>
        <v>#N/A</v>
      </c>
      <c r="U193" s="37" t="e">
        <f t="shared" si="58"/>
        <v>#N/A</v>
      </c>
      <c r="V193" s="37" t="e">
        <f t="shared" si="70"/>
        <v>#N/A</v>
      </c>
      <c r="X193" s="31" t="e">
        <f t="shared" si="59"/>
        <v>#N/A</v>
      </c>
      <c r="Y193" s="34">
        <f t="shared" si="77"/>
        <v>1.3014832288693989</v>
      </c>
      <c r="Z193" s="31" t="e">
        <f t="shared" si="60"/>
        <v>#N/A</v>
      </c>
      <c r="AA193" s="66">
        <f t="shared" si="61"/>
        <v>0</v>
      </c>
      <c r="AB193" s="6" t="e">
        <f t="shared" si="62"/>
        <v>#N/A</v>
      </c>
      <c r="AC193" s="48">
        <f t="shared" si="74"/>
        <v>0</v>
      </c>
    </row>
    <row r="194" spans="3:29" x14ac:dyDescent="0.25">
      <c r="C194" s="27" t="e">
        <f t="shared" si="63"/>
        <v>#N/A</v>
      </c>
      <c r="D194" s="30" t="e">
        <f t="shared" si="64"/>
        <v>#N/A</v>
      </c>
      <c r="E194" s="20" t="e">
        <f t="shared" si="69"/>
        <v>#N/A</v>
      </c>
      <c r="F194" s="20" t="e">
        <f t="shared" si="53"/>
        <v>#N/A</v>
      </c>
      <c r="G194" s="21" t="e">
        <f t="shared" si="54"/>
        <v>#N/A</v>
      </c>
      <c r="H194" s="24" t="e">
        <f t="shared" si="65"/>
        <v>#N/A</v>
      </c>
      <c r="I194" s="21" t="e">
        <f t="shared" si="72"/>
        <v>#N/A</v>
      </c>
      <c r="J194" s="63" t="e">
        <f t="shared" si="66"/>
        <v>#N/A</v>
      </c>
      <c r="K194" s="66" t="str">
        <f t="shared" si="71"/>
        <v/>
      </c>
      <c r="L194" s="17"/>
      <c r="M194" s="23" t="e">
        <f t="shared" si="67"/>
        <v>#N/A</v>
      </c>
      <c r="N194" s="23" t="e">
        <f t="shared" si="55"/>
        <v>#N/A</v>
      </c>
      <c r="O194" s="23" t="e">
        <f t="shared" si="56"/>
        <v>#N/A</v>
      </c>
      <c r="P194" s="17"/>
      <c r="Q194" s="19" t="e">
        <f>IF(C194="","",'Tabla_Puntual&amp;Relacionamiento'!$E$16)</f>
        <v>#N/A</v>
      </c>
      <c r="R194" s="19"/>
      <c r="S194" s="11" t="e">
        <f t="shared" si="68"/>
        <v>#N/A</v>
      </c>
      <c r="T194" s="23" t="e">
        <f t="shared" si="57"/>
        <v>#N/A</v>
      </c>
      <c r="U194" s="37" t="e">
        <f t="shared" si="58"/>
        <v>#N/A</v>
      </c>
      <c r="V194" s="37" t="e">
        <f t="shared" si="70"/>
        <v>#N/A</v>
      </c>
      <c r="X194" s="31" t="e">
        <f t="shared" si="59"/>
        <v>#N/A</v>
      </c>
      <c r="Y194" s="34">
        <f t="shared" si="77"/>
        <v>1.3014832288693989</v>
      </c>
      <c r="Z194" s="31" t="e">
        <f t="shared" si="60"/>
        <v>#N/A</v>
      </c>
      <c r="AA194" s="66">
        <f t="shared" si="61"/>
        <v>0</v>
      </c>
      <c r="AB194" s="6" t="e">
        <f t="shared" si="62"/>
        <v>#N/A</v>
      </c>
      <c r="AC194" s="48">
        <f t="shared" si="74"/>
        <v>0</v>
      </c>
    </row>
    <row r="195" spans="3:29" x14ac:dyDescent="0.25">
      <c r="C195" s="27" t="e">
        <f t="shared" si="63"/>
        <v>#N/A</v>
      </c>
      <c r="D195" s="30" t="e">
        <f t="shared" si="64"/>
        <v>#N/A</v>
      </c>
      <c r="E195" s="20" t="e">
        <f t="shared" si="69"/>
        <v>#N/A</v>
      </c>
      <c r="F195" s="20" t="e">
        <f t="shared" si="53"/>
        <v>#N/A</v>
      </c>
      <c r="G195" s="21" t="e">
        <f t="shared" si="54"/>
        <v>#N/A</v>
      </c>
      <c r="H195" s="24" t="e">
        <f t="shared" si="65"/>
        <v>#N/A</v>
      </c>
      <c r="I195" s="21" t="e">
        <f t="shared" si="72"/>
        <v>#N/A</v>
      </c>
      <c r="J195" s="63" t="e">
        <f t="shared" si="66"/>
        <v>#N/A</v>
      </c>
      <c r="K195" s="66" t="str">
        <f t="shared" si="71"/>
        <v/>
      </c>
      <c r="L195" s="17"/>
      <c r="M195" s="23" t="e">
        <f t="shared" si="67"/>
        <v>#N/A</v>
      </c>
      <c r="N195" s="23" t="e">
        <f t="shared" si="55"/>
        <v>#N/A</v>
      </c>
      <c r="O195" s="23" t="e">
        <f t="shared" si="56"/>
        <v>#N/A</v>
      </c>
      <c r="P195" s="17"/>
      <c r="Q195" s="19" t="e">
        <f>IF(C195="","",'Tabla_Puntual&amp;Relacionamiento'!$E$16)</f>
        <v>#N/A</v>
      </c>
      <c r="R195" s="19"/>
      <c r="S195" s="11" t="e">
        <f t="shared" si="68"/>
        <v>#N/A</v>
      </c>
      <c r="T195" s="23" t="e">
        <f t="shared" si="57"/>
        <v>#N/A</v>
      </c>
      <c r="U195" s="37" t="e">
        <f t="shared" si="58"/>
        <v>#N/A</v>
      </c>
      <c r="V195" s="37" t="e">
        <f t="shared" si="70"/>
        <v>#N/A</v>
      </c>
      <c r="X195" s="31" t="e">
        <f t="shared" si="59"/>
        <v>#N/A</v>
      </c>
      <c r="Y195" s="34">
        <f t="shared" si="77"/>
        <v>1.3014832288693989</v>
      </c>
      <c r="Z195" s="31" t="e">
        <f t="shared" si="60"/>
        <v>#N/A</v>
      </c>
      <c r="AA195" s="66">
        <f t="shared" si="61"/>
        <v>0</v>
      </c>
      <c r="AB195" s="6" t="e">
        <f t="shared" si="62"/>
        <v>#N/A</v>
      </c>
      <c r="AC195" s="48">
        <f t="shared" si="74"/>
        <v>0</v>
      </c>
    </row>
    <row r="196" spans="3:29" x14ac:dyDescent="0.25">
      <c r="C196" s="27" t="e">
        <f t="shared" si="63"/>
        <v>#N/A</v>
      </c>
      <c r="D196" s="30" t="e">
        <f t="shared" si="64"/>
        <v>#N/A</v>
      </c>
      <c r="E196" s="20" t="e">
        <f t="shared" si="69"/>
        <v>#N/A</v>
      </c>
      <c r="F196" s="20" t="e">
        <f t="shared" si="53"/>
        <v>#N/A</v>
      </c>
      <c r="G196" s="21" t="e">
        <f t="shared" si="54"/>
        <v>#N/A</v>
      </c>
      <c r="H196" s="24" t="e">
        <f t="shared" si="65"/>
        <v>#N/A</v>
      </c>
      <c r="I196" s="21" t="e">
        <f t="shared" si="72"/>
        <v>#N/A</v>
      </c>
      <c r="J196" s="63" t="e">
        <f t="shared" si="66"/>
        <v>#N/A</v>
      </c>
      <c r="K196" s="66" t="str">
        <f t="shared" si="71"/>
        <v/>
      </c>
      <c r="L196" s="17"/>
      <c r="M196" s="23" t="e">
        <f t="shared" si="67"/>
        <v>#N/A</v>
      </c>
      <c r="N196" s="23" t="e">
        <f t="shared" si="55"/>
        <v>#N/A</v>
      </c>
      <c r="O196" s="23" t="e">
        <f t="shared" si="56"/>
        <v>#N/A</v>
      </c>
      <c r="P196" s="17"/>
      <c r="Q196" s="19" t="e">
        <f>IF(C196="","",'Tabla_Puntual&amp;Relacionamiento'!$E$16)</f>
        <v>#N/A</v>
      </c>
      <c r="R196" s="19"/>
      <c r="S196" s="11" t="e">
        <f t="shared" si="68"/>
        <v>#N/A</v>
      </c>
      <c r="T196" s="23" t="e">
        <f t="shared" si="57"/>
        <v>#N/A</v>
      </c>
      <c r="U196" s="37" t="e">
        <f t="shared" si="58"/>
        <v>#N/A</v>
      </c>
      <c r="V196" s="37" t="e">
        <f t="shared" si="70"/>
        <v>#N/A</v>
      </c>
      <c r="X196" s="31" t="e">
        <f t="shared" si="59"/>
        <v>#N/A</v>
      </c>
      <c r="Y196" s="34">
        <f t="shared" si="77"/>
        <v>1.3014832288693989</v>
      </c>
      <c r="Z196" s="31" t="e">
        <f t="shared" si="60"/>
        <v>#N/A</v>
      </c>
      <c r="AA196" s="66">
        <f t="shared" si="61"/>
        <v>0</v>
      </c>
      <c r="AB196" s="6" t="e">
        <f t="shared" si="62"/>
        <v>#N/A</v>
      </c>
      <c r="AC196" s="48">
        <f t="shared" si="74"/>
        <v>0</v>
      </c>
    </row>
    <row r="197" spans="3:29" x14ac:dyDescent="0.25">
      <c r="C197" s="27" t="e">
        <f t="shared" si="63"/>
        <v>#N/A</v>
      </c>
      <c r="D197" s="30" t="e">
        <f t="shared" si="64"/>
        <v>#N/A</v>
      </c>
      <c r="E197" s="20" t="e">
        <f t="shared" si="69"/>
        <v>#N/A</v>
      </c>
      <c r="F197" s="20" t="e">
        <f t="shared" si="53"/>
        <v>#N/A</v>
      </c>
      <c r="G197" s="21" t="e">
        <f t="shared" si="54"/>
        <v>#N/A</v>
      </c>
      <c r="H197" s="24" t="e">
        <f t="shared" si="65"/>
        <v>#N/A</v>
      </c>
      <c r="I197" s="21" t="e">
        <f t="shared" si="72"/>
        <v>#N/A</v>
      </c>
      <c r="J197" s="63" t="e">
        <f t="shared" si="66"/>
        <v>#N/A</v>
      </c>
      <c r="K197" s="66" t="str">
        <f t="shared" si="71"/>
        <v/>
      </c>
      <c r="L197" s="17"/>
      <c r="M197" s="23" t="e">
        <f t="shared" si="67"/>
        <v>#N/A</v>
      </c>
      <c r="N197" s="23" t="e">
        <f t="shared" si="55"/>
        <v>#N/A</v>
      </c>
      <c r="O197" s="23" t="e">
        <f t="shared" si="56"/>
        <v>#N/A</v>
      </c>
      <c r="P197" s="17"/>
      <c r="Q197" s="19" t="e">
        <f>IF(C197="","",'Tabla_Puntual&amp;Relacionamiento'!$E$16)</f>
        <v>#N/A</v>
      </c>
      <c r="R197" s="19"/>
      <c r="S197" s="11" t="e">
        <f t="shared" si="68"/>
        <v>#N/A</v>
      </c>
      <c r="T197" s="23" t="e">
        <f t="shared" si="57"/>
        <v>#N/A</v>
      </c>
      <c r="U197" s="37" t="e">
        <f t="shared" si="58"/>
        <v>#N/A</v>
      </c>
      <c r="V197" s="37" t="e">
        <f t="shared" si="70"/>
        <v>#N/A</v>
      </c>
      <c r="X197" s="31" t="e">
        <f t="shared" si="59"/>
        <v>#N/A</v>
      </c>
      <c r="Y197" s="34">
        <f t="shared" si="77"/>
        <v>1.3014832288693989</v>
      </c>
      <c r="Z197" s="31" t="e">
        <f t="shared" si="60"/>
        <v>#N/A</v>
      </c>
      <c r="AA197" s="66">
        <f t="shared" si="61"/>
        <v>0</v>
      </c>
      <c r="AB197" s="6" t="e">
        <f t="shared" si="62"/>
        <v>#N/A</v>
      </c>
      <c r="AC197" s="48">
        <f t="shared" si="74"/>
        <v>0</v>
      </c>
    </row>
    <row r="198" spans="3:29" x14ac:dyDescent="0.25">
      <c r="C198" s="27" t="e">
        <f t="shared" si="63"/>
        <v>#N/A</v>
      </c>
      <c r="D198" s="30" t="e">
        <f t="shared" si="64"/>
        <v>#N/A</v>
      </c>
      <c r="E198" s="20" t="e">
        <f t="shared" si="69"/>
        <v>#N/A</v>
      </c>
      <c r="F198" s="20" t="e">
        <f t="shared" si="53"/>
        <v>#N/A</v>
      </c>
      <c r="G198" s="21" t="e">
        <f t="shared" si="54"/>
        <v>#N/A</v>
      </c>
      <c r="H198" s="24" t="e">
        <f t="shared" si="65"/>
        <v>#N/A</v>
      </c>
      <c r="I198" s="21" t="e">
        <f t="shared" si="72"/>
        <v>#N/A</v>
      </c>
      <c r="J198" s="63" t="e">
        <f t="shared" si="66"/>
        <v>#N/A</v>
      </c>
      <c r="K198" s="66" t="str">
        <f t="shared" si="71"/>
        <v/>
      </c>
      <c r="L198" s="17"/>
      <c r="M198" s="23" t="e">
        <f t="shared" si="67"/>
        <v>#N/A</v>
      </c>
      <c r="N198" s="23" t="e">
        <f t="shared" si="55"/>
        <v>#N/A</v>
      </c>
      <c r="O198" s="23" t="e">
        <f t="shared" si="56"/>
        <v>#N/A</v>
      </c>
      <c r="P198" s="17"/>
      <c r="Q198" s="19" t="e">
        <f>IF(C198="","",'Tabla_Puntual&amp;Relacionamiento'!$E$16)</f>
        <v>#N/A</v>
      </c>
      <c r="R198" s="19"/>
      <c r="S198" s="11" t="e">
        <f t="shared" si="68"/>
        <v>#N/A</v>
      </c>
      <c r="T198" s="23" t="e">
        <f t="shared" si="57"/>
        <v>#N/A</v>
      </c>
      <c r="U198" s="37" t="e">
        <f t="shared" si="58"/>
        <v>#N/A</v>
      </c>
      <c r="V198" s="37" t="e">
        <f t="shared" si="70"/>
        <v>#N/A</v>
      </c>
      <c r="X198" s="31" t="e">
        <f t="shared" si="59"/>
        <v>#N/A</v>
      </c>
      <c r="Y198" s="34">
        <f t="shared" si="77"/>
        <v>1.3014832288693989</v>
      </c>
      <c r="Z198" s="31" t="e">
        <f t="shared" si="60"/>
        <v>#N/A</v>
      </c>
      <c r="AA198" s="66">
        <f t="shared" si="61"/>
        <v>0</v>
      </c>
      <c r="AB198" s="6" t="e">
        <f t="shared" si="62"/>
        <v>#N/A</v>
      </c>
      <c r="AC198" s="48">
        <f t="shared" si="74"/>
        <v>0</v>
      </c>
    </row>
    <row r="199" spans="3:29" x14ac:dyDescent="0.25">
      <c r="C199" s="27" t="e">
        <f t="shared" si="63"/>
        <v>#N/A</v>
      </c>
      <c r="D199" s="30" t="e">
        <f t="shared" si="64"/>
        <v>#N/A</v>
      </c>
      <c r="E199" s="20" t="e">
        <f t="shared" si="69"/>
        <v>#N/A</v>
      </c>
      <c r="F199" s="20" t="e">
        <f t="shared" si="53"/>
        <v>#N/A</v>
      </c>
      <c r="G199" s="21" t="e">
        <f t="shared" si="54"/>
        <v>#N/A</v>
      </c>
      <c r="H199" s="24" t="e">
        <f t="shared" si="65"/>
        <v>#N/A</v>
      </c>
      <c r="I199" s="21" t="e">
        <f t="shared" si="72"/>
        <v>#N/A</v>
      </c>
      <c r="J199" s="63" t="e">
        <f t="shared" si="66"/>
        <v>#N/A</v>
      </c>
      <c r="K199" s="66" t="str">
        <f t="shared" si="71"/>
        <v/>
      </c>
      <c r="L199" s="17"/>
      <c r="M199" s="23" t="e">
        <f t="shared" si="67"/>
        <v>#N/A</v>
      </c>
      <c r="N199" s="23" t="e">
        <f t="shared" si="55"/>
        <v>#N/A</v>
      </c>
      <c r="O199" s="23" t="e">
        <f t="shared" si="56"/>
        <v>#N/A</v>
      </c>
      <c r="P199" s="17"/>
      <c r="Q199" s="19" t="e">
        <f>IF(C199="","",'Tabla_Puntual&amp;Relacionamiento'!$E$16)</f>
        <v>#N/A</v>
      </c>
      <c r="R199" s="19"/>
      <c r="S199" s="11" t="e">
        <f t="shared" si="68"/>
        <v>#N/A</v>
      </c>
      <c r="T199" s="23" t="e">
        <f t="shared" si="57"/>
        <v>#N/A</v>
      </c>
      <c r="U199" s="37" t="e">
        <f t="shared" si="58"/>
        <v>#N/A</v>
      </c>
      <c r="V199" s="37" t="e">
        <f t="shared" si="70"/>
        <v>#N/A</v>
      </c>
      <c r="X199" s="31" t="e">
        <f t="shared" si="59"/>
        <v>#N/A</v>
      </c>
      <c r="Y199" s="34">
        <f t="shared" si="77"/>
        <v>1.3014832288693989</v>
      </c>
      <c r="Z199" s="31" t="e">
        <f t="shared" si="60"/>
        <v>#N/A</v>
      </c>
      <c r="AA199" s="66">
        <f t="shared" si="61"/>
        <v>0</v>
      </c>
      <c r="AB199" s="6" t="e">
        <f t="shared" si="62"/>
        <v>#N/A</v>
      </c>
      <c r="AC199" s="48">
        <f t="shared" si="74"/>
        <v>0</v>
      </c>
    </row>
    <row r="200" spans="3:29" x14ac:dyDescent="0.25">
      <c r="C200" s="27" t="e">
        <f t="shared" si="63"/>
        <v>#N/A</v>
      </c>
      <c r="D200" s="30" t="e">
        <f t="shared" si="64"/>
        <v>#N/A</v>
      </c>
      <c r="E200" s="20" t="e">
        <f t="shared" si="69"/>
        <v>#N/A</v>
      </c>
      <c r="F200" s="20" t="e">
        <f t="shared" si="53"/>
        <v>#N/A</v>
      </c>
      <c r="G200" s="21" t="e">
        <f t="shared" si="54"/>
        <v>#N/A</v>
      </c>
      <c r="H200" s="24" t="e">
        <f t="shared" si="65"/>
        <v>#N/A</v>
      </c>
      <c r="I200" s="21" t="e">
        <f t="shared" si="72"/>
        <v>#N/A</v>
      </c>
      <c r="J200" s="63" t="e">
        <f t="shared" si="66"/>
        <v>#N/A</v>
      </c>
      <c r="K200" s="66" t="str">
        <f t="shared" si="71"/>
        <v/>
      </c>
      <c r="L200" s="17"/>
      <c r="M200" s="23" t="e">
        <f t="shared" si="67"/>
        <v>#N/A</v>
      </c>
      <c r="N200" s="23" t="e">
        <f t="shared" si="55"/>
        <v>#N/A</v>
      </c>
      <c r="O200" s="23" t="e">
        <f t="shared" si="56"/>
        <v>#N/A</v>
      </c>
      <c r="P200" s="17"/>
      <c r="Q200" s="19" t="e">
        <f>IF(C200="","",'Tabla_Puntual&amp;Relacionamiento'!$E$16)</f>
        <v>#N/A</v>
      </c>
      <c r="R200" s="19"/>
      <c r="S200" s="11" t="e">
        <f t="shared" si="68"/>
        <v>#N/A</v>
      </c>
      <c r="T200" s="23" t="e">
        <f t="shared" si="57"/>
        <v>#N/A</v>
      </c>
      <c r="U200" s="37" t="e">
        <f t="shared" si="58"/>
        <v>#N/A</v>
      </c>
      <c r="V200" s="37" t="e">
        <f t="shared" si="70"/>
        <v>#N/A</v>
      </c>
      <c r="X200" s="31" t="e">
        <f t="shared" si="59"/>
        <v>#N/A</v>
      </c>
      <c r="Y200" s="34">
        <f t="shared" si="77"/>
        <v>1.3014832288693989</v>
      </c>
      <c r="Z200" s="31" t="e">
        <f t="shared" si="60"/>
        <v>#N/A</v>
      </c>
      <c r="AA200" s="66">
        <f t="shared" si="61"/>
        <v>0</v>
      </c>
      <c r="AB200" s="6" t="e">
        <f t="shared" si="62"/>
        <v>#N/A</v>
      </c>
      <c r="AC200" s="48">
        <f t="shared" si="74"/>
        <v>0</v>
      </c>
    </row>
    <row r="201" spans="3:29" x14ac:dyDescent="0.25">
      <c r="C201" s="27" t="e">
        <f t="shared" si="63"/>
        <v>#N/A</v>
      </c>
      <c r="D201" s="30" t="e">
        <f t="shared" si="64"/>
        <v>#N/A</v>
      </c>
      <c r="E201" s="20" t="e">
        <f t="shared" si="69"/>
        <v>#N/A</v>
      </c>
      <c r="F201" s="20" t="e">
        <f t="shared" si="53"/>
        <v>#N/A</v>
      </c>
      <c r="G201" s="21" t="e">
        <f t="shared" si="54"/>
        <v>#N/A</v>
      </c>
      <c r="H201" s="24" t="e">
        <f t="shared" si="65"/>
        <v>#N/A</v>
      </c>
      <c r="I201" s="21" t="e">
        <f t="shared" si="72"/>
        <v>#N/A</v>
      </c>
      <c r="J201" s="63" t="e">
        <f t="shared" si="66"/>
        <v>#N/A</v>
      </c>
      <c r="K201" s="66" t="str">
        <f t="shared" si="71"/>
        <v/>
      </c>
      <c r="L201" s="17"/>
      <c r="M201" s="23" t="e">
        <f t="shared" si="67"/>
        <v>#N/A</v>
      </c>
      <c r="N201" s="23" t="e">
        <f t="shared" si="55"/>
        <v>#N/A</v>
      </c>
      <c r="O201" s="23" t="e">
        <f t="shared" si="56"/>
        <v>#N/A</v>
      </c>
      <c r="P201" s="17"/>
      <c r="Q201" s="19" t="e">
        <f>IF(C201="","",'Tabla_Puntual&amp;Relacionamiento'!$E$17)</f>
        <v>#N/A</v>
      </c>
      <c r="R201" s="19" t="e">
        <f>IF(C201="","",IF($E$14="Pago_Bajo_Puntual",$M$17,""))</f>
        <v>#N/A</v>
      </c>
      <c r="S201" s="11" t="e">
        <f t="shared" si="68"/>
        <v>#N/A</v>
      </c>
      <c r="T201" s="23" t="e">
        <f t="shared" si="57"/>
        <v>#N/A</v>
      </c>
      <c r="U201" s="37" t="e">
        <f t="shared" si="58"/>
        <v>#N/A</v>
      </c>
      <c r="V201" s="37" t="e">
        <f t="shared" si="70"/>
        <v>#N/A</v>
      </c>
      <c r="X201" s="31" t="e">
        <f t="shared" si="59"/>
        <v>#N/A</v>
      </c>
      <c r="Y201" s="34">
        <f>Y200*1.019</f>
        <v>1.3262114102179174</v>
      </c>
      <c r="Z201" s="31" t="e">
        <f t="shared" si="60"/>
        <v>#N/A</v>
      </c>
      <c r="AA201" s="66">
        <f t="shared" si="61"/>
        <v>0</v>
      </c>
      <c r="AB201" s="6" t="e">
        <f t="shared" si="62"/>
        <v>#N/A</v>
      </c>
      <c r="AC201" s="48">
        <f>AC200+$M$17</f>
        <v>0</v>
      </c>
    </row>
    <row r="202" spans="3:29" x14ac:dyDescent="0.25">
      <c r="C202" s="27" t="e">
        <f t="shared" si="63"/>
        <v>#N/A</v>
      </c>
      <c r="D202" s="30" t="e">
        <f t="shared" si="64"/>
        <v>#N/A</v>
      </c>
      <c r="E202" s="20" t="e">
        <f t="shared" si="69"/>
        <v>#N/A</v>
      </c>
      <c r="F202" s="20" t="e">
        <f t="shared" si="53"/>
        <v>#N/A</v>
      </c>
      <c r="G202" s="21" t="e">
        <f t="shared" si="54"/>
        <v>#N/A</v>
      </c>
      <c r="H202" s="24" t="e">
        <f t="shared" si="65"/>
        <v>#N/A</v>
      </c>
      <c r="I202" s="21" t="e">
        <f t="shared" si="72"/>
        <v>#N/A</v>
      </c>
      <c r="J202" s="63" t="e">
        <f t="shared" si="66"/>
        <v>#N/A</v>
      </c>
      <c r="K202" s="66" t="str">
        <f t="shared" si="71"/>
        <v/>
      </c>
      <c r="L202" s="17"/>
      <c r="M202" s="23" t="e">
        <f t="shared" si="67"/>
        <v>#N/A</v>
      </c>
      <c r="N202" s="23" t="e">
        <f t="shared" si="55"/>
        <v>#N/A</v>
      </c>
      <c r="O202" s="23" t="e">
        <f t="shared" si="56"/>
        <v>#N/A</v>
      </c>
      <c r="P202" s="17"/>
      <c r="Q202" s="19" t="e">
        <f>IF(C202="","",'Tabla_Puntual&amp;Relacionamiento'!$E$17)</f>
        <v>#N/A</v>
      </c>
      <c r="R202" s="19"/>
      <c r="S202" s="11" t="e">
        <f t="shared" si="68"/>
        <v>#N/A</v>
      </c>
      <c r="T202" s="23" t="e">
        <f t="shared" si="57"/>
        <v>#N/A</v>
      </c>
      <c r="U202" s="37" t="e">
        <f t="shared" si="58"/>
        <v>#N/A</v>
      </c>
      <c r="V202" s="37" t="e">
        <f t="shared" si="70"/>
        <v>#N/A</v>
      </c>
      <c r="X202" s="31" t="e">
        <f t="shared" si="59"/>
        <v>#N/A</v>
      </c>
      <c r="Y202" s="34">
        <f t="shared" ref="Y202:Y212" si="78">Y201</f>
        <v>1.3262114102179174</v>
      </c>
      <c r="Z202" s="31" t="e">
        <f t="shared" si="60"/>
        <v>#N/A</v>
      </c>
      <c r="AA202" s="66">
        <f t="shared" si="61"/>
        <v>0</v>
      </c>
      <c r="AB202" s="6" t="e">
        <f t="shared" si="62"/>
        <v>#N/A</v>
      </c>
      <c r="AC202" s="48">
        <f t="shared" si="74"/>
        <v>0</v>
      </c>
    </row>
    <row r="203" spans="3:29" x14ac:dyDescent="0.25">
      <c r="C203" s="27" t="e">
        <f t="shared" si="63"/>
        <v>#N/A</v>
      </c>
      <c r="D203" s="30" t="e">
        <f t="shared" si="64"/>
        <v>#N/A</v>
      </c>
      <c r="E203" s="20" t="e">
        <f t="shared" si="69"/>
        <v>#N/A</v>
      </c>
      <c r="F203" s="20" t="e">
        <f t="shared" si="53"/>
        <v>#N/A</v>
      </c>
      <c r="G203" s="21" t="e">
        <f t="shared" si="54"/>
        <v>#N/A</v>
      </c>
      <c r="H203" s="24" t="e">
        <f t="shared" si="65"/>
        <v>#N/A</v>
      </c>
      <c r="I203" s="21" t="e">
        <f t="shared" si="72"/>
        <v>#N/A</v>
      </c>
      <c r="J203" s="63" t="e">
        <f t="shared" si="66"/>
        <v>#N/A</v>
      </c>
      <c r="K203" s="66" t="str">
        <f t="shared" si="71"/>
        <v/>
      </c>
      <c r="L203" s="17"/>
      <c r="M203" s="23" t="e">
        <f t="shared" si="67"/>
        <v>#N/A</v>
      </c>
      <c r="N203" s="23" t="e">
        <f t="shared" si="55"/>
        <v>#N/A</v>
      </c>
      <c r="O203" s="23" t="e">
        <f t="shared" si="56"/>
        <v>#N/A</v>
      </c>
      <c r="P203" s="17"/>
      <c r="Q203" s="19" t="e">
        <f>IF(C203="","",'Tabla_Puntual&amp;Relacionamiento'!$E$17)</f>
        <v>#N/A</v>
      </c>
      <c r="R203" s="19"/>
      <c r="S203" s="11" t="e">
        <f t="shared" si="68"/>
        <v>#N/A</v>
      </c>
      <c r="T203" s="23" t="e">
        <f t="shared" si="57"/>
        <v>#N/A</v>
      </c>
      <c r="U203" s="37" t="e">
        <f t="shared" si="58"/>
        <v>#N/A</v>
      </c>
      <c r="V203" s="37" t="e">
        <f t="shared" si="70"/>
        <v>#N/A</v>
      </c>
      <c r="X203" s="31" t="e">
        <f t="shared" si="59"/>
        <v>#N/A</v>
      </c>
      <c r="Y203" s="34">
        <f t="shared" si="78"/>
        <v>1.3262114102179174</v>
      </c>
      <c r="Z203" s="31" t="e">
        <f t="shared" si="60"/>
        <v>#N/A</v>
      </c>
      <c r="AA203" s="66">
        <f t="shared" si="61"/>
        <v>0</v>
      </c>
      <c r="AB203" s="6" t="e">
        <f t="shared" si="62"/>
        <v>#N/A</v>
      </c>
      <c r="AC203" s="48">
        <f t="shared" si="74"/>
        <v>0</v>
      </c>
    </row>
    <row r="204" spans="3:29" x14ac:dyDescent="0.25">
      <c r="C204" s="27" t="e">
        <f t="shared" si="63"/>
        <v>#N/A</v>
      </c>
      <c r="D204" s="30" t="e">
        <f t="shared" si="64"/>
        <v>#N/A</v>
      </c>
      <c r="E204" s="20" t="e">
        <f t="shared" si="69"/>
        <v>#N/A</v>
      </c>
      <c r="F204" s="20" t="e">
        <f t="shared" si="53"/>
        <v>#N/A</v>
      </c>
      <c r="G204" s="21" t="e">
        <f t="shared" si="54"/>
        <v>#N/A</v>
      </c>
      <c r="H204" s="24" t="e">
        <f t="shared" si="65"/>
        <v>#N/A</v>
      </c>
      <c r="I204" s="21" t="e">
        <f t="shared" si="72"/>
        <v>#N/A</v>
      </c>
      <c r="J204" s="63" t="e">
        <f t="shared" si="66"/>
        <v>#N/A</v>
      </c>
      <c r="K204" s="66" t="str">
        <f t="shared" si="71"/>
        <v/>
      </c>
      <c r="L204" s="17"/>
      <c r="M204" s="23" t="e">
        <f t="shared" si="67"/>
        <v>#N/A</v>
      </c>
      <c r="N204" s="23" t="e">
        <f t="shared" si="55"/>
        <v>#N/A</v>
      </c>
      <c r="O204" s="23" t="e">
        <f t="shared" si="56"/>
        <v>#N/A</v>
      </c>
      <c r="P204" s="17"/>
      <c r="Q204" s="19" t="e">
        <f>IF(C204="","",'Tabla_Puntual&amp;Relacionamiento'!$E$17)</f>
        <v>#N/A</v>
      </c>
      <c r="R204" s="19"/>
      <c r="S204" s="11" t="e">
        <f t="shared" si="68"/>
        <v>#N/A</v>
      </c>
      <c r="T204" s="23" t="e">
        <f t="shared" si="57"/>
        <v>#N/A</v>
      </c>
      <c r="U204" s="37" t="e">
        <f t="shared" si="58"/>
        <v>#N/A</v>
      </c>
      <c r="V204" s="37" t="e">
        <f t="shared" si="70"/>
        <v>#N/A</v>
      </c>
      <c r="X204" s="31" t="e">
        <f t="shared" si="59"/>
        <v>#N/A</v>
      </c>
      <c r="Y204" s="34">
        <f t="shared" si="78"/>
        <v>1.3262114102179174</v>
      </c>
      <c r="Z204" s="31" t="e">
        <f t="shared" si="60"/>
        <v>#N/A</v>
      </c>
      <c r="AA204" s="66">
        <f t="shared" si="61"/>
        <v>0</v>
      </c>
      <c r="AB204" s="6" t="e">
        <f t="shared" si="62"/>
        <v>#N/A</v>
      </c>
      <c r="AC204" s="48">
        <f t="shared" si="74"/>
        <v>0</v>
      </c>
    </row>
    <row r="205" spans="3:29" x14ac:dyDescent="0.25">
      <c r="C205" s="27" t="e">
        <f t="shared" si="63"/>
        <v>#N/A</v>
      </c>
      <c r="D205" s="30" t="e">
        <f t="shared" si="64"/>
        <v>#N/A</v>
      </c>
      <c r="E205" s="20" t="e">
        <f t="shared" si="69"/>
        <v>#N/A</v>
      </c>
      <c r="F205" s="20" t="e">
        <f t="shared" si="53"/>
        <v>#N/A</v>
      </c>
      <c r="G205" s="21" t="e">
        <f t="shared" si="54"/>
        <v>#N/A</v>
      </c>
      <c r="H205" s="24" t="e">
        <f t="shared" si="65"/>
        <v>#N/A</v>
      </c>
      <c r="I205" s="21" t="e">
        <f t="shared" si="72"/>
        <v>#N/A</v>
      </c>
      <c r="J205" s="63" t="e">
        <f t="shared" si="66"/>
        <v>#N/A</v>
      </c>
      <c r="K205" s="66" t="str">
        <f t="shared" si="71"/>
        <v/>
      </c>
      <c r="L205" s="17"/>
      <c r="M205" s="23" t="e">
        <f t="shared" si="67"/>
        <v>#N/A</v>
      </c>
      <c r="N205" s="23" t="e">
        <f t="shared" si="55"/>
        <v>#N/A</v>
      </c>
      <c r="O205" s="23" t="e">
        <f t="shared" si="56"/>
        <v>#N/A</v>
      </c>
      <c r="P205" s="17"/>
      <c r="Q205" s="19" t="e">
        <f>IF(C205="","",'Tabla_Puntual&amp;Relacionamiento'!$E$17)</f>
        <v>#N/A</v>
      </c>
      <c r="R205" s="19"/>
      <c r="S205" s="11" t="e">
        <f t="shared" si="68"/>
        <v>#N/A</v>
      </c>
      <c r="T205" s="23" t="e">
        <f t="shared" si="57"/>
        <v>#N/A</v>
      </c>
      <c r="U205" s="37" t="e">
        <f t="shared" si="58"/>
        <v>#N/A</v>
      </c>
      <c r="V205" s="37" t="e">
        <f t="shared" si="70"/>
        <v>#N/A</v>
      </c>
      <c r="X205" s="31" t="e">
        <f t="shared" si="59"/>
        <v>#N/A</v>
      </c>
      <c r="Y205" s="34">
        <f t="shared" si="78"/>
        <v>1.3262114102179174</v>
      </c>
      <c r="Z205" s="31" t="e">
        <f t="shared" si="60"/>
        <v>#N/A</v>
      </c>
      <c r="AA205" s="66">
        <f t="shared" si="61"/>
        <v>0</v>
      </c>
      <c r="AB205" s="6" t="e">
        <f t="shared" si="62"/>
        <v>#N/A</v>
      </c>
      <c r="AC205" s="48">
        <f t="shared" si="74"/>
        <v>0</v>
      </c>
    </row>
    <row r="206" spans="3:29" x14ac:dyDescent="0.25">
      <c r="C206" s="27" t="e">
        <f t="shared" si="63"/>
        <v>#N/A</v>
      </c>
      <c r="D206" s="30" t="e">
        <f t="shared" si="64"/>
        <v>#N/A</v>
      </c>
      <c r="E206" s="20" t="e">
        <f t="shared" si="69"/>
        <v>#N/A</v>
      </c>
      <c r="F206" s="20" t="e">
        <f t="shared" si="53"/>
        <v>#N/A</v>
      </c>
      <c r="G206" s="21" t="e">
        <f t="shared" si="54"/>
        <v>#N/A</v>
      </c>
      <c r="H206" s="24" t="e">
        <f t="shared" si="65"/>
        <v>#N/A</v>
      </c>
      <c r="I206" s="21" t="e">
        <f t="shared" si="72"/>
        <v>#N/A</v>
      </c>
      <c r="J206" s="63" t="e">
        <f t="shared" si="66"/>
        <v>#N/A</v>
      </c>
      <c r="K206" s="66" t="str">
        <f t="shared" si="71"/>
        <v/>
      </c>
      <c r="L206" s="17"/>
      <c r="M206" s="23" t="e">
        <f t="shared" si="67"/>
        <v>#N/A</v>
      </c>
      <c r="N206" s="23" t="e">
        <f t="shared" si="55"/>
        <v>#N/A</v>
      </c>
      <c r="O206" s="23" t="e">
        <f t="shared" si="56"/>
        <v>#N/A</v>
      </c>
      <c r="P206" s="17"/>
      <c r="Q206" s="19" t="e">
        <f>IF(C206="","",'Tabla_Puntual&amp;Relacionamiento'!$E$17)</f>
        <v>#N/A</v>
      </c>
      <c r="R206" s="19"/>
      <c r="S206" s="11" t="e">
        <f t="shared" si="68"/>
        <v>#N/A</v>
      </c>
      <c r="T206" s="23" t="e">
        <f t="shared" si="57"/>
        <v>#N/A</v>
      </c>
      <c r="U206" s="37" t="e">
        <f t="shared" si="58"/>
        <v>#N/A</v>
      </c>
      <c r="V206" s="37" t="e">
        <f t="shared" si="70"/>
        <v>#N/A</v>
      </c>
      <c r="X206" s="31" t="e">
        <f t="shared" si="59"/>
        <v>#N/A</v>
      </c>
      <c r="Y206" s="34">
        <f t="shared" si="78"/>
        <v>1.3262114102179174</v>
      </c>
      <c r="Z206" s="31" t="e">
        <f t="shared" si="60"/>
        <v>#N/A</v>
      </c>
      <c r="AA206" s="66">
        <f t="shared" si="61"/>
        <v>0</v>
      </c>
      <c r="AB206" s="6" t="e">
        <f t="shared" si="62"/>
        <v>#N/A</v>
      </c>
      <c r="AC206" s="48">
        <f t="shared" si="74"/>
        <v>0</v>
      </c>
    </row>
    <row r="207" spans="3:29" x14ac:dyDescent="0.25">
      <c r="C207" s="27" t="e">
        <f t="shared" si="63"/>
        <v>#N/A</v>
      </c>
      <c r="D207" s="30" t="e">
        <f t="shared" si="64"/>
        <v>#N/A</v>
      </c>
      <c r="E207" s="20" t="e">
        <f t="shared" si="69"/>
        <v>#N/A</v>
      </c>
      <c r="F207" s="20" t="e">
        <f t="shared" si="53"/>
        <v>#N/A</v>
      </c>
      <c r="G207" s="21" t="e">
        <f t="shared" si="54"/>
        <v>#N/A</v>
      </c>
      <c r="H207" s="24" t="e">
        <f t="shared" si="65"/>
        <v>#N/A</v>
      </c>
      <c r="I207" s="21" t="e">
        <f t="shared" si="72"/>
        <v>#N/A</v>
      </c>
      <c r="J207" s="63" t="e">
        <f t="shared" si="66"/>
        <v>#N/A</v>
      </c>
      <c r="K207" s="66" t="str">
        <f t="shared" si="71"/>
        <v/>
      </c>
      <c r="L207" s="17"/>
      <c r="M207" s="23" t="e">
        <f t="shared" si="67"/>
        <v>#N/A</v>
      </c>
      <c r="N207" s="23" t="e">
        <f t="shared" si="55"/>
        <v>#N/A</v>
      </c>
      <c r="O207" s="23" t="e">
        <f t="shared" si="56"/>
        <v>#N/A</v>
      </c>
      <c r="P207" s="17"/>
      <c r="Q207" s="19" t="e">
        <f>IF(C207="","",'Tabla_Puntual&amp;Relacionamiento'!$E$17)</f>
        <v>#N/A</v>
      </c>
      <c r="R207" s="19"/>
      <c r="S207" s="11" t="e">
        <f t="shared" si="68"/>
        <v>#N/A</v>
      </c>
      <c r="T207" s="23" t="e">
        <f t="shared" si="57"/>
        <v>#N/A</v>
      </c>
      <c r="U207" s="37" t="e">
        <f t="shared" si="58"/>
        <v>#N/A</v>
      </c>
      <c r="V207" s="37" t="e">
        <f t="shared" si="70"/>
        <v>#N/A</v>
      </c>
      <c r="X207" s="31" t="e">
        <f t="shared" si="59"/>
        <v>#N/A</v>
      </c>
      <c r="Y207" s="34">
        <f t="shared" si="78"/>
        <v>1.3262114102179174</v>
      </c>
      <c r="Z207" s="31" t="e">
        <f t="shared" si="60"/>
        <v>#N/A</v>
      </c>
      <c r="AA207" s="66">
        <f t="shared" si="61"/>
        <v>0</v>
      </c>
      <c r="AB207" s="6" t="e">
        <f t="shared" si="62"/>
        <v>#N/A</v>
      </c>
      <c r="AC207" s="48">
        <f t="shared" si="74"/>
        <v>0</v>
      </c>
    </row>
    <row r="208" spans="3:29" x14ac:dyDescent="0.25">
      <c r="C208" s="27" t="e">
        <f t="shared" si="63"/>
        <v>#N/A</v>
      </c>
      <c r="D208" s="30" t="e">
        <f t="shared" si="64"/>
        <v>#N/A</v>
      </c>
      <c r="E208" s="20" t="e">
        <f t="shared" si="69"/>
        <v>#N/A</v>
      </c>
      <c r="F208" s="20" t="e">
        <f t="shared" si="53"/>
        <v>#N/A</v>
      </c>
      <c r="G208" s="21" t="e">
        <f t="shared" si="54"/>
        <v>#N/A</v>
      </c>
      <c r="H208" s="24" t="e">
        <f t="shared" si="65"/>
        <v>#N/A</v>
      </c>
      <c r="I208" s="21" t="e">
        <f t="shared" si="72"/>
        <v>#N/A</v>
      </c>
      <c r="J208" s="63" t="e">
        <f t="shared" si="66"/>
        <v>#N/A</v>
      </c>
      <c r="K208" s="66" t="str">
        <f t="shared" si="71"/>
        <v/>
      </c>
      <c r="L208" s="17"/>
      <c r="M208" s="23" t="e">
        <f t="shared" si="67"/>
        <v>#N/A</v>
      </c>
      <c r="N208" s="23" t="e">
        <f t="shared" si="55"/>
        <v>#N/A</v>
      </c>
      <c r="O208" s="23" t="e">
        <f t="shared" si="56"/>
        <v>#N/A</v>
      </c>
      <c r="P208" s="17"/>
      <c r="Q208" s="19" t="e">
        <f>IF(C208="","",'Tabla_Puntual&amp;Relacionamiento'!$E$17)</f>
        <v>#N/A</v>
      </c>
      <c r="R208" s="19"/>
      <c r="S208" s="11" t="e">
        <f t="shared" si="68"/>
        <v>#N/A</v>
      </c>
      <c r="T208" s="23" t="e">
        <f t="shared" si="57"/>
        <v>#N/A</v>
      </c>
      <c r="U208" s="37" t="e">
        <f t="shared" si="58"/>
        <v>#N/A</v>
      </c>
      <c r="V208" s="37" t="e">
        <f t="shared" si="70"/>
        <v>#N/A</v>
      </c>
      <c r="X208" s="31" t="e">
        <f t="shared" si="59"/>
        <v>#N/A</v>
      </c>
      <c r="Y208" s="34">
        <f t="shared" si="78"/>
        <v>1.3262114102179174</v>
      </c>
      <c r="Z208" s="31" t="e">
        <f t="shared" si="60"/>
        <v>#N/A</v>
      </c>
      <c r="AA208" s="66">
        <f t="shared" si="61"/>
        <v>0</v>
      </c>
      <c r="AB208" s="6" t="e">
        <f t="shared" si="62"/>
        <v>#N/A</v>
      </c>
      <c r="AC208" s="48">
        <f t="shared" si="74"/>
        <v>0</v>
      </c>
    </row>
    <row r="209" spans="3:29" x14ac:dyDescent="0.25">
      <c r="C209" s="27" t="e">
        <f t="shared" si="63"/>
        <v>#N/A</v>
      </c>
      <c r="D209" s="30" t="e">
        <f t="shared" si="64"/>
        <v>#N/A</v>
      </c>
      <c r="E209" s="20" t="e">
        <f t="shared" si="69"/>
        <v>#N/A</v>
      </c>
      <c r="F209" s="20" t="e">
        <f t="shared" si="53"/>
        <v>#N/A</v>
      </c>
      <c r="G209" s="21" t="e">
        <f t="shared" si="54"/>
        <v>#N/A</v>
      </c>
      <c r="H209" s="24" t="e">
        <f t="shared" si="65"/>
        <v>#N/A</v>
      </c>
      <c r="I209" s="21" t="e">
        <f t="shared" si="72"/>
        <v>#N/A</v>
      </c>
      <c r="J209" s="63" t="e">
        <f t="shared" si="66"/>
        <v>#N/A</v>
      </c>
      <c r="K209" s="66" t="str">
        <f t="shared" si="71"/>
        <v/>
      </c>
      <c r="L209" s="17"/>
      <c r="M209" s="23" t="e">
        <f t="shared" si="67"/>
        <v>#N/A</v>
      </c>
      <c r="N209" s="23" t="e">
        <f t="shared" si="55"/>
        <v>#N/A</v>
      </c>
      <c r="O209" s="23" t="e">
        <f t="shared" si="56"/>
        <v>#N/A</v>
      </c>
      <c r="P209" s="17"/>
      <c r="Q209" s="19" t="e">
        <f>IF(C209="","",'Tabla_Puntual&amp;Relacionamiento'!$E$17)</f>
        <v>#N/A</v>
      </c>
      <c r="R209" s="19"/>
      <c r="S209" s="11" t="e">
        <f t="shared" si="68"/>
        <v>#N/A</v>
      </c>
      <c r="T209" s="23" t="e">
        <f t="shared" si="57"/>
        <v>#N/A</v>
      </c>
      <c r="U209" s="37" t="e">
        <f t="shared" si="58"/>
        <v>#N/A</v>
      </c>
      <c r="V209" s="37" t="e">
        <f t="shared" si="70"/>
        <v>#N/A</v>
      </c>
      <c r="X209" s="31" t="e">
        <f t="shared" si="59"/>
        <v>#N/A</v>
      </c>
      <c r="Y209" s="34">
        <f t="shared" si="78"/>
        <v>1.3262114102179174</v>
      </c>
      <c r="Z209" s="31" t="e">
        <f t="shared" si="60"/>
        <v>#N/A</v>
      </c>
      <c r="AA209" s="66">
        <f t="shared" si="61"/>
        <v>0</v>
      </c>
      <c r="AB209" s="6" t="e">
        <f t="shared" si="62"/>
        <v>#N/A</v>
      </c>
      <c r="AC209" s="48">
        <f t="shared" si="74"/>
        <v>0</v>
      </c>
    </row>
    <row r="210" spans="3:29" x14ac:dyDescent="0.25">
      <c r="C210" s="27" t="e">
        <f t="shared" si="63"/>
        <v>#N/A</v>
      </c>
      <c r="D210" s="30" t="e">
        <f t="shared" si="64"/>
        <v>#N/A</v>
      </c>
      <c r="E210" s="20" t="e">
        <f t="shared" si="69"/>
        <v>#N/A</v>
      </c>
      <c r="F210" s="20" t="e">
        <f t="shared" si="53"/>
        <v>#N/A</v>
      </c>
      <c r="G210" s="21" t="e">
        <f t="shared" si="54"/>
        <v>#N/A</v>
      </c>
      <c r="H210" s="24" t="e">
        <f t="shared" si="65"/>
        <v>#N/A</v>
      </c>
      <c r="I210" s="21" t="e">
        <f t="shared" si="72"/>
        <v>#N/A</v>
      </c>
      <c r="J210" s="63" t="e">
        <f t="shared" si="66"/>
        <v>#N/A</v>
      </c>
      <c r="K210" s="66" t="str">
        <f t="shared" si="71"/>
        <v/>
      </c>
      <c r="L210" s="17"/>
      <c r="M210" s="23" t="e">
        <f t="shared" si="67"/>
        <v>#N/A</v>
      </c>
      <c r="N210" s="23" t="e">
        <f t="shared" si="55"/>
        <v>#N/A</v>
      </c>
      <c r="O210" s="23" t="e">
        <f t="shared" si="56"/>
        <v>#N/A</v>
      </c>
      <c r="P210" s="17"/>
      <c r="Q210" s="19" t="e">
        <f>IF(C210="","",'Tabla_Puntual&amp;Relacionamiento'!$E$17)</f>
        <v>#N/A</v>
      </c>
      <c r="R210" s="19"/>
      <c r="S210" s="11" t="e">
        <f t="shared" si="68"/>
        <v>#N/A</v>
      </c>
      <c r="T210" s="23" t="e">
        <f t="shared" si="57"/>
        <v>#N/A</v>
      </c>
      <c r="U210" s="37" t="e">
        <f t="shared" si="58"/>
        <v>#N/A</v>
      </c>
      <c r="V210" s="37" t="e">
        <f t="shared" si="70"/>
        <v>#N/A</v>
      </c>
      <c r="X210" s="31" t="e">
        <f t="shared" si="59"/>
        <v>#N/A</v>
      </c>
      <c r="Y210" s="34">
        <f t="shared" si="78"/>
        <v>1.3262114102179174</v>
      </c>
      <c r="Z210" s="31" t="e">
        <f t="shared" si="60"/>
        <v>#N/A</v>
      </c>
      <c r="AA210" s="66">
        <f t="shared" si="61"/>
        <v>0</v>
      </c>
      <c r="AB210" s="6" t="e">
        <f t="shared" si="62"/>
        <v>#N/A</v>
      </c>
      <c r="AC210" s="48">
        <f t="shared" si="74"/>
        <v>0</v>
      </c>
    </row>
    <row r="211" spans="3:29" x14ac:dyDescent="0.25">
      <c r="C211" s="27" t="e">
        <f t="shared" si="63"/>
        <v>#N/A</v>
      </c>
      <c r="D211" s="30" t="e">
        <f t="shared" si="64"/>
        <v>#N/A</v>
      </c>
      <c r="E211" s="20" t="e">
        <f t="shared" si="69"/>
        <v>#N/A</v>
      </c>
      <c r="F211" s="20" t="e">
        <f t="shared" si="53"/>
        <v>#N/A</v>
      </c>
      <c r="G211" s="21" t="e">
        <f t="shared" si="54"/>
        <v>#N/A</v>
      </c>
      <c r="H211" s="24" t="e">
        <f t="shared" si="65"/>
        <v>#N/A</v>
      </c>
      <c r="I211" s="21" t="e">
        <f t="shared" si="72"/>
        <v>#N/A</v>
      </c>
      <c r="J211" s="63" t="e">
        <f t="shared" si="66"/>
        <v>#N/A</v>
      </c>
      <c r="K211" s="66" t="str">
        <f t="shared" si="71"/>
        <v/>
      </c>
      <c r="L211" s="17"/>
      <c r="M211" s="23" t="e">
        <f t="shared" si="67"/>
        <v>#N/A</v>
      </c>
      <c r="N211" s="23" t="e">
        <f t="shared" si="55"/>
        <v>#N/A</v>
      </c>
      <c r="O211" s="23" t="e">
        <f t="shared" si="56"/>
        <v>#N/A</v>
      </c>
      <c r="P211" s="17"/>
      <c r="Q211" s="19" t="e">
        <f>IF(C211="","",'Tabla_Puntual&amp;Relacionamiento'!$E$17)</f>
        <v>#N/A</v>
      </c>
      <c r="R211" s="19"/>
      <c r="S211" s="11" t="e">
        <f t="shared" si="68"/>
        <v>#N/A</v>
      </c>
      <c r="T211" s="23" t="e">
        <f t="shared" si="57"/>
        <v>#N/A</v>
      </c>
      <c r="U211" s="37" t="e">
        <f t="shared" si="58"/>
        <v>#N/A</v>
      </c>
      <c r="V211" s="37" t="e">
        <f t="shared" si="70"/>
        <v>#N/A</v>
      </c>
      <c r="X211" s="31" t="e">
        <f t="shared" si="59"/>
        <v>#N/A</v>
      </c>
      <c r="Y211" s="34">
        <f t="shared" si="78"/>
        <v>1.3262114102179174</v>
      </c>
      <c r="Z211" s="31" t="e">
        <f t="shared" si="60"/>
        <v>#N/A</v>
      </c>
      <c r="AA211" s="66">
        <f t="shared" si="61"/>
        <v>0</v>
      </c>
      <c r="AB211" s="6" t="e">
        <f t="shared" si="62"/>
        <v>#N/A</v>
      </c>
      <c r="AC211" s="48">
        <f t="shared" si="74"/>
        <v>0</v>
      </c>
    </row>
    <row r="212" spans="3:29" x14ac:dyDescent="0.25">
      <c r="C212" s="27" t="e">
        <f t="shared" si="63"/>
        <v>#N/A</v>
      </c>
      <c r="D212" s="30" t="e">
        <f t="shared" si="64"/>
        <v>#N/A</v>
      </c>
      <c r="E212" s="20" t="e">
        <f t="shared" si="69"/>
        <v>#N/A</v>
      </c>
      <c r="F212" s="20" t="e">
        <f t="shared" si="53"/>
        <v>#N/A</v>
      </c>
      <c r="G212" s="21" t="e">
        <f t="shared" si="54"/>
        <v>#N/A</v>
      </c>
      <c r="H212" s="24" t="e">
        <f t="shared" si="65"/>
        <v>#N/A</v>
      </c>
      <c r="I212" s="21" t="e">
        <f t="shared" si="72"/>
        <v>#N/A</v>
      </c>
      <c r="J212" s="63" t="e">
        <f t="shared" si="66"/>
        <v>#N/A</v>
      </c>
      <c r="K212" s="66" t="str">
        <f t="shared" si="71"/>
        <v/>
      </c>
      <c r="L212" s="17"/>
      <c r="M212" s="23" t="e">
        <f t="shared" si="67"/>
        <v>#N/A</v>
      </c>
      <c r="N212" s="23" t="e">
        <f t="shared" si="55"/>
        <v>#N/A</v>
      </c>
      <c r="O212" s="23" t="e">
        <f t="shared" si="56"/>
        <v>#N/A</v>
      </c>
      <c r="P212" s="17"/>
      <c r="Q212" s="19" t="e">
        <f>IF(C212="","",'Tabla_Puntual&amp;Relacionamiento'!$E$17)</f>
        <v>#N/A</v>
      </c>
      <c r="R212" s="19"/>
      <c r="S212" s="11" t="e">
        <f t="shared" si="68"/>
        <v>#N/A</v>
      </c>
      <c r="T212" s="23" t="e">
        <f t="shared" si="57"/>
        <v>#N/A</v>
      </c>
      <c r="U212" s="37" t="e">
        <f t="shared" si="58"/>
        <v>#N/A</v>
      </c>
      <c r="V212" s="37" t="e">
        <f t="shared" si="70"/>
        <v>#N/A</v>
      </c>
      <c r="X212" s="31" t="e">
        <f t="shared" si="59"/>
        <v>#N/A</v>
      </c>
      <c r="Y212" s="34">
        <f t="shared" si="78"/>
        <v>1.3262114102179174</v>
      </c>
      <c r="Z212" s="31" t="e">
        <f t="shared" si="60"/>
        <v>#N/A</v>
      </c>
      <c r="AA212" s="66">
        <f t="shared" si="61"/>
        <v>0</v>
      </c>
      <c r="AB212" s="6" t="e">
        <f t="shared" si="62"/>
        <v>#N/A</v>
      </c>
      <c r="AC212" s="48">
        <f t="shared" si="74"/>
        <v>0</v>
      </c>
    </row>
    <row r="213" spans="3:29" x14ac:dyDescent="0.25">
      <c r="C213" s="27" t="e">
        <f t="shared" si="63"/>
        <v>#N/A</v>
      </c>
      <c r="D213" s="30" t="e">
        <f t="shared" si="64"/>
        <v>#N/A</v>
      </c>
      <c r="E213" s="20" t="e">
        <f t="shared" si="69"/>
        <v>#N/A</v>
      </c>
      <c r="F213" s="20" t="e">
        <f t="shared" ref="F213:F276" si="79">IF(C213="","",E213-G213+P213+M213)</f>
        <v>#N/A</v>
      </c>
      <c r="G213" s="21" t="e">
        <f t="shared" ref="G213:G276" si="80">IF(C213="","",IF(T212*(Q213/12)&lt;0,"",T212*(Q213/12)))</f>
        <v>#N/A</v>
      </c>
      <c r="H213" s="24" t="e">
        <f t="shared" si="65"/>
        <v>#N/A</v>
      </c>
      <c r="I213" s="21" t="e">
        <f t="shared" si="72"/>
        <v>#N/A</v>
      </c>
      <c r="J213" s="63" t="e">
        <f t="shared" si="66"/>
        <v>#N/A</v>
      </c>
      <c r="K213" s="66" t="str">
        <f t="shared" si="71"/>
        <v/>
      </c>
      <c r="L213" s="17"/>
      <c r="M213" s="23" t="e">
        <f t="shared" si="67"/>
        <v>#N/A</v>
      </c>
      <c r="N213" s="23" t="e">
        <f t="shared" ref="N213:N276" si="81">IF(C213="","",(L213+P213)*$J$12)</f>
        <v>#N/A</v>
      </c>
      <c r="O213" s="23" t="e">
        <f t="shared" ref="O213:O276" si="82">IF(C213="","",((L213+P213)*$J$12)*0.16)</f>
        <v>#N/A</v>
      </c>
      <c r="P213" s="17"/>
      <c r="Q213" s="19" t="e">
        <f>IF(C213="","",'Tabla_Puntual&amp;Relacionamiento'!$E$18)</f>
        <v>#N/A</v>
      </c>
      <c r="R213" s="19" t="e">
        <f>IF(C213="","",IF($E$14="Pago_Bajo_Puntual",$M$17,""))</f>
        <v>#N/A</v>
      </c>
      <c r="S213" s="11" t="e">
        <f t="shared" si="68"/>
        <v>#N/A</v>
      </c>
      <c r="T213" s="23" t="e">
        <f t="shared" ref="T213:T276" si="83">IF(C213="","",T212-F213)</f>
        <v>#N/A</v>
      </c>
      <c r="U213" s="37" t="e">
        <f t="shared" ref="U213:U276" si="84">IF(C213="","",1)</f>
        <v>#N/A</v>
      </c>
      <c r="V213" s="37" t="e">
        <f t="shared" si="70"/>
        <v>#N/A</v>
      </c>
      <c r="X213" s="31" t="e">
        <f t="shared" ref="X213:X276" si="85">IF(C213="","",IF($D$17="SI",AB213,
IF(ISNUMBER(V213),IF($E$14="Pago_Fijo_Puntual",PMT(Q213/12,$E$15*12,-$J$9),
Y213*$J$15*$J$9/1000)+H213+AB213+P213+I213/1.16+$Q$15,0)))</f>
        <v>#N/A</v>
      </c>
      <c r="Y213" s="34">
        <f>Y212*1.019</f>
        <v>1.3514094270120578</v>
      </c>
      <c r="Z213" s="31" t="e">
        <f t="shared" ref="Z213:Z276" si="86">IF($AA$20=0,0,IF(M213&gt;AA212,MAX(0,M213-AA212),M213))</f>
        <v>#N/A</v>
      </c>
      <c r="AA213" s="66">
        <f t="shared" ref="AA213:AA276" si="87">IFERROR(MAX(0,AA212-M213),0)</f>
        <v>0</v>
      </c>
      <c r="AB213" s="6" t="e">
        <f t="shared" ref="AB213:AB276" si="88">IF($D$17="NO",M213,IF(AA213&gt;0,0,Z213))</f>
        <v>#N/A</v>
      </c>
      <c r="AC213" s="48">
        <f>AC212+$M$17</f>
        <v>0</v>
      </c>
    </row>
    <row r="214" spans="3:29" x14ac:dyDescent="0.25">
      <c r="C214" s="27" t="e">
        <f t="shared" ref="C214:C277" si="89">IF(OR(C213="",T213&lt;=0),"",IF(C213+1&lt;=E$15*12,C213+1,""))</f>
        <v>#N/A</v>
      </c>
      <c r="D214" s="30" t="e">
        <f t="shared" ref="D214:D277" si="90">IF(T213&lt;=0,"",T213)</f>
        <v>#N/A</v>
      </c>
      <c r="E214" s="20" t="e">
        <f t="shared" si="69"/>
        <v>#N/A</v>
      </c>
      <c r="F214" s="20" t="e">
        <f t="shared" si="79"/>
        <v>#N/A</v>
      </c>
      <c r="G214" s="21" t="e">
        <f t="shared" si="80"/>
        <v>#N/A</v>
      </c>
      <c r="H214" s="24" t="e">
        <f t="shared" ref="H214:H277" si="91">IF(C214="","",L$12*T213/1000)</f>
        <v>#N/A</v>
      </c>
      <c r="I214" s="21" t="e">
        <f t="shared" si="72"/>
        <v>#N/A</v>
      </c>
      <c r="J214" s="63" t="e">
        <f t="shared" ref="J214:J277" si="92">IF($D$17="SI",0,IF(D214="","",$Q$15))</f>
        <v>#N/A</v>
      </c>
      <c r="K214" s="66" t="str">
        <f t="shared" si="71"/>
        <v/>
      </c>
      <c r="L214" s="17"/>
      <c r="M214" s="23" t="e">
        <f t="shared" ref="M214:M277" si="93">IF(C214="","",IF(L214="",0,L214-N214-O214))</f>
        <v>#N/A</v>
      </c>
      <c r="N214" s="23" t="e">
        <f t="shared" si="81"/>
        <v>#N/A</v>
      </c>
      <c r="O214" s="23" t="e">
        <f t="shared" si="82"/>
        <v>#N/A</v>
      </c>
      <c r="P214" s="17"/>
      <c r="Q214" s="19" t="e">
        <f>IF(C214="","",'Tabla_Puntual&amp;Relacionamiento'!$E$18)</f>
        <v>#N/A</v>
      </c>
      <c r="R214" s="19"/>
      <c r="S214" s="11" t="e">
        <f t="shared" ref="S214:S277" si="94">IF(C214="","",IF($K$19="",E214+H214+I214+J214+L214+P214,E214+H214+I214+J214+K214+L214+P214))</f>
        <v>#N/A</v>
      </c>
      <c r="T214" s="23" t="e">
        <f t="shared" si="83"/>
        <v>#N/A</v>
      </c>
      <c r="U214" s="37" t="e">
        <f t="shared" si="84"/>
        <v>#N/A</v>
      </c>
      <c r="V214" s="37" t="e">
        <f t="shared" si="70"/>
        <v>#N/A</v>
      </c>
      <c r="X214" s="31" t="e">
        <f t="shared" si="85"/>
        <v>#N/A</v>
      </c>
      <c r="Y214" s="34">
        <f t="shared" ref="Y214:Y224" si="95">Y213</f>
        <v>1.3514094270120578</v>
      </c>
      <c r="Z214" s="31" t="e">
        <f t="shared" si="86"/>
        <v>#N/A</v>
      </c>
      <c r="AA214" s="66">
        <f t="shared" si="87"/>
        <v>0</v>
      </c>
      <c r="AB214" s="6" t="e">
        <f t="shared" si="88"/>
        <v>#N/A</v>
      </c>
      <c r="AC214" s="48">
        <f t="shared" si="74"/>
        <v>0</v>
      </c>
    </row>
    <row r="215" spans="3:29" x14ac:dyDescent="0.25">
      <c r="C215" s="27" t="e">
        <f t="shared" si="89"/>
        <v>#N/A</v>
      </c>
      <c r="D215" s="30" t="e">
        <f t="shared" si="90"/>
        <v>#N/A</v>
      </c>
      <c r="E215" s="20" t="e">
        <f t="shared" ref="E215:E278" si="96">IF(C215="","",IF(T214&lt;E214,T214+G215,IF($E$14="Pago_Fijo_Puntual",$J$9*$J$15/1000,IF($E$14="Pago_Bajo_Puntual",E214+(E214*R215)))))</f>
        <v>#N/A</v>
      </c>
      <c r="F215" s="20" t="e">
        <f t="shared" si="79"/>
        <v>#N/A</v>
      </c>
      <c r="G215" s="21" t="e">
        <f t="shared" si="80"/>
        <v>#N/A</v>
      </c>
      <c r="H215" s="24" t="e">
        <f t="shared" si="91"/>
        <v>#N/A</v>
      </c>
      <c r="I215" s="21" t="e">
        <f t="shared" si="72"/>
        <v>#N/A</v>
      </c>
      <c r="J215" s="63" t="e">
        <f t="shared" si="92"/>
        <v>#N/A</v>
      </c>
      <c r="K215" s="66" t="str">
        <f t="shared" si="71"/>
        <v/>
      </c>
      <c r="L215" s="17"/>
      <c r="M215" s="23" t="e">
        <f t="shared" si="93"/>
        <v>#N/A</v>
      </c>
      <c r="N215" s="23" t="e">
        <f t="shared" si="81"/>
        <v>#N/A</v>
      </c>
      <c r="O215" s="23" t="e">
        <f t="shared" si="82"/>
        <v>#N/A</v>
      </c>
      <c r="P215" s="17"/>
      <c r="Q215" s="19" t="e">
        <f>IF(C215="","",'Tabla_Puntual&amp;Relacionamiento'!$E$18)</f>
        <v>#N/A</v>
      </c>
      <c r="R215" s="19"/>
      <c r="S215" s="11" t="e">
        <f t="shared" si="94"/>
        <v>#N/A</v>
      </c>
      <c r="T215" s="23" t="e">
        <f t="shared" si="83"/>
        <v>#N/A</v>
      </c>
      <c r="U215" s="37" t="e">
        <f t="shared" si="84"/>
        <v>#N/A</v>
      </c>
      <c r="V215" s="37" t="e">
        <f t="shared" ref="V215:V278" si="97">C215</f>
        <v>#N/A</v>
      </c>
      <c r="X215" s="31" t="e">
        <f t="shared" si="85"/>
        <v>#N/A</v>
      </c>
      <c r="Y215" s="34">
        <f t="shared" si="95"/>
        <v>1.3514094270120578</v>
      </c>
      <c r="Z215" s="31" t="e">
        <f t="shared" si="86"/>
        <v>#N/A</v>
      </c>
      <c r="AA215" s="66">
        <f t="shared" si="87"/>
        <v>0</v>
      </c>
      <c r="AB215" s="6" t="e">
        <f t="shared" si="88"/>
        <v>#N/A</v>
      </c>
      <c r="AC215" s="48">
        <f t="shared" si="74"/>
        <v>0</v>
      </c>
    </row>
    <row r="216" spans="3:29" x14ac:dyDescent="0.25">
      <c r="C216" s="27" t="e">
        <f t="shared" si="89"/>
        <v>#N/A</v>
      </c>
      <c r="D216" s="30" t="e">
        <f t="shared" si="90"/>
        <v>#N/A</v>
      </c>
      <c r="E216" s="20" t="e">
        <f t="shared" si="96"/>
        <v>#N/A</v>
      </c>
      <c r="F216" s="20" t="e">
        <f t="shared" si="79"/>
        <v>#N/A</v>
      </c>
      <c r="G216" s="21" t="e">
        <f t="shared" si="80"/>
        <v>#N/A</v>
      </c>
      <c r="H216" s="24" t="e">
        <f t="shared" si="91"/>
        <v>#N/A</v>
      </c>
      <c r="I216" s="21" t="e">
        <f t="shared" si="72"/>
        <v>#N/A</v>
      </c>
      <c r="J216" s="63" t="e">
        <f t="shared" si="92"/>
        <v>#N/A</v>
      </c>
      <c r="K216" s="66" t="str">
        <f t="shared" ref="K216:K279" si="98">IFERROR(IF($E$8="Liquidez",G216*0.16,IF(AND($E$8="Pago_Hipoteca+Liquidez",$E$16="Liquidez"),G216*0.16,"")),"")</f>
        <v/>
      </c>
      <c r="L216" s="17"/>
      <c r="M216" s="23" t="e">
        <f t="shared" si="93"/>
        <v>#N/A</v>
      </c>
      <c r="N216" s="23" t="e">
        <f t="shared" si="81"/>
        <v>#N/A</v>
      </c>
      <c r="O216" s="23" t="e">
        <f t="shared" si="82"/>
        <v>#N/A</v>
      </c>
      <c r="P216" s="17"/>
      <c r="Q216" s="19" t="e">
        <f>IF(C216="","",'Tabla_Puntual&amp;Relacionamiento'!$E$18)</f>
        <v>#N/A</v>
      </c>
      <c r="R216" s="19"/>
      <c r="S216" s="11" t="e">
        <f t="shared" si="94"/>
        <v>#N/A</v>
      </c>
      <c r="T216" s="23" t="e">
        <f t="shared" si="83"/>
        <v>#N/A</v>
      </c>
      <c r="U216" s="37" t="e">
        <f t="shared" si="84"/>
        <v>#N/A</v>
      </c>
      <c r="V216" s="37" t="e">
        <f t="shared" si="97"/>
        <v>#N/A</v>
      </c>
      <c r="X216" s="31" t="e">
        <f t="shared" si="85"/>
        <v>#N/A</v>
      </c>
      <c r="Y216" s="34">
        <f t="shared" si="95"/>
        <v>1.3514094270120578</v>
      </c>
      <c r="Z216" s="31" t="e">
        <f t="shared" si="86"/>
        <v>#N/A</v>
      </c>
      <c r="AA216" s="66">
        <f t="shared" si="87"/>
        <v>0</v>
      </c>
      <c r="AB216" s="6" t="e">
        <f t="shared" si="88"/>
        <v>#N/A</v>
      </c>
      <c r="AC216" s="48">
        <f t="shared" si="74"/>
        <v>0</v>
      </c>
    </row>
    <row r="217" spans="3:29" x14ac:dyDescent="0.25">
      <c r="C217" s="27" t="e">
        <f t="shared" si="89"/>
        <v>#N/A</v>
      </c>
      <c r="D217" s="30" t="e">
        <f t="shared" si="90"/>
        <v>#N/A</v>
      </c>
      <c r="E217" s="20" t="e">
        <f t="shared" si="96"/>
        <v>#N/A</v>
      </c>
      <c r="F217" s="20" t="e">
        <f t="shared" si="79"/>
        <v>#N/A</v>
      </c>
      <c r="G217" s="21" t="e">
        <f t="shared" si="80"/>
        <v>#N/A</v>
      </c>
      <c r="H217" s="24" t="e">
        <f t="shared" si="91"/>
        <v>#N/A</v>
      </c>
      <c r="I217" s="21" t="e">
        <f t="shared" ref="I217:I280" si="99">IF(C217="","",IF(AND($E$8="Pago_Hipoteca+Liquidez",$E$16="Liquidez"),0,IF((($J$8*0.8)*($N$12/1.16))&gt;T216*($N$12/1.16),($J$8*0.8)*($N$12/1.16),($N$12/1.16)*T216)/1000))</f>
        <v>#N/A</v>
      </c>
      <c r="J217" s="63" t="e">
        <f t="shared" si="92"/>
        <v>#N/A</v>
      </c>
      <c r="K217" s="66" t="str">
        <f t="shared" si="98"/>
        <v/>
      </c>
      <c r="L217" s="17"/>
      <c r="M217" s="23" t="e">
        <f t="shared" si="93"/>
        <v>#N/A</v>
      </c>
      <c r="N217" s="23" t="e">
        <f t="shared" si="81"/>
        <v>#N/A</v>
      </c>
      <c r="O217" s="23" t="e">
        <f t="shared" si="82"/>
        <v>#N/A</v>
      </c>
      <c r="P217" s="17"/>
      <c r="Q217" s="19" t="e">
        <f>IF(C217="","",'Tabla_Puntual&amp;Relacionamiento'!$E$18)</f>
        <v>#N/A</v>
      </c>
      <c r="R217" s="19"/>
      <c r="S217" s="11" t="e">
        <f t="shared" si="94"/>
        <v>#N/A</v>
      </c>
      <c r="T217" s="23" t="e">
        <f t="shared" si="83"/>
        <v>#N/A</v>
      </c>
      <c r="U217" s="37" t="e">
        <f t="shared" si="84"/>
        <v>#N/A</v>
      </c>
      <c r="V217" s="37" t="e">
        <f t="shared" si="97"/>
        <v>#N/A</v>
      </c>
      <c r="X217" s="31" t="e">
        <f t="shared" si="85"/>
        <v>#N/A</v>
      </c>
      <c r="Y217" s="34">
        <f t="shared" si="95"/>
        <v>1.3514094270120578</v>
      </c>
      <c r="Z217" s="31" t="e">
        <f t="shared" si="86"/>
        <v>#N/A</v>
      </c>
      <c r="AA217" s="66">
        <f t="shared" si="87"/>
        <v>0</v>
      </c>
      <c r="AB217" s="6" t="e">
        <f t="shared" si="88"/>
        <v>#N/A</v>
      </c>
      <c r="AC217" s="48">
        <f t="shared" si="74"/>
        <v>0</v>
      </c>
    </row>
    <row r="218" spans="3:29" x14ac:dyDescent="0.25">
      <c r="C218" s="27" t="e">
        <f t="shared" si="89"/>
        <v>#N/A</v>
      </c>
      <c r="D218" s="30" t="e">
        <f t="shared" si="90"/>
        <v>#N/A</v>
      </c>
      <c r="E218" s="20" t="e">
        <f t="shared" si="96"/>
        <v>#N/A</v>
      </c>
      <c r="F218" s="20" t="e">
        <f t="shared" si="79"/>
        <v>#N/A</v>
      </c>
      <c r="G218" s="21" t="e">
        <f t="shared" si="80"/>
        <v>#N/A</v>
      </c>
      <c r="H218" s="24" t="e">
        <f t="shared" si="91"/>
        <v>#N/A</v>
      </c>
      <c r="I218" s="21" t="e">
        <f t="shared" si="99"/>
        <v>#N/A</v>
      </c>
      <c r="J218" s="63" t="e">
        <f t="shared" si="92"/>
        <v>#N/A</v>
      </c>
      <c r="K218" s="66" t="str">
        <f t="shared" si="98"/>
        <v/>
      </c>
      <c r="L218" s="17"/>
      <c r="M218" s="23" t="e">
        <f t="shared" si="93"/>
        <v>#N/A</v>
      </c>
      <c r="N218" s="23" t="e">
        <f t="shared" si="81"/>
        <v>#N/A</v>
      </c>
      <c r="O218" s="23" t="e">
        <f t="shared" si="82"/>
        <v>#N/A</v>
      </c>
      <c r="P218" s="17"/>
      <c r="Q218" s="19" t="e">
        <f>IF(C218="","",'Tabla_Puntual&amp;Relacionamiento'!$E$18)</f>
        <v>#N/A</v>
      </c>
      <c r="R218" s="19"/>
      <c r="S218" s="11" t="e">
        <f t="shared" si="94"/>
        <v>#N/A</v>
      </c>
      <c r="T218" s="23" t="e">
        <f t="shared" si="83"/>
        <v>#N/A</v>
      </c>
      <c r="U218" s="37" t="e">
        <f t="shared" si="84"/>
        <v>#N/A</v>
      </c>
      <c r="V218" s="37" t="e">
        <f t="shared" si="97"/>
        <v>#N/A</v>
      </c>
      <c r="X218" s="31" t="e">
        <f t="shared" si="85"/>
        <v>#N/A</v>
      </c>
      <c r="Y218" s="34">
        <f t="shared" si="95"/>
        <v>1.3514094270120578</v>
      </c>
      <c r="Z218" s="31" t="e">
        <f t="shared" si="86"/>
        <v>#N/A</v>
      </c>
      <c r="AA218" s="66">
        <f t="shared" si="87"/>
        <v>0</v>
      </c>
      <c r="AB218" s="6" t="e">
        <f t="shared" si="88"/>
        <v>#N/A</v>
      </c>
      <c r="AC218" s="48">
        <f t="shared" si="74"/>
        <v>0</v>
      </c>
    </row>
    <row r="219" spans="3:29" x14ac:dyDescent="0.25">
      <c r="C219" s="27" t="e">
        <f t="shared" si="89"/>
        <v>#N/A</v>
      </c>
      <c r="D219" s="30" t="e">
        <f t="shared" si="90"/>
        <v>#N/A</v>
      </c>
      <c r="E219" s="20" t="e">
        <f t="shared" si="96"/>
        <v>#N/A</v>
      </c>
      <c r="F219" s="20" t="e">
        <f t="shared" si="79"/>
        <v>#N/A</v>
      </c>
      <c r="G219" s="21" t="e">
        <f t="shared" si="80"/>
        <v>#N/A</v>
      </c>
      <c r="H219" s="24" t="e">
        <f t="shared" si="91"/>
        <v>#N/A</v>
      </c>
      <c r="I219" s="21" t="e">
        <f t="shared" si="99"/>
        <v>#N/A</v>
      </c>
      <c r="J219" s="63" t="e">
        <f t="shared" si="92"/>
        <v>#N/A</v>
      </c>
      <c r="K219" s="66" t="str">
        <f t="shared" si="98"/>
        <v/>
      </c>
      <c r="L219" s="17"/>
      <c r="M219" s="23" t="e">
        <f t="shared" si="93"/>
        <v>#N/A</v>
      </c>
      <c r="N219" s="23" t="e">
        <f t="shared" si="81"/>
        <v>#N/A</v>
      </c>
      <c r="O219" s="23" t="e">
        <f t="shared" si="82"/>
        <v>#N/A</v>
      </c>
      <c r="P219" s="17"/>
      <c r="Q219" s="19" t="e">
        <f>IF(C219="","",'Tabla_Puntual&amp;Relacionamiento'!$E$18)</f>
        <v>#N/A</v>
      </c>
      <c r="R219" s="19"/>
      <c r="S219" s="11" t="e">
        <f t="shared" si="94"/>
        <v>#N/A</v>
      </c>
      <c r="T219" s="23" t="e">
        <f t="shared" si="83"/>
        <v>#N/A</v>
      </c>
      <c r="U219" s="37" t="e">
        <f t="shared" si="84"/>
        <v>#N/A</v>
      </c>
      <c r="V219" s="37" t="e">
        <f t="shared" si="97"/>
        <v>#N/A</v>
      </c>
      <c r="X219" s="31" t="e">
        <f t="shared" si="85"/>
        <v>#N/A</v>
      </c>
      <c r="Y219" s="34">
        <f t="shared" si="95"/>
        <v>1.3514094270120578</v>
      </c>
      <c r="Z219" s="31" t="e">
        <f t="shared" si="86"/>
        <v>#N/A</v>
      </c>
      <c r="AA219" s="66">
        <f t="shared" si="87"/>
        <v>0</v>
      </c>
      <c r="AB219" s="6" t="e">
        <f t="shared" si="88"/>
        <v>#N/A</v>
      </c>
      <c r="AC219" s="48">
        <f t="shared" si="74"/>
        <v>0</v>
      </c>
    </row>
    <row r="220" spans="3:29" x14ac:dyDescent="0.25">
      <c r="C220" s="27" t="e">
        <f t="shared" si="89"/>
        <v>#N/A</v>
      </c>
      <c r="D220" s="30" t="e">
        <f t="shared" si="90"/>
        <v>#N/A</v>
      </c>
      <c r="E220" s="20" t="e">
        <f t="shared" si="96"/>
        <v>#N/A</v>
      </c>
      <c r="F220" s="20" t="e">
        <f t="shared" si="79"/>
        <v>#N/A</v>
      </c>
      <c r="G220" s="21" t="e">
        <f t="shared" si="80"/>
        <v>#N/A</v>
      </c>
      <c r="H220" s="24" t="e">
        <f t="shared" si="91"/>
        <v>#N/A</v>
      </c>
      <c r="I220" s="21" t="e">
        <f t="shared" si="99"/>
        <v>#N/A</v>
      </c>
      <c r="J220" s="63" t="e">
        <f t="shared" si="92"/>
        <v>#N/A</v>
      </c>
      <c r="K220" s="66" t="str">
        <f t="shared" si="98"/>
        <v/>
      </c>
      <c r="L220" s="17"/>
      <c r="M220" s="23" t="e">
        <f t="shared" si="93"/>
        <v>#N/A</v>
      </c>
      <c r="N220" s="23" t="e">
        <f t="shared" si="81"/>
        <v>#N/A</v>
      </c>
      <c r="O220" s="23" t="e">
        <f t="shared" si="82"/>
        <v>#N/A</v>
      </c>
      <c r="P220" s="17"/>
      <c r="Q220" s="19" t="e">
        <f>IF(C220="","",'Tabla_Puntual&amp;Relacionamiento'!$E$18)</f>
        <v>#N/A</v>
      </c>
      <c r="R220" s="19"/>
      <c r="S220" s="11" t="e">
        <f t="shared" si="94"/>
        <v>#N/A</v>
      </c>
      <c r="T220" s="23" t="e">
        <f t="shared" si="83"/>
        <v>#N/A</v>
      </c>
      <c r="U220" s="37" t="e">
        <f t="shared" si="84"/>
        <v>#N/A</v>
      </c>
      <c r="V220" s="37" t="e">
        <f t="shared" si="97"/>
        <v>#N/A</v>
      </c>
      <c r="X220" s="31" t="e">
        <f t="shared" si="85"/>
        <v>#N/A</v>
      </c>
      <c r="Y220" s="34">
        <f t="shared" si="95"/>
        <v>1.3514094270120578</v>
      </c>
      <c r="Z220" s="31" t="e">
        <f t="shared" si="86"/>
        <v>#N/A</v>
      </c>
      <c r="AA220" s="66">
        <f t="shared" si="87"/>
        <v>0</v>
      </c>
      <c r="AB220" s="6" t="e">
        <f t="shared" si="88"/>
        <v>#N/A</v>
      </c>
      <c r="AC220" s="48">
        <f t="shared" si="74"/>
        <v>0</v>
      </c>
    </row>
    <row r="221" spans="3:29" x14ac:dyDescent="0.25">
      <c r="C221" s="27" t="e">
        <f t="shared" si="89"/>
        <v>#N/A</v>
      </c>
      <c r="D221" s="30" t="e">
        <f t="shared" si="90"/>
        <v>#N/A</v>
      </c>
      <c r="E221" s="20" t="e">
        <f t="shared" si="96"/>
        <v>#N/A</v>
      </c>
      <c r="F221" s="20" t="e">
        <f t="shared" si="79"/>
        <v>#N/A</v>
      </c>
      <c r="G221" s="21" t="e">
        <f t="shared" si="80"/>
        <v>#N/A</v>
      </c>
      <c r="H221" s="24" t="e">
        <f t="shared" si="91"/>
        <v>#N/A</v>
      </c>
      <c r="I221" s="21" t="e">
        <f t="shared" si="99"/>
        <v>#N/A</v>
      </c>
      <c r="J221" s="63" t="e">
        <f t="shared" si="92"/>
        <v>#N/A</v>
      </c>
      <c r="K221" s="66" t="str">
        <f t="shared" si="98"/>
        <v/>
      </c>
      <c r="L221" s="17"/>
      <c r="M221" s="23" t="e">
        <f t="shared" si="93"/>
        <v>#N/A</v>
      </c>
      <c r="N221" s="23" t="e">
        <f t="shared" si="81"/>
        <v>#N/A</v>
      </c>
      <c r="O221" s="23" t="e">
        <f t="shared" si="82"/>
        <v>#N/A</v>
      </c>
      <c r="P221" s="17"/>
      <c r="Q221" s="19" t="e">
        <f>IF(C221="","",'Tabla_Puntual&amp;Relacionamiento'!$E$18)</f>
        <v>#N/A</v>
      </c>
      <c r="R221" s="19"/>
      <c r="S221" s="11" t="e">
        <f t="shared" si="94"/>
        <v>#N/A</v>
      </c>
      <c r="T221" s="23" t="e">
        <f t="shared" si="83"/>
        <v>#N/A</v>
      </c>
      <c r="U221" s="37" t="e">
        <f t="shared" si="84"/>
        <v>#N/A</v>
      </c>
      <c r="V221" s="37" t="e">
        <f t="shared" si="97"/>
        <v>#N/A</v>
      </c>
      <c r="X221" s="31" t="e">
        <f t="shared" si="85"/>
        <v>#N/A</v>
      </c>
      <c r="Y221" s="34">
        <f t="shared" si="95"/>
        <v>1.3514094270120578</v>
      </c>
      <c r="Z221" s="31" t="e">
        <f t="shared" si="86"/>
        <v>#N/A</v>
      </c>
      <c r="AA221" s="66">
        <f t="shared" si="87"/>
        <v>0</v>
      </c>
      <c r="AB221" s="6" t="e">
        <f t="shared" si="88"/>
        <v>#N/A</v>
      </c>
      <c r="AC221" s="48">
        <f t="shared" si="74"/>
        <v>0</v>
      </c>
    </row>
    <row r="222" spans="3:29" x14ac:dyDescent="0.25">
      <c r="C222" s="27" t="e">
        <f t="shared" si="89"/>
        <v>#N/A</v>
      </c>
      <c r="D222" s="30" t="e">
        <f t="shared" si="90"/>
        <v>#N/A</v>
      </c>
      <c r="E222" s="20" t="e">
        <f t="shared" si="96"/>
        <v>#N/A</v>
      </c>
      <c r="F222" s="20" t="e">
        <f t="shared" si="79"/>
        <v>#N/A</v>
      </c>
      <c r="G222" s="21" t="e">
        <f t="shared" si="80"/>
        <v>#N/A</v>
      </c>
      <c r="H222" s="24" t="e">
        <f t="shared" si="91"/>
        <v>#N/A</v>
      </c>
      <c r="I222" s="21" t="e">
        <f t="shared" si="99"/>
        <v>#N/A</v>
      </c>
      <c r="J222" s="63" t="e">
        <f t="shared" si="92"/>
        <v>#N/A</v>
      </c>
      <c r="K222" s="66" t="str">
        <f t="shared" si="98"/>
        <v/>
      </c>
      <c r="L222" s="17"/>
      <c r="M222" s="23" t="e">
        <f t="shared" si="93"/>
        <v>#N/A</v>
      </c>
      <c r="N222" s="23" t="e">
        <f t="shared" si="81"/>
        <v>#N/A</v>
      </c>
      <c r="O222" s="23" t="e">
        <f t="shared" si="82"/>
        <v>#N/A</v>
      </c>
      <c r="P222" s="17"/>
      <c r="Q222" s="19" t="e">
        <f>IF(C222="","",'Tabla_Puntual&amp;Relacionamiento'!$E$18)</f>
        <v>#N/A</v>
      </c>
      <c r="R222" s="19"/>
      <c r="S222" s="11" t="e">
        <f t="shared" si="94"/>
        <v>#N/A</v>
      </c>
      <c r="T222" s="23" t="e">
        <f t="shared" si="83"/>
        <v>#N/A</v>
      </c>
      <c r="U222" s="37" t="e">
        <f t="shared" si="84"/>
        <v>#N/A</v>
      </c>
      <c r="V222" s="37" t="e">
        <f t="shared" si="97"/>
        <v>#N/A</v>
      </c>
      <c r="X222" s="31" t="e">
        <f t="shared" si="85"/>
        <v>#N/A</v>
      </c>
      <c r="Y222" s="34">
        <f t="shared" si="95"/>
        <v>1.3514094270120578</v>
      </c>
      <c r="Z222" s="31" t="e">
        <f t="shared" si="86"/>
        <v>#N/A</v>
      </c>
      <c r="AA222" s="66">
        <f t="shared" si="87"/>
        <v>0</v>
      </c>
      <c r="AB222" s="6" t="e">
        <f t="shared" si="88"/>
        <v>#N/A</v>
      </c>
      <c r="AC222" s="48">
        <f t="shared" si="74"/>
        <v>0</v>
      </c>
    </row>
    <row r="223" spans="3:29" x14ac:dyDescent="0.25">
      <c r="C223" s="27" t="e">
        <f t="shared" si="89"/>
        <v>#N/A</v>
      </c>
      <c r="D223" s="30" t="e">
        <f t="shared" si="90"/>
        <v>#N/A</v>
      </c>
      <c r="E223" s="20" t="e">
        <f t="shared" si="96"/>
        <v>#N/A</v>
      </c>
      <c r="F223" s="20" t="e">
        <f t="shared" si="79"/>
        <v>#N/A</v>
      </c>
      <c r="G223" s="21" t="e">
        <f t="shared" si="80"/>
        <v>#N/A</v>
      </c>
      <c r="H223" s="24" t="e">
        <f t="shared" si="91"/>
        <v>#N/A</v>
      </c>
      <c r="I223" s="21" t="e">
        <f t="shared" si="99"/>
        <v>#N/A</v>
      </c>
      <c r="J223" s="63" t="e">
        <f t="shared" si="92"/>
        <v>#N/A</v>
      </c>
      <c r="K223" s="66" t="str">
        <f t="shared" si="98"/>
        <v/>
      </c>
      <c r="L223" s="17"/>
      <c r="M223" s="23" t="e">
        <f t="shared" si="93"/>
        <v>#N/A</v>
      </c>
      <c r="N223" s="23" t="e">
        <f t="shared" si="81"/>
        <v>#N/A</v>
      </c>
      <c r="O223" s="23" t="e">
        <f t="shared" si="82"/>
        <v>#N/A</v>
      </c>
      <c r="P223" s="17"/>
      <c r="Q223" s="19" t="e">
        <f>IF(C223="","",'Tabla_Puntual&amp;Relacionamiento'!$E$18)</f>
        <v>#N/A</v>
      </c>
      <c r="R223" s="19"/>
      <c r="S223" s="11" t="e">
        <f t="shared" si="94"/>
        <v>#N/A</v>
      </c>
      <c r="T223" s="23" t="e">
        <f t="shared" si="83"/>
        <v>#N/A</v>
      </c>
      <c r="U223" s="37" t="e">
        <f t="shared" si="84"/>
        <v>#N/A</v>
      </c>
      <c r="V223" s="37" t="e">
        <f t="shared" si="97"/>
        <v>#N/A</v>
      </c>
      <c r="X223" s="31" t="e">
        <f t="shared" si="85"/>
        <v>#N/A</v>
      </c>
      <c r="Y223" s="34">
        <f t="shared" si="95"/>
        <v>1.3514094270120578</v>
      </c>
      <c r="Z223" s="31" t="e">
        <f t="shared" si="86"/>
        <v>#N/A</v>
      </c>
      <c r="AA223" s="66">
        <f t="shared" si="87"/>
        <v>0</v>
      </c>
      <c r="AB223" s="6" t="e">
        <f t="shared" si="88"/>
        <v>#N/A</v>
      </c>
      <c r="AC223" s="48">
        <f t="shared" si="74"/>
        <v>0</v>
      </c>
    </row>
    <row r="224" spans="3:29" x14ac:dyDescent="0.25">
      <c r="C224" s="27" t="e">
        <f t="shared" si="89"/>
        <v>#N/A</v>
      </c>
      <c r="D224" s="30" t="e">
        <f t="shared" si="90"/>
        <v>#N/A</v>
      </c>
      <c r="E224" s="20" t="e">
        <f t="shared" si="96"/>
        <v>#N/A</v>
      </c>
      <c r="F224" s="20" t="e">
        <f t="shared" si="79"/>
        <v>#N/A</v>
      </c>
      <c r="G224" s="21" t="e">
        <f t="shared" si="80"/>
        <v>#N/A</v>
      </c>
      <c r="H224" s="24" t="e">
        <f t="shared" si="91"/>
        <v>#N/A</v>
      </c>
      <c r="I224" s="21" t="e">
        <f t="shared" si="99"/>
        <v>#N/A</v>
      </c>
      <c r="J224" s="63" t="e">
        <f t="shared" si="92"/>
        <v>#N/A</v>
      </c>
      <c r="K224" s="66" t="str">
        <f t="shared" si="98"/>
        <v/>
      </c>
      <c r="L224" s="17"/>
      <c r="M224" s="23" t="e">
        <f t="shared" si="93"/>
        <v>#N/A</v>
      </c>
      <c r="N224" s="23" t="e">
        <f t="shared" si="81"/>
        <v>#N/A</v>
      </c>
      <c r="O224" s="23" t="e">
        <f t="shared" si="82"/>
        <v>#N/A</v>
      </c>
      <c r="P224" s="17"/>
      <c r="Q224" s="19" t="e">
        <f>IF(C224="","",'Tabla_Puntual&amp;Relacionamiento'!$E$18)</f>
        <v>#N/A</v>
      </c>
      <c r="R224" s="19"/>
      <c r="S224" s="11" t="e">
        <f t="shared" si="94"/>
        <v>#N/A</v>
      </c>
      <c r="T224" s="23" t="e">
        <f t="shared" si="83"/>
        <v>#N/A</v>
      </c>
      <c r="U224" s="37" t="e">
        <f t="shared" si="84"/>
        <v>#N/A</v>
      </c>
      <c r="V224" s="37" t="e">
        <f t="shared" si="97"/>
        <v>#N/A</v>
      </c>
      <c r="X224" s="31" t="e">
        <f t="shared" si="85"/>
        <v>#N/A</v>
      </c>
      <c r="Y224" s="34">
        <f t="shared" si="95"/>
        <v>1.3514094270120578</v>
      </c>
      <c r="Z224" s="31" t="e">
        <f t="shared" si="86"/>
        <v>#N/A</v>
      </c>
      <c r="AA224" s="66">
        <f t="shared" si="87"/>
        <v>0</v>
      </c>
      <c r="AB224" s="6" t="e">
        <f t="shared" si="88"/>
        <v>#N/A</v>
      </c>
      <c r="AC224" s="48">
        <f t="shared" si="74"/>
        <v>0</v>
      </c>
    </row>
    <row r="225" spans="3:29" x14ac:dyDescent="0.25">
      <c r="C225" s="27" t="e">
        <f t="shared" si="89"/>
        <v>#N/A</v>
      </c>
      <c r="D225" s="30" t="e">
        <f t="shared" si="90"/>
        <v>#N/A</v>
      </c>
      <c r="E225" s="20" t="e">
        <f t="shared" si="96"/>
        <v>#N/A</v>
      </c>
      <c r="F225" s="20" t="e">
        <f t="shared" si="79"/>
        <v>#N/A</v>
      </c>
      <c r="G225" s="21" t="e">
        <f t="shared" si="80"/>
        <v>#N/A</v>
      </c>
      <c r="H225" s="24" t="e">
        <f t="shared" si="91"/>
        <v>#N/A</v>
      </c>
      <c r="I225" s="21" t="e">
        <f t="shared" si="99"/>
        <v>#N/A</v>
      </c>
      <c r="J225" s="63" t="e">
        <f t="shared" si="92"/>
        <v>#N/A</v>
      </c>
      <c r="K225" s="66" t="str">
        <f t="shared" si="98"/>
        <v/>
      </c>
      <c r="L225" s="17"/>
      <c r="M225" s="23" t="e">
        <f t="shared" si="93"/>
        <v>#N/A</v>
      </c>
      <c r="N225" s="23" t="e">
        <f t="shared" si="81"/>
        <v>#N/A</v>
      </c>
      <c r="O225" s="23" t="e">
        <f t="shared" si="82"/>
        <v>#N/A</v>
      </c>
      <c r="P225" s="17"/>
      <c r="Q225" s="19" t="e">
        <f>IF(C225="","",'Tabla_Puntual&amp;Relacionamiento'!$E$19)</f>
        <v>#N/A</v>
      </c>
      <c r="R225" s="19" t="e">
        <f>IF(C225="","",IF($E$14="Pago_Bajo_Puntual",$M$17,""))</f>
        <v>#N/A</v>
      </c>
      <c r="S225" s="11" t="e">
        <f t="shared" si="94"/>
        <v>#N/A</v>
      </c>
      <c r="T225" s="23" t="e">
        <f t="shared" si="83"/>
        <v>#N/A</v>
      </c>
      <c r="U225" s="37" t="e">
        <f t="shared" si="84"/>
        <v>#N/A</v>
      </c>
      <c r="V225" s="37" t="e">
        <f t="shared" si="97"/>
        <v>#N/A</v>
      </c>
      <c r="X225" s="31" t="e">
        <f t="shared" si="85"/>
        <v>#N/A</v>
      </c>
      <c r="Y225" s="34">
        <f>Y224*1.019</f>
        <v>1.3770862061252869</v>
      </c>
      <c r="Z225" s="31" t="e">
        <f t="shared" si="86"/>
        <v>#N/A</v>
      </c>
      <c r="AA225" s="66">
        <f t="shared" si="87"/>
        <v>0</v>
      </c>
      <c r="AB225" s="6" t="e">
        <f t="shared" si="88"/>
        <v>#N/A</v>
      </c>
      <c r="AC225" s="48">
        <f>AC224+$M$17</f>
        <v>0</v>
      </c>
    </row>
    <row r="226" spans="3:29" x14ac:dyDescent="0.25">
      <c r="C226" s="27" t="e">
        <f t="shared" si="89"/>
        <v>#N/A</v>
      </c>
      <c r="D226" s="30" t="e">
        <f t="shared" si="90"/>
        <v>#N/A</v>
      </c>
      <c r="E226" s="20" t="e">
        <f t="shared" si="96"/>
        <v>#N/A</v>
      </c>
      <c r="F226" s="20" t="e">
        <f t="shared" si="79"/>
        <v>#N/A</v>
      </c>
      <c r="G226" s="21" t="e">
        <f t="shared" si="80"/>
        <v>#N/A</v>
      </c>
      <c r="H226" s="24" t="e">
        <f t="shared" si="91"/>
        <v>#N/A</v>
      </c>
      <c r="I226" s="21" t="e">
        <f t="shared" si="99"/>
        <v>#N/A</v>
      </c>
      <c r="J226" s="63" t="e">
        <f t="shared" si="92"/>
        <v>#N/A</v>
      </c>
      <c r="K226" s="66" t="str">
        <f t="shared" si="98"/>
        <v/>
      </c>
      <c r="L226" s="17"/>
      <c r="M226" s="23" t="e">
        <f t="shared" si="93"/>
        <v>#N/A</v>
      </c>
      <c r="N226" s="23" t="e">
        <f t="shared" si="81"/>
        <v>#N/A</v>
      </c>
      <c r="O226" s="23" t="e">
        <f t="shared" si="82"/>
        <v>#N/A</v>
      </c>
      <c r="P226" s="17"/>
      <c r="Q226" s="19" t="e">
        <f>IF(C226="","",'Tabla_Puntual&amp;Relacionamiento'!$E$19)</f>
        <v>#N/A</v>
      </c>
      <c r="R226" s="19"/>
      <c r="S226" s="11" t="e">
        <f t="shared" si="94"/>
        <v>#N/A</v>
      </c>
      <c r="T226" s="23" t="e">
        <f t="shared" si="83"/>
        <v>#N/A</v>
      </c>
      <c r="U226" s="37" t="e">
        <f t="shared" si="84"/>
        <v>#N/A</v>
      </c>
      <c r="V226" s="37" t="e">
        <f t="shared" si="97"/>
        <v>#N/A</v>
      </c>
      <c r="X226" s="31" t="e">
        <f t="shared" si="85"/>
        <v>#N/A</v>
      </c>
      <c r="Y226" s="34">
        <f t="shared" ref="Y226:Y236" si="100">Y225</f>
        <v>1.3770862061252869</v>
      </c>
      <c r="Z226" s="31" t="e">
        <f t="shared" si="86"/>
        <v>#N/A</v>
      </c>
      <c r="AA226" s="66">
        <f t="shared" si="87"/>
        <v>0</v>
      </c>
      <c r="AB226" s="6" t="e">
        <f t="shared" si="88"/>
        <v>#N/A</v>
      </c>
      <c r="AC226" s="48">
        <f t="shared" si="74"/>
        <v>0</v>
      </c>
    </row>
    <row r="227" spans="3:29" x14ac:dyDescent="0.25">
      <c r="C227" s="27" t="e">
        <f t="shared" si="89"/>
        <v>#N/A</v>
      </c>
      <c r="D227" s="30" t="e">
        <f t="shared" si="90"/>
        <v>#N/A</v>
      </c>
      <c r="E227" s="20" t="e">
        <f t="shared" si="96"/>
        <v>#N/A</v>
      </c>
      <c r="F227" s="20" t="e">
        <f t="shared" si="79"/>
        <v>#N/A</v>
      </c>
      <c r="G227" s="21" t="e">
        <f t="shared" si="80"/>
        <v>#N/A</v>
      </c>
      <c r="H227" s="24" t="e">
        <f t="shared" si="91"/>
        <v>#N/A</v>
      </c>
      <c r="I227" s="21" t="e">
        <f t="shared" si="99"/>
        <v>#N/A</v>
      </c>
      <c r="J227" s="63" t="e">
        <f t="shared" si="92"/>
        <v>#N/A</v>
      </c>
      <c r="K227" s="66" t="str">
        <f t="shared" si="98"/>
        <v/>
      </c>
      <c r="L227" s="17"/>
      <c r="M227" s="23" t="e">
        <f t="shared" si="93"/>
        <v>#N/A</v>
      </c>
      <c r="N227" s="23" t="e">
        <f t="shared" si="81"/>
        <v>#N/A</v>
      </c>
      <c r="O227" s="23" t="e">
        <f t="shared" si="82"/>
        <v>#N/A</v>
      </c>
      <c r="P227" s="17"/>
      <c r="Q227" s="19" t="e">
        <f>IF(C227="","",'Tabla_Puntual&amp;Relacionamiento'!$E$19)</f>
        <v>#N/A</v>
      </c>
      <c r="R227" s="19"/>
      <c r="S227" s="11" t="e">
        <f t="shared" si="94"/>
        <v>#N/A</v>
      </c>
      <c r="T227" s="23" t="e">
        <f t="shared" si="83"/>
        <v>#N/A</v>
      </c>
      <c r="U227" s="37" t="e">
        <f t="shared" si="84"/>
        <v>#N/A</v>
      </c>
      <c r="V227" s="37" t="e">
        <f t="shared" si="97"/>
        <v>#N/A</v>
      </c>
      <c r="X227" s="31" t="e">
        <f t="shared" si="85"/>
        <v>#N/A</v>
      </c>
      <c r="Y227" s="34">
        <f t="shared" si="100"/>
        <v>1.3770862061252869</v>
      </c>
      <c r="Z227" s="31" t="e">
        <f t="shared" si="86"/>
        <v>#N/A</v>
      </c>
      <c r="AA227" s="66">
        <f t="shared" si="87"/>
        <v>0</v>
      </c>
      <c r="AB227" s="6" t="e">
        <f t="shared" si="88"/>
        <v>#N/A</v>
      </c>
      <c r="AC227" s="48">
        <f t="shared" ref="AC227:AC290" si="101">AC226</f>
        <v>0</v>
      </c>
    </row>
    <row r="228" spans="3:29" x14ac:dyDescent="0.25">
      <c r="C228" s="27" t="e">
        <f t="shared" si="89"/>
        <v>#N/A</v>
      </c>
      <c r="D228" s="30" t="e">
        <f t="shared" si="90"/>
        <v>#N/A</v>
      </c>
      <c r="E228" s="20" t="e">
        <f t="shared" si="96"/>
        <v>#N/A</v>
      </c>
      <c r="F228" s="20" t="e">
        <f t="shared" si="79"/>
        <v>#N/A</v>
      </c>
      <c r="G228" s="21" t="e">
        <f t="shared" si="80"/>
        <v>#N/A</v>
      </c>
      <c r="H228" s="24" t="e">
        <f t="shared" si="91"/>
        <v>#N/A</v>
      </c>
      <c r="I228" s="21" t="e">
        <f t="shared" si="99"/>
        <v>#N/A</v>
      </c>
      <c r="J228" s="63" t="e">
        <f t="shared" si="92"/>
        <v>#N/A</v>
      </c>
      <c r="K228" s="66" t="str">
        <f t="shared" si="98"/>
        <v/>
      </c>
      <c r="L228" s="17"/>
      <c r="M228" s="23" t="e">
        <f t="shared" si="93"/>
        <v>#N/A</v>
      </c>
      <c r="N228" s="23" t="e">
        <f t="shared" si="81"/>
        <v>#N/A</v>
      </c>
      <c r="O228" s="23" t="e">
        <f t="shared" si="82"/>
        <v>#N/A</v>
      </c>
      <c r="P228" s="17"/>
      <c r="Q228" s="19" t="e">
        <f>IF(C228="","",'Tabla_Puntual&amp;Relacionamiento'!$E$19)</f>
        <v>#N/A</v>
      </c>
      <c r="R228" s="19"/>
      <c r="S228" s="11" t="e">
        <f t="shared" si="94"/>
        <v>#N/A</v>
      </c>
      <c r="T228" s="23" t="e">
        <f t="shared" si="83"/>
        <v>#N/A</v>
      </c>
      <c r="U228" s="37" t="e">
        <f t="shared" si="84"/>
        <v>#N/A</v>
      </c>
      <c r="V228" s="37" t="e">
        <f t="shared" si="97"/>
        <v>#N/A</v>
      </c>
      <c r="X228" s="31" t="e">
        <f t="shared" si="85"/>
        <v>#N/A</v>
      </c>
      <c r="Y228" s="34">
        <f t="shared" si="100"/>
        <v>1.3770862061252869</v>
      </c>
      <c r="Z228" s="31" t="e">
        <f t="shared" si="86"/>
        <v>#N/A</v>
      </c>
      <c r="AA228" s="66">
        <f t="shared" si="87"/>
        <v>0</v>
      </c>
      <c r="AB228" s="6" t="e">
        <f t="shared" si="88"/>
        <v>#N/A</v>
      </c>
      <c r="AC228" s="48">
        <f t="shared" si="101"/>
        <v>0</v>
      </c>
    </row>
    <row r="229" spans="3:29" x14ac:dyDescent="0.25">
      <c r="C229" s="27" t="e">
        <f t="shared" si="89"/>
        <v>#N/A</v>
      </c>
      <c r="D229" s="30" t="e">
        <f t="shared" si="90"/>
        <v>#N/A</v>
      </c>
      <c r="E229" s="20" t="e">
        <f t="shared" si="96"/>
        <v>#N/A</v>
      </c>
      <c r="F229" s="20" t="e">
        <f t="shared" si="79"/>
        <v>#N/A</v>
      </c>
      <c r="G229" s="21" t="e">
        <f t="shared" si="80"/>
        <v>#N/A</v>
      </c>
      <c r="H229" s="24" t="e">
        <f t="shared" si="91"/>
        <v>#N/A</v>
      </c>
      <c r="I229" s="21" t="e">
        <f t="shared" si="99"/>
        <v>#N/A</v>
      </c>
      <c r="J229" s="63" t="e">
        <f t="shared" si="92"/>
        <v>#N/A</v>
      </c>
      <c r="K229" s="66" t="str">
        <f t="shared" si="98"/>
        <v/>
      </c>
      <c r="L229" s="17"/>
      <c r="M229" s="23" t="e">
        <f t="shared" si="93"/>
        <v>#N/A</v>
      </c>
      <c r="N229" s="23" t="e">
        <f t="shared" si="81"/>
        <v>#N/A</v>
      </c>
      <c r="O229" s="23" t="e">
        <f t="shared" si="82"/>
        <v>#N/A</v>
      </c>
      <c r="P229" s="17"/>
      <c r="Q229" s="19" t="e">
        <f>IF(C229="","",'Tabla_Puntual&amp;Relacionamiento'!$E$19)</f>
        <v>#N/A</v>
      </c>
      <c r="R229" s="19"/>
      <c r="S229" s="11" t="e">
        <f t="shared" si="94"/>
        <v>#N/A</v>
      </c>
      <c r="T229" s="23" t="e">
        <f t="shared" si="83"/>
        <v>#N/A</v>
      </c>
      <c r="U229" s="37" t="e">
        <f t="shared" si="84"/>
        <v>#N/A</v>
      </c>
      <c r="V229" s="37" t="e">
        <f t="shared" si="97"/>
        <v>#N/A</v>
      </c>
      <c r="X229" s="31" t="e">
        <f t="shared" si="85"/>
        <v>#N/A</v>
      </c>
      <c r="Y229" s="34">
        <f t="shared" si="100"/>
        <v>1.3770862061252869</v>
      </c>
      <c r="Z229" s="31" t="e">
        <f t="shared" si="86"/>
        <v>#N/A</v>
      </c>
      <c r="AA229" s="66">
        <f t="shared" si="87"/>
        <v>0</v>
      </c>
      <c r="AB229" s="6" t="e">
        <f t="shared" si="88"/>
        <v>#N/A</v>
      </c>
      <c r="AC229" s="48">
        <f t="shared" si="101"/>
        <v>0</v>
      </c>
    </row>
    <row r="230" spans="3:29" x14ac:dyDescent="0.25">
      <c r="C230" s="27" t="e">
        <f t="shared" si="89"/>
        <v>#N/A</v>
      </c>
      <c r="D230" s="30" t="e">
        <f t="shared" si="90"/>
        <v>#N/A</v>
      </c>
      <c r="E230" s="20" t="e">
        <f t="shared" si="96"/>
        <v>#N/A</v>
      </c>
      <c r="F230" s="20" t="e">
        <f t="shared" si="79"/>
        <v>#N/A</v>
      </c>
      <c r="G230" s="21" t="e">
        <f t="shared" si="80"/>
        <v>#N/A</v>
      </c>
      <c r="H230" s="24" t="e">
        <f t="shared" si="91"/>
        <v>#N/A</v>
      </c>
      <c r="I230" s="21" t="e">
        <f t="shared" si="99"/>
        <v>#N/A</v>
      </c>
      <c r="J230" s="63" t="e">
        <f t="shared" si="92"/>
        <v>#N/A</v>
      </c>
      <c r="K230" s="66" t="str">
        <f t="shared" si="98"/>
        <v/>
      </c>
      <c r="L230" s="17"/>
      <c r="M230" s="23" t="e">
        <f t="shared" si="93"/>
        <v>#N/A</v>
      </c>
      <c r="N230" s="23" t="e">
        <f t="shared" si="81"/>
        <v>#N/A</v>
      </c>
      <c r="O230" s="23" t="e">
        <f t="shared" si="82"/>
        <v>#N/A</v>
      </c>
      <c r="P230" s="17"/>
      <c r="Q230" s="19" t="e">
        <f>IF(C230="","",'Tabla_Puntual&amp;Relacionamiento'!$E$19)</f>
        <v>#N/A</v>
      </c>
      <c r="R230" s="19"/>
      <c r="S230" s="11" t="e">
        <f t="shared" si="94"/>
        <v>#N/A</v>
      </c>
      <c r="T230" s="23" t="e">
        <f t="shared" si="83"/>
        <v>#N/A</v>
      </c>
      <c r="U230" s="37" t="e">
        <f t="shared" si="84"/>
        <v>#N/A</v>
      </c>
      <c r="V230" s="37" t="e">
        <f t="shared" si="97"/>
        <v>#N/A</v>
      </c>
      <c r="X230" s="31" t="e">
        <f t="shared" si="85"/>
        <v>#N/A</v>
      </c>
      <c r="Y230" s="34">
        <f t="shared" si="100"/>
        <v>1.3770862061252869</v>
      </c>
      <c r="Z230" s="31" t="e">
        <f t="shared" si="86"/>
        <v>#N/A</v>
      </c>
      <c r="AA230" s="66">
        <f t="shared" si="87"/>
        <v>0</v>
      </c>
      <c r="AB230" s="6" t="e">
        <f t="shared" si="88"/>
        <v>#N/A</v>
      </c>
      <c r="AC230" s="48">
        <f t="shared" si="101"/>
        <v>0</v>
      </c>
    </row>
    <row r="231" spans="3:29" x14ac:dyDescent="0.25">
      <c r="C231" s="27" t="e">
        <f t="shared" si="89"/>
        <v>#N/A</v>
      </c>
      <c r="D231" s="30" t="e">
        <f t="shared" si="90"/>
        <v>#N/A</v>
      </c>
      <c r="E231" s="20" t="e">
        <f t="shared" si="96"/>
        <v>#N/A</v>
      </c>
      <c r="F231" s="20" t="e">
        <f t="shared" si="79"/>
        <v>#N/A</v>
      </c>
      <c r="G231" s="21" t="e">
        <f t="shared" si="80"/>
        <v>#N/A</v>
      </c>
      <c r="H231" s="24" t="e">
        <f t="shared" si="91"/>
        <v>#N/A</v>
      </c>
      <c r="I231" s="21" t="e">
        <f t="shared" si="99"/>
        <v>#N/A</v>
      </c>
      <c r="J231" s="63" t="e">
        <f t="shared" si="92"/>
        <v>#N/A</v>
      </c>
      <c r="K231" s="66" t="str">
        <f t="shared" si="98"/>
        <v/>
      </c>
      <c r="L231" s="17"/>
      <c r="M231" s="23" t="e">
        <f t="shared" si="93"/>
        <v>#N/A</v>
      </c>
      <c r="N231" s="23" t="e">
        <f t="shared" si="81"/>
        <v>#N/A</v>
      </c>
      <c r="O231" s="23" t="e">
        <f t="shared" si="82"/>
        <v>#N/A</v>
      </c>
      <c r="P231" s="17"/>
      <c r="Q231" s="19" t="e">
        <f>IF(C231="","",'Tabla_Puntual&amp;Relacionamiento'!$E$19)</f>
        <v>#N/A</v>
      </c>
      <c r="R231" s="19"/>
      <c r="S231" s="11" t="e">
        <f t="shared" si="94"/>
        <v>#N/A</v>
      </c>
      <c r="T231" s="23" t="e">
        <f t="shared" si="83"/>
        <v>#N/A</v>
      </c>
      <c r="U231" s="37" t="e">
        <f t="shared" si="84"/>
        <v>#N/A</v>
      </c>
      <c r="V231" s="37" t="e">
        <f t="shared" si="97"/>
        <v>#N/A</v>
      </c>
      <c r="X231" s="31" t="e">
        <f t="shared" si="85"/>
        <v>#N/A</v>
      </c>
      <c r="Y231" s="34">
        <f t="shared" si="100"/>
        <v>1.3770862061252869</v>
      </c>
      <c r="Z231" s="31" t="e">
        <f t="shared" si="86"/>
        <v>#N/A</v>
      </c>
      <c r="AA231" s="66">
        <f t="shared" si="87"/>
        <v>0</v>
      </c>
      <c r="AB231" s="6" t="e">
        <f t="shared" si="88"/>
        <v>#N/A</v>
      </c>
      <c r="AC231" s="48">
        <f t="shared" si="101"/>
        <v>0</v>
      </c>
    </row>
    <row r="232" spans="3:29" x14ac:dyDescent="0.25">
      <c r="C232" s="27" t="e">
        <f t="shared" si="89"/>
        <v>#N/A</v>
      </c>
      <c r="D232" s="30" t="e">
        <f t="shared" si="90"/>
        <v>#N/A</v>
      </c>
      <c r="E232" s="20" t="e">
        <f t="shared" si="96"/>
        <v>#N/A</v>
      </c>
      <c r="F232" s="20" t="e">
        <f t="shared" si="79"/>
        <v>#N/A</v>
      </c>
      <c r="G232" s="21" t="e">
        <f t="shared" si="80"/>
        <v>#N/A</v>
      </c>
      <c r="H232" s="24" t="e">
        <f t="shared" si="91"/>
        <v>#N/A</v>
      </c>
      <c r="I232" s="21" t="e">
        <f t="shared" si="99"/>
        <v>#N/A</v>
      </c>
      <c r="J232" s="63" t="e">
        <f t="shared" si="92"/>
        <v>#N/A</v>
      </c>
      <c r="K232" s="66" t="str">
        <f t="shared" si="98"/>
        <v/>
      </c>
      <c r="L232" s="17"/>
      <c r="M232" s="23" t="e">
        <f t="shared" si="93"/>
        <v>#N/A</v>
      </c>
      <c r="N232" s="23" t="e">
        <f t="shared" si="81"/>
        <v>#N/A</v>
      </c>
      <c r="O232" s="23" t="e">
        <f t="shared" si="82"/>
        <v>#N/A</v>
      </c>
      <c r="P232" s="17"/>
      <c r="Q232" s="19" t="e">
        <f>IF(C232="","",'Tabla_Puntual&amp;Relacionamiento'!$E$19)</f>
        <v>#N/A</v>
      </c>
      <c r="R232" s="19"/>
      <c r="S232" s="11" t="e">
        <f t="shared" si="94"/>
        <v>#N/A</v>
      </c>
      <c r="T232" s="23" t="e">
        <f t="shared" si="83"/>
        <v>#N/A</v>
      </c>
      <c r="U232" s="37" t="e">
        <f t="shared" si="84"/>
        <v>#N/A</v>
      </c>
      <c r="V232" s="37" t="e">
        <f t="shared" si="97"/>
        <v>#N/A</v>
      </c>
      <c r="X232" s="31" t="e">
        <f t="shared" si="85"/>
        <v>#N/A</v>
      </c>
      <c r="Y232" s="34">
        <f t="shared" si="100"/>
        <v>1.3770862061252869</v>
      </c>
      <c r="Z232" s="31" t="e">
        <f t="shared" si="86"/>
        <v>#N/A</v>
      </c>
      <c r="AA232" s="66">
        <f t="shared" si="87"/>
        <v>0</v>
      </c>
      <c r="AB232" s="6" t="e">
        <f t="shared" si="88"/>
        <v>#N/A</v>
      </c>
      <c r="AC232" s="48">
        <f t="shared" si="101"/>
        <v>0</v>
      </c>
    </row>
    <row r="233" spans="3:29" x14ac:dyDescent="0.25">
      <c r="C233" s="27" t="e">
        <f t="shared" si="89"/>
        <v>#N/A</v>
      </c>
      <c r="D233" s="30" t="e">
        <f t="shared" si="90"/>
        <v>#N/A</v>
      </c>
      <c r="E233" s="20" t="e">
        <f t="shared" si="96"/>
        <v>#N/A</v>
      </c>
      <c r="F233" s="20" t="e">
        <f t="shared" si="79"/>
        <v>#N/A</v>
      </c>
      <c r="G233" s="21" t="e">
        <f t="shared" si="80"/>
        <v>#N/A</v>
      </c>
      <c r="H233" s="24" t="e">
        <f t="shared" si="91"/>
        <v>#N/A</v>
      </c>
      <c r="I233" s="21" t="e">
        <f t="shared" si="99"/>
        <v>#N/A</v>
      </c>
      <c r="J233" s="63" t="e">
        <f t="shared" si="92"/>
        <v>#N/A</v>
      </c>
      <c r="K233" s="66" t="str">
        <f t="shared" si="98"/>
        <v/>
      </c>
      <c r="L233" s="17"/>
      <c r="M233" s="23" t="e">
        <f t="shared" si="93"/>
        <v>#N/A</v>
      </c>
      <c r="N233" s="23" t="e">
        <f t="shared" si="81"/>
        <v>#N/A</v>
      </c>
      <c r="O233" s="23" t="e">
        <f t="shared" si="82"/>
        <v>#N/A</v>
      </c>
      <c r="P233" s="17"/>
      <c r="Q233" s="19" t="e">
        <f>IF(C233="","",'Tabla_Puntual&amp;Relacionamiento'!$E$19)</f>
        <v>#N/A</v>
      </c>
      <c r="R233" s="19"/>
      <c r="S233" s="11" t="e">
        <f t="shared" si="94"/>
        <v>#N/A</v>
      </c>
      <c r="T233" s="23" t="e">
        <f t="shared" si="83"/>
        <v>#N/A</v>
      </c>
      <c r="U233" s="37" t="e">
        <f t="shared" si="84"/>
        <v>#N/A</v>
      </c>
      <c r="V233" s="37" t="e">
        <f t="shared" si="97"/>
        <v>#N/A</v>
      </c>
      <c r="X233" s="31" t="e">
        <f t="shared" si="85"/>
        <v>#N/A</v>
      </c>
      <c r="Y233" s="34">
        <f t="shared" si="100"/>
        <v>1.3770862061252869</v>
      </c>
      <c r="Z233" s="31" t="e">
        <f t="shared" si="86"/>
        <v>#N/A</v>
      </c>
      <c r="AA233" s="66">
        <f t="shared" si="87"/>
        <v>0</v>
      </c>
      <c r="AB233" s="6" t="e">
        <f t="shared" si="88"/>
        <v>#N/A</v>
      </c>
      <c r="AC233" s="48">
        <f t="shared" si="101"/>
        <v>0</v>
      </c>
    </row>
    <row r="234" spans="3:29" x14ac:dyDescent="0.25">
      <c r="C234" s="27" t="e">
        <f t="shared" si="89"/>
        <v>#N/A</v>
      </c>
      <c r="D234" s="30" t="e">
        <f t="shared" si="90"/>
        <v>#N/A</v>
      </c>
      <c r="E234" s="20" t="e">
        <f t="shared" si="96"/>
        <v>#N/A</v>
      </c>
      <c r="F234" s="20" t="e">
        <f t="shared" si="79"/>
        <v>#N/A</v>
      </c>
      <c r="G234" s="21" t="e">
        <f t="shared" si="80"/>
        <v>#N/A</v>
      </c>
      <c r="H234" s="24" t="e">
        <f t="shared" si="91"/>
        <v>#N/A</v>
      </c>
      <c r="I234" s="21" t="e">
        <f t="shared" si="99"/>
        <v>#N/A</v>
      </c>
      <c r="J234" s="63" t="e">
        <f t="shared" si="92"/>
        <v>#N/A</v>
      </c>
      <c r="K234" s="66" t="str">
        <f t="shared" si="98"/>
        <v/>
      </c>
      <c r="L234" s="17"/>
      <c r="M234" s="23" t="e">
        <f t="shared" si="93"/>
        <v>#N/A</v>
      </c>
      <c r="N234" s="23" t="e">
        <f t="shared" si="81"/>
        <v>#N/A</v>
      </c>
      <c r="O234" s="23" t="e">
        <f t="shared" si="82"/>
        <v>#N/A</v>
      </c>
      <c r="P234" s="17"/>
      <c r="Q234" s="19" t="e">
        <f>IF(C234="","",'Tabla_Puntual&amp;Relacionamiento'!$E$19)</f>
        <v>#N/A</v>
      </c>
      <c r="R234" s="19"/>
      <c r="S234" s="11" t="e">
        <f t="shared" si="94"/>
        <v>#N/A</v>
      </c>
      <c r="T234" s="23" t="e">
        <f t="shared" si="83"/>
        <v>#N/A</v>
      </c>
      <c r="U234" s="37" t="e">
        <f t="shared" si="84"/>
        <v>#N/A</v>
      </c>
      <c r="V234" s="37" t="e">
        <f t="shared" si="97"/>
        <v>#N/A</v>
      </c>
      <c r="X234" s="31" t="e">
        <f t="shared" si="85"/>
        <v>#N/A</v>
      </c>
      <c r="Y234" s="34">
        <f t="shared" si="100"/>
        <v>1.3770862061252869</v>
      </c>
      <c r="Z234" s="31" t="e">
        <f t="shared" si="86"/>
        <v>#N/A</v>
      </c>
      <c r="AA234" s="66">
        <f t="shared" si="87"/>
        <v>0</v>
      </c>
      <c r="AB234" s="6" t="e">
        <f t="shared" si="88"/>
        <v>#N/A</v>
      </c>
      <c r="AC234" s="48">
        <f t="shared" si="101"/>
        <v>0</v>
      </c>
    </row>
    <row r="235" spans="3:29" x14ac:dyDescent="0.25">
      <c r="C235" s="27" t="e">
        <f t="shared" si="89"/>
        <v>#N/A</v>
      </c>
      <c r="D235" s="30" t="e">
        <f t="shared" si="90"/>
        <v>#N/A</v>
      </c>
      <c r="E235" s="20" t="e">
        <f t="shared" si="96"/>
        <v>#N/A</v>
      </c>
      <c r="F235" s="20" t="e">
        <f t="shared" si="79"/>
        <v>#N/A</v>
      </c>
      <c r="G235" s="21" t="e">
        <f t="shared" si="80"/>
        <v>#N/A</v>
      </c>
      <c r="H235" s="24" t="e">
        <f t="shared" si="91"/>
        <v>#N/A</v>
      </c>
      <c r="I235" s="21" t="e">
        <f t="shared" si="99"/>
        <v>#N/A</v>
      </c>
      <c r="J235" s="63" t="e">
        <f t="shared" si="92"/>
        <v>#N/A</v>
      </c>
      <c r="K235" s="66" t="str">
        <f t="shared" si="98"/>
        <v/>
      </c>
      <c r="L235" s="17"/>
      <c r="M235" s="23" t="e">
        <f t="shared" si="93"/>
        <v>#N/A</v>
      </c>
      <c r="N235" s="23" t="e">
        <f t="shared" si="81"/>
        <v>#N/A</v>
      </c>
      <c r="O235" s="23" t="e">
        <f t="shared" si="82"/>
        <v>#N/A</v>
      </c>
      <c r="P235" s="17"/>
      <c r="Q235" s="19" t="e">
        <f>IF(C235="","",'Tabla_Puntual&amp;Relacionamiento'!$E$19)</f>
        <v>#N/A</v>
      </c>
      <c r="R235" s="19"/>
      <c r="S235" s="11" t="e">
        <f t="shared" si="94"/>
        <v>#N/A</v>
      </c>
      <c r="T235" s="23" t="e">
        <f t="shared" si="83"/>
        <v>#N/A</v>
      </c>
      <c r="U235" s="37" t="e">
        <f t="shared" si="84"/>
        <v>#N/A</v>
      </c>
      <c r="V235" s="37" t="e">
        <f t="shared" si="97"/>
        <v>#N/A</v>
      </c>
      <c r="X235" s="31" t="e">
        <f t="shared" si="85"/>
        <v>#N/A</v>
      </c>
      <c r="Y235" s="34">
        <f t="shared" si="100"/>
        <v>1.3770862061252869</v>
      </c>
      <c r="Z235" s="31" t="e">
        <f t="shared" si="86"/>
        <v>#N/A</v>
      </c>
      <c r="AA235" s="66">
        <f t="shared" si="87"/>
        <v>0</v>
      </c>
      <c r="AB235" s="6" t="e">
        <f t="shared" si="88"/>
        <v>#N/A</v>
      </c>
      <c r="AC235" s="48">
        <f t="shared" si="101"/>
        <v>0</v>
      </c>
    </row>
    <row r="236" spans="3:29" x14ac:dyDescent="0.25">
      <c r="C236" s="27" t="e">
        <f t="shared" si="89"/>
        <v>#N/A</v>
      </c>
      <c r="D236" s="30" t="e">
        <f t="shared" si="90"/>
        <v>#N/A</v>
      </c>
      <c r="E236" s="20" t="e">
        <f t="shared" si="96"/>
        <v>#N/A</v>
      </c>
      <c r="F236" s="20" t="e">
        <f t="shared" si="79"/>
        <v>#N/A</v>
      </c>
      <c r="G236" s="21" t="e">
        <f t="shared" si="80"/>
        <v>#N/A</v>
      </c>
      <c r="H236" s="24" t="e">
        <f t="shared" si="91"/>
        <v>#N/A</v>
      </c>
      <c r="I236" s="21" t="e">
        <f t="shared" si="99"/>
        <v>#N/A</v>
      </c>
      <c r="J236" s="63" t="e">
        <f t="shared" si="92"/>
        <v>#N/A</v>
      </c>
      <c r="K236" s="66" t="str">
        <f t="shared" si="98"/>
        <v/>
      </c>
      <c r="L236" s="17"/>
      <c r="M236" s="23" t="e">
        <f t="shared" si="93"/>
        <v>#N/A</v>
      </c>
      <c r="N236" s="23" t="e">
        <f t="shared" si="81"/>
        <v>#N/A</v>
      </c>
      <c r="O236" s="23" t="e">
        <f t="shared" si="82"/>
        <v>#N/A</v>
      </c>
      <c r="P236" s="17"/>
      <c r="Q236" s="19" t="e">
        <f>IF(C236="","",'Tabla_Puntual&amp;Relacionamiento'!$E$19)</f>
        <v>#N/A</v>
      </c>
      <c r="R236" s="19"/>
      <c r="S236" s="11" t="e">
        <f t="shared" si="94"/>
        <v>#N/A</v>
      </c>
      <c r="T236" s="23" t="e">
        <f t="shared" si="83"/>
        <v>#N/A</v>
      </c>
      <c r="U236" s="37" t="e">
        <f t="shared" si="84"/>
        <v>#N/A</v>
      </c>
      <c r="V236" s="37" t="e">
        <f t="shared" si="97"/>
        <v>#N/A</v>
      </c>
      <c r="X236" s="31" t="e">
        <f t="shared" si="85"/>
        <v>#N/A</v>
      </c>
      <c r="Y236" s="34">
        <f t="shared" si="100"/>
        <v>1.3770862061252869</v>
      </c>
      <c r="Z236" s="31" t="e">
        <f t="shared" si="86"/>
        <v>#N/A</v>
      </c>
      <c r="AA236" s="66">
        <f t="shared" si="87"/>
        <v>0</v>
      </c>
      <c r="AB236" s="6" t="e">
        <f t="shared" si="88"/>
        <v>#N/A</v>
      </c>
      <c r="AC236" s="48">
        <f t="shared" si="101"/>
        <v>0</v>
      </c>
    </row>
    <row r="237" spans="3:29" x14ac:dyDescent="0.25">
      <c r="C237" s="27" t="e">
        <f t="shared" si="89"/>
        <v>#N/A</v>
      </c>
      <c r="D237" s="30" t="e">
        <f t="shared" si="90"/>
        <v>#N/A</v>
      </c>
      <c r="E237" s="20" t="e">
        <f t="shared" si="96"/>
        <v>#N/A</v>
      </c>
      <c r="F237" s="20" t="e">
        <f t="shared" si="79"/>
        <v>#N/A</v>
      </c>
      <c r="G237" s="21" t="e">
        <f t="shared" si="80"/>
        <v>#N/A</v>
      </c>
      <c r="H237" s="24" t="e">
        <f t="shared" si="91"/>
        <v>#N/A</v>
      </c>
      <c r="I237" s="21" t="e">
        <f t="shared" si="99"/>
        <v>#N/A</v>
      </c>
      <c r="J237" s="63" t="e">
        <f t="shared" si="92"/>
        <v>#N/A</v>
      </c>
      <c r="K237" s="66" t="str">
        <f t="shared" si="98"/>
        <v/>
      </c>
      <c r="L237" s="17"/>
      <c r="M237" s="23" t="e">
        <f t="shared" si="93"/>
        <v>#N/A</v>
      </c>
      <c r="N237" s="23" t="e">
        <f t="shared" si="81"/>
        <v>#N/A</v>
      </c>
      <c r="O237" s="23" t="e">
        <f t="shared" si="82"/>
        <v>#N/A</v>
      </c>
      <c r="P237" s="17"/>
      <c r="Q237" s="19" t="e">
        <f>IF(C237="","",'Tabla_Puntual&amp;Relacionamiento'!$E$20)</f>
        <v>#N/A</v>
      </c>
      <c r="R237" s="19" t="e">
        <f>IF(C237="","",IF($E$14="Pago_Bajo_Puntual",$M$17,""))</f>
        <v>#N/A</v>
      </c>
      <c r="S237" s="11" t="e">
        <f t="shared" si="94"/>
        <v>#N/A</v>
      </c>
      <c r="T237" s="23" t="e">
        <f t="shared" si="83"/>
        <v>#N/A</v>
      </c>
      <c r="U237" s="37" t="e">
        <f t="shared" si="84"/>
        <v>#N/A</v>
      </c>
      <c r="V237" s="37" t="e">
        <f t="shared" si="97"/>
        <v>#N/A</v>
      </c>
      <c r="X237" s="31" t="e">
        <f t="shared" si="85"/>
        <v>#N/A</v>
      </c>
      <c r="Y237" s="34">
        <f>Y236*1.019</f>
        <v>1.4032508440416671</v>
      </c>
      <c r="Z237" s="31" t="e">
        <f t="shared" si="86"/>
        <v>#N/A</v>
      </c>
      <c r="AA237" s="66">
        <f t="shared" si="87"/>
        <v>0</v>
      </c>
      <c r="AB237" s="6" t="e">
        <f t="shared" si="88"/>
        <v>#N/A</v>
      </c>
      <c r="AC237" s="48">
        <f>AC236+$M$17</f>
        <v>0</v>
      </c>
    </row>
    <row r="238" spans="3:29" x14ac:dyDescent="0.25">
      <c r="C238" s="27" t="e">
        <f t="shared" si="89"/>
        <v>#N/A</v>
      </c>
      <c r="D238" s="30" t="e">
        <f t="shared" si="90"/>
        <v>#N/A</v>
      </c>
      <c r="E238" s="20" t="e">
        <f t="shared" si="96"/>
        <v>#N/A</v>
      </c>
      <c r="F238" s="20" t="e">
        <f t="shared" si="79"/>
        <v>#N/A</v>
      </c>
      <c r="G238" s="21" t="e">
        <f t="shared" si="80"/>
        <v>#N/A</v>
      </c>
      <c r="H238" s="24" t="e">
        <f t="shared" si="91"/>
        <v>#N/A</v>
      </c>
      <c r="I238" s="21" t="e">
        <f t="shared" si="99"/>
        <v>#N/A</v>
      </c>
      <c r="J238" s="63" t="e">
        <f t="shared" si="92"/>
        <v>#N/A</v>
      </c>
      <c r="K238" s="66" t="str">
        <f t="shared" si="98"/>
        <v/>
      </c>
      <c r="L238" s="17"/>
      <c r="M238" s="23" t="e">
        <f t="shared" si="93"/>
        <v>#N/A</v>
      </c>
      <c r="N238" s="23" t="e">
        <f t="shared" si="81"/>
        <v>#N/A</v>
      </c>
      <c r="O238" s="23" t="e">
        <f t="shared" si="82"/>
        <v>#N/A</v>
      </c>
      <c r="P238" s="17"/>
      <c r="Q238" s="19" t="e">
        <f>IF(C238="","",'Tabla_Puntual&amp;Relacionamiento'!$E$20)</f>
        <v>#N/A</v>
      </c>
      <c r="R238" s="19"/>
      <c r="S238" s="11" t="e">
        <f t="shared" si="94"/>
        <v>#N/A</v>
      </c>
      <c r="T238" s="23" t="e">
        <f t="shared" si="83"/>
        <v>#N/A</v>
      </c>
      <c r="U238" s="37" t="e">
        <f t="shared" si="84"/>
        <v>#N/A</v>
      </c>
      <c r="V238" s="37" t="e">
        <f t="shared" si="97"/>
        <v>#N/A</v>
      </c>
      <c r="X238" s="31" t="e">
        <f t="shared" si="85"/>
        <v>#N/A</v>
      </c>
      <c r="Y238" s="34">
        <f t="shared" ref="Y238:Y248" si="102">Y237</f>
        <v>1.4032508440416671</v>
      </c>
      <c r="Z238" s="31" t="e">
        <f t="shared" si="86"/>
        <v>#N/A</v>
      </c>
      <c r="AA238" s="66">
        <f t="shared" si="87"/>
        <v>0</v>
      </c>
      <c r="AB238" s="6" t="e">
        <f t="shared" si="88"/>
        <v>#N/A</v>
      </c>
      <c r="AC238" s="48">
        <f t="shared" si="101"/>
        <v>0</v>
      </c>
    </row>
    <row r="239" spans="3:29" x14ac:dyDescent="0.25">
      <c r="C239" s="27" t="e">
        <f t="shared" si="89"/>
        <v>#N/A</v>
      </c>
      <c r="D239" s="30" t="e">
        <f t="shared" si="90"/>
        <v>#N/A</v>
      </c>
      <c r="E239" s="20" t="e">
        <f t="shared" si="96"/>
        <v>#N/A</v>
      </c>
      <c r="F239" s="20" t="e">
        <f t="shared" si="79"/>
        <v>#N/A</v>
      </c>
      <c r="G239" s="21" t="e">
        <f t="shared" si="80"/>
        <v>#N/A</v>
      </c>
      <c r="H239" s="24" t="e">
        <f t="shared" si="91"/>
        <v>#N/A</v>
      </c>
      <c r="I239" s="21" t="e">
        <f t="shared" si="99"/>
        <v>#N/A</v>
      </c>
      <c r="J239" s="63" t="e">
        <f t="shared" si="92"/>
        <v>#N/A</v>
      </c>
      <c r="K239" s="66" t="str">
        <f t="shared" si="98"/>
        <v/>
      </c>
      <c r="L239" s="17"/>
      <c r="M239" s="23" t="e">
        <f t="shared" si="93"/>
        <v>#N/A</v>
      </c>
      <c r="N239" s="23" t="e">
        <f t="shared" si="81"/>
        <v>#N/A</v>
      </c>
      <c r="O239" s="23" t="e">
        <f t="shared" si="82"/>
        <v>#N/A</v>
      </c>
      <c r="P239" s="17"/>
      <c r="Q239" s="19" t="e">
        <f>IF(C239="","",'Tabla_Puntual&amp;Relacionamiento'!$E$20)</f>
        <v>#N/A</v>
      </c>
      <c r="R239" s="19"/>
      <c r="S239" s="11" t="e">
        <f t="shared" si="94"/>
        <v>#N/A</v>
      </c>
      <c r="T239" s="23" t="e">
        <f t="shared" si="83"/>
        <v>#N/A</v>
      </c>
      <c r="U239" s="37" t="e">
        <f t="shared" si="84"/>
        <v>#N/A</v>
      </c>
      <c r="V239" s="37" t="e">
        <f t="shared" si="97"/>
        <v>#N/A</v>
      </c>
      <c r="X239" s="31" t="e">
        <f t="shared" si="85"/>
        <v>#N/A</v>
      </c>
      <c r="Y239" s="34">
        <f t="shared" si="102"/>
        <v>1.4032508440416671</v>
      </c>
      <c r="Z239" s="31" t="e">
        <f t="shared" si="86"/>
        <v>#N/A</v>
      </c>
      <c r="AA239" s="66">
        <f t="shared" si="87"/>
        <v>0</v>
      </c>
      <c r="AB239" s="6" t="e">
        <f t="shared" si="88"/>
        <v>#N/A</v>
      </c>
      <c r="AC239" s="48">
        <f t="shared" si="101"/>
        <v>0</v>
      </c>
    </row>
    <row r="240" spans="3:29" x14ac:dyDescent="0.25">
      <c r="C240" s="27" t="e">
        <f t="shared" si="89"/>
        <v>#N/A</v>
      </c>
      <c r="D240" s="30" t="e">
        <f t="shared" si="90"/>
        <v>#N/A</v>
      </c>
      <c r="E240" s="20" t="e">
        <f t="shared" si="96"/>
        <v>#N/A</v>
      </c>
      <c r="F240" s="20" t="e">
        <f t="shared" si="79"/>
        <v>#N/A</v>
      </c>
      <c r="G240" s="21" t="e">
        <f t="shared" si="80"/>
        <v>#N/A</v>
      </c>
      <c r="H240" s="24" t="e">
        <f t="shared" si="91"/>
        <v>#N/A</v>
      </c>
      <c r="I240" s="21" t="e">
        <f t="shared" si="99"/>
        <v>#N/A</v>
      </c>
      <c r="J240" s="63" t="e">
        <f t="shared" si="92"/>
        <v>#N/A</v>
      </c>
      <c r="K240" s="66" t="str">
        <f t="shared" si="98"/>
        <v/>
      </c>
      <c r="L240" s="17"/>
      <c r="M240" s="23" t="e">
        <f t="shared" si="93"/>
        <v>#N/A</v>
      </c>
      <c r="N240" s="23" t="e">
        <f t="shared" si="81"/>
        <v>#N/A</v>
      </c>
      <c r="O240" s="23" t="e">
        <f t="shared" si="82"/>
        <v>#N/A</v>
      </c>
      <c r="P240" s="17"/>
      <c r="Q240" s="19" t="e">
        <f>IF(C240="","",'Tabla_Puntual&amp;Relacionamiento'!$E$20)</f>
        <v>#N/A</v>
      </c>
      <c r="R240" s="19"/>
      <c r="S240" s="11" t="e">
        <f t="shared" si="94"/>
        <v>#N/A</v>
      </c>
      <c r="T240" s="23" t="e">
        <f t="shared" si="83"/>
        <v>#N/A</v>
      </c>
      <c r="U240" s="37" t="e">
        <f t="shared" si="84"/>
        <v>#N/A</v>
      </c>
      <c r="V240" s="37" t="e">
        <f t="shared" si="97"/>
        <v>#N/A</v>
      </c>
      <c r="X240" s="31" t="e">
        <f t="shared" si="85"/>
        <v>#N/A</v>
      </c>
      <c r="Y240" s="34">
        <f t="shared" si="102"/>
        <v>1.4032508440416671</v>
      </c>
      <c r="Z240" s="31" t="e">
        <f t="shared" si="86"/>
        <v>#N/A</v>
      </c>
      <c r="AA240" s="66">
        <f t="shared" si="87"/>
        <v>0</v>
      </c>
      <c r="AB240" s="6" t="e">
        <f t="shared" si="88"/>
        <v>#N/A</v>
      </c>
      <c r="AC240" s="48">
        <f t="shared" si="101"/>
        <v>0</v>
      </c>
    </row>
    <row r="241" spans="3:29" x14ac:dyDescent="0.25">
      <c r="C241" s="27" t="e">
        <f t="shared" si="89"/>
        <v>#N/A</v>
      </c>
      <c r="D241" s="30" t="e">
        <f t="shared" si="90"/>
        <v>#N/A</v>
      </c>
      <c r="E241" s="20" t="e">
        <f t="shared" si="96"/>
        <v>#N/A</v>
      </c>
      <c r="F241" s="20" t="e">
        <f t="shared" si="79"/>
        <v>#N/A</v>
      </c>
      <c r="G241" s="21" t="e">
        <f t="shared" si="80"/>
        <v>#N/A</v>
      </c>
      <c r="H241" s="24" t="e">
        <f t="shared" si="91"/>
        <v>#N/A</v>
      </c>
      <c r="I241" s="21" t="e">
        <f t="shared" si="99"/>
        <v>#N/A</v>
      </c>
      <c r="J241" s="63" t="e">
        <f t="shared" si="92"/>
        <v>#N/A</v>
      </c>
      <c r="K241" s="66" t="str">
        <f t="shared" si="98"/>
        <v/>
      </c>
      <c r="L241" s="17"/>
      <c r="M241" s="23" t="e">
        <f t="shared" si="93"/>
        <v>#N/A</v>
      </c>
      <c r="N241" s="23" t="e">
        <f t="shared" si="81"/>
        <v>#N/A</v>
      </c>
      <c r="O241" s="23" t="e">
        <f t="shared" si="82"/>
        <v>#N/A</v>
      </c>
      <c r="P241" s="17"/>
      <c r="Q241" s="19" t="e">
        <f>IF(C241="","",'Tabla_Puntual&amp;Relacionamiento'!$E$20)</f>
        <v>#N/A</v>
      </c>
      <c r="R241" s="19"/>
      <c r="S241" s="11" t="e">
        <f t="shared" si="94"/>
        <v>#N/A</v>
      </c>
      <c r="T241" s="23" t="e">
        <f t="shared" si="83"/>
        <v>#N/A</v>
      </c>
      <c r="U241" s="37" t="e">
        <f t="shared" si="84"/>
        <v>#N/A</v>
      </c>
      <c r="V241" s="37" t="e">
        <f t="shared" si="97"/>
        <v>#N/A</v>
      </c>
      <c r="X241" s="31" t="e">
        <f t="shared" si="85"/>
        <v>#N/A</v>
      </c>
      <c r="Y241" s="34">
        <f t="shared" si="102"/>
        <v>1.4032508440416671</v>
      </c>
      <c r="Z241" s="31" t="e">
        <f t="shared" si="86"/>
        <v>#N/A</v>
      </c>
      <c r="AA241" s="66">
        <f t="shared" si="87"/>
        <v>0</v>
      </c>
      <c r="AB241" s="6" t="e">
        <f t="shared" si="88"/>
        <v>#N/A</v>
      </c>
      <c r="AC241" s="48">
        <f t="shared" si="101"/>
        <v>0</v>
      </c>
    </row>
    <row r="242" spans="3:29" x14ac:dyDescent="0.25">
      <c r="C242" s="27" t="e">
        <f t="shared" si="89"/>
        <v>#N/A</v>
      </c>
      <c r="D242" s="30" t="e">
        <f t="shared" si="90"/>
        <v>#N/A</v>
      </c>
      <c r="E242" s="20" t="e">
        <f t="shared" si="96"/>
        <v>#N/A</v>
      </c>
      <c r="F242" s="20" t="e">
        <f t="shared" si="79"/>
        <v>#N/A</v>
      </c>
      <c r="G242" s="21" t="e">
        <f t="shared" si="80"/>
        <v>#N/A</v>
      </c>
      <c r="H242" s="24" t="e">
        <f t="shared" si="91"/>
        <v>#N/A</v>
      </c>
      <c r="I242" s="21" t="e">
        <f t="shared" si="99"/>
        <v>#N/A</v>
      </c>
      <c r="J242" s="63" t="e">
        <f t="shared" si="92"/>
        <v>#N/A</v>
      </c>
      <c r="K242" s="66" t="str">
        <f t="shared" si="98"/>
        <v/>
      </c>
      <c r="L242" s="17"/>
      <c r="M242" s="23" t="e">
        <f t="shared" si="93"/>
        <v>#N/A</v>
      </c>
      <c r="N242" s="23" t="e">
        <f t="shared" si="81"/>
        <v>#N/A</v>
      </c>
      <c r="O242" s="23" t="e">
        <f t="shared" si="82"/>
        <v>#N/A</v>
      </c>
      <c r="P242" s="17"/>
      <c r="Q242" s="19" t="e">
        <f>IF(C242="","",'Tabla_Puntual&amp;Relacionamiento'!$E$20)</f>
        <v>#N/A</v>
      </c>
      <c r="R242" s="19"/>
      <c r="S242" s="11" t="e">
        <f t="shared" si="94"/>
        <v>#N/A</v>
      </c>
      <c r="T242" s="23" t="e">
        <f t="shared" si="83"/>
        <v>#N/A</v>
      </c>
      <c r="U242" s="37" t="e">
        <f t="shared" si="84"/>
        <v>#N/A</v>
      </c>
      <c r="V242" s="37" t="e">
        <f t="shared" si="97"/>
        <v>#N/A</v>
      </c>
      <c r="X242" s="31" t="e">
        <f t="shared" si="85"/>
        <v>#N/A</v>
      </c>
      <c r="Y242" s="34">
        <f t="shared" si="102"/>
        <v>1.4032508440416671</v>
      </c>
      <c r="Z242" s="31" t="e">
        <f t="shared" si="86"/>
        <v>#N/A</v>
      </c>
      <c r="AA242" s="66">
        <f t="shared" si="87"/>
        <v>0</v>
      </c>
      <c r="AB242" s="6" t="e">
        <f t="shared" si="88"/>
        <v>#N/A</v>
      </c>
      <c r="AC242" s="48">
        <f t="shared" si="101"/>
        <v>0</v>
      </c>
    </row>
    <row r="243" spans="3:29" x14ac:dyDescent="0.25">
      <c r="C243" s="27" t="e">
        <f t="shared" si="89"/>
        <v>#N/A</v>
      </c>
      <c r="D243" s="30" t="e">
        <f t="shared" si="90"/>
        <v>#N/A</v>
      </c>
      <c r="E243" s="20" t="e">
        <f t="shared" si="96"/>
        <v>#N/A</v>
      </c>
      <c r="F243" s="20" t="e">
        <f t="shared" si="79"/>
        <v>#N/A</v>
      </c>
      <c r="G243" s="21" t="e">
        <f t="shared" si="80"/>
        <v>#N/A</v>
      </c>
      <c r="H243" s="24" t="e">
        <f t="shared" si="91"/>
        <v>#N/A</v>
      </c>
      <c r="I243" s="21" t="e">
        <f t="shared" si="99"/>
        <v>#N/A</v>
      </c>
      <c r="J243" s="63" t="e">
        <f t="shared" si="92"/>
        <v>#N/A</v>
      </c>
      <c r="K243" s="66" t="str">
        <f t="shared" si="98"/>
        <v/>
      </c>
      <c r="L243" s="17"/>
      <c r="M243" s="23" t="e">
        <f t="shared" si="93"/>
        <v>#N/A</v>
      </c>
      <c r="N243" s="23" t="e">
        <f t="shared" si="81"/>
        <v>#N/A</v>
      </c>
      <c r="O243" s="23" t="e">
        <f t="shared" si="82"/>
        <v>#N/A</v>
      </c>
      <c r="P243" s="17"/>
      <c r="Q243" s="19" t="e">
        <f>IF(C243="","",'Tabla_Puntual&amp;Relacionamiento'!$E$20)</f>
        <v>#N/A</v>
      </c>
      <c r="R243" s="19"/>
      <c r="S243" s="11" t="e">
        <f t="shared" si="94"/>
        <v>#N/A</v>
      </c>
      <c r="T243" s="23" t="e">
        <f t="shared" si="83"/>
        <v>#N/A</v>
      </c>
      <c r="U243" s="37" t="e">
        <f t="shared" si="84"/>
        <v>#N/A</v>
      </c>
      <c r="V243" s="37" t="e">
        <f t="shared" si="97"/>
        <v>#N/A</v>
      </c>
      <c r="X243" s="31" t="e">
        <f t="shared" si="85"/>
        <v>#N/A</v>
      </c>
      <c r="Y243" s="34">
        <f t="shared" si="102"/>
        <v>1.4032508440416671</v>
      </c>
      <c r="Z243" s="31" t="e">
        <f t="shared" si="86"/>
        <v>#N/A</v>
      </c>
      <c r="AA243" s="66">
        <f t="shared" si="87"/>
        <v>0</v>
      </c>
      <c r="AB243" s="6" t="e">
        <f t="shared" si="88"/>
        <v>#N/A</v>
      </c>
      <c r="AC243" s="48">
        <f t="shared" si="101"/>
        <v>0</v>
      </c>
    </row>
    <row r="244" spans="3:29" x14ac:dyDescent="0.25">
      <c r="C244" s="27" t="e">
        <f t="shared" si="89"/>
        <v>#N/A</v>
      </c>
      <c r="D244" s="30" t="e">
        <f t="shared" si="90"/>
        <v>#N/A</v>
      </c>
      <c r="E244" s="20" t="e">
        <f t="shared" si="96"/>
        <v>#N/A</v>
      </c>
      <c r="F244" s="20" t="e">
        <f t="shared" si="79"/>
        <v>#N/A</v>
      </c>
      <c r="G244" s="21" t="e">
        <f t="shared" si="80"/>
        <v>#N/A</v>
      </c>
      <c r="H244" s="24" t="e">
        <f t="shared" si="91"/>
        <v>#N/A</v>
      </c>
      <c r="I244" s="21" t="e">
        <f t="shared" si="99"/>
        <v>#N/A</v>
      </c>
      <c r="J244" s="63" t="e">
        <f t="shared" si="92"/>
        <v>#N/A</v>
      </c>
      <c r="K244" s="66" t="str">
        <f t="shared" si="98"/>
        <v/>
      </c>
      <c r="L244" s="17"/>
      <c r="M244" s="23" t="e">
        <f t="shared" si="93"/>
        <v>#N/A</v>
      </c>
      <c r="N244" s="23" t="e">
        <f t="shared" si="81"/>
        <v>#N/A</v>
      </c>
      <c r="O244" s="23" t="e">
        <f t="shared" si="82"/>
        <v>#N/A</v>
      </c>
      <c r="P244" s="17"/>
      <c r="Q244" s="19" t="e">
        <f>IF(C244="","",'Tabla_Puntual&amp;Relacionamiento'!$E$20)</f>
        <v>#N/A</v>
      </c>
      <c r="R244" s="19"/>
      <c r="S244" s="11" t="e">
        <f t="shared" si="94"/>
        <v>#N/A</v>
      </c>
      <c r="T244" s="23" t="e">
        <f t="shared" si="83"/>
        <v>#N/A</v>
      </c>
      <c r="U244" s="37" t="e">
        <f t="shared" si="84"/>
        <v>#N/A</v>
      </c>
      <c r="V244" s="37" t="e">
        <f t="shared" si="97"/>
        <v>#N/A</v>
      </c>
      <c r="X244" s="31" t="e">
        <f t="shared" si="85"/>
        <v>#N/A</v>
      </c>
      <c r="Y244" s="34">
        <f t="shared" si="102"/>
        <v>1.4032508440416671</v>
      </c>
      <c r="Z244" s="31" t="e">
        <f t="shared" si="86"/>
        <v>#N/A</v>
      </c>
      <c r="AA244" s="66">
        <f t="shared" si="87"/>
        <v>0</v>
      </c>
      <c r="AB244" s="6" t="e">
        <f t="shared" si="88"/>
        <v>#N/A</v>
      </c>
      <c r="AC244" s="48">
        <f t="shared" si="101"/>
        <v>0</v>
      </c>
    </row>
    <row r="245" spans="3:29" x14ac:dyDescent="0.25">
      <c r="C245" s="27" t="e">
        <f t="shared" si="89"/>
        <v>#N/A</v>
      </c>
      <c r="D245" s="30" t="e">
        <f t="shared" si="90"/>
        <v>#N/A</v>
      </c>
      <c r="E245" s="20" t="e">
        <f t="shared" si="96"/>
        <v>#N/A</v>
      </c>
      <c r="F245" s="20" t="e">
        <f t="shared" si="79"/>
        <v>#N/A</v>
      </c>
      <c r="G245" s="21" t="e">
        <f t="shared" si="80"/>
        <v>#N/A</v>
      </c>
      <c r="H245" s="24" t="e">
        <f t="shared" si="91"/>
        <v>#N/A</v>
      </c>
      <c r="I245" s="21" t="e">
        <f t="shared" si="99"/>
        <v>#N/A</v>
      </c>
      <c r="J245" s="63" t="e">
        <f t="shared" si="92"/>
        <v>#N/A</v>
      </c>
      <c r="K245" s="66" t="str">
        <f t="shared" si="98"/>
        <v/>
      </c>
      <c r="L245" s="17"/>
      <c r="M245" s="23" t="e">
        <f t="shared" si="93"/>
        <v>#N/A</v>
      </c>
      <c r="N245" s="23" t="e">
        <f t="shared" si="81"/>
        <v>#N/A</v>
      </c>
      <c r="O245" s="23" t="e">
        <f t="shared" si="82"/>
        <v>#N/A</v>
      </c>
      <c r="P245" s="17"/>
      <c r="Q245" s="19" t="e">
        <f>IF(C245="","",'Tabla_Puntual&amp;Relacionamiento'!$E$20)</f>
        <v>#N/A</v>
      </c>
      <c r="R245" s="19"/>
      <c r="S245" s="11" t="e">
        <f t="shared" si="94"/>
        <v>#N/A</v>
      </c>
      <c r="T245" s="23" t="e">
        <f t="shared" si="83"/>
        <v>#N/A</v>
      </c>
      <c r="U245" s="37" t="e">
        <f t="shared" si="84"/>
        <v>#N/A</v>
      </c>
      <c r="V245" s="37" t="e">
        <f t="shared" si="97"/>
        <v>#N/A</v>
      </c>
      <c r="X245" s="31" t="e">
        <f t="shared" si="85"/>
        <v>#N/A</v>
      </c>
      <c r="Y245" s="34">
        <f t="shared" si="102"/>
        <v>1.4032508440416671</v>
      </c>
      <c r="Z245" s="31" t="e">
        <f t="shared" si="86"/>
        <v>#N/A</v>
      </c>
      <c r="AA245" s="66">
        <f t="shared" si="87"/>
        <v>0</v>
      </c>
      <c r="AB245" s="6" t="e">
        <f t="shared" si="88"/>
        <v>#N/A</v>
      </c>
      <c r="AC245" s="48">
        <f t="shared" si="101"/>
        <v>0</v>
      </c>
    </row>
    <row r="246" spans="3:29" x14ac:dyDescent="0.25">
      <c r="C246" s="27" t="e">
        <f t="shared" si="89"/>
        <v>#N/A</v>
      </c>
      <c r="D246" s="30" t="e">
        <f t="shared" si="90"/>
        <v>#N/A</v>
      </c>
      <c r="E246" s="20" t="e">
        <f t="shared" si="96"/>
        <v>#N/A</v>
      </c>
      <c r="F246" s="20" t="e">
        <f t="shared" si="79"/>
        <v>#N/A</v>
      </c>
      <c r="G246" s="21" t="e">
        <f t="shared" si="80"/>
        <v>#N/A</v>
      </c>
      <c r="H246" s="24" t="e">
        <f t="shared" si="91"/>
        <v>#N/A</v>
      </c>
      <c r="I246" s="21" t="e">
        <f t="shared" si="99"/>
        <v>#N/A</v>
      </c>
      <c r="J246" s="63" t="e">
        <f t="shared" si="92"/>
        <v>#N/A</v>
      </c>
      <c r="K246" s="66" t="str">
        <f t="shared" si="98"/>
        <v/>
      </c>
      <c r="L246" s="17"/>
      <c r="M246" s="23" t="e">
        <f t="shared" si="93"/>
        <v>#N/A</v>
      </c>
      <c r="N246" s="23" t="e">
        <f t="shared" si="81"/>
        <v>#N/A</v>
      </c>
      <c r="O246" s="23" t="e">
        <f t="shared" si="82"/>
        <v>#N/A</v>
      </c>
      <c r="P246" s="17"/>
      <c r="Q246" s="19" t="e">
        <f>IF(C246="","",'Tabla_Puntual&amp;Relacionamiento'!$E$20)</f>
        <v>#N/A</v>
      </c>
      <c r="R246" s="19"/>
      <c r="S246" s="11" t="e">
        <f t="shared" si="94"/>
        <v>#N/A</v>
      </c>
      <c r="T246" s="23" t="e">
        <f t="shared" si="83"/>
        <v>#N/A</v>
      </c>
      <c r="U246" s="37" t="e">
        <f t="shared" si="84"/>
        <v>#N/A</v>
      </c>
      <c r="V246" s="37" t="e">
        <f t="shared" si="97"/>
        <v>#N/A</v>
      </c>
      <c r="X246" s="31" t="e">
        <f t="shared" si="85"/>
        <v>#N/A</v>
      </c>
      <c r="Y246" s="34">
        <f t="shared" si="102"/>
        <v>1.4032508440416671</v>
      </c>
      <c r="Z246" s="31" t="e">
        <f t="shared" si="86"/>
        <v>#N/A</v>
      </c>
      <c r="AA246" s="66">
        <f t="shared" si="87"/>
        <v>0</v>
      </c>
      <c r="AB246" s="6" t="e">
        <f t="shared" si="88"/>
        <v>#N/A</v>
      </c>
      <c r="AC246" s="48">
        <f t="shared" si="101"/>
        <v>0</v>
      </c>
    </row>
    <row r="247" spans="3:29" x14ac:dyDescent="0.25">
      <c r="C247" s="27" t="e">
        <f t="shared" si="89"/>
        <v>#N/A</v>
      </c>
      <c r="D247" s="30" t="e">
        <f t="shared" si="90"/>
        <v>#N/A</v>
      </c>
      <c r="E247" s="20" t="e">
        <f t="shared" si="96"/>
        <v>#N/A</v>
      </c>
      <c r="F247" s="20" t="e">
        <f t="shared" si="79"/>
        <v>#N/A</v>
      </c>
      <c r="G247" s="21" t="e">
        <f t="shared" si="80"/>
        <v>#N/A</v>
      </c>
      <c r="H247" s="24" t="e">
        <f t="shared" si="91"/>
        <v>#N/A</v>
      </c>
      <c r="I247" s="21" t="e">
        <f t="shared" si="99"/>
        <v>#N/A</v>
      </c>
      <c r="J247" s="63" t="e">
        <f t="shared" si="92"/>
        <v>#N/A</v>
      </c>
      <c r="K247" s="66" t="str">
        <f t="shared" si="98"/>
        <v/>
      </c>
      <c r="L247" s="17"/>
      <c r="M247" s="23" t="e">
        <f t="shared" si="93"/>
        <v>#N/A</v>
      </c>
      <c r="N247" s="23" t="e">
        <f t="shared" si="81"/>
        <v>#N/A</v>
      </c>
      <c r="O247" s="23" t="e">
        <f t="shared" si="82"/>
        <v>#N/A</v>
      </c>
      <c r="P247" s="17"/>
      <c r="Q247" s="19" t="e">
        <f>IF(C247="","",'Tabla_Puntual&amp;Relacionamiento'!$E$20)</f>
        <v>#N/A</v>
      </c>
      <c r="R247" s="19"/>
      <c r="S247" s="11" t="e">
        <f t="shared" si="94"/>
        <v>#N/A</v>
      </c>
      <c r="T247" s="23" t="e">
        <f t="shared" si="83"/>
        <v>#N/A</v>
      </c>
      <c r="U247" s="37" t="e">
        <f t="shared" si="84"/>
        <v>#N/A</v>
      </c>
      <c r="V247" s="37" t="e">
        <f t="shared" si="97"/>
        <v>#N/A</v>
      </c>
      <c r="X247" s="31" t="e">
        <f t="shared" si="85"/>
        <v>#N/A</v>
      </c>
      <c r="Y247" s="34">
        <f t="shared" si="102"/>
        <v>1.4032508440416671</v>
      </c>
      <c r="Z247" s="31" t="e">
        <f t="shared" si="86"/>
        <v>#N/A</v>
      </c>
      <c r="AA247" s="66">
        <f t="shared" si="87"/>
        <v>0</v>
      </c>
      <c r="AB247" s="6" t="e">
        <f t="shared" si="88"/>
        <v>#N/A</v>
      </c>
      <c r="AC247" s="48">
        <f t="shared" si="101"/>
        <v>0</v>
      </c>
    </row>
    <row r="248" spans="3:29" x14ac:dyDescent="0.25">
      <c r="C248" s="27" t="e">
        <f t="shared" si="89"/>
        <v>#N/A</v>
      </c>
      <c r="D248" s="30" t="e">
        <f t="shared" si="90"/>
        <v>#N/A</v>
      </c>
      <c r="E248" s="20" t="e">
        <f t="shared" si="96"/>
        <v>#N/A</v>
      </c>
      <c r="F248" s="20" t="e">
        <f t="shared" si="79"/>
        <v>#N/A</v>
      </c>
      <c r="G248" s="21" t="e">
        <f t="shared" si="80"/>
        <v>#N/A</v>
      </c>
      <c r="H248" s="24" t="e">
        <f t="shared" si="91"/>
        <v>#N/A</v>
      </c>
      <c r="I248" s="21" t="e">
        <f t="shared" si="99"/>
        <v>#N/A</v>
      </c>
      <c r="J248" s="63" t="e">
        <f t="shared" si="92"/>
        <v>#N/A</v>
      </c>
      <c r="K248" s="66" t="str">
        <f t="shared" si="98"/>
        <v/>
      </c>
      <c r="L248" s="17"/>
      <c r="M248" s="23" t="e">
        <f t="shared" si="93"/>
        <v>#N/A</v>
      </c>
      <c r="N248" s="23" t="e">
        <f t="shared" si="81"/>
        <v>#N/A</v>
      </c>
      <c r="O248" s="23" t="e">
        <f t="shared" si="82"/>
        <v>#N/A</v>
      </c>
      <c r="P248" s="17"/>
      <c r="Q248" s="19" t="e">
        <f>IF(C248="","",'Tabla_Puntual&amp;Relacionamiento'!$E$20)</f>
        <v>#N/A</v>
      </c>
      <c r="R248" s="19"/>
      <c r="S248" s="11" t="e">
        <f t="shared" si="94"/>
        <v>#N/A</v>
      </c>
      <c r="T248" s="23" t="e">
        <f t="shared" si="83"/>
        <v>#N/A</v>
      </c>
      <c r="U248" s="37" t="e">
        <f t="shared" si="84"/>
        <v>#N/A</v>
      </c>
      <c r="V248" s="37" t="e">
        <f t="shared" si="97"/>
        <v>#N/A</v>
      </c>
      <c r="X248" s="31" t="e">
        <f t="shared" si="85"/>
        <v>#N/A</v>
      </c>
      <c r="Y248" s="34">
        <f t="shared" si="102"/>
        <v>1.4032508440416671</v>
      </c>
      <c r="Z248" s="31" t="e">
        <f t="shared" si="86"/>
        <v>#N/A</v>
      </c>
      <c r="AA248" s="66">
        <f t="shared" si="87"/>
        <v>0</v>
      </c>
      <c r="AB248" s="6" t="e">
        <f t="shared" si="88"/>
        <v>#N/A</v>
      </c>
      <c r="AC248" s="48">
        <f t="shared" si="101"/>
        <v>0</v>
      </c>
    </row>
    <row r="249" spans="3:29" x14ac:dyDescent="0.25">
      <c r="C249" s="27" t="e">
        <f t="shared" si="89"/>
        <v>#N/A</v>
      </c>
      <c r="D249" s="30" t="e">
        <f t="shared" si="90"/>
        <v>#N/A</v>
      </c>
      <c r="E249" s="20" t="e">
        <f t="shared" si="96"/>
        <v>#N/A</v>
      </c>
      <c r="F249" s="20" t="e">
        <f t="shared" si="79"/>
        <v>#N/A</v>
      </c>
      <c r="G249" s="21" t="e">
        <f t="shared" si="80"/>
        <v>#N/A</v>
      </c>
      <c r="H249" s="24" t="e">
        <f t="shared" si="91"/>
        <v>#N/A</v>
      </c>
      <c r="I249" s="21" t="e">
        <f t="shared" si="99"/>
        <v>#N/A</v>
      </c>
      <c r="J249" s="63" t="e">
        <f t="shared" si="92"/>
        <v>#N/A</v>
      </c>
      <c r="K249" s="66" t="str">
        <f t="shared" si="98"/>
        <v/>
      </c>
      <c r="L249" s="17"/>
      <c r="M249" s="23" t="e">
        <f t="shared" si="93"/>
        <v>#N/A</v>
      </c>
      <c r="N249" s="23" t="e">
        <f t="shared" si="81"/>
        <v>#N/A</v>
      </c>
      <c r="O249" s="23" t="e">
        <f t="shared" si="82"/>
        <v>#N/A</v>
      </c>
      <c r="P249" s="17"/>
      <c r="Q249" s="19" t="e">
        <f>IF(C249="","",'Tabla_Puntual&amp;Relacionamiento'!$E$21)</f>
        <v>#N/A</v>
      </c>
      <c r="R249" s="19" t="e">
        <f>IF(C249="","",IF($E$14="Pago_Bajo_Puntual",$M$17,""))</f>
        <v>#N/A</v>
      </c>
      <c r="S249" s="11" t="e">
        <f t="shared" si="94"/>
        <v>#N/A</v>
      </c>
      <c r="T249" s="23" t="e">
        <f t="shared" si="83"/>
        <v>#N/A</v>
      </c>
      <c r="U249" s="37" t="e">
        <f t="shared" si="84"/>
        <v>#N/A</v>
      </c>
      <c r="V249" s="37" t="e">
        <f t="shared" si="97"/>
        <v>#N/A</v>
      </c>
      <c r="X249" s="31" t="e">
        <f t="shared" si="85"/>
        <v>#N/A</v>
      </c>
      <c r="Y249" s="34">
        <f>Y248*1.019</f>
        <v>1.4299126100784587</v>
      </c>
      <c r="Z249" s="31" t="e">
        <f t="shared" si="86"/>
        <v>#N/A</v>
      </c>
      <c r="AA249" s="66">
        <f t="shared" si="87"/>
        <v>0</v>
      </c>
      <c r="AB249" s="6" t="e">
        <f t="shared" si="88"/>
        <v>#N/A</v>
      </c>
      <c r="AC249" s="48">
        <f>AC248+$M$17</f>
        <v>0</v>
      </c>
    </row>
    <row r="250" spans="3:29" x14ac:dyDescent="0.25">
      <c r="C250" s="27" t="e">
        <f t="shared" si="89"/>
        <v>#N/A</v>
      </c>
      <c r="D250" s="30" t="e">
        <f t="shared" si="90"/>
        <v>#N/A</v>
      </c>
      <c r="E250" s="20" t="e">
        <f t="shared" si="96"/>
        <v>#N/A</v>
      </c>
      <c r="F250" s="20" t="e">
        <f t="shared" si="79"/>
        <v>#N/A</v>
      </c>
      <c r="G250" s="21" t="e">
        <f t="shared" si="80"/>
        <v>#N/A</v>
      </c>
      <c r="H250" s="24" t="e">
        <f t="shared" si="91"/>
        <v>#N/A</v>
      </c>
      <c r="I250" s="21" t="e">
        <f t="shared" si="99"/>
        <v>#N/A</v>
      </c>
      <c r="J250" s="63" t="e">
        <f t="shared" si="92"/>
        <v>#N/A</v>
      </c>
      <c r="K250" s="66" t="str">
        <f t="shared" si="98"/>
        <v/>
      </c>
      <c r="L250" s="17"/>
      <c r="M250" s="23" t="e">
        <f t="shared" si="93"/>
        <v>#N/A</v>
      </c>
      <c r="N250" s="23" t="e">
        <f t="shared" si="81"/>
        <v>#N/A</v>
      </c>
      <c r="O250" s="23" t="e">
        <f t="shared" si="82"/>
        <v>#N/A</v>
      </c>
      <c r="P250" s="17"/>
      <c r="Q250" s="19" t="e">
        <f>IF(C250="","",'Tabla_Puntual&amp;Relacionamiento'!$E$21)</f>
        <v>#N/A</v>
      </c>
      <c r="R250" s="19"/>
      <c r="S250" s="11" t="e">
        <f t="shared" si="94"/>
        <v>#N/A</v>
      </c>
      <c r="T250" s="23" t="e">
        <f t="shared" si="83"/>
        <v>#N/A</v>
      </c>
      <c r="U250" s="37" t="e">
        <f t="shared" si="84"/>
        <v>#N/A</v>
      </c>
      <c r="V250" s="37" t="e">
        <f t="shared" si="97"/>
        <v>#N/A</v>
      </c>
      <c r="X250" s="31" t="e">
        <f t="shared" si="85"/>
        <v>#N/A</v>
      </c>
      <c r="Y250" s="34">
        <f t="shared" ref="Y250:Y260" si="103">Y249</f>
        <v>1.4299126100784587</v>
      </c>
      <c r="Z250" s="31" t="e">
        <f t="shared" si="86"/>
        <v>#N/A</v>
      </c>
      <c r="AA250" s="66">
        <f t="shared" si="87"/>
        <v>0</v>
      </c>
      <c r="AB250" s="6" t="e">
        <f t="shared" si="88"/>
        <v>#N/A</v>
      </c>
      <c r="AC250" s="48">
        <f t="shared" si="101"/>
        <v>0</v>
      </c>
    </row>
    <row r="251" spans="3:29" x14ac:dyDescent="0.25">
      <c r="C251" s="27" t="e">
        <f t="shared" si="89"/>
        <v>#N/A</v>
      </c>
      <c r="D251" s="30" t="e">
        <f t="shared" si="90"/>
        <v>#N/A</v>
      </c>
      <c r="E251" s="20" t="e">
        <f t="shared" si="96"/>
        <v>#N/A</v>
      </c>
      <c r="F251" s="20" t="e">
        <f t="shared" si="79"/>
        <v>#N/A</v>
      </c>
      <c r="G251" s="21" t="e">
        <f t="shared" si="80"/>
        <v>#N/A</v>
      </c>
      <c r="H251" s="24" t="e">
        <f t="shared" si="91"/>
        <v>#N/A</v>
      </c>
      <c r="I251" s="21" t="e">
        <f t="shared" si="99"/>
        <v>#N/A</v>
      </c>
      <c r="J251" s="63" t="e">
        <f t="shared" si="92"/>
        <v>#N/A</v>
      </c>
      <c r="K251" s="66" t="str">
        <f t="shared" si="98"/>
        <v/>
      </c>
      <c r="L251" s="17"/>
      <c r="M251" s="23" t="e">
        <f t="shared" si="93"/>
        <v>#N/A</v>
      </c>
      <c r="N251" s="23" t="e">
        <f t="shared" si="81"/>
        <v>#N/A</v>
      </c>
      <c r="O251" s="23" t="e">
        <f t="shared" si="82"/>
        <v>#N/A</v>
      </c>
      <c r="P251" s="17"/>
      <c r="Q251" s="19" t="e">
        <f>IF(C251="","",'Tabla_Puntual&amp;Relacionamiento'!$E$21)</f>
        <v>#N/A</v>
      </c>
      <c r="R251" s="19"/>
      <c r="S251" s="11" t="e">
        <f t="shared" si="94"/>
        <v>#N/A</v>
      </c>
      <c r="T251" s="23" t="e">
        <f t="shared" si="83"/>
        <v>#N/A</v>
      </c>
      <c r="U251" s="37" t="e">
        <f t="shared" si="84"/>
        <v>#N/A</v>
      </c>
      <c r="V251" s="37" t="e">
        <f t="shared" si="97"/>
        <v>#N/A</v>
      </c>
      <c r="X251" s="31" t="e">
        <f t="shared" si="85"/>
        <v>#N/A</v>
      </c>
      <c r="Y251" s="34">
        <f t="shared" si="103"/>
        <v>1.4299126100784587</v>
      </c>
      <c r="Z251" s="31" t="e">
        <f t="shared" si="86"/>
        <v>#N/A</v>
      </c>
      <c r="AA251" s="66">
        <f t="shared" si="87"/>
        <v>0</v>
      </c>
      <c r="AB251" s="6" t="e">
        <f t="shared" si="88"/>
        <v>#N/A</v>
      </c>
      <c r="AC251" s="48">
        <f t="shared" si="101"/>
        <v>0</v>
      </c>
    </row>
    <row r="252" spans="3:29" x14ac:dyDescent="0.25">
      <c r="C252" s="27" t="e">
        <f t="shared" si="89"/>
        <v>#N/A</v>
      </c>
      <c r="D252" s="30" t="e">
        <f t="shared" si="90"/>
        <v>#N/A</v>
      </c>
      <c r="E252" s="20" t="e">
        <f t="shared" si="96"/>
        <v>#N/A</v>
      </c>
      <c r="F252" s="20" t="e">
        <f t="shared" si="79"/>
        <v>#N/A</v>
      </c>
      <c r="G252" s="21" t="e">
        <f t="shared" si="80"/>
        <v>#N/A</v>
      </c>
      <c r="H252" s="24" t="e">
        <f t="shared" si="91"/>
        <v>#N/A</v>
      </c>
      <c r="I252" s="21" t="e">
        <f t="shared" si="99"/>
        <v>#N/A</v>
      </c>
      <c r="J252" s="63" t="e">
        <f t="shared" si="92"/>
        <v>#N/A</v>
      </c>
      <c r="K252" s="66" t="str">
        <f t="shared" si="98"/>
        <v/>
      </c>
      <c r="L252" s="17"/>
      <c r="M252" s="23" t="e">
        <f t="shared" si="93"/>
        <v>#N/A</v>
      </c>
      <c r="N252" s="23" t="e">
        <f t="shared" si="81"/>
        <v>#N/A</v>
      </c>
      <c r="O252" s="23" t="e">
        <f t="shared" si="82"/>
        <v>#N/A</v>
      </c>
      <c r="P252" s="17"/>
      <c r="Q252" s="19" t="e">
        <f>IF(C252="","",'Tabla_Puntual&amp;Relacionamiento'!$E$21)</f>
        <v>#N/A</v>
      </c>
      <c r="R252" s="19"/>
      <c r="S252" s="11" t="e">
        <f t="shared" si="94"/>
        <v>#N/A</v>
      </c>
      <c r="T252" s="23" t="e">
        <f t="shared" si="83"/>
        <v>#N/A</v>
      </c>
      <c r="U252" s="37" t="e">
        <f t="shared" si="84"/>
        <v>#N/A</v>
      </c>
      <c r="V252" s="37" t="e">
        <f t="shared" si="97"/>
        <v>#N/A</v>
      </c>
      <c r="X252" s="31" t="e">
        <f t="shared" si="85"/>
        <v>#N/A</v>
      </c>
      <c r="Y252" s="34">
        <f t="shared" si="103"/>
        <v>1.4299126100784587</v>
      </c>
      <c r="Z252" s="31" t="e">
        <f t="shared" si="86"/>
        <v>#N/A</v>
      </c>
      <c r="AA252" s="66">
        <f t="shared" si="87"/>
        <v>0</v>
      </c>
      <c r="AB252" s="6" t="e">
        <f t="shared" si="88"/>
        <v>#N/A</v>
      </c>
      <c r="AC252" s="48">
        <f t="shared" si="101"/>
        <v>0</v>
      </c>
    </row>
    <row r="253" spans="3:29" x14ac:dyDescent="0.25">
      <c r="C253" s="27" t="e">
        <f t="shared" si="89"/>
        <v>#N/A</v>
      </c>
      <c r="D253" s="30" t="e">
        <f t="shared" si="90"/>
        <v>#N/A</v>
      </c>
      <c r="E253" s="20" t="e">
        <f t="shared" si="96"/>
        <v>#N/A</v>
      </c>
      <c r="F253" s="20" t="e">
        <f t="shared" si="79"/>
        <v>#N/A</v>
      </c>
      <c r="G253" s="21" t="e">
        <f t="shared" si="80"/>
        <v>#N/A</v>
      </c>
      <c r="H253" s="24" t="e">
        <f t="shared" si="91"/>
        <v>#N/A</v>
      </c>
      <c r="I253" s="21" t="e">
        <f t="shared" si="99"/>
        <v>#N/A</v>
      </c>
      <c r="J253" s="63" t="e">
        <f t="shared" si="92"/>
        <v>#N/A</v>
      </c>
      <c r="K253" s="66" t="str">
        <f t="shared" si="98"/>
        <v/>
      </c>
      <c r="L253" s="17"/>
      <c r="M253" s="23" t="e">
        <f t="shared" si="93"/>
        <v>#N/A</v>
      </c>
      <c r="N253" s="23" t="e">
        <f t="shared" si="81"/>
        <v>#N/A</v>
      </c>
      <c r="O253" s="23" t="e">
        <f t="shared" si="82"/>
        <v>#N/A</v>
      </c>
      <c r="P253" s="17"/>
      <c r="Q253" s="19" t="e">
        <f>IF(C253="","",'Tabla_Puntual&amp;Relacionamiento'!$E$21)</f>
        <v>#N/A</v>
      </c>
      <c r="R253" s="19"/>
      <c r="S253" s="11" t="e">
        <f t="shared" si="94"/>
        <v>#N/A</v>
      </c>
      <c r="T253" s="23" t="e">
        <f t="shared" si="83"/>
        <v>#N/A</v>
      </c>
      <c r="U253" s="37" t="e">
        <f t="shared" si="84"/>
        <v>#N/A</v>
      </c>
      <c r="V253" s="37" t="e">
        <f t="shared" si="97"/>
        <v>#N/A</v>
      </c>
      <c r="X253" s="31" t="e">
        <f t="shared" si="85"/>
        <v>#N/A</v>
      </c>
      <c r="Y253" s="34">
        <f t="shared" si="103"/>
        <v>1.4299126100784587</v>
      </c>
      <c r="Z253" s="31" t="e">
        <f t="shared" si="86"/>
        <v>#N/A</v>
      </c>
      <c r="AA253" s="66">
        <f t="shared" si="87"/>
        <v>0</v>
      </c>
      <c r="AB253" s="6" t="e">
        <f t="shared" si="88"/>
        <v>#N/A</v>
      </c>
      <c r="AC253" s="48">
        <f t="shared" si="101"/>
        <v>0</v>
      </c>
    </row>
    <row r="254" spans="3:29" x14ac:dyDescent="0.25">
      <c r="C254" s="27" t="e">
        <f t="shared" si="89"/>
        <v>#N/A</v>
      </c>
      <c r="D254" s="30" t="e">
        <f t="shared" si="90"/>
        <v>#N/A</v>
      </c>
      <c r="E254" s="20" t="e">
        <f t="shared" si="96"/>
        <v>#N/A</v>
      </c>
      <c r="F254" s="20" t="e">
        <f t="shared" si="79"/>
        <v>#N/A</v>
      </c>
      <c r="G254" s="21" t="e">
        <f t="shared" si="80"/>
        <v>#N/A</v>
      </c>
      <c r="H254" s="24" t="e">
        <f t="shared" si="91"/>
        <v>#N/A</v>
      </c>
      <c r="I254" s="21" t="e">
        <f t="shared" si="99"/>
        <v>#N/A</v>
      </c>
      <c r="J254" s="63" t="e">
        <f t="shared" si="92"/>
        <v>#N/A</v>
      </c>
      <c r="K254" s="66" t="str">
        <f t="shared" si="98"/>
        <v/>
      </c>
      <c r="L254" s="17"/>
      <c r="M254" s="23" t="e">
        <f t="shared" si="93"/>
        <v>#N/A</v>
      </c>
      <c r="N254" s="23" t="e">
        <f t="shared" si="81"/>
        <v>#N/A</v>
      </c>
      <c r="O254" s="23" t="e">
        <f t="shared" si="82"/>
        <v>#N/A</v>
      </c>
      <c r="P254" s="17"/>
      <c r="Q254" s="19" t="e">
        <f>IF(C254="","",'Tabla_Puntual&amp;Relacionamiento'!$E$21)</f>
        <v>#N/A</v>
      </c>
      <c r="R254" s="19"/>
      <c r="S254" s="11" t="e">
        <f t="shared" si="94"/>
        <v>#N/A</v>
      </c>
      <c r="T254" s="23" t="e">
        <f t="shared" si="83"/>
        <v>#N/A</v>
      </c>
      <c r="U254" s="37" t="e">
        <f t="shared" si="84"/>
        <v>#N/A</v>
      </c>
      <c r="V254" s="37" t="e">
        <f t="shared" si="97"/>
        <v>#N/A</v>
      </c>
      <c r="X254" s="31" t="e">
        <f t="shared" si="85"/>
        <v>#N/A</v>
      </c>
      <c r="Y254" s="34">
        <f t="shared" si="103"/>
        <v>1.4299126100784587</v>
      </c>
      <c r="Z254" s="31" t="e">
        <f t="shared" si="86"/>
        <v>#N/A</v>
      </c>
      <c r="AA254" s="66">
        <f t="shared" si="87"/>
        <v>0</v>
      </c>
      <c r="AB254" s="6" t="e">
        <f t="shared" si="88"/>
        <v>#N/A</v>
      </c>
      <c r="AC254" s="48">
        <f t="shared" si="101"/>
        <v>0</v>
      </c>
    </row>
    <row r="255" spans="3:29" x14ac:dyDescent="0.25">
      <c r="C255" s="27" t="e">
        <f t="shared" si="89"/>
        <v>#N/A</v>
      </c>
      <c r="D255" s="30" t="e">
        <f t="shared" si="90"/>
        <v>#N/A</v>
      </c>
      <c r="E255" s="20" t="e">
        <f t="shared" si="96"/>
        <v>#N/A</v>
      </c>
      <c r="F255" s="20" t="e">
        <f t="shared" si="79"/>
        <v>#N/A</v>
      </c>
      <c r="G255" s="21" t="e">
        <f t="shared" si="80"/>
        <v>#N/A</v>
      </c>
      <c r="H255" s="24" t="e">
        <f t="shared" si="91"/>
        <v>#N/A</v>
      </c>
      <c r="I255" s="21" t="e">
        <f t="shared" si="99"/>
        <v>#N/A</v>
      </c>
      <c r="J255" s="63" t="e">
        <f t="shared" si="92"/>
        <v>#N/A</v>
      </c>
      <c r="K255" s="66" t="str">
        <f t="shared" si="98"/>
        <v/>
      </c>
      <c r="L255" s="17"/>
      <c r="M255" s="23" t="e">
        <f t="shared" si="93"/>
        <v>#N/A</v>
      </c>
      <c r="N255" s="23" t="e">
        <f t="shared" si="81"/>
        <v>#N/A</v>
      </c>
      <c r="O255" s="23" t="e">
        <f t="shared" si="82"/>
        <v>#N/A</v>
      </c>
      <c r="P255" s="17"/>
      <c r="Q255" s="19" t="e">
        <f>IF(C255="","",'Tabla_Puntual&amp;Relacionamiento'!$E$21)</f>
        <v>#N/A</v>
      </c>
      <c r="R255" s="19"/>
      <c r="S255" s="11" t="e">
        <f t="shared" si="94"/>
        <v>#N/A</v>
      </c>
      <c r="T255" s="23" t="e">
        <f t="shared" si="83"/>
        <v>#N/A</v>
      </c>
      <c r="U255" s="37" t="e">
        <f t="shared" si="84"/>
        <v>#N/A</v>
      </c>
      <c r="V255" s="37" t="e">
        <f t="shared" si="97"/>
        <v>#N/A</v>
      </c>
      <c r="X255" s="31" t="e">
        <f t="shared" si="85"/>
        <v>#N/A</v>
      </c>
      <c r="Y255" s="34">
        <f t="shared" si="103"/>
        <v>1.4299126100784587</v>
      </c>
      <c r="Z255" s="31" t="e">
        <f t="shared" si="86"/>
        <v>#N/A</v>
      </c>
      <c r="AA255" s="66">
        <f t="shared" si="87"/>
        <v>0</v>
      </c>
      <c r="AB255" s="6" t="e">
        <f t="shared" si="88"/>
        <v>#N/A</v>
      </c>
      <c r="AC255" s="48">
        <f t="shared" si="101"/>
        <v>0</v>
      </c>
    </row>
    <row r="256" spans="3:29" x14ac:dyDescent="0.25">
      <c r="C256" s="27" t="e">
        <f t="shared" si="89"/>
        <v>#N/A</v>
      </c>
      <c r="D256" s="30" t="e">
        <f t="shared" si="90"/>
        <v>#N/A</v>
      </c>
      <c r="E256" s="20" t="e">
        <f t="shared" si="96"/>
        <v>#N/A</v>
      </c>
      <c r="F256" s="20" t="e">
        <f t="shared" si="79"/>
        <v>#N/A</v>
      </c>
      <c r="G256" s="21" t="e">
        <f t="shared" si="80"/>
        <v>#N/A</v>
      </c>
      <c r="H256" s="24" t="e">
        <f t="shared" si="91"/>
        <v>#N/A</v>
      </c>
      <c r="I256" s="21" t="e">
        <f t="shared" si="99"/>
        <v>#N/A</v>
      </c>
      <c r="J256" s="63" t="e">
        <f t="shared" si="92"/>
        <v>#N/A</v>
      </c>
      <c r="K256" s="66" t="str">
        <f t="shared" si="98"/>
        <v/>
      </c>
      <c r="L256" s="17"/>
      <c r="M256" s="23" t="e">
        <f t="shared" si="93"/>
        <v>#N/A</v>
      </c>
      <c r="N256" s="23" t="e">
        <f t="shared" si="81"/>
        <v>#N/A</v>
      </c>
      <c r="O256" s="23" t="e">
        <f t="shared" si="82"/>
        <v>#N/A</v>
      </c>
      <c r="P256" s="17"/>
      <c r="Q256" s="19" t="e">
        <f>IF(C256="","",'Tabla_Puntual&amp;Relacionamiento'!$E$21)</f>
        <v>#N/A</v>
      </c>
      <c r="R256" s="19"/>
      <c r="S256" s="11" t="e">
        <f t="shared" si="94"/>
        <v>#N/A</v>
      </c>
      <c r="T256" s="23" t="e">
        <f t="shared" si="83"/>
        <v>#N/A</v>
      </c>
      <c r="U256" s="37" t="e">
        <f t="shared" si="84"/>
        <v>#N/A</v>
      </c>
      <c r="V256" s="37" t="e">
        <f t="shared" si="97"/>
        <v>#N/A</v>
      </c>
      <c r="X256" s="31" t="e">
        <f t="shared" si="85"/>
        <v>#N/A</v>
      </c>
      <c r="Y256" s="34">
        <f t="shared" si="103"/>
        <v>1.4299126100784587</v>
      </c>
      <c r="Z256" s="31" t="e">
        <f t="shared" si="86"/>
        <v>#N/A</v>
      </c>
      <c r="AA256" s="66">
        <f t="shared" si="87"/>
        <v>0</v>
      </c>
      <c r="AB256" s="6" t="e">
        <f t="shared" si="88"/>
        <v>#N/A</v>
      </c>
      <c r="AC256" s="48">
        <f t="shared" si="101"/>
        <v>0</v>
      </c>
    </row>
    <row r="257" spans="3:29" x14ac:dyDescent="0.25">
      <c r="C257" s="27" t="e">
        <f t="shared" si="89"/>
        <v>#N/A</v>
      </c>
      <c r="D257" s="30" t="e">
        <f t="shared" si="90"/>
        <v>#N/A</v>
      </c>
      <c r="E257" s="20" t="e">
        <f t="shared" si="96"/>
        <v>#N/A</v>
      </c>
      <c r="F257" s="20" t="e">
        <f t="shared" si="79"/>
        <v>#N/A</v>
      </c>
      <c r="G257" s="21" t="e">
        <f t="shared" si="80"/>
        <v>#N/A</v>
      </c>
      <c r="H257" s="24" t="e">
        <f t="shared" si="91"/>
        <v>#N/A</v>
      </c>
      <c r="I257" s="21" t="e">
        <f t="shared" si="99"/>
        <v>#N/A</v>
      </c>
      <c r="J257" s="63" t="e">
        <f t="shared" si="92"/>
        <v>#N/A</v>
      </c>
      <c r="K257" s="66" t="str">
        <f t="shared" si="98"/>
        <v/>
      </c>
      <c r="L257" s="17"/>
      <c r="M257" s="23" t="e">
        <f t="shared" si="93"/>
        <v>#N/A</v>
      </c>
      <c r="N257" s="23" t="e">
        <f t="shared" si="81"/>
        <v>#N/A</v>
      </c>
      <c r="O257" s="23" t="e">
        <f t="shared" si="82"/>
        <v>#N/A</v>
      </c>
      <c r="P257" s="17"/>
      <c r="Q257" s="19" t="e">
        <f>IF(C257="","",'Tabla_Puntual&amp;Relacionamiento'!$E$21)</f>
        <v>#N/A</v>
      </c>
      <c r="R257" s="19"/>
      <c r="S257" s="11" t="e">
        <f t="shared" si="94"/>
        <v>#N/A</v>
      </c>
      <c r="T257" s="23" t="e">
        <f t="shared" si="83"/>
        <v>#N/A</v>
      </c>
      <c r="U257" s="37" t="e">
        <f t="shared" si="84"/>
        <v>#N/A</v>
      </c>
      <c r="V257" s="37" t="e">
        <f t="shared" si="97"/>
        <v>#N/A</v>
      </c>
      <c r="X257" s="31" t="e">
        <f t="shared" si="85"/>
        <v>#N/A</v>
      </c>
      <c r="Y257" s="34">
        <f t="shared" si="103"/>
        <v>1.4299126100784587</v>
      </c>
      <c r="Z257" s="31" t="e">
        <f t="shared" si="86"/>
        <v>#N/A</v>
      </c>
      <c r="AA257" s="66">
        <f t="shared" si="87"/>
        <v>0</v>
      </c>
      <c r="AB257" s="6" t="e">
        <f t="shared" si="88"/>
        <v>#N/A</v>
      </c>
      <c r="AC257" s="48">
        <f t="shared" si="101"/>
        <v>0</v>
      </c>
    </row>
    <row r="258" spans="3:29" x14ac:dyDescent="0.25">
      <c r="C258" s="27" t="e">
        <f t="shared" si="89"/>
        <v>#N/A</v>
      </c>
      <c r="D258" s="30" t="e">
        <f t="shared" si="90"/>
        <v>#N/A</v>
      </c>
      <c r="E258" s="20" t="e">
        <f t="shared" si="96"/>
        <v>#N/A</v>
      </c>
      <c r="F258" s="20" t="e">
        <f t="shared" si="79"/>
        <v>#N/A</v>
      </c>
      <c r="G258" s="21" t="e">
        <f t="shared" si="80"/>
        <v>#N/A</v>
      </c>
      <c r="H258" s="24" t="e">
        <f t="shared" si="91"/>
        <v>#N/A</v>
      </c>
      <c r="I258" s="21" t="e">
        <f t="shared" si="99"/>
        <v>#N/A</v>
      </c>
      <c r="J258" s="63" t="e">
        <f t="shared" si="92"/>
        <v>#N/A</v>
      </c>
      <c r="K258" s="66" t="str">
        <f t="shared" si="98"/>
        <v/>
      </c>
      <c r="L258" s="17"/>
      <c r="M258" s="23" t="e">
        <f t="shared" si="93"/>
        <v>#N/A</v>
      </c>
      <c r="N258" s="23" t="e">
        <f t="shared" si="81"/>
        <v>#N/A</v>
      </c>
      <c r="O258" s="23" t="e">
        <f t="shared" si="82"/>
        <v>#N/A</v>
      </c>
      <c r="P258" s="17"/>
      <c r="Q258" s="19" t="e">
        <f>IF(C258="","",'Tabla_Puntual&amp;Relacionamiento'!$E$21)</f>
        <v>#N/A</v>
      </c>
      <c r="R258" s="19"/>
      <c r="S258" s="11" t="e">
        <f t="shared" si="94"/>
        <v>#N/A</v>
      </c>
      <c r="T258" s="23" t="e">
        <f t="shared" si="83"/>
        <v>#N/A</v>
      </c>
      <c r="U258" s="37" t="e">
        <f t="shared" si="84"/>
        <v>#N/A</v>
      </c>
      <c r="V258" s="37" t="e">
        <f t="shared" si="97"/>
        <v>#N/A</v>
      </c>
      <c r="X258" s="31" t="e">
        <f t="shared" si="85"/>
        <v>#N/A</v>
      </c>
      <c r="Y258" s="34">
        <f t="shared" si="103"/>
        <v>1.4299126100784587</v>
      </c>
      <c r="Z258" s="31" t="e">
        <f t="shared" si="86"/>
        <v>#N/A</v>
      </c>
      <c r="AA258" s="66">
        <f t="shared" si="87"/>
        <v>0</v>
      </c>
      <c r="AB258" s="6" t="e">
        <f t="shared" si="88"/>
        <v>#N/A</v>
      </c>
      <c r="AC258" s="48">
        <f t="shared" si="101"/>
        <v>0</v>
      </c>
    </row>
    <row r="259" spans="3:29" x14ac:dyDescent="0.25">
      <c r="C259" s="27" t="e">
        <f t="shared" si="89"/>
        <v>#N/A</v>
      </c>
      <c r="D259" s="30" t="e">
        <f t="shared" si="90"/>
        <v>#N/A</v>
      </c>
      <c r="E259" s="20" t="e">
        <f t="shared" si="96"/>
        <v>#N/A</v>
      </c>
      <c r="F259" s="20" t="e">
        <f t="shared" si="79"/>
        <v>#N/A</v>
      </c>
      <c r="G259" s="21" t="e">
        <f t="shared" si="80"/>
        <v>#N/A</v>
      </c>
      <c r="H259" s="24" t="e">
        <f t="shared" si="91"/>
        <v>#N/A</v>
      </c>
      <c r="I259" s="21" t="e">
        <f t="shared" si="99"/>
        <v>#N/A</v>
      </c>
      <c r="J259" s="63" t="e">
        <f t="shared" si="92"/>
        <v>#N/A</v>
      </c>
      <c r="K259" s="66" t="str">
        <f t="shared" si="98"/>
        <v/>
      </c>
      <c r="L259" s="17"/>
      <c r="M259" s="23" t="e">
        <f t="shared" si="93"/>
        <v>#N/A</v>
      </c>
      <c r="N259" s="23" t="e">
        <f t="shared" si="81"/>
        <v>#N/A</v>
      </c>
      <c r="O259" s="23" t="e">
        <f t="shared" si="82"/>
        <v>#N/A</v>
      </c>
      <c r="P259" s="17"/>
      <c r="Q259" s="19" t="e">
        <f>IF(C259="","",'Tabla_Puntual&amp;Relacionamiento'!$E$21)</f>
        <v>#N/A</v>
      </c>
      <c r="R259" s="19"/>
      <c r="S259" s="11" t="e">
        <f t="shared" si="94"/>
        <v>#N/A</v>
      </c>
      <c r="T259" s="23" t="e">
        <f t="shared" si="83"/>
        <v>#N/A</v>
      </c>
      <c r="U259" s="37" t="e">
        <f t="shared" si="84"/>
        <v>#N/A</v>
      </c>
      <c r="V259" s="37" t="e">
        <f t="shared" si="97"/>
        <v>#N/A</v>
      </c>
      <c r="X259" s="31" t="e">
        <f t="shared" si="85"/>
        <v>#N/A</v>
      </c>
      <c r="Y259" s="34">
        <f t="shared" si="103"/>
        <v>1.4299126100784587</v>
      </c>
      <c r="Z259" s="31" t="e">
        <f t="shared" si="86"/>
        <v>#N/A</v>
      </c>
      <c r="AA259" s="66">
        <f t="shared" si="87"/>
        <v>0</v>
      </c>
      <c r="AB259" s="6" t="e">
        <f t="shared" si="88"/>
        <v>#N/A</v>
      </c>
      <c r="AC259" s="48">
        <f t="shared" si="101"/>
        <v>0</v>
      </c>
    </row>
    <row r="260" spans="3:29" x14ac:dyDescent="0.25">
      <c r="C260" s="27" t="e">
        <f t="shared" si="89"/>
        <v>#N/A</v>
      </c>
      <c r="D260" s="30" t="e">
        <f t="shared" si="90"/>
        <v>#N/A</v>
      </c>
      <c r="E260" s="20" t="e">
        <f t="shared" si="96"/>
        <v>#N/A</v>
      </c>
      <c r="F260" s="20" t="e">
        <f t="shared" si="79"/>
        <v>#N/A</v>
      </c>
      <c r="G260" s="20" t="e">
        <f t="shared" si="80"/>
        <v>#N/A</v>
      </c>
      <c r="H260" s="24" t="e">
        <f t="shared" si="91"/>
        <v>#N/A</v>
      </c>
      <c r="I260" s="21" t="e">
        <f t="shared" si="99"/>
        <v>#N/A</v>
      </c>
      <c r="J260" s="63" t="e">
        <f t="shared" si="92"/>
        <v>#N/A</v>
      </c>
      <c r="K260" s="66" t="str">
        <f t="shared" si="98"/>
        <v/>
      </c>
      <c r="L260" s="17"/>
      <c r="M260" s="23" t="e">
        <f t="shared" si="93"/>
        <v>#N/A</v>
      </c>
      <c r="N260" s="23" t="e">
        <f t="shared" si="81"/>
        <v>#N/A</v>
      </c>
      <c r="O260" s="23" t="e">
        <f t="shared" si="82"/>
        <v>#N/A</v>
      </c>
      <c r="P260" s="17"/>
      <c r="Q260" s="19" t="e">
        <f>IF(C260="","",'Tabla_Puntual&amp;Relacionamiento'!$E$21)</f>
        <v>#N/A</v>
      </c>
      <c r="R260" s="19"/>
      <c r="S260" s="11" t="e">
        <f t="shared" si="94"/>
        <v>#N/A</v>
      </c>
      <c r="T260" s="23" t="e">
        <f t="shared" si="83"/>
        <v>#N/A</v>
      </c>
      <c r="U260" s="37" t="e">
        <f t="shared" si="84"/>
        <v>#N/A</v>
      </c>
      <c r="V260" s="37" t="e">
        <f t="shared" si="97"/>
        <v>#N/A</v>
      </c>
      <c r="X260" s="31" t="e">
        <f t="shared" si="85"/>
        <v>#N/A</v>
      </c>
      <c r="Y260" s="34">
        <f t="shared" si="103"/>
        <v>1.4299126100784587</v>
      </c>
      <c r="Z260" s="31" t="e">
        <f t="shared" si="86"/>
        <v>#N/A</v>
      </c>
      <c r="AA260" s="66">
        <f t="shared" si="87"/>
        <v>0</v>
      </c>
      <c r="AB260" s="6" t="e">
        <f t="shared" si="88"/>
        <v>#N/A</v>
      </c>
      <c r="AC260" s="48">
        <f t="shared" si="101"/>
        <v>0</v>
      </c>
    </row>
    <row r="261" spans="3:29" x14ac:dyDescent="0.25">
      <c r="C261" s="27" t="e">
        <f t="shared" si="89"/>
        <v>#N/A</v>
      </c>
      <c r="D261" s="30" t="e">
        <f t="shared" si="90"/>
        <v>#N/A</v>
      </c>
      <c r="E261" s="20" t="e">
        <f t="shared" si="96"/>
        <v>#N/A</v>
      </c>
      <c r="F261" s="20" t="e">
        <f t="shared" si="79"/>
        <v>#N/A</v>
      </c>
      <c r="G261" s="21" t="e">
        <f t="shared" si="80"/>
        <v>#N/A</v>
      </c>
      <c r="H261" s="24" t="e">
        <f t="shared" si="91"/>
        <v>#N/A</v>
      </c>
      <c r="I261" s="21" t="e">
        <f t="shared" si="99"/>
        <v>#N/A</v>
      </c>
      <c r="J261" s="63" t="e">
        <f t="shared" si="92"/>
        <v>#N/A</v>
      </c>
      <c r="K261" s="66" t="str">
        <f t="shared" si="98"/>
        <v/>
      </c>
      <c r="L261" s="17"/>
      <c r="M261" s="23" t="e">
        <f t="shared" si="93"/>
        <v>#N/A</v>
      </c>
      <c r="N261" s="23" t="e">
        <f t="shared" si="81"/>
        <v>#N/A</v>
      </c>
      <c r="O261" s="23" t="e">
        <f t="shared" si="82"/>
        <v>#N/A</v>
      </c>
      <c r="P261" s="17"/>
      <c r="Q261" s="19" t="e">
        <f>IF(C261="","",'Tabla_Puntual&amp;Relacionamiento'!$E$22)</f>
        <v>#N/A</v>
      </c>
      <c r="R261" s="19" t="e">
        <f>IF(C261="","",IF($E$14="Pago_Bajo_Puntual",$M$17,""))</f>
        <v>#N/A</v>
      </c>
      <c r="S261" s="11" t="e">
        <f t="shared" si="94"/>
        <v>#N/A</v>
      </c>
      <c r="T261" s="23" t="e">
        <f t="shared" si="83"/>
        <v>#N/A</v>
      </c>
      <c r="U261" s="37" t="e">
        <f t="shared" si="84"/>
        <v>#N/A</v>
      </c>
      <c r="V261" s="37" t="e">
        <f t="shared" si="97"/>
        <v>#N/A</v>
      </c>
      <c r="X261" s="31" t="e">
        <f t="shared" si="85"/>
        <v>#N/A</v>
      </c>
      <c r="Y261" s="34">
        <f>Y260*1.019</f>
        <v>1.4570809496699493</v>
      </c>
      <c r="Z261" s="31" t="e">
        <f t="shared" si="86"/>
        <v>#N/A</v>
      </c>
      <c r="AA261" s="66">
        <f t="shared" si="87"/>
        <v>0</v>
      </c>
      <c r="AB261" s="6" t="e">
        <f t="shared" si="88"/>
        <v>#N/A</v>
      </c>
      <c r="AC261" s="48">
        <f t="shared" si="101"/>
        <v>0</v>
      </c>
    </row>
    <row r="262" spans="3:29" x14ac:dyDescent="0.25">
      <c r="C262" s="27" t="e">
        <f t="shared" si="89"/>
        <v>#N/A</v>
      </c>
      <c r="D262" s="30" t="e">
        <f t="shared" si="90"/>
        <v>#N/A</v>
      </c>
      <c r="E262" s="20" t="e">
        <f t="shared" si="96"/>
        <v>#N/A</v>
      </c>
      <c r="F262" s="20" t="e">
        <f t="shared" si="79"/>
        <v>#N/A</v>
      </c>
      <c r="G262" s="21" t="e">
        <f t="shared" si="80"/>
        <v>#N/A</v>
      </c>
      <c r="H262" s="24" t="e">
        <f t="shared" si="91"/>
        <v>#N/A</v>
      </c>
      <c r="I262" s="21" t="e">
        <f t="shared" si="99"/>
        <v>#N/A</v>
      </c>
      <c r="J262" s="63" t="e">
        <f t="shared" si="92"/>
        <v>#N/A</v>
      </c>
      <c r="K262" s="66" t="str">
        <f t="shared" si="98"/>
        <v/>
      </c>
      <c r="L262" s="17"/>
      <c r="M262" s="23" t="e">
        <f t="shared" si="93"/>
        <v>#N/A</v>
      </c>
      <c r="N262" s="23" t="e">
        <f t="shared" si="81"/>
        <v>#N/A</v>
      </c>
      <c r="O262" s="23" t="e">
        <f t="shared" si="82"/>
        <v>#N/A</v>
      </c>
      <c r="P262" s="17"/>
      <c r="Q262" s="19" t="e">
        <f>IF(C262="","",'Tabla_Puntual&amp;Relacionamiento'!$E$22)</f>
        <v>#N/A</v>
      </c>
      <c r="R262" s="19"/>
      <c r="S262" s="11" t="e">
        <f t="shared" si="94"/>
        <v>#N/A</v>
      </c>
      <c r="T262" s="23" t="e">
        <f t="shared" si="83"/>
        <v>#N/A</v>
      </c>
      <c r="U262" s="37" t="e">
        <f t="shared" si="84"/>
        <v>#N/A</v>
      </c>
      <c r="V262" s="37" t="e">
        <f t="shared" si="97"/>
        <v>#N/A</v>
      </c>
      <c r="X262" s="31" t="e">
        <f t="shared" si="85"/>
        <v>#N/A</v>
      </c>
      <c r="Y262" s="34">
        <f t="shared" ref="Y262:Y272" si="104">Y261</f>
        <v>1.4570809496699493</v>
      </c>
      <c r="Z262" s="31" t="e">
        <f t="shared" si="86"/>
        <v>#N/A</v>
      </c>
      <c r="AA262" s="66">
        <f t="shared" si="87"/>
        <v>0</v>
      </c>
      <c r="AB262" s="6" t="e">
        <f t="shared" si="88"/>
        <v>#N/A</v>
      </c>
      <c r="AC262" s="48">
        <f t="shared" si="101"/>
        <v>0</v>
      </c>
    </row>
    <row r="263" spans="3:29" x14ac:dyDescent="0.25">
      <c r="C263" s="27" t="e">
        <f t="shared" si="89"/>
        <v>#N/A</v>
      </c>
      <c r="D263" s="30" t="e">
        <f t="shared" si="90"/>
        <v>#N/A</v>
      </c>
      <c r="E263" s="20" t="e">
        <f t="shared" si="96"/>
        <v>#N/A</v>
      </c>
      <c r="F263" s="20" t="e">
        <f t="shared" si="79"/>
        <v>#N/A</v>
      </c>
      <c r="G263" s="21" t="e">
        <f t="shared" si="80"/>
        <v>#N/A</v>
      </c>
      <c r="H263" s="24" t="e">
        <f t="shared" si="91"/>
        <v>#N/A</v>
      </c>
      <c r="I263" s="21" t="e">
        <f t="shared" si="99"/>
        <v>#N/A</v>
      </c>
      <c r="J263" s="63" t="e">
        <f t="shared" si="92"/>
        <v>#N/A</v>
      </c>
      <c r="K263" s="66" t="str">
        <f t="shared" si="98"/>
        <v/>
      </c>
      <c r="L263" s="17"/>
      <c r="M263" s="23" t="e">
        <f t="shared" si="93"/>
        <v>#N/A</v>
      </c>
      <c r="N263" s="23" t="e">
        <f t="shared" si="81"/>
        <v>#N/A</v>
      </c>
      <c r="O263" s="23" t="e">
        <f t="shared" si="82"/>
        <v>#N/A</v>
      </c>
      <c r="P263" s="17"/>
      <c r="Q263" s="19" t="e">
        <f>IF(C263="","",'Tabla_Puntual&amp;Relacionamiento'!$E$22)</f>
        <v>#N/A</v>
      </c>
      <c r="R263" s="19"/>
      <c r="S263" s="11" t="e">
        <f t="shared" si="94"/>
        <v>#N/A</v>
      </c>
      <c r="T263" s="23" t="e">
        <f t="shared" si="83"/>
        <v>#N/A</v>
      </c>
      <c r="U263" s="37" t="e">
        <f t="shared" si="84"/>
        <v>#N/A</v>
      </c>
      <c r="V263" s="37" t="e">
        <f t="shared" si="97"/>
        <v>#N/A</v>
      </c>
      <c r="X263" s="31" t="e">
        <f t="shared" si="85"/>
        <v>#N/A</v>
      </c>
      <c r="Y263" s="34">
        <f t="shared" si="104"/>
        <v>1.4570809496699493</v>
      </c>
      <c r="Z263" s="31" t="e">
        <f t="shared" si="86"/>
        <v>#N/A</v>
      </c>
      <c r="AA263" s="66">
        <f t="shared" si="87"/>
        <v>0</v>
      </c>
      <c r="AB263" s="6" t="e">
        <f t="shared" si="88"/>
        <v>#N/A</v>
      </c>
      <c r="AC263" s="48">
        <f t="shared" si="101"/>
        <v>0</v>
      </c>
    </row>
    <row r="264" spans="3:29" x14ac:dyDescent="0.25">
      <c r="C264" s="27" t="e">
        <f t="shared" si="89"/>
        <v>#N/A</v>
      </c>
      <c r="D264" s="30" t="e">
        <f t="shared" si="90"/>
        <v>#N/A</v>
      </c>
      <c r="E264" s="20" t="e">
        <f t="shared" si="96"/>
        <v>#N/A</v>
      </c>
      <c r="F264" s="20" t="e">
        <f t="shared" si="79"/>
        <v>#N/A</v>
      </c>
      <c r="G264" s="21" t="e">
        <f t="shared" si="80"/>
        <v>#N/A</v>
      </c>
      <c r="H264" s="24" t="e">
        <f t="shared" si="91"/>
        <v>#N/A</v>
      </c>
      <c r="I264" s="21" t="e">
        <f t="shared" si="99"/>
        <v>#N/A</v>
      </c>
      <c r="J264" s="63" t="e">
        <f t="shared" si="92"/>
        <v>#N/A</v>
      </c>
      <c r="K264" s="66" t="str">
        <f t="shared" si="98"/>
        <v/>
      </c>
      <c r="L264" s="17"/>
      <c r="M264" s="23" t="e">
        <f t="shared" si="93"/>
        <v>#N/A</v>
      </c>
      <c r="N264" s="23" t="e">
        <f t="shared" si="81"/>
        <v>#N/A</v>
      </c>
      <c r="O264" s="23" t="e">
        <f t="shared" si="82"/>
        <v>#N/A</v>
      </c>
      <c r="P264" s="17"/>
      <c r="Q264" s="19" t="e">
        <f>IF(C264="","",'Tabla_Puntual&amp;Relacionamiento'!$E$22)</f>
        <v>#N/A</v>
      </c>
      <c r="R264" s="19"/>
      <c r="S264" s="11" t="e">
        <f t="shared" si="94"/>
        <v>#N/A</v>
      </c>
      <c r="T264" s="23" t="e">
        <f t="shared" si="83"/>
        <v>#N/A</v>
      </c>
      <c r="U264" s="37" t="e">
        <f t="shared" si="84"/>
        <v>#N/A</v>
      </c>
      <c r="V264" s="37" t="e">
        <f t="shared" si="97"/>
        <v>#N/A</v>
      </c>
      <c r="X264" s="31" t="e">
        <f t="shared" si="85"/>
        <v>#N/A</v>
      </c>
      <c r="Y264" s="34">
        <f t="shared" si="104"/>
        <v>1.4570809496699493</v>
      </c>
      <c r="Z264" s="31" t="e">
        <f t="shared" si="86"/>
        <v>#N/A</v>
      </c>
      <c r="AA264" s="66">
        <f t="shared" si="87"/>
        <v>0</v>
      </c>
      <c r="AB264" s="6" t="e">
        <f t="shared" si="88"/>
        <v>#N/A</v>
      </c>
      <c r="AC264" s="48">
        <f t="shared" si="101"/>
        <v>0</v>
      </c>
    </row>
    <row r="265" spans="3:29" x14ac:dyDescent="0.25">
      <c r="C265" s="27" t="e">
        <f t="shared" si="89"/>
        <v>#N/A</v>
      </c>
      <c r="D265" s="30" t="e">
        <f t="shared" si="90"/>
        <v>#N/A</v>
      </c>
      <c r="E265" s="20" t="e">
        <f t="shared" si="96"/>
        <v>#N/A</v>
      </c>
      <c r="F265" s="20" t="e">
        <f t="shared" si="79"/>
        <v>#N/A</v>
      </c>
      <c r="G265" s="21" t="e">
        <f t="shared" si="80"/>
        <v>#N/A</v>
      </c>
      <c r="H265" s="24" t="e">
        <f t="shared" si="91"/>
        <v>#N/A</v>
      </c>
      <c r="I265" s="21" t="e">
        <f t="shared" si="99"/>
        <v>#N/A</v>
      </c>
      <c r="J265" s="63" t="e">
        <f t="shared" si="92"/>
        <v>#N/A</v>
      </c>
      <c r="K265" s="66" t="str">
        <f t="shared" si="98"/>
        <v/>
      </c>
      <c r="L265" s="17"/>
      <c r="M265" s="23" t="e">
        <f t="shared" si="93"/>
        <v>#N/A</v>
      </c>
      <c r="N265" s="23" t="e">
        <f t="shared" si="81"/>
        <v>#N/A</v>
      </c>
      <c r="O265" s="23" t="e">
        <f t="shared" si="82"/>
        <v>#N/A</v>
      </c>
      <c r="P265" s="17"/>
      <c r="Q265" s="19" t="e">
        <f>IF(C265="","",'Tabla_Puntual&amp;Relacionamiento'!$E$22)</f>
        <v>#N/A</v>
      </c>
      <c r="R265" s="19"/>
      <c r="S265" s="11" t="e">
        <f t="shared" si="94"/>
        <v>#N/A</v>
      </c>
      <c r="T265" s="23" t="e">
        <f t="shared" si="83"/>
        <v>#N/A</v>
      </c>
      <c r="U265" s="37" t="e">
        <f t="shared" si="84"/>
        <v>#N/A</v>
      </c>
      <c r="V265" s="37" t="e">
        <f t="shared" si="97"/>
        <v>#N/A</v>
      </c>
      <c r="X265" s="31" t="e">
        <f t="shared" si="85"/>
        <v>#N/A</v>
      </c>
      <c r="Y265" s="34">
        <f t="shared" si="104"/>
        <v>1.4570809496699493</v>
      </c>
      <c r="Z265" s="31" t="e">
        <f t="shared" si="86"/>
        <v>#N/A</v>
      </c>
      <c r="AA265" s="66">
        <f t="shared" si="87"/>
        <v>0</v>
      </c>
      <c r="AB265" s="6" t="e">
        <f t="shared" si="88"/>
        <v>#N/A</v>
      </c>
      <c r="AC265" s="48">
        <f t="shared" si="101"/>
        <v>0</v>
      </c>
    </row>
    <row r="266" spans="3:29" x14ac:dyDescent="0.25">
      <c r="C266" s="27" t="e">
        <f t="shared" si="89"/>
        <v>#N/A</v>
      </c>
      <c r="D266" s="30" t="e">
        <f t="shared" si="90"/>
        <v>#N/A</v>
      </c>
      <c r="E266" s="20" t="e">
        <f t="shared" si="96"/>
        <v>#N/A</v>
      </c>
      <c r="F266" s="20" t="e">
        <f t="shared" si="79"/>
        <v>#N/A</v>
      </c>
      <c r="G266" s="21" t="e">
        <f t="shared" si="80"/>
        <v>#N/A</v>
      </c>
      <c r="H266" s="24" t="e">
        <f t="shared" si="91"/>
        <v>#N/A</v>
      </c>
      <c r="I266" s="21" t="e">
        <f t="shared" si="99"/>
        <v>#N/A</v>
      </c>
      <c r="J266" s="63" t="e">
        <f t="shared" si="92"/>
        <v>#N/A</v>
      </c>
      <c r="K266" s="66" t="str">
        <f t="shared" si="98"/>
        <v/>
      </c>
      <c r="L266" s="17"/>
      <c r="M266" s="23" t="e">
        <f t="shared" si="93"/>
        <v>#N/A</v>
      </c>
      <c r="N266" s="23" t="e">
        <f t="shared" si="81"/>
        <v>#N/A</v>
      </c>
      <c r="O266" s="23" t="e">
        <f t="shared" si="82"/>
        <v>#N/A</v>
      </c>
      <c r="P266" s="17"/>
      <c r="Q266" s="19" t="e">
        <f>IF(C266="","",'Tabla_Puntual&amp;Relacionamiento'!$E$22)</f>
        <v>#N/A</v>
      </c>
      <c r="R266" s="19"/>
      <c r="S266" s="11" t="e">
        <f t="shared" si="94"/>
        <v>#N/A</v>
      </c>
      <c r="T266" s="23" t="e">
        <f t="shared" si="83"/>
        <v>#N/A</v>
      </c>
      <c r="U266" s="37" t="e">
        <f t="shared" si="84"/>
        <v>#N/A</v>
      </c>
      <c r="V266" s="37" t="e">
        <f t="shared" si="97"/>
        <v>#N/A</v>
      </c>
      <c r="X266" s="31" t="e">
        <f t="shared" si="85"/>
        <v>#N/A</v>
      </c>
      <c r="Y266" s="34">
        <f t="shared" si="104"/>
        <v>1.4570809496699493</v>
      </c>
      <c r="Z266" s="31" t="e">
        <f t="shared" si="86"/>
        <v>#N/A</v>
      </c>
      <c r="AA266" s="66">
        <f t="shared" si="87"/>
        <v>0</v>
      </c>
      <c r="AB266" s="6" t="e">
        <f t="shared" si="88"/>
        <v>#N/A</v>
      </c>
      <c r="AC266" s="48">
        <f t="shared" si="101"/>
        <v>0</v>
      </c>
    </row>
    <row r="267" spans="3:29" x14ac:dyDescent="0.25">
      <c r="C267" s="27" t="e">
        <f t="shared" si="89"/>
        <v>#N/A</v>
      </c>
      <c r="D267" s="30" t="e">
        <f t="shared" si="90"/>
        <v>#N/A</v>
      </c>
      <c r="E267" s="20" t="e">
        <f t="shared" si="96"/>
        <v>#N/A</v>
      </c>
      <c r="F267" s="20" t="e">
        <f t="shared" si="79"/>
        <v>#N/A</v>
      </c>
      <c r="G267" s="21" t="e">
        <f t="shared" si="80"/>
        <v>#N/A</v>
      </c>
      <c r="H267" s="24" t="e">
        <f t="shared" si="91"/>
        <v>#N/A</v>
      </c>
      <c r="I267" s="21" t="e">
        <f t="shared" si="99"/>
        <v>#N/A</v>
      </c>
      <c r="J267" s="63" t="e">
        <f t="shared" si="92"/>
        <v>#N/A</v>
      </c>
      <c r="K267" s="66" t="str">
        <f t="shared" si="98"/>
        <v/>
      </c>
      <c r="L267" s="17"/>
      <c r="M267" s="23" t="e">
        <f t="shared" si="93"/>
        <v>#N/A</v>
      </c>
      <c r="N267" s="23" t="e">
        <f t="shared" si="81"/>
        <v>#N/A</v>
      </c>
      <c r="O267" s="23" t="e">
        <f t="shared" si="82"/>
        <v>#N/A</v>
      </c>
      <c r="P267" s="17"/>
      <c r="Q267" s="19" t="e">
        <f>IF(C267="","",'Tabla_Puntual&amp;Relacionamiento'!$E$22)</f>
        <v>#N/A</v>
      </c>
      <c r="R267" s="19"/>
      <c r="S267" s="11" t="e">
        <f t="shared" si="94"/>
        <v>#N/A</v>
      </c>
      <c r="T267" s="23" t="e">
        <f t="shared" si="83"/>
        <v>#N/A</v>
      </c>
      <c r="U267" s="37" t="e">
        <f t="shared" si="84"/>
        <v>#N/A</v>
      </c>
      <c r="V267" s="37" t="e">
        <f t="shared" si="97"/>
        <v>#N/A</v>
      </c>
      <c r="X267" s="31" t="e">
        <f t="shared" si="85"/>
        <v>#N/A</v>
      </c>
      <c r="Y267" s="34">
        <f t="shared" si="104"/>
        <v>1.4570809496699493</v>
      </c>
      <c r="Z267" s="31" t="e">
        <f t="shared" si="86"/>
        <v>#N/A</v>
      </c>
      <c r="AA267" s="66">
        <f t="shared" si="87"/>
        <v>0</v>
      </c>
      <c r="AB267" s="6" t="e">
        <f t="shared" si="88"/>
        <v>#N/A</v>
      </c>
      <c r="AC267" s="48">
        <f t="shared" si="101"/>
        <v>0</v>
      </c>
    </row>
    <row r="268" spans="3:29" x14ac:dyDescent="0.25">
      <c r="C268" s="27" t="e">
        <f t="shared" si="89"/>
        <v>#N/A</v>
      </c>
      <c r="D268" s="30" t="e">
        <f t="shared" si="90"/>
        <v>#N/A</v>
      </c>
      <c r="E268" s="20" t="e">
        <f t="shared" si="96"/>
        <v>#N/A</v>
      </c>
      <c r="F268" s="20" t="e">
        <f t="shared" si="79"/>
        <v>#N/A</v>
      </c>
      <c r="G268" s="21" t="e">
        <f t="shared" si="80"/>
        <v>#N/A</v>
      </c>
      <c r="H268" s="24" t="e">
        <f t="shared" si="91"/>
        <v>#N/A</v>
      </c>
      <c r="I268" s="21" t="e">
        <f t="shared" si="99"/>
        <v>#N/A</v>
      </c>
      <c r="J268" s="63" t="e">
        <f t="shared" si="92"/>
        <v>#N/A</v>
      </c>
      <c r="K268" s="66" t="str">
        <f t="shared" si="98"/>
        <v/>
      </c>
      <c r="L268" s="17"/>
      <c r="M268" s="23" t="e">
        <f t="shared" si="93"/>
        <v>#N/A</v>
      </c>
      <c r="N268" s="23" t="e">
        <f t="shared" si="81"/>
        <v>#N/A</v>
      </c>
      <c r="O268" s="23" t="e">
        <f t="shared" si="82"/>
        <v>#N/A</v>
      </c>
      <c r="P268" s="17"/>
      <c r="Q268" s="19" t="e">
        <f>IF(C268="","",'Tabla_Puntual&amp;Relacionamiento'!$E$22)</f>
        <v>#N/A</v>
      </c>
      <c r="R268" s="19"/>
      <c r="S268" s="11" t="e">
        <f t="shared" si="94"/>
        <v>#N/A</v>
      </c>
      <c r="T268" s="23" t="e">
        <f t="shared" si="83"/>
        <v>#N/A</v>
      </c>
      <c r="U268" s="37" t="e">
        <f t="shared" si="84"/>
        <v>#N/A</v>
      </c>
      <c r="V268" s="37" t="e">
        <f t="shared" si="97"/>
        <v>#N/A</v>
      </c>
      <c r="X268" s="31" t="e">
        <f t="shared" si="85"/>
        <v>#N/A</v>
      </c>
      <c r="Y268" s="34">
        <f t="shared" si="104"/>
        <v>1.4570809496699493</v>
      </c>
      <c r="Z268" s="31" t="e">
        <f t="shared" si="86"/>
        <v>#N/A</v>
      </c>
      <c r="AA268" s="66">
        <f t="shared" si="87"/>
        <v>0</v>
      </c>
      <c r="AB268" s="6" t="e">
        <f t="shared" si="88"/>
        <v>#N/A</v>
      </c>
      <c r="AC268" s="48">
        <f t="shared" si="101"/>
        <v>0</v>
      </c>
    </row>
    <row r="269" spans="3:29" x14ac:dyDescent="0.25">
      <c r="C269" s="27" t="e">
        <f t="shared" si="89"/>
        <v>#N/A</v>
      </c>
      <c r="D269" s="30" t="e">
        <f t="shared" si="90"/>
        <v>#N/A</v>
      </c>
      <c r="E269" s="20" t="e">
        <f t="shared" si="96"/>
        <v>#N/A</v>
      </c>
      <c r="F269" s="20" t="e">
        <f t="shared" si="79"/>
        <v>#N/A</v>
      </c>
      <c r="G269" s="21" t="e">
        <f t="shared" si="80"/>
        <v>#N/A</v>
      </c>
      <c r="H269" s="24" t="e">
        <f t="shared" si="91"/>
        <v>#N/A</v>
      </c>
      <c r="I269" s="21" t="e">
        <f t="shared" si="99"/>
        <v>#N/A</v>
      </c>
      <c r="J269" s="63" t="e">
        <f t="shared" si="92"/>
        <v>#N/A</v>
      </c>
      <c r="K269" s="66" t="str">
        <f t="shared" si="98"/>
        <v/>
      </c>
      <c r="L269" s="17"/>
      <c r="M269" s="23" t="e">
        <f t="shared" si="93"/>
        <v>#N/A</v>
      </c>
      <c r="N269" s="23" t="e">
        <f t="shared" si="81"/>
        <v>#N/A</v>
      </c>
      <c r="O269" s="23" t="e">
        <f t="shared" si="82"/>
        <v>#N/A</v>
      </c>
      <c r="P269" s="17"/>
      <c r="Q269" s="19" t="e">
        <f>IF(C269="","",'Tabla_Puntual&amp;Relacionamiento'!$E$22)</f>
        <v>#N/A</v>
      </c>
      <c r="R269" s="19"/>
      <c r="S269" s="11" t="e">
        <f t="shared" si="94"/>
        <v>#N/A</v>
      </c>
      <c r="T269" s="23" t="e">
        <f t="shared" si="83"/>
        <v>#N/A</v>
      </c>
      <c r="U269" s="37" t="e">
        <f t="shared" si="84"/>
        <v>#N/A</v>
      </c>
      <c r="V269" s="37" t="e">
        <f t="shared" si="97"/>
        <v>#N/A</v>
      </c>
      <c r="X269" s="31" t="e">
        <f t="shared" si="85"/>
        <v>#N/A</v>
      </c>
      <c r="Y269" s="34">
        <f t="shared" si="104"/>
        <v>1.4570809496699493</v>
      </c>
      <c r="Z269" s="31" t="e">
        <f t="shared" si="86"/>
        <v>#N/A</v>
      </c>
      <c r="AA269" s="66">
        <f t="shared" si="87"/>
        <v>0</v>
      </c>
      <c r="AB269" s="6" t="e">
        <f t="shared" si="88"/>
        <v>#N/A</v>
      </c>
      <c r="AC269" s="48">
        <f t="shared" si="101"/>
        <v>0</v>
      </c>
    </row>
    <row r="270" spans="3:29" x14ac:dyDescent="0.25">
      <c r="C270" s="27" t="e">
        <f t="shared" si="89"/>
        <v>#N/A</v>
      </c>
      <c r="D270" s="30" t="e">
        <f t="shared" si="90"/>
        <v>#N/A</v>
      </c>
      <c r="E270" s="20" t="e">
        <f t="shared" si="96"/>
        <v>#N/A</v>
      </c>
      <c r="F270" s="20" t="e">
        <f t="shared" si="79"/>
        <v>#N/A</v>
      </c>
      <c r="G270" s="21" t="e">
        <f t="shared" si="80"/>
        <v>#N/A</v>
      </c>
      <c r="H270" s="24" t="e">
        <f t="shared" si="91"/>
        <v>#N/A</v>
      </c>
      <c r="I270" s="21" t="e">
        <f t="shared" si="99"/>
        <v>#N/A</v>
      </c>
      <c r="J270" s="63" t="e">
        <f t="shared" si="92"/>
        <v>#N/A</v>
      </c>
      <c r="K270" s="66" t="str">
        <f t="shared" si="98"/>
        <v/>
      </c>
      <c r="L270" s="17"/>
      <c r="M270" s="23" t="e">
        <f t="shared" si="93"/>
        <v>#N/A</v>
      </c>
      <c r="N270" s="23" t="e">
        <f t="shared" si="81"/>
        <v>#N/A</v>
      </c>
      <c r="O270" s="23" t="e">
        <f t="shared" si="82"/>
        <v>#N/A</v>
      </c>
      <c r="P270" s="17"/>
      <c r="Q270" s="19" t="e">
        <f>IF(C270="","",'Tabla_Puntual&amp;Relacionamiento'!$E$22)</f>
        <v>#N/A</v>
      </c>
      <c r="R270" s="19"/>
      <c r="S270" s="11" t="e">
        <f t="shared" si="94"/>
        <v>#N/A</v>
      </c>
      <c r="T270" s="23" t="e">
        <f t="shared" si="83"/>
        <v>#N/A</v>
      </c>
      <c r="U270" s="37" t="e">
        <f t="shared" si="84"/>
        <v>#N/A</v>
      </c>
      <c r="V270" s="37" t="e">
        <f t="shared" si="97"/>
        <v>#N/A</v>
      </c>
      <c r="X270" s="31" t="e">
        <f t="shared" si="85"/>
        <v>#N/A</v>
      </c>
      <c r="Y270" s="34">
        <f t="shared" si="104"/>
        <v>1.4570809496699493</v>
      </c>
      <c r="Z270" s="31" t="e">
        <f t="shared" si="86"/>
        <v>#N/A</v>
      </c>
      <c r="AA270" s="66">
        <f t="shared" si="87"/>
        <v>0</v>
      </c>
      <c r="AB270" s="6" t="e">
        <f t="shared" si="88"/>
        <v>#N/A</v>
      </c>
      <c r="AC270" s="48">
        <f t="shared" si="101"/>
        <v>0</v>
      </c>
    </row>
    <row r="271" spans="3:29" x14ac:dyDescent="0.25">
      <c r="C271" s="27" t="e">
        <f t="shared" si="89"/>
        <v>#N/A</v>
      </c>
      <c r="D271" s="30" t="e">
        <f t="shared" si="90"/>
        <v>#N/A</v>
      </c>
      <c r="E271" s="20" t="e">
        <f t="shared" si="96"/>
        <v>#N/A</v>
      </c>
      <c r="F271" s="20" t="e">
        <f t="shared" si="79"/>
        <v>#N/A</v>
      </c>
      <c r="G271" s="21" t="e">
        <f t="shared" si="80"/>
        <v>#N/A</v>
      </c>
      <c r="H271" s="24" t="e">
        <f t="shared" si="91"/>
        <v>#N/A</v>
      </c>
      <c r="I271" s="21" t="e">
        <f t="shared" si="99"/>
        <v>#N/A</v>
      </c>
      <c r="J271" s="63" t="e">
        <f t="shared" si="92"/>
        <v>#N/A</v>
      </c>
      <c r="K271" s="66" t="str">
        <f t="shared" si="98"/>
        <v/>
      </c>
      <c r="L271" s="17"/>
      <c r="M271" s="23" t="e">
        <f t="shared" si="93"/>
        <v>#N/A</v>
      </c>
      <c r="N271" s="23" t="e">
        <f t="shared" si="81"/>
        <v>#N/A</v>
      </c>
      <c r="O271" s="23" t="e">
        <f t="shared" si="82"/>
        <v>#N/A</v>
      </c>
      <c r="P271" s="17"/>
      <c r="Q271" s="19" t="e">
        <f>IF(C271="","",'Tabla_Puntual&amp;Relacionamiento'!$E$22)</f>
        <v>#N/A</v>
      </c>
      <c r="R271" s="19"/>
      <c r="S271" s="11" t="e">
        <f t="shared" si="94"/>
        <v>#N/A</v>
      </c>
      <c r="T271" s="23" t="e">
        <f t="shared" si="83"/>
        <v>#N/A</v>
      </c>
      <c r="U271" s="37" t="e">
        <f t="shared" si="84"/>
        <v>#N/A</v>
      </c>
      <c r="V271" s="37" t="e">
        <f t="shared" si="97"/>
        <v>#N/A</v>
      </c>
      <c r="X271" s="31" t="e">
        <f t="shared" si="85"/>
        <v>#N/A</v>
      </c>
      <c r="Y271" s="34">
        <f t="shared" si="104"/>
        <v>1.4570809496699493</v>
      </c>
      <c r="Z271" s="31" t="e">
        <f t="shared" si="86"/>
        <v>#N/A</v>
      </c>
      <c r="AA271" s="66">
        <f t="shared" si="87"/>
        <v>0</v>
      </c>
      <c r="AB271" s="6" t="e">
        <f t="shared" si="88"/>
        <v>#N/A</v>
      </c>
      <c r="AC271" s="48">
        <f t="shared" si="101"/>
        <v>0</v>
      </c>
    </row>
    <row r="272" spans="3:29" x14ac:dyDescent="0.25">
      <c r="C272" s="27" t="e">
        <f t="shared" si="89"/>
        <v>#N/A</v>
      </c>
      <c r="D272" s="30" t="e">
        <f t="shared" si="90"/>
        <v>#N/A</v>
      </c>
      <c r="E272" s="20" t="e">
        <f t="shared" si="96"/>
        <v>#N/A</v>
      </c>
      <c r="F272" s="20" t="e">
        <f t="shared" si="79"/>
        <v>#N/A</v>
      </c>
      <c r="G272" s="21" t="e">
        <f t="shared" si="80"/>
        <v>#N/A</v>
      </c>
      <c r="H272" s="24" t="e">
        <f t="shared" si="91"/>
        <v>#N/A</v>
      </c>
      <c r="I272" s="21" t="e">
        <f t="shared" si="99"/>
        <v>#N/A</v>
      </c>
      <c r="J272" s="63" t="e">
        <f t="shared" si="92"/>
        <v>#N/A</v>
      </c>
      <c r="K272" s="66" t="str">
        <f t="shared" si="98"/>
        <v/>
      </c>
      <c r="L272" s="17"/>
      <c r="M272" s="23" t="e">
        <f t="shared" si="93"/>
        <v>#N/A</v>
      </c>
      <c r="N272" s="23" t="e">
        <f t="shared" si="81"/>
        <v>#N/A</v>
      </c>
      <c r="O272" s="23" t="e">
        <f t="shared" si="82"/>
        <v>#N/A</v>
      </c>
      <c r="P272" s="17"/>
      <c r="Q272" s="19" t="e">
        <f>IF(C272="","",'Tabla_Puntual&amp;Relacionamiento'!$E$22)</f>
        <v>#N/A</v>
      </c>
      <c r="R272" s="19"/>
      <c r="S272" s="11" t="e">
        <f t="shared" si="94"/>
        <v>#N/A</v>
      </c>
      <c r="T272" s="23" t="e">
        <f t="shared" si="83"/>
        <v>#N/A</v>
      </c>
      <c r="U272" s="37" t="e">
        <f t="shared" si="84"/>
        <v>#N/A</v>
      </c>
      <c r="V272" s="37" t="e">
        <f t="shared" si="97"/>
        <v>#N/A</v>
      </c>
      <c r="X272" s="31" t="e">
        <f t="shared" si="85"/>
        <v>#N/A</v>
      </c>
      <c r="Y272" s="34">
        <f t="shared" si="104"/>
        <v>1.4570809496699493</v>
      </c>
      <c r="Z272" s="31" t="e">
        <f t="shared" si="86"/>
        <v>#N/A</v>
      </c>
      <c r="AA272" s="66">
        <f t="shared" si="87"/>
        <v>0</v>
      </c>
      <c r="AB272" s="6" t="e">
        <f t="shared" si="88"/>
        <v>#N/A</v>
      </c>
      <c r="AC272" s="48">
        <f t="shared" si="101"/>
        <v>0</v>
      </c>
    </row>
    <row r="273" spans="3:29" x14ac:dyDescent="0.25">
      <c r="C273" s="27" t="e">
        <f t="shared" si="89"/>
        <v>#N/A</v>
      </c>
      <c r="D273" s="30" t="e">
        <f t="shared" si="90"/>
        <v>#N/A</v>
      </c>
      <c r="E273" s="20" t="e">
        <f t="shared" si="96"/>
        <v>#N/A</v>
      </c>
      <c r="F273" s="20" t="e">
        <f t="shared" si="79"/>
        <v>#N/A</v>
      </c>
      <c r="G273" s="21" t="e">
        <f t="shared" si="80"/>
        <v>#N/A</v>
      </c>
      <c r="H273" s="24" t="e">
        <f t="shared" si="91"/>
        <v>#N/A</v>
      </c>
      <c r="I273" s="21" t="e">
        <f t="shared" si="99"/>
        <v>#N/A</v>
      </c>
      <c r="J273" s="63" t="e">
        <f t="shared" si="92"/>
        <v>#N/A</v>
      </c>
      <c r="K273" s="66" t="str">
        <f t="shared" si="98"/>
        <v/>
      </c>
      <c r="L273" s="17"/>
      <c r="M273" s="23" t="e">
        <f t="shared" si="93"/>
        <v>#N/A</v>
      </c>
      <c r="N273" s="23" t="e">
        <f t="shared" si="81"/>
        <v>#N/A</v>
      </c>
      <c r="O273" s="23" t="e">
        <f t="shared" si="82"/>
        <v>#N/A</v>
      </c>
      <c r="P273" s="17"/>
      <c r="Q273" s="19" t="e">
        <f>IF(C273="","",'Tabla_Puntual&amp;Relacionamiento'!$E$23)</f>
        <v>#N/A</v>
      </c>
      <c r="R273" s="19" t="e">
        <f>IF(C273="","",IF($E$14="Pago_Bajo_Puntual",$M$17,""))</f>
        <v>#N/A</v>
      </c>
      <c r="S273" s="11" t="e">
        <f t="shared" si="94"/>
        <v>#N/A</v>
      </c>
      <c r="T273" s="23" t="e">
        <f t="shared" si="83"/>
        <v>#N/A</v>
      </c>
      <c r="U273" s="37" t="e">
        <f t="shared" si="84"/>
        <v>#N/A</v>
      </c>
      <c r="V273" s="37" t="e">
        <f t="shared" si="97"/>
        <v>#N/A</v>
      </c>
      <c r="X273" s="31" t="e">
        <f t="shared" si="85"/>
        <v>#N/A</v>
      </c>
      <c r="Y273" s="34">
        <f>Y272*1.019</f>
        <v>1.4847654877136782</v>
      </c>
      <c r="Z273" s="31" t="e">
        <f t="shared" si="86"/>
        <v>#N/A</v>
      </c>
      <c r="AA273" s="66">
        <f t="shared" si="87"/>
        <v>0</v>
      </c>
      <c r="AB273" s="6" t="e">
        <f t="shared" si="88"/>
        <v>#N/A</v>
      </c>
      <c r="AC273" s="48">
        <f t="shared" si="101"/>
        <v>0</v>
      </c>
    </row>
    <row r="274" spans="3:29" x14ac:dyDescent="0.25">
      <c r="C274" s="27" t="e">
        <f t="shared" si="89"/>
        <v>#N/A</v>
      </c>
      <c r="D274" s="30" t="e">
        <f t="shared" si="90"/>
        <v>#N/A</v>
      </c>
      <c r="E274" s="20" t="e">
        <f t="shared" si="96"/>
        <v>#N/A</v>
      </c>
      <c r="F274" s="20" t="e">
        <f t="shared" si="79"/>
        <v>#N/A</v>
      </c>
      <c r="G274" s="21" t="e">
        <f t="shared" si="80"/>
        <v>#N/A</v>
      </c>
      <c r="H274" s="24" t="e">
        <f t="shared" si="91"/>
        <v>#N/A</v>
      </c>
      <c r="I274" s="21" t="e">
        <f t="shared" si="99"/>
        <v>#N/A</v>
      </c>
      <c r="J274" s="63" t="e">
        <f t="shared" si="92"/>
        <v>#N/A</v>
      </c>
      <c r="K274" s="66" t="str">
        <f t="shared" si="98"/>
        <v/>
      </c>
      <c r="L274" s="17"/>
      <c r="M274" s="23" t="e">
        <f t="shared" si="93"/>
        <v>#N/A</v>
      </c>
      <c r="N274" s="23" t="e">
        <f t="shared" si="81"/>
        <v>#N/A</v>
      </c>
      <c r="O274" s="23" t="e">
        <f t="shared" si="82"/>
        <v>#N/A</v>
      </c>
      <c r="P274" s="17"/>
      <c r="Q274" s="19" t="e">
        <f>IF(C274="","",'Tabla_Puntual&amp;Relacionamiento'!$E$23)</f>
        <v>#N/A</v>
      </c>
      <c r="R274" s="19"/>
      <c r="S274" s="11" t="e">
        <f t="shared" si="94"/>
        <v>#N/A</v>
      </c>
      <c r="T274" s="23" t="e">
        <f t="shared" si="83"/>
        <v>#N/A</v>
      </c>
      <c r="U274" s="37" t="e">
        <f t="shared" si="84"/>
        <v>#N/A</v>
      </c>
      <c r="V274" s="37" t="e">
        <f t="shared" si="97"/>
        <v>#N/A</v>
      </c>
      <c r="X274" s="31" t="e">
        <f t="shared" si="85"/>
        <v>#N/A</v>
      </c>
      <c r="Y274" s="34">
        <f t="shared" ref="Y274:Y284" si="105">Y273</f>
        <v>1.4847654877136782</v>
      </c>
      <c r="Z274" s="31" t="e">
        <f t="shared" si="86"/>
        <v>#N/A</v>
      </c>
      <c r="AA274" s="66">
        <f t="shared" si="87"/>
        <v>0</v>
      </c>
      <c r="AB274" s="6" t="e">
        <f t="shared" si="88"/>
        <v>#N/A</v>
      </c>
      <c r="AC274" s="48">
        <f t="shared" si="101"/>
        <v>0</v>
      </c>
    </row>
    <row r="275" spans="3:29" x14ac:dyDescent="0.25">
      <c r="C275" s="27" t="e">
        <f t="shared" si="89"/>
        <v>#N/A</v>
      </c>
      <c r="D275" s="30" t="e">
        <f t="shared" si="90"/>
        <v>#N/A</v>
      </c>
      <c r="E275" s="20" t="e">
        <f t="shared" si="96"/>
        <v>#N/A</v>
      </c>
      <c r="F275" s="20" t="e">
        <f t="shared" si="79"/>
        <v>#N/A</v>
      </c>
      <c r="G275" s="21" t="e">
        <f t="shared" si="80"/>
        <v>#N/A</v>
      </c>
      <c r="H275" s="24" t="e">
        <f t="shared" si="91"/>
        <v>#N/A</v>
      </c>
      <c r="I275" s="21" t="e">
        <f t="shared" si="99"/>
        <v>#N/A</v>
      </c>
      <c r="J275" s="63" t="e">
        <f t="shared" si="92"/>
        <v>#N/A</v>
      </c>
      <c r="K275" s="66" t="str">
        <f t="shared" si="98"/>
        <v/>
      </c>
      <c r="L275" s="17"/>
      <c r="M275" s="23" t="e">
        <f t="shared" si="93"/>
        <v>#N/A</v>
      </c>
      <c r="N275" s="23" t="e">
        <f t="shared" si="81"/>
        <v>#N/A</v>
      </c>
      <c r="O275" s="23" t="e">
        <f t="shared" si="82"/>
        <v>#N/A</v>
      </c>
      <c r="P275" s="17"/>
      <c r="Q275" s="19" t="e">
        <f>IF(C275="","",'Tabla_Puntual&amp;Relacionamiento'!$E$23)</f>
        <v>#N/A</v>
      </c>
      <c r="R275" s="19"/>
      <c r="S275" s="11" t="e">
        <f t="shared" si="94"/>
        <v>#N/A</v>
      </c>
      <c r="T275" s="23" t="e">
        <f t="shared" si="83"/>
        <v>#N/A</v>
      </c>
      <c r="U275" s="37" t="e">
        <f t="shared" si="84"/>
        <v>#N/A</v>
      </c>
      <c r="V275" s="37" t="e">
        <f t="shared" si="97"/>
        <v>#N/A</v>
      </c>
      <c r="X275" s="31" t="e">
        <f t="shared" si="85"/>
        <v>#N/A</v>
      </c>
      <c r="Y275" s="34">
        <f t="shared" si="105"/>
        <v>1.4847654877136782</v>
      </c>
      <c r="Z275" s="31" t="e">
        <f t="shared" si="86"/>
        <v>#N/A</v>
      </c>
      <c r="AA275" s="66">
        <f t="shared" si="87"/>
        <v>0</v>
      </c>
      <c r="AB275" s="6" t="e">
        <f t="shared" si="88"/>
        <v>#N/A</v>
      </c>
      <c r="AC275" s="48">
        <f t="shared" si="101"/>
        <v>0</v>
      </c>
    </row>
    <row r="276" spans="3:29" x14ac:dyDescent="0.25">
      <c r="C276" s="27" t="e">
        <f t="shared" si="89"/>
        <v>#N/A</v>
      </c>
      <c r="D276" s="30" t="e">
        <f t="shared" si="90"/>
        <v>#N/A</v>
      </c>
      <c r="E276" s="20" t="e">
        <f t="shared" si="96"/>
        <v>#N/A</v>
      </c>
      <c r="F276" s="20" t="e">
        <f t="shared" si="79"/>
        <v>#N/A</v>
      </c>
      <c r="G276" s="21" t="e">
        <f t="shared" si="80"/>
        <v>#N/A</v>
      </c>
      <c r="H276" s="24" t="e">
        <f t="shared" si="91"/>
        <v>#N/A</v>
      </c>
      <c r="I276" s="21" t="e">
        <f t="shared" si="99"/>
        <v>#N/A</v>
      </c>
      <c r="J276" s="63" t="e">
        <f t="shared" si="92"/>
        <v>#N/A</v>
      </c>
      <c r="K276" s="66" t="str">
        <f t="shared" si="98"/>
        <v/>
      </c>
      <c r="L276" s="17"/>
      <c r="M276" s="23" t="e">
        <f t="shared" si="93"/>
        <v>#N/A</v>
      </c>
      <c r="N276" s="23" t="e">
        <f t="shared" si="81"/>
        <v>#N/A</v>
      </c>
      <c r="O276" s="23" t="e">
        <f t="shared" si="82"/>
        <v>#N/A</v>
      </c>
      <c r="P276" s="17"/>
      <c r="Q276" s="19" t="e">
        <f>IF(C276="","",'Tabla_Puntual&amp;Relacionamiento'!$E$23)</f>
        <v>#N/A</v>
      </c>
      <c r="R276" s="19"/>
      <c r="S276" s="11" t="e">
        <f t="shared" si="94"/>
        <v>#N/A</v>
      </c>
      <c r="T276" s="23" t="e">
        <f t="shared" si="83"/>
        <v>#N/A</v>
      </c>
      <c r="U276" s="37" t="e">
        <f t="shared" si="84"/>
        <v>#N/A</v>
      </c>
      <c r="V276" s="37" t="e">
        <f t="shared" si="97"/>
        <v>#N/A</v>
      </c>
      <c r="X276" s="31" t="e">
        <f t="shared" si="85"/>
        <v>#N/A</v>
      </c>
      <c r="Y276" s="34">
        <f t="shared" si="105"/>
        <v>1.4847654877136782</v>
      </c>
      <c r="Z276" s="31" t="e">
        <f t="shared" si="86"/>
        <v>#N/A</v>
      </c>
      <c r="AA276" s="66">
        <f t="shared" si="87"/>
        <v>0</v>
      </c>
      <c r="AB276" s="6" t="e">
        <f t="shared" si="88"/>
        <v>#N/A</v>
      </c>
      <c r="AC276" s="48">
        <f t="shared" si="101"/>
        <v>0</v>
      </c>
    </row>
    <row r="277" spans="3:29" x14ac:dyDescent="0.25">
      <c r="C277" s="27" t="e">
        <f t="shared" si="89"/>
        <v>#N/A</v>
      </c>
      <c r="D277" s="30" t="e">
        <f t="shared" si="90"/>
        <v>#N/A</v>
      </c>
      <c r="E277" s="20" t="e">
        <f t="shared" si="96"/>
        <v>#N/A</v>
      </c>
      <c r="F277" s="20" t="e">
        <f t="shared" ref="F277:F320" si="106">IF(C277="","",E277-G277+P277+M277)</f>
        <v>#N/A</v>
      </c>
      <c r="G277" s="21" t="e">
        <f t="shared" ref="G277:G320" si="107">IF(C277="","",IF(T276*(Q277/12)&lt;0,"",T276*(Q277/12)))</f>
        <v>#N/A</v>
      </c>
      <c r="H277" s="24" t="e">
        <f t="shared" si="91"/>
        <v>#N/A</v>
      </c>
      <c r="I277" s="21" t="e">
        <f t="shared" si="99"/>
        <v>#N/A</v>
      </c>
      <c r="J277" s="63" t="e">
        <f t="shared" si="92"/>
        <v>#N/A</v>
      </c>
      <c r="K277" s="66" t="str">
        <f t="shared" si="98"/>
        <v/>
      </c>
      <c r="L277" s="17"/>
      <c r="M277" s="23" t="e">
        <f t="shared" si="93"/>
        <v>#N/A</v>
      </c>
      <c r="N277" s="23" t="e">
        <f t="shared" ref="N277:N320" si="108">IF(C277="","",(L277+P277)*$J$12)</f>
        <v>#N/A</v>
      </c>
      <c r="O277" s="23" t="e">
        <f t="shared" ref="O277:O320" si="109">IF(C277="","",((L277+P277)*$J$12)*0.16)</f>
        <v>#N/A</v>
      </c>
      <c r="P277" s="17"/>
      <c r="Q277" s="19" t="e">
        <f>IF(C277="","",'Tabla_Puntual&amp;Relacionamiento'!$E$23)</f>
        <v>#N/A</v>
      </c>
      <c r="R277" s="19"/>
      <c r="S277" s="11" t="e">
        <f t="shared" si="94"/>
        <v>#N/A</v>
      </c>
      <c r="T277" s="23" t="e">
        <f t="shared" ref="T277:T320" si="110">IF(C277="","",T276-F277)</f>
        <v>#N/A</v>
      </c>
      <c r="U277" s="37" t="e">
        <f t="shared" ref="U277:U320" si="111">IF(C277="","",1)</f>
        <v>#N/A</v>
      </c>
      <c r="V277" s="37" t="e">
        <f t="shared" si="97"/>
        <v>#N/A</v>
      </c>
      <c r="X277" s="31" t="e">
        <f t="shared" ref="X277:X320" si="112">IF(C277="","",IF($D$17="SI",AB277,
IF(ISNUMBER(V277),IF($E$14="Pago_Fijo_Puntual",PMT(Q277/12,$E$15*12,-$J$9),
Y277*$J$15*$J$9/1000)+H277+AB277+P277+I277/1.16+$Q$15,0)))</f>
        <v>#N/A</v>
      </c>
      <c r="Y277" s="34">
        <f t="shared" si="105"/>
        <v>1.4847654877136782</v>
      </c>
      <c r="Z277" s="31" t="e">
        <f t="shared" ref="Z277:Z320" si="113">IF($AA$20=0,0,IF(M277&gt;AA276,MAX(0,M277-AA276),M277))</f>
        <v>#N/A</v>
      </c>
      <c r="AA277" s="66">
        <f t="shared" ref="AA277:AA320" si="114">IFERROR(MAX(0,AA276-M277),0)</f>
        <v>0</v>
      </c>
      <c r="AB277" s="6" t="e">
        <f t="shared" ref="AB277:AB320" si="115">IF($D$17="NO",M277,IF(AA277&gt;0,0,Z277))</f>
        <v>#N/A</v>
      </c>
      <c r="AC277" s="48">
        <f t="shared" si="101"/>
        <v>0</v>
      </c>
    </row>
    <row r="278" spans="3:29" x14ac:dyDescent="0.25">
      <c r="C278" s="27" t="e">
        <f t="shared" ref="C278:C320" si="116">IF(OR(C277="",T277&lt;=0),"",IF(C277+1&lt;=E$15*12,C277+1,""))</f>
        <v>#N/A</v>
      </c>
      <c r="D278" s="30" t="e">
        <f t="shared" ref="D278:D320" si="117">IF(T277&lt;=0,"",T277)</f>
        <v>#N/A</v>
      </c>
      <c r="E278" s="20" t="e">
        <f t="shared" si="96"/>
        <v>#N/A</v>
      </c>
      <c r="F278" s="20" t="e">
        <f t="shared" si="106"/>
        <v>#N/A</v>
      </c>
      <c r="G278" s="21" t="e">
        <f t="shared" si="107"/>
        <v>#N/A</v>
      </c>
      <c r="H278" s="24" t="e">
        <f t="shared" ref="H278:H320" si="118">IF(C278="","",L$12*T277/1000)</f>
        <v>#N/A</v>
      </c>
      <c r="I278" s="21" t="e">
        <f t="shared" si="99"/>
        <v>#N/A</v>
      </c>
      <c r="J278" s="63" t="e">
        <f t="shared" ref="J278:J320" si="119">IF($D$17="SI",0,IF(D278="","",$Q$15))</f>
        <v>#N/A</v>
      </c>
      <c r="K278" s="66" t="str">
        <f t="shared" si="98"/>
        <v/>
      </c>
      <c r="L278" s="17"/>
      <c r="M278" s="23" t="e">
        <f t="shared" ref="M278:M320" si="120">IF(C278="","",IF(L278="",0,L278-N278-O278))</f>
        <v>#N/A</v>
      </c>
      <c r="N278" s="23" t="e">
        <f t="shared" si="108"/>
        <v>#N/A</v>
      </c>
      <c r="O278" s="23" t="e">
        <f t="shared" si="109"/>
        <v>#N/A</v>
      </c>
      <c r="P278" s="17"/>
      <c r="Q278" s="19" t="e">
        <f>IF(C278="","",'Tabla_Puntual&amp;Relacionamiento'!$E$23)</f>
        <v>#N/A</v>
      </c>
      <c r="R278" s="19"/>
      <c r="S278" s="11" t="e">
        <f t="shared" ref="S278:S320" si="121">IF(C278="","",IF($K$19="",E278+H278+I278+J278+L278+P278,E278+H278+I278+J278+K278+L278+P278))</f>
        <v>#N/A</v>
      </c>
      <c r="T278" s="23" t="e">
        <f t="shared" si="110"/>
        <v>#N/A</v>
      </c>
      <c r="U278" s="37" t="e">
        <f t="shared" si="111"/>
        <v>#N/A</v>
      </c>
      <c r="V278" s="37" t="e">
        <f t="shared" si="97"/>
        <v>#N/A</v>
      </c>
      <c r="X278" s="31" t="e">
        <f t="shared" si="112"/>
        <v>#N/A</v>
      </c>
      <c r="Y278" s="34">
        <f t="shared" si="105"/>
        <v>1.4847654877136782</v>
      </c>
      <c r="Z278" s="31" t="e">
        <f t="shared" si="113"/>
        <v>#N/A</v>
      </c>
      <c r="AA278" s="66">
        <f t="shared" si="114"/>
        <v>0</v>
      </c>
      <c r="AB278" s="6" t="e">
        <f t="shared" si="115"/>
        <v>#N/A</v>
      </c>
      <c r="AC278" s="48">
        <f t="shared" si="101"/>
        <v>0</v>
      </c>
    </row>
    <row r="279" spans="3:29" x14ac:dyDescent="0.25">
      <c r="C279" s="27" t="e">
        <f t="shared" si="116"/>
        <v>#N/A</v>
      </c>
      <c r="D279" s="30" t="e">
        <f t="shared" si="117"/>
        <v>#N/A</v>
      </c>
      <c r="E279" s="20" t="e">
        <f t="shared" ref="E279:E320" si="122">IF(C279="","",IF(T278&lt;E278,T278+G279,IF($E$14="Pago_Fijo_Puntual",$J$9*$J$15/1000,IF($E$14="Pago_Bajo_Puntual",E278+(E278*R279)))))</f>
        <v>#N/A</v>
      </c>
      <c r="F279" s="20" t="e">
        <f t="shared" si="106"/>
        <v>#N/A</v>
      </c>
      <c r="G279" s="21" t="e">
        <f t="shared" si="107"/>
        <v>#N/A</v>
      </c>
      <c r="H279" s="24" t="e">
        <f t="shared" si="118"/>
        <v>#N/A</v>
      </c>
      <c r="I279" s="21" t="e">
        <f t="shared" si="99"/>
        <v>#N/A</v>
      </c>
      <c r="J279" s="63" t="e">
        <f t="shared" si="119"/>
        <v>#N/A</v>
      </c>
      <c r="K279" s="66" t="str">
        <f t="shared" si="98"/>
        <v/>
      </c>
      <c r="L279" s="17"/>
      <c r="M279" s="23" t="e">
        <f t="shared" si="120"/>
        <v>#N/A</v>
      </c>
      <c r="N279" s="23" t="e">
        <f t="shared" si="108"/>
        <v>#N/A</v>
      </c>
      <c r="O279" s="23" t="e">
        <f t="shared" si="109"/>
        <v>#N/A</v>
      </c>
      <c r="P279" s="17"/>
      <c r="Q279" s="19" t="e">
        <f>IF(C279="","",'Tabla_Puntual&amp;Relacionamiento'!$E$23)</f>
        <v>#N/A</v>
      </c>
      <c r="R279" s="19"/>
      <c r="S279" s="11" t="e">
        <f t="shared" si="121"/>
        <v>#N/A</v>
      </c>
      <c r="T279" s="23" t="e">
        <f t="shared" si="110"/>
        <v>#N/A</v>
      </c>
      <c r="U279" s="37" t="e">
        <f t="shared" si="111"/>
        <v>#N/A</v>
      </c>
      <c r="V279" s="37" t="e">
        <f t="shared" ref="V279:V320" si="123">C279</f>
        <v>#N/A</v>
      </c>
      <c r="X279" s="31" t="e">
        <f t="shared" si="112"/>
        <v>#N/A</v>
      </c>
      <c r="Y279" s="34">
        <f t="shared" si="105"/>
        <v>1.4847654877136782</v>
      </c>
      <c r="Z279" s="31" t="e">
        <f t="shared" si="113"/>
        <v>#N/A</v>
      </c>
      <c r="AA279" s="66">
        <f t="shared" si="114"/>
        <v>0</v>
      </c>
      <c r="AB279" s="6" t="e">
        <f t="shared" si="115"/>
        <v>#N/A</v>
      </c>
      <c r="AC279" s="48">
        <f t="shared" si="101"/>
        <v>0</v>
      </c>
    </row>
    <row r="280" spans="3:29" x14ac:dyDescent="0.25">
      <c r="C280" s="27" t="e">
        <f t="shared" si="116"/>
        <v>#N/A</v>
      </c>
      <c r="D280" s="30" t="e">
        <f t="shared" si="117"/>
        <v>#N/A</v>
      </c>
      <c r="E280" s="20" t="e">
        <f t="shared" si="122"/>
        <v>#N/A</v>
      </c>
      <c r="F280" s="20" t="e">
        <f t="shared" si="106"/>
        <v>#N/A</v>
      </c>
      <c r="G280" s="21" t="e">
        <f t="shared" si="107"/>
        <v>#N/A</v>
      </c>
      <c r="H280" s="24" t="e">
        <f t="shared" si="118"/>
        <v>#N/A</v>
      </c>
      <c r="I280" s="21" t="e">
        <f t="shared" si="99"/>
        <v>#N/A</v>
      </c>
      <c r="J280" s="63" t="e">
        <f t="shared" si="119"/>
        <v>#N/A</v>
      </c>
      <c r="K280" s="66" t="str">
        <f t="shared" ref="K280:K320" si="124">IFERROR(IF($E$8="Liquidez",G280*0.16,IF(AND($E$8="Pago_Hipoteca+Liquidez",$E$16="Liquidez"),G280*0.16,"")),"")</f>
        <v/>
      </c>
      <c r="L280" s="17"/>
      <c r="M280" s="23" t="e">
        <f t="shared" si="120"/>
        <v>#N/A</v>
      </c>
      <c r="N280" s="23" t="e">
        <f t="shared" si="108"/>
        <v>#N/A</v>
      </c>
      <c r="O280" s="23" t="e">
        <f t="shared" si="109"/>
        <v>#N/A</v>
      </c>
      <c r="P280" s="17"/>
      <c r="Q280" s="19" t="e">
        <f>IF(C280="","",'Tabla_Puntual&amp;Relacionamiento'!$E$23)</f>
        <v>#N/A</v>
      </c>
      <c r="R280" s="19"/>
      <c r="S280" s="11" t="e">
        <f t="shared" si="121"/>
        <v>#N/A</v>
      </c>
      <c r="T280" s="23" t="e">
        <f t="shared" si="110"/>
        <v>#N/A</v>
      </c>
      <c r="U280" s="37" t="e">
        <f t="shared" si="111"/>
        <v>#N/A</v>
      </c>
      <c r="V280" s="37" t="e">
        <f t="shared" si="123"/>
        <v>#N/A</v>
      </c>
      <c r="X280" s="31" t="e">
        <f t="shared" si="112"/>
        <v>#N/A</v>
      </c>
      <c r="Y280" s="34">
        <f t="shared" si="105"/>
        <v>1.4847654877136782</v>
      </c>
      <c r="Z280" s="31" t="e">
        <f t="shared" si="113"/>
        <v>#N/A</v>
      </c>
      <c r="AA280" s="66">
        <f t="shared" si="114"/>
        <v>0</v>
      </c>
      <c r="AB280" s="6" t="e">
        <f t="shared" si="115"/>
        <v>#N/A</v>
      </c>
      <c r="AC280" s="48">
        <f t="shared" si="101"/>
        <v>0</v>
      </c>
    </row>
    <row r="281" spans="3:29" x14ac:dyDescent="0.25">
      <c r="C281" s="27" t="e">
        <f t="shared" si="116"/>
        <v>#N/A</v>
      </c>
      <c r="D281" s="30" t="e">
        <f t="shared" si="117"/>
        <v>#N/A</v>
      </c>
      <c r="E281" s="20" t="e">
        <f t="shared" si="122"/>
        <v>#N/A</v>
      </c>
      <c r="F281" s="20" t="e">
        <f t="shared" si="106"/>
        <v>#N/A</v>
      </c>
      <c r="G281" s="21" t="e">
        <f t="shared" si="107"/>
        <v>#N/A</v>
      </c>
      <c r="H281" s="24" t="e">
        <f t="shared" si="118"/>
        <v>#N/A</v>
      </c>
      <c r="I281" s="21" t="e">
        <f t="shared" ref="I281:I320" si="125">IF(C281="","",IF(AND($E$8="Pago_Hipoteca+Liquidez",$E$16="Liquidez"),0,IF((($J$8*0.8)*($N$12/1.16))&gt;T280*($N$12/1.16),($J$8*0.8)*($N$12/1.16),($N$12/1.16)*T280)/1000))</f>
        <v>#N/A</v>
      </c>
      <c r="J281" s="63" t="e">
        <f t="shared" si="119"/>
        <v>#N/A</v>
      </c>
      <c r="K281" s="66" t="str">
        <f t="shared" si="124"/>
        <v/>
      </c>
      <c r="L281" s="17"/>
      <c r="M281" s="23" t="e">
        <f t="shared" si="120"/>
        <v>#N/A</v>
      </c>
      <c r="N281" s="23" t="e">
        <f t="shared" si="108"/>
        <v>#N/A</v>
      </c>
      <c r="O281" s="23" t="e">
        <f t="shared" si="109"/>
        <v>#N/A</v>
      </c>
      <c r="P281" s="17"/>
      <c r="Q281" s="19" t="e">
        <f>IF(C281="","",'Tabla_Puntual&amp;Relacionamiento'!$E$23)</f>
        <v>#N/A</v>
      </c>
      <c r="R281" s="19"/>
      <c r="S281" s="11" t="e">
        <f t="shared" si="121"/>
        <v>#N/A</v>
      </c>
      <c r="T281" s="23" t="e">
        <f t="shared" si="110"/>
        <v>#N/A</v>
      </c>
      <c r="U281" s="37" t="e">
        <f t="shared" si="111"/>
        <v>#N/A</v>
      </c>
      <c r="V281" s="37" t="e">
        <f t="shared" si="123"/>
        <v>#N/A</v>
      </c>
      <c r="X281" s="31" t="e">
        <f t="shared" si="112"/>
        <v>#N/A</v>
      </c>
      <c r="Y281" s="34">
        <f t="shared" si="105"/>
        <v>1.4847654877136782</v>
      </c>
      <c r="Z281" s="31" t="e">
        <f t="shared" si="113"/>
        <v>#N/A</v>
      </c>
      <c r="AA281" s="66">
        <f t="shared" si="114"/>
        <v>0</v>
      </c>
      <c r="AB281" s="6" t="e">
        <f t="shared" si="115"/>
        <v>#N/A</v>
      </c>
      <c r="AC281" s="48">
        <f t="shared" si="101"/>
        <v>0</v>
      </c>
    </row>
    <row r="282" spans="3:29" x14ac:dyDescent="0.25">
      <c r="C282" s="27" t="e">
        <f t="shared" si="116"/>
        <v>#N/A</v>
      </c>
      <c r="D282" s="30" t="e">
        <f t="shared" si="117"/>
        <v>#N/A</v>
      </c>
      <c r="E282" s="20" t="e">
        <f t="shared" si="122"/>
        <v>#N/A</v>
      </c>
      <c r="F282" s="20" t="e">
        <f t="shared" si="106"/>
        <v>#N/A</v>
      </c>
      <c r="G282" s="21" t="e">
        <f t="shared" si="107"/>
        <v>#N/A</v>
      </c>
      <c r="H282" s="24" t="e">
        <f t="shared" si="118"/>
        <v>#N/A</v>
      </c>
      <c r="I282" s="21" t="e">
        <f t="shared" si="125"/>
        <v>#N/A</v>
      </c>
      <c r="J282" s="63" t="e">
        <f t="shared" si="119"/>
        <v>#N/A</v>
      </c>
      <c r="K282" s="66" t="str">
        <f t="shared" si="124"/>
        <v/>
      </c>
      <c r="L282" s="17"/>
      <c r="M282" s="23" t="e">
        <f t="shared" si="120"/>
        <v>#N/A</v>
      </c>
      <c r="N282" s="23" t="e">
        <f t="shared" si="108"/>
        <v>#N/A</v>
      </c>
      <c r="O282" s="23" t="e">
        <f t="shared" si="109"/>
        <v>#N/A</v>
      </c>
      <c r="P282" s="17"/>
      <c r="Q282" s="19" t="e">
        <f>IF(C282="","",'Tabla_Puntual&amp;Relacionamiento'!$E$23)</f>
        <v>#N/A</v>
      </c>
      <c r="R282" s="19"/>
      <c r="S282" s="11" t="e">
        <f t="shared" si="121"/>
        <v>#N/A</v>
      </c>
      <c r="T282" s="23" t="e">
        <f t="shared" si="110"/>
        <v>#N/A</v>
      </c>
      <c r="U282" s="37" t="e">
        <f t="shared" si="111"/>
        <v>#N/A</v>
      </c>
      <c r="V282" s="37" t="e">
        <f t="shared" si="123"/>
        <v>#N/A</v>
      </c>
      <c r="X282" s="31" t="e">
        <f t="shared" si="112"/>
        <v>#N/A</v>
      </c>
      <c r="Y282" s="34">
        <f t="shared" si="105"/>
        <v>1.4847654877136782</v>
      </c>
      <c r="Z282" s="31" t="e">
        <f t="shared" si="113"/>
        <v>#N/A</v>
      </c>
      <c r="AA282" s="66">
        <f t="shared" si="114"/>
        <v>0</v>
      </c>
      <c r="AB282" s="6" t="e">
        <f t="shared" si="115"/>
        <v>#N/A</v>
      </c>
      <c r="AC282" s="48">
        <f t="shared" si="101"/>
        <v>0</v>
      </c>
    </row>
    <row r="283" spans="3:29" x14ac:dyDescent="0.25">
      <c r="C283" s="27" t="e">
        <f t="shared" si="116"/>
        <v>#N/A</v>
      </c>
      <c r="D283" s="30" t="e">
        <f t="shared" si="117"/>
        <v>#N/A</v>
      </c>
      <c r="E283" s="20" t="e">
        <f t="shared" si="122"/>
        <v>#N/A</v>
      </c>
      <c r="F283" s="20" t="e">
        <f t="shared" si="106"/>
        <v>#N/A</v>
      </c>
      <c r="G283" s="21" t="e">
        <f t="shared" si="107"/>
        <v>#N/A</v>
      </c>
      <c r="H283" s="24" t="e">
        <f t="shared" si="118"/>
        <v>#N/A</v>
      </c>
      <c r="I283" s="21" t="e">
        <f t="shared" si="125"/>
        <v>#N/A</v>
      </c>
      <c r="J283" s="63" t="e">
        <f t="shared" si="119"/>
        <v>#N/A</v>
      </c>
      <c r="K283" s="66" t="str">
        <f t="shared" si="124"/>
        <v/>
      </c>
      <c r="L283" s="17"/>
      <c r="M283" s="23" t="e">
        <f t="shared" si="120"/>
        <v>#N/A</v>
      </c>
      <c r="N283" s="23" t="e">
        <f t="shared" si="108"/>
        <v>#N/A</v>
      </c>
      <c r="O283" s="23" t="e">
        <f t="shared" si="109"/>
        <v>#N/A</v>
      </c>
      <c r="P283" s="17"/>
      <c r="Q283" s="19" t="e">
        <f>IF(C283="","",'Tabla_Puntual&amp;Relacionamiento'!$E$23)</f>
        <v>#N/A</v>
      </c>
      <c r="R283" s="19"/>
      <c r="S283" s="11" t="e">
        <f t="shared" si="121"/>
        <v>#N/A</v>
      </c>
      <c r="T283" s="23" t="e">
        <f t="shared" si="110"/>
        <v>#N/A</v>
      </c>
      <c r="U283" s="37" t="e">
        <f t="shared" si="111"/>
        <v>#N/A</v>
      </c>
      <c r="V283" s="37" t="e">
        <f t="shared" si="123"/>
        <v>#N/A</v>
      </c>
      <c r="X283" s="31" t="e">
        <f t="shared" si="112"/>
        <v>#N/A</v>
      </c>
      <c r="Y283" s="34">
        <f t="shared" si="105"/>
        <v>1.4847654877136782</v>
      </c>
      <c r="Z283" s="31" t="e">
        <f t="shared" si="113"/>
        <v>#N/A</v>
      </c>
      <c r="AA283" s="66">
        <f t="shared" si="114"/>
        <v>0</v>
      </c>
      <c r="AB283" s="6" t="e">
        <f t="shared" si="115"/>
        <v>#N/A</v>
      </c>
      <c r="AC283" s="48">
        <f t="shared" si="101"/>
        <v>0</v>
      </c>
    </row>
    <row r="284" spans="3:29" x14ac:dyDescent="0.25">
      <c r="C284" s="27" t="e">
        <f t="shared" si="116"/>
        <v>#N/A</v>
      </c>
      <c r="D284" s="30" t="e">
        <f t="shared" si="117"/>
        <v>#N/A</v>
      </c>
      <c r="E284" s="20" t="e">
        <f t="shared" si="122"/>
        <v>#N/A</v>
      </c>
      <c r="F284" s="20" t="e">
        <f t="shared" si="106"/>
        <v>#N/A</v>
      </c>
      <c r="G284" s="21" t="e">
        <f t="shared" si="107"/>
        <v>#N/A</v>
      </c>
      <c r="H284" s="24" t="e">
        <f t="shared" si="118"/>
        <v>#N/A</v>
      </c>
      <c r="I284" s="21" t="e">
        <f t="shared" si="125"/>
        <v>#N/A</v>
      </c>
      <c r="J284" s="63" t="e">
        <f t="shared" si="119"/>
        <v>#N/A</v>
      </c>
      <c r="K284" s="66" t="str">
        <f t="shared" si="124"/>
        <v/>
      </c>
      <c r="L284" s="17"/>
      <c r="M284" s="23" t="e">
        <f t="shared" si="120"/>
        <v>#N/A</v>
      </c>
      <c r="N284" s="23" t="e">
        <f t="shared" si="108"/>
        <v>#N/A</v>
      </c>
      <c r="O284" s="23" t="e">
        <f t="shared" si="109"/>
        <v>#N/A</v>
      </c>
      <c r="P284" s="17"/>
      <c r="Q284" s="19" t="e">
        <f>IF(C284="","",'Tabla_Puntual&amp;Relacionamiento'!$E$23)</f>
        <v>#N/A</v>
      </c>
      <c r="R284" s="19"/>
      <c r="S284" s="11" t="e">
        <f t="shared" si="121"/>
        <v>#N/A</v>
      </c>
      <c r="T284" s="23" t="e">
        <f t="shared" si="110"/>
        <v>#N/A</v>
      </c>
      <c r="U284" s="37" t="e">
        <f t="shared" si="111"/>
        <v>#N/A</v>
      </c>
      <c r="V284" s="37" t="e">
        <f t="shared" si="123"/>
        <v>#N/A</v>
      </c>
      <c r="X284" s="31" t="e">
        <f t="shared" si="112"/>
        <v>#N/A</v>
      </c>
      <c r="Y284" s="34">
        <f t="shared" si="105"/>
        <v>1.4847654877136782</v>
      </c>
      <c r="Z284" s="31" t="e">
        <f t="shared" si="113"/>
        <v>#N/A</v>
      </c>
      <c r="AA284" s="66">
        <f t="shared" si="114"/>
        <v>0</v>
      </c>
      <c r="AB284" s="6" t="e">
        <f t="shared" si="115"/>
        <v>#N/A</v>
      </c>
      <c r="AC284" s="48">
        <f t="shared" si="101"/>
        <v>0</v>
      </c>
    </row>
    <row r="285" spans="3:29" x14ac:dyDescent="0.25">
      <c r="C285" s="27" t="e">
        <f t="shared" si="116"/>
        <v>#N/A</v>
      </c>
      <c r="D285" s="30" t="e">
        <f t="shared" si="117"/>
        <v>#N/A</v>
      </c>
      <c r="E285" s="20" t="e">
        <f t="shared" si="122"/>
        <v>#N/A</v>
      </c>
      <c r="F285" s="20" t="e">
        <f t="shared" si="106"/>
        <v>#N/A</v>
      </c>
      <c r="G285" s="21" t="e">
        <f t="shared" si="107"/>
        <v>#N/A</v>
      </c>
      <c r="H285" s="24" t="e">
        <f t="shared" si="118"/>
        <v>#N/A</v>
      </c>
      <c r="I285" s="21" t="e">
        <f t="shared" si="125"/>
        <v>#N/A</v>
      </c>
      <c r="J285" s="63" t="e">
        <f t="shared" si="119"/>
        <v>#N/A</v>
      </c>
      <c r="K285" s="66" t="str">
        <f t="shared" si="124"/>
        <v/>
      </c>
      <c r="L285" s="17"/>
      <c r="M285" s="23" t="e">
        <f t="shared" si="120"/>
        <v>#N/A</v>
      </c>
      <c r="N285" s="23" t="e">
        <f t="shared" si="108"/>
        <v>#N/A</v>
      </c>
      <c r="O285" s="23" t="e">
        <f t="shared" si="109"/>
        <v>#N/A</v>
      </c>
      <c r="P285" s="17"/>
      <c r="Q285" s="19" t="e">
        <f>IF(C285="","",'Tabla_Puntual&amp;Relacionamiento'!$E$24)</f>
        <v>#N/A</v>
      </c>
      <c r="R285" s="19" t="e">
        <f>IF(C285="","",IF($E$14="Pago_Bajo_Puntual",$M$17,""))</f>
        <v>#N/A</v>
      </c>
      <c r="S285" s="11" t="e">
        <f t="shared" si="121"/>
        <v>#N/A</v>
      </c>
      <c r="T285" s="23" t="e">
        <f t="shared" si="110"/>
        <v>#N/A</v>
      </c>
      <c r="U285" s="37" t="e">
        <f t="shared" si="111"/>
        <v>#N/A</v>
      </c>
      <c r="V285" s="37" t="e">
        <f t="shared" si="123"/>
        <v>#N/A</v>
      </c>
      <c r="X285" s="31" t="e">
        <f t="shared" si="112"/>
        <v>#N/A</v>
      </c>
      <c r="Y285" s="34">
        <f>Y284*1.019</f>
        <v>1.5129760319802379</v>
      </c>
      <c r="Z285" s="31" t="e">
        <f t="shared" si="113"/>
        <v>#N/A</v>
      </c>
      <c r="AA285" s="66">
        <f t="shared" si="114"/>
        <v>0</v>
      </c>
      <c r="AB285" s="6" t="e">
        <f t="shared" si="115"/>
        <v>#N/A</v>
      </c>
      <c r="AC285" s="48">
        <f t="shared" si="101"/>
        <v>0</v>
      </c>
    </row>
    <row r="286" spans="3:29" x14ac:dyDescent="0.25">
      <c r="C286" s="27" t="e">
        <f t="shared" si="116"/>
        <v>#N/A</v>
      </c>
      <c r="D286" s="30" t="e">
        <f t="shared" si="117"/>
        <v>#N/A</v>
      </c>
      <c r="E286" s="20" t="e">
        <f t="shared" si="122"/>
        <v>#N/A</v>
      </c>
      <c r="F286" s="20" t="e">
        <f t="shared" si="106"/>
        <v>#N/A</v>
      </c>
      <c r="G286" s="21" t="e">
        <f t="shared" si="107"/>
        <v>#N/A</v>
      </c>
      <c r="H286" s="24" t="e">
        <f t="shared" si="118"/>
        <v>#N/A</v>
      </c>
      <c r="I286" s="21" t="e">
        <f t="shared" si="125"/>
        <v>#N/A</v>
      </c>
      <c r="J286" s="63" t="e">
        <f t="shared" si="119"/>
        <v>#N/A</v>
      </c>
      <c r="K286" s="66" t="str">
        <f t="shared" si="124"/>
        <v/>
      </c>
      <c r="L286" s="17"/>
      <c r="M286" s="23" t="e">
        <f t="shared" si="120"/>
        <v>#N/A</v>
      </c>
      <c r="N286" s="23" t="e">
        <f t="shared" si="108"/>
        <v>#N/A</v>
      </c>
      <c r="O286" s="23" t="e">
        <f t="shared" si="109"/>
        <v>#N/A</v>
      </c>
      <c r="P286" s="17"/>
      <c r="Q286" s="19" t="e">
        <f>IF(C286="","",'Tabla_Puntual&amp;Relacionamiento'!$E$24)</f>
        <v>#N/A</v>
      </c>
      <c r="R286" s="19"/>
      <c r="S286" s="11" t="e">
        <f t="shared" si="121"/>
        <v>#N/A</v>
      </c>
      <c r="T286" s="23" t="e">
        <f t="shared" si="110"/>
        <v>#N/A</v>
      </c>
      <c r="U286" s="37" t="e">
        <f t="shared" si="111"/>
        <v>#N/A</v>
      </c>
      <c r="V286" s="37" t="e">
        <f t="shared" si="123"/>
        <v>#N/A</v>
      </c>
      <c r="X286" s="31" t="e">
        <f t="shared" si="112"/>
        <v>#N/A</v>
      </c>
      <c r="Y286" s="34">
        <f t="shared" ref="Y286:Y296" si="126">Y285</f>
        <v>1.5129760319802379</v>
      </c>
      <c r="Z286" s="31" t="e">
        <f t="shared" si="113"/>
        <v>#N/A</v>
      </c>
      <c r="AA286" s="66">
        <f t="shared" si="114"/>
        <v>0</v>
      </c>
      <c r="AB286" s="6" t="e">
        <f t="shared" si="115"/>
        <v>#N/A</v>
      </c>
      <c r="AC286" s="48">
        <f t="shared" si="101"/>
        <v>0</v>
      </c>
    </row>
    <row r="287" spans="3:29" x14ac:dyDescent="0.25">
      <c r="C287" s="27" t="e">
        <f t="shared" si="116"/>
        <v>#N/A</v>
      </c>
      <c r="D287" s="30" t="e">
        <f t="shared" si="117"/>
        <v>#N/A</v>
      </c>
      <c r="E287" s="20" t="e">
        <f t="shared" si="122"/>
        <v>#N/A</v>
      </c>
      <c r="F287" s="20" t="e">
        <f t="shared" si="106"/>
        <v>#N/A</v>
      </c>
      <c r="G287" s="21" t="e">
        <f t="shared" si="107"/>
        <v>#N/A</v>
      </c>
      <c r="H287" s="24" t="e">
        <f t="shared" si="118"/>
        <v>#N/A</v>
      </c>
      <c r="I287" s="21" t="e">
        <f t="shared" si="125"/>
        <v>#N/A</v>
      </c>
      <c r="J287" s="63" t="e">
        <f t="shared" si="119"/>
        <v>#N/A</v>
      </c>
      <c r="K287" s="66" t="str">
        <f t="shared" si="124"/>
        <v/>
      </c>
      <c r="L287" s="17"/>
      <c r="M287" s="23" t="e">
        <f t="shared" si="120"/>
        <v>#N/A</v>
      </c>
      <c r="N287" s="23" t="e">
        <f t="shared" si="108"/>
        <v>#N/A</v>
      </c>
      <c r="O287" s="23" t="e">
        <f t="shared" si="109"/>
        <v>#N/A</v>
      </c>
      <c r="P287" s="17"/>
      <c r="Q287" s="19" t="e">
        <f>IF(C287="","",'Tabla_Puntual&amp;Relacionamiento'!$E$24)</f>
        <v>#N/A</v>
      </c>
      <c r="R287" s="19"/>
      <c r="S287" s="11" t="e">
        <f t="shared" si="121"/>
        <v>#N/A</v>
      </c>
      <c r="T287" s="23" t="e">
        <f t="shared" si="110"/>
        <v>#N/A</v>
      </c>
      <c r="U287" s="37" t="e">
        <f t="shared" si="111"/>
        <v>#N/A</v>
      </c>
      <c r="V287" s="37" t="e">
        <f t="shared" si="123"/>
        <v>#N/A</v>
      </c>
      <c r="X287" s="31" t="e">
        <f t="shared" si="112"/>
        <v>#N/A</v>
      </c>
      <c r="Y287" s="34">
        <f t="shared" si="126"/>
        <v>1.5129760319802379</v>
      </c>
      <c r="Z287" s="31" t="e">
        <f t="shared" si="113"/>
        <v>#N/A</v>
      </c>
      <c r="AA287" s="66">
        <f t="shared" si="114"/>
        <v>0</v>
      </c>
      <c r="AB287" s="6" t="e">
        <f t="shared" si="115"/>
        <v>#N/A</v>
      </c>
      <c r="AC287" s="48">
        <f t="shared" si="101"/>
        <v>0</v>
      </c>
    </row>
    <row r="288" spans="3:29" x14ac:dyDescent="0.25">
      <c r="C288" s="27" t="e">
        <f t="shared" si="116"/>
        <v>#N/A</v>
      </c>
      <c r="D288" s="30" t="e">
        <f t="shared" si="117"/>
        <v>#N/A</v>
      </c>
      <c r="E288" s="20" t="e">
        <f t="shared" si="122"/>
        <v>#N/A</v>
      </c>
      <c r="F288" s="20" t="e">
        <f t="shared" si="106"/>
        <v>#N/A</v>
      </c>
      <c r="G288" s="21" t="e">
        <f t="shared" si="107"/>
        <v>#N/A</v>
      </c>
      <c r="H288" s="24" t="e">
        <f t="shared" si="118"/>
        <v>#N/A</v>
      </c>
      <c r="I288" s="21" t="e">
        <f t="shared" si="125"/>
        <v>#N/A</v>
      </c>
      <c r="J288" s="63" t="e">
        <f t="shared" si="119"/>
        <v>#N/A</v>
      </c>
      <c r="K288" s="66" t="str">
        <f t="shared" si="124"/>
        <v/>
      </c>
      <c r="L288" s="17"/>
      <c r="M288" s="23" t="e">
        <f t="shared" si="120"/>
        <v>#N/A</v>
      </c>
      <c r="N288" s="23" t="e">
        <f t="shared" si="108"/>
        <v>#N/A</v>
      </c>
      <c r="O288" s="23" t="e">
        <f t="shared" si="109"/>
        <v>#N/A</v>
      </c>
      <c r="P288" s="17"/>
      <c r="Q288" s="19" t="e">
        <f>IF(C288="","",'Tabla_Puntual&amp;Relacionamiento'!$E$24)</f>
        <v>#N/A</v>
      </c>
      <c r="R288" s="19"/>
      <c r="S288" s="11" t="e">
        <f t="shared" si="121"/>
        <v>#N/A</v>
      </c>
      <c r="T288" s="23" t="e">
        <f t="shared" si="110"/>
        <v>#N/A</v>
      </c>
      <c r="U288" s="37" t="e">
        <f t="shared" si="111"/>
        <v>#N/A</v>
      </c>
      <c r="V288" s="37" t="e">
        <f t="shared" si="123"/>
        <v>#N/A</v>
      </c>
      <c r="X288" s="31" t="e">
        <f t="shared" si="112"/>
        <v>#N/A</v>
      </c>
      <c r="Y288" s="34">
        <f t="shared" si="126"/>
        <v>1.5129760319802379</v>
      </c>
      <c r="Z288" s="31" t="e">
        <f t="shared" si="113"/>
        <v>#N/A</v>
      </c>
      <c r="AA288" s="66">
        <f t="shared" si="114"/>
        <v>0</v>
      </c>
      <c r="AB288" s="6" t="e">
        <f t="shared" si="115"/>
        <v>#N/A</v>
      </c>
      <c r="AC288" s="48">
        <f t="shared" si="101"/>
        <v>0</v>
      </c>
    </row>
    <row r="289" spans="3:29" x14ac:dyDescent="0.25">
      <c r="C289" s="27" t="e">
        <f t="shared" si="116"/>
        <v>#N/A</v>
      </c>
      <c r="D289" s="30" t="e">
        <f t="shared" si="117"/>
        <v>#N/A</v>
      </c>
      <c r="E289" s="20" t="e">
        <f t="shared" si="122"/>
        <v>#N/A</v>
      </c>
      <c r="F289" s="20" t="e">
        <f t="shared" si="106"/>
        <v>#N/A</v>
      </c>
      <c r="G289" s="21" t="e">
        <f t="shared" si="107"/>
        <v>#N/A</v>
      </c>
      <c r="H289" s="24" t="e">
        <f t="shared" si="118"/>
        <v>#N/A</v>
      </c>
      <c r="I289" s="21" t="e">
        <f t="shared" si="125"/>
        <v>#N/A</v>
      </c>
      <c r="J289" s="63" t="e">
        <f t="shared" si="119"/>
        <v>#N/A</v>
      </c>
      <c r="K289" s="66" t="str">
        <f t="shared" si="124"/>
        <v/>
      </c>
      <c r="L289" s="17"/>
      <c r="M289" s="23" t="e">
        <f t="shared" si="120"/>
        <v>#N/A</v>
      </c>
      <c r="N289" s="23" t="e">
        <f t="shared" si="108"/>
        <v>#N/A</v>
      </c>
      <c r="O289" s="23" t="e">
        <f t="shared" si="109"/>
        <v>#N/A</v>
      </c>
      <c r="P289" s="17"/>
      <c r="Q289" s="19" t="e">
        <f>IF(C289="","",'Tabla_Puntual&amp;Relacionamiento'!$E$24)</f>
        <v>#N/A</v>
      </c>
      <c r="R289" s="19"/>
      <c r="S289" s="11" t="e">
        <f t="shared" si="121"/>
        <v>#N/A</v>
      </c>
      <c r="T289" s="23" t="e">
        <f t="shared" si="110"/>
        <v>#N/A</v>
      </c>
      <c r="U289" s="37" t="e">
        <f t="shared" si="111"/>
        <v>#N/A</v>
      </c>
      <c r="V289" s="37" t="e">
        <f t="shared" si="123"/>
        <v>#N/A</v>
      </c>
      <c r="X289" s="31" t="e">
        <f t="shared" si="112"/>
        <v>#N/A</v>
      </c>
      <c r="Y289" s="34">
        <f t="shared" si="126"/>
        <v>1.5129760319802379</v>
      </c>
      <c r="Z289" s="31" t="e">
        <f t="shared" si="113"/>
        <v>#N/A</v>
      </c>
      <c r="AA289" s="66">
        <f t="shared" si="114"/>
        <v>0</v>
      </c>
      <c r="AB289" s="6" t="e">
        <f t="shared" si="115"/>
        <v>#N/A</v>
      </c>
      <c r="AC289" s="48">
        <f t="shared" si="101"/>
        <v>0</v>
      </c>
    </row>
    <row r="290" spans="3:29" x14ac:dyDescent="0.25">
      <c r="C290" s="27" t="e">
        <f t="shared" si="116"/>
        <v>#N/A</v>
      </c>
      <c r="D290" s="30" t="e">
        <f t="shared" si="117"/>
        <v>#N/A</v>
      </c>
      <c r="E290" s="20" t="e">
        <f t="shared" si="122"/>
        <v>#N/A</v>
      </c>
      <c r="F290" s="20" t="e">
        <f t="shared" si="106"/>
        <v>#N/A</v>
      </c>
      <c r="G290" s="21" t="e">
        <f t="shared" si="107"/>
        <v>#N/A</v>
      </c>
      <c r="H290" s="24" t="e">
        <f t="shared" si="118"/>
        <v>#N/A</v>
      </c>
      <c r="I290" s="21" t="e">
        <f t="shared" si="125"/>
        <v>#N/A</v>
      </c>
      <c r="J290" s="63" t="e">
        <f t="shared" si="119"/>
        <v>#N/A</v>
      </c>
      <c r="K290" s="66" t="str">
        <f t="shared" si="124"/>
        <v/>
      </c>
      <c r="L290" s="17"/>
      <c r="M290" s="23" t="e">
        <f t="shared" si="120"/>
        <v>#N/A</v>
      </c>
      <c r="N290" s="23" t="e">
        <f t="shared" si="108"/>
        <v>#N/A</v>
      </c>
      <c r="O290" s="23" t="e">
        <f t="shared" si="109"/>
        <v>#N/A</v>
      </c>
      <c r="P290" s="17"/>
      <c r="Q290" s="19" t="e">
        <f>IF(C290="","",'Tabla_Puntual&amp;Relacionamiento'!$E$24)</f>
        <v>#N/A</v>
      </c>
      <c r="R290" s="19"/>
      <c r="S290" s="11" t="e">
        <f t="shared" si="121"/>
        <v>#N/A</v>
      </c>
      <c r="T290" s="23" t="e">
        <f t="shared" si="110"/>
        <v>#N/A</v>
      </c>
      <c r="U290" s="37" t="e">
        <f t="shared" si="111"/>
        <v>#N/A</v>
      </c>
      <c r="V290" s="37" t="e">
        <f t="shared" si="123"/>
        <v>#N/A</v>
      </c>
      <c r="X290" s="31" t="e">
        <f t="shared" si="112"/>
        <v>#N/A</v>
      </c>
      <c r="Y290" s="34">
        <f t="shared" si="126"/>
        <v>1.5129760319802379</v>
      </c>
      <c r="Z290" s="31" t="e">
        <f t="shared" si="113"/>
        <v>#N/A</v>
      </c>
      <c r="AA290" s="66">
        <f t="shared" si="114"/>
        <v>0</v>
      </c>
      <c r="AB290" s="6" t="e">
        <f t="shared" si="115"/>
        <v>#N/A</v>
      </c>
      <c r="AC290" s="48">
        <f t="shared" si="101"/>
        <v>0</v>
      </c>
    </row>
    <row r="291" spans="3:29" x14ac:dyDescent="0.25">
      <c r="C291" s="27" t="e">
        <f t="shared" si="116"/>
        <v>#N/A</v>
      </c>
      <c r="D291" s="30" t="e">
        <f t="shared" si="117"/>
        <v>#N/A</v>
      </c>
      <c r="E291" s="20" t="e">
        <f t="shared" si="122"/>
        <v>#N/A</v>
      </c>
      <c r="F291" s="20" t="e">
        <f t="shared" si="106"/>
        <v>#N/A</v>
      </c>
      <c r="G291" s="21" t="e">
        <f t="shared" si="107"/>
        <v>#N/A</v>
      </c>
      <c r="H291" s="24" t="e">
        <f t="shared" si="118"/>
        <v>#N/A</v>
      </c>
      <c r="I291" s="21" t="e">
        <f t="shared" si="125"/>
        <v>#N/A</v>
      </c>
      <c r="J291" s="63" t="e">
        <f t="shared" si="119"/>
        <v>#N/A</v>
      </c>
      <c r="K291" s="66" t="str">
        <f t="shared" si="124"/>
        <v/>
      </c>
      <c r="L291" s="17"/>
      <c r="M291" s="23" t="e">
        <f t="shared" si="120"/>
        <v>#N/A</v>
      </c>
      <c r="N291" s="23" t="e">
        <f t="shared" si="108"/>
        <v>#N/A</v>
      </c>
      <c r="O291" s="23" t="e">
        <f t="shared" si="109"/>
        <v>#N/A</v>
      </c>
      <c r="P291" s="17"/>
      <c r="Q291" s="19" t="e">
        <f>IF(C291="","",'Tabla_Puntual&amp;Relacionamiento'!$E$24)</f>
        <v>#N/A</v>
      </c>
      <c r="R291" s="19"/>
      <c r="S291" s="11" t="e">
        <f t="shared" si="121"/>
        <v>#N/A</v>
      </c>
      <c r="T291" s="23" t="e">
        <f t="shared" si="110"/>
        <v>#N/A</v>
      </c>
      <c r="U291" s="37" t="e">
        <f t="shared" si="111"/>
        <v>#N/A</v>
      </c>
      <c r="V291" s="37" t="e">
        <f t="shared" si="123"/>
        <v>#N/A</v>
      </c>
      <c r="X291" s="31" t="e">
        <f t="shared" si="112"/>
        <v>#N/A</v>
      </c>
      <c r="Y291" s="34">
        <f t="shared" si="126"/>
        <v>1.5129760319802379</v>
      </c>
      <c r="Z291" s="31" t="e">
        <f t="shared" si="113"/>
        <v>#N/A</v>
      </c>
      <c r="AA291" s="66">
        <f t="shared" si="114"/>
        <v>0</v>
      </c>
      <c r="AB291" s="6" t="e">
        <f t="shared" si="115"/>
        <v>#N/A</v>
      </c>
      <c r="AC291" s="48">
        <f t="shared" ref="AC291:AC320" si="127">AC290</f>
        <v>0</v>
      </c>
    </row>
    <row r="292" spans="3:29" x14ac:dyDescent="0.25">
      <c r="C292" s="27" t="e">
        <f t="shared" si="116"/>
        <v>#N/A</v>
      </c>
      <c r="D292" s="30" t="e">
        <f t="shared" si="117"/>
        <v>#N/A</v>
      </c>
      <c r="E292" s="20" t="e">
        <f t="shared" si="122"/>
        <v>#N/A</v>
      </c>
      <c r="F292" s="20" t="e">
        <f t="shared" si="106"/>
        <v>#N/A</v>
      </c>
      <c r="G292" s="21" t="e">
        <f t="shared" si="107"/>
        <v>#N/A</v>
      </c>
      <c r="H292" s="24" t="e">
        <f t="shared" si="118"/>
        <v>#N/A</v>
      </c>
      <c r="I292" s="21" t="e">
        <f t="shared" si="125"/>
        <v>#N/A</v>
      </c>
      <c r="J292" s="63" t="e">
        <f t="shared" si="119"/>
        <v>#N/A</v>
      </c>
      <c r="K292" s="66" t="str">
        <f t="shared" si="124"/>
        <v/>
      </c>
      <c r="L292" s="17"/>
      <c r="M292" s="23" t="e">
        <f t="shared" si="120"/>
        <v>#N/A</v>
      </c>
      <c r="N292" s="23" t="e">
        <f t="shared" si="108"/>
        <v>#N/A</v>
      </c>
      <c r="O292" s="23" t="e">
        <f t="shared" si="109"/>
        <v>#N/A</v>
      </c>
      <c r="P292" s="17"/>
      <c r="Q292" s="19" t="e">
        <f>IF(C292="","",'Tabla_Puntual&amp;Relacionamiento'!$E$24)</f>
        <v>#N/A</v>
      </c>
      <c r="R292" s="19"/>
      <c r="S292" s="11" t="e">
        <f t="shared" si="121"/>
        <v>#N/A</v>
      </c>
      <c r="T292" s="23" t="e">
        <f t="shared" si="110"/>
        <v>#N/A</v>
      </c>
      <c r="U292" s="37" t="e">
        <f t="shared" si="111"/>
        <v>#N/A</v>
      </c>
      <c r="V292" s="37" t="e">
        <f t="shared" si="123"/>
        <v>#N/A</v>
      </c>
      <c r="X292" s="31" t="e">
        <f t="shared" si="112"/>
        <v>#N/A</v>
      </c>
      <c r="Y292" s="34">
        <f t="shared" si="126"/>
        <v>1.5129760319802379</v>
      </c>
      <c r="Z292" s="31" t="e">
        <f t="shared" si="113"/>
        <v>#N/A</v>
      </c>
      <c r="AA292" s="66">
        <f t="shared" si="114"/>
        <v>0</v>
      </c>
      <c r="AB292" s="6" t="e">
        <f t="shared" si="115"/>
        <v>#N/A</v>
      </c>
      <c r="AC292" s="48">
        <f t="shared" si="127"/>
        <v>0</v>
      </c>
    </row>
    <row r="293" spans="3:29" x14ac:dyDescent="0.25">
      <c r="C293" s="27" t="e">
        <f t="shared" si="116"/>
        <v>#N/A</v>
      </c>
      <c r="D293" s="30" t="e">
        <f t="shared" si="117"/>
        <v>#N/A</v>
      </c>
      <c r="E293" s="20" t="e">
        <f t="shared" si="122"/>
        <v>#N/A</v>
      </c>
      <c r="F293" s="20" t="e">
        <f t="shared" si="106"/>
        <v>#N/A</v>
      </c>
      <c r="G293" s="21" t="e">
        <f t="shared" si="107"/>
        <v>#N/A</v>
      </c>
      <c r="H293" s="24" t="e">
        <f t="shared" si="118"/>
        <v>#N/A</v>
      </c>
      <c r="I293" s="21" t="e">
        <f t="shared" si="125"/>
        <v>#N/A</v>
      </c>
      <c r="J293" s="63" t="e">
        <f t="shared" si="119"/>
        <v>#N/A</v>
      </c>
      <c r="K293" s="66" t="str">
        <f t="shared" si="124"/>
        <v/>
      </c>
      <c r="L293" s="17"/>
      <c r="M293" s="23" t="e">
        <f t="shared" si="120"/>
        <v>#N/A</v>
      </c>
      <c r="N293" s="23" t="e">
        <f t="shared" si="108"/>
        <v>#N/A</v>
      </c>
      <c r="O293" s="23" t="e">
        <f t="shared" si="109"/>
        <v>#N/A</v>
      </c>
      <c r="P293" s="17"/>
      <c r="Q293" s="19" t="e">
        <f>IF(C293="","",'Tabla_Puntual&amp;Relacionamiento'!$E$24)</f>
        <v>#N/A</v>
      </c>
      <c r="R293" s="19"/>
      <c r="S293" s="11" t="e">
        <f t="shared" si="121"/>
        <v>#N/A</v>
      </c>
      <c r="T293" s="23" t="e">
        <f t="shared" si="110"/>
        <v>#N/A</v>
      </c>
      <c r="U293" s="37" t="e">
        <f t="shared" si="111"/>
        <v>#N/A</v>
      </c>
      <c r="V293" s="37" t="e">
        <f t="shared" si="123"/>
        <v>#N/A</v>
      </c>
      <c r="X293" s="31" t="e">
        <f t="shared" si="112"/>
        <v>#N/A</v>
      </c>
      <c r="Y293" s="34">
        <f t="shared" si="126"/>
        <v>1.5129760319802379</v>
      </c>
      <c r="Z293" s="31" t="e">
        <f t="shared" si="113"/>
        <v>#N/A</v>
      </c>
      <c r="AA293" s="66">
        <f t="shared" si="114"/>
        <v>0</v>
      </c>
      <c r="AB293" s="6" t="e">
        <f t="shared" si="115"/>
        <v>#N/A</v>
      </c>
      <c r="AC293" s="48">
        <f t="shared" si="127"/>
        <v>0</v>
      </c>
    </row>
    <row r="294" spans="3:29" x14ac:dyDescent="0.25">
      <c r="C294" s="27" t="e">
        <f t="shared" si="116"/>
        <v>#N/A</v>
      </c>
      <c r="D294" s="30" t="e">
        <f t="shared" si="117"/>
        <v>#N/A</v>
      </c>
      <c r="E294" s="20" t="e">
        <f t="shared" si="122"/>
        <v>#N/A</v>
      </c>
      <c r="F294" s="20" t="e">
        <f t="shared" si="106"/>
        <v>#N/A</v>
      </c>
      <c r="G294" s="21" t="e">
        <f t="shared" si="107"/>
        <v>#N/A</v>
      </c>
      <c r="H294" s="24" t="e">
        <f t="shared" si="118"/>
        <v>#N/A</v>
      </c>
      <c r="I294" s="21" t="e">
        <f t="shared" si="125"/>
        <v>#N/A</v>
      </c>
      <c r="J294" s="63" t="e">
        <f t="shared" si="119"/>
        <v>#N/A</v>
      </c>
      <c r="K294" s="66" t="str">
        <f t="shared" si="124"/>
        <v/>
      </c>
      <c r="L294" s="17"/>
      <c r="M294" s="23" t="e">
        <f t="shared" si="120"/>
        <v>#N/A</v>
      </c>
      <c r="N294" s="23" t="e">
        <f t="shared" si="108"/>
        <v>#N/A</v>
      </c>
      <c r="O294" s="23" t="e">
        <f t="shared" si="109"/>
        <v>#N/A</v>
      </c>
      <c r="P294" s="17"/>
      <c r="Q294" s="19" t="e">
        <f>IF(C294="","",'Tabla_Puntual&amp;Relacionamiento'!$E$24)</f>
        <v>#N/A</v>
      </c>
      <c r="R294" s="19"/>
      <c r="S294" s="11" t="e">
        <f t="shared" si="121"/>
        <v>#N/A</v>
      </c>
      <c r="T294" s="23" t="e">
        <f t="shared" si="110"/>
        <v>#N/A</v>
      </c>
      <c r="U294" s="37" t="e">
        <f t="shared" si="111"/>
        <v>#N/A</v>
      </c>
      <c r="V294" s="37" t="e">
        <f t="shared" si="123"/>
        <v>#N/A</v>
      </c>
      <c r="X294" s="31" t="e">
        <f t="shared" si="112"/>
        <v>#N/A</v>
      </c>
      <c r="Y294" s="34">
        <f t="shared" si="126"/>
        <v>1.5129760319802379</v>
      </c>
      <c r="Z294" s="31" t="e">
        <f t="shared" si="113"/>
        <v>#N/A</v>
      </c>
      <c r="AA294" s="66">
        <f t="shared" si="114"/>
        <v>0</v>
      </c>
      <c r="AB294" s="6" t="e">
        <f t="shared" si="115"/>
        <v>#N/A</v>
      </c>
      <c r="AC294" s="48">
        <f t="shared" si="127"/>
        <v>0</v>
      </c>
    </row>
    <row r="295" spans="3:29" x14ac:dyDescent="0.25">
      <c r="C295" s="27" t="e">
        <f t="shared" si="116"/>
        <v>#N/A</v>
      </c>
      <c r="D295" s="30" t="e">
        <f t="shared" si="117"/>
        <v>#N/A</v>
      </c>
      <c r="E295" s="20" t="e">
        <f t="shared" si="122"/>
        <v>#N/A</v>
      </c>
      <c r="F295" s="20" t="e">
        <f t="shared" si="106"/>
        <v>#N/A</v>
      </c>
      <c r="G295" s="21" t="e">
        <f t="shared" si="107"/>
        <v>#N/A</v>
      </c>
      <c r="H295" s="24" t="e">
        <f t="shared" si="118"/>
        <v>#N/A</v>
      </c>
      <c r="I295" s="21" t="e">
        <f t="shared" si="125"/>
        <v>#N/A</v>
      </c>
      <c r="J295" s="63" t="e">
        <f t="shared" si="119"/>
        <v>#N/A</v>
      </c>
      <c r="K295" s="66" t="str">
        <f t="shared" si="124"/>
        <v/>
      </c>
      <c r="L295" s="17"/>
      <c r="M295" s="23" t="e">
        <f t="shared" si="120"/>
        <v>#N/A</v>
      </c>
      <c r="N295" s="23" t="e">
        <f t="shared" si="108"/>
        <v>#N/A</v>
      </c>
      <c r="O295" s="23" t="e">
        <f t="shared" si="109"/>
        <v>#N/A</v>
      </c>
      <c r="P295" s="17"/>
      <c r="Q295" s="19" t="e">
        <f>IF(C295="","",'Tabla_Puntual&amp;Relacionamiento'!$E$24)</f>
        <v>#N/A</v>
      </c>
      <c r="R295" s="19"/>
      <c r="S295" s="11" t="e">
        <f t="shared" si="121"/>
        <v>#N/A</v>
      </c>
      <c r="T295" s="23" t="e">
        <f t="shared" si="110"/>
        <v>#N/A</v>
      </c>
      <c r="U295" s="37" t="e">
        <f t="shared" si="111"/>
        <v>#N/A</v>
      </c>
      <c r="V295" s="37" t="e">
        <f t="shared" si="123"/>
        <v>#N/A</v>
      </c>
      <c r="X295" s="31" t="e">
        <f t="shared" si="112"/>
        <v>#N/A</v>
      </c>
      <c r="Y295" s="34">
        <f t="shared" si="126"/>
        <v>1.5129760319802379</v>
      </c>
      <c r="Z295" s="31" t="e">
        <f t="shared" si="113"/>
        <v>#N/A</v>
      </c>
      <c r="AA295" s="66">
        <f t="shared" si="114"/>
        <v>0</v>
      </c>
      <c r="AB295" s="6" t="e">
        <f t="shared" si="115"/>
        <v>#N/A</v>
      </c>
      <c r="AC295" s="48">
        <f t="shared" si="127"/>
        <v>0</v>
      </c>
    </row>
    <row r="296" spans="3:29" x14ac:dyDescent="0.25">
      <c r="C296" s="27" t="e">
        <f t="shared" si="116"/>
        <v>#N/A</v>
      </c>
      <c r="D296" s="30" t="e">
        <f t="shared" si="117"/>
        <v>#N/A</v>
      </c>
      <c r="E296" s="20" t="e">
        <f t="shared" si="122"/>
        <v>#N/A</v>
      </c>
      <c r="F296" s="20" t="e">
        <f t="shared" si="106"/>
        <v>#N/A</v>
      </c>
      <c r="G296" s="21" t="e">
        <f t="shared" si="107"/>
        <v>#N/A</v>
      </c>
      <c r="H296" s="24" t="e">
        <f t="shared" si="118"/>
        <v>#N/A</v>
      </c>
      <c r="I296" s="21" t="e">
        <f t="shared" si="125"/>
        <v>#N/A</v>
      </c>
      <c r="J296" s="63" t="e">
        <f t="shared" si="119"/>
        <v>#N/A</v>
      </c>
      <c r="K296" s="66" t="str">
        <f t="shared" si="124"/>
        <v/>
      </c>
      <c r="L296" s="17"/>
      <c r="M296" s="23" t="e">
        <f t="shared" si="120"/>
        <v>#N/A</v>
      </c>
      <c r="N296" s="23" t="e">
        <f t="shared" si="108"/>
        <v>#N/A</v>
      </c>
      <c r="O296" s="23" t="e">
        <f t="shared" si="109"/>
        <v>#N/A</v>
      </c>
      <c r="P296" s="17"/>
      <c r="Q296" s="19" t="e">
        <f>IF(C296="","",'Tabla_Puntual&amp;Relacionamiento'!$E$24)</f>
        <v>#N/A</v>
      </c>
      <c r="R296" s="19"/>
      <c r="S296" s="11" t="e">
        <f t="shared" si="121"/>
        <v>#N/A</v>
      </c>
      <c r="T296" s="23" t="e">
        <f t="shared" si="110"/>
        <v>#N/A</v>
      </c>
      <c r="U296" s="37" t="e">
        <f t="shared" si="111"/>
        <v>#N/A</v>
      </c>
      <c r="V296" s="37" t="e">
        <f t="shared" si="123"/>
        <v>#N/A</v>
      </c>
      <c r="X296" s="31" t="e">
        <f t="shared" si="112"/>
        <v>#N/A</v>
      </c>
      <c r="Y296" s="34">
        <f t="shared" si="126"/>
        <v>1.5129760319802379</v>
      </c>
      <c r="Z296" s="31" t="e">
        <f t="shared" si="113"/>
        <v>#N/A</v>
      </c>
      <c r="AA296" s="66">
        <f t="shared" si="114"/>
        <v>0</v>
      </c>
      <c r="AB296" s="6" t="e">
        <f t="shared" si="115"/>
        <v>#N/A</v>
      </c>
      <c r="AC296" s="48">
        <f t="shared" si="127"/>
        <v>0</v>
      </c>
    </row>
    <row r="297" spans="3:29" x14ac:dyDescent="0.25">
      <c r="C297" s="27" t="e">
        <f t="shared" si="116"/>
        <v>#N/A</v>
      </c>
      <c r="D297" s="30" t="e">
        <f t="shared" si="117"/>
        <v>#N/A</v>
      </c>
      <c r="E297" s="20" t="e">
        <f t="shared" si="122"/>
        <v>#N/A</v>
      </c>
      <c r="F297" s="20" t="e">
        <f t="shared" si="106"/>
        <v>#N/A</v>
      </c>
      <c r="G297" s="21" t="e">
        <f t="shared" si="107"/>
        <v>#N/A</v>
      </c>
      <c r="H297" s="24" t="e">
        <f t="shared" si="118"/>
        <v>#N/A</v>
      </c>
      <c r="I297" s="21" t="e">
        <f t="shared" si="125"/>
        <v>#N/A</v>
      </c>
      <c r="J297" s="63" t="e">
        <f t="shared" si="119"/>
        <v>#N/A</v>
      </c>
      <c r="K297" s="66" t="str">
        <f t="shared" si="124"/>
        <v/>
      </c>
      <c r="L297" s="17"/>
      <c r="M297" s="23" t="e">
        <f t="shared" si="120"/>
        <v>#N/A</v>
      </c>
      <c r="N297" s="23" t="e">
        <f t="shared" si="108"/>
        <v>#N/A</v>
      </c>
      <c r="O297" s="23" t="e">
        <f t="shared" si="109"/>
        <v>#N/A</v>
      </c>
      <c r="P297" s="17"/>
      <c r="Q297" s="19" t="e">
        <f>IF(C297="","",'Tabla_Puntual&amp;Relacionamiento'!$E$25)</f>
        <v>#N/A</v>
      </c>
      <c r="R297" s="19" t="e">
        <f>IF(C297="","",IF($E$14="Pago_Bajo_Puntual",$M$17,""))</f>
        <v>#N/A</v>
      </c>
      <c r="S297" s="11" t="e">
        <f t="shared" si="121"/>
        <v>#N/A</v>
      </c>
      <c r="T297" s="23" t="e">
        <f t="shared" si="110"/>
        <v>#N/A</v>
      </c>
      <c r="U297" s="37" t="e">
        <f t="shared" si="111"/>
        <v>#N/A</v>
      </c>
      <c r="V297" s="37" t="e">
        <f t="shared" si="123"/>
        <v>#N/A</v>
      </c>
      <c r="X297" s="31" t="e">
        <f t="shared" si="112"/>
        <v>#N/A</v>
      </c>
      <c r="Y297" s="34">
        <f>Y296*1.019</f>
        <v>1.5417225765878622</v>
      </c>
      <c r="Z297" s="31" t="e">
        <f t="shared" si="113"/>
        <v>#N/A</v>
      </c>
      <c r="AA297" s="66">
        <f t="shared" si="114"/>
        <v>0</v>
      </c>
      <c r="AB297" s="6" t="e">
        <f t="shared" si="115"/>
        <v>#N/A</v>
      </c>
      <c r="AC297" s="48">
        <f t="shared" si="127"/>
        <v>0</v>
      </c>
    </row>
    <row r="298" spans="3:29" x14ac:dyDescent="0.25">
      <c r="C298" s="27" t="e">
        <f t="shared" si="116"/>
        <v>#N/A</v>
      </c>
      <c r="D298" s="30" t="e">
        <f t="shared" si="117"/>
        <v>#N/A</v>
      </c>
      <c r="E298" s="20" t="e">
        <f t="shared" si="122"/>
        <v>#N/A</v>
      </c>
      <c r="F298" s="20" t="e">
        <f t="shared" si="106"/>
        <v>#N/A</v>
      </c>
      <c r="G298" s="21" t="e">
        <f t="shared" si="107"/>
        <v>#N/A</v>
      </c>
      <c r="H298" s="24" t="e">
        <f t="shared" si="118"/>
        <v>#N/A</v>
      </c>
      <c r="I298" s="21" t="e">
        <f t="shared" si="125"/>
        <v>#N/A</v>
      </c>
      <c r="J298" s="63" t="e">
        <f t="shared" si="119"/>
        <v>#N/A</v>
      </c>
      <c r="K298" s="66" t="str">
        <f t="shared" si="124"/>
        <v/>
      </c>
      <c r="L298" s="17"/>
      <c r="M298" s="23" t="e">
        <f t="shared" si="120"/>
        <v>#N/A</v>
      </c>
      <c r="N298" s="23" t="e">
        <f t="shared" si="108"/>
        <v>#N/A</v>
      </c>
      <c r="O298" s="23" t="e">
        <f t="shared" si="109"/>
        <v>#N/A</v>
      </c>
      <c r="P298" s="17"/>
      <c r="Q298" s="19" t="e">
        <f>IF(C298="","",'Tabla_Puntual&amp;Relacionamiento'!$E$25)</f>
        <v>#N/A</v>
      </c>
      <c r="R298" s="19"/>
      <c r="S298" s="11" t="e">
        <f t="shared" si="121"/>
        <v>#N/A</v>
      </c>
      <c r="T298" s="23" t="e">
        <f t="shared" si="110"/>
        <v>#N/A</v>
      </c>
      <c r="U298" s="37" t="e">
        <f t="shared" si="111"/>
        <v>#N/A</v>
      </c>
      <c r="V298" s="37" t="e">
        <f t="shared" si="123"/>
        <v>#N/A</v>
      </c>
      <c r="X298" s="31" t="e">
        <f t="shared" si="112"/>
        <v>#N/A</v>
      </c>
      <c r="Y298" s="34">
        <f t="shared" ref="Y298:Y308" si="128">Y297</f>
        <v>1.5417225765878622</v>
      </c>
      <c r="Z298" s="31" t="e">
        <f t="shared" si="113"/>
        <v>#N/A</v>
      </c>
      <c r="AA298" s="66">
        <f t="shared" si="114"/>
        <v>0</v>
      </c>
      <c r="AB298" s="6" t="e">
        <f t="shared" si="115"/>
        <v>#N/A</v>
      </c>
      <c r="AC298" s="48">
        <f t="shared" si="127"/>
        <v>0</v>
      </c>
    </row>
    <row r="299" spans="3:29" x14ac:dyDescent="0.25">
      <c r="C299" s="27" t="e">
        <f t="shared" si="116"/>
        <v>#N/A</v>
      </c>
      <c r="D299" s="30" t="e">
        <f t="shared" si="117"/>
        <v>#N/A</v>
      </c>
      <c r="E299" s="20" t="e">
        <f t="shared" si="122"/>
        <v>#N/A</v>
      </c>
      <c r="F299" s="20" t="e">
        <f t="shared" si="106"/>
        <v>#N/A</v>
      </c>
      <c r="G299" s="21" t="e">
        <f t="shared" si="107"/>
        <v>#N/A</v>
      </c>
      <c r="H299" s="24" t="e">
        <f t="shared" si="118"/>
        <v>#N/A</v>
      </c>
      <c r="I299" s="21" t="e">
        <f t="shared" si="125"/>
        <v>#N/A</v>
      </c>
      <c r="J299" s="63" t="e">
        <f t="shared" si="119"/>
        <v>#N/A</v>
      </c>
      <c r="K299" s="66" t="str">
        <f t="shared" si="124"/>
        <v/>
      </c>
      <c r="L299" s="17"/>
      <c r="M299" s="23" t="e">
        <f t="shared" si="120"/>
        <v>#N/A</v>
      </c>
      <c r="N299" s="23" t="e">
        <f t="shared" si="108"/>
        <v>#N/A</v>
      </c>
      <c r="O299" s="23" t="e">
        <f t="shared" si="109"/>
        <v>#N/A</v>
      </c>
      <c r="P299" s="17"/>
      <c r="Q299" s="19" t="e">
        <f>IF(C299="","",'Tabla_Puntual&amp;Relacionamiento'!$E$25)</f>
        <v>#N/A</v>
      </c>
      <c r="R299" s="19"/>
      <c r="S299" s="11" t="e">
        <f t="shared" si="121"/>
        <v>#N/A</v>
      </c>
      <c r="T299" s="23" t="e">
        <f t="shared" si="110"/>
        <v>#N/A</v>
      </c>
      <c r="U299" s="37" t="e">
        <f t="shared" si="111"/>
        <v>#N/A</v>
      </c>
      <c r="V299" s="37" t="e">
        <f t="shared" si="123"/>
        <v>#N/A</v>
      </c>
      <c r="X299" s="31" t="e">
        <f t="shared" si="112"/>
        <v>#N/A</v>
      </c>
      <c r="Y299" s="34">
        <f t="shared" si="128"/>
        <v>1.5417225765878622</v>
      </c>
      <c r="Z299" s="31" t="e">
        <f t="shared" si="113"/>
        <v>#N/A</v>
      </c>
      <c r="AA299" s="66">
        <f t="shared" si="114"/>
        <v>0</v>
      </c>
      <c r="AB299" s="6" t="e">
        <f t="shared" si="115"/>
        <v>#N/A</v>
      </c>
      <c r="AC299" s="48">
        <f t="shared" si="127"/>
        <v>0</v>
      </c>
    </row>
    <row r="300" spans="3:29" x14ac:dyDescent="0.25">
      <c r="C300" s="27" t="e">
        <f t="shared" si="116"/>
        <v>#N/A</v>
      </c>
      <c r="D300" s="30" t="e">
        <f t="shared" si="117"/>
        <v>#N/A</v>
      </c>
      <c r="E300" s="20" t="e">
        <f t="shared" si="122"/>
        <v>#N/A</v>
      </c>
      <c r="F300" s="20" t="e">
        <f t="shared" si="106"/>
        <v>#N/A</v>
      </c>
      <c r="G300" s="21" t="e">
        <f t="shared" si="107"/>
        <v>#N/A</v>
      </c>
      <c r="H300" s="24" t="e">
        <f t="shared" si="118"/>
        <v>#N/A</v>
      </c>
      <c r="I300" s="21" t="e">
        <f t="shared" si="125"/>
        <v>#N/A</v>
      </c>
      <c r="J300" s="63" t="e">
        <f t="shared" si="119"/>
        <v>#N/A</v>
      </c>
      <c r="K300" s="66" t="str">
        <f t="shared" si="124"/>
        <v/>
      </c>
      <c r="L300" s="17"/>
      <c r="M300" s="23" t="e">
        <f t="shared" si="120"/>
        <v>#N/A</v>
      </c>
      <c r="N300" s="23" t="e">
        <f t="shared" si="108"/>
        <v>#N/A</v>
      </c>
      <c r="O300" s="23" t="e">
        <f t="shared" si="109"/>
        <v>#N/A</v>
      </c>
      <c r="P300" s="17"/>
      <c r="Q300" s="19" t="e">
        <f>IF(C300="","",'Tabla_Puntual&amp;Relacionamiento'!$E$25)</f>
        <v>#N/A</v>
      </c>
      <c r="R300" s="19"/>
      <c r="S300" s="11" t="e">
        <f t="shared" si="121"/>
        <v>#N/A</v>
      </c>
      <c r="T300" s="23" t="e">
        <f t="shared" si="110"/>
        <v>#N/A</v>
      </c>
      <c r="U300" s="37" t="e">
        <f t="shared" si="111"/>
        <v>#N/A</v>
      </c>
      <c r="V300" s="37" t="e">
        <f t="shared" si="123"/>
        <v>#N/A</v>
      </c>
      <c r="X300" s="31" t="e">
        <f t="shared" si="112"/>
        <v>#N/A</v>
      </c>
      <c r="Y300" s="34">
        <f t="shared" si="128"/>
        <v>1.5417225765878622</v>
      </c>
      <c r="Z300" s="31" t="e">
        <f t="shared" si="113"/>
        <v>#N/A</v>
      </c>
      <c r="AA300" s="66">
        <f t="shared" si="114"/>
        <v>0</v>
      </c>
      <c r="AB300" s="6" t="e">
        <f t="shared" si="115"/>
        <v>#N/A</v>
      </c>
      <c r="AC300" s="48">
        <f t="shared" si="127"/>
        <v>0</v>
      </c>
    </row>
    <row r="301" spans="3:29" x14ac:dyDescent="0.25">
      <c r="C301" s="27" t="e">
        <f t="shared" si="116"/>
        <v>#N/A</v>
      </c>
      <c r="D301" s="30" t="e">
        <f t="shared" si="117"/>
        <v>#N/A</v>
      </c>
      <c r="E301" s="20" t="e">
        <f t="shared" si="122"/>
        <v>#N/A</v>
      </c>
      <c r="F301" s="20" t="e">
        <f t="shared" si="106"/>
        <v>#N/A</v>
      </c>
      <c r="G301" s="21" t="e">
        <f t="shared" si="107"/>
        <v>#N/A</v>
      </c>
      <c r="H301" s="24" t="e">
        <f t="shared" si="118"/>
        <v>#N/A</v>
      </c>
      <c r="I301" s="21" t="e">
        <f t="shared" si="125"/>
        <v>#N/A</v>
      </c>
      <c r="J301" s="63" t="e">
        <f t="shared" si="119"/>
        <v>#N/A</v>
      </c>
      <c r="K301" s="66" t="str">
        <f t="shared" si="124"/>
        <v/>
      </c>
      <c r="L301" s="17"/>
      <c r="M301" s="23" t="e">
        <f t="shared" si="120"/>
        <v>#N/A</v>
      </c>
      <c r="N301" s="23" t="e">
        <f t="shared" si="108"/>
        <v>#N/A</v>
      </c>
      <c r="O301" s="23" t="e">
        <f t="shared" si="109"/>
        <v>#N/A</v>
      </c>
      <c r="P301" s="17"/>
      <c r="Q301" s="19" t="e">
        <f>IF(C301="","",'Tabla_Puntual&amp;Relacionamiento'!$E$25)</f>
        <v>#N/A</v>
      </c>
      <c r="R301" s="19"/>
      <c r="S301" s="11" t="e">
        <f t="shared" si="121"/>
        <v>#N/A</v>
      </c>
      <c r="T301" s="23" t="e">
        <f t="shared" si="110"/>
        <v>#N/A</v>
      </c>
      <c r="U301" s="37" t="e">
        <f t="shared" si="111"/>
        <v>#N/A</v>
      </c>
      <c r="V301" s="37" t="e">
        <f t="shared" si="123"/>
        <v>#N/A</v>
      </c>
      <c r="X301" s="31" t="e">
        <f t="shared" si="112"/>
        <v>#N/A</v>
      </c>
      <c r="Y301" s="34">
        <f t="shared" si="128"/>
        <v>1.5417225765878622</v>
      </c>
      <c r="Z301" s="31" t="e">
        <f t="shared" si="113"/>
        <v>#N/A</v>
      </c>
      <c r="AA301" s="66">
        <f t="shared" si="114"/>
        <v>0</v>
      </c>
      <c r="AB301" s="6" t="e">
        <f t="shared" si="115"/>
        <v>#N/A</v>
      </c>
      <c r="AC301" s="48">
        <f t="shared" si="127"/>
        <v>0</v>
      </c>
    </row>
    <row r="302" spans="3:29" x14ac:dyDescent="0.25">
      <c r="C302" s="27" t="e">
        <f t="shared" si="116"/>
        <v>#N/A</v>
      </c>
      <c r="D302" s="30" t="e">
        <f t="shared" si="117"/>
        <v>#N/A</v>
      </c>
      <c r="E302" s="20" t="e">
        <f t="shared" si="122"/>
        <v>#N/A</v>
      </c>
      <c r="F302" s="20" t="e">
        <f t="shared" si="106"/>
        <v>#N/A</v>
      </c>
      <c r="G302" s="21" t="e">
        <f t="shared" si="107"/>
        <v>#N/A</v>
      </c>
      <c r="H302" s="24" t="e">
        <f t="shared" si="118"/>
        <v>#N/A</v>
      </c>
      <c r="I302" s="21" t="e">
        <f t="shared" si="125"/>
        <v>#N/A</v>
      </c>
      <c r="J302" s="63" t="e">
        <f t="shared" si="119"/>
        <v>#N/A</v>
      </c>
      <c r="K302" s="66" t="str">
        <f t="shared" si="124"/>
        <v/>
      </c>
      <c r="L302" s="17"/>
      <c r="M302" s="23" t="e">
        <f t="shared" si="120"/>
        <v>#N/A</v>
      </c>
      <c r="N302" s="23" t="e">
        <f t="shared" si="108"/>
        <v>#N/A</v>
      </c>
      <c r="O302" s="23" t="e">
        <f t="shared" si="109"/>
        <v>#N/A</v>
      </c>
      <c r="P302" s="17"/>
      <c r="Q302" s="19" t="e">
        <f>IF(C302="","",'Tabla_Puntual&amp;Relacionamiento'!$E$25)</f>
        <v>#N/A</v>
      </c>
      <c r="R302" s="19"/>
      <c r="S302" s="11" t="e">
        <f t="shared" si="121"/>
        <v>#N/A</v>
      </c>
      <c r="T302" s="23" t="e">
        <f t="shared" si="110"/>
        <v>#N/A</v>
      </c>
      <c r="U302" s="37" t="e">
        <f t="shared" si="111"/>
        <v>#N/A</v>
      </c>
      <c r="V302" s="37" t="e">
        <f t="shared" si="123"/>
        <v>#N/A</v>
      </c>
      <c r="X302" s="31" t="e">
        <f t="shared" si="112"/>
        <v>#N/A</v>
      </c>
      <c r="Y302" s="34">
        <f t="shared" si="128"/>
        <v>1.5417225765878622</v>
      </c>
      <c r="Z302" s="31" t="e">
        <f t="shared" si="113"/>
        <v>#N/A</v>
      </c>
      <c r="AA302" s="66">
        <f t="shared" si="114"/>
        <v>0</v>
      </c>
      <c r="AB302" s="6" t="e">
        <f t="shared" si="115"/>
        <v>#N/A</v>
      </c>
      <c r="AC302" s="48">
        <f t="shared" si="127"/>
        <v>0</v>
      </c>
    </row>
    <row r="303" spans="3:29" x14ac:dyDescent="0.25">
      <c r="C303" s="27" t="e">
        <f t="shared" si="116"/>
        <v>#N/A</v>
      </c>
      <c r="D303" s="30" t="e">
        <f t="shared" si="117"/>
        <v>#N/A</v>
      </c>
      <c r="E303" s="20" t="e">
        <f t="shared" si="122"/>
        <v>#N/A</v>
      </c>
      <c r="F303" s="20" t="e">
        <f t="shared" si="106"/>
        <v>#N/A</v>
      </c>
      <c r="G303" s="21" t="e">
        <f t="shared" si="107"/>
        <v>#N/A</v>
      </c>
      <c r="H303" s="24" t="e">
        <f t="shared" si="118"/>
        <v>#N/A</v>
      </c>
      <c r="I303" s="21" t="e">
        <f t="shared" si="125"/>
        <v>#N/A</v>
      </c>
      <c r="J303" s="63" t="e">
        <f t="shared" si="119"/>
        <v>#N/A</v>
      </c>
      <c r="K303" s="66" t="str">
        <f t="shared" si="124"/>
        <v/>
      </c>
      <c r="L303" s="17"/>
      <c r="M303" s="23" t="e">
        <f t="shared" si="120"/>
        <v>#N/A</v>
      </c>
      <c r="N303" s="23" t="e">
        <f t="shared" si="108"/>
        <v>#N/A</v>
      </c>
      <c r="O303" s="23" t="e">
        <f t="shared" si="109"/>
        <v>#N/A</v>
      </c>
      <c r="P303" s="17"/>
      <c r="Q303" s="19" t="e">
        <f>IF(C303="","",'Tabla_Puntual&amp;Relacionamiento'!$E$25)</f>
        <v>#N/A</v>
      </c>
      <c r="R303" s="19"/>
      <c r="S303" s="11" t="e">
        <f t="shared" si="121"/>
        <v>#N/A</v>
      </c>
      <c r="T303" s="23" t="e">
        <f t="shared" si="110"/>
        <v>#N/A</v>
      </c>
      <c r="U303" s="37" t="e">
        <f t="shared" si="111"/>
        <v>#N/A</v>
      </c>
      <c r="V303" s="37" t="e">
        <f t="shared" si="123"/>
        <v>#N/A</v>
      </c>
      <c r="X303" s="31" t="e">
        <f t="shared" si="112"/>
        <v>#N/A</v>
      </c>
      <c r="Y303" s="34">
        <f t="shared" si="128"/>
        <v>1.5417225765878622</v>
      </c>
      <c r="Z303" s="31" t="e">
        <f t="shared" si="113"/>
        <v>#N/A</v>
      </c>
      <c r="AA303" s="66">
        <f t="shared" si="114"/>
        <v>0</v>
      </c>
      <c r="AB303" s="6" t="e">
        <f t="shared" si="115"/>
        <v>#N/A</v>
      </c>
      <c r="AC303" s="48">
        <f t="shared" si="127"/>
        <v>0</v>
      </c>
    </row>
    <row r="304" spans="3:29" x14ac:dyDescent="0.25">
      <c r="C304" s="27" t="e">
        <f t="shared" si="116"/>
        <v>#N/A</v>
      </c>
      <c r="D304" s="30" t="e">
        <f t="shared" si="117"/>
        <v>#N/A</v>
      </c>
      <c r="E304" s="20" t="e">
        <f t="shared" si="122"/>
        <v>#N/A</v>
      </c>
      <c r="F304" s="20" t="e">
        <f t="shared" si="106"/>
        <v>#N/A</v>
      </c>
      <c r="G304" s="21" t="e">
        <f t="shared" si="107"/>
        <v>#N/A</v>
      </c>
      <c r="H304" s="24" t="e">
        <f t="shared" si="118"/>
        <v>#N/A</v>
      </c>
      <c r="I304" s="21" t="e">
        <f t="shared" si="125"/>
        <v>#N/A</v>
      </c>
      <c r="J304" s="63" t="e">
        <f t="shared" si="119"/>
        <v>#N/A</v>
      </c>
      <c r="K304" s="66" t="str">
        <f t="shared" si="124"/>
        <v/>
      </c>
      <c r="L304" s="17"/>
      <c r="M304" s="23" t="e">
        <f t="shared" si="120"/>
        <v>#N/A</v>
      </c>
      <c r="N304" s="23" t="e">
        <f t="shared" si="108"/>
        <v>#N/A</v>
      </c>
      <c r="O304" s="23" t="e">
        <f t="shared" si="109"/>
        <v>#N/A</v>
      </c>
      <c r="P304" s="17"/>
      <c r="Q304" s="19" t="e">
        <f>IF(C304="","",'Tabla_Puntual&amp;Relacionamiento'!$E$25)</f>
        <v>#N/A</v>
      </c>
      <c r="R304" s="19"/>
      <c r="S304" s="11" t="e">
        <f t="shared" si="121"/>
        <v>#N/A</v>
      </c>
      <c r="T304" s="23" t="e">
        <f t="shared" si="110"/>
        <v>#N/A</v>
      </c>
      <c r="U304" s="37" t="e">
        <f t="shared" si="111"/>
        <v>#N/A</v>
      </c>
      <c r="V304" s="37" t="e">
        <f t="shared" si="123"/>
        <v>#N/A</v>
      </c>
      <c r="X304" s="31" t="e">
        <f t="shared" si="112"/>
        <v>#N/A</v>
      </c>
      <c r="Y304" s="34">
        <f t="shared" si="128"/>
        <v>1.5417225765878622</v>
      </c>
      <c r="Z304" s="31" t="e">
        <f t="shared" si="113"/>
        <v>#N/A</v>
      </c>
      <c r="AA304" s="66">
        <f t="shared" si="114"/>
        <v>0</v>
      </c>
      <c r="AB304" s="6" t="e">
        <f t="shared" si="115"/>
        <v>#N/A</v>
      </c>
      <c r="AC304" s="48">
        <f t="shared" si="127"/>
        <v>0</v>
      </c>
    </row>
    <row r="305" spans="3:29" x14ac:dyDescent="0.25">
      <c r="C305" s="27" t="e">
        <f t="shared" si="116"/>
        <v>#N/A</v>
      </c>
      <c r="D305" s="30" t="e">
        <f t="shared" si="117"/>
        <v>#N/A</v>
      </c>
      <c r="E305" s="20" t="e">
        <f t="shared" si="122"/>
        <v>#N/A</v>
      </c>
      <c r="F305" s="20" t="e">
        <f t="shared" si="106"/>
        <v>#N/A</v>
      </c>
      <c r="G305" s="21" t="e">
        <f t="shared" si="107"/>
        <v>#N/A</v>
      </c>
      <c r="H305" s="24" t="e">
        <f t="shared" si="118"/>
        <v>#N/A</v>
      </c>
      <c r="I305" s="21" t="e">
        <f t="shared" si="125"/>
        <v>#N/A</v>
      </c>
      <c r="J305" s="63" t="e">
        <f t="shared" si="119"/>
        <v>#N/A</v>
      </c>
      <c r="K305" s="66" t="str">
        <f t="shared" si="124"/>
        <v/>
      </c>
      <c r="L305" s="17"/>
      <c r="M305" s="23" t="e">
        <f t="shared" si="120"/>
        <v>#N/A</v>
      </c>
      <c r="N305" s="23" t="e">
        <f t="shared" si="108"/>
        <v>#N/A</v>
      </c>
      <c r="O305" s="23" t="e">
        <f t="shared" si="109"/>
        <v>#N/A</v>
      </c>
      <c r="P305" s="17"/>
      <c r="Q305" s="19" t="e">
        <f>IF(C305="","",'Tabla_Puntual&amp;Relacionamiento'!$E$25)</f>
        <v>#N/A</v>
      </c>
      <c r="R305" s="19"/>
      <c r="S305" s="11" t="e">
        <f t="shared" si="121"/>
        <v>#N/A</v>
      </c>
      <c r="T305" s="23" t="e">
        <f t="shared" si="110"/>
        <v>#N/A</v>
      </c>
      <c r="U305" s="37" t="e">
        <f t="shared" si="111"/>
        <v>#N/A</v>
      </c>
      <c r="V305" s="37" t="e">
        <f t="shared" si="123"/>
        <v>#N/A</v>
      </c>
      <c r="X305" s="31" t="e">
        <f t="shared" si="112"/>
        <v>#N/A</v>
      </c>
      <c r="Y305" s="34">
        <f t="shared" si="128"/>
        <v>1.5417225765878622</v>
      </c>
      <c r="Z305" s="31" t="e">
        <f t="shared" si="113"/>
        <v>#N/A</v>
      </c>
      <c r="AA305" s="66">
        <f t="shared" si="114"/>
        <v>0</v>
      </c>
      <c r="AB305" s="6" t="e">
        <f t="shared" si="115"/>
        <v>#N/A</v>
      </c>
      <c r="AC305" s="48">
        <f t="shared" si="127"/>
        <v>0</v>
      </c>
    </row>
    <row r="306" spans="3:29" x14ac:dyDescent="0.25">
      <c r="C306" s="27" t="e">
        <f t="shared" si="116"/>
        <v>#N/A</v>
      </c>
      <c r="D306" s="30" t="e">
        <f t="shared" si="117"/>
        <v>#N/A</v>
      </c>
      <c r="E306" s="20" t="e">
        <f t="shared" si="122"/>
        <v>#N/A</v>
      </c>
      <c r="F306" s="20" t="e">
        <f t="shared" si="106"/>
        <v>#N/A</v>
      </c>
      <c r="G306" s="21" t="e">
        <f t="shared" si="107"/>
        <v>#N/A</v>
      </c>
      <c r="H306" s="24" t="e">
        <f t="shared" si="118"/>
        <v>#N/A</v>
      </c>
      <c r="I306" s="21" t="e">
        <f t="shared" si="125"/>
        <v>#N/A</v>
      </c>
      <c r="J306" s="63" t="e">
        <f t="shared" si="119"/>
        <v>#N/A</v>
      </c>
      <c r="K306" s="66" t="str">
        <f t="shared" si="124"/>
        <v/>
      </c>
      <c r="L306" s="17"/>
      <c r="M306" s="23" t="e">
        <f t="shared" si="120"/>
        <v>#N/A</v>
      </c>
      <c r="N306" s="23" t="e">
        <f t="shared" si="108"/>
        <v>#N/A</v>
      </c>
      <c r="O306" s="23" t="e">
        <f t="shared" si="109"/>
        <v>#N/A</v>
      </c>
      <c r="P306" s="17"/>
      <c r="Q306" s="19" t="e">
        <f>IF(C306="","",'Tabla_Puntual&amp;Relacionamiento'!$E$25)</f>
        <v>#N/A</v>
      </c>
      <c r="R306" s="19"/>
      <c r="S306" s="11" t="e">
        <f t="shared" si="121"/>
        <v>#N/A</v>
      </c>
      <c r="T306" s="23" t="e">
        <f t="shared" si="110"/>
        <v>#N/A</v>
      </c>
      <c r="U306" s="37" t="e">
        <f t="shared" si="111"/>
        <v>#N/A</v>
      </c>
      <c r="V306" s="37" t="e">
        <f t="shared" si="123"/>
        <v>#N/A</v>
      </c>
      <c r="X306" s="31" t="e">
        <f t="shared" si="112"/>
        <v>#N/A</v>
      </c>
      <c r="Y306" s="34">
        <f t="shared" si="128"/>
        <v>1.5417225765878622</v>
      </c>
      <c r="Z306" s="31" t="e">
        <f t="shared" si="113"/>
        <v>#N/A</v>
      </c>
      <c r="AA306" s="66">
        <f t="shared" si="114"/>
        <v>0</v>
      </c>
      <c r="AB306" s="6" t="e">
        <f t="shared" si="115"/>
        <v>#N/A</v>
      </c>
      <c r="AC306" s="48">
        <f t="shared" si="127"/>
        <v>0</v>
      </c>
    </row>
    <row r="307" spans="3:29" x14ac:dyDescent="0.25">
      <c r="C307" s="27" t="e">
        <f t="shared" si="116"/>
        <v>#N/A</v>
      </c>
      <c r="D307" s="30" t="e">
        <f t="shared" si="117"/>
        <v>#N/A</v>
      </c>
      <c r="E307" s="20" t="e">
        <f t="shared" si="122"/>
        <v>#N/A</v>
      </c>
      <c r="F307" s="20" t="e">
        <f t="shared" si="106"/>
        <v>#N/A</v>
      </c>
      <c r="G307" s="21" t="e">
        <f t="shared" si="107"/>
        <v>#N/A</v>
      </c>
      <c r="H307" s="24" t="e">
        <f t="shared" si="118"/>
        <v>#N/A</v>
      </c>
      <c r="I307" s="21" t="e">
        <f t="shared" si="125"/>
        <v>#N/A</v>
      </c>
      <c r="J307" s="63" t="e">
        <f t="shared" si="119"/>
        <v>#N/A</v>
      </c>
      <c r="K307" s="66" t="str">
        <f t="shared" si="124"/>
        <v/>
      </c>
      <c r="L307" s="17"/>
      <c r="M307" s="23" t="e">
        <f t="shared" si="120"/>
        <v>#N/A</v>
      </c>
      <c r="N307" s="23" t="e">
        <f t="shared" si="108"/>
        <v>#N/A</v>
      </c>
      <c r="O307" s="23" t="e">
        <f t="shared" si="109"/>
        <v>#N/A</v>
      </c>
      <c r="P307" s="17"/>
      <c r="Q307" s="19" t="e">
        <f>IF(C307="","",'Tabla_Puntual&amp;Relacionamiento'!$E$25)</f>
        <v>#N/A</v>
      </c>
      <c r="R307" s="19"/>
      <c r="S307" s="11" t="e">
        <f t="shared" si="121"/>
        <v>#N/A</v>
      </c>
      <c r="T307" s="23" t="e">
        <f t="shared" si="110"/>
        <v>#N/A</v>
      </c>
      <c r="U307" s="37" t="e">
        <f t="shared" si="111"/>
        <v>#N/A</v>
      </c>
      <c r="V307" s="37" t="e">
        <f t="shared" si="123"/>
        <v>#N/A</v>
      </c>
      <c r="X307" s="31" t="e">
        <f t="shared" si="112"/>
        <v>#N/A</v>
      </c>
      <c r="Y307" s="34">
        <f t="shared" si="128"/>
        <v>1.5417225765878622</v>
      </c>
      <c r="Z307" s="31" t="e">
        <f t="shared" si="113"/>
        <v>#N/A</v>
      </c>
      <c r="AA307" s="66">
        <f t="shared" si="114"/>
        <v>0</v>
      </c>
      <c r="AB307" s="6" t="e">
        <f t="shared" si="115"/>
        <v>#N/A</v>
      </c>
      <c r="AC307" s="48">
        <f t="shared" si="127"/>
        <v>0</v>
      </c>
    </row>
    <row r="308" spans="3:29" x14ac:dyDescent="0.25">
      <c r="C308" s="27" t="e">
        <f t="shared" si="116"/>
        <v>#N/A</v>
      </c>
      <c r="D308" s="30" t="e">
        <f t="shared" si="117"/>
        <v>#N/A</v>
      </c>
      <c r="E308" s="20" t="e">
        <f t="shared" si="122"/>
        <v>#N/A</v>
      </c>
      <c r="F308" s="20" t="e">
        <f t="shared" si="106"/>
        <v>#N/A</v>
      </c>
      <c r="G308" s="21" t="e">
        <f t="shared" si="107"/>
        <v>#N/A</v>
      </c>
      <c r="H308" s="24" t="e">
        <f t="shared" si="118"/>
        <v>#N/A</v>
      </c>
      <c r="I308" s="21" t="e">
        <f t="shared" si="125"/>
        <v>#N/A</v>
      </c>
      <c r="J308" s="63" t="e">
        <f t="shared" si="119"/>
        <v>#N/A</v>
      </c>
      <c r="K308" s="66" t="str">
        <f t="shared" si="124"/>
        <v/>
      </c>
      <c r="L308" s="17"/>
      <c r="M308" s="23" t="e">
        <f t="shared" si="120"/>
        <v>#N/A</v>
      </c>
      <c r="N308" s="23" t="e">
        <f t="shared" si="108"/>
        <v>#N/A</v>
      </c>
      <c r="O308" s="23" t="e">
        <f t="shared" si="109"/>
        <v>#N/A</v>
      </c>
      <c r="P308" s="17"/>
      <c r="Q308" s="19" t="e">
        <f>IF(C308="","",'Tabla_Puntual&amp;Relacionamiento'!$E$25)</f>
        <v>#N/A</v>
      </c>
      <c r="R308" s="19"/>
      <c r="S308" s="11" t="e">
        <f t="shared" si="121"/>
        <v>#N/A</v>
      </c>
      <c r="T308" s="23" t="e">
        <f t="shared" si="110"/>
        <v>#N/A</v>
      </c>
      <c r="U308" s="37" t="e">
        <f t="shared" si="111"/>
        <v>#N/A</v>
      </c>
      <c r="V308" s="37" t="e">
        <f t="shared" si="123"/>
        <v>#N/A</v>
      </c>
      <c r="X308" s="31" t="e">
        <f t="shared" si="112"/>
        <v>#N/A</v>
      </c>
      <c r="Y308" s="34">
        <f t="shared" si="128"/>
        <v>1.5417225765878622</v>
      </c>
      <c r="Z308" s="31" t="e">
        <f t="shared" si="113"/>
        <v>#N/A</v>
      </c>
      <c r="AA308" s="66">
        <f t="shared" si="114"/>
        <v>0</v>
      </c>
      <c r="AB308" s="6" t="e">
        <f t="shared" si="115"/>
        <v>#N/A</v>
      </c>
      <c r="AC308" s="48">
        <f t="shared" si="127"/>
        <v>0</v>
      </c>
    </row>
    <row r="309" spans="3:29" x14ac:dyDescent="0.25">
      <c r="C309" s="27" t="e">
        <f t="shared" si="116"/>
        <v>#N/A</v>
      </c>
      <c r="D309" s="30" t="e">
        <f t="shared" si="117"/>
        <v>#N/A</v>
      </c>
      <c r="E309" s="20" t="e">
        <f t="shared" si="122"/>
        <v>#N/A</v>
      </c>
      <c r="F309" s="20" t="e">
        <f t="shared" si="106"/>
        <v>#N/A</v>
      </c>
      <c r="G309" s="21" t="e">
        <f t="shared" si="107"/>
        <v>#N/A</v>
      </c>
      <c r="H309" s="24" t="e">
        <f t="shared" si="118"/>
        <v>#N/A</v>
      </c>
      <c r="I309" s="21" t="e">
        <f t="shared" si="125"/>
        <v>#N/A</v>
      </c>
      <c r="J309" s="63" t="e">
        <f t="shared" si="119"/>
        <v>#N/A</v>
      </c>
      <c r="K309" s="66" t="str">
        <f t="shared" si="124"/>
        <v/>
      </c>
      <c r="L309" s="17"/>
      <c r="M309" s="23" t="e">
        <f t="shared" si="120"/>
        <v>#N/A</v>
      </c>
      <c r="N309" s="23" t="e">
        <f t="shared" si="108"/>
        <v>#N/A</v>
      </c>
      <c r="O309" s="23" t="e">
        <f t="shared" si="109"/>
        <v>#N/A</v>
      </c>
      <c r="P309" s="17"/>
      <c r="Q309" s="19" t="e">
        <f>IF(C309="","",'Tabla_Puntual&amp;Relacionamiento'!$E$26)</f>
        <v>#N/A</v>
      </c>
      <c r="R309" s="19" t="e">
        <f>IF(C309="","",IF($E$14="Pago_Bajo_Puntual",$M$17,""))</f>
        <v>#N/A</v>
      </c>
      <c r="S309" s="11" t="e">
        <f t="shared" si="121"/>
        <v>#N/A</v>
      </c>
      <c r="T309" s="23" t="e">
        <f t="shared" si="110"/>
        <v>#N/A</v>
      </c>
      <c r="U309" s="37" t="e">
        <f t="shared" si="111"/>
        <v>#N/A</v>
      </c>
      <c r="V309" s="37" t="e">
        <f t="shared" si="123"/>
        <v>#N/A</v>
      </c>
      <c r="X309" s="31" t="e">
        <f t="shared" si="112"/>
        <v>#N/A</v>
      </c>
      <c r="Y309" s="34">
        <f>Y308*1.019</f>
        <v>1.5710153055430314</v>
      </c>
      <c r="Z309" s="31" t="e">
        <f t="shared" si="113"/>
        <v>#N/A</v>
      </c>
      <c r="AA309" s="66">
        <f t="shared" si="114"/>
        <v>0</v>
      </c>
      <c r="AB309" s="6" t="e">
        <f t="shared" si="115"/>
        <v>#N/A</v>
      </c>
      <c r="AC309" s="48">
        <f t="shared" si="127"/>
        <v>0</v>
      </c>
    </row>
    <row r="310" spans="3:29" x14ac:dyDescent="0.25">
      <c r="C310" s="27" t="e">
        <f t="shared" si="116"/>
        <v>#N/A</v>
      </c>
      <c r="D310" s="30" t="e">
        <f t="shared" si="117"/>
        <v>#N/A</v>
      </c>
      <c r="E310" s="20" t="e">
        <f t="shared" si="122"/>
        <v>#N/A</v>
      </c>
      <c r="F310" s="20" t="e">
        <f t="shared" si="106"/>
        <v>#N/A</v>
      </c>
      <c r="G310" s="21" t="e">
        <f t="shared" si="107"/>
        <v>#N/A</v>
      </c>
      <c r="H310" s="24" t="e">
        <f t="shared" si="118"/>
        <v>#N/A</v>
      </c>
      <c r="I310" s="21" t="e">
        <f t="shared" si="125"/>
        <v>#N/A</v>
      </c>
      <c r="J310" s="63" t="e">
        <f t="shared" si="119"/>
        <v>#N/A</v>
      </c>
      <c r="K310" s="66" t="str">
        <f t="shared" si="124"/>
        <v/>
      </c>
      <c r="L310" s="17"/>
      <c r="M310" s="23" t="e">
        <f t="shared" si="120"/>
        <v>#N/A</v>
      </c>
      <c r="N310" s="23" t="e">
        <f t="shared" si="108"/>
        <v>#N/A</v>
      </c>
      <c r="O310" s="23" t="e">
        <f t="shared" si="109"/>
        <v>#N/A</v>
      </c>
      <c r="P310" s="17"/>
      <c r="Q310" s="19" t="e">
        <f>IF(C310="","",'Tabla_Puntual&amp;Relacionamiento'!$E$26)</f>
        <v>#N/A</v>
      </c>
      <c r="R310" s="19"/>
      <c r="S310" s="11" t="e">
        <f t="shared" si="121"/>
        <v>#N/A</v>
      </c>
      <c r="T310" s="23" t="e">
        <f t="shared" si="110"/>
        <v>#N/A</v>
      </c>
      <c r="U310" s="37" t="e">
        <f t="shared" si="111"/>
        <v>#N/A</v>
      </c>
      <c r="V310" s="37" t="e">
        <f t="shared" si="123"/>
        <v>#N/A</v>
      </c>
      <c r="X310" s="31" t="e">
        <f t="shared" si="112"/>
        <v>#N/A</v>
      </c>
      <c r="Y310" s="34">
        <f t="shared" ref="Y310:Y320" si="129">Y309</f>
        <v>1.5710153055430314</v>
      </c>
      <c r="Z310" s="31" t="e">
        <f t="shared" si="113"/>
        <v>#N/A</v>
      </c>
      <c r="AA310" s="66">
        <f t="shared" si="114"/>
        <v>0</v>
      </c>
      <c r="AB310" s="6" t="e">
        <f t="shared" si="115"/>
        <v>#N/A</v>
      </c>
      <c r="AC310" s="48">
        <f t="shared" si="127"/>
        <v>0</v>
      </c>
    </row>
    <row r="311" spans="3:29" x14ac:dyDescent="0.25">
      <c r="C311" s="27" t="e">
        <f t="shared" si="116"/>
        <v>#N/A</v>
      </c>
      <c r="D311" s="30" t="e">
        <f t="shared" si="117"/>
        <v>#N/A</v>
      </c>
      <c r="E311" s="20" t="e">
        <f t="shared" si="122"/>
        <v>#N/A</v>
      </c>
      <c r="F311" s="20" t="e">
        <f t="shared" si="106"/>
        <v>#N/A</v>
      </c>
      <c r="G311" s="21" t="e">
        <f t="shared" si="107"/>
        <v>#N/A</v>
      </c>
      <c r="H311" s="24" t="e">
        <f t="shared" si="118"/>
        <v>#N/A</v>
      </c>
      <c r="I311" s="21" t="e">
        <f t="shared" si="125"/>
        <v>#N/A</v>
      </c>
      <c r="J311" s="63" t="e">
        <f t="shared" si="119"/>
        <v>#N/A</v>
      </c>
      <c r="K311" s="66" t="str">
        <f t="shared" si="124"/>
        <v/>
      </c>
      <c r="L311" s="17"/>
      <c r="M311" s="23" t="e">
        <f t="shared" si="120"/>
        <v>#N/A</v>
      </c>
      <c r="N311" s="23" t="e">
        <f t="shared" si="108"/>
        <v>#N/A</v>
      </c>
      <c r="O311" s="23" t="e">
        <f t="shared" si="109"/>
        <v>#N/A</v>
      </c>
      <c r="P311" s="17"/>
      <c r="Q311" s="19" t="e">
        <f>IF(C311="","",'Tabla_Puntual&amp;Relacionamiento'!$E$26)</f>
        <v>#N/A</v>
      </c>
      <c r="R311" s="19"/>
      <c r="S311" s="11" t="e">
        <f t="shared" si="121"/>
        <v>#N/A</v>
      </c>
      <c r="T311" s="23" t="e">
        <f t="shared" si="110"/>
        <v>#N/A</v>
      </c>
      <c r="U311" s="37" t="e">
        <f t="shared" si="111"/>
        <v>#N/A</v>
      </c>
      <c r="V311" s="37" t="e">
        <f t="shared" si="123"/>
        <v>#N/A</v>
      </c>
      <c r="X311" s="31" t="e">
        <f t="shared" si="112"/>
        <v>#N/A</v>
      </c>
      <c r="Y311" s="34">
        <f t="shared" si="129"/>
        <v>1.5710153055430314</v>
      </c>
      <c r="Z311" s="31" t="e">
        <f t="shared" si="113"/>
        <v>#N/A</v>
      </c>
      <c r="AA311" s="66">
        <f t="shared" si="114"/>
        <v>0</v>
      </c>
      <c r="AB311" s="6" t="e">
        <f t="shared" si="115"/>
        <v>#N/A</v>
      </c>
      <c r="AC311" s="48">
        <f t="shared" si="127"/>
        <v>0</v>
      </c>
    </row>
    <row r="312" spans="3:29" x14ac:dyDescent="0.25">
      <c r="C312" s="27" t="e">
        <f t="shared" si="116"/>
        <v>#N/A</v>
      </c>
      <c r="D312" s="30" t="e">
        <f t="shared" si="117"/>
        <v>#N/A</v>
      </c>
      <c r="E312" s="20" t="e">
        <f t="shared" si="122"/>
        <v>#N/A</v>
      </c>
      <c r="F312" s="20" t="e">
        <f t="shared" si="106"/>
        <v>#N/A</v>
      </c>
      <c r="G312" s="21" t="e">
        <f t="shared" si="107"/>
        <v>#N/A</v>
      </c>
      <c r="H312" s="24" t="e">
        <f t="shared" si="118"/>
        <v>#N/A</v>
      </c>
      <c r="I312" s="21" t="e">
        <f t="shared" si="125"/>
        <v>#N/A</v>
      </c>
      <c r="J312" s="63" t="e">
        <f t="shared" si="119"/>
        <v>#N/A</v>
      </c>
      <c r="K312" s="66" t="str">
        <f t="shared" si="124"/>
        <v/>
      </c>
      <c r="L312" s="17"/>
      <c r="M312" s="23" t="e">
        <f t="shared" si="120"/>
        <v>#N/A</v>
      </c>
      <c r="N312" s="23" t="e">
        <f t="shared" si="108"/>
        <v>#N/A</v>
      </c>
      <c r="O312" s="23" t="e">
        <f t="shared" si="109"/>
        <v>#N/A</v>
      </c>
      <c r="P312" s="17"/>
      <c r="Q312" s="19" t="e">
        <f>IF(C312="","",'Tabla_Puntual&amp;Relacionamiento'!$E$26)</f>
        <v>#N/A</v>
      </c>
      <c r="R312" s="19"/>
      <c r="S312" s="11" t="e">
        <f t="shared" si="121"/>
        <v>#N/A</v>
      </c>
      <c r="T312" s="23" t="e">
        <f t="shared" si="110"/>
        <v>#N/A</v>
      </c>
      <c r="U312" s="37" t="e">
        <f t="shared" si="111"/>
        <v>#N/A</v>
      </c>
      <c r="V312" s="37" t="e">
        <f t="shared" si="123"/>
        <v>#N/A</v>
      </c>
      <c r="X312" s="31" t="e">
        <f t="shared" si="112"/>
        <v>#N/A</v>
      </c>
      <c r="Y312" s="34">
        <f t="shared" si="129"/>
        <v>1.5710153055430314</v>
      </c>
      <c r="Z312" s="31" t="e">
        <f t="shared" si="113"/>
        <v>#N/A</v>
      </c>
      <c r="AA312" s="66">
        <f t="shared" si="114"/>
        <v>0</v>
      </c>
      <c r="AB312" s="6" t="e">
        <f t="shared" si="115"/>
        <v>#N/A</v>
      </c>
      <c r="AC312" s="48">
        <f t="shared" si="127"/>
        <v>0</v>
      </c>
    </row>
    <row r="313" spans="3:29" x14ac:dyDescent="0.25">
      <c r="C313" s="27" t="e">
        <f t="shared" si="116"/>
        <v>#N/A</v>
      </c>
      <c r="D313" s="30" t="e">
        <f t="shared" si="117"/>
        <v>#N/A</v>
      </c>
      <c r="E313" s="20" t="e">
        <f t="shared" si="122"/>
        <v>#N/A</v>
      </c>
      <c r="F313" s="20" t="e">
        <f t="shared" si="106"/>
        <v>#N/A</v>
      </c>
      <c r="G313" s="21" t="e">
        <f t="shared" si="107"/>
        <v>#N/A</v>
      </c>
      <c r="H313" s="24" t="e">
        <f t="shared" si="118"/>
        <v>#N/A</v>
      </c>
      <c r="I313" s="21" t="e">
        <f t="shared" si="125"/>
        <v>#N/A</v>
      </c>
      <c r="J313" s="63" t="e">
        <f t="shared" si="119"/>
        <v>#N/A</v>
      </c>
      <c r="K313" s="66" t="str">
        <f t="shared" si="124"/>
        <v/>
      </c>
      <c r="L313" s="17"/>
      <c r="M313" s="23" t="e">
        <f t="shared" si="120"/>
        <v>#N/A</v>
      </c>
      <c r="N313" s="23" t="e">
        <f t="shared" si="108"/>
        <v>#N/A</v>
      </c>
      <c r="O313" s="23" t="e">
        <f t="shared" si="109"/>
        <v>#N/A</v>
      </c>
      <c r="P313" s="17"/>
      <c r="Q313" s="19" t="e">
        <f>IF(C313="","",'Tabla_Puntual&amp;Relacionamiento'!$E$26)</f>
        <v>#N/A</v>
      </c>
      <c r="R313" s="19"/>
      <c r="S313" s="11" t="e">
        <f t="shared" si="121"/>
        <v>#N/A</v>
      </c>
      <c r="T313" s="23" t="e">
        <f t="shared" si="110"/>
        <v>#N/A</v>
      </c>
      <c r="U313" s="37" t="e">
        <f t="shared" si="111"/>
        <v>#N/A</v>
      </c>
      <c r="V313" s="37" t="e">
        <f t="shared" si="123"/>
        <v>#N/A</v>
      </c>
      <c r="X313" s="31" t="e">
        <f t="shared" si="112"/>
        <v>#N/A</v>
      </c>
      <c r="Y313" s="34">
        <f t="shared" si="129"/>
        <v>1.5710153055430314</v>
      </c>
      <c r="Z313" s="31" t="e">
        <f t="shared" si="113"/>
        <v>#N/A</v>
      </c>
      <c r="AA313" s="66">
        <f t="shared" si="114"/>
        <v>0</v>
      </c>
      <c r="AB313" s="6" t="e">
        <f t="shared" si="115"/>
        <v>#N/A</v>
      </c>
      <c r="AC313" s="48">
        <f t="shared" si="127"/>
        <v>0</v>
      </c>
    </row>
    <row r="314" spans="3:29" x14ac:dyDescent="0.25">
      <c r="C314" s="27" t="e">
        <f t="shared" si="116"/>
        <v>#N/A</v>
      </c>
      <c r="D314" s="30" t="e">
        <f t="shared" si="117"/>
        <v>#N/A</v>
      </c>
      <c r="E314" s="20" t="e">
        <f t="shared" si="122"/>
        <v>#N/A</v>
      </c>
      <c r="F314" s="20" t="e">
        <f t="shared" si="106"/>
        <v>#N/A</v>
      </c>
      <c r="G314" s="21" t="e">
        <f t="shared" si="107"/>
        <v>#N/A</v>
      </c>
      <c r="H314" s="24" t="e">
        <f t="shared" si="118"/>
        <v>#N/A</v>
      </c>
      <c r="I314" s="21" t="e">
        <f t="shared" si="125"/>
        <v>#N/A</v>
      </c>
      <c r="J314" s="63" t="e">
        <f t="shared" si="119"/>
        <v>#N/A</v>
      </c>
      <c r="K314" s="66" t="str">
        <f t="shared" si="124"/>
        <v/>
      </c>
      <c r="L314" s="17"/>
      <c r="M314" s="23" t="e">
        <f t="shared" si="120"/>
        <v>#N/A</v>
      </c>
      <c r="N314" s="23" t="e">
        <f t="shared" si="108"/>
        <v>#N/A</v>
      </c>
      <c r="O314" s="23" t="e">
        <f t="shared" si="109"/>
        <v>#N/A</v>
      </c>
      <c r="P314" s="17"/>
      <c r="Q314" s="19" t="e">
        <f>IF(C314="","",'Tabla_Puntual&amp;Relacionamiento'!$E$26)</f>
        <v>#N/A</v>
      </c>
      <c r="R314" s="19"/>
      <c r="S314" s="11" t="e">
        <f t="shared" si="121"/>
        <v>#N/A</v>
      </c>
      <c r="T314" s="23" t="e">
        <f t="shared" si="110"/>
        <v>#N/A</v>
      </c>
      <c r="U314" s="37" t="e">
        <f t="shared" si="111"/>
        <v>#N/A</v>
      </c>
      <c r="V314" s="37" t="e">
        <f t="shared" si="123"/>
        <v>#N/A</v>
      </c>
      <c r="X314" s="31" t="e">
        <f t="shared" si="112"/>
        <v>#N/A</v>
      </c>
      <c r="Y314" s="34">
        <f t="shared" si="129"/>
        <v>1.5710153055430314</v>
      </c>
      <c r="Z314" s="31" t="e">
        <f t="shared" si="113"/>
        <v>#N/A</v>
      </c>
      <c r="AA314" s="66">
        <f t="shared" si="114"/>
        <v>0</v>
      </c>
      <c r="AB314" s="6" t="e">
        <f t="shared" si="115"/>
        <v>#N/A</v>
      </c>
      <c r="AC314" s="48">
        <f t="shared" si="127"/>
        <v>0</v>
      </c>
    </row>
    <row r="315" spans="3:29" x14ac:dyDescent="0.25">
      <c r="C315" s="27" t="e">
        <f t="shared" si="116"/>
        <v>#N/A</v>
      </c>
      <c r="D315" s="30" t="e">
        <f t="shared" si="117"/>
        <v>#N/A</v>
      </c>
      <c r="E315" s="20" t="e">
        <f t="shared" si="122"/>
        <v>#N/A</v>
      </c>
      <c r="F315" s="20" t="e">
        <f t="shared" si="106"/>
        <v>#N/A</v>
      </c>
      <c r="G315" s="21" t="e">
        <f t="shared" si="107"/>
        <v>#N/A</v>
      </c>
      <c r="H315" s="24" t="e">
        <f t="shared" si="118"/>
        <v>#N/A</v>
      </c>
      <c r="I315" s="21" t="e">
        <f t="shared" si="125"/>
        <v>#N/A</v>
      </c>
      <c r="J315" s="63" t="e">
        <f t="shared" si="119"/>
        <v>#N/A</v>
      </c>
      <c r="K315" s="66" t="str">
        <f t="shared" si="124"/>
        <v/>
      </c>
      <c r="L315" s="17"/>
      <c r="M315" s="23" t="e">
        <f t="shared" si="120"/>
        <v>#N/A</v>
      </c>
      <c r="N315" s="23" t="e">
        <f t="shared" si="108"/>
        <v>#N/A</v>
      </c>
      <c r="O315" s="23" t="e">
        <f t="shared" si="109"/>
        <v>#N/A</v>
      </c>
      <c r="P315" s="17"/>
      <c r="Q315" s="19" t="e">
        <f>IF(C315="","",'Tabla_Puntual&amp;Relacionamiento'!$E$26)</f>
        <v>#N/A</v>
      </c>
      <c r="R315" s="19"/>
      <c r="S315" s="11" t="e">
        <f t="shared" si="121"/>
        <v>#N/A</v>
      </c>
      <c r="T315" s="23" t="e">
        <f t="shared" si="110"/>
        <v>#N/A</v>
      </c>
      <c r="U315" s="37" t="e">
        <f t="shared" si="111"/>
        <v>#N/A</v>
      </c>
      <c r="V315" s="37" t="e">
        <f t="shared" si="123"/>
        <v>#N/A</v>
      </c>
      <c r="X315" s="31" t="e">
        <f t="shared" si="112"/>
        <v>#N/A</v>
      </c>
      <c r="Y315" s="34">
        <f t="shared" si="129"/>
        <v>1.5710153055430314</v>
      </c>
      <c r="Z315" s="31" t="e">
        <f t="shared" si="113"/>
        <v>#N/A</v>
      </c>
      <c r="AA315" s="66">
        <f t="shared" si="114"/>
        <v>0</v>
      </c>
      <c r="AB315" s="6" t="e">
        <f t="shared" si="115"/>
        <v>#N/A</v>
      </c>
      <c r="AC315" s="48">
        <f t="shared" si="127"/>
        <v>0</v>
      </c>
    </row>
    <row r="316" spans="3:29" x14ac:dyDescent="0.25">
      <c r="C316" s="27" t="e">
        <f t="shared" si="116"/>
        <v>#N/A</v>
      </c>
      <c r="D316" s="30" t="e">
        <f t="shared" si="117"/>
        <v>#N/A</v>
      </c>
      <c r="E316" s="20" t="e">
        <f t="shared" si="122"/>
        <v>#N/A</v>
      </c>
      <c r="F316" s="20" t="e">
        <f t="shared" si="106"/>
        <v>#N/A</v>
      </c>
      <c r="G316" s="21" t="e">
        <f t="shared" si="107"/>
        <v>#N/A</v>
      </c>
      <c r="H316" s="24" t="e">
        <f t="shared" si="118"/>
        <v>#N/A</v>
      </c>
      <c r="I316" s="21" t="e">
        <f t="shared" si="125"/>
        <v>#N/A</v>
      </c>
      <c r="J316" s="63" t="e">
        <f t="shared" si="119"/>
        <v>#N/A</v>
      </c>
      <c r="K316" s="66" t="str">
        <f t="shared" si="124"/>
        <v/>
      </c>
      <c r="L316" s="17"/>
      <c r="M316" s="23" t="e">
        <f t="shared" si="120"/>
        <v>#N/A</v>
      </c>
      <c r="N316" s="23" t="e">
        <f t="shared" si="108"/>
        <v>#N/A</v>
      </c>
      <c r="O316" s="23" t="e">
        <f t="shared" si="109"/>
        <v>#N/A</v>
      </c>
      <c r="P316" s="17"/>
      <c r="Q316" s="19" t="e">
        <f>IF(C316="","",'Tabla_Puntual&amp;Relacionamiento'!$E$26)</f>
        <v>#N/A</v>
      </c>
      <c r="R316" s="19"/>
      <c r="S316" s="11" t="e">
        <f t="shared" si="121"/>
        <v>#N/A</v>
      </c>
      <c r="T316" s="23" t="e">
        <f t="shared" si="110"/>
        <v>#N/A</v>
      </c>
      <c r="U316" s="37" t="e">
        <f t="shared" si="111"/>
        <v>#N/A</v>
      </c>
      <c r="V316" s="37" t="e">
        <f t="shared" si="123"/>
        <v>#N/A</v>
      </c>
      <c r="X316" s="31" t="e">
        <f t="shared" si="112"/>
        <v>#N/A</v>
      </c>
      <c r="Y316" s="34">
        <f t="shared" si="129"/>
        <v>1.5710153055430314</v>
      </c>
      <c r="Z316" s="31" t="e">
        <f t="shared" si="113"/>
        <v>#N/A</v>
      </c>
      <c r="AA316" s="66">
        <f t="shared" si="114"/>
        <v>0</v>
      </c>
      <c r="AB316" s="6" t="e">
        <f t="shared" si="115"/>
        <v>#N/A</v>
      </c>
      <c r="AC316" s="48">
        <f t="shared" si="127"/>
        <v>0</v>
      </c>
    </row>
    <row r="317" spans="3:29" x14ac:dyDescent="0.25">
      <c r="C317" s="27" t="e">
        <f t="shared" si="116"/>
        <v>#N/A</v>
      </c>
      <c r="D317" s="30" t="e">
        <f t="shared" si="117"/>
        <v>#N/A</v>
      </c>
      <c r="E317" s="20" t="e">
        <f t="shared" si="122"/>
        <v>#N/A</v>
      </c>
      <c r="F317" s="20" t="e">
        <f t="shared" si="106"/>
        <v>#N/A</v>
      </c>
      <c r="G317" s="21" t="e">
        <f t="shared" si="107"/>
        <v>#N/A</v>
      </c>
      <c r="H317" s="24" t="e">
        <f t="shared" si="118"/>
        <v>#N/A</v>
      </c>
      <c r="I317" s="21" t="e">
        <f t="shared" si="125"/>
        <v>#N/A</v>
      </c>
      <c r="J317" s="63" t="e">
        <f t="shared" si="119"/>
        <v>#N/A</v>
      </c>
      <c r="K317" s="66" t="str">
        <f t="shared" si="124"/>
        <v/>
      </c>
      <c r="L317" s="17"/>
      <c r="M317" s="23" t="e">
        <f t="shared" si="120"/>
        <v>#N/A</v>
      </c>
      <c r="N317" s="23" t="e">
        <f t="shared" si="108"/>
        <v>#N/A</v>
      </c>
      <c r="O317" s="23" t="e">
        <f t="shared" si="109"/>
        <v>#N/A</v>
      </c>
      <c r="P317" s="17"/>
      <c r="Q317" s="19" t="e">
        <f>IF(C317="","",'Tabla_Puntual&amp;Relacionamiento'!$E$26)</f>
        <v>#N/A</v>
      </c>
      <c r="R317" s="19"/>
      <c r="S317" s="11" t="e">
        <f t="shared" si="121"/>
        <v>#N/A</v>
      </c>
      <c r="T317" s="23" t="e">
        <f t="shared" si="110"/>
        <v>#N/A</v>
      </c>
      <c r="U317" s="37" t="e">
        <f t="shared" si="111"/>
        <v>#N/A</v>
      </c>
      <c r="V317" s="37" t="e">
        <f t="shared" si="123"/>
        <v>#N/A</v>
      </c>
      <c r="X317" s="31" t="e">
        <f t="shared" si="112"/>
        <v>#N/A</v>
      </c>
      <c r="Y317" s="34">
        <f t="shared" si="129"/>
        <v>1.5710153055430314</v>
      </c>
      <c r="Z317" s="31" t="e">
        <f t="shared" si="113"/>
        <v>#N/A</v>
      </c>
      <c r="AA317" s="66">
        <f t="shared" si="114"/>
        <v>0</v>
      </c>
      <c r="AB317" s="6" t="e">
        <f t="shared" si="115"/>
        <v>#N/A</v>
      </c>
      <c r="AC317" s="48">
        <f t="shared" si="127"/>
        <v>0</v>
      </c>
    </row>
    <row r="318" spans="3:29" x14ac:dyDescent="0.25">
      <c r="C318" s="27" t="e">
        <f t="shared" si="116"/>
        <v>#N/A</v>
      </c>
      <c r="D318" s="30" t="e">
        <f t="shared" si="117"/>
        <v>#N/A</v>
      </c>
      <c r="E318" s="20" t="e">
        <f t="shared" si="122"/>
        <v>#N/A</v>
      </c>
      <c r="F318" s="20" t="e">
        <f t="shared" si="106"/>
        <v>#N/A</v>
      </c>
      <c r="G318" s="21" t="e">
        <f t="shared" si="107"/>
        <v>#N/A</v>
      </c>
      <c r="H318" s="24" t="e">
        <f t="shared" si="118"/>
        <v>#N/A</v>
      </c>
      <c r="I318" s="21" t="e">
        <f t="shared" si="125"/>
        <v>#N/A</v>
      </c>
      <c r="J318" s="63" t="e">
        <f t="shared" si="119"/>
        <v>#N/A</v>
      </c>
      <c r="K318" s="66" t="str">
        <f t="shared" si="124"/>
        <v/>
      </c>
      <c r="L318" s="17"/>
      <c r="M318" s="23" t="e">
        <f t="shared" si="120"/>
        <v>#N/A</v>
      </c>
      <c r="N318" s="23" t="e">
        <f t="shared" si="108"/>
        <v>#N/A</v>
      </c>
      <c r="O318" s="23" t="e">
        <f t="shared" si="109"/>
        <v>#N/A</v>
      </c>
      <c r="P318" s="17"/>
      <c r="Q318" s="19" t="e">
        <f>IF(C318="","",'Tabla_Puntual&amp;Relacionamiento'!$E$26)</f>
        <v>#N/A</v>
      </c>
      <c r="R318" s="19"/>
      <c r="S318" s="11" t="e">
        <f t="shared" si="121"/>
        <v>#N/A</v>
      </c>
      <c r="T318" s="23" t="e">
        <f t="shared" si="110"/>
        <v>#N/A</v>
      </c>
      <c r="U318" s="37" t="e">
        <f t="shared" si="111"/>
        <v>#N/A</v>
      </c>
      <c r="V318" s="37" t="e">
        <f t="shared" si="123"/>
        <v>#N/A</v>
      </c>
      <c r="X318" s="31" t="e">
        <f t="shared" si="112"/>
        <v>#N/A</v>
      </c>
      <c r="Y318" s="34">
        <f t="shared" si="129"/>
        <v>1.5710153055430314</v>
      </c>
      <c r="Z318" s="31" t="e">
        <f t="shared" si="113"/>
        <v>#N/A</v>
      </c>
      <c r="AA318" s="66">
        <f t="shared" si="114"/>
        <v>0</v>
      </c>
      <c r="AB318" s="6" t="e">
        <f t="shared" si="115"/>
        <v>#N/A</v>
      </c>
      <c r="AC318" s="48">
        <f t="shared" si="127"/>
        <v>0</v>
      </c>
    </row>
    <row r="319" spans="3:29" x14ac:dyDescent="0.25">
      <c r="C319" s="27" t="e">
        <f t="shared" si="116"/>
        <v>#N/A</v>
      </c>
      <c r="D319" s="30" t="e">
        <f t="shared" si="117"/>
        <v>#N/A</v>
      </c>
      <c r="E319" s="20" t="e">
        <f t="shared" si="122"/>
        <v>#N/A</v>
      </c>
      <c r="F319" s="20" t="e">
        <f t="shared" si="106"/>
        <v>#N/A</v>
      </c>
      <c r="G319" s="21" t="e">
        <f t="shared" si="107"/>
        <v>#N/A</v>
      </c>
      <c r="H319" s="24" t="e">
        <f t="shared" si="118"/>
        <v>#N/A</v>
      </c>
      <c r="I319" s="21" t="e">
        <f t="shared" si="125"/>
        <v>#N/A</v>
      </c>
      <c r="J319" s="63" t="e">
        <f t="shared" si="119"/>
        <v>#N/A</v>
      </c>
      <c r="K319" s="66" t="str">
        <f t="shared" si="124"/>
        <v/>
      </c>
      <c r="L319" s="17"/>
      <c r="M319" s="23" t="e">
        <f t="shared" si="120"/>
        <v>#N/A</v>
      </c>
      <c r="N319" s="23" t="e">
        <f t="shared" si="108"/>
        <v>#N/A</v>
      </c>
      <c r="O319" s="23" t="e">
        <f t="shared" si="109"/>
        <v>#N/A</v>
      </c>
      <c r="P319" s="17"/>
      <c r="Q319" s="19" t="e">
        <f>IF(C319="","",'Tabla_Puntual&amp;Relacionamiento'!$E$26)</f>
        <v>#N/A</v>
      </c>
      <c r="R319" s="19"/>
      <c r="S319" s="11" t="e">
        <f t="shared" si="121"/>
        <v>#N/A</v>
      </c>
      <c r="T319" s="23" t="e">
        <f t="shared" si="110"/>
        <v>#N/A</v>
      </c>
      <c r="U319" s="37" t="e">
        <f t="shared" si="111"/>
        <v>#N/A</v>
      </c>
      <c r="V319" s="37" t="e">
        <f t="shared" si="123"/>
        <v>#N/A</v>
      </c>
      <c r="X319" s="31" t="e">
        <f t="shared" si="112"/>
        <v>#N/A</v>
      </c>
      <c r="Y319" s="34">
        <f t="shared" si="129"/>
        <v>1.5710153055430314</v>
      </c>
      <c r="Z319" s="31" t="e">
        <f t="shared" si="113"/>
        <v>#N/A</v>
      </c>
      <c r="AA319" s="66">
        <f t="shared" si="114"/>
        <v>0</v>
      </c>
      <c r="AB319" s="6" t="e">
        <f t="shared" si="115"/>
        <v>#N/A</v>
      </c>
      <c r="AC319" s="48">
        <f t="shared" si="127"/>
        <v>0</v>
      </c>
    </row>
    <row r="320" spans="3:29" x14ac:dyDescent="0.25">
      <c r="C320" s="27" t="e">
        <f t="shared" si="116"/>
        <v>#N/A</v>
      </c>
      <c r="D320" s="30" t="e">
        <f t="shared" si="117"/>
        <v>#N/A</v>
      </c>
      <c r="E320" s="20" t="e">
        <f t="shared" si="122"/>
        <v>#N/A</v>
      </c>
      <c r="F320" s="20" t="e">
        <f t="shared" si="106"/>
        <v>#N/A</v>
      </c>
      <c r="G320" s="21" t="e">
        <f t="shared" si="107"/>
        <v>#N/A</v>
      </c>
      <c r="H320" s="24" t="e">
        <f t="shared" si="118"/>
        <v>#N/A</v>
      </c>
      <c r="I320" s="21" t="e">
        <f t="shared" si="125"/>
        <v>#N/A</v>
      </c>
      <c r="J320" s="63" t="e">
        <f t="shared" si="119"/>
        <v>#N/A</v>
      </c>
      <c r="K320" s="66" t="str">
        <f t="shared" si="124"/>
        <v/>
      </c>
      <c r="L320" s="17"/>
      <c r="M320" s="23" t="e">
        <f t="shared" si="120"/>
        <v>#N/A</v>
      </c>
      <c r="N320" s="23" t="e">
        <f t="shared" si="108"/>
        <v>#N/A</v>
      </c>
      <c r="O320" s="23" t="e">
        <f t="shared" si="109"/>
        <v>#N/A</v>
      </c>
      <c r="P320" s="17"/>
      <c r="Q320" s="19" t="e">
        <f>IF(C320="","",'Tabla_Puntual&amp;Relacionamiento'!$E$26)</f>
        <v>#N/A</v>
      </c>
      <c r="R320" s="19"/>
      <c r="S320" s="11" t="e">
        <f t="shared" si="121"/>
        <v>#N/A</v>
      </c>
      <c r="T320" s="23" t="e">
        <f t="shared" si="110"/>
        <v>#N/A</v>
      </c>
      <c r="U320" s="37" t="e">
        <f t="shared" si="111"/>
        <v>#N/A</v>
      </c>
      <c r="V320" s="37" t="e">
        <f t="shared" si="123"/>
        <v>#N/A</v>
      </c>
      <c r="X320" s="31" t="e">
        <f t="shared" si="112"/>
        <v>#N/A</v>
      </c>
      <c r="Y320" s="34">
        <f t="shared" si="129"/>
        <v>1.5710153055430314</v>
      </c>
      <c r="Z320" s="31" t="e">
        <f t="shared" si="113"/>
        <v>#N/A</v>
      </c>
      <c r="AA320" s="66">
        <f t="shared" si="114"/>
        <v>0</v>
      </c>
      <c r="AB320" s="6" t="e">
        <f t="shared" si="115"/>
        <v>#N/A</v>
      </c>
      <c r="AC320" s="48">
        <f t="shared" si="127"/>
        <v>0</v>
      </c>
    </row>
    <row r="321" spans="3:25" x14ac:dyDescent="0.25">
      <c r="C321" s="18"/>
      <c r="D321" s="18"/>
      <c r="E321" s="20"/>
      <c r="F321" s="20"/>
      <c r="G321" s="20"/>
      <c r="H321" s="24"/>
      <c r="I321" s="20"/>
      <c r="J321" s="6"/>
      <c r="K321" s="6"/>
      <c r="L321" s="17"/>
      <c r="M321" s="17"/>
      <c r="N321" s="23"/>
      <c r="O321" s="23"/>
      <c r="P321" s="17"/>
      <c r="Q321" s="19"/>
      <c r="R321" s="19"/>
      <c r="S321" s="11"/>
      <c r="T321" s="23"/>
      <c r="U321" s="37"/>
      <c r="V321" s="37"/>
      <c r="Y321" s="34"/>
    </row>
    <row r="322" spans="3:25" x14ac:dyDescent="0.25">
      <c r="C322" s="25"/>
      <c r="D322" s="25"/>
      <c r="E322" s="26" t="e">
        <f t="shared" ref="E322:O322" si="130">SUM(E21:E320)</f>
        <v>#N/A</v>
      </c>
      <c r="F322" s="26" t="e">
        <f t="shared" si="130"/>
        <v>#N/A</v>
      </c>
      <c r="G322" s="26" t="e">
        <f t="shared" si="130"/>
        <v>#N/A</v>
      </c>
      <c r="H322" s="26" t="e">
        <f t="shared" ref="H322:M322" si="131">SUM(H21:H320)</f>
        <v>#N/A</v>
      </c>
      <c r="I322" s="26" t="e">
        <f t="shared" si="131"/>
        <v>#N/A</v>
      </c>
      <c r="J322" s="26" t="e">
        <f t="shared" si="131"/>
        <v>#N/A</v>
      </c>
      <c r="K322" s="26">
        <f t="shared" si="131"/>
        <v>0</v>
      </c>
      <c r="L322" s="26">
        <f t="shared" si="131"/>
        <v>0</v>
      </c>
      <c r="M322" s="26" t="e">
        <f t="shared" si="131"/>
        <v>#N/A</v>
      </c>
      <c r="N322" s="26" t="e">
        <f t="shared" si="130"/>
        <v>#N/A</v>
      </c>
      <c r="O322" s="26" t="e">
        <f t="shared" si="130"/>
        <v>#N/A</v>
      </c>
      <c r="P322" s="26">
        <f>SUM(P21:P320)</f>
        <v>0</v>
      </c>
      <c r="Q322" s="25"/>
      <c r="R322" s="25"/>
      <c r="S322" s="26" t="e">
        <f>SUM(S21:S320)</f>
        <v>#N/A</v>
      </c>
      <c r="T322" s="26"/>
      <c r="U322" s="29" t="e">
        <f>SUM(U21:U320)</f>
        <v>#N/A</v>
      </c>
      <c r="V322" s="29"/>
    </row>
    <row r="323" spans="3:25" x14ac:dyDescent="0.25">
      <c r="J323" s="6"/>
      <c r="K323" s="6"/>
    </row>
    <row r="324" spans="3:25" x14ac:dyDescent="0.25">
      <c r="J324" s="6"/>
      <c r="K324" s="6"/>
    </row>
    <row r="325" spans="3:25" x14ac:dyDescent="0.25">
      <c r="J325" s="6"/>
      <c r="K325" s="6"/>
    </row>
    <row r="326" spans="3:25" x14ac:dyDescent="0.25">
      <c r="J326" s="6"/>
      <c r="K326" s="6"/>
    </row>
    <row r="327" spans="3:25" x14ac:dyDescent="0.25">
      <c r="J327" s="6"/>
      <c r="K327" s="6"/>
    </row>
    <row r="328" spans="3:25" x14ac:dyDescent="0.25">
      <c r="J328" s="6"/>
      <c r="K328" s="6"/>
    </row>
    <row r="329" spans="3:25" x14ac:dyDescent="0.25">
      <c r="J329" s="6"/>
      <c r="K329" s="6"/>
    </row>
    <row r="330" spans="3:25" x14ac:dyDescent="0.25">
      <c r="J330" s="6"/>
      <c r="K330" s="6"/>
    </row>
    <row r="331" spans="3:25" x14ac:dyDescent="0.25">
      <c r="J331" s="6"/>
      <c r="K331" s="6"/>
    </row>
    <row r="332" spans="3:25" x14ac:dyDescent="0.25">
      <c r="J332" s="6"/>
      <c r="K332" s="6"/>
    </row>
    <row r="333" spans="3:25" x14ac:dyDescent="0.25">
      <c r="J333" s="6"/>
      <c r="K333" s="6"/>
    </row>
    <row r="334" spans="3:25" x14ac:dyDescent="0.25">
      <c r="J334" s="6"/>
      <c r="K334" s="6"/>
    </row>
    <row r="335" spans="3:25" x14ac:dyDescent="0.25">
      <c r="J335" s="6"/>
      <c r="K335" s="6"/>
    </row>
    <row r="336" spans="3:25" x14ac:dyDescent="0.25">
      <c r="J336" s="6"/>
      <c r="K336" s="6"/>
    </row>
    <row r="337" spans="9:9" s="6" customFormat="1" x14ac:dyDescent="0.25">
      <c r="I337" s="63"/>
    </row>
    <row r="338" spans="9:9" s="6" customFormat="1" x14ac:dyDescent="0.25">
      <c r="I338" s="63"/>
    </row>
    <row r="339" spans="9:9" s="6" customFormat="1" x14ac:dyDescent="0.25">
      <c r="I339" s="63"/>
    </row>
    <row r="340" spans="9:9" s="6" customFormat="1" x14ac:dyDescent="0.25">
      <c r="I340" s="63"/>
    </row>
    <row r="341" spans="9:9" s="6" customFormat="1" x14ac:dyDescent="0.25">
      <c r="I341" s="63"/>
    </row>
    <row r="342" spans="9:9" s="6" customFormat="1" x14ac:dyDescent="0.25">
      <c r="I342" s="63"/>
    </row>
    <row r="343" spans="9:9" s="6" customFormat="1" x14ac:dyDescent="0.25">
      <c r="I343" s="63"/>
    </row>
    <row r="344" spans="9:9" s="6" customFormat="1" x14ac:dyDescent="0.25">
      <c r="I344" s="63"/>
    </row>
    <row r="345" spans="9:9" s="6" customFormat="1" x14ac:dyDescent="0.25">
      <c r="I345" s="63"/>
    </row>
    <row r="346" spans="9:9" s="6" customFormat="1" x14ac:dyDescent="0.25">
      <c r="I346" s="63"/>
    </row>
    <row r="347" spans="9:9" s="6" customFormat="1" x14ac:dyDescent="0.25">
      <c r="I347" s="63"/>
    </row>
    <row r="348" spans="9:9" s="6" customFormat="1" x14ac:dyDescent="0.25">
      <c r="I348" s="63"/>
    </row>
    <row r="349" spans="9:9" s="6" customFormat="1" x14ac:dyDescent="0.25">
      <c r="I349" s="63"/>
    </row>
    <row r="350" spans="9:9" s="6" customFormat="1" x14ac:dyDescent="0.25">
      <c r="I350" s="63"/>
    </row>
    <row r="351" spans="9:9" s="6" customFormat="1" x14ac:dyDescent="0.25">
      <c r="I351" s="63"/>
    </row>
    <row r="352" spans="9:9" s="6" customFormat="1" x14ac:dyDescent="0.25">
      <c r="I352" s="63"/>
    </row>
    <row r="353" spans="9:9" s="6" customFormat="1" x14ac:dyDescent="0.25">
      <c r="I353" s="63"/>
    </row>
    <row r="354" spans="9:9" s="6" customFormat="1" x14ac:dyDescent="0.25">
      <c r="I354" s="63"/>
    </row>
    <row r="355" spans="9:9" s="6" customFormat="1" x14ac:dyDescent="0.25">
      <c r="I355" s="63"/>
    </row>
    <row r="356" spans="9:9" s="6" customFormat="1" x14ac:dyDescent="0.25">
      <c r="I356" s="63"/>
    </row>
    <row r="357" spans="9:9" s="6" customFormat="1" x14ac:dyDescent="0.25">
      <c r="I357" s="63"/>
    </row>
    <row r="358" spans="9:9" s="6" customFormat="1" x14ac:dyDescent="0.25">
      <c r="I358" s="63"/>
    </row>
    <row r="359" spans="9:9" s="6" customFormat="1" x14ac:dyDescent="0.25">
      <c r="I359" s="63"/>
    </row>
    <row r="360" spans="9:9" s="6" customFormat="1" x14ac:dyDescent="0.25">
      <c r="I360" s="63"/>
    </row>
    <row r="361" spans="9:9" s="6" customFormat="1" x14ac:dyDescent="0.25">
      <c r="I361" s="63"/>
    </row>
    <row r="362" spans="9:9" s="6" customFormat="1" x14ac:dyDescent="0.25">
      <c r="I362" s="63"/>
    </row>
    <row r="363" spans="9:9" s="6" customFormat="1" x14ac:dyDescent="0.25">
      <c r="I363" s="63"/>
    </row>
    <row r="364" spans="9:9" s="6" customFormat="1" x14ac:dyDescent="0.25">
      <c r="I364" s="63"/>
    </row>
    <row r="365" spans="9:9" s="6" customFormat="1" x14ac:dyDescent="0.25">
      <c r="I365" s="63"/>
    </row>
    <row r="366" spans="9:9" s="6" customFormat="1" x14ac:dyDescent="0.25">
      <c r="I366" s="63"/>
    </row>
    <row r="367" spans="9:9" s="6" customFormat="1" x14ac:dyDescent="0.25">
      <c r="I367" s="63"/>
    </row>
    <row r="368" spans="9:9" s="6" customFormat="1" x14ac:dyDescent="0.25">
      <c r="I368" s="63"/>
    </row>
    <row r="369" spans="9:9" s="6" customFormat="1" x14ac:dyDescent="0.25">
      <c r="I369" s="63"/>
    </row>
    <row r="370" spans="9:9" s="6" customFormat="1" x14ac:dyDescent="0.25">
      <c r="I370" s="63"/>
    </row>
    <row r="371" spans="9:9" s="6" customFormat="1" x14ac:dyDescent="0.25">
      <c r="I371" s="63"/>
    </row>
    <row r="372" spans="9:9" s="6" customFormat="1" x14ac:dyDescent="0.25">
      <c r="I372" s="63"/>
    </row>
    <row r="373" spans="9:9" s="6" customFormat="1" x14ac:dyDescent="0.25">
      <c r="I373" s="63"/>
    </row>
    <row r="374" spans="9:9" s="6" customFormat="1" x14ac:dyDescent="0.25">
      <c r="I374" s="63"/>
    </row>
    <row r="375" spans="9:9" s="6" customFormat="1" x14ac:dyDescent="0.25">
      <c r="I375" s="63"/>
    </row>
    <row r="376" spans="9:9" s="6" customFormat="1" x14ac:dyDescent="0.25">
      <c r="I376" s="63"/>
    </row>
    <row r="377" spans="9:9" s="6" customFormat="1" x14ac:dyDescent="0.25">
      <c r="I377" s="63"/>
    </row>
    <row r="378" spans="9:9" s="6" customFormat="1" x14ac:dyDescent="0.25">
      <c r="I378" s="63"/>
    </row>
    <row r="379" spans="9:9" s="6" customFormat="1" x14ac:dyDescent="0.25">
      <c r="I379" s="63"/>
    </row>
    <row r="380" spans="9:9" s="6" customFormat="1" x14ac:dyDescent="0.25">
      <c r="I380" s="63"/>
    </row>
    <row r="381" spans="9:9" s="6" customFormat="1" x14ac:dyDescent="0.25">
      <c r="I381" s="63"/>
    </row>
    <row r="382" spans="9:9" s="6" customFormat="1" x14ac:dyDescent="0.25">
      <c r="I382" s="63"/>
    </row>
    <row r="383" spans="9:9" s="6" customFormat="1" x14ac:dyDescent="0.25">
      <c r="I383" s="63"/>
    </row>
    <row r="384" spans="9:9" s="6" customFormat="1" x14ac:dyDescent="0.25">
      <c r="I384" s="63"/>
    </row>
    <row r="385" spans="9:9" s="6" customFormat="1" x14ac:dyDescent="0.25">
      <c r="I385" s="63"/>
    </row>
    <row r="386" spans="9:9" s="6" customFormat="1" x14ac:dyDescent="0.25">
      <c r="I386" s="63"/>
    </row>
    <row r="387" spans="9:9" s="6" customFormat="1" x14ac:dyDescent="0.25">
      <c r="I387" s="63"/>
    </row>
    <row r="388" spans="9:9" s="6" customFormat="1" x14ac:dyDescent="0.25">
      <c r="I388" s="63"/>
    </row>
    <row r="389" spans="9:9" s="6" customFormat="1" x14ac:dyDescent="0.25">
      <c r="I389" s="63"/>
    </row>
    <row r="390" spans="9:9" s="6" customFormat="1" x14ac:dyDescent="0.25">
      <c r="I390" s="63"/>
    </row>
    <row r="391" spans="9:9" s="6" customFormat="1" x14ac:dyDescent="0.25">
      <c r="I391" s="63"/>
    </row>
    <row r="392" spans="9:9" s="6" customFormat="1" x14ac:dyDescent="0.25">
      <c r="I392" s="63"/>
    </row>
    <row r="393" spans="9:9" s="6" customFormat="1" x14ac:dyDescent="0.25">
      <c r="I393" s="63"/>
    </row>
    <row r="394" spans="9:9" s="6" customFormat="1" x14ac:dyDescent="0.25">
      <c r="I394" s="63"/>
    </row>
    <row r="395" spans="9:9" s="6" customFormat="1" x14ac:dyDescent="0.25">
      <c r="I395" s="63"/>
    </row>
    <row r="396" spans="9:9" s="6" customFormat="1" x14ac:dyDescent="0.25">
      <c r="I396" s="63"/>
    </row>
    <row r="397" spans="9:9" s="6" customFormat="1" x14ac:dyDescent="0.25">
      <c r="I397" s="63"/>
    </row>
    <row r="398" spans="9:9" s="6" customFormat="1" x14ac:dyDescent="0.25">
      <c r="I398" s="63"/>
    </row>
    <row r="399" spans="9:9" s="6" customFormat="1" x14ac:dyDescent="0.25">
      <c r="I399" s="63"/>
    </row>
    <row r="400" spans="9:9" s="6" customFormat="1" x14ac:dyDescent="0.25">
      <c r="I400" s="63"/>
    </row>
    <row r="401" spans="9:9" s="6" customFormat="1" x14ac:dyDescent="0.25">
      <c r="I401" s="63"/>
    </row>
    <row r="402" spans="9:9" s="6" customFormat="1" x14ac:dyDescent="0.25">
      <c r="I402" s="63"/>
    </row>
    <row r="403" spans="9:9" s="6" customFormat="1" x14ac:dyDescent="0.25">
      <c r="I403" s="63"/>
    </row>
    <row r="404" spans="9:9" s="6" customFormat="1" x14ac:dyDescent="0.25">
      <c r="I404" s="63"/>
    </row>
    <row r="405" spans="9:9" s="6" customFormat="1" x14ac:dyDescent="0.25">
      <c r="I405" s="63"/>
    </row>
    <row r="406" spans="9:9" s="6" customFormat="1" x14ac:dyDescent="0.25">
      <c r="I406" s="63"/>
    </row>
    <row r="407" spans="9:9" s="6" customFormat="1" x14ac:dyDescent="0.25">
      <c r="I407" s="63"/>
    </row>
    <row r="408" spans="9:9" s="6" customFormat="1" x14ac:dyDescent="0.25">
      <c r="I408" s="63"/>
    </row>
    <row r="409" spans="9:9" s="6" customFormat="1" x14ac:dyDescent="0.25">
      <c r="I409" s="63"/>
    </row>
    <row r="410" spans="9:9" s="6" customFormat="1" x14ac:dyDescent="0.25">
      <c r="I410" s="63"/>
    </row>
    <row r="411" spans="9:9" s="6" customFormat="1" x14ac:dyDescent="0.25">
      <c r="I411" s="63"/>
    </row>
    <row r="412" spans="9:9" s="6" customFormat="1" x14ac:dyDescent="0.25">
      <c r="I412" s="63"/>
    </row>
    <row r="413" spans="9:9" s="6" customFormat="1" x14ac:dyDescent="0.25">
      <c r="I413" s="63"/>
    </row>
    <row r="414" spans="9:9" s="6" customFormat="1" x14ac:dyDescent="0.25">
      <c r="I414" s="63"/>
    </row>
    <row r="415" spans="9:9" s="6" customFormat="1" x14ac:dyDescent="0.25">
      <c r="I415" s="63"/>
    </row>
    <row r="416" spans="9:9" s="6" customFormat="1" x14ac:dyDescent="0.25">
      <c r="I416" s="63"/>
    </row>
    <row r="417" spans="9:9" s="6" customFormat="1" x14ac:dyDescent="0.25">
      <c r="I417" s="63"/>
    </row>
    <row r="418" spans="9:9" s="6" customFormat="1" x14ac:dyDescent="0.25">
      <c r="I418" s="63"/>
    </row>
    <row r="419" spans="9:9" s="6" customFormat="1" x14ac:dyDescent="0.25">
      <c r="I419" s="63"/>
    </row>
    <row r="420" spans="9:9" s="6" customFormat="1" x14ac:dyDescent="0.25">
      <c r="I420" s="63"/>
    </row>
    <row r="421" spans="9:9" s="6" customFormat="1" x14ac:dyDescent="0.25">
      <c r="I421" s="63"/>
    </row>
    <row r="422" spans="9:9" s="6" customFormat="1" x14ac:dyDescent="0.25">
      <c r="I422" s="63"/>
    </row>
    <row r="423" spans="9:9" s="6" customFormat="1" x14ac:dyDescent="0.25">
      <c r="I423" s="63"/>
    </row>
    <row r="424" spans="9:9" s="6" customFormat="1" x14ac:dyDescent="0.25">
      <c r="I424" s="63"/>
    </row>
    <row r="425" spans="9:9" s="6" customFormat="1" x14ac:dyDescent="0.25">
      <c r="I425" s="63"/>
    </row>
    <row r="426" spans="9:9" s="6" customFormat="1" x14ac:dyDescent="0.25">
      <c r="I426" s="63"/>
    </row>
    <row r="427" spans="9:9" s="6" customFormat="1" x14ac:dyDescent="0.25">
      <c r="I427" s="63"/>
    </row>
    <row r="428" spans="9:9" s="6" customFormat="1" x14ac:dyDescent="0.25">
      <c r="I428" s="63"/>
    </row>
    <row r="429" spans="9:9" s="6" customFormat="1" x14ac:dyDescent="0.25">
      <c r="I429" s="63"/>
    </row>
    <row r="430" spans="9:9" s="6" customFormat="1" x14ac:dyDescent="0.25">
      <c r="I430" s="63"/>
    </row>
    <row r="431" spans="9:9" s="6" customFormat="1" x14ac:dyDescent="0.25">
      <c r="I431" s="63"/>
    </row>
    <row r="432" spans="9:9" s="6" customFormat="1" x14ac:dyDescent="0.25">
      <c r="I432" s="63"/>
    </row>
    <row r="433" spans="9:9" s="6" customFormat="1" x14ac:dyDescent="0.25">
      <c r="I433" s="63"/>
    </row>
    <row r="434" spans="9:9" s="6" customFormat="1" x14ac:dyDescent="0.25">
      <c r="I434" s="63"/>
    </row>
    <row r="435" spans="9:9" s="6" customFormat="1" x14ac:dyDescent="0.25">
      <c r="I435" s="63"/>
    </row>
    <row r="436" spans="9:9" s="6" customFormat="1" x14ac:dyDescent="0.25">
      <c r="I436" s="63"/>
    </row>
    <row r="437" spans="9:9" s="6" customFormat="1" x14ac:dyDescent="0.25">
      <c r="I437" s="63"/>
    </row>
    <row r="438" spans="9:9" s="6" customFormat="1" x14ac:dyDescent="0.25">
      <c r="I438" s="63"/>
    </row>
    <row r="439" spans="9:9" s="6" customFormat="1" x14ac:dyDescent="0.25">
      <c r="I439" s="63"/>
    </row>
    <row r="440" spans="9:9" s="6" customFormat="1" x14ac:dyDescent="0.25">
      <c r="I440" s="63"/>
    </row>
    <row r="441" spans="9:9" s="6" customFormat="1" x14ac:dyDescent="0.25">
      <c r="I441" s="63"/>
    </row>
    <row r="442" spans="9:9" s="6" customFormat="1" x14ac:dyDescent="0.25">
      <c r="I442" s="63"/>
    </row>
    <row r="443" spans="9:9" s="6" customFormat="1" x14ac:dyDescent="0.25">
      <c r="I443" s="63"/>
    </row>
    <row r="444" spans="9:9" s="6" customFormat="1" x14ac:dyDescent="0.25">
      <c r="I444" s="63"/>
    </row>
    <row r="445" spans="9:9" s="6" customFormat="1" x14ac:dyDescent="0.25">
      <c r="I445" s="63"/>
    </row>
    <row r="446" spans="9:9" s="6" customFormat="1" x14ac:dyDescent="0.25">
      <c r="I446" s="63"/>
    </row>
    <row r="447" spans="9:9" s="6" customFormat="1" x14ac:dyDescent="0.25">
      <c r="I447" s="63"/>
    </row>
    <row r="448" spans="9:9" s="6" customFormat="1" x14ac:dyDescent="0.25">
      <c r="I448" s="63"/>
    </row>
    <row r="449" spans="9:9" s="6" customFormat="1" x14ac:dyDescent="0.25">
      <c r="I449" s="63"/>
    </row>
    <row r="450" spans="9:9" s="6" customFormat="1" x14ac:dyDescent="0.25">
      <c r="I450" s="63"/>
    </row>
    <row r="451" spans="9:9" s="6" customFormat="1" x14ac:dyDescent="0.25">
      <c r="I451" s="63"/>
    </row>
    <row r="452" spans="9:9" s="6" customFormat="1" x14ac:dyDescent="0.25">
      <c r="I452" s="63"/>
    </row>
    <row r="453" spans="9:9" s="6" customFormat="1" x14ac:dyDescent="0.25">
      <c r="I453" s="63"/>
    </row>
    <row r="454" spans="9:9" s="6" customFormat="1" x14ac:dyDescent="0.25">
      <c r="I454" s="63"/>
    </row>
    <row r="455" spans="9:9" s="6" customFormat="1" x14ac:dyDescent="0.25">
      <c r="I455" s="63"/>
    </row>
    <row r="456" spans="9:9" s="6" customFormat="1" x14ac:dyDescent="0.25">
      <c r="I456" s="63"/>
    </row>
    <row r="457" spans="9:9" s="6" customFormat="1" x14ac:dyDescent="0.25">
      <c r="I457" s="63"/>
    </row>
    <row r="458" spans="9:9" s="6" customFormat="1" x14ac:dyDescent="0.25">
      <c r="I458" s="63"/>
    </row>
    <row r="459" spans="9:9" s="6" customFormat="1" x14ac:dyDescent="0.25">
      <c r="I459" s="63"/>
    </row>
    <row r="460" spans="9:9" s="6" customFormat="1" x14ac:dyDescent="0.25">
      <c r="I460" s="63"/>
    </row>
    <row r="461" spans="9:9" s="6" customFormat="1" x14ac:dyDescent="0.25">
      <c r="I461" s="63"/>
    </row>
    <row r="462" spans="9:9" s="6" customFormat="1" x14ac:dyDescent="0.25">
      <c r="I462" s="63"/>
    </row>
    <row r="463" spans="9:9" s="6" customFormat="1" x14ac:dyDescent="0.25">
      <c r="I463" s="63"/>
    </row>
    <row r="464" spans="9:9" s="6" customFormat="1" x14ac:dyDescent="0.25">
      <c r="I464" s="63"/>
    </row>
    <row r="465" spans="9:9" s="6" customFormat="1" x14ac:dyDescent="0.25">
      <c r="I465" s="63"/>
    </row>
    <row r="466" spans="9:9" s="6" customFormat="1" x14ac:dyDescent="0.25">
      <c r="I466" s="63"/>
    </row>
    <row r="467" spans="9:9" s="6" customFormat="1" x14ac:dyDescent="0.25">
      <c r="I467" s="63"/>
    </row>
  </sheetData>
  <sheetProtection algorithmName="SHA-512" hashValue="Ew7gIowcoc+59vcd8Bp2+VF8yG0HkyRcPWH9Ug9JdNYaCUNvB3sIOxDAKM+SokouLrQ5mXnuXCnEqfIw85b74A==" saltValue="jFvOCdgmt0wPrU+aHccfDA==" spinCount="100000" sheet="1" formatRows="0"/>
  <protectedRanges>
    <protectedRange password="E9DF" sqref="E14" name="Rango1"/>
  </protectedRanges>
  <mergeCells count="1">
    <mergeCell ref="I3:L3"/>
  </mergeCells>
  <conditionalFormatting sqref="Y21:Y321">
    <cfRule type="expression" dxfId="134" priority="3">
      <formula>OR($U$16&lt;&gt;$U$18,$E$11&lt;&gt;$U$11)</formula>
    </cfRule>
  </conditionalFormatting>
  <conditionalFormatting sqref="L17">
    <cfRule type="expression" dxfId="133" priority="2">
      <formula>$E$14="Pago Bajo Puntual"</formula>
    </cfRule>
  </conditionalFormatting>
  <conditionalFormatting sqref="M17">
    <cfRule type="expression" dxfId="132" priority="1">
      <formula>$E$14="Pago Bajo Puntual"</formula>
    </cfRule>
  </conditionalFormatting>
  <pageMargins left="0.7" right="0.7" top="0.75" bottom="0.75" header="0.3" footer="0.3"/>
  <pageSetup orientation="portrait" r:id="rId1"/>
  <headerFooter>
    <oddFooter>&amp;C&amp;1#&amp;"Calibri"&amp;10&amp;K000000PUBLIC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tabColor rgb="FF7030A0"/>
  </sheetPr>
  <dimension ref="C1:S359"/>
  <sheetViews>
    <sheetView showGridLines="0" topLeftCell="A20" zoomScale="70" zoomScaleNormal="70" zoomScaleSheetLayoutView="80" workbookViewId="0">
      <selection activeCell="J22" sqref="J22:K22"/>
    </sheetView>
  </sheetViews>
  <sheetFormatPr baseColWidth="10" defaultColWidth="11.42578125" defaultRowHeight="15" x14ac:dyDescent="0.2"/>
  <cols>
    <col min="1" max="2" width="2.140625" style="527" customWidth="1"/>
    <col min="3" max="3" width="15.42578125" style="527" customWidth="1"/>
    <col min="4" max="4" width="49.28515625" style="527" customWidth="1"/>
    <col min="5" max="5" width="15.42578125" style="527" customWidth="1"/>
    <col min="6" max="6" width="20.85546875" style="527" customWidth="1"/>
    <col min="7" max="7" width="20" style="527" customWidth="1"/>
    <col min="8" max="9" width="20.140625" style="529" customWidth="1"/>
    <col min="10" max="10" width="16.42578125" style="527" customWidth="1"/>
    <col min="11" max="13" width="19.5703125" style="529" customWidth="1"/>
    <col min="14" max="14" width="16.140625" style="529" bestFit="1" customWidth="1"/>
    <col min="15" max="15" width="19.5703125" style="529" customWidth="1"/>
    <col min="16" max="16" width="25.85546875" style="569" bestFit="1" customWidth="1"/>
    <col min="17" max="17" width="25.85546875" style="527" bestFit="1" customWidth="1"/>
    <col min="18" max="18" width="14" style="527" customWidth="1"/>
    <col min="19" max="16384" width="11.42578125" style="527"/>
  </cols>
  <sheetData>
    <row r="1" spans="3:17" s="6" customFormat="1" x14ac:dyDescent="0.25">
      <c r="H1" s="63"/>
      <c r="I1" s="63"/>
      <c r="K1" s="63"/>
      <c r="L1" s="63"/>
      <c r="M1" s="63"/>
      <c r="N1" s="63"/>
      <c r="O1" s="63"/>
      <c r="P1" s="568"/>
    </row>
    <row r="2" spans="3:17" s="6" customFormat="1" x14ac:dyDescent="0.25">
      <c r="H2" s="63"/>
      <c r="I2" s="63"/>
      <c r="K2" s="63"/>
      <c r="L2" s="63"/>
      <c r="M2" s="63"/>
      <c r="N2" s="63"/>
      <c r="O2" s="63"/>
      <c r="P2" s="568"/>
    </row>
    <row r="3" spans="3:17" s="6" customFormat="1" x14ac:dyDescent="0.25">
      <c r="H3" s="63"/>
      <c r="I3" s="63"/>
      <c r="K3" s="63"/>
      <c r="L3" s="63"/>
      <c r="M3" s="63"/>
      <c r="N3" s="63"/>
      <c r="O3" s="63"/>
      <c r="P3" s="568"/>
    </row>
    <row r="4" spans="3:17" s="6" customFormat="1" x14ac:dyDescent="0.25">
      <c r="H4" s="63"/>
      <c r="I4" s="63"/>
      <c r="J4" s="6" t="str">
        <f>Caratula!Q10</f>
        <v>Versión M111 V3</v>
      </c>
      <c r="K4" s="63"/>
      <c r="L4" s="63"/>
      <c r="M4" s="63"/>
      <c r="N4" s="63"/>
      <c r="O4" s="63"/>
      <c r="P4" s="568"/>
    </row>
    <row r="5" spans="3:17" s="6" customFormat="1" x14ac:dyDescent="0.25">
      <c r="H5" s="63"/>
      <c r="I5" s="63"/>
      <c r="K5" s="63"/>
      <c r="L5" s="63"/>
      <c r="M5" s="63"/>
      <c r="N5" s="63"/>
      <c r="O5" s="63"/>
      <c r="P5" s="568"/>
    </row>
    <row r="6" spans="3:17" x14ac:dyDescent="0.2">
      <c r="G6" s="528"/>
      <c r="Q6" s="528"/>
    </row>
    <row r="10" spans="3:17" ht="15.75" x14ac:dyDescent="0.2">
      <c r="I10" s="531" t="s">
        <v>403</v>
      </c>
      <c r="J10" s="731">
        <f ca="1">TODAY()</f>
        <v>46126</v>
      </c>
      <c r="K10" s="731"/>
    </row>
    <row r="11" spans="3:17" ht="16.5" x14ac:dyDescent="0.25">
      <c r="C11" s="732" t="s">
        <v>402</v>
      </c>
      <c r="D11" s="732"/>
      <c r="E11" s="732"/>
      <c r="F11" s="732"/>
      <c r="G11" s="732"/>
      <c r="H11" s="732"/>
      <c r="I11" s="732"/>
      <c r="J11" s="732"/>
      <c r="K11" s="732"/>
      <c r="L11" s="564"/>
      <c r="M11" s="564"/>
      <c r="N11" s="564"/>
      <c r="O11" s="564"/>
      <c r="Q11" s="564"/>
    </row>
    <row r="12" spans="3:17" ht="15.75" x14ac:dyDescent="0.2">
      <c r="E12" s="533"/>
      <c r="F12" s="533"/>
      <c r="G12" s="533"/>
      <c r="J12" s="533"/>
      <c r="P12" s="570"/>
      <c r="Q12" s="533"/>
    </row>
    <row r="13" spans="3:17" ht="13.5" customHeight="1" x14ac:dyDescent="0.2">
      <c r="C13" s="533" t="s">
        <v>405</v>
      </c>
      <c r="D13" s="533"/>
      <c r="E13" s="595" t="s">
        <v>404</v>
      </c>
      <c r="G13" s="533"/>
      <c r="J13" s="533"/>
      <c r="P13" s="570"/>
      <c r="Q13" s="534"/>
    </row>
    <row r="14" spans="3:17" ht="15" customHeight="1" x14ac:dyDescent="0.2">
      <c r="C14" s="533"/>
      <c r="D14" s="533"/>
      <c r="E14" s="533"/>
      <c r="F14" s="533"/>
      <c r="G14" s="533"/>
      <c r="J14" s="533"/>
      <c r="P14" s="570"/>
      <c r="Q14" s="533"/>
    </row>
    <row r="15" spans="3:17" ht="51.6" customHeight="1" x14ac:dyDescent="0.25">
      <c r="C15" s="730" t="s">
        <v>406</v>
      </c>
      <c r="D15" s="730"/>
      <c r="E15" s="730"/>
      <c r="F15" s="730"/>
      <c r="G15" s="730"/>
      <c r="H15" s="730"/>
      <c r="I15" s="730"/>
      <c r="J15" s="730"/>
      <c r="K15" s="730"/>
      <c r="L15" s="527"/>
      <c r="M15" s="527"/>
      <c r="N15" s="527"/>
      <c r="O15" s="527"/>
      <c r="P15" s="571"/>
    </row>
    <row r="16" spans="3:17" ht="15.75" x14ac:dyDescent="0.25">
      <c r="C16" s="536"/>
      <c r="D16" s="536"/>
      <c r="E16" s="535"/>
      <c r="F16" s="535"/>
      <c r="H16" s="527"/>
      <c r="I16" s="527"/>
      <c r="J16" s="535"/>
      <c r="K16" s="527"/>
      <c r="L16" s="527"/>
      <c r="M16" s="527"/>
      <c r="N16" s="527"/>
      <c r="O16" s="527"/>
      <c r="P16" s="571"/>
    </row>
    <row r="17" spans="3:19" ht="15.75" x14ac:dyDescent="0.25">
      <c r="C17" s="536"/>
      <c r="D17" s="536"/>
      <c r="E17" s="535"/>
      <c r="F17" s="535"/>
      <c r="H17" s="527"/>
      <c r="I17" s="527"/>
      <c r="J17" s="535"/>
      <c r="K17" s="527"/>
      <c r="L17" s="527"/>
      <c r="M17" s="527"/>
      <c r="N17" s="527"/>
      <c r="O17" s="527"/>
      <c r="P17" s="571"/>
    </row>
    <row r="18" spans="3:19" ht="15.75" x14ac:dyDescent="0.25">
      <c r="C18" s="536" t="s">
        <v>407</v>
      </c>
      <c r="D18" s="536"/>
      <c r="E18" s="535"/>
      <c r="F18" s="535"/>
      <c r="H18" s="527"/>
      <c r="I18" s="527"/>
      <c r="J18" s="535"/>
      <c r="K18" s="527"/>
      <c r="L18" s="527"/>
      <c r="M18" s="527"/>
      <c r="N18" s="527"/>
      <c r="O18" s="527"/>
      <c r="P18" s="571"/>
    </row>
    <row r="19" spans="3:19" ht="15.75" x14ac:dyDescent="0.25">
      <c r="C19" s="536"/>
      <c r="D19" s="536"/>
      <c r="E19" s="535"/>
      <c r="F19" s="535"/>
      <c r="H19" s="527"/>
      <c r="I19" s="527"/>
      <c r="J19" s="535"/>
      <c r="K19" s="527"/>
      <c r="L19" s="527"/>
      <c r="M19" s="527"/>
      <c r="N19" s="527"/>
      <c r="O19" s="527"/>
      <c r="P19" s="571"/>
    </row>
    <row r="20" spans="3:19" ht="15.75" x14ac:dyDescent="0.25">
      <c r="C20" s="536"/>
      <c r="D20" s="536"/>
      <c r="E20" s="535"/>
      <c r="F20" s="535"/>
      <c r="H20" s="527"/>
      <c r="I20" s="527"/>
      <c r="J20" s="535"/>
      <c r="K20" s="527"/>
      <c r="L20" s="527"/>
      <c r="M20" s="527"/>
      <c r="N20" s="527"/>
      <c r="O20" s="527"/>
      <c r="P20" s="571"/>
    </row>
    <row r="21" spans="3:19" ht="15.75" x14ac:dyDescent="0.2">
      <c r="C21" s="535" t="s">
        <v>408</v>
      </c>
      <c r="D21" s="535"/>
      <c r="E21" s="566">
        <f>Caratula!O43</f>
        <v>0</v>
      </c>
      <c r="H21" s="531" t="s">
        <v>423</v>
      </c>
      <c r="J21" s="536">
        <v>1500168740</v>
      </c>
      <c r="K21" s="538"/>
      <c r="L21" s="538"/>
      <c r="M21" s="538"/>
      <c r="N21" s="538"/>
      <c r="O21" s="538"/>
      <c r="Q21" s="594" t="s">
        <v>34</v>
      </c>
      <c r="R21" s="592">
        <v>0.44</v>
      </c>
    </row>
    <row r="22" spans="3:19" ht="15.75" x14ac:dyDescent="0.25">
      <c r="C22" s="535" t="s">
        <v>409</v>
      </c>
      <c r="D22" s="535"/>
      <c r="E22" s="536">
        <f>Caratula!N43</f>
        <v>0</v>
      </c>
      <c r="H22" s="567" t="s">
        <v>424</v>
      </c>
      <c r="J22" s="733">
        <v>45805</v>
      </c>
      <c r="K22" s="733"/>
      <c r="L22" s="538"/>
      <c r="M22" s="538"/>
      <c r="N22" s="538"/>
      <c r="O22" s="538"/>
      <c r="Q22" s="594" t="s">
        <v>35</v>
      </c>
      <c r="R22" s="592">
        <v>0</v>
      </c>
    </row>
    <row r="23" spans="3:19" ht="15.75" x14ac:dyDescent="0.2">
      <c r="C23" s="535" t="s">
        <v>410</v>
      </c>
      <c r="D23" s="535"/>
      <c r="E23" s="565">
        <v>0.125</v>
      </c>
      <c r="J23" s="532"/>
      <c r="K23" s="540"/>
      <c r="L23" s="540"/>
      <c r="M23" s="540"/>
      <c r="N23" s="540"/>
      <c r="O23" s="540"/>
      <c r="Q23" s="594" t="s">
        <v>372</v>
      </c>
      <c r="R23" s="593">
        <v>0</v>
      </c>
    </row>
    <row r="24" spans="3:19" ht="15" customHeight="1" x14ac:dyDescent="0.25">
      <c r="C24" s="533" t="s">
        <v>411</v>
      </c>
      <c r="D24" s="533"/>
      <c r="E24" s="527" t="s">
        <v>412</v>
      </c>
      <c r="H24" s="527"/>
      <c r="I24" s="527"/>
      <c r="J24" s="532"/>
      <c r="K24" s="527"/>
      <c r="L24" s="527"/>
      <c r="M24" s="527"/>
      <c r="N24" s="527"/>
      <c r="O24" s="527"/>
      <c r="Q24" s="588" t="s">
        <v>425</v>
      </c>
      <c r="R24" s="588" t="s">
        <v>426</v>
      </c>
      <c r="S24" s="589" t="s">
        <v>37</v>
      </c>
    </row>
    <row r="25" spans="3:19" ht="20.25" customHeight="1" x14ac:dyDescent="0.2">
      <c r="C25" s="527" t="str">
        <f>IF(Caratula!F22="","","Tipo de Cliente")</f>
        <v/>
      </c>
      <c r="F25" s="527" t="str">
        <f>IF(Caratula!F22="","",Caratula!F22)</f>
        <v/>
      </c>
      <c r="H25" s="541"/>
      <c r="I25" s="541"/>
      <c r="J25" s="530"/>
      <c r="Q25" s="590" t="str">
        <f>TEXT(DAY(J22),"DD")</f>
        <v>28</v>
      </c>
      <c r="R25" s="590">
        <f>MONTH(J22)</f>
        <v>5</v>
      </c>
      <c r="S25" s="591">
        <f>YEAR(J22)</f>
        <v>2025</v>
      </c>
    </row>
    <row r="26" spans="3:19" ht="15.75" x14ac:dyDescent="0.25">
      <c r="C26" s="535"/>
      <c r="D26" s="535"/>
      <c r="E26" s="535"/>
      <c r="H26" s="537"/>
      <c r="I26" s="537"/>
      <c r="J26" s="535"/>
      <c r="K26" s="538"/>
      <c r="L26" s="538"/>
      <c r="M26" s="538"/>
      <c r="N26" s="538"/>
      <c r="O26" s="538"/>
      <c r="P26" s="571"/>
      <c r="Q26" s="538"/>
    </row>
    <row r="27" spans="3:19" ht="48" customHeight="1" x14ac:dyDescent="0.25">
      <c r="C27" s="730" t="s">
        <v>422</v>
      </c>
      <c r="D27" s="730"/>
      <c r="E27" s="730"/>
      <c r="F27" s="730"/>
      <c r="G27" s="730"/>
      <c r="H27" s="730"/>
      <c r="I27" s="730"/>
      <c r="J27" s="730"/>
      <c r="K27" s="730"/>
      <c r="L27" s="527"/>
      <c r="M27" s="527"/>
      <c r="N27" s="527"/>
      <c r="O27" s="527"/>
      <c r="P27" s="572"/>
    </row>
    <row r="28" spans="3:19" ht="15.75" x14ac:dyDescent="0.25">
      <c r="F28" s="533"/>
      <c r="H28" s="527"/>
      <c r="I28" s="527"/>
      <c r="K28" s="527"/>
      <c r="L28" s="527"/>
      <c r="M28" s="527"/>
      <c r="N28" s="527"/>
      <c r="O28" s="527"/>
    </row>
    <row r="29" spans="3:19" ht="15.75" x14ac:dyDescent="0.25">
      <c r="C29" s="542"/>
      <c r="D29" s="542"/>
      <c r="E29" s="542"/>
      <c r="F29" s="543"/>
      <c r="G29" s="539"/>
      <c r="H29" s="544"/>
      <c r="I29" s="544"/>
      <c r="K29" s="527"/>
      <c r="L29" s="527"/>
      <c r="M29" s="527"/>
      <c r="N29" s="527"/>
      <c r="O29" s="527"/>
      <c r="Q29" s="545" t="s">
        <v>154</v>
      </c>
    </row>
    <row r="30" spans="3:19" ht="15.75" thickBot="1" x14ac:dyDescent="0.25"/>
    <row r="31" spans="3:19" ht="32.25" thickBot="1" x14ac:dyDescent="0.25">
      <c r="C31" s="546" t="s">
        <v>413</v>
      </c>
      <c r="D31" s="546" t="s">
        <v>414</v>
      </c>
      <c r="E31" s="546" t="s">
        <v>415</v>
      </c>
      <c r="F31" s="546" t="s">
        <v>416</v>
      </c>
      <c r="G31" s="546" t="s">
        <v>417</v>
      </c>
      <c r="H31" s="546" t="s">
        <v>418</v>
      </c>
      <c r="I31" s="546" t="s">
        <v>419</v>
      </c>
      <c r="J31" s="546" t="s">
        <v>420</v>
      </c>
      <c r="K31" s="546" t="s">
        <v>421</v>
      </c>
      <c r="L31" s="547"/>
      <c r="M31" s="547"/>
      <c r="Q31" s="546" t="s">
        <v>15</v>
      </c>
      <c r="R31" s="548" t="s">
        <v>134</v>
      </c>
    </row>
    <row r="32" spans="3:19" x14ac:dyDescent="0.2">
      <c r="C32" s="549">
        <v>0</v>
      </c>
      <c r="D32" s="549"/>
      <c r="F32" s="550"/>
      <c r="G32" s="550"/>
      <c r="J32" s="551"/>
      <c r="K32" s="527"/>
      <c r="L32" s="527"/>
      <c r="M32" s="527"/>
      <c r="N32" s="527"/>
      <c r="O32" s="527"/>
      <c r="P32" s="573"/>
      <c r="Q32" s="552">
        <f>IF(E21="","",E21)</f>
        <v>0</v>
      </c>
      <c r="R32" s="553">
        <f>IF(ISNUMBER(E21),-E21,0)</f>
        <v>0</v>
      </c>
    </row>
    <row r="33" spans="3:18" x14ac:dyDescent="0.2">
      <c r="C33" s="549">
        <v>1</v>
      </c>
      <c r="D33" s="576">
        <f>IF(C33="","",J22)</f>
        <v>45805</v>
      </c>
      <c r="E33" s="555">
        <f>E21</f>
        <v>0</v>
      </c>
      <c r="F33" s="556">
        <f>IF(C33="","",IF(Q25=4,-PMT($E$23/12,$E$22*12,E33)-G33,0))</f>
        <v>0</v>
      </c>
      <c r="G33" s="556" t="e">
        <f>IF(C33="","",IF((D34-D33)&lt;&gt;4,(E33*$E$23*(D34-D33)/365),E33*($E$23/12)))</f>
        <v>#VALUE!</v>
      </c>
      <c r="H33" s="554" t="str">
        <f>IFERROR(ROUND(G33*0.16,2),"")</f>
        <v/>
      </c>
      <c r="I33" s="554" t="e">
        <f>IF(C33="","",ROUND(F33+G33,2))</f>
        <v>#VALUE!</v>
      </c>
      <c r="J33" s="557" t="e">
        <f>IF(C33="","",ROUND(IF(Q25&lt;&gt;4,((E33*R21/1000)*12)/360*(D34-D33),R$21*$E$33/1000),2))</f>
        <v>#VALUE!</v>
      </c>
      <c r="K33" s="530">
        <f>IFERROR(IF(C33="","",F33+G33+J33+H33),0)</f>
        <v>0</v>
      </c>
      <c r="L33" s="530"/>
      <c r="M33" s="530"/>
      <c r="Q33" s="558">
        <f>IFERROR(VALUE(ROUND(IF(C33="","",E33-F33),2)),"")</f>
        <v>0</v>
      </c>
      <c r="R33" s="559" t="e">
        <f>IF(C33="","",F33+G33+J33)</f>
        <v>#VALUE!</v>
      </c>
    </row>
    <row r="34" spans="3:18" x14ac:dyDescent="0.2">
      <c r="C34" s="549" t="str">
        <f t="shared" ref="C34:C65" si="0">IF(OR(C33="",Q33&lt;=0),"",IF(Q33&gt;0,C33+1,""))</f>
        <v/>
      </c>
      <c r="D34" s="576" t="str">
        <f>IF(C34="","",IF(R25=12,_xlfn.CONCAT(4,"/",1,"/",S25+1)*1,_xlfn.CONCAT(4,"/",R25+1,"/",S25)*1))</f>
        <v/>
      </c>
      <c r="E34" s="555" t="str">
        <f t="shared" ref="E34:E65" si="1">IF(Q33&lt;=0,"",Q33)</f>
        <v/>
      </c>
      <c r="F34" s="556" t="str">
        <f>IF(C34="","",MIN(-PMT($E$23/12,$E$22*12,$E$21)-G34,E34))</f>
        <v/>
      </c>
      <c r="G34" s="556" t="str">
        <f>IF(C34="","",E34*($E$23/12))</f>
        <v/>
      </c>
      <c r="H34" s="554" t="str">
        <f>IF(C34="","",ROUND(G34*0.16,2))</f>
        <v/>
      </c>
      <c r="I34" s="554" t="str">
        <f>IF(C34="","",ROUND(F34+G34,2))</f>
        <v/>
      </c>
      <c r="J34" s="557" t="str">
        <f t="shared" ref="J34:J65" si="2">IF(C34="","",ROUND(R$21*Q33/1000,2))</f>
        <v/>
      </c>
      <c r="K34" s="530" t="str">
        <f>IFERROR(IF(C34="","",F34+G34+J34+H34),0)</f>
        <v/>
      </c>
      <c r="L34" s="530"/>
      <c r="M34" s="530"/>
      <c r="N34" s="527"/>
      <c r="O34" s="530"/>
      <c r="P34" s="574"/>
      <c r="Q34" s="558" t="str">
        <f>IFERROR(VALUE(ROUND(IF(C34="","",E34-F34),2)),"")</f>
        <v/>
      </c>
      <c r="R34" s="559" t="str">
        <f>IF(C34="","",F34+G34+J34)</f>
        <v/>
      </c>
    </row>
    <row r="35" spans="3:18" x14ac:dyDescent="0.2">
      <c r="C35" s="549" t="str">
        <f t="shared" si="0"/>
        <v/>
      </c>
      <c r="D35" s="576" t="str">
        <f>IF(C35="","",WORKDAY.INTL(DATE(YEAR(D34),MONTH(D34)+1,4)-1,1,1,Inhábil[Fecha]))</f>
        <v/>
      </c>
      <c r="E35" s="555" t="str">
        <f>IF(Q34&lt;=0,"",Q34)</f>
        <v/>
      </c>
      <c r="F35" s="556" t="str">
        <f t="shared" ref="F35:F98" si="3">IF(C35="","",MIN(-PMT($E$23/12,$E$22*12,$E$21)-G35,E35))</f>
        <v/>
      </c>
      <c r="G35" s="556" t="str">
        <f t="shared" ref="G35:G98" si="4">IF(C35="","",E35*($E$23/12))</f>
        <v/>
      </c>
      <c r="H35" s="554" t="str">
        <f t="shared" ref="H35:H98" si="5">IF(C35="","",ROUND(G35*0.16,2))</f>
        <v/>
      </c>
      <c r="I35" s="554" t="str">
        <f t="shared" ref="I35:I98" si="6">IF(C35="","",ROUND(F35+G35,2))</f>
        <v/>
      </c>
      <c r="J35" s="557" t="str">
        <f t="shared" si="2"/>
        <v/>
      </c>
      <c r="K35" s="530" t="str">
        <f>IFERROR(IF(C35="","",F35+G35+J35+H35),0)</f>
        <v/>
      </c>
      <c r="L35" s="530"/>
      <c r="M35" s="530"/>
      <c r="N35" s="578"/>
      <c r="O35" s="530"/>
      <c r="P35" s="577"/>
      <c r="Q35" s="558" t="str">
        <f t="shared" ref="Q35:Q98" si="7">IFERROR(VALUE(ROUND(IF(C35="","",E35-F35),2)),"")</f>
        <v/>
      </c>
      <c r="R35" s="559" t="str">
        <f t="shared" ref="R35:R98" si="8">IF(C35="","",F35+G35+J35)</f>
        <v/>
      </c>
    </row>
    <row r="36" spans="3:18" x14ac:dyDescent="0.2">
      <c r="C36" s="549" t="str">
        <f t="shared" si="0"/>
        <v/>
      </c>
      <c r="D36" s="576" t="str">
        <f>IF(C36="","",WORKDAY.INTL(DATE(YEAR(D35),MONTH(D35)+1,4)-1,1,1,Inhábil[Fecha]))</f>
        <v/>
      </c>
      <c r="E36" s="555" t="str">
        <f t="shared" si="1"/>
        <v/>
      </c>
      <c r="F36" s="556" t="str">
        <f t="shared" si="3"/>
        <v/>
      </c>
      <c r="G36" s="556" t="str">
        <f t="shared" si="4"/>
        <v/>
      </c>
      <c r="H36" s="554" t="str">
        <f t="shared" si="5"/>
        <v/>
      </c>
      <c r="I36" s="554" t="str">
        <f t="shared" si="6"/>
        <v/>
      </c>
      <c r="J36" s="557" t="str">
        <f t="shared" si="2"/>
        <v/>
      </c>
      <c r="K36" s="530" t="str">
        <f t="shared" ref="K36:K99" si="9">IFERROR(IF(C36="","",F36+G36+J36+H36),0)</f>
        <v/>
      </c>
      <c r="L36" s="530"/>
      <c r="M36" s="530"/>
      <c r="N36" s="530"/>
      <c r="O36" s="530"/>
      <c r="P36" s="574"/>
      <c r="Q36" s="558" t="str">
        <f t="shared" si="7"/>
        <v/>
      </c>
      <c r="R36" s="559" t="str">
        <f t="shared" si="8"/>
        <v/>
      </c>
    </row>
    <row r="37" spans="3:18" x14ac:dyDescent="0.2">
      <c r="C37" s="549" t="str">
        <f t="shared" si="0"/>
        <v/>
      </c>
      <c r="D37" s="576" t="str">
        <f>IF(C37="","",WORKDAY.INTL(DATE(YEAR(D36),MONTH(D36)+1,4)-1,1,1,Inhábil[Fecha]))</f>
        <v/>
      </c>
      <c r="E37" s="555" t="str">
        <f t="shared" si="1"/>
        <v/>
      </c>
      <c r="F37" s="556" t="str">
        <f t="shared" si="3"/>
        <v/>
      </c>
      <c r="G37" s="556" t="str">
        <f t="shared" si="4"/>
        <v/>
      </c>
      <c r="H37" s="554" t="str">
        <f t="shared" si="5"/>
        <v/>
      </c>
      <c r="I37" s="554" t="str">
        <f t="shared" si="6"/>
        <v/>
      </c>
      <c r="J37" s="557" t="str">
        <f t="shared" si="2"/>
        <v/>
      </c>
      <c r="K37" s="530" t="str">
        <f t="shared" si="9"/>
        <v/>
      </c>
      <c r="L37" s="530"/>
      <c r="M37" s="530"/>
      <c r="N37" s="530"/>
      <c r="O37" s="530"/>
      <c r="P37" s="574"/>
      <c r="Q37" s="558" t="str">
        <f t="shared" si="7"/>
        <v/>
      </c>
      <c r="R37" s="559" t="str">
        <f t="shared" si="8"/>
        <v/>
      </c>
    </row>
    <row r="38" spans="3:18" x14ac:dyDescent="0.2">
      <c r="C38" s="549" t="str">
        <f t="shared" si="0"/>
        <v/>
      </c>
      <c r="D38" s="576" t="str">
        <f>IF(C38="","",WORKDAY.INTL(DATE(YEAR(D37),MONTH(D37)+1,4)-1,1,1,Inhábil[Fecha]))</f>
        <v/>
      </c>
      <c r="E38" s="555" t="str">
        <f t="shared" si="1"/>
        <v/>
      </c>
      <c r="F38" s="556" t="str">
        <f t="shared" si="3"/>
        <v/>
      </c>
      <c r="G38" s="556" t="str">
        <f t="shared" si="4"/>
        <v/>
      </c>
      <c r="H38" s="554" t="str">
        <f t="shared" si="5"/>
        <v/>
      </c>
      <c r="I38" s="554" t="str">
        <f t="shared" si="6"/>
        <v/>
      </c>
      <c r="J38" s="557" t="str">
        <f t="shared" si="2"/>
        <v/>
      </c>
      <c r="K38" s="530" t="str">
        <f t="shared" si="9"/>
        <v/>
      </c>
      <c r="L38" s="530"/>
      <c r="M38" s="530"/>
      <c r="N38" s="530"/>
      <c r="O38" s="530"/>
      <c r="P38" s="574"/>
      <c r="Q38" s="558" t="str">
        <f t="shared" si="7"/>
        <v/>
      </c>
      <c r="R38" s="559" t="str">
        <f t="shared" si="8"/>
        <v/>
      </c>
    </row>
    <row r="39" spans="3:18" x14ac:dyDescent="0.2">
      <c r="C39" s="549" t="str">
        <f t="shared" si="0"/>
        <v/>
      </c>
      <c r="D39" s="576" t="str">
        <f>IF(C39="","",WORKDAY.INTL(DATE(YEAR(D38),MONTH(D38)+1,4)-1,1,1,Inhábil[Fecha]))</f>
        <v/>
      </c>
      <c r="E39" s="555" t="str">
        <f t="shared" si="1"/>
        <v/>
      </c>
      <c r="F39" s="556" t="str">
        <f t="shared" si="3"/>
        <v/>
      </c>
      <c r="G39" s="556" t="str">
        <f t="shared" si="4"/>
        <v/>
      </c>
      <c r="H39" s="554" t="str">
        <f t="shared" si="5"/>
        <v/>
      </c>
      <c r="I39" s="554" t="str">
        <f t="shared" si="6"/>
        <v/>
      </c>
      <c r="J39" s="557" t="str">
        <f t="shared" si="2"/>
        <v/>
      </c>
      <c r="K39" s="530" t="str">
        <f t="shared" si="9"/>
        <v/>
      </c>
      <c r="L39" s="530"/>
      <c r="M39" s="530"/>
      <c r="N39" s="530"/>
      <c r="O39" s="530"/>
      <c r="P39" s="574"/>
      <c r="Q39" s="558" t="str">
        <f t="shared" si="7"/>
        <v/>
      </c>
      <c r="R39" s="559" t="str">
        <f t="shared" si="8"/>
        <v/>
      </c>
    </row>
    <row r="40" spans="3:18" x14ac:dyDescent="0.2">
      <c r="C40" s="549" t="str">
        <f t="shared" si="0"/>
        <v/>
      </c>
      <c r="D40" s="576" t="str">
        <f>IF(C40="","",WORKDAY.INTL(DATE(YEAR(D39),MONTH(D39)+1,4)-1,1,1,Inhábil[Fecha]))</f>
        <v/>
      </c>
      <c r="E40" s="555" t="str">
        <f t="shared" si="1"/>
        <v/>
      </c>
      <c r="F40" s="556" t="str">
        <f t="shared" si="3"/>
        <v/>
      </c>
      <c r="G40" s="556" t="str">
        <f t="shared" si="4"/>
        <v/>
      </c>
      <c r="H40" s="554" t="str">
        <f t="shared" si="5"/>
        <v/>
      </c>
      <c r="I40" s="554" t="str">
        <f t="shared" si="6"/>
        <v/>
      </c>
      <c r="J40" s="557" t="str">
        <f t="shared" si="2"/>
        <v/>
      </c>
      <c r="K40" s="530" t="str">
        <f t="shared" si="9"/>
        <v/>
      </c>
      <c r="L40" s="530"/>
      <c r="N40" s="578"/>
      <c r="O40" s="530"/>
      <c r="P40" s="574"/>
      <c r="Q40" s="558" t="str">
        <f t="shared" si="7"/>
        <v/>
      </c>
      <c r="R40" s="559" t="str">
        <f t="shared" si="8"/>
        <v/>
      </c>
    </row>
    <row r="41" spans="3:18" x14ac:dyDescent="0.2">
      <c r="C41" s="549" t="str">
        <f t="shared" si="0"/>
        <v/>
      </c>
      <c r="D41" s="576" t="str">
        <f>IF(C41="","",WORKDAY.INTL(DATE(YEAR(D40),MONTH(D40)+1,4)-1,1,1,Inhábil[Fecha]))</f>
        <v/>
      </c>
      <c r="E41" s="555" t="str">
        <f t="shared" si="1"/>
        <v/>
      </c>
      <c r="F41" s="556" t="str">
        <f t="shared" si="3"/>
        <v/>
      </c>
      <c r="G41" s="556" t="str">
        <f t="shared" si="4"/>
        <v/>
      </c>
      <c r="H41" s="554" t="str">
        <f t="shared" si="5"/>
        <v/>
      </c>
      <c r="I41" s="554" t="str">
        <f t="shared" si="6"/>
        <v/>
      </c>
      <c r="J41" s="557" t="str">
        <f t="shared" si="2"/>
        <v/>
      </c>
      <c r="K41" s="530" t="str">
        <f t="shared" si="9"/>
        <v/>
      </c>
      <c r="L41" s="530"/>
      <c r="M41" s="530"/>
      <c r="N41" s="530"/>
      <c r="O41" s="530"/>
      <c r="P41" s="574"/>
      <c r="Q41" s="558" t="str">
        <f t="shared" si="7"/>
        <v/>
      </c>
      <c r="R41" s="559" t="str">
        <f t="shared" si="8"/>
        <v/>
      </c>
    </row>
    <row r="42" spans="3:18" x14ac:dyDescent="0.2">
      <c r="C42" s="549" t="str">
        <f t="shared" si="0"/>
        <v/>
      </c>
      <c r="D42" s="576" t="str">
        <f>IF(C42="","",WORKDAY.INTL(DATE(YEAR(D41),MONTH(D41)+1,4)-1,1,1,Inhábil[Fecha]))</f>
        <v/>
      </c>
      <c r="E42" s="555" t="str">
        <f t="shared" si="1"/>
        <v/>
      </c>
      <c r="F42" s="556" t="str">
        <f t="shared" si="3"/>
        <v/>
      </c>
      <c r="G42" s="556" t="str">
        <f t="shared" si="4"/>
        <v/>
      </c>
      <c r="H42" s="554" t="str">
        <f t="shared" si="5"/>
        <v/>
      </c>
      <c r="I42" s="554" t="str">
        <f t="shared" si="6"/>
        <v/>
      </c>
      <c r="J42" s="557" t="str">
        <f t="shared" si="2"/>
        <v/>
      </c>
      <c r="K42" s="530" t="str">
        <f t="shared" si="9"/>
        <v/>
      </c>
      <c r="L42" s="530"/>
      <c r="M42" s="530"/>
      <c r="N42" s="530"/>
      <c r="O42" s="530"/>
      <c r="P42" s="574"/>
      <c r="Q42" s="558" t="str">
        <f t="shared" si="7"/>
        <v/>
      </c>
      <c r="R42" s="559" t="str">
        <f t="shared" si="8"/>
        <v/>
      </c>
    </row>
    <row r="43" spans="3:18" x14ac:dyDescent="0.2">
      <c r="C43" s="549" t="str">
        <f t="shared" si="0"/>
        <v/>
      </c>
      <c r="D43" s="576" t="str">
        <f>IF(C43="","",WORKDAY.INTL(DATE(YEAR(D42),MONTH(D42)+1,4)-1,1,1,Inhábil[Fecha]))</f>
        <v/>
      </c>
      <c r="E43" s="555" t="str">
        <f t="shared" si="1"/>
        <v/>
      </c>
      <c r="F43" s="556" t="str">
        <f t="shared" si="3"/>
        <v/>
      </c>
      <c r="G43" s="556" t="str">
        <f t="shared" si="4"/>
        <v/>
      </c>
      <c r="H43" s="554" t="str">
        <f t="shared" si="5"/>
        <v/>
      </c>
      <c r="I43" s="554" t="str">
        <f t="shared" si="6"/>
        <v/>
      </c>
      <c r="J43" s="557" t="str">
        <f t="shared" si="2"/>
        <v/>
      </c>
      <c r="K43" s="530" t="str">
        <f t="shared" si="9"/>
        <v/>
      </c>
      <c r="L43" s="530"/>
      <c r="M43" s="530"/>
      <c r="N43" s="530"/>
      <c r="O43" s="530"/>
      <c r="P43" s="574"/>
      <c r="Q43" s="558" t="str">
        <f t="shared" si="7"/>
        <v/>
      </c>
      <c r="R43" s="559" t="str">
        <f t="shared" si="8"/>
        <v/>
      </c>
    </row>
    <row r="44" spans="3:18" x14ac:dyDescent="0.2">
      <c r="C44" s="549" t="str">
        <f t="shared" si="0"/>
        <v/>
      </c>
      <c r="D44" s="576" t="str">
        <f>IF(C44="","",WORKDAY.INTL(DATE(YEAR(D43),MONTH(D43)+1,4)-1,1,1,Inhábil[Fecha]))</f>
        <v/>
      </c>
      <c r="E44" s="555" t="str">
        <f t="shared" si="1"/>
        <v/>
      </c>
      <c r="F44" s="556" t="str">
        <f t="shared" si="3"/>
        <v/>
      </c>
      <c r="G44" s="556" t="str">
        <f>IF(C44="","",E44*($E$23/12))</f>
        <v/>
      </c>
      <c r="H44" s="554" t="str">
        <f t="shared" si="5"/>
        <v/>
      </c>
      <c r="I44" s="554" t="str">
        <f t="shared" si="6"/>
        <v/>
      </c>
      <c r="J44" s="557" t="str">
        <f t="shared" si="2"/>
        <v/>
      </c>
      <c r="K44" s="530" t="str">
        <f t="shared" si="9"/>
        <v/>
      </c>
      <c r="L44" s="530"/>
      <c r="M44" s="530"/>
      <c r="N44" s="530"/>
      <c r="O44" s="530"/>
      <c r="P44" s="574"/>
      <c r="Q44" s="558" t="str">
        <f t="shared" si="7"/>
        <v/>
      </c>
      <c r="R44" s="559" t="str">
        <f t="shared" si="8"/>
        <v/>
      </c>
    </row>
    <row r="45" spans="3:18" x14ac:dyDescent="0.2">
      <c r="C45" s="549" t="str">
        <f t="shared" si="0"/>
        <v/>
      </c>
      <c r="D45" s="576" t="str">
        <f>IF(C45="","",WORKDAY.INTL(DATE(YEAR(D44),MONTH(D44)+1,4)-1,1,1,Inhábil[Fecha]))</f>
        <v/>
      </c>
      <c r="E45" s="555" t="str">
        <f t="shared" si="1"/>
        <v/>
      </c>
      <c r="F45" s="556" t="str">
        <f t="shared" si="3"/>
        <v/>
      </c>
      <c r="G45" s="556" t="str">
        <f t="shared" si="4"/>
        <v/>
      </c>
      <c r="H45" s="554" t="str">
        <f t="shared" si="5"/>
        <v/>
      </c>
      <c r="I45" s="554" t="str">
        <f t="shared" si="6"/>
        <v/>
      </c>
      <c r="J45" s="557" t="str">
        <f t="shared" si="2"/>
        <v/>
      </c>
      <c r="K45" s="530" t="str">
        <f t="shared" si="9"/>
        <v/>
      </c>
      <c r="L45" s="530"/>
      <c r="M45" s="530"/>
      <c r="N45" s="530"/>
      <c r="O45" s="530"/>
      <c r="P45" s="574"/>
      <c r="Q45" s="558" t="str">
        <f t="shared" si="7"/>
        <v/>
      </c>
      <c r="R45" s="559" t="str">
        <f t="shared" si="8"/>
        <v/>
      </c>
    </row>
    <row r="46" spans="3:18" x14ac:dyDescent="0.2">
      <c r="C46" s="549" t="str">
        <f t="shared" si="0"/>
        <v/>
      </c>
      <c r="D46" s="576" t="str">
        <f>IF(C46="","",WORKDAY.INTL(DATE(YEAR(D45),MONTH(D45)+1,4)-1,1,1,Inhábil[Fecha]))</f>
        <v/>
      </c>
      <c r="E46" s="555" t="str">
        <f t="shared" si="1"/>
        <v/>
      </c>
      <c r="F46" s="556" t="str">
        <f t="shared" si="3"/>
        <v/>
      </c>
      <c r="G46" s="556" t="str">
        <f t="shared" si="4"/>
        <v/>
      </c>
      <c r="H46" s="554" t="str">
        <f t="shared" si="5"/>
        <v/>
      </c>
      <c r="I46" s="554" t="str">
        <f t="shared" si="6"/>
        <v/>
      </c>
      <c r="J46" s="557" t="str">
        <f t="shared" si="2"/>
        <v/>
      </c>
      <c r="K46" s="530" t="str">
        <f t="shared" si="9"/>
        <v/>
      </c>
      <c r="L46" s="530"/>
      <c r="M46" s="530"/>
      <c r="N46" s="530"/>
      <c r="O46" s="530"/>
      <c r="P46" s="574"/>
      <c r="Q46" s="558" t="str">
        <f t="shared" si="7"/>
        <v/>
      </c>
      <c r="R46" s="559" t="str">
        <f t="shared" si="8"/>
        <v/>
      </c>
    </row>
    <row r="47" spans="3:18" x14ac:dyDescent="0.2">
      <c r="C47" s="549" t="str">
        <f t="shared" si="0"/>
        <v/>
      </c>
      <c r="D47" s="576" t="str">
        <f>IF(C47="","",WORKDAY.INTL(DATE(YEAR(D46),MONTH(D46)+1,4)-1,1,1,Inhábil[Fecha]))</f>
        <v/>
      </c>
      <c r="E47" s="555" t="str">
        <f t="shared" si="1"/>
        <v/>
      </c>
      <c r="F47" s="556" t="str">
        <f t="shared" si="3"/>
        <v/>
      </c>
      <c r="G47" s="556" t="str">
        <f t="shared" si="4"/>
        <v/>
      </c>
      <c r="H47" s="554" t="str">
        <f t="shared" si="5"/>
        <v/>
      </c>
      <c r="I47" s="554" t="str">
        <f t="shared" si="6"/>
        <v/>
      </c>
      <c r="J47" s="557" t="str">
        <f t="shared" si="2"/>
        <v/>
      </c>
      <c r="K47" s="530" t="str">
        <f t="shared" si="9"/>
        <v/>
      </c>
      <c r="L47" s="530"/>
      <c r="M47" s="530"/>
      <c r="N47" s="530"/>
      <c r="O47" s="530"/>
      <c r="P47" s="574"/>
      <c r="Q47" s="558" t="str">
        <f t="shared" si="7"/>
        <v/>
      </c>
      <c r="R47" s="559" t="str">
        <f t="shared" si="8"/>
        <v/>
      </c>
    </row>
    <row r="48" spans="3:18" x14ac:dyDescent="0.2">
      <c r="C48" s="549" t="str">
        <f t="shared" si="0"/>
        <v/>
      </c>
      <c r="D48" s="576" t="str">
        <f>IF(C48="","",WORKDAY.INTL(DATE(YEAR(D47),MONTH(D47)+1,4)-1,1,1,Inhábil[Fecha]))</f>
        <v/>
      </c>
      <c r="E48" s="555" t="str">
        <f t="shared" si="1"/>
        <v/>
      </c>
      <c r="F48" s="556" t="str">
        <f t="shared" si="3"/>
        <v/>
      </c>
      <c r="G48" s="556" t="str">
        <f t="shared" si="4"/>
        <v/>
      </c>
      <c r="H48" s="554" t="str">
        <f t="shared" si="5"/>
        <v/>
      </c>
      <c r="I48" s="554" t="str">
        <f t="shared" si="6"/>
        <v/>
      </c>
      <c r="J48" s="557" t="str">
        <f t="shared" si="2"/>
        <v/>
      </c>
      <c r="K48" s="530" t="str">
        <f t="shared" si="9"/>
        <v/>
      </c>
      <c r="L48" s="530"/>
      <c r="M48" s="530"/>
      <c r="N48" s="530"/>
      <c r="O48" s="530"/>
      <c r="P48" s="574"/>
      <c r="Q48" s="558" t="str">
        <f t="shared" si="7"/>
        <v/>
      </c>
      <c r="R48" s="559" t="str">
        <f t="shared" si="8"/>
        <v/>
      </c>
    </row>
    <row r="49" spans="3:18" x14ac:dyDescent="0.2">
      <c r="C49" s="549" t="str">
        <f t="shared" si="0"/>
        <v/>
      </c>
      <c r="D49" s="576" t="str">
        <f>IF(C49="","",WORKDAY.INTL(DATE(YEAR(D48),MONTH(D48)+1,4)-1,1,1,Inhábil[Fecha]))</f>
        <v/>
      </c>
      <c r="E49" s="555" t="str">
        <f t="shared" si="1"/>
        <v/>
      </c>
      <c r="F49" s="556" t="str">
        <f t="shared" si="3"/>
        <v/>
      </c>
      <c r="G49" s="556" t="str">
        <f t="shared" si="4"/>
        <v/>
      </c>
      <c r="H49" s="554" t="str">
        <f t="shared" si="5"/>
        <v/>
      </c>
      <c r="I49" s="554" t="str">
        <f t="shared" si="6"/>
        <v/>
      </c>
      <c r="J49" s="557" t="str">
        <f t="shared" si="2"/>
        <v/>
      </c>
      <c r="K49" s="530" t="str">
        <f t="shared" si="9"/>
        <v/>
      </c>
      <c r="L49" s="530"/>
      <c r="M49" s="530"/>
      <c r="N49" s="530"/>
      <c r="O49" s="530"/>
      <c r="P49" s="574"/>
      <c r="Q49" s="558" t="str">
        <f t="shared" si="7"/>
        <v/>
      </c>
      <c r="R49" s="559" t="str">
        <f t="shared" si="8"/>
        <v/>
      </c>
    </row>
    <row r="50" spans="3:18" x14ac:dyDescent="0.2">
      <c r="C50" s="549" t="str">
        <f t="shared" si="0"/>
        <v/>
      </c>
      <c r="D50" s="576" t="str">
        <f>IF(C50="","",WORKDAY.INTL(DATE(YEAR(D49),MONTH(D49)+1,4)-1,1,1,Inhábil[Fecha]))</f>
        <v/>
      </c>
      <c r="E50" s="555" t="str">
        <f t="shared" si="1"/>
        <v/>
      </c>
      <c r="F50" s="556" t="str">
        <f t="shared" si="3"/>
        <v/>
      </c>
      <c r="G50" s="556" t="str">
        <f t="shared" si="4"/>
        <v/>
      </c>
      <c r="H50" s="554" t="str">
        <f t="shared" si="5"/>
        <v/>
      </c>
      <c r="I50" s="554" t="str">
        <f t="shared" si="6"/>
        <v/>
      </c>
      <c r="J50" s="557" t="str">
        <f t="shared" si="2"/>
        <v/>
      </c>
      <c r="K50" s="530" t="str">
        <f t="shared" si="9"/>
        <v/>
      </c>
      <c r="L50" s="530"/>
      <c r="M50" s="530"/>
      <c r="N50" s="530"/>
      <c r="O50" s="530"/>
      <c r="P50" s="574"/>
      <c r="Q50" s="558" t="str">
        <f t="shared" si="7"/>
        <v/>
      </c>
      <c r="R50" s="559" t="str">
        <f t="shared" si="8"/>
        <v/>
      </c>
    </row>
    <row r="51" spans="3:18" x14ac:dyDescent="0.2">
      <c r="C51" s="549" t="str">
        <f t="shared" si="0"/>
        <v/>
      </c>
      <c r="D51" s="576" t="str">
        <f>IF(C51="","",WORKDAY.INTL(DATE(YEAR(D50),MONTH(D50)+1,4)-1,1,1,Inhábil[Fecha]))</f>
        <v/>
      </c>
      <c r="E51" s="555" t="str">
        <f t="shared" si="1"/>
        <v/>
      </c>
      <c r="F51" s="556" t="str">
        <f t="shared" si="3"/>
        <v/>
      </c>
      <c r="G51" s="556" t="str">
        <f t="shared" si="4"/>
        <v/>
      </c>
      <c r="H51" s="554" t="str">
        <f t="shared" si="5"/>
        <v/>
      </c>
      <c r="I51" s="554" t="str">
        <f t="shared" si="6"/>
        <v/>
      </c>
      <c r="J51" s="557" t="str">
        <f t="shared" si="2"/>
        <v/>
      </c>
      <c r="K51" s="530" t="str">
        <f t="shared" si="9"/>
        <v/>
      </c>
      <c r="L51" s="530"/>
      <c r="M51" s="530"/>
      <c r="N51" s="530"/>
      <c r="O51" s="530"/>
      <c r="P51" s="574"/>
      <c r="Q51" s="558" t="str">
        <f t="shared" si="7"/>
        <v/>
      </c>
      <c r="R51" s="559" t="str">
        <f t="shared" si="8"/>
        <v/>
      </c>
    </row>
    <row r="52" spans="3:18" x14ac:dyDescent="0.2">
      <c r="C52" s="549" t="str">
        <f t="shared" si="0"/>
        <v/>
      </c>
      <c r="D52" s="576" t="str">
        <f>IF(C52="","",WORKDAY.INTL(DATE(YEAR(D51),MONTH(D51)+1,4)-1,1,1,Inhábil[Fecha]))</f>
        <v/>
      </c>
      <c r="E52" s="555" t="str">
        <f t="shared" si="1"/>
        <v/>
      </c>
      <c r="F52" s="556" t="str">
        <f t="shared" si="3"/>
        <v/>
      </c>
      <c r="G52" s="556" t="str">
        <f t="shared" si="4"/>
        <v/>
      </c>
      <c r="H52" s="554" t="str">
        <f t="shared" si="5"/>
        <v/>
      </c>
      <c r="I52" s="554" t="str">
        <f t="shared" si="6"/>
        <v/>
      </c>
      <c r="J52" s="557" t="str">
        <f t="shared" si="2"/>
        <v/>
      </c>
      <c r="K52" s="530" t="str">
        <f t="shared" si="9"/>
        <v/>
      </c>
      <c r="L52" s="530"/>
      <c r="M52" s="530"/>
      <c r="N52" s="530"/>
      <c r="O52" s="530"/>
      <c r="P52" s="574"/>
      <c r="Q52" s="558" t="str">
        <f t="shared" si="7"/>
        <v/>
      </c>
      <c r="R52" s="559" t="str">
        <f t="shared" si="8"/>
        <v/>
      </c>
    </row>
    <row r="53" spans="3:18" x14ac:dyDescent="0.2">
      <c r="C53" s="549" t="str">
        <f t="shared" si="0"/>
        <v/>
      </c>
      <c r="D53" s="576" t="str">
        <f>IF(C53="","",WORKDAY.INTL(DATE(YEAR(D52),MONTH(D52)+1,4)-1,1,1,Inhábil[Fecha]))</f>
        <v/>
      </c>
      <c r="E53" s="555" t="str">
        <f t="shared" si="1"/>
        <v/>
      </c>
      <c r="F53" s="556" t="str">
        <f t="shared" si="3"/>
        <v/>
      </c>
      <c r="G53" s="556" t="str">
        <f t="shared" si="4"/>
        <v/>
      </c>
      <c r="H53" s="554" t="str">
        <f t="shared" si="5"/>
        <v/>
      </c>
      <c r="I53" s="554" t="str">
        <f t="shared" si="6"/>
        <v/>
      </c>
      <c r="J53" s="557" t="str">
        <f t="shared" si="2"/>
        <v/>
      </c>
      <c r="K53" s="530" t="str">
        <f t="shared" si="9"/>
        <v/>
      </c>
      <c r="L53" s="530"/>
      <c r="M53" s="530"/>
      <c r="N53" s="530"/>
      <c r="O53" s="530"/>
      <c r="P53" s="574"/>
      <c r="Q53" s="558" t="str">
        <f t="shared" si="7"/>
        <v/>
      </c>
      <c r="R53" s="559" t="str">
        <f t="shared" si="8"/>
        <v/>
      </c>
    </row>
    <row r="54" spans="3:18" x14ac:dyDescent="0.2">
      <c r="C54" s="549" t="str">
        <f t="shared" si="0"/>
        <v/>
      </c>
      <c r="D54" s="576" t="str">
        <f>IF(C54="","",WORKDAY.INTL(DATE(YEAR(D53),MONTH(D53)+1,4)-1,1,1,Inhábil[Fecha]))</f>
        <v/>
      </c>
      <c r="E54" s="555" t="str">
        <f t="shared" si="1"/>
        <v/>
      </c>
      <c r="F54" s="556" t="str">
        <f t="shared" si="3"/>
        <v/>
      </c>
      <c r="G54" s="556" t="str">
        <f t="shared" si="4"/>
        <v/>
      </c>
      <c r="H54" s="554" t="str">
        <f t="shared" si="5"/>
        <v/>
      </c>
      <c r="I54" s="554" t="str">
        <f t="shared" si="6"/>
        <v/>
      </c>
      <c r="J54" s="557" t="str">
        <f t="shared" si="2"/>
        <v/>
      </c>
      <c r="K54" s="530" t="str">
        <f t="shared" si="9"/>
        <v/>
      </c>
      <c r="L54" s="530"/>
      <c r="M54" s="530"/>
      <c r="N54" s="530"/>
      <c r="O54" s="530"/>
      <c r="P54" s="574"/>
      <c r="Q54" s="558" t="str">
        <f t="shared" si="7"/>
        <v/>
      </c>
      <c r="R54" s="559" t="str">
        <f t="shared" si="8"/>
        <v/>
      </c>
    </row>
    <row r="55" spans="3:18" x14ac:dyDescent="0.2">
      <c r="C55" s="549" t="str">
        <f t="shared" si="0"/>
        <v/>
      </c>
      <c r="D55" s="576" t="str">
        <f>IF(C55="","",WORKDAY.INTL(DATE(YEAR(D54),MONTH(D54)+1,4)-1,1,1,Inhábil[Fecha]))</f>
        <v/>
      </c>
      <c r="E55" s="555" t="str">
        <f t="shared" si="1"/>
        <v/>
      </c>
      <c r="F55" s="556" t="str">
        <f t="shared" si="3"/>
        <v/>
      </c>
      <c r="G55" s="556" t="str">
        <f t="shared" si="4"/>
        <v/>
      </c>
      <c r="H55" s="554" t="str">
        <f t="shared" si="5"/>
        <v/>
      </c>
      <c r="I55" s="554" t="str">
        <f t="shared" si="6"/>
        <v/>
      </c>
      <c r="J55" s="557" t="str">
        <f t="shared" si="2"/>
        <v/>
      </c>
      <c r="K55" s="530" t="str">
        <f t="shared" si="9"/>
        <v/>
      </c>
      <c r="L55" s="530"/>
      <c r="M55" s="530"/>
      <c r="N55" s="530"/>
      <c r="O55" s="530"/>
      <c r="P55" s="574"/>
      <c r="Q55" s="558" t="str">
        <f t="shared" si="7"/>
        <v/>
      </c>
      <c r="R55" s="559" t="str">
        <f t="shared" si="8"/>
        <v/>
      </c>
    </row>
    <row r="56" spans="3:18" x14ac:dyDescent="0.2">
      <c r="C56" s="549" t="str">
        <f t="shared" si="0"/>
        <v/>
      </c>
      <c r="D56" s="576" t="str">
        <f>IF(C56="","",WORKDAY.INTL(DATE(YEAR(D55),MONTH(D55)+1,4)-1,1,1,Inhábil[Fecha]))</f>
        <v/>
      </c>
      <c r="E56" s="555" t="str">
        <f t="shared" si="1"/>
        <v/>
      </c>
      <c r="F56" s="556" t="str">
        <f t="shared" si="3"/>
        <v/>
      </c>
      <c r="G56" s="556" t="str">
        <f t="shared" si="4"/>
        <v/>
      </c>
      <c r="H56" s="554" t="str">
        <f t="shared" si="5"/>
        <v/>
      </c>
      <c r="I56" s="554" t="str">
        <f t="shared" si="6"/>
        <v/>
      </c>
      <c r="J56" s="557" t="str">
        <f t="shared" si="2"/>
        <v/>
      </c>
      <c r="K56" s="530" t="str">
        <f t="shared" si="9"/>
        <v/>
      </c>
      <c r="L56" s="530"/>
      <c r="M56" s="530"/>
      <c r="N56" s="530"/>
      <c r="O56" s="530"/>
      <c r="P56" s="574"/>
      <c r="Q56" s="558" t="str">
        <f t="shared" si="7"/>
        <v/>
      </c>
      <c r="R56" s="559" t="str">
        <f t="shared" si="8"/>
        <v/>
      </c>
    </row>
    <row r="57" spans="3:18" x14ac:dyDescent="0.2">
      <c r="C57" s="549" t="str">
        <f t="shared" si="0"/>
        <v/>
      </c>
      <c r="D57" s="576" t="str">
        <f>IF(C57="","",WORKDAY.INTL(DATE(YEAR(D56),MONTH(D56)+1,4)-1,1,1,Inhábil[Fecha]))</f>
        <v/>
      </c>
      <c r="E57" s="555" t="str">
        <f t="shared" si="1"/>
        <v/>
      </c>
      <c r="F57" s="556" t="str">
        <f t="shared" si="3"/>
        <v/>
      </c>
      <c r="G57" s="556" t="str">
        <f t="shared" si="4"/>
        <v/>
      </c>
      <c r="H57" s="554" t="str">
        <f t="shared" si="5"/>
        <v/>
      </c>
      <c r="I57" s="554" t="str">
        <f t="shared" si="6"/>
        <v/>
      </c>
      <c r="J57" s="557" t="str">
        <f t="shared" si="2"/>
        <v/>
      </c>
      <c r="K57" s="530" t="str">
        <f t="shared" si="9"/>
        <v/>
      </c>
      <c r="L57" s="530"/>
      <c r="M57" s="530"/>
      <c r="N57" s="530"/>
      <c r="O57" s="530"/>
      <c r="P57" s="574"/>
      <c r="Q57" s="558" t="str">
        <f t="shared" si="7"/>
        <v/>
      </c>
      <c r="R57" s="559" t="str">
        <f t="shared" si="8"/>
        <v/>
      </c>
    </row>
    <row r="58" spans="3:18" x14ac:dyDescent="0.2">
      <c r="C58" s="549" t="str">
        <f t="shared" si="0"/>
        <v/>
      </c>
      <c r="D58" s="576" t="str">
        <f>IF(C58="","",WORKDAY.INTL(DATE(YEAR(D57),MONTH(D57)+1,4)-1,1,1,Inhábil[Fecha]))</f>
        <v/>
      </c>
      <c r="E58" s="555" t="str">
        <f t="shared" si="1"/>
        <v/>
      </c>
      <c r="F58" s="556" t="str">
        <f t="shared" si="3"/>
        <v/>
      </c>
      <c r="G58" s="556" t="str">
        <f t="shared" si="4"/>
        <v/>
      </c>
      <c r="H58" s="554" t="str">
        <f t="shared" si="5"/>
        <v/>
      </c>
      <c r="I58" s="554" t="str">
        <f t="shared" si="6"/>
        <v/>
      </c>
      <c r="J58" s="557" t="str">
        <f t="shared" si="2"/>
        <v/>
      </c>
      <c r="K58" s="530" t="str">
        <f t="shared" si="9"/>
        <v/>
      </c>
      <c r="L58" s="530"/>
      <c r="M58" s="530"/>
      <c r="N58" s="530"/>
      <c r="O58" s="530"/>
      <c r="P58" s="574"/>
      <c r="Q58" s="558" t="str">
        <f t="shared" si="7"/>
        <v/>
      </c>
      <c r="R58" s="559" t="str">
        <f t="shared" si="8"/>
        <v/>
      </c>
    </row>
    <row r="59" spans="3:18" x14ac:dyDescent="0.2">
      <c r="C59" s="549" t="str">
        <f t="shared" si="0"/>
        <v/>
      </c>
      <c r="D59" s="576" t="str">
        <f>IF(C59="","",WORKDAY.INTL(DATE(YEAR(D58),MONTH(D58)+1,4)-1,1,1,Inhábil[Fecha]))</f>
        <v/>
      </c>
      <c r="E59" s="555" t="str">
        <f t="shared" si="1"/>
        <v/>
      </c>
      <c r="F59" s="556" t="str">
        <f t="shared" si="3"/>
        <v/>
      </c>
      <c r="G59" s="556" t="str">
        <f t="shared" si="4"/>
        <v/>
      </c>
      <c r="H59" s="554" t="str">
        <f t="shared" si="5"/>
        <v/>
      </c>
      <c r="I59" s="554" t="str">
        <f t="shared" si="6"/>
        <v/>
      </c>
      <c r="J59" s="557" t="str">
        <f t="shared" si="2"/>
        <v/>
      </c>
      <c r="K59" s="530" t="str">
        <f t="shared" si="9"/>
        <v/>
      </c>
      <c r="L59" s="530"/>
      <c r="M59" s="530"/>
      <c r="N59" s="530"/>
      <c r="O59" s="530"/>
      <c r="P59" s="574"/>
      <c r="Q59" s="558" t="str">
        <f t="shared" si="7"/>
        <v/>
      </c>
      <c r="R59" s="559" t="str">
        <f t="shared" si="8"/>
        <v/>
      </c>
    </row>
    <row r="60" spans="3:18" x14ac:dyDescent="0.2">
      <c r="C60" s="549" t="str">
        <f t="shared" si="0"/>
        <v/>
      </c>
      <c r="D60" s="576" t="str">
        <f>IF(C60="","",WORKDAY.INTL(DATE(YEAR(D59),MONTH(D59)+1,4)-1,1,1,Inhábil[Fecha]))</f>
        <v/>
      </c>
      <c r="E60" s="555" t="str">
        <f t="shared" si="1"/>
        <v/>
      </c>
      <c r="F60" s="556" t="str">
        <f t="shared" si="3"/>
        <v/>
      </c>
      <c r="G60" s="556" t="str">
        <f t="shared" si="4"/>
        <v/>
      </c>
      <c r="H60" s="554" t="str">
        <f t="shared" si="5"/>
        <v/>
      </c>
      <c r="I60" s="554" t="str">
        <f t="shared" si="6"/>
        <v/>
      </c>
      <c r="J60" s="557" t="str">
        <f t="shared" si="2"/>
        <v/>
      </c>
      <c r="K60" s="530" t="str">
        <f t="shared" si="9"/>
        <v/>
      </c>
      <c r="L60" s="530"/>
      <c r="M60" s="530"/>
      <c r="N60" s="530"/>
      <c r="O60" s="530"/>
      <c r="P60" s="574"/>
      <c r="Q60" s="558" t="str">
        <f t="shared" si="7"/>
        <v/>
      </c>
      <c r="R60" s="559" t="str">
        <f t="shared" si="8"/>
        <v/>
      </c>
    </row>
    <row r="61" spans="3:18" x14ac:dyDescent="0.2">
      <c r="C61" s="549" t="str">
        <f t="shared" si="0"/>
        <v/>
      </c>
      <c r="D61" s="576" t="str">
        <f>IF(C61="","",WORKDAY.INTL(DATE(YEAR(D60),MONTH(D60)+1,4)-1,1,1,Inhábil[Fecha]))</f>
        <v/>
      </c>
      <c r="E61" s="555" t="str">
        <f t="shared" si="1"/>
        <v/>
      </c>
      <c r="F61" s="556" t="str">
        <f t="shared" si="3"/>
        <v/>
      </c>
      <c r="G61" s="556" t="str">
        <f t="shared" si="4"/>
        <v/>
      </c>
      <c r="H61" s="554" t="str">
        <f t="shared" si="5"/>
        <v/>
      </c>
      <c r="I61" s="554" t="str">
        <f t="shared" si="6"/>
        <v/>
      </c>
      <c r="J61" s="557" t="str">
        <f t="shared" si="2"/>
        <v/>
      </c>
      <c r="K61" s="530" t="str">
        <f t="shared" si="9"/>
        <v/>
      </c>
      <c r="L61" s="530"/>
      <c r="M61" s="530"/>
      <c r="N61" s="530"/>
      <c r="O61" s="530"/>
      <c r="P61" s="574"/>
      <c r="Q61" s="558" t="str">
        <f t="shared" si="7"/>
        <v/>
      </c>
      <c r="R61" s="559" t="str">
        <f t="shared" si="8"/>
        <v/>
      </c>
    </row>
    <row r="62" spans="3:18" x14ac:dyDescent="0.2">
      <c r="C62" s="549" t="str">
        <f t="shared" si="0"/>
        <v/>
      </c>
      <c r="D62" s="576" t="str">
        <f>IF(C62="","",WORKDAY.INTL(DATE(YEAR(D61),MONTH(D61)+1,4)-1,1,1,Inhábil[Fecha]))</f>
        <v/>
      </c>
      <c r="E62" s="555" t="str">
        <f t="shared" si="1"/>
        <v/>
      </c>
      <c r="F62" s="556" t="str">
        <f t="shared" si="3"/>
        <v/>
      </c>
      <c r="G62" s="556" t="str">
        <f t="shared" si="4"/>
        <v/>
      </c>
      <c r="H62" s="554" t="str">
        <f t="shared" si="5"/>
        <v/>
      </c>
      <c r="I62" s="554" t="str">
        <f t="shared" si="6"/>
        <v/>
      </c>
      <c r="J62" s="557" t="str">
        <f t="shared" si="2"/>
        <v/>
      </c>
      <c r="K62" s="530" t="str">
        <f t="shared" si="9"/>
        <v/>
      </c>
      <c r="L62" s="530"/>
      <c r="M62" s="530"/>
      <c r="N62" s="530"/>
      <c r="O62" s="530"/>
      <c r="P62" s="574"/>
      <c r="Q62" s="558" t="str">
        <f t="shared" si="7"/>
        <v/>
      </c>
      <c r="R62" s="559" t="str">
        <f t="shared" si="8"/>
        <v/>
      </c>
    </row>
    <row r="63" spans="3:18" x14ac:dyDescent="0.2">
      <c r="C63" s="549" t="str">
        <f t="shared" si="0"/>
        <v/>
      </c>
      <c r="D63" s="576" t="str">
        <f>IF(C63="","",WORKDAY.INTL(DATE(YEAR(D62),MONTH(D62)+1,4)-1,1,1,Inhábil[Fecha]))</f>
        <v/>
      </c>
      <c r="E63" s="555" t="str">
        <f t="shared" si="1"/>
        <v/>
      </c>
      <c r="F63" s="556" t="str">
        <f t="shared" si="3"/>
        <v/>
      </c>
      <c r="G63" s="556" t="str">
        <f t="shared" si="4"/>
        <v/>
      </c>
      <c r="H63" s="554" t="str">
        <f t="shared" si="5"/>
        <v/>
      </c>
      <c r="I63" s="554" t="str">
        <f t="shared" si="6"/>
        <v/>
      </c>
      <c r="J63" s="557" t="str">
        <f t="shared" si="2"/>
        <v/>
      </c>
      <c r="K63" s="530" t="str">
        <f t="shared" si="9"/>
        <v/>
      </c>
      <c r="L63" s="530"/>
      <c r="M63" s="530"/>
      <c r="N63" s="530"/>
      <c r="O63" s="530"/>
      <c r="P63" s="574"/>
      <c r="Q63" s="558" t="str">
        <f t="shared" si="7"/>
        <v/>
      </c>
      <c r="R63" s="559" t="str">
        <f t="shared" si="8"/>
        <v/>
      </c>
    </row>
    <row r="64" spans="3:18" x14ac:dyDescent="0.2">
      <c r="C64" s="549" t="str">
        <f t="shared" si="0"/>
        <v/>
      </c>
      <c r="D64" s="576" t="str">
        <f>IF(C64="","",WORKDAY.INTL(DATE(YEAR(D63),MONTH(D63)+1,4)-1,1,1,Inhábil[Fecha]))</f>
        <v/>
      </c>
      <c r="E64" s="555" t="str">
        <f t="shared" si="1"/>
        <v/>
      </c>
      <c r="F64" s="556" t="str">
        <f t="shared" si="3"/>
        <v/>
      </c>
      <c r="G64" s="556" t="str">
        <f t="shared" si="4"/>
        <v/>
      </c>
      <c r="H64" s="554" t="str">
        <f t="shared" si="5"/>
        <v/>
      </c>
      <c r="I64" s="554" t="str">
        <f t="shared" si="6"/>
        <v/>
      </c>
      <c r="J64" s="557" t="str">
        <f t="shared" si="2"/>
        <v/>
      </c>
      <c r="K64" s="530" t="str">
        <f t="shared" si="9"/>
        <v/>
      </c>
      <c r="L64" s="530"/>
      <c r="M64" s="530"/>
      <c r="N64" s="530"/>
      <c r="O64" s="530"/>
      <c r="P64" s="574"/>
      <c r="Q64" s="558" t="str">
        <f t="shared" si="7"/>
        <v/>
      </c>
      <c r="R64" s="559" t="str">
        <f t="shared" si="8"/>
        <v/>
      </c>
    </row>
    <row r="65" spans="3:18" x14ac:dyDescent="0.2">
      <c r="C65" s="549" t="str">
        <f t="shared" si="0"/>
        <v/>
      </c>
      <c r="D65" s="576" t="str">
        <f>IF(C65="","",WORKDAY.INTL(DATE(YEAR(D64),MONTH(D64)+1,4)-1,1,1,Inhábil[Fecha]))</f>
        <v/>
      </c>
      <c r="E65" s="555" t="str">
        <f t="shared" si="1"/>
        <v/>
      </c>
      <c r="F65" s="556" t="str">
        <f t="shared" si="3"/>
        <v/>
      </c>
      <c r="G65" s="556" t="str">
        <f t="shared" si="4"/>
        <v/>
      </c>
      <c r="H65" s="554" t="str">
        <f t="shared" si="5"/>
        <v/>
      </c>
      <c r="I65" s="554" t="str">
        <f t="shared" si="6"/>
        <v/>
      </c>
      <c r="J65" s="557" t="str">
        <f t="shared" si="2"/>
        <v/>
      </c>
      <c r="K65" s="530" t="str">
        <f t="shared" si="9"/>
        <v/>
      </c>
      <c r="L65" s="530"/>
      <c r="M65" s="530"/>
      <c r="N65" s="530"/>
      <c r="O65" s="530"/>
      <c r="P65" s="574"/>
      <c r="Q65" s="558" t="str">
        <f t="shared" si="7"/>
        <v/>
      </c>
      <c r="R65" s="559" t="str">
        <f t="shared" si="8"/>
        <v/>
      </c>
    </row>
    <row r="66" spans="3:18" x14ac:dyDescent="0.2">
      <c r="C66" s="549" t="str">
        <f t="shared" ref="C66:C97" si="10">IF(OR(C65="",Q65&lt;=0),"",IF(Q65&gt;0,C65+1,""))</f>
        <v/>
      </c>
      <c r="D66" s="576" t="str">
        <f>IF(C66="","",WORKDAY.INTL(DATE(YEAR(D65),MONTH(D65)+1,4)-1,1,1,Inhábil[Fecha]))</f>
        <v/>
      </c>
      <c r="E66" s="555" t="str">
        <f t="shared" ref="E66:E97" si="11">IF(Q65&lt;=0,"",Q65)</f>
        <v/>
      </c>
      <c r="F66" s="556" t="str">
        <f t="shared" si="3"/>
        <v/>
      </c>
      <c r="G66" s="556" t="str">
        <f t="shared" si="4"/>
        <v/>
      </c>
      <c r="H66" s="554" t="str">
        <f t="shared" si="5"/>
        <v/>
      </c>
      <c r="I66" s="554" t="str">
        <f t="shared" si="6"/>
        <v/>
      </c>
      <c r="J66" s="557" t="str">
        <f t="shared" ref="J66:J97" si="12">IF(C66="","",ROUND(R$21*Q65/1000,2))</f>
        <v/>
      </c>
      <c r="K66" s="530" t="str">
        <f t="shared" si="9"/>
        <v/>
      </c>
      <c r="L66" s="530"/>
      <c r="M66" s="530"/>
      <c r="N66" s="530"/>
      <c r="O66" s="530"/>
      <c r="P66" s="574"/>
      <c r="Q66" s="558" t="str">
        <f t="shared" si="7"/>
        <v/>
      </c>
      <c r="R66" s="559" t="str">
        <f t="shared" si="8"/>
        <v/>
      </c>
    </row>
    <row r="67" spans="3:18" x14ac:dyDescent="0.2">
      <c r="C67" s="549" t="str">
        <f t="shared" si="10"/>
        <v/>
      </c>
      <c r="D67" s="576" t="str">
        <f>IF(C67="","",WORKDAY.INTL(DATE(YEAR(D66),MONTH(D66)+1,4)-1,1,1,Inhábil[Fecha]))</f>
        <v/>
      </c>
      <c r="E67" s="555" t="str">
        <f t="shared" si="11"/>
        <v/>
      </c>
      <c r="F67" s="556" t="str">
        <f t="shared" si="3"/>
        <v/>
      </c>
      <c r="G67" s="556" t="str">
        <f t="shared" si="4"/>
        <v/>
      </c>
      <c r="H67" s="554" t="str">
        <f t="shared" si="5"/>
        <v/>
      </c>
      <c r="I67" s="554" t="str">
        <f t="shared" si="6"/>
        <v/>
      </c>
      <c r="J67" s="557" t="str">
        <f t="shared" si="12"/>
        <v/>
      </c>
      <c r="K67" s="530" t="str">
        <f t="shared" si="9"/>
        <v/>
      </c>
      <c r="L67" s="530"/>
      <c r="M67" s="530"/>
      <c r="N67" s="530"/>
      <c r="O67" s="530"/>
      <c r="P67" s="574"/>
      <c r="Q67" s="558" t="str">
        <f t="shared" si="7"/>
        <v/>
      </c>
      <c r="R67" s="559" t="str">
        <f t="shared" si="8"/>
        <v/>
      </c>
    </row>
    <row r="68" spans="3:18" x14ac:dyDescent="0.2">
      <c r="C68" s="549" t="str">
        <f t="shared" si="10"/>
        <v/>
      </c>
      <c r="D68" s="576" t="str">
        <f>IF(C68="","",WORKDAY.INTL(DATE(YEAR(D67),MONTH(D67)+1,4)-1,1,1,Inhábil[Fecha]))</f>
        <v/>
      </c>
      <c r="E68" s="555" t="str">
        <f t="shared" si="11"/>
        <v/>
      </c>
      <c r="F68" s="556" t="str">
        <f t="shared" si="3"/>
        <v/>
      </c>
      <c r="G68" s="556" t="str">
        <f t="shared" si="4"/>
        <v/>
      </c>
      <c r="H68" s="554" t="str">
        <f t="shared" si="5"/>
        <v/>
      </c>
      <c r="I68" s="554" t="str">
        <f t="shared" si="6"/>
        <v/>
      </c>
      <c r="J68" s="557" t="str">
        <f t="shared" si="12"/>
        <v/>
      </c>
      <c r="K68" s="530" t="str">
        <f t="shared" si="9"/>
        <v/>
      </c>
      <c r="L68" s="530"/>
      <c r="M68" s="530"/>
      <c r="N68" s="530"/>
      <c r="O68" s="530"/>
      <c r="P68" s="574"/>
      <c r="Q68" s="558" t="str">
        <f t="shared" si="7"/>
        <v/>
      </c>
      <c r="R68" s="559" t="str">
        <f t="shared" si="8"/>
        <v/>
      </c>
    </row>
    <row r="69" spans="3:18" x14ac:dyDescent="0.2">
      <c r="C69" s="549" t="str">
        <f t="shared" si="10"/>
        <v/>
      </c>
      <c r="D69" s="576" t="str">
        <f>IF(C69="","",WORKDAY.INTL(DATE(YEAR(D68),MONTH(D68)+1,4)-1,1,1,Inhábil[Fecha]))</f>
        <v/>
      </c>
      <c r="E69" s="555" t="str">
        <f t="shared" si="11"/>
        <v/>
      </c>
      <c r="F69" s="556" t="str">
        <f t="shared" si="3"/>
        <v/>
      </c>
      <c r="G69" s="556" t="str">
        <f t="shared" si="4"/>
        <v/>
      </c>
      <c r="H69" s="554" t="str">
        <f t="shared" si="5"/>
        <v/>
      </c>
      <c r="I69" s="554" t="str">
        <f t="shared" si="6"/>
        <v/>
      </c>
      <c r="J69" s="557" t="str">
        <f t="shared" si="12"/>
        <v/>
      </c>
      <c r="K69" s="530" t="str">
        <f t="shared" si="9"/>
        <v/>
      </c>
      <c r="L69" s="530"/>
      <c r="M69" s="530"/>
      <c r="N69" s="530"/>
      <c r="O69" s="530"/>
      <c r="P69" s="574"/>
      <c r="Q69" s="558" t="str">
        <f t="shared" si="7"/>
        <v/>
      </c>
      <c r="R69" s="559" t="str">
        <f t="shared" si="8"/>
        <v/>
      </c>
    </row>
    <row r="70" spans="3:18" x14ac:dyDescent="0.2">
      <c r="C70" s="549" t="str">
        <f t="shared" si="10"/>
        <v/>
      </c>
      <c r="D70" s="576" t="str">
        <f>IF(C70="","",WORKDAY.INTL(DATE(YEAR(D69),MONTH(D69)+1,4)-1,1,1,Inhábil[Fecha]))</f>
        <v/>
      </c>
      <c r="E70" s="555" t="str">
        <f t="shared" si="11"/>
        <v/>
      </c>
      <c r="F70" s="556" t="str">
        <f t="shared" si="3"/>
        <v/>
      </c>
      <c r="G70" s="556" t="str">
        <f t="shared" si="4"/>
        <v/>
      </c>
      <c r="H70" s="554" t="str">
        <f t="shared" si="5"/>
        <v/>
      </c>
      <c r="I70" s="554" t="str">
        <f t="shared" si="6"/>
        <v/>
      </c>
      <c r="J70" s="557" t="str">
        <f t="shared" si="12"/>
        <v/>
      </c>
      <c r="K70" s="530" t="str">
        <f t="shared" si="9"/>
        <v/>
      </c>
      <c r="L70" s="530"/>
      <c r="M70" s="530"/>
      <c r="N70" s="530"/>
      <c r="O70" s="530"/>
      <c r="P70" s="574"/>
      <c r="Q70" s="558" t="str">
        <f t="shared" si="7"/>
        <v/>
      </c>
      <c r="R70" s="559" t="str">
        <f t="shared" si="8"/>
        <v/>
      </c>
    </row>
    <row r="71" spans="3:18" x14ac:dyDescent="0.2">
      <c r="C71" s="549" t="str">
        <f t="shared" si="10"/>
        <v/>
      </c>
      <c r="D71" s="576" t="str">
        <f>IF(C71="","",WORKDAY.INTL(DATE(YEAR(D70),MONTH(D70)+1,4)-1,1,1,Inhábil[Fecha]))</f>
        <v/>
      </c>
      <c r="E71" s="555" t="str">
        <f t="shared" si="11"/>
        <v/>
      </c>
      <c r="F71" s="556" t="str">
        <f t="shared" si="3"/>
        <v/>
      </c>
      <c r="G71" s="556" t="str">
        <f t="shared" si="4"/>
        <v/>
      </c>
      <c r="H71" s="554" t="str">
        <f t="shared" si="5"/>
        <v/>
      </c>
      <c r="I71" s="554" t="str">
        <f t="shared" si="6"/>
        <v/>
      </c>
      <c r="J71" s="557" t="str">
        <f t="shared" si="12"/>
        <v/>
      </c>
      <c r="K71" s="530" t="str">
        <f t="shared" si="9"/>
        <v/>
      </c>
      <c r="L71" s="530"/>
      <c r="M71" s="530"/>
      <c r="N71" s="530"/>
      <c r="O71" s="530"/>
      <c r="P71" s="574"/>
      <c r="Q71" s="558" t="str">
        <f t="shared" si="7"/>
        <v/>
      </c>
      <c r="R71" s="559" t="str">
        <f t="shared" si="8"/>
        <v/>
      </c>
    </row>
    <row r="72" spans="3:18" x14ac:dyDescent="0.2">
      <c r="C72" s="549" t="str">
        <f t="shared" si="10"/>
        <v/>
      </c>
      <c r="D72" s="576" t="str">
        <f>IF(C72="","",WORKDAY.INTL(DATE(YEAR(D71),MONTH(D71)+1,4)-1,1,1,Inhábil[Fecha]))</f>
        <v/>
      </c>
      <c r="E72" s="555" t="str">
        <f t="shared" si="11"/>
        <v/>
      </c>
      <c r="F72" s="556" t="str">
        <f t="shared" si="3"/>
        <v/>
      </c>
      <c r="G72" s="556" t="str">
        <f t="shared" si="4"/>
        <v/>
      </c>
      <c r="H72" s="554" t="str">
        <f t="shared" si="5"/>
        <v/>
      </c>
      <c r="I72" s="554" t="str">
        <f t="shared" si="6"/>
        <v/>
      </c>
      <c r="J72" s="557" t="str">
        <f t="shared" si="12"/>
        <v/>
      </c>
      <c r="K72" s="530" t="str">
        <f t="shared" si="9"/>
        <v/>
      </c>
      <c r="L72" s="530"/>
      <c r="M72" s="530"/>
      <c r="N72" s="530"/>
      <c r="O72" s="530"/>
      <c r="P72" s="574"/>
      <c r="Q72" s="558" t="str">
        <f t="shared" si="7"/>
        <v/>
      </c>
      <c r="R72" s="559" t="str">
        <f t="shared" si="8"/>
        <v/>
      </c>
    </row>
    <row r="73" spans="3:18" x14ac:dyDescent="0.2">
      <c r="C73" s="549" t="str">
        <f t="shared" si="10"/>
        <v/>
      </c>
      <c r="D73" s="576" t="str">
        <f>IF(C73="","",WORKDAY.INTL(DATE(YEAR(D72),MONTH(D72)+1,4)-1,1,1,Inhábil[Fecha]))</f>
        <v/>
      </c>
      <c r="E73" s="555" t="str">
        <f t="shared" si="11"/>
        <v/>
      </c>
      <c r="F73" s="556" t="str">
        <f t="shared" si="3"/>
        <v/>
      </c>
      <c r="G73" s="556" t="str">
        <f t="shared" si="4"/>
        <v/>
      </c>
      <c r="H73" s="554" t="str">
        <f t="shared" si="5"/>
        <v/>
      </c>
      <c r="I73" s="554" t="str">
        <f t="shared" si="6"/>
        <v/>
      </c>
      <c r="J73" s="557" t="str">
        <f t="shared" si="12"/>
        <v/>
      </c>
      <c r="K73" s="530" t="str">
        <f t="shared" si="9"/>
        <v/>
      </c>
      <c r="L73" s="530"/>
      <c r="M73" s="530"/>
      <c r="N73" s="530"/>
      <c r="O73" s="530"/>
      <c r="P73" s="574"/>
      <c r="Q73" s="558" t="str">
        <f t="shared" si="7"/>
        <v/>
      </c>
      <c r="R73" s="559" t="str">
        <f t="shared" si="8"/>
        <v/>
      </c>
    </row>
    <row r="74" spans="3:18" x14ac:dyDescent="0.2">
      <c r="C74" s="549" t="str">
        <f t="shared" si="10"/>
        <v/>
      </c>
      <c r="D74" s="576" t="str">
        <f>IF(C74="","",WORKDAY.INTL(DATE(YEAR(D73),MONTH(D73)+1,4)-1,1,1,Inhábil[Fecha]))</f>
        <v/>
      </c>
      <c r="E74" s="555" t="str">
        <f t="shared" si="11"/>
        <v/>
      </c>
      <c r="F74" s="556" t="str">
        <f t="shared" si="3"/>
        <v/>
      </c>
      <c r="G74" s="556" t="str">
        <f t="shared" si="4"/>
        <v/>
      </c>
      <c r="H74" s="554" t="str">
        <f t="shared" si="5"/>
        <v/>
      </c>
      <c r="I74" s="554" t="str">
        <f t="shared" si="6"/>
        <v/>
      </c>
      <c r="J74" s="557" t="str">
        <f t="shared" si="12"/>
        <v/>
      </c>
      <c r="K74" s="530" t="str">
        <f t="shared" si="9"/>
        <v/>
      </c>
      <c r="L74" s="530"/>
      <c r="M74" s="530"/>
      <c r="N74" s="530"/>
      <c r="O74" s="530"/>
      <c r="P74" s="574"/>
      <c r="Q74" s="558" t="str">
        <f t="shared" si="7"/>
        <v/>
      </c>
      <c r="R74" s="559" t="str">
        <f t="shared" si="8"/>
        <v/>
      </c>
    </row>
    <row r="75" spans="3:18" x14ac:dyDescent="0.2">
      <c r="C75" s="549" t="str">
        <f t="shared" si="10"/>
        <v/>
      </c>
      <c r="D75" s="576" t="str">
        <f>IF(C75="","",WORKDAY.INTL(DATE(YEAR(D74),MONTH(D74)+1,4)-1,1,1,Inhábil[Fecha]))</f>
        <v/>
      </c>
      <c r="E75" s="555" t="str">
        <f t="shared" si="11"/>
        <v/>
      </c>
      <c r="F75" s="556" t="str">
        <f t="shared" si="3"/>
        <v/>
      </c>
      <c r="G75" s="556" t="str">
        <f t="shared" si="4"/>
        <v/>
      </c>
      <c r="H75" s="554" t="str">
        <f t="shared" si="5"/>
        <v/>
      </c>
      <c r="I75" s="554" t="str">
        <f t="shared" si="6"/>
        <v/>
      </c>
      <c r="J75" s="557" t="str">
        <f t="shared" si="12"/>
        <v/>
      </c>
      <c r="K75" s="530" t="str">
        <f t="shared" si="9"/>
        <v/>
      </c>
      <c r="L75" s="530"/>
      <c r="M75" s="530"/>
      <c r="N75" s="530"/>
      <c r="O75" s="530"/>
      <c r="P75" s="574"/>
      <c r="Q75" s="558" t="str">
        <f t="shared" si="7"/>
        <v/>
      </c>
      <c r="R75" s="559" t="str">
        <f t="shared" si="8"/>
        <v/>
      </c>
    </row>
    <row r="76" spans="3:18" x14ac:dyDescent="0.2">
      <c r="C76" s="549" t="str">
        <f t="shared" si="10"/>
        <v/>
      </c>
      <c r="D76" s="576" t="str">
        <f>IF(C76="","",WORKDAY.INTL(DATE(YEAR(D75),MONTH(D75)+1,4)-1,1,1,Inhábil[Fecha]))</f>
        <v/>
      </c>
      <c r="E76" s="555" t="str">
        <f t="shared" si="11"/>
        <v/>
      </c>
      <c r="F76" s="556" t="str">
        <f t="shared" si="3"/>
        <v/>
      </c>
      <c r="G76" s="556" t="str">
        <f t="shared" si="4"/>
        <v/>
      </c>
      <c r="H76" s="554" t="str">
        <f t="shared" si="5"/>
        <v/>
      </c>
      <c r="I76" s="554" t="str">
        <f t="shared" si="6"/>
        <v/>
      </c>
      <c r="J76" s="557" t="str">
        <f t="shared" si="12"/>
        <v/>
      </c>
      <c r="K76" s="530" t="str">
        <f t="shared" si="9"/>
        <v/>
      </c>
      <c r="L76" s="530"/>
      <c r="M76" s="530"/>
      <c r="N76" s="530"/>
      <c r="O76" s="530"/>
      <c r="P76" s="574"/>
      <c r="Q76" s="558" t="str">
        <f t="shared" si="7"/>
        <v/>
      </c>
      <c r="R76" s="559" t="str">
        <f t="shared" si="8"/>
        <v/>
      </c>
    </row>
    <row r="77" spans="3:18" x14ac:dyDescent="0.2">
      <c r="C77" s="549" t="str">
        <f t="shared" si="10"/>
        <v/>
      </c>
      <c r="D77" s="576" t="str">
        <f>IF(C77="","",WORKDAY.INTL(DATE(YEAR(D76),MONTH(D76)+1,4)-1,1,1,Inhábil[Fecha]))</f>
        <v/>
      </c>
      <c r="E77" s="555" t="str">
        <f t="shared" si="11"/>
        <v/>
      </c>
      <c r="F77" s="556" t="str">
        <f t="shared" si="3"/>
        <v/>
      </c>
      <c r="G77" s="556" t="str">
        <f t="shared" si="4"/>
        <v/>
      </c>
      <c r="H77" s="554" t="str">
        <f t="shared" si="5"/>
        <v/>
      </c>
      <c r="I77" s="554" t="str">
        <f t="shared" si="6"/>
        <v/>
      </c>
      <c r="J77" s="557" t="str">
        <f t="shared" si="12"/>
        <v/>
      </c>
      <c r="K77" s="530" t="str">
        <f t="shared" si="9"/>
        <v/>
      </c>
      <c r="L77" s="530"/>
      <c r="M77" s="530"/>
      <c r="N77" s="530"/>
      <c r="O77" s="530"/>
      <c r="P77" s="574"/>
      <c r="Q77" s="558" t="str">
        <f t="shared" si="7"/>
        <v/>
      </c>
      <c r="R77" s="559" t="str">
        <f t="shared" si="8"/>
        <v/>
      </c>
    </row>
    <row r="78" spans="3:18" x14ac:dyDescent="0.2">
      <c r="C78" s="549" t="str">
        <f t="shared" si="10"/>
        <v/>
      </c>
      <c r="D78" s="576" t="str">
        <f>IF(C78="","",WORKDAY.INTL(DATE(YEAR(D77),MONTH(D77)+1,4)-1,1,1,Inhábil[Fecha]))</f>
        <v/>
      </c>
      <c r="E78" s="555" t="str">
        <f t="shared" si="11"/>
        <v/>
      </c>
      <c r="F78" s="556" t="str">
        <f t="shared" si="3"/>
        <v/>
      </c>
      <c r="G78" s="556" t="str">
        <f t="shared" si="4"/>
        <v/>
      </c>
      <c r="H78" s="554" t="str">
        <f t="shared" si="5"/>
        <v/>
      </c>
      <c r="I78" s="554" t="str">
        <f t="shared" si="6"/>
        <v/>
      </c>
      <c r="J78" s="557" t="str">
        <f t="shared" si="12"/>
        <v/>
      </c>
      <c r="K78" s="530" t="str">
        <f t="shared" si="9"/>
        <v/>
      </c>
      <c r="L78" s="530"/>
      <c r="M78" s="530"/>
      <c r="N78" s="530"/>
      <c r="O78" s="530"/>
      <c r="P78" s="574"/>
      <c r="Q78" s="558" t="str">
        <f t="shared" si="7"/>
        <v/>
      </c>
      <c r="R78" s="559" t="str">
        <f t="shared" si="8"/>
        <v/>
      </c>
    </row>
    <row r="79" spans="3:18" x14ac:dyDescent="0.2">
      <c r="C79" s="549" t="str">
        <f t="shared" si="10"/>
        <v/>
      </c>
      <c r="D79" s="576" t="str">
        <f>IF(C79="","",WORKDAY.INTL(DATE(YEAR(D78),MONTH(D78)+1,4)-1,1,1,Inhábil[Fecha]))</f>
        <v/>
      </c>
      <c r="E79" s="555" t="str">
        <f t="shared" si="11"/>
        <v/>
      </c>
      <c r="F79" s="556" t="str">
        <f t="shared" si="3"/>
        <v/>
      </c>
      <c r="G79" s="556" t="str">
        <f t="shared" si="4"/>
        <v/>
      </c>
      <c r="H79" s="554" t="str">
        <f t="shared" si="5"/>
        <v/>
      </c>
      <c r="I79" s="554" t="str">
        <f t="shared" si="6"/>
        <v/>
      </c>
      <c r="J79" s="557" t="str">
        <f t="shared" si="12"/>
        <v/>
      </c>
      <c r="K79" s="530" t="str">
        <f t="shared" si="9"/>
        <v/>
      </c>
      <c r="L79" s="530"/>
      <c r="M79" s="530"/>
      <c r="N79" s="530"/>
      <c r="O79" s="530"/>
      <c r="P79" s="574"/>
      <c r="Q79" s="558" t="str">
        <f t="shared" si="7"/>
        <v/>
      </c>
      <c r="R79" s="559" t="str">
        <f t="shared" si="8"/>
        <v/>
      </c>
    </row>
    <row r="80" spans="3:18" x14ac:dyDescent="0.2">
      <c r="C80" s="549" t="str">
        <f t="shared" si="10"/>
        <v/>
      </c>
      <c r="D80" s="576" t="str">
        <f>IF(C80="","",WORKDAY.INTL(DATE(YEAR(D79),MONTH(D79)+1,4)-1,1,1,Inhábil[Fecha]))</f>
        <v/>
      </c>
      <c r="E80" s="555" t="str">
        <f t="shared" si="11"/>
        <v/>
      </c>
      <c r="F80" s="556" t="str">
        <f t="shared" si="3"/>
        <v/>
      </c>
      <c r="G80" s="556" t="str">
        <f t="shared" si="4"/>
        <v/>
      </c>
      <c r="H80" s="554" t="str">
        <f t="shared" si="5"/>
        <v/>
      </c>
      <c r="I80" s="554" t="str">
        <f t="shared" si="6"/>
        <v/>
      </c>
      <c r="J80" s="557" t="str">
        <f t="shared" si="12"/>
        <v/>
      </c>
      <c r="K80" s="530" t="str">
        <f t="shared" si="9"/>
        <v/>
      </c>
      <c r="L80" s="530"/>
      <c r="M80" s="530"/>
      <c r="N80" s="530"/>
      <c r="O80" s="530"/>
      <c r="P80" s="574"/>
      <c r="Q80" s="558" t="str">
        <f t="shared" si="7"/>
        <v/>
      </c>
      <c r="R80" s="559" t="str">
        <f t="shared" si="8"/>
        <v/>
      </c>
    </row>
    <row r="81" spans="3:18" x14ac:dyDescent="0.2">
      <c r="C81" s="549" t="str">
        <f t="shared" si="10"/>
        <v/>
      </c>
      <c r="D81" s="576" t="str">
        <f>IF(C81="","",WORKDAY.INTL(DATE(YEAR(D80),MONTH(D80)+1,4)-1,1,1,Inhábil[Fecha]))</f>
        <v/>
      </c>
      <c r="E81" s="555" t="str">
        <f t="shared" si="11"/>
        <v/>
      </c>
      <c r="F81" s="556" t="str">
        <f t="shared" si="3"/>
        <v/>
      </c>
      <c r="G81" s="556" t="str">
        <f t="shared" si="4"/>
        <v/>
      </c>
      <c r="H81" s="554" t="str">
        <f t="shared" si="5"/>
        <v/>
      </c>
      <c r="I81" s="554" t="str">
        <f t="shared" si="6"/>
        <v/>
      </c>
      <c r="J81" s="557" t="str">
        <f t="shared" si="12"/>
        <v/>
      </c>
      <c r="K81" s="530" t="str">
        <f t="shared" si="9"/>
        <v/>
      </c>
      <c r="L81" s="530"/>
      <c r="M81" s="530"/>
      <c r="N81" s="530"/>
      <c r="O81" s="530"/>
      <c r="P81" s="574"/>
      <c r="Q81" s="558" t="str">
        <f t="shared" si="7"/>
        <v/>
      </c>
      <c r="R81" s="559" t="str">
        <f t="shared" si="8"/>
        <v/>
      </c>
    </row>
    <row r="82" spans="3:18" x14ac:dyDescent="0.2">
      <c r="C82" s="549" t="str">
        <f t="shared" si="10"/>
        <v/>
      </c>
      <c r="D82" s="576" t="str">
        <f>IF(C82="","",WORKDAY.INTL(DATE(YEAR(D81),MONTH(D81)+1,4)-1,1,1,Inhábil[Fecha]))</f>
        <v/>
      </c>
      <c r="E82" s="555" t="str">
        <f t="shared" si="11"/>
        <v/>
      </c>
      <c r="F82" s="556" t="str">
        <f t="shared" si="3"/>
        <v/>
      </c>
      <c r="G82" s="556" t="str">
        <f t="shared" si="4"/>
        <v/>
      </c>
      <c r="H82" s="554" t="str">
        <f t="shared" si="5"/>
        <v/>
      </c>
      <c r="I82" s="554" t="str">
        <f t="shared" si="6"/>
        <v/>
      </c>
      <c r="J82" s="557" t="str">
        <f t="shared" si="12"/>
        <v/>
      </c>
      <c r="K82" s="530" t="str">
        <f t="shared" si="9"/>
        <v/>
      </c>
      <c r="L82" s="530"/>
      <c r="M82" s="530"/>
      <c r="N82" s="530"/>
      <c r="O82" s="530"/>
      <c r="P82" s="574"/>
      <c r="Q82" s="558" t="str">
        <f t="shared" si="7"/>
        <v/>
      </c>
      <c r="R82" s="559" t="str">
        <f t="shared" si="8"/>
        <v/>
      </c>
    </row>
    <row r="83" spans="3:18" x14ac:dyDescent="0.2">
      <c r="C83" s="549" t="str">
        <f t="shared" si="10"/>
        <v/>
      </c>
      <c r="D83" s="576" t="str">
        <f>IF(C83="","",WORKDAY.INTL(DATE(YEAR(D82),MONTH(D82)+1,4)-1,1,1,Inhábil[Fecha]))</f>
        <v/>
      </c>
      <c r="E83" s="555" t="str">
        <f t="shared" si="11"/>
        <v/>
      </c>
      <c r="F83" s="556" t="str">
        <f t="shared" si="3"/>
        <v/>
      </c>
      <c r="G83" s="556" t="str">
        <f t="shared" si="4"/>
        <v/>
      </c>
      <c r="H83" s="554" t="str">
        <f t="shared" si="5"/>
        <v/>
      </c>
      <c r="I83" s="554" t="str">
        <f t="shared" si="6"/>
        <v/>
      </c>
      <c r="J83" s="557" t="str">
        <f t="shared" si="12"/>
        <v/>
      </c>
      <c r="K83" s="530" t="str">
        <f t="shared" si="9"/>
        <v/>
      </c>
      <c r="L83" s="530"/>
      <c r="M83" s="530"/>
      <c r="N83" s="530"/>
      <c r="O83" s="530"/>
      <c r="P83" s="574"/>
      <c r="Q83" s="558" t="str">
        <f t="shared" si="7"/>
        <v/>
      </c>
      <c r="R83" s="559" t="str">
        <f t="shared" si="8"/>
        <v/>
      </c>
    </row>
    <row r="84" spans="3:18" x14ac:dyDescent="0.2">
      <c r="C84" s="549" t="str">
        <f t="shared" si="10"/>
        <v/>
      </c>
      <c r="D84" s="576" t="str">
        <f>IF(C84="","",WORKDAY.INTL(DATE(YEAR(D83),MONTH(D83)+1,4)-1,1,1,Inhábil[Fecha]))</f>
        <v/>
      </c>
      <c r="E84" s="555" t="str">
        <f t="shared" si="11"/>
        <v/>
      </c>
      <c r="F84" s="556" t="str">
        <f t="shared" si="3"/>
        <v/>
      </c>
      <c r="G84" s="556" t="str">
        <f t="shared" si="4"/>
        <v/>
      </c>
      <c r="H84" s="554" t="str">
        <f t="shared" si="5"/>
        <v/>
      </c>
      <c r="I84" s="554" t="str">
        <f t="shared" si="6"/>
        <v/>
      </c>
      <c r="J84" s="557" t="str">
        <f t="shared" si="12"/>
        <v/>
      </c>
      <c r="K84" s="530" t="str">
        <f t="shared" si="9"/>
        <v/>
      </c>
      <c r="L84" s="530"/>
      <c r="M84" s="530"/>
      <c r="N84" s="530"/>
      <c r="O84" s="530"/>
      <c r="P84" s="574"/>
      <c r="Q84" s="558" t="str">
        <f t="shared" si="7"/>
        <v/>
      </c>
      <c r="R84" s="559" t="str">
        <f t="shared" si="8"/>
        <v/>
      </c>
    </row>
    <row r="85" spans="3:18" x14ac:dyDescent="0.2">
      <c r="C85" s="549" t="str">
        <f t="shared" si="10"/>
        <v/>
      </c>
      <c r="D85" s="576" t="str">
        <f>IF(C85="","",WORKDAY.INTL(DATE(YEAR(D84),MONTH(D84)+1,4)-1,1,1,Inhábil[Fecha]))</f>
        <v/>
      </c>
      <c r="E85" s="555" t="str">
        <f t="shared" si="11"/>
        <v/>
      </c>
      <c r="F85" s="556" t="str">
        <f t="shared" si="3"/>
        <v/>
      </c>
      <c r="G85" s="556" t="str">
        <f t="shared" si="4"/>
        <v/>
      </c>
      <c r="H85" s="554" t="str">
        <f t="shared" si="5"/>
        <v/>
      </c>
      <c r="I85" s="554" t="str">
        <f t="shared" si="6"/>
        <v/>
      </c>
      <c r="J85" s="557" t="str">
        <f t="shared" si="12"/>
        <v/>
      </c>
      <c r="K85" s="530" t="str">
        <f t="shared" si="9"/>
        <v/>
      </c>
      <c r="L85" s="530"/>
      <c r="M85" s="530"/>
      <c r="N85" s="530"/>
      <c r="O85" s="530"/>
      <c r="P85" s="574"/>
      <c r="Q85" s="558" t="str">
        <f t="shared" si="7"/>
        <v/>
      </c>
      <c r="R85" s="559" t="str">
        <f t="shared" si="8"/>
        <v/>
      </c>
    </row>
    <row r="86" spans="3:18" x14ac:dyDescent="0.2">
      <c r="C86" s="549" t="str">
        <f t="shared" si="10"/>
        <v/>
      </c>
      <c r="D86" s="576" t="str">
        <f>IF(C86="","",WORKDAY.INTL(DATE(YEAR(D85),MONTH(D85)+1,4)-1,1,1,Inhábil[Fecha]))</f>
        <v/>
      </c>
      <c r="E86" s="555" t="str">
        <f t="shared" si="11"/>
        <v/>
      </c>
      <c r="F86" s="556" t="str">
        <f t="shared" si="3"/>
        <v/>
      </c>
      <c r="G86" s="556" t="str">
        <f t="shared" si="4"/>
        <v/>
      </c>
      <c r="H86" s="554" t="str">
        <f t="shared" si="5"/>
        <v/>
      </c>
      <c r="I86" s="554" t="str">
        <f t="shared" si="6"/>
        <v/>
      </c>
      <c r="J86" s="557" t="str">
        <f t="shared" si="12"/>
        <v/>
      </c>
      <c r="K86" s="530" t="str">
        <f t="shared" si="9"/>
        <v/>
      </c>
      <c r="L86" s="530"/>
      <c r="M86" s="530"/>
      <c r="N86" s="530"/>
      <c r="O86" s="530"/>
      <c r="P86" s="574"/>
      <c r="Q86" s="558" t="str">
        <f t="shared" si="7"/>
        <v/>
      </c>
      <c r="R86" s="559" t="str">
        <f t="shared" si="8"/>
        <v/>
      </c>
    </row>
    <row r="87" spans="3:18" x14ac:dyDescent="0.2">
      <c r="C87" s="549" t="str">
        <f t="shared" si="10"/>
        <v/>
      </c>
      <c r="D87" s="576" t="str">
        <f>IF(C87="","",WORKDAY.INTL(DATE(YEAR(D86),MONTH(D86)+1,4)-1,1,1,Inhábil[Fecha]))</f>
        <v/>
      </c>
      <c r="E87" s="555" t="str">
        <f t="shared" si="11"/>
        <v/>
      </c>
      <c r="F87" s="556" t="str">
        <f t="shared" si="3"/>
        <v/>
      </c>
      <c r="G87" s="556" t="str">
        <f t="shared" si="4"/>
        <v/>
      </c>
      <c r="H87" s="554" t="str">
        <f t="shared" si="5"/>
        <v/>
      </c>
      <c r="I87" s="554" t="str">
        <f t="shared" si="6"/>
        <v/>
      </c>
      <c r="J87" s="557" t="str">
        <f t="shared" si="12"/>
        <v/>
      </c>
      <c r="K87" s="530" t="str">
        <f t="shared" si="9"/>
        <v/>
      </c>
      <c r="L87" s="530"/>
      <c r="M87" s="530"/>
      <c r="N87" s="530"/>
      <c r="O87" s="530"/>
      <c r="P87" s="574"/>
      <c r="Q87" s="558" t="str">
        <f t="shared" si="7"/>
        <v/>
      </c>
      <c r="R87" s="559" t="str">
        <f t="shared" si="8"/>
        <v/>
      </c>
    </row>
    <row r="88" spans="3:18" x14ac:dyDescent="0.2">
      <c r="C88" s="549" t="str">
        <f t="shared" si="10"/>
        <v/>
      </c>
      <c r="D88" s="576" t="str">
        <f>IF(C88="","",WORKDAY.INTL(DATE(YEAR(D87),MONTH(D87)+1,4)-1,1,1,Inhábil[Fecha]))</f>
        <v/>
      </c>
      <c r="E88" s="555" t="str">
        <f t="shared" si="11"/>
        <v/>
      </c>
      <c r="F88" s="556" t="str">
        <f t="shared" si="3"/>
        <v/>
      </c>
      <c r="G88" s="556" t="str">
        <f t="shared" si="4"/>
        <v/>
      </c>
      <c r="H88" s="554" t="str">
        <f t="shared" si="5"/>
        <v/>
      </c>
      <c r="I88" s="554" t="str">
        <f t="shared" si="6"/>
        <v/>
      </c>
      <c r="J88" s="557" t="str">
        <f t="shared" si="12"/>
        <v/>
      </c>
      <c r="K88" s="530" t="str">
        <f t="shared" si="9"/>
        <v/>
      </c>
      <c r="L88" s="530"/>
      <c r="M88" s="530"/>
      <c r="N88" s="530"/>
      <c r="O88" s="530"/>
      <c r="P88" s="574"/>
      <c r="Q88" s="558" t="str">
        <f t="shared" si="7"/>
        <v/>
      </c>
      <c r="R88" s="559" t="str">
        <f t="shared" si="8"/>
        <v/>
      </c>
    </row>
    <row r="89" spans="3:18" x14ac:dyDescent="0.2">
      <c r="C89" s="549" t="str">
        <f t="shared" si="10"/>
        <v/>
      </c>
      <c r="D89" s="576" t="str">
        <f>IF(C89="","",WORKDAY.INTL(DATE(YEAR(D88),MONTH(D88)+1,4)-1,1,1,Inhábil[Fecha]))</f>
        <v/>
      </c>
      <c r="E89" s="555" t="str">
        <f t="shared" si="11"/>
        <v/>
      </c>
      <c r="F89" s="556" t="str">
        <f t="shared" si="3"/>
        <v/>
      </c>
      <c r="G89" s="556" t="str">
        <f t="shared" si="4"/>
        <v/>
      </c>
      <c r="H89" s="554" t="str">
        <f t="shared" si="5"/>
        <v/>
      </c>
      <c r="I89" s="554" t="str">
        <f t="shared" si="6"/>
        <v/>
      </c>
      <c r="J89" s="557" t="str">
        <f t="shared" si="12"/>
        <v/>
      </c>
      <c r="K89" s="530" t="str">
        <f t="shared" si="9"/>
        <v/>
      </c>
      <c r="L89" s="530"/>
      <c r="M89" s="530"/>
      <c r="N89" s="530"/>
      <c r="O89" s="530"/>
      <c r="P89" s="574"/>
      <c r="Q89" s="558" t="str">
        <f t="shared" si="7"/>
        <v/>
      </c>
      <c r="R89" s="559" t="str">
        <f t="shared" si="8"/>
        <v/>
      </c>
    </row>
    <row r="90" spans="3:18" x14ac:dyDescent="0.2">
      <c r="C90" s="549" t="str">
        <f t="shared" si="10"/>
        <v/>
      </c>
      <c r="D90" s="576" t="str">
        <f>IF(C90="","",WORKDAY.INTL(DATE(YEAR(D89),MONTH(D89)+1,4)-1,1,1,Inhábil[Fecha]))</f>
        <v/>
      </c>
      <c r="E90" s="555" t="str">
        <f t="shared" si="11"/>
        <v/>
      </c>
      <c r="F90" s="556" t="str">
        <f t="shared" si="3"/>
        <v/>
      </c>
      <c r="G90" s="556" t="str">
        <f t="shared" si="4"/>
        <v/>
      </c>
      <c r="H90" s="554" t="str">
        <f t="shared" si="5"/>
        <v/>
      </c>
      <c r="I90" s="554" t="str">
        <f t="shared" si="6"/>
        <v/>
      </c>
      <c r="J90" s="557" t="str">
        <f t="shared" si="12"/>
        <v/>
      </c>
      <c r="K90" s="530" t="str">
        <f t="shared" si="9"/>
        <v/>
      </c>
      <c r="L90" s="530"/>
      <c r="M90" s="530"/>
      <c r="N90" s="530"/>
      <c r="O90" s="530"/>
      <c r="P90" s="574"/>
      <c r="Q90" s="558" t="str">
        <f t="shared" si="7"/>
        <v/>
      </c>
      <c r="R90" s="559" t="str">
        <f t="shared" si="8"/>
        <v/>
      </c>
    </row>
    <row r="91" spans="3:18" x14ac:dyDescent="0.2">
      <c r="C91" s="549" t="str">
        <f t="shared" si="10"/>
        <v/>
      </c>
      <c r="D91" s="576" t="str">
        <f>IF(C91="","",WORKDAY.INTL(DATE(YEAR(D90),MONTH(D90)+1,4)-1,1,1,Inhábil[Fecha]))</f>
        <v/>
      </c>
      <c r="E91" s="555" t="str">
        <f t="shared" si="11"/>
        <v/>
      </c>
      <c r="F91" s="556" t="str">
        <f t="shared" si="3"/>
        <v/>
      </c>
      <c r="G91" s="556" t="str">
        <f t="shared" si="4"/>
        <v/>
      </c>
      <c r="H91" s="554" t="str">
        <f t="shared" si="5"/>
        <v/>
      </c>
      <c r="I91" s="554" t="str">
        <f t="shared" si="6"/>
        <v/>
      </c>
      <c r="J91" s="557" t="str">
        <f t="shared" si="12"/>
        <v/>
      </c>
      <c r="K91" s="530" t="str">
        <f t="shared" si="9"/>
        <v/>
      </c>
      <c r="L91" s="530"/>
      <c r="M91" s="530"/>
      <c r="N91" s="530"/>
      <c r="O91" s="530"/>
      <c r="P91" s="574"/>
      <c r="Q91" s="558" t="str">
        <f t="shared" si="7"/>
        <v/>
      </c>
      <c r="R91" s="559" t="str">
        <f t="shared" si="8"/>
        <v/>
      </c>
    </row>
    <row r="92" spans="3:18" x14ac:dyDescent="0.2">
      <c r="C92" s="549" t="str">
        <f t="shared" si="10"/>
        <v/>
      </c>
      <c r="D92" s="576" t="str">
        <f>IF(C92="","",WORKDAY.INTL(DATE(YEAR(D91),MONTH(D91)+1,4)-1,1,1,Inhábil[Fecha]))</f>
        <v/>
      </c>
      <c r="E92" s="555" t="str">
        <f t="shared" si="11"/>
        <v/>
      </c>
      <c r="F92" s="556" t="str">
        <f t="shared" si="3"/>
        <v/>
      </c>
      <c r="G92" s="556" t="str">
        <f t="shared" si="4"/>
        <v/>
      </c>
      <c r="H92" s="554" t="str">
        <f t="shared" si="5"/>
        <v/>
      </c>
      <c r="I92" s="554" t="str">
        <f t="shared" si="6"/>
        <v/>
      </c>
      <c r="J92" s="557" t="str">
        <f t="shared" si="12"/>
        <v/>
      </c>
      <c r="K92" s="530" t="str">
        <f t="shared" si="9"/>
        <v/>
      </c>
      <c r="L92" s="530"/>
      <c r="M92" s="530"/>
      <c r="N92" s="530"/>
      <c r="O92" s="530"/>
      <c r="P92" s="574"/>
      <c r="Q92" s="558" t="str">
        <f t="shared" si="7"/>
        <v/>
      </c>
      <c r="R92" s="559" t="str">
        <f t="shared" si="8"/>
        <v/>
      </c>
    </row>
    <row r="93" spans="3:18" x14ac:dyDescent="0.2">
      <c r="C93" s="549" t="str">
        <f t="shared" si="10"/>
        <v/>
      </c>
      <c r="D93" s="576" t="str">
        <f>IF(C93="","",WORKDAY.INTL(DATE(YEAR(D92),MONTH(D92)+1,4)-1,1,1,Inhábil[Fecha]))</f>
        <v/>
      </c>
      <c r="E93" s="555" t="str">
        <f t="shared" si="11"/>
        <v/>
      </c>
      <c r="F93" s="556" t="str">
        <f t="shared" si="3"/>
        <v/>
      </c>
      <c r="G93" s="556" t="str">
        <f t="shared" si="4"/>
        <v/>
      </c>
      <c r="H93" s="554" t="str">
        <f t="shared" si="5"/>
        <v/>
      </c>
      <c r="I93" s="554" t="str">
        <f t="shared" si="6"/>
        <v/>
      </c>
      <c r="J93" s="557" t="str">
        <f t="shared" si="12"/>
        <v/>
      </c>
      <c r="K93" s="530" t="str">
        <f t="shared" si="9"/>
        <v/>
      </c>
      <c r="L93" s="530"/>
      <c r="M93" s="530"/>
      <c r="N93" s="530"/>
      <c r="O93" s="530"/>
      <c r="P93" s="574"/>
      <c r="Q93" s="558" t="str">
        <f t="shared" si="7"/>
        <v/>
      </c>
      <c r="R93" s="559" t="str">
        <f t="shared" si="8"/>
        <v/>
      </c>
    </row>
    <row r="94" spans="3:18" x14ac:dyDescent="0.2">
      <c r="C94" s="549" t="str">
        <f t="shared" si="10"/>
        <v/>
      </c>
      <c r="D94" s="576" t="str">
        <f>IF(C94="","",WORKDAY.INTL(DATE(YEAR(D93),MONTH(D93)+1,4)-1,1,1,Inhábil[Fecha]))</f>
        <v/>
      </c>
      <c r="E94" s="555" t="str">
        <f t="shared" si="11"/>
        <v/>
      </c>
      <c r="F94" s="556" t="str">
        <f t="shared" si="3"/>
        <v/>
      </c>
      <c r="G94" s="556" t="str">
        <f t="shared" si="4"/>
        <v/>
      </c>
      <c r="H94" s="554" t="str">
        <f t="shared" si="5"/>
        <v/>
      </c>
      <c r="I94" s="554" t="str">
        <f t="shared" si="6"/>
        <v/>
      </c>
      <c r="J94" s="557" t="str">
        <f t="shared" si="12"/>
        <v/>
      </c>
      <c r="K94" s="530" t="str">
        <f t="shared" si="9"/>
        <v/>
      </c>
      <c r="L94" s="530"/>
      <c r="M94" s="530"/>
      <c r="N94" s="530"/>
      <c r="O94" s="530"/>
      <c r="P94" s="574"/>
      <c r="Q94" s="558" t="str">
        <f t="shared" si="7"/>
        <v/>
      </c>
      <c r="R94" s="559" t="str">
        <f t="shared" si="8"/>
        <v/>
      </c>
    </row>
    <row r="95" spans="3:18" x14ac:dyDescent="0.2">
      <c r="C95" s="549" t="str">
        <f t="shared" si="10"/>
        <v/>
      </c>
      <c r="D95" s="576" t="str">
        <f>IF(C95="","",WORKDAY.INTL(DATE(YEAR(D94),MONTH(D94)+1,4)-1,1,1,Inhábil[Fecha]))</f>
        <v/>
      </c>
      <c r="E95" s="555" t="str">
        <f t="shared" si="11"/>
        <v/>
      </c>
      <c r="F95" s="556" t="str">
        <f t="shared" si="3"/>
        <v/>
      </c>
      <c r="G95" s="556" t="str">
        <f t="shared" si="4"/>
        <v/>
      </c>
      <c r="H95" s="554" t="str">
        <f t="shared" si="5"/>
        <v/>
      </c>
      <c r="I95" s="554" t="str">
        <f t="shared" si="6"/>
        <v/>
      </c>
      <c r="J95" s="557" t="str">
        <f t="shared" si="12"/>
        <v/>
      </c>
      <c r="K95" s="530" t="str">
        <f t="shared" si="9"/>
        <v/>
      </c>
      <c r="L95" s="530"/>
      <c r="M95" s="530"/>
      <c r="N95" s="530"/>
      <c r="O95" s="530"/>
      <c r="P95" s="574"/>
      <c r="Q95" s="558" t="str">
        <f t="shared" si="7"/>
        <v/>
      </c>
      <c r="R95" s="559" t="str">
        <f t="shared" si="8"/>
        <v/>
      </c>
    </row>
    <row r="96" spans="3:18" x14ac:dyDescent="0.2">
      <c r="C96" s="549" t="str">
        <f t="shared" si="10"/>
        <v/>
      </c>
      <c r="D96" s="576" t="str">
        <f>IF(C96="","",WORKDAY.INTL(DATE(YEAR(D95),MONTH(D95)+1,4)-1,1,1,Inhábil[Fecha]))</f>
        <v/>
      </c>
      <c r="E96" s="555" t="str">
        <f t="shared" si="11"/>
        <v/>
      </c>
      <c r="F96" s="556" t="str">
        <f t="shared" si="3"/>
        <v/>
      </c>
      <c r="G96" s="556" t="str">
        <f t="shared" si="4"/>
        <v/>
      </c>
      <c r="H96" s="554" t="str">
        <f t="shared" si="5"/>
        <v/>
      </c>
      <c r="I96" s="554" t="str">
        <f t="shared" si="6"/>
        <v/>
      </c>
      <c r="J96" s="557" t="str">
        <f t="shared" si="12"/>
        <v/>
      </c>
      <c r="K96" s="530" t="str">
        <f t="shared" si="9"/>
        <v/>
      </c>
      <c r="L96" s="530"/>
      <c r="M96" s="530"/>
      <c r="N96" s="530"/>
      <c r="O96" s="530"/>
      <c r="P96" s="574"/>
      <c r="Q96" s="558" t="str">
        <f t="shared" si="7"/>
        <v/>
      </c>
      <c r="R96" s="559" t="str">
        <f t="shared" si="8"/>
        <v/>
      </c>
    </row>
    <row r="97" spans="3:18" x14ac:dyDescent="0.2">
      <c r="C97" s="549" t="str">
        <f t="shared" si="10"/>
        <v/>
      </c>
      <c r="D97" s="576" t="str">
        <f>IF(C97="","",WORKDAY.INTL(DATE(YEAR(D96),MONTH(D96)+1,4)-1,1,1,Inhábil[Fecha]))</f>
        <v/>
      </c>
      <c r="E97" s="555" t="str">
        <f t="shared" si="11"/>
        <v/>
      </c>
      <c r="F97" s="556" t="str">
        <f t="shared" si="3"/>
        <v/>
      </c>
      <c r="G97" s="556" t="str">
        <f t="shared" si="4"/>
        <v/>
      </c>
      <c r="H97" s="554" t="str">
        <f t="shared" si="5"/>
        <v/>
      </c>
      <c r="I97" s="554" t="str">
        <f t="shared" si="6"/>
        <v/>
      </c>
      <c r="J97" s="557" t="str">
        <f t="shared" si="12"/>
        <v/>
      </c>
      <c r="K97" s="530" t="str">
        <f t="shared" si="9"/>
        <v/>
      </c>
      <c r="L97" s="530"/>
      <c r="M97" s="530"/>
      <c r="N97" s="530"/>
      <c r="O97" s="530"/>
      <c r="P97" s="574"/>
      <c r="Q97" s="558" t="str">
        <f t="shared" si="7"/>
        <v/>
      </c>
      <c r="R97" s="559" t="str">
        <f t="shared" si="8"/>
        <v/>
      </c>
    </row>
    <row r="98" spans="3:18" x14ac:dyDescent="0.2">
      <c r="C98" s="549" t="str">
        <f t="shared" ref="C98:C129" si="13">IF(OR(C97="",Q97&lt;=0),"",IF(Q97&gt;0,C97+1,""))</f>
        <v/>
      </c>
      <c r="D98" s="576" t="str">
        <f>IF(C98="","",WORKDAY.INTL(DATE(YEAR(D97),MONTH(D97)+1,4)-1,1,1,Inhábil[Fecha]))</f>
        <v/>
      </c>
      <c r="E98" s="555" t="str">
        <f t="shared" ref="E98:E129" si="14">IF(Q97&lt;=0,"",Q97)</f>
        <v/>
      </c>
      <c r="F98" s="556" t="str">
        <f t="shared" si="3"/>
        <v/>
      </c>
      <c r="G98" s="556" t="str">
        <f t="shared" si="4"/>
        <v/>
      </c>
      <c r="H98" s="554" t="str">
        <f t="shared" si="5"/>
        <v/>
      </c>
      <c r="I98" s="554" t="str">
        <f t="shared" si="6"/>
        <v/>
      </c>
      <c r="J98" s="557" t="str">
        <f t="shared" ref="J98:J129" si="15">IF(C98="","",ROUND(R$21*Q97/1000,2))</f>
        <v/>
      </c>
      <c r="K98" s="530" t="str">
        <f t="shared" si="9"/>
        <v/>
      </c>
      <c r="L98" s="530"/>
      <c r="M98" s="530"/>
      <c r="N98" s="530"/>
      <c r="O98" s="530"/>
      <c r="P98" s="574"/>
      <c r="Q98" s="558" t="str">
        <f t="shared" si="7"/>
        <v/>
      </c>
      <c r="R98" s="559" t="str">
        <f t="shared" si="8"/>
        <v/>
      </c>
    </row>
    <row r="99" spans="3:18" x14ac:dyDescent="0.2">
      <c r="C99" s="549" t="str">
        <f t="shared" si="13"/>
        <v/>
      </c>
      <c r="D99" s="576" t="str">
        <f>IF(C99="","",WORKDAY.INTL(DATE(YEAR(D98),MONTH(D98)+1,4)-1,1,1,Inhábil[Fecha]))</f>
        <v/>
      </c>
      <c r="E99" s="555" t="str">
        <f t="shared" si="14"/>
        <v/>
      </c>
      <c r="F99" s="556" t="str">
        <f t="shared" ref="F99:F162" si="16">IF(C99="","",MIN(-PMT($E$23/12,$E$22*12,$E$21)-G99,E99))</f>
        <v/>
      </c>
      <c r="G99" s="556" t="str">
        <f t="shared" ref="G99:G162" si="17">IF(C99="","",E99*($E$23/12))</f>
        <v/>
      </c>
      <c r="H99" s="554" t="str">
        <f t="shared" ref="H99:H162" si="18">IF(C99="","",ROUND(G99*0.16,2))</f>
        <v/>
      </c>
      <c r="I99" s="554" t="str">
        <f t="shared" ref="I99:I162" si="19">IF(C99="","",ROUND(F99+G99,2))</f>
        <v/>
      </c>
      <c r="J99" s="557" t="str">
        <f t="shared" si="15"/>
        <v/>
      </c>
      <c r="K99" s="530" t="str">
        <f t="shared" si="9"/>
        <v/>
      </c>
      <c r="L99" s="530"/>
      <c r="M99" s="530"/>
      <c r="N99" s="530"/>
      <c r="O99" s="530"/>
      <c r="P99" s="574"/>
      <c r="Q99" s="558" t="str">
        <f t="shared" ref="Q99:Q162" si="20">IFERROR(VALUE(ROUND(IF(C99="","",E99-F99),2)),"")</f>
        <v/>
      </c>
      <c r="R99" s="559" t="str">
        <f t="shared" ref="R99:R162" si="21">IF(C99="","",F99+G99+J99)</f>
        <v/>
      </c>
    </row>
    <row r="100" spans="3:18" x14ac:dyDescent="0.2">
      <c r="C100" s="549" t="str">
        <f t="shared" si="13"/>
        <v/>
      </c>
      <c r="D100" s="576" t="str">
        <f>IF(C100="","",WORKDAY.INTL(DATE(YEAR(D99),MONTH(D99)+1,4)-1,1,1,Inhábil[Fecha]))</f>
        <v/>
      </c>
      <c r="E100" s="555" t="str">
        <f t="shared" si="14"/>
        <v/>
      </c>
      <c r="F100" s="556" t="str">
        <f t="shared" si="16"/>
        <v/>
      </c>
      <c r="G100" s="556" t="str">
        <f t="shared" si="17"/>
        <v/>
      </c>
      <c r="H100" s="554" t="str">
        <f t="shared" si="18"/>
        <v/>
      </c>
      <c r="I100" s="554" t="str">
        <f t="shared" si="19"/>
        <v/>
      </c>
      <c r="J100" s="557" t="str">
        <f t="shared" si="15"/>
        <v/>
      </c>
      <c r="K100" s="530" t="str">
        <f t="shared" ref="K100:K163" si="22">IFERROR(IF(C100="","",F100+G100+J100+H100),0)</f>
        <v/>
      </c>
      <c r="L100" s="530"/>
      <c r="M100" s="530"/>
      <c r="N100" s="530"/>
      <c r="O100" s="530"/>
      <c r="P100" s="574"/>
      <c r="Q100" s="558" t="str">
        <f t="shared" si="20"/>
        <v/>
      </c>
      <c r="R100" s="559" t="str">
        <f t="shared" si="21"/>
        <v/>
      </c>
    </row>
    <row r="101" spans="3:18" x14ac:dyDescent="0.2">
      <c r="C101" s="549" t="str">
        <f t="shared" si="13"/>
        <v/>
      </c>
      <c r="D101" s="576" t="str">
        <f>IF(C101="","",WORKDAY.INTL(DATE(YEAR(D100),MONTH(D100)+1,4)-1,1,1,Inhábil[Fecha]))</f>
        <v/>
      </c>
      <c r="E101" s="555" t="str">
        <f t="shared" si="14"/>
        <v/>
      </c>
      <c r="F101" s="556" t="str">
        <f t="shared" si="16"/>
        <v/>
      </c>
      <c r="G101" s="556" t="str">
        <f t="shared" si="17"/>
        <v/>
      </c>
      <c r="H101" s="554" t="str">
        <f t="shared" si="18"/>
        <v/>
      </c>
      <c r="I101" s="554" t="str">
        <f t="shared" si="19"/>
        <v/>
      </c>
      <c r="J101" s="557" t="str">
        <f t="shared" si="15"/>
        <v/>
      </c>
      <c r="K101" s="530" t="str">
        <f t="shared" si="22"/>
        <v/>
      </c>
      <c r="L101" s="530"/>
      <c r="M101" s="530"/>
      <c r="N101" s="530"/>
      <c r="O101" s="530"/>
      <c r="P101" s="574"/>
      <c r="Q101" s="558" t="str">
        <f t="shared" si="20"/>
        <v/>
      </c>
      <c r="R101" s="559" t="str">
        <f t="shared" si="21"/>
        <v/>
      </c>
    </row>
    <row r="102" spans="3:18" x14ac:dyDescent="0.2">
      <c r="C102" s="549" t="str">
        <f t="shared" si="13"/>
        <v/>
      </c>
      <c r="D102" s="576" t="str">
        <f>IF(C102="","",WORKDAY.INTL(DATE(YEAR(D101),MONTH(D101)+1,4)-1,1,1,Inhábil[Fecha]))</f>
        <v/>
      </c>
      <c r="E102" s="555" t="str">
        <f t="shared" si="14"/>
        <v/>
      </c>
      <c r="F102" s="556" t="str">
        <f t="shared" si="16"/>
        <v/>
      </c>
      <c r="G102" s="556" t="str">
        <f t="shared" si="17"/>
        <v/>
      </c>
      <c r="H102" s="554" t="str">
        <f t="shared" si="18"/>
        <v/>
      </c>
      <c r="I102" s="554" t="str">
        <f t="shared" si="19"/>
        <v/>
      </c>
      <c r="J102" s="557" t="str">
        <f t="shared" si="15"/>
        <v/>
      </c>
      <c r="K102" s="530" t="str">
        <f t="shared" si="22"/>
        <v/>
      </c>
      <c r="L102" s="530"/>
      <c r="M102" s="530"/>
      <c r="N102" s="530"/>
      <c r="O102" s="530"/>
      <c r="P102" s="574"/>
      <c r="Q102" s="558" t="str">
        <f t="shared" si="20"/>
        <v/>
      </c>
      <c r="R102" s="559" t="str">
        <f t="shared" si="21"/>
        <v/>
      </c>
    </row>
    <row r="103" spans="3:18" x14ac:dyDescent="0.2">
      <c r="C103" s="549" t="str">
        <f t="shared" si="13"/>
        <v/>
      </c>
      <c r="D103" s="576" t="str">
        <f>IF(C103="","",WORKDAY.INTL(DATE(YEAR(D102),MONTH(D102)+1,4)-1,1,1,Inhábil[Fecha]))</f>
        <v/>
      </c>
      <c r="E103" s="555" t="str">
        <f t="shared" si="14"/>
        <v/>
      </c>
      <c r="F103" s="556" t="str">
        <f t="shared" si="16"/>
        <v/>
      </c>
      <c r="G103" s="556" t="str">
        <f t="shared" si="17"/>
        <v/>
      </c>
      <c r="H103" s="554" t="str">
        <f t="shared" si="18"/>
        <v/>
      </c>
      <c r="I103" s="554" t="str">
        <f t="shared" si="19"/>
        <v/>
      </c>
      <c r="J103" s="557" t="str">
        <f t="shared" si="15"/>
        <v/>
      </c>
      <c r="K103" s="530" t="str">
        <f t="shared" si="22"/>
        <v/>
      </c>
      <c r="L103" s="530"/>
      <c r="M103" s="530"/>
      <c r="N103" s="530"/>
      <c r="O103" s="530"/>
      <c r="P103" s="574"/>
      <c r="Q103" s="558" t="str">
        <f t="shared" si="20"/>
        <v/>
      </c>
      <c r="R103" s="559" t="str">
        <f t="shared" si="21"/>
        <v/>
      </c>
    </row>
    <row r="104" spans="3:18" x14ac:dyDescent="0.2">
      <c r="C104" s="549" t="str">
        <f t="shared" si="13"/>
        <v/>
      </c>
      <c r="D104" s="576" t="str">
        <f>IF(C104="","",WORKDAY.INTL(DATE(YEAR(D103),MONTH(D103)+1,4)-1,1,1,Inhábil[Fecha]))</f>
        <v/>
      </c>
      <c r="E104" s="555" t="str">
        <f t="shared" si="14"/>
        <v/>
      </c>
      <c r="F104" s="556" t="str">
        <f t="shared" si="16"/>
        <v/>
      </c>
      <c r="G104" s="556" t="str">
        <f t="shared" si="17"/>
        <v/>
      </c>
      <c r="H104" s="554" t="str">
        <f t="shared" si="18"/>
        <v/>
      </c>
      <c r="I104" s="554" t="str">
        <f t="shared" si="19"/>
        <v/>
      </c>
      <c r="J104" s="557" t="str">
        <f t="shared" si="15"/>
        <v/>
      </c>
      <c r="K104" s="530" t="str">
        <f t="shared" si="22"/>
        <v/>
      </c>
      <c r="L104" s="530"/>
      <c r="M104" s="530"/>
      <c r="N104" s="530"/>
      <c r="O104" s="530"/>
      <c r="P104" s="574"/>
      <c r="Q104" s="558" t="str">
        <f t="shared" si="20"/>
        <v/>
      </c>
      <c r="R104" s="559" t="str">
        <f t="shared" si="21"/>
        <v/>
      </c>
    </row>
    <row r="105" spans="3:18" x14ac:dyDescent="0.2">
      <c r="C105" s="549" t="str">
        <f t="shared" si="13"/>
        <v/>
      </c>
      <c r="D105" s="576" t="str">
        <f>IF(C105="","",WORKDAY.INTL(DATE(YEAR(D104),MONTH(D104)+1,4)-1,1,1,Inhábil[Fecha]))</f>
        <v/>
      </c>
      <c r="E105" s="555" t="str">
        <f t="shared" si="14"/>
        <v/>
      </c>
      <c r="F105" s="556" t="str">
        <f t="shared" si="16"/>
        <v/>
      </c>
      <c r="G105" s="556" t="str">
        <f t="shared" si="17"/>
        <v/>
      </c>
      <c r="H105" s="554" t="str">
        <f t="shared" si="18"/>
        <v/>
      </c>
      <c r="I105" s="554" t="str">
        <f t="shared" si="19"/>
        <v/>
      </c>
      <c r="J105" s="557" t="str">
        <f t="shared" si="15"/>
        <v/>
      </c>
      <c r="K105" s="530" t="str">
        <f t="shared" si="22"/>
        <v/>
      </c>
      <c r="L105" s="530"/>
      <c r="M105" s="530"/>
      <c r="N105" s="530"/>
      <c r="O105" s="530"/>
      <c r="P105" s="574"/>
      <c r="Q105" s="558" t="str">
        <f t="shared" si="20"/>
        <v/>
      </c>
      <c r="R105" s="559" t="str">
        <f t="shared" si="21"/>
        <v/>
      </c>
    </row>
    <row r="106" spans="3:18" x14ac:dyDescent="0.2">
      <c r="C106" s="549" t="str">
        <f t="shared" si="13"/>
        <v/>
      </c>
      <c r="D106" s="576" t="str">
        <f>IF(C106="","",WORKDAY.INTL(DATE(YEAR(D105),MONTH(D105)+1,4)-1,1,1,Inhábil[Fecha]))</f>
        <v/>
      </c>
      <c r="E106" s="555" t="str">
        <f t="shared" si="14"/>
        <v/>
      </c>
      <c r="F106" s="556" t="str">
        <f t="shared" si="16"/>
        <v/>
      </c>
      <c r="G106" s="556" t="str">
        <f t="shared" si="17"/>
        <v/>
      </c>
      <c r="H106" s="554" t="str">
        <f t="shared" si="18"/>
        <v/>
      </c>
      <c r="I106" s="554" t="str">
        <f t="shared" si="19"/>
        <v/>
      </c>
      <c r="J106" s="557" t="str">
        <f t="shared" si="15"/>
        <v/>
      </c>
      <c r="K106" s="530" t="str">
        <f t="shared" si="22"/>
        <v/>
      </c>
      <c r="L106" s="530"/>
      <c r="M106" s="530"/>
      <c r="N106" s="530"/>
      <c r="O106" s="530"/>
      <c r="P106" s="574"/>
      <c r="Q106" s="558" t="str">
        <f t="shared" si="20"/>
        <v/>
      </c>
      <c r="R106" s="559" t="str">
        <f t="shared" si="21"/>
        <v/>
      </c>
    </row>
    <row r="107" spans="3:18" x14ac:dyDescent="0.2">
      <c r="C107" s="549" t="str">
        <f t="shared" si="13"/>
        <v/>
      </c>
      <c r="D107" s="576" t="str">
        <f>IF(C107="","",WORKDAY.INTL(DATE(YEAR(D106),MONTH(D106)+1,4)-1,1,1,Inhábil[Fecha]))</f>
        <v/>
      </c>
      <c r="E107" s="555" t="str">
        <f t="shared" si="14"/>
        <v/>
      </c>
      <c r="F107" s="556" t="str">
        <f t="shared" si="16"/>
        <v/>
      </c>
      <c r="G107" s="556" t="str">
        <f t="shared" si="17"/>
        <v/>
      </c>
      <c r="H107" s="554" t="str">
        <f t="shared" si="18"/>
        <v/>
      </c>
      <c r="I107" s="554" t="str">
        <f t="shared" si="19"/>
        <v/>
      </c>
      <c r="J107" s="557" t="str">
        <f t="shared" si="15"/>
        <v/>
      </c>
      <c r="K107" s="530" t="str">
        <f t="shared" si="22"/>
        <v/>
      </c>
      <c r="L107" s="530"/>
      <c r="M107" s="530"/>
      <c r="N107" s="530"/>
      <c r="O107" s="530"/>
      <c r="P107" s="574"/>
      <c r="Q107" s="558" t="str">
        <f t="shared" si="20"/>
        <v/>
      </c>
      <c r="R107" s="559" t="str">
        <f t="shared" si="21"/>
        <v/>
      </c>
    </row>
    <row r="108" spans="3:18" x14ac:dyDescent="0.2">
      <c r="C108" s="549" t="str">
        <f t="shared" si="13"/>
        <v/>
      </c>
      <c r="D108" s="576" t="str">
        <f>IF(C108="","",WORKDAY.INTL(DATE(YEAR(D107),MONTH(D107)+1,4)-1,1,1,Inhábil[Fecha]))</f>
        <v/>
      </c>
      <c r="E108" s="555" t="str">
        <f t="shared" si="14"/>
        <v/>
      </c>
      <c r="F108" s="556" t="str">
        <f t="shared" si="16"/>
        <v/>
      </c>
      <c r="G108" s="556" t="str">
        <f t="shared" si="17"/>
        <v/>
      </c>
      <c r="H108" s="554" t="str">
        <f t="shared" si="18"/>
        <v/>
      </c>
      <c r="I108" s="554" t="str">
        <f t="shared" si="19"/>
        <v/>
      </c>
      <c r="J108" s="557" t="str">
        <f t="shared" si="15"/>
        <v/>
      </c>
      <c r="K108" s="530" t="str">
        <f t="shared" si="22"/>
        <v/>
      </c>
      <c r="L108" s="530"/>
      <c r="M108" s="530"/>
      <c r="N108" s="530"/>
      <c r="O108" s="530"/>
      <c r="P108" s="574"/>
      <c r="Q108" s="558" t="str">
        <f t="shared" si="20"/>
        <v/>
      </c>
      <c r="R108" s="559" t="str">
        <f t="shared" si="21"/>
        <v/>
      </c>
    </row>
    <row r="109" spans="3:18" x14ac:dyDescent="0.2">
      <c r="C109" s="549" t="str">
        <f t="shared" si="13"/>
        <v/>
      </c>
      <c r="D109" s="576" t="str">
        <f>IF(C109="","",WORKDAY.INTL(DATE(YEAR(D108),MONTH(D108)+1,4)-1,1,1,Inhábil[Fecha]))</f>
        <v/>
      </c>
      <c r="E109" s="555" t="str">
        <f t="shared" si="14"/>
        <v/>
      </c>
      <c r="F109" s="556" t="str">
        <f t="shared" si="16"/>
        <v/>
      </c>
      <c r="G109" s="556" t="str">
        <f t="shared" si="17"/>
        <v/>
      </c>
      <c r="H109" s="554" t="str">
        <f t="shared" si="18"/>
        <v/>
      </c>
      <c r="I109" s="554" t="str">
        <f t="shared" si="19"/>
        <v/>
      </c>
      <c r="J109" s="557" t="str">
        <f t="shared" si="15"/>
        <v/>
      </c>
      <c r="K109" s="530" t="str">
        <f t="shared" si="22"/>
        <v/>
      </c>
      <c r="L109" s="530"/>
      <c r="M109" s="530"/>
      <c r="N109" s="530"/>
      <c r="O109" s="530"/>
      <c r="P109" s="574"/>
      <c r="Q109" s="558" t="str">
        <f t="shared" si="20"/>
        <v/>
      </c>
      <c r="R109" s="559" t="str">
        <f t="shared" si="21"/>
        <v/>
      </c>
    </row>
    <row r="110" spans="3:18" x14ac:dyDescent="0.2">
      <c r="C110" s="549" t="str">
        <f t="shared" si="13"/>
        <v/>
      </c>
      <c r="D110" s="576" t="str">
        <f>IF(C110="","",WORKDAY.INTL(DATE(YEAR(D109),MONTH(D109)+1,4)-1,1,1,Inhábil[Fecha]))</f>
        <v/>
      </c>
      <c r="E110" s="555" t="str">
        <f t="shared" si="14"/>
        <v/>
      </c>
      <c r="F110" s="556" t="str">
        <f t="shared" si="16"/>
        <v/>
      </c>
      <c r="G110" s="556" t="str">
        <f t="shared" si="17"/>
        <v/>
      </c>
      <c r="H110" s="554" t="str">
        <f t="shared" si="18"/>
        <v/>
      </c>
      <c r="I110" s="554" t="str">
        <f t="shared" si="19"/>
        <v/>
      </c>
      <c r="J110" s="557" t="str">
        <f t="shared" si="15"/>
        <v/>
      </c>
      <c r="K110" s="530" t="str">
        <f t="shared" si="22"/>
        <v/>
      </c>
      <c r="L110" s="530"/>
      <c r="M110" s="530"/>
      <c r="N110" s="530"/>
      <c r="O110" s="530"/>
      <c r="P110" s="574"/>
      <c r="Q110" s="558" t="str">
        <f t="shared" si="20"/>
        <v/>
      </c>
      <c r="R110" s="559" t="str">
        <f t="shared" si="21"/>
        <v/>
      </c>
    </row>
    <row r="111" spans="3:18" x14ac:dyDescent="0.2">
      <c r="C111" s="549" t="str">
        <f t="shared" si="13"/>
        <v/>
      </c>
      <c r="D111" s="576" t="str">
        <f>IF(C111="","",WORKDAY.INTL(DATE(YEAR(D110),MONTH(D110)+1,4)-1,1,1,Inhábil[Fecha]))</f>
        <v/>
      </c>
      <c r="E111" s="555" t="str">
        <f t="shared" si="14"/>
        <v/>
      </c>
      <c r="F111" s="556" t="str">
        <f t="shared" si="16"/>
        <v/>
      </c>
      <c r="G111" s="556" t="str">
        <f t="shared" si="17"/>
        <v/>
      </c>
      <c r="H111" s="554" t="str">
        <f t="shared" si="18"/>
        <v/>
      </c>
      <c r="I111" s="554" t="str">
        <f t="shared" si="19"/>
        <v/>
      </c>
      <c r="J111" s="557" t="str">
        <f t="shared" si="15"/>
        <v/>
      </c>
      <c r="K111" s="530" t="str">
        <f t="shared" si="22"/>
        <v/>
      </c>
      <c r="L111" s="530"/>
      <c r="M111" s="530"/>
      <c r="N111" s="530"/>
      <c r="O111" s="530"/>
      <c r="P111" s="574"/>
      <c r="Q111" s="558" t="str">
        <f t="shared" si="20"/>
        <v/>
      </c>
      <c r="R111" s="559" t="str">
        <f t="shared" si="21"/>
        <v/>
      </c>
    </row>
    <row r="112" spans="3:18" x14ac:dyDescent="0.2">
      <c r="C112" s="549" t="str">
        <f t="shared" si="13"/>
        <v/>
      </c>
      <c r="D112" s="576" t="str">
        <f>IF(C112="","",WORKDAY.INTL(DATE(YEAR(D111),MONTH(D111)+1,4)-1,1,1,Inhábil[Fecha]))</f>
        <v/>
      </c>
      <c r="E112" s="555" t="str">
        <f t="shared" si="14"/>
        <v/>
      </c>
      <c r="F112" s="556" t="str">
        <f t="shared" si="16"/>
        <v/>
      </c>
      <c r="G112" s="556" t="str">
        <f t="shared" si="17"/>
        <v/>
      </c>
      <c r="H112" s="554" t="str">
        <f t="shared" si="18"/>
        <v/>
      </c>
      <c r="I112" s="554" t="str">
        <f t="shared" si="19"/>
        <v/>
      </c>
      <c r="J112" s="557" t="str">
        <f t="shared" si="15"/>
        <v/>
      </c>
      <c r="K112" s="530" t="str">
        <f t="shared" si="22"/>
        <v/>
      </c>
      <c r="L112" s="530"/>
      <c r="M112" s="530"/>
      <c r="N112" s="530"/>
      <c r="O112" s="530"/>
      <c r="P112" s="574"/>
      <c r="Q112" s="558" t="str">
        <f t="shared" si="20"/>
        <v/>
      </c>
      <c r="R112" s="559" t="str">
        <f t="shared" si="21"/>
        <v/>
      </c>
    </row>
    <row r="113" spans="3:18" x14ac:dyDescent="0.2">
      <c r="C113" s="549" t="str">
        <f t="shared" si="13"/>
        <v/>
      </c>
      <c r="D113" s="576" t="str">
        <f>IF(C113="","",WORKDAY.INTL(DATE(YEAR(D112),MONTH(D112)+1,4)-1,1,1,Inhábil[Fecha]))</f>
        <v/>
      </c>
      <c r="E113" s="555" t="str">
        <f t="shared" si="14"/>
        <v/>
      </c>
      <c r="F113" s="556" t="str">
        <f t="shared" si="16"/>
        <v/>
      </c>
      <c r="G113" s="556" t="str">
        <f t="shared" si="17"/>
        <v/>
      </c>
      <c r="H113" s="554" t="str">
        <f t="shared" si="18"/>
        <v/>
      </c>
      <c r="I113" s="554" t="str">
        <f t="shared" si="19"/>
        <v/>
      </c>
      <c r="J113" s="557" t="str">
        <f t="shared" si="15"/>
        <v/>
      </c>
      <c r="K113" s="530" t="str">
        <f t="shared" si="22"/>
        <v/>
      </c>
      <c r="L113" s="530"/>
      <c r="M113" s="530"/>
      <c r="N113" s="530"/>
      <c r="O113" s="530"/>
      <c r="P113" s="574"/>
      <c r="Q113" s="558" t="str">
        <f t="shared" si="20"/>
        <v/>
      </c>
      <c r="R113" s="559" t="str">
        <f t="shared" si="21"/>
        <v/>
      </c>
    </row>
    <row r="114" spans="3:18" x14ac:dyDescent="0.2">
      <c r="C114" s="549" t="str">
        <f t="shared" si="13"/>
        <v/>
      </c>
      <c r="D114" s="576" t="str">
        <f>IF(C114="","",WORKDAY.INTL(DATE(YEAR(D113),MONTH(D113)+1,4)-1,1,1,Inhábil[Fecha]))</f>
        <v/>
      </c>
      <c r="E114" s="555" t="str">
        <f t="shared" si="14"/>
        <v/>
      </c>
      <c r="F114" s="556" t="str">
        <f t="shared" si="16"/>
        <v/>
      </c>
      <c r="G114" s="556" t="str">
        <f t="shared" si="17"/>
        <v/>
      </c>
      <c r="H114" s="554" t="str">
        <f t="shared" si="18"/>
        <v/>
      </c>
      <c r="I114" s="554" t="str">
        <f t="shared" si="19"/>
        <v/>
      </c>
      <c r="J114" s="557" t="str">
        <f t="shared" si="15"/>
        <v/>
      </c>
      <c r="K114" s="530" t="str">
        <f t="shared" si="22"/>
        <v/>
      </c>
      <c r="L114" s="530"/>
      <c r="M114" s="530"/>
      <c r="N114" s="530"/>
      <c r="O114" s="530"/>
      <c r="P114" s="574"/>
      <c r="Q114" s="558" t="str">
        <f t="shared" si="20"/>
        <v/>
      </c>
      <c r="R114" s="559" t="str">
        <f t="shared" si="21"/>
        <v/>
      </c>
    </row>
    <row r="115" spans="3:18" x14ac:dyDescent="0.2">
      <c r="C115" s="549" t="str">
        <f t="shared" si="13"/>
        <v/>
      </c>
      <c r="D115" s="576" t="str">
        <f>IF(C115="","",WORKDAY.INTL(DATE(YEAR(D114),MONTH(D114)+1,4)-1,1,1,Inhábil[Fecha]))</f>
        <v/>
      </c>
      <c r="E115" s="555" t="str">
        <f t="shared" si="14"/>
        <v/>
      </c>
      <c r="F115" s="556" t="str">
        <f t="shared" si="16"/>
        <v/>
      </c>
      <c r="G115" s="556" t="str">
        <f t="shared" si="17"/>
        <v/>
      </c>
      <c r="H115" s="554" t="str">
        <f t="shared" si="18"/>
        <v/>
      </c>
      <c r="I115" s="554" t="str">
        <f t="shared" si="19"/>
        <v/>
      </c>
      <c r="J115" s="557" t="str">
        <f t="shared" si="15"/>
        <v/>
      </c>
      <c r="K115" s="530" t="str">
        <f t="shared" si="22"/>
        <v/>
      </c>
      <c r="L115" s="530"/>
      <c r="M115" s="530"/>
      <c r="N115" s="530"/>
      <c r="O115" s="530"/>
      <c r="P115" s="574"/>
      <c r="Q115" s="558" t="str">
        <f t="shared" si="20"/>
        <v/>
      </c>
      <c r="R115" s="559" t="str">
        <f t="shared" si="21"/>
        <v/>
      </c>
    </row>
    <row r="116" spans="3:18" x14ac:dyDescent="0.2">
      <c r="C116" s="549" t="str">
        <f t="shared" si="13"/>
        <v/>
      </c>
      <c r="D116" s="576" t="str">
        <f>IF(C116="","",WORKDAY.INTL(DATE(YEAR(D115),MONTH(D115)+1,4)-1,1,1,Inhábil[Fecha]))</f>
        <v/>
      </c>
      <c r="E116" s="555" t="str">
        <f t="shared" si="14"/>
        <v/>
      </c>
      <c r="F116" s="556" t="str">
        <f t="shared" si="16"/>
        <v/>
      </c>
      <c r="G116" s="556" t="str">
        <f t="shared" si="17"/>
        <v/>
      </c>
      <c r="H116" s="554" t="str">
        <f t="shared" si="18"/>
        <v/>
      </c>
      <c r="I116" s="554" t="str">
        <f t="shared" si="19"/>
        <v/>
      </c>
      <c r="J116" s="557" t="str">
        <f t="shared" si="15"/>
        <v/>
      </c>
      <c r="K116" s="530" t="str">
        <f t="shared" si="22"/>
        <v/>
      </c>
      <c r="L116" s="530"/>
      <c r="M116" s="530"/>
      <c r="N116" s="530"/>
      <c r="O116" s="530"/>
      <c r="P116" s="574"/>
      <c r="Q116" s="558" t="str">
        <f t="shared" si="20"/>
        <v/>
      </c>
      <c r="R116" s="559" t="str">
        <f t="shared" si="21"/>
        <v/>
      </c>
    </row>
    <row r="117" spans="3:18" x14ac:dyDescent="0.2">
      <c r="C117" s="549" t="str">
        <f t="shared" si="13"/>
        <v/>
      </c>
      <c r="D117" s="576" t="str">
        <f>IF(C117="","",WORKDAY.INTL(DATE(YEAR(D116),MONTH(D116)+1,4)-1,1,1,Inhábil[Fecha]))</f>
        <v/>
      </c>
      <c r="E117" s="555" t="str">
        <f t="shared" si="14"/>
        <v/>
      </c>
      <c r="F117" s="556" t="str">
        <f t="shared" si="16"/>
        <v/>
      </c>
      <c r="G117" s="556" t="str">
        <f t="shared" si="17"/>
        <v/>
      </c>
      <c r="H117" s="554" t="str">
        <f t="shared" si="18"/>
        <v/>
      </c>
      <c r="I117" s="554" t="str">
        <f t="shared" si="19"/>
        <v/>
      </c>
      <c r="J117" s="557" t="str">
        <f t="shared" si="15"/>
        <v/>
      </c>
      <c r="K117" s="530" t="str">
        <f t="shared" si="22"/>
        <v/>
      </c>
      <c r="L117" s="530"/>
      <c r="M117" s="530"/>
      <c r="N117" s="530"/>
      <c r="O117" s="530"/>
      <c r="P117" s="574"/>
      <c r="Q117" s="558" t="str">
        <f t="shared" si="20"/>
        <v/>
      </c>
      <c r="R117" s="559" t="str">
        <f t="shared" si="21"/>
        <v/>
      </c>
    </row>
    <row r="118" spans="3:18" x14ac:dyDescent="0.2">
      <c r="C118" s="549" t="str">
        <f t="shared" si="13"/>
        <v/>
      </c>
      <c r="D118" s="576" t="str">
        <f>IF(C118="","",WORKDAY.INTL(DATE(YEAR(D117),MONTH(D117)+1,4)-1,1,1,Inhábil[Fecha]))</f>
        <v/>
      </c>
      <c r="E118" s="555" t="str">
        <f t="shared" si="14"/>
        <v/>
      </c>
      <c r="F118" s="556" t="str">
        <f t="shared" si="16"/>
        <v/>
      </c>
      <c r="G118" s="556" t="str">
        <f t="shared" si="17"/>
        <v/>
      </c>
      <c r="H118" s="554" t="str">
        <f t="shared" si="18"/>
        <v/>
      </c>
      <c r="I118" s="554" t="str">
        <f t="shared" si="19"/>
        <v/>
      </c>
      <c r="J118" s="557" t="str">
        <f t="shared" si="15"/>
        <v/>
      </c>
      <c r="K118" s="530" t="str">
        <f t="shared" si="22"/>
        <v/>
      </c>
      <c r="L118" s="530"/>
      <c r="M118" s="530"/>
      <c r="N118" s="530"/>
      <c r="O118" s="530"/>
      <c r="P118" s="574"/>
      <c r="Q118" s="558" t="str">
        <f t="shared" si="20"/>
        <v/>
      </c>
      <c r="R118" s="559" t="str">
        <f t="shared" si="21"/>
        <v/>
      </c>
    </row>
    <row r="119" spans="3:18" x14ac:dyDescent="0.2">
      <c r="C119" s="549" t="str">
        <f t="shared" si="13"/>
        <v/>
      </c>
      <c r="D119" s="576" t="str">
        <f>IF(C119="","",WORKDAY.INTL(DATE(YEAR(D118),MONTH(D118)+1,4)-1,1,1,Inhábil[Fecha]))</f>
        <v/>
      </c>
      <c r="E119" s="555" t="str">
        <f t="shared" si="14"/>
        <v/>
      </c>
      <c r="F119" s="556" t="str">
        <f t="shared" si="16"/>
        <v/>
      </c>
      <c r="G119" s="556" t="str">
        <f t="shared" si="17"/>
        <v/>
      </c>
      <c r="H119" s="554" t="str">
        <f t="shared" si="18"/>
        <v/>
      </c>
      <c r="I119" s="554" t="str">
        <f t="shared" si="19"/>
        <v/>
      </c>
      <c r="J119" s="557" t="str">
        <f t="shared" si="15"/>
        <v/>
      </c>
      <c r="K119" s="530" t="str">
        <f t="shared" si="22"/>
        <v/>
      </c>
      <c r="L119" s="530"/>
      <c r="M119" s="530"/>
      <c r="N119" s="530"/>
      <c r="O119" s="530"/>
      <c r="P119" s="574"/>
      <c r="Q119" s="558" t="str">
        <f t="shared" si="20"/>
        <v/>
      </c>
      <c r="R119" s="559" t="str">
        <f t="shared" si="21"/>
        <v/>
      </c>
    </row>
    <row r="120" spans="3:18" x14ac:dyDescent="0.2">
      <c r="C120" s="549" t="str">
        <f t="shared" si="13"/>
        <v/>
      </c>
      <c r="D120" s="576" t="str">
        <f>IF(C120="","",WORKDAY.INTL(DATE(YEAR(D119),MONTH(D119)+1,4)-1,1,1,Inhábil[Fecha]))</f>
        <v/>
      </c>
      <c r="E120" s="555" t="str">
        <f t="shared" si="14"/>
        <v/>
      </c>
      <c r="F120" s="556" t="str">
        <f t="shared" si="16"/>
        <v/>
      </c>
      <c r="G120" s="556" t="str">
        <f t="shared" si="17"/>
        <v/>
      </c>
      <c r="H120" s="554" t="str">
        <f t="shared" si="18"/>
        <v/>
      </c>
      <c r="I120" s="554" t="str">
        <f t="shared" si="19"/>
        <v/>
      </c>
      <c r="J120" s="557" t="str">
        <f t="shared" si="15"/>
        <v/>
      </c>
      <c r="K120" s="530" t="str">
        <f t="shared" si="22"/>
        <v/>
      </c>
      <c r="L120" s="530"/>
      <c r="M120" s="530"/>
      <c r="N120" s="530"/>
      <c r="O120" s="530"/>
      <c r="P120" s="574"/>
      <c r="Q120" s="558" t="str">
        <f t="shared" si="20"/>
        <v/>
      </c>
      <c r="R120" s="559" t="str">
        <f t="shared" si="21"/>
        <v/>
      </c>
    </row>
    <row r="121" spans="3:18" x14ac:dyDescent="0.2">
      <c r="C121" s="549" t="str">
        <f t="shared" si="13"/>
        <v/>
      </c>
      <c r="D121" s="576" t="str">
        <f>IF(C121="","",WORKDAY.INTL(DATE(YEAR(D120),MONTH(D120)+1,4)-1,1,1,Inhábil[Fecha]))</f>
        <v/>
      </c>
      <c r="E121" s="555" t="str">
        <f t="shared" si="14"/>
        <v/>
      </c>
      <c r="F121" s="556" t="str">
        <f t="shared" si="16"/>
        <v/>
      </c>
      <c r="G121" s="556" t="str">
        <f t="shared" si="17"/>
        <v/>
      </c>
      <c r="H121" s="554" t="str">
        <f t="shared" si="18"/>
        <v/>
      </c>
      <c r="I121" s="554" t="str">
        <f t="shared" si="19"/>
        <v/>
      </c>
      <c r="J121" s="557" t="str">
        <f t="shared" si="15"/>
        <v/>
      </c>
      <c r="K121" s="530" t="str">
        <f t="shared" si="22"/>
        <v/>
      </c>
      <c r="L121" s="530"/>
      <c r="M121" s="530"/>
      <c r="N121" s="530"/>
      <c r="O121" s="530"/>
      <c r="P121" s="574"/>
      <c r="Q121" s="558" t="str">
        <f t="shared" si="20"/>
        <v/>
      </c>
      <c r="R121" s="559" t="str">
        <f t="shared" si="21"/>
        <v/>
      </c>
    </row>
    <row r="122" spans="3:18" x14ac:dyDescent="0.2">
      <c r="C122" s="549" t="str">
        <f t="shared" si="13"/>
        <v/>
      </c>
      <c r="D122" s="576" t="str">
        <f>IF(C122="","",WORKDAY.INTL(DATE(YEAR(D121),MONTH(D121)+1,4)-1,1,1,Inhábil[Fecha]))</f>
        <v/>
      </c>
      <c r="E122" s="555" t="str">
        <f t="shared" si="14"/>
        <v/>
      </c>
      <c r="F122" s="556" t="str">
        <f t="shared" si="16"/>
        <v/>
      </c>
      <c r="G122" s="556" t="str">
        <f t="shared" si="17"/>
        <v/>
      </c>
      <c r="H122" s="554" t="str">
        <f t="shared" si="18"/>
        <v/>
      </c>
      <c r="I122" s="554" t="str">
        <f t="shared" si="19"/>
        <v/>
      </c>
      <c r="J122" s="557" t="str">
        <f t="shared" si="15"/>
        <v/>
      </c>
      <c r="K122" s="530" t="str">
        <f t="shared" si="22"/>
        <v/>
      </c>
      <c r="L122" s="530"/>
      <c r="M122" s="530"/>
      <c r="N122" s="530"/>
      <c r="O122" s="530"/>
      <c r="P122" s="574"/>
      <c r="Q122" s="558" t="str">
        <f t="shared" si="20"/>
        <v/>
      </c>
      <c r="R122" s="559" t="str">
        <f t="shared" si="21"/>
        <v/>
      </c>
    </row>
    <row r="123" spans="3:18" x14ac:dyDescent="0.2">
      <c r="C123" s="549" t="str">
        <f t="shared" si="13"/>
        <v/>
      </c>
      <c r="D123" s="576" t="str">
        <f>IF(C123="","",WORKDAY.INTL(DATE(YEAR(D122),MONTH(D122)+1,4)-1,1,1,Inhábil[Fecha]))</f>
        <v/>
      </c>
      <c r="E123" s="555" t="str">
        <f t="shared" si="14"/>
        <v/>
      </c>
      <c r="F123" s="556" t="str">
        <f t="shared" si="16"/>
        <v/>
      </c>
      <c r="G123" s="556" t="str">
        <f t="shared" si="17"/>
        <v/>
      </c>
      <c r="H123" s="554" t="str">
        <f t="shared" si="18"/>
        <v/>
      </c>
      <c r="I123" s="554" t="str">
        <f t="shared" si="19"/>
        <v/>
      </c>
      <c r="J123" s="557" t="str">
        <f t="shared" si="15"/>
        <v/>
      </c>
      <c r="K123" s="530" t="str">
        <f t="shared" si="22"/>
        <v/>
      </c>
      <c r="L123" s="530"/>
      <c r="M123" s="530"/>
      <c r="N123" s="530"/>
      <c r="O123" s="530"/>
      <c r="P123" s="574"/>
      <c r="Q123" s="558" t="str">
        <f t="shared" si="20"/>
        <v/>
      </c>
      <c r="R123" s="559" t="str">
        <f t="shared" si="21"/>
        <v/>
      </c>
    </row>
    <row r="124" spans="3:18" x14ac:dyDescent="0.2">
      <c r="C124" s="549" t="str">
        <f t="shared" si="13"/>
        <v/>
      </c>
      <c r="D124" s="576" t="str">
        <f>IF(C124="","",WORKDAY.INTL(DATE(YEAR(D123),MONTH(D123)+1,4)-1,1,1,Inhábil[Fecha]))</f>
        <v/>
      </c>
      <c r="E124" s="555" t="str">
        <f t="shared" si="14"/>
        <v/>
      </c>
      <c r="F124" s="556" t="str">
        <f t="shared" si="16"/>
        <v/>
      </c>
      <c r="G124" s="556" t="str">
        <f t="shared" si="17"/>
        <v/>
      </c>
      <c r="H124" s="554" t="str">
        <f t="shared" si="18"/>
        <v/>
      </c>
      <c r="I124" s="554" t="str">
        <f t="shared" si="19"/>
        <v/>
      </c>
      <c r="J124" s="557" t="str">
        <f t="shared" si="15"/>
        <v/>
      </c>
      <c r="K124" s="530" t="str">
        <f t="shared" si="22"/>
        <v/>
      </c>
      <c r="L124" s="530"/>
      <c r="M124" s="530"/>
      <c r="N124" s="530"/>
      <c r="O124" s="530"/>
      <c r="P124" s="574"/>
      <c r="Q124" s="558" t="str">
        <f t="shared" si="20"/>
        <v/>
      </c>
      <c r="R124" s="559" t="str">
        <f t="shared" si="21"/>
        <v/>
      </c>
    </row>
    <row r="125" spans="3:18" x14ac:dyDescent="0.2">
      <c r="C125" s="549" t="str">
        <f t="shared" si="13"/>
        <v/>
      </c>
      <c r="D125" s="576" t="str">
        <f>IF(C125="","",WORKDAY.INTL(DATE(YEAR(D124),MONTH(D124)+1,4)-1,1,1,Inhábil[Fecha]))</f>
        <v/>
      </c>
      <c r="E125" s="555" t="str">
        <f t="shared" si="14"/>
        <v/>
      </c>
      <c r="F125" s="556" t="str">
        <f t="shared" si="16"/>
        <v/>
      </c>
      <c r="G125" s="556" t="str">
        <f t="shared" si="17"/>
        <v/>
      </c>
      <c r="H125" s="554" t="str">
        <f t="shared" si="18"/>
        <v/>
      </c>
      <c r="I125" s="554" t="str">
        <f t="shared" si="19"/>
        <v/>
      </c>
      <c r="J125" s="557" t="str">
        <f t="shared" si="15"/>
        <v/>
      </c>
      <c r="K125" s="530" t="str">
        <f t="shared" si="22"/>
        <v/>
      </c>
      <c r="L125" s="530"/>
      <c r="M125" s="530"/>
      <c r="N125" s="530"/>
      <c r="O125" s="530"/>
      <c r="P125" s="574"/>
      <c r="Q125" s="558" t="str">
        <f t="shared" si="20"/>
        <v/>
      </c>
      <c r="R125" s="559" t="str">
        <f t="shared" si="21"/>
        <v/>
      </c>
    </row>
    <row r="126" spans="3:18" x14ac:dyDescent="0.2">
      <c r="C126" s="549" t="str">
        <f t="shared" si="13"/>
        <v/>
      </c>
      <c r="D126" s="576" t="str">
        <f>IF(C126="","",WORKDAY.INTL(DATE(YEAR(D125),MONTH(D125)+1,4)-1,1,1,Inhábil[Fecha]))</f>
        <v/>
      </c>
      <c r="E126" s="555" t="str">
        <f t="shared" si="14"/>
        <v/>
      </c>
      <c r="F126" s="556" t="str">
        <f t="shared" si="16"/>
        <v/>
      </c>
      <c r="G126" s="556" t="str">
        <f t="shared" si="17"/>
        <v/>
      </c>
      <c r="H126" s="554" t="str">
        <f t="shared" si="18"/>
        <v/>
      </c>
      <c r="I126" s="554" t="str">
        <f t="shared" si="19"/>
        <v/>
      </c>
      <c r="J126" s="557" t="str">
        <f t="shared" si="15"/>
        <v/>
      </c>
      <c r="K126" s="530" t="str">
        <f t="shared" si="22"/>
        <v/>
      </c>
      <c r="L126" s="530"/>
      <c r="M126" s="530"/>
      <c r="N126" s="530"/>
      <c r="O126" s="530"/>
      <c r="P126" s="574"/>
      <c r="Q126" s="558" t="str">
        <f t="shared" si="20"/>
        <v/>
      </c>
      <c r="R126" s="559" t="str">
        <f t="shared" si="21"/>
        <v/>
      </c>
    </row>
    <row r="127" spans="3:18" x14ac:dyDescent="0.2">
      <c r="C127" s="549" t="str">
        <f t="shared" si="13"/>
        <v/>
      </c>
      <c r="D127" s="576" t="str">
        <f>IF(C127="","",WORKDAY.INTL(DATE(YEAR(D126),MONTH(D126)+1,4)-1,1,1,Inhábil[Fecha]))</f>
        <v/>
      </c>
      <c r="E127" s="555" t="str">
        <f t="shared" si="14"/>
        <v/>
      </c>
      <c r="F127" s="556" t="str">
        <f t="shared" si="16"/>
        <v/>
      </c>
      <c r="G127" s="556" t="str">
        <f t="shared" si="17"/>
        <v/>
      </c>
      <c r="H127" s="554" t="str">
        <f t="shared" si="18"/>
        <v/>
      </c>
      <c r="I127" s="554" t="str">
        <f t="shared" si="19"/>
        <v/>
      </c>
      <c r="J127" s="557" t="str">
        <f t="shared" si="15"/>
        <v/>
      </c>
      <c r="K127" s="530" t="str">
        <f t="shared" si="22"/>
        <v/>
      </c>
      <c r="L127" s="530"/>
      <c r="M127" s="530"/>
      <c r="N127" s="530"/>
      <c r="O127" s="530"/>
      <c r="P127" s="574"/>
      <c r="Q127" s="558" t="str">
        <f t="shared" si="20"/>
        <v/>
      </c>
      <c r="R127" s="559" t="str">
        <f t="shared" si="21"/>
        <v/>
      </c>
    </row>
    <row r="128" spans="3:18" x14ac:dyDescent="0.2">
      <c r="C128" s="549" t="str">
        <f t="shared" si="13"/>
        <v/>
      </c>
      <c r="D128" s="576" t="str">
        <f>IF(C128="","",WORKDAY.INTL(DATE(YEAR(D127),MONTH(D127)+1,4)-1,1,1,Inhábil[Fecha]))</f>
        <v/>
      </c>
      <c r="E128" s="555" t="str">
        <f t="shared" si="14"/>
        <v/>
      </c>
      <c r="F128" s="556" t="str">
        <f t="shared" si="16"/>
        <v/>
      </c>
      <c r="G128" s="556" t="str">
        <f t="shared" si="17"/>
        <v/>
      </c>
      <c r="H128" s="554" t="str">
        <f t="shared" si="18"/>
        <v/>
      </c>
      <c r="I128" s="554" t="str">
        <f t="shared" si="19"/>
        <v/>
      </c>
      <c r="J128" s="557" t="str">
        <f t="shared" si="15"/>
        <v/>
      </c>
      <c r="K128" s="530" t="str">
        <f t="shared" si="22"/>
        <v/>
      </c>
      <c r="L128" s="530"/>
      <c r="M128" s="530"/>
      <c r="N128" s="530"/>
      <c r="O128" s="530"/>
      <c r="P128" s="574"/>
      <c r="Q128" s="558" t="str">
        <f t="shared" si="20"/>
        <v/>
      </c>
      <c r="R128" s="559" t="str">
        <f t="shared" si="21"/>
        <v/>
      </c>
    </row>
    <row r="129" spans="3:18" x14ac:dyDescent="0.2">
      <c r="C129" s="549" t="str">
        <f t="shared" si="13"/>
        <v/>
      </c>
      <c r="D129" s="576" t="str">
        <f>IF(C129="","",WORKDAY.INTL(DATE(YEAR(D128),MONTH(D128)+1,4)-1,1,1,Inhábil[Fecha]))</f>
        <v/>
      </c>
      <c r="E129" s="555" t="str">
        <f t="shared" si="14"/>
        <v/>
      </c>
      <c r="F129" s="556" t="str">
        <f t="shared" si="16"/>
        <v/>
      </c>
      <c r="G129" s="556" t="str">
        <f t="shared" si="17"/>
        <v/>
      </c>
      <c r="H129" s="554" t="str">
        <f t="shared" si="18"/>
        <v/>
      </c>
      <c r="I129" s="554" t="str">
        <f t="shared" si="19"/>
        <v/>
      </c>
      <c r="J129" s="557" t="str">
        <f t="shared" si="15"/>
        <v/>
      </c>
      <c r="K129" s="530" t="str">
        <f t="shared" si="22"/>
        <v/>
      </c>
      <c r="L129" s="530"/>
      <c r="M129" s="530"/>
      <c r="N129" s="530"/>
      <c r="O129" s="530"/>
      <c r="P129" s="574"/>
      <c r="Q129" s="558" t="str">
        <f t="shared" si="20"/>
        <v/>
      </c>
      <c r="R129" s="559" t="str">
        <f t="shared" si="21"/>
        <v/>
      </c>
    </row>
    <row r="130" spans="3:18" x14ac:dyDescent="0.2">
      <c r="C130" s="549" t="str">
        <f t="shared" ref="C130:C161" si="23">IF(OR(C129="",Q129&lt;=0),"",IF(Q129&gt;0,C129+1,""))</f>
        <v/>
      </c>
      <c r="D130" s="576" t="str">
        <f>IF(C130="","",WORKDAY.INTL(DATE(YEAR(D129),MONTH(D129)+1,4)-1,1,1,Inhábil[Fecha]))</f>
        <v/>
      </c>
      <c r="E130" s="555" t="str">
        <f t="shared" ref="E130:E161" si="24">IF(Q129&lt;=0,"",Q129)</f>
        <v/>
      </c>
      <c r="F130" s="556" t="str">
        <f t="shared" si="16"/>
        <v/>
      </c>
      <c r="G130" s="556" t="str">
        <f t="shared" si="17"/>
        <v/>
      </c>
      <c r="H130" s="554" t="str">
        <f t="shared" si="18"/>
        <v/>
      </c>
      <c r="I130" s="554" t="str">
        <f t="shared" si="19"/>
        <v/>
      </c>
      <c r="J130" s="557" t="str">
        <f t="shared" ref="J130:J161" si="25">IF(C130="","",ROUND(R$21*Q129/1000,2))</f>
        <v/>
      </c>
      <c r="K130" s="530" t="str">
        <f t="shared" si="22"/>
        <v/>
      </c>
      <c r="L130" s="530"/>
      <c r="M130" s="530"/>
      <c r="N130" s="530"/>
      <c r="O130" s="530"/>
      <c r="P130" s="574"/>
      <c r="Q130" s="558" t="str">
        <f t="shared" si="20"/>
        <v/>
      </c>
      <c r="R130" s="559" t="str">
        <f t="shared" si="21"/>
        <v/>
      </c>
    </row>
    <row r="131" spans="3:18" x14ac:dyDescent="0.2">
      <c r="C131" s="549" t="str">
        <f t="shared" si="23"/>
        <v/>
      </c>
      <c r="D131" s="576" t="str">
        <f>IF(C131="","",WORKDAY.INTL(DATE(YEAR(D130),MONTH(D130)+1,4)-1,1,1,Inhábil[Fecha]))</f>
        <v/>
      </c>
      <c r="E131" s="555" t="str">
        <f t="shared" si="24"/>
        <v/>
      </c>
      <c r="F131" s="556" t="str">
        <f t="shared" si="16"/>
        <v/>
      </c>
      <c r="G131" s="556" t="str">
        <f t="shared" si="17"/>
        <v/>
      </c>
      <c r="H131" s="554" t="str">
        <f t="shared" si="18"/>
        <v/>
      </c>
      <c r="I131" s="554" t="str">
        <f t="shared" si="19"/>
        <v/>
      </c>
      <c r="J131" s="557" t="str">
        <f t="shared" si="25"/>
        <v/>
      </c>
      <c r="K131" s="530" t="str">
        <f t="shared" si="22"/>
        <v/>
      </c>
      <c r="L131" s="530"/>
      <c r="M131" s="530"/>
      <c r="N131" s="530"/>
      <c r="O131" s="530"/>
      <c r="P131" s="574"/>
      <c r="Q131" s="558" t="str">
        <f t="shared" si="20"/>
        <v/>
      </c>
      <c r="R131" s="559" t="str">
        <f t="shared" si="21"/>
        <v/>
      </c>
    </row>
    <row r="132" spans="3:18" x14ac:dyDescent="0.2">
      <c r="C132" s="549" t="str">
        <f t="shared" si="23"/>
        <v/>
      </c>
      <c r="D132" s="576" t="str">
        <f>IF(C132="","",WORKDAY.INTL(DATE(YEAR(D131),MONTH(D131)+1,4)-1,1,1,Inhábil[Fecha]))</f>
        <v/>
      </c>
      <c r="E132" s="555" t="str">
        <f t="shared" si="24"/>
        <v/>
      </c>
      <c r="F132" s="556" t="str">
        <f t="shared" si="16"/>
        <v/>
      </c>
      <c r="G132" s="556" t="str">
        <f t="shared" si="17"/>
        <v/>
      </c>
      <c r="H132" s="554" t="str">
        <f t="shared" si="18"/>
        <v/>
      </c>
      <c r="I132" s="554" t="str">
        <f t="shared" si="19"/>
        <v/>
      </c>
      <c r="J132" s="557" t="str">
        <f t="shared" si="25"/>
        <v/>
      </c>
      <c r="K132" s="530" t="str">
        <f t="shared" si="22"/>
        <v/>
      </c>
      <c r="L132" s="530"/>
      <c r="M132" s="530"/>
      <c r="N132" s="530"/>
      <c r="O132" s="530"/>
      <c r="P132" s="574"/>
      <c r="Q132" s="558" t="str">
        <f t="shared" si="20"/>
        <v/>
      </c>
      <c r="R132" s="559" t="str">
        <f t="shared" si="21"/>
        <v/>
      </c>
    </row>
    <row r="133" spans="3:18" x14ac:dyDescent="0.2">
      <c r="C133" s="549" t="str">
        <f t="shared" si="23"/>
        <v/>
      </c>
      <c r="D133" s="576" t="str">
        <f>IF(C133="","",WORKDAY.INTL(DATE(YEAR(D132),MONTH(D132)+1,4)-1,1,1,Inhábil[Fecha]))</f>
        <v/>
      </c>
      <c r="E133" s="555" t="str">
        <f t="shared" si="24"/>
        <v/>
      </c>
      <c r="F133" s="556" t="str">
        <f t="shared" si="16"/>
        <v/>
      </c>
      <c r="G133" s="556" t="str">
        <f t="shared" si="17"/>
        <v/>
      </c>
      <c r="H133" s="554" t="str">
        <f t="shared" si="18"/>
        <v/>
      </c>
      <c r="I133" s="554" t="str">
        <f t="shared" si="19"/>
        <v/>
      </c>
      <c r="J133" s="557" t="str">
        <f t="shared" si="25"/>
        <v/>
      </c>
      <c r="K133" s="530" t="str">
        <f t="shared" si="22"/>
        <v/>
      </c>
      <c r="L133" s="530"/>
      <c r="M133" s="530"/>
      <c r="N133" s="530"/>
      <c r="O133" s="530"/>
      <c r="P133" s="574"/>
      <c r="Q133" s="558" t="str">
        <f t="shared" si="20"/>
        <v/>
      </c>
      <c r="R133" s="559" t="str">
        <f t="shared" si="21"/>
        <v/>
      </c>
    </row>
    <row r="134" spans="3:18" x14ac:dyDescent="0.2">
      <c r="C134" s="549" t="str">
        <f t="shared" si="23"/>
        <v/>
      </c>
      <c r="D134" s="576" t="str">
        <f>IF(C134="","",WORKDAY.INTL(DATE(YEAR(D133),MONTH(D133)+1,4)-1,1,1,Inhábil[Fecha]))</f>
        <v/>
      </c>
      <c r="E134" s="555" t="str">
        <f t="shared" si="24"/>
        <v/>
      </c>
      <c r="F134" s="556" t="str">
        <f t="shared" si="16"/>
        <v/>
      </c>
      <c r="G134" s="556" t="str">
        <f t="shared" si="17"/>
        <v/>
      </c>
      <c r="H134" s="554" t="str">
        <f t="shared" si="18"/>
        <v/>
      </c>
      <c r="I134" s="554" t="str">
        <f t="shared" si="19"/>
        <v/>
      </c>
      <c r="J134" s="557" t="str">
        <f t="shared" si="25"/>
        <v/>
      </c>
      <c r="K134" s="530" t="str">
        <f t="shared" si="22"/>
        <v/>
      </c>
      <c r="L134" s="530"/>
      <c r="M134" s="530"/>
      <c r="N134" s="530"/>
      <c r="O134" s="530"/>
      <c r="P134" s="574"/>
      <c r="Q134" s="558" t="str">
        <f t="shared" si="20"/>
        <v/>
      </c>
      <c r="R134" s="559" t="str">
        <f t="shared" si="21"/>
        <v/>
      </c>
    </row>
    <row r="135" spans="3:18" x14ac:dyDescent="0.2">
      <c r="C135" s="549" t="str">
        <f t="shared" si="23"/>
        <v/>
      </c>
      <c r="D135" s="576" t="str">
        <f>IF(C135="","",WORKDAY.INTL(DATE(YEAR(D134),MONTH(D134)+1,4)-1,1,1,Inhábil[Fecha]))</f>
        <v/>
      </c>
      <c r="E135" s="555" t="str">
        <f t="shared" si="24"/>
        <v/>
      </c>
      <c r="F135" s="556" t="str">
        <f t="shared" si="16"/>
        <v/>
      </c>
      <c r="G135" s="556" t="str">
        <f t="shared" si="17"/>
        <v/>
      </c>
      <c r="H135" s="554" t="str">
        <f t="shared" si="18"/>
        <v/>
      </c>
      <c r="I135" s="554" t="str">
        <f t="shared" si="19"/>
        <v/>
      </c>
      <c r="J135" s="557" t="str">
        <f t="shared" si="25"/>
        <v/>
      </c>
      <c r="K135" s="530" t="str">
        <f t="shared" si="22"/>
        <v/>
      </c>
      <c r="L135" s="530"/>
      <c r="M135" s="530"/>
      <c r="N135" s="530"/>
      <c r="O135" s="530"/>
      <c r="P135" s="574"/>
      <c r="Q135" s="558" t="str">
        <f t="shared" si="20"/>
        <v/>
      </c>
      <c r="R135" s="559" t="str">
        <f t="shared" si="21"/>
        <v/>
      </c>
    </row>
    <row r="136" spans="3:18" x14ac:dyDescent="0.2">
      <c r="C136" s="549" t="str">
        <f t="shared" si="23"/>
        <v/>
      </c>
      <c r="D136" s="576" t="str">
        <f>IF(C136="","",WORKDAY.INTL(DATE(YEAR(D135),MONTH(D135)+1,4)-1,1,1,Inhábil[Fecha]))</f>
        <v/>
      </c>
      <c r="E136" s="555" t="str">
        <f t="shared" si="24"/>
        <v/>
      </c>
      <c r="F136" s="556" t="str">
        <f t="shared" si="16"/>
        <v/>
      </c>
      <c r="G136" s="556" t="str">
        <f t="shared" si="17"/>
        <v/>
      </c>
      <c r="H136" s="554" t="str">
        <f t="shared" si="18"/>
        <v/>
      </c>
      <c r="I136" s="554" t="str">
        <f t="shared" si="19"/>
        <v/>
      </c>
      <c r="J136" s="557" t="str">
        <f t="shared" si="25"/>
        <v/>
      </c>
      <c r="K136" s="530" t="str">
        <f t="shared" si="22"/>
        <v/>
      </c>
      <c r="L136" s="530"/>
      <c r="M136" s="530"/>
      <c r="N136" s="530"/>
      <c r="O136" s="530"/>
      <c r="P136" s="574"/>
      <c r="Q136" s="558" t="str">
        <f t="shared" si="20"/>
        <v/>
      </c>
      <c r="R136" s="559" t="str">
        <f t="shared" si="21"/>
        <v/>
      </c>
    </row>
    <row r="137" spans="3:18" x14ac:dyDescent="0.2">
      <c r="C137" s="549" t="str">
        <f t="shared" si="23"/>
        <v/>
      </c>
      <c r="D137" s="576" t="str">
        <f>IF(C137="","",WORKDAY.INTL(DATE(YEAR(D136),MONTH(D136)+1,4)-1,1,1,Inhábil[Fecha]))</f>
        <v/>
      </c>
      <c r="E137" s="555" t="str">
        <f t="shared" si="24"/>
        <v/>
      </c>
      <c r="F137" s="556" t="str">
        <f t="shared" si="16"/>
        <v/>
      </c>
      <c r="G137" s="556" t="str">
        <f t="shared" si="17"/>
        <v/>
      </c>
      <c r="H137" s="554" t="str">
        <f t="shared" si="18"/>
        <v/>
      </c>
      <c r="I137" s="554" t="str">
        <f t="shared" si="19"/>
        <v/>
      </c>
      <c r="J137" s="557" t="str">
        <f t="shared" si="25"/>
        <v/>
      </c>
      <c r="K137" s="530" t="str">
        <f t="shared" si="22"/>
        <v/>
      </c>
      <c r="L137" s="530"/>
      <c r="M137" s="530"/>
      <c r="N137" s="530"/>
      <c r="O137" s="530"/>
      <c r="P137" s="574"/>
      <c r="Q137" s="558" t="str">
        <f t="shared" si="20"/>
        <v/>
      </c>
      <c r="R137" s="559" t="str">
        <f t="shared" si="21"/>
        <v/>
      </c>
    </row>
    <row r="138" spans="3:18" x14ac:dyDescent="0.2">
      <c r="C138" s="549" t="str">
        <f t="shared" si="23"/>
        <v/>
      </c>
      <c r="D138" s="576" t="str">
        <f>IF(C138="","",WORKDAY.INTL(DATE(YEAR(D137),MONTH(D137)+1,4)-1,1,1,Inhábil[Fecha]))</f>
        <v/>
      </c>
      <c r="E138" s="555" t="str">
        <f t="shared" si="24"/>
        <v/>
      </c>
      <c r="F138" s="556" t="str">
        <f t="shared" si="16"/>
        <v/>
      </c>
      <c r="G138" s="556" t="str">
        <f t="shared" si="17"/>
        <v/>
      </c>
      <c r="H138" s="554" t="str">
        <f t="shared" si="18"/>
        <v/>
      </c>
      <c r="I138" s="554" t="str">
        <f t="shared" si="19"/>
        <v/>
      </c>
      <c r="J138" s="557" t="str">
        <f t="shared" si="25"/>
        <v/>
      </c>
      <c r="K138" s="530" t="str">
        <f t="shared" si="22"/>
        <v/>
      </c>
      <c r="L138" s="530"/>
      <c r="M138" s="530"/>
      <c r="N138" s="530"/>
      <c r="O138" s="530"/>
      <c r="P138" s="574"/>
      <c r="Q138" s="558" t="str">
        <f t="shared" si="20"/>
        <v/>
      </c>
      <c r="R138" s="559" t="str">
        <f t="shared" si="21"/>
        <v/>
      </c>
    </row>
    <row r="139" spans="3:18" x14ac:dyDescent="0.2">
      <c r="C139" s="549" t="str">
        <f t="shared" si="23"/>
        <v/>
      </c>
      <c r="D139" s="576" t="str">
        <f>IF(C139="","",WORKDAY.INTL(DATE(YEAR(D138),MONTH(D138)+1,4)-1,1,1,Inhábil[Fecha]))</f>
        <v/>
      </c>
      <c r="E139" s="555" t="str">
        <f t="shared" si="24"/>
        <v/>
      </c>
      <c r="F139" s="556" t="str">
        <f t="shared" si="16"/>
        <v/>
      </c>
      <c r="G139" s="556" t="str">
        <f t="shared" si="17"/>
        <v/>
      </c>
      <c r="H139" s="554" t="str">
        <f t="shared" si="18"/>
        <v/>
      </c>
      <c r="I139" s="554" t="str">
        <f t="shared" si="19"/>
        <v/>
      </c>
      <c r="J139" s="557" t="str">
        <f t="shared" si="25"/>
        <v/>
      </c>
      <c r="K139" s="530" t="str">
        <f t="shared" si="22"/>
        <v/>
      </c>
      <c r="L139" s="530"/>
      <c r="M139" s="530"/>
      <c r="N139" s="530"/>
      <c r="O139" s="530"/>
      <c r="P139" s="574"/>
      <c r="Q139" s="558" t="str">
        <f t="shared" si="20"/>
        <v/>
      </c>
      <c r="R139" s="559" t="str">
        <f t="shared" si="21"/>
        <v/>
      </c>
    </row>
    <row r="140" spans="3:18" x14ac:dyDescent="0.2">
      <c r="C140" s="549" t="str">
        <f t="shared" si="23"/>
        <v/>
      </c>
      <c r="D140" s="576" t="str">
        <f>IF(C140="","",WORKDAY.INTL(DATE(YEAR(D139),MONTH(D139)+1,4)-1,1,1,Inhábil[Fecha]))</f>
        <v/>
      </c>
      <c r="E140" s="555" t="str">
        <f t="shared" si="24"/>
        <v/>
      </c>
      <c r="F140" s="556" t="str">
        <f t="shared" si="16"/>
        <v/>
      </c>
      <c r="G140" s="556" t="str">
        <f t="shared" si="17"/>
        <v/>
      </c>
      <c r="H140" s="554" t="str">
        <f t="shared" si="18"/>
        <v/>
      </c>
      <c r="I140" s="554" t="str">
        <f t="shared" si="19"/>
        <v/>
      </c>
      <c r="J140" s="557" t="str">
        <f t="shared" si="25"/>
        <v/>
      </c>
      <c r="K140" s="530" t="str">
        <f t="shared" si="22"/>
        <v/>
      </c>
      <c r="L140" s="530"/>
      <c r="M140" s="530"/>
      <c r="N140" s="530"/>
      <c r="O140" s="530"/>
      <c r="P140" s="574"/>
      <c r="Q140" s="558" t="str">
        <f t="shared" si="20"/>
        <v/>
      </c>
      <c r="R140" s="559" t="str">
        <f t="shared" si="21"/>
        <v/>
      </c>
    </row>
    <row r="141" spans="3:18" x14ac:dyDescent="0.2">
      <c r="C141" s="549" t="str">
        <f t="shared" si="23"/>
        <v/>
      </c>
      <c r="D141" s="576" t="str">
        <f>IF(C141="","",WORKDAY.INTL(DATE(YEAR(D140),MONTH(D140)+1,4)-1,1,1,Inhábil[Fecha]))</f>
        <v/>
      </c>
      <c r="E141" s="555" t="str">
        <f t="shared" si="24"/>
        <v/>
      </c>
      <c r="F141" s="556" t="str">
        <f t="shared" si="16"/>
        <v/>
      </c>
      <c r="G141" s="556" t="str">
        <f t="shared" si="17"/>
        <v/>
      </c>
      <c r="H141" s="554" t="str">
        <f t="shared" si="18"/>
        <v/>
      </c>
      <c r="I141" s="554" t="str">
        <f t="shared" si="19"/>
        <v/>
      </c>
      <c r="J141" s="557" t="str">
        <f t="shared" si="25"/>
        <v/>
      </c>
      <c r="K141" s="530" t="str">
        <f t="shared" si="22"/>
        <v/>
      </c>
      <c r="L141" s="530"/>
      <c r="M141" s="530"/>
      <c r="N141" s="530"/>
      <c r="O141" s="530"/>
      <c r="P141" s="574"/>
      <c r="Q141" s="558" t="str">
        <f t="shared" si="20"/>
        <v/>
      </c>
      <c r="R141" s="559" t="str">
        <f t="shared" si="21"/>
        <v/>
      </c>
    </row>
    <row r="142" spans="3:18" x14ac:dyDescent="0.2">
      <c r="C142" s="549" t="str">
        <f t="shared" si="23"/>
        <v/>
      </c>
      <c r="D142" s="576" t="str">
        <f>IF(C142="","",WORKDAY.INTL(DATE(YEAR(D141),MONTH(D141)+1,4)-1,1,1,Inhábil[Fecha]))</f>
        <v/>
      </c>
      <c r="E142" s="555" t="str">
        <f t="shared" si="24"/>
        <v/>
      </c>
      <c r="F142" s="556" t="str">
        <f t="shared" si="16"/>
        <v/>
      </c>
      <c r="G142" s="556" t="str">
        <f t="shared" si="17"/>
        <v/>
      </c>
      <c r="H142" s="554" t="str">
        <f t="shared" si="18"/>
        <v/>
      </c>
      <c r="I142" s="554" t="str">
        <f t="shared" si="19"/>
        <v/>
      </c>
      <c r="J142" s="557" t="str">
        <f t="shared" si="25"/>
        <v/>
      </c>
      <c r="K142" s="530" t="str">
        <f t="shared" si="22"/>
        <v/>
      </c>
      <c r="L142" s="530"/>
      <c r="M142" s="530"/>
      <c r="N142" s="530"/>
      <c r="O142" s="530"/>
      <c r="P142" s="574"/>
      <c r="Q142" s="558" t="str">
        <f t="shared" si="20"/>
        <v/>
      </c>
      <c r="R142" s="559" t="str">
        <f t="shared" si="21"/>
        <v/>
      </c>
    </row>
    <row r="143" spans="3:18" x14ac:dyDescent="0.2">
      <c r="C143" s="549" t="str">
        <f t="shared" si="23"/>
        <v/>
      </c>
      <c r="D143" s="576" t="str">
        <f>IF(C143="","",WORKDAY.INTL(DATE(YEAR(D142),MONTH(D142)+1,4)-1,1,1,Inhábil[Fecha]))</f>
        <v/>
      </c>
      <c r="E143" s="555" t="str">
        <f t="shared" si="24"/>
        <v/>
      </c>
      <c r="F143" s="556" t="str">
        <f t="shared" si="16"/>
        <v/>
      </c>
      <c r="G143" s="556" t="str">
        <f t="shared" si="17"/>
        <v/>
      </c>
      <c r="H143" s="554" t="str">
        <f t="shared" si="18"/>
        <v/>
      </c>
      <c r="I143" s="554" t="str">
        <f t="shared" si="19"/>
        <v/>
      </c>
      <c r="J143" s="557" t="str">
        <f t="shared" si="25"/>
        <v/>
      </c>
      <c r="K143" s="530" t="str">
        <f t="shared" si="22"/>
        <v/>
      </c>
      <c r="L143" s="530"/>
      <c r="M143" s="530"/>
      <c r="N143" s="530"/>
      <c r="O143" s="530"/>
      <c r="P143" s="574"/>
      <c r="Q143" s="558" t="str">
        <f t="shared" si="20"/>
        <v/>
      </c>
      <c r="R143" s="559" t="str">
        <f t="shared" si="21"/>
        <v/>
      </c>
    </row>
    <row r="144" spans="3:18" x14ac:dyDescent="0.2">
      <c r="C144" s="549" t="str">
        <f t="shared" si="23"/>
        <v/>
      </c>
      <c r="D144" s="576" t="str">
        <f>IF(C144="","",WORKDAY.INTL(DATE(YEAR(D143),MONTH(D143)+1,4)-1,1,1,Inhábil[Fecha]))</f>
        <v/>
      </c>
      <c r="E144" s="555" t="str">
        <f t="shared" si="24"/>
        <v/>
      </c>
      <c r="F144" s="556" t="str">
        <f t="shared" si="16"/>
        <v/>
      </c>
      <c r="G144" s="556" t="str">
        <f t="shared" si="17"/>
        <v/>
      </c>
      <c r="H144" s="554" t="str">
        <f t="shared" si="18"/>
        <v/>
      </c>
      <c r="I144" s="554" t="str">
        <f t="shared" si="19"/>
        <v/>
      </c>
      <c r="J144" s="557" t="str">
        <f t="shared" si="25"/>
        <v/>
      </c>
      <c r="K144" s="530" t="str">
        <f t="shared" si="22"/>
        <v/>
      </c>
      <c r="L144" s="530"/>
      <c r="M144" s="530"/>
      <c r="N144" s="530"/>
      <c r="O144" s="530"/>
      <c r="P144" s="574"/>
      <c r="Q144" s="558" t="str">
        <f t="shared" si="20"/>
        <v/>
      </c>
      <c r="R144" s="559" t="str">
        <f t="shared" si="21"/>
        <v/>
      </c>
    </row>
    <row r="145" spans="3:18" x14ac:dyDescent="0.2">
      <c r="C145" s="549" t="str">
        <f t="shared" si="23"/>
        <v/>
      </c>
      <c r="D145" s="576" t="str">
        <f>IF(C145="","",WORKDAY.INTL(DATE(YEAR(D144),MONTH(D144)+1,4)-1,1,1,Inhábil[Fecha]))</f>
        <v/>
      </c>
      <c r="E145" s="555" t="str">
        <f t="shared" si="24"/>
        <v/>
      </c>
      <c r="F145" s="556" t="str">
        <f t="shared" si="16"/>
        <v/>
      </c>
      <c r="G145" s="556" t="str">
        <f t="shared" si="17"/>
        <v/>
      </c>
      <c r="H145" s="554" t="str">
        <f t="shared" si="18"/>
        <v/>
      </c>
      <c r="I145" s="554" t="str">
        <f t="shared" si="19"/>
        <v/>
      </c>
      <c r="J145" s="557" t="str">
        <f t="shared" si="25"/>
        <v/>
      </c>
      <c r="K145" s="530" t="str">
        <f t="shared" si="22"/>
        <v/>
      </c>
      <c r="L145" s="530"/>
      <c r="M145" s="530"/>
      <c r="N145" s="530"/>
      <c r="O145" s="530"/>
      <c r="P145" s="574"/>
      <c r="Q145" s="558" t="str">
        <f t="shared" si="20"/>
        <v/>
      </c>
      <c r="R145" s="559" t="str">
        <f t="shared" si="21"/>
        <v/>
      </c>
    </row>
    <row r="146" spans="3:18" x14ac:dyDescent="0.2">
      <c r="C146" s="549" t="str">
        <f t="shared" si="23"/>
        <v/>
      </c>
      <c r="D146" s="576" t="str">
        <f>IF(C146="","",WORKDAY.INTL(DATE(YEAR(D145),MONTH(D145)+1,4)-1,1,1,Inhábil[Fecha]))</f>
        <v/>
      </c>
      <c r="E146" s="555" t="str">
        <f t="shared" si="24"/>
        <v/>
      </c>
      <c r="F146" s="556" t="str">
        <f t="shared" si="16"/>
        <v/>
      </c>
      <c r="G146" s="556" t="str">
        <f t="shared" si="17"/>
        <v/>
      </c>
      <c r="H146" s="554" t="str">
        <f t="shared" si="18"/>
        <v/>
      </c>
      <c r="I146" s="554" t="str">
        <f t="shared" si="19"/>
        <v/>
      </c>
      <c r="J146" s="557" t="str">
        <f t="shared" si="25"/>
        <v/>
      </c>
      <c r="K146" s="530" t="str">
        <f t="shared" si="22"/>
        <v/>
      </c>
      <c r="L146" s="530"/>
      <c r="M146" s="530"/>
      <c r="N146" s="530"/>
      <c r="O146" s="530"/>
      <c r="P146" s="574"/>
      <c r="Q146" s="558" t="str">
        <f t="shared" si="20"/>
        <v/>
      </c>
      <c r="R146" s="559" t="str">
        <f t="shared" si="21"/>
        <v/>
      </c>
    </row>
    <row r="147" spans="3:18" x14ac:dyDescent="0.2">
      <c r="C147" s="549" t="str">
        <f t="shared" si="23"/>
        <v/>
      </c>
      <c r="D147" s="576" t="str">
        <f>IF(C147="","",WORKDAY.INTL(DATE(YEAR(D146),MONTH(D146)+1,4)-1,1,1,Inhábil[Fecha]))</f>
        <v/>
      </c>
      <c r="E147" s="555" t="str">
        <f t="shared" si="24"/>
        <v/>
      </c>
      <c r="F147" s="556" t="str">
        <f t="shared" si="16"/>
        <v/>
      </c>
      <c r="G147" s="556" t="str">
        <f t="shared" si="17"/>
        <v/>
      </c>
      <c r="H147" s="554" t="str">
        <f t="shared" si="18"/>
        <v/>
      </c>
      <c r="I147" s="554" t="str">
        <f t="shared" si="19"/>
        <v/>
      </c>
      <c r="J147" s="557" t="str">
        <f t="shared" si="25"/>
        <v/>
      </c>
      <c r="K147" s="530" t="str">
        <f t="shared" si="22"/>
        <v/>
      </c>
      <c r="L147" s="530"/>
      <c r="M147" s="530"/>
      <c r="N147" s="530"/>
      <c r="O147" s="530"/>
      <c r="P147" s="574"/>
      <c r="Q147" s="558" t="str">
        <f t="shared" si="20"/>
        <v/>
      </c>
      <c r="R147" s="559" t="str">
        <f t="shared" si="21"/>
        <v/>
      </c>
    </row>
    <row r="148" spans="3:18" x14ac:dyDescent="0.2">
      <c r="C148" s="549" t="str">
        <f t="shared" si="23"/>
        <v/>
      </c>
      <c r="D148" s="576" t="str">
        <f>IF(C148="","",WORKDAY.INTL(DATE(YEAR(D147),MONTH(D147)+1,4)-1,1,1,Inhábil[Fecha]))</f>
        <v/>
      </c>
      <c r="E148" s="555" t="str">
        <f t="shared" si="24"/>
        <v/>
      </c>
      <c r="F148" s="556" t="str">
        <f t="shared" si="16"/>
        <v/>
      </c>
      <c r="G148" s="556" t="str">
        <f t="shared" si="17"/>
        <v/>
      </c>
      <c r="H148" s="554" t="str">
        <f t="shared" si="18"/>
        <v/>
      </c>
      <c r="I148" s="554" t="str">
        <f t="shared" si="19"/>
        <v/>
      </c>
      <c r="J148" s="557" t="str">
        <f t="shared" si="25"/>
        <v/>
      </c>
      <c r="K148" s="530" t="str">
        <f t="shared" si="22"/>
        <v/>
      </c>
      <c r="L148" s="530"/>
      <c r="M148" s="530"/>
      <c r="N148" s="530"/>
      <c r="O148" s="530"/>
      <c r="P148" s="574"/>
      <c r="Q148" s="558" t="str">
        <f t="shared" si="20"/>
        <v/>
      </c>
      <c r="R148" s="559" t="str">
        <f t="shared" si="21"/>
        <v/>
      </c>
    </row>
    <row r="149" spans="3:18" x14ac:dyDescent="0.2">
      <c r="C149" s="549" t="str">
        <f t="shared" si="23"/>
        <v/>
      </c>
      <c r="D149" s="576" t="str">
        <f>IF(C149="","",WORKDAY.INTL(DATE(YEAR(D148),MONTH(D148)+1,4)-1,1,1,Inhábil[Fecha]))</f>
        <v/>
      </c>
      <c r="E149" s="555" t="str">
        <f t="shared" si="24"/>
        <v/>
      </c>
      <c r="F149" s="556" t="str">
        <f t="shared" si="16"/>
        <v/>
      </c>
      <c r="G149" s="556" t="str">
        <f t="shared" si="17"/>
        <v/>
      </c>
      <c r="H149" s="554" t="str">
        <f t="shared" si="18"/>
        <v/>
      </c>
      <c r="I149" s="554" t="str">
        <f t="shared" si="19"/>
        <v/>
      </c>
      <c r="J149" s="557" t="str">
        <f t="shared" si="25"/>
        <v/>
      </c>
      <c r="K149" s="530" t="str">
        <f t="shared" si="22"/>
        <v/>
      </c>
      <c r="L149" s="530"/>
      <c r="M149" s="530"/>
      <c r="N149" s="530"/>
      <c r="O149" s="530"/>
      <c r="P149" s="574"/>
      <c r="Q149" s="558" t="str">
        <f t="shared" si="20"/>
        <v/>
      </c>
      <c r="R149" s="559" t="str">
        <f t="shared" si="21"/>
        <v/>
      </c>
    </row>
    <row r="150" spans="3:18" x14ac:dyDescent="0.2">
      <c r="C150" s="549" t="str">
        <f t="shared" si="23"/>
        <v/>
      </c>
      <c r="D150" s="576" t="str">
        <f>IF(C150="","",WORKDAY.INTL(DATE(YEAR(D149),MONTH(D149)+1,4)-1,1,1,Inhábil[Fecha]))</f>
        <v/>
      </c>
      <c r="E150" s="555" t="str">
        <f t="shared" si="24"/>
        <v/>
      </c>
      <c r="F150" s="556" t="str">
        <f t="shared" si="16"/>
        <v/>
      </c>
      <c r="G150" s="556" t="str">
        <f t="shared" si="17"/>
        <v/>
      </c>
      <c r="H150" s="554" t="str">
        <f t="shared" si="18"/>
        <v/>
      </c>
      <c r="I150" s="554" t="str">
        <f t="shared" si="19"/>
        <v/>
      </c>
      <c r="J150" s="557" t="str">
        <f t="shared" si="25"/>
        <v/>
      </c>
      <c r="K150" s="530" t="str">
        <f t="shared" si="22"/>
        <v/>
      </c>
      <c r="L150" s="530"/>
      <c r="M150" s="530"/>
      <c r="N150" s="530"/>
      <c r="O150" s="530"/>
      <c r="P150" s="574"/>
      <c r="Q150" s="558" t="str">
        <f t="shared" si="20"/>
        <v/>
      </c>
      <c r="R150" s="559" t="str">
        <f t="shared" si="21"/>
        <v/>
      </c>
    </row>
    <row r="151" spans="3:18" x14ac:dyDescent="0.2">
      <c r="C151" s="549" t="str">
        <f t="shared" si="23"/>
        <v/>
      </c>
      <c r="D151" s="576" t="str">
        <f>IF(C151="","",WORKDAY.INTL(DATE(YEAR(D150),MONTH(D150)+1,4)-1,1,1,Inhábil[Fecha]))</f>
        <v/>
      </c>
      <c r="E151" s="555" t="str">
        <f t="shared" si="24"/>
        <v/>
      </c>
      <c r="F151" s="556" t="str">
        <f t="shared" si="16"/>
        <v/>
      </c>
      <c r="G151" s="556" t="str">
        <f t="shared" si="17"/>
        <v/>
      </c>
      <c r="H151" s="554" t="str">
        <f t="shared" si="18"/>
        <v/>
      </c>
      <c r="I151" s="554" t="str">
        <f t="shared" si="19"/>
        <v/>
      </c>
      <c r="J151" s="557" t="str">
        <f t="shared" si="25"/>
        <v/>
      </c>
      <c r="K151" s="530" t="str">
        <f t="shared" si="22"/>
        <v/>
      </c>
      <c r="L151" s="530"/>
      <c r="M151" s="530"/>
      <c r="N151" s="530"/>
      <c r="O151" s="530"/>
      <c r="P151" s="574"/>
      <c r="Q151" s="558" t="str">
        <f t="shared" si="20"/>
        <v/>
      </c>
      <c r="R151" s="559" t="str">
        <f t="shared" si="21"/>
        <v/>
      </c>
    </row>
    <row r="152" spans="3:18" x14ac:dyDescent="0.2">
      <c r="C152" s="549" t="str">
        <f t="shared" si="23"/>
        <v/>
      </c>
      <c r="D152" s="576" t="str">
        <f>IF(C152="","",WORKDAY.INTL(DATE(YEAR(D151),MONTH(D151)+1,4)-1,1,1,Inhábil[Fecha]))</f>
        <v/>
      </c>
      <c r="E152" s="555" t="str">
        <f t="shared" si="24"/>
        <v/>
      </c>
      <c r="F152" s="556" t="str">
        <f t="shared" si="16"/>
        <v/>
      </c>
      <c r="G152" s="556" t="str">
        <f t="shared" si="17"/>
        <v/>
      </c>
      <c r="H152" s="554" t="str">
        <f t="shared" si="18"/>
        <v/>
      </c>
      <c r="I152" s="554" t="str">
        <f t="shared" si="19"/>
        <v/>
      </c>
      <c r="J152" s="557" t="str">
        <f t="shared" si="25"/>
        <v/>
      </c>
      <c r="K152" s="530" t="str">
        <f t="shared" si="22"/>
        <v/>
      </c>
      <c r="L152" s="530"/>
      <c r="M152" s="530"/>
      <c r="N152" s="530"/>
      <c r="O152" s="530"/>
      <c r="P152" s="574"/>
      <c r="Q152" s="558" t="str">
        <f t="shared" si="20"/>
        <v/>
      </c>
      <c r="R152" s="559" t="str">
        <f t="shared" si="21"/>
        <v/>
      </c>
    </row>
    <row r="153" spans="3:18" x14ac:dyDescent="0.2">
      <c r="C153" s="549" t="str">
        <f t="shared" si="23"/>
        <v/>
      </c>
      <c r="D153" s="576" t="str">
        <f>IF(C153="","",WORKDAY.INTL(DATE(YEAR(D152),MONTH(D152)+1,4)-1,1,1,Inhábil[Fecha]))</f>
        <v/>
      </c>
      <c r="E153" s="555" t="str">
        <f t="shared" si="24"/>
        <v/>
      </c>
      <c r="F153" s="556" t="str">
        <f t="shared" si="16"/>
        <v/>
      </c>
      <c r="G153" s="556" t="str">
        <f t="shared" si="17"/>
        <v/>
      </c>
      <c r="H153" s="554" t="str">
        <f t="shared" si="18"/>
        <v/>
      </c>
      <c r="I153" s="554" t="str">
        <f t="shared" si="19"/>
        <v/>
      </c>
      <c r="J153" s="557" t="str">
        <f t="shared" si="25"/>
        <v/>
      </c>
      <c r="K153" s="530" t="str">
        <f t="shared" si="22"/>
        <v/>
      </c>
      <c r="L153" s="530"/>
      <c r="M153" s="530"/>
      <c r="N153" s="530"/>
      <c r="O153" s="530"/>
      <c r="P153" s="574"/>
      <c r="Q153" s="558" t="str">
        <f t="shared" si="20"/>
        <v/>
      </c>
      <c r="R153" s="559" t="str">
        <f t="shared" si="21"/>
        <v/>
      </c>
    </row>
    <row r="154" spans="3:18" x14ac:dyDescent="0.2">
      <c r="C154" s="549" t="str">
        <f t="shared" si="23"/>
        <v/>
      </c>
      <c r="D154" s="576" t="str">
        <f>IF(C154="","",WORKDAY.INTL(DATE(YEAR(D153),MONTH(D153)+1,4)-1,1,1,Inhábil[Fecha]))</f>
        <v/>
      </c>
      <c r="E154" s="555" t="str">
        <f t="shared" si="24"/>
        <v/>
      </c>
      <c r="F154" s="556" t="str">
        <f t="shared" si="16"/>
        <v/>
      </c>
      <c r="G154" s="556" t="str">
        <f t="shared" si="17"/>
        <v/>
      </c>
      <c r="H154" s="554" t="str">
        <f t="shared" si="18"/>
        <v/>
      </c>
      <c r="I154" s="554" t="str">
        <f t="shared" si="19"/>
        <v/>
      </c>
      <c r="J154" s="557" t="str">
        <f t="shared" si="25"/>
        <v/>
      </c>
      <c r="K154" s="530" t="str">
        <f t="shared" si="22"/>
        <v/>
      </c>
      <c r="L154" s="530"/>
      <c r="M154" s="530"/>
      <c r="N154" s="530"/>
      <c r="O154" s="530"/>
      <c r="P154" s="574"/>
      <c r="Q154" s="558" t="str">
        <f t="shared" si="20"/>
        <v/>
      </c>
      <c r="R154" s="559" t="str">
        <f t="shared" si="21"/>
        <v/>
      </c>
    </row>
    <row r="155" spans="3:18" x14ac:dyDescent="0.2">
      <c r="C155" s="549" t="str">
        <f t="shared" si="23"/>
        <v/>
      </c>
      <c r="D155" s="576" t="str">
        <f>IF(C155="","",WORKDAY.INTL(DATE(YEAR(D154),MONTH(D154)+1,4)-1,1,1,Inhábil[Fecha]))</f>
        <v/>
      </c>
      <c r="E155" s="555" t="str">
        <f t="shared" si="24"/>
        <v/>
      </c>
      <c r="F155" s="556" t="str">
        <f t="shared" si="16"/>
        <v/>
      </c>
      <c r="G155" s="556" t="str">
        <f t="shared" si="17"/>
        <v/>
      </c>
      <c r="H155" s="554" t="str">
        <f t="shared" si="18"/>
        <v/>
      </c>
      <c r="I155" s="554" t="str">
        <f t="shared" si="19"/>
        <v/>
      </c>
      <c r="J155" s="557" t="str">
        <f t="shared" si="25"/>
        <v/>
      </c>
      <c r="K155" s="530" t="str">
        <f t="shared" si="22"/>
        <v/>
      </c>
      <c r="L155" s="530"/>
      <c r="M155" s="530"/>
      <c r="N155" s="530"/>
      <c r="O155" s="530"/>
      <c r="P155" s="574"/>
      <c r="Q155" s="558" t="str">
        <f t="shared" si="20"/>
        <v/>
      </c>
      <c r="R155" s="559" t="str">
        <f t="shared" si="21"/>
        <v/>
      </c>
    </row>
    <row r="156" spans="3:18" x14ac:dyDescent="0.2">
      <c r="C156" s="549" t="str">
        <f t="shared" si="23"/>
        <v/>
      </c>
      <c r="D156" s="576" t="str">
        <f>IF(C156="","",WORKDAY.INTL(DATE(YEAR(D155),MONTH(D155)+1,4)-1,1,1,Inhábil[Fecha]))</f>
        <v/>
      </c>
      <c r="E156" s="555" t="str">
        <f t="shared" si="24"/>
        <v/>
      </c>
      <c r="F156" s="556" t="str">
        <f t="shared" si="16"/>
        <v/>
      </c>
      <c r="G156" s="556" t="str">
        <f t="shared" si="17"/>
        <v/>
      </c>
      <c r="H156" s="554" t="str">
        <f t="shared" si="18"/>
        <v/>
      </c>
      <c r="I156" s="554" t="str">
        <f t="shared" si="19"/>
        <v/>
      </c>
      <c r="J156" s="557" t="str">
        <f t="shared" si="25"/>
        <v/>
      </c>
      <c r="K156" s="530" t="str">
        <f t="shared" si="22"/>
        <v/>
      </c>
      <c r="L156" s="530"/>
      <c r="M156" s="530"/>
      <c r="N156" s="530"/>
      <c r="O156" s="530"/>
      <c r="P156" s="574"/>
      <c r="Q156" s="558" t="str">
        <f t="shared" si="20"/>
        <v/>
      </c>
      <c r="R156" s="559" t="str">
        <f t="shared" si="21"/>
        <v/>
      </c>
    </row>
    <row r="157" spans="3:18" x14ac:dyDescent="0.2">
      <c r="C157" s="549" t="str">
        <f t="shared" si="23"/>
        <v/>
      </c>
      <c r="D157" s="576" t="str">
        <f>IF(C157="","",WORKDAY.INTL(DATE(YEAR(D156),MONTH(D156)+1,4)-1,1,1,Inhábil[Fecha]))</f>
        <v/>
      </c>
      <c r="E157" s="555" t="str">
        <f t="shared" si="24"/>
        <v/>
      </c>
      <c r="F157" s="556" t="str">
        <f t="shared" si="16"/>
        <v/>
      </c>
      <c r="G157" s="556" t="str">
        <f t="shared" si="17"/>
        <v/>
      </c>
      <c r="H157" s="554" t="str">
        <f t="shared" si="18"/>
        <v/>
      </c>
      <c r="I157" s="554" t="str">
        <f t="shared" si="19"/>
        <v/>
      </c>
      <c r="J157" s="557" t="str">
        <f t="shared" si="25"/>
        <v/>
      </c>
      <c r="K157" s="530" t="str">
        <f t="shared" si="22"/>
        <v/>
      </c>
      <c r="L157" s="530"/>
      <c r="M157" s="530"/>
      <c r="N157" s="530"/>
      <c r="O157" s="530"/>
      <c r="P157" s="574"/>
      <c r="Q157" s="558" t="str">
        <f t="shared" si="20"/>
        <v/>
      </c>
      <c r="R157" s="559" t="str">
        <f t="shared" si="21"/>
        <v/>
      </c>
    </row>
    <row r="158" spans="3:18" x14ac:dyDescent="0.2">
      <c r="C158" s="549" t="str">
        <f t="shared" si="23"/>
        <v/>
      </c>
      <c r="D158" s="576" t="str">
        <f>IF(C158="","",WORKDAY.INTL(DATE(YEAR(D157),MONTH(D157)+1,4)-1,1,1,Inhábil[Fecha]))</f>
        <v/>
      </c>
      <c r="E158" s="555" t="str">
        <f t="shared" si="24"/>
        <v/>
      </c>
      <c r="F158" s="556" t="str">
        <f t="shared" si="16"/>
        <v/>
      </c>
      <c r="G158" s="556" t="str">
        <f t="shared" si="17"/>
        <v/>
      </c>
      <c r="H158" s="554" t="str">
        <f t="shared" si="18"/>
        <v/>
      </c>
      <c r="I158" s="554" t="str">
        <f t="shared" si="19"/>
        <v/>
      </c>
      <c r="J158" s="557" t="str">
        <f t="shared" si="25"/>
        <v/>
      </c>
      <c r="K158" s="530" t="str">
        <f t="shared" si="22"/>
        <v/>
      </c>
      <c r="L158" s="530"/>
      <c r="M158" s="530"/>
      <c r="N158" s="530"/>
      <c r="O158" s="530"/>
      <c r="P158" s="574"/>
      <c r="Q158" s="558" t="str">
        <f t="shared" si="20"/>
        <v/>
      </c>
      <c r="R158" s="559" t="str">
        <f t="shared" si="21"/>
        <v/>
      </c>
    </row>
    <row r="159" spans="3:18" x14ac:dyDescent="0.2">
      <c r="C159" s="549" t="str">
        <f t="shared" si="23"/>
        <v/>
      </c>
      <c r="D159" s="576" t="str">
        <f>IF(C159="","",WORKDAY.INTL(DATE(YEAR(D158),MONTH(D158)+1,4)-1,1,1,Inhábil[Fecha]))</f>
        <v/>
      </c>
      <c r="E159" s="555" t="str">
        <f t="shared" si="24"/>
        <v/>
      </c>
      <c r="F159" s="556" t="str">
        <f t="shared" si="16"/>
        <v/>
      </c>
      <c r="G159" s="556" t="str">
        <f t="shared" si="17"/>
        <v/>
      </c>
      <c r="H159" s="554" t="str">
        <f t="shared" si="18"/>
        <v/>
      </c>
      <c r="I159" s="554" t="str">
        <f t="shared" si="19"/>
        <v/>
      </c>
      <c r="J159" s="557" t="str">
        <f t="shared" si="25"/>
        <v/>
      </c>
      <c r="K159" s="530" t="str">
        <f t="shared" si="22"/>
        <v/>
      </c>
      <c r="L159" s="530"/>
      <c r="M159" s="530"/>
      <c r="N159" s="530"/>
      <c r="O159" s="530"/>
      <c r="P159" s="574"/>
      <c r="Q159" s="558" t="str">
        <f t="shared" si="20"/>
        <v/>
      </c>
      <c r="R159" s="559" t="str">
        <f t="shared" si="21"/>
        <v/>
      </c>
    </row>
    <row r="160" spans="3:18" x14ac:dyDescent="0.2">
      <c r="C160" s="549" t="str">
        <f t="shared" si="23"/>
        <v/>
      </c>
      <c r="D160" s="576" t="str">
        <f>IF(C160="","",WORKDAY.INTL(DATE(YEAR(D159),MONTH(D159)+1,4)-1,1,1,Inhábil[Fecha]))</f>
        <v/>
      </c>
      <c r="E160" s="555" t="str">
        <f t="shared" si="24"/>
        <v/>
      </c>
      <c r="F160" s="556" t="str">
        <f t="shared" si="16"/>
        <v/>
      </c>
      <c r="G160" s="556" t="str">
        <f t="shared" si="17"/>
        <v/>
      </c>
      <c r="H160" s="554" t="str">
        <f t="shared" si="18"/>
        <v/>
      </c>
      <c r="I160" s="554" t="str">
        <f t="shared" si="19"/>
        <v/>
      </c>
      <c r="J160" s="557" t="str">
        <f t="shared" si="25"/>
        <v/>
      </c>
      <c r="K160" s="530" t="str">
        <f t="shared" si="22"/>
        <v/>
      </c>
      <c r="L160" s="530"/>
      <c r="M160" s="530"/>
      <c r="N160" s="530"/>
      <c r="O160" s="530"/>
      <c r="P160" s="574"/>
      <c r="Q160" s="558" t="str">
        <f t="shared" si="20"/>
        <v/>
      </c>
      <c r="R160" s="559" t="str">
        <f t="shared" si="21"/>
        <v/>
      </c>
    </row>
    <row r="161" spans="3:18" x14ac:dyDescent="0.2">
      <c r="C161" s="549" t="str">
        <f t="shared" si="23"/>
        <v/>
      </c>
      <c r="D161" s="576" t="str">
        <f>IF(C161="","",WORKDAY.INTL(DATE(YEAR(D160),MONTH(D160)+1,4)-1,1,1,Inhábil[Fecha]))</f>
        <v/>
      </c>
      <c r="E161" s="555" t="str">
        <f t="shared" si="24"/>
        <v/>
      </c>
      <c r="F161" s="556" t="str">
        <f t="shared" si="16"/>
        <v/>
      </c>
      <c r="G161" s="556" t="str">
        <f t="shared" si="17"/>
        <v/>
      </c>
      <c r="H161" s="554" t="str">
        <f t="shared" si="18"/>
        <v/>
      </c>
      <c r="I161" s="554" t="str">
        <f t="shared" si="19"/>
        <v/>
      </c>
      <c r="J161" s="557" t="str">
        <f t="shared" si="25"/>
        <v/>
      </c>
      <c r="K161" s="530" t="str">
        <f t="shared" si="22"/>
        <v/>
      </c>
      <c r="L161" s="530"/>
      <c r="M161" s="530"/>
      <c r="N161" s="530"/>
      <c r="O161" s="530"/>
      <c r="P161" s="574"/>
      <c r="Q161" s="558" t="str">
        <f t="shared" si="20"/>
        <v/>
      </c>
      <c r="R161" s="559" t="str">
        <f t="shared" si="21"/>
        <v/>
      </c>
    </row>
    <row r="162" spans="3:18" x14ac:dyDescent="0.2">
      <c r="C162" s="549" t="str">
        <f t="shared" ref="C162:C193" si="26">IF(OR(C161="",Q161&lt;=0),"",IF(Q161&gt;0,C161+1,""))</f>
        <v/>
      </c>
      <c r="D162" s="576" t="str">
        <f>IF(C162="","",WORKDAY.INTL(DATE(YEAR(D161),MONTH(D161)+1,4)-1,1,1,Inhábil[Fecha]))</f>
        <v/>
      </c>
      <c r="E162" s="555" t="str">
        <f t="shared" ref="E162:E193" si="27">IF(Q161&lt;=0,"",Q161)</f>
        <v/>
      </c>
      <c r="F162" s="556" t="str">
        <f t="shared" si="16"/>
        <v/>
      </c>
      <c r="G162" s="556" t="str">
        <f t="shared" si="17"/>
        <v/>
      </c>
      <c r="H162" s="554" t="str">
        <f t="shared" si="18"/>
        <v/>
      </c>
      <c r="I162" s="554" t="str">
        <f t="shared" si="19"/>
        <v/>
      </c>
      <c r="J162" s="557" t="str">
        <f t="shared" ref="J162:J193" si="28">IF(C162="","",ROUND(R$21*Q161/1000,2))</f>
        <v/>
      </c>
      <c r="K162" s="530" t="str">
        <f t="shared" si="22"/>
        <v/>
      </c>
      <c r="L162" s="530"/>
      <c r="M162" s="530"/>
      <c r="N162" s="530"/>
      <c r="O162" s="530"/>
      <c r="P162" s="574"/>
      <c r="Q162" s="558" t="str">
        <f t="shared" si="20"/>
        <v/>
      </c>
      <c r="R162" s="559" t="str">
        <f t="shared" si="21"/>
        <v/>
      </c>
    </row>
    <row r="163" spans="3:18" x14ac:dyDescent="0.2">
      <c r="C163" s="549" t="str">
        <f t="shared" si="26"/>
        <v/>
      </c>
      <c r="D163" s="576" t="str">
        <f>IF(C163="","",WORKDAY.INTL(DATE(YEAR(D162),MONTH(D162)+1,4)-1,1,1,Inhábil[Fecha]))</f>
        <v/>
      </c>
      <c r="E163" s="555" t="str">
        <f t="shared" si="27"/>
        <v/>
      </c>
      <c r="F163" s="556" t="str">
        <f t="shared" ref="F163:F212" si="29">IF(C163="","",MIN(-PMT($E$23/12,$E$22*12,$E$21)-G163,E163))</f>
        <v/>
      </c>
      <c r="G163" s="556" t="str">
        <f t="shared" ref="G163:G212" si="30">IF(C163="","",E163*($E$23/12))</f>
        <v/>
      </c>
      <c r="H163" s="554" t="str">
        <f t="shared" ref="H163:H212" si="31">IF(C163="","",ROUND(G163*0.16,2))</f>
        <v/>
      </c>
      <c r="I163" s="554" t="str">
        <f t="shared" ref="I163:I212" si="32">IF(C163="","",ROUND(F163+G163,2))</f>
        <v/>
      </c>
      <c r="J163" s="557" t="str">
        <f t="shared" si="28"/>
        <v/>
      </c>
      <c r="K163" s="530" t="str">
        <f t="shared" si="22"/>
        <v/>
      </c>
      <c r="L163" s="530"/>
      <c r="M163" s="530"/>
      <c r="N163" s="530"/>
      <c r="O163" s="530"/>
      <c r="P163" s="574"/>
      <c r="Q163" s="558" t="str">
        <f t="shared" ref="Q163:Q212" si="33">IFERROR(VALUE(ROUND(IF(C163="","",E163-F163),2)),"")</f>
        <v/>
      </c>
      <c r="R163" s="559" t="str">
        <f t="shared" ref="R163:R212" si="34">IF(C163="","",F163+G163+J163)</f>
        <v/>
      </c>
    </row>
    <row r="164" spans="3:18" x14ac:dyDescent="0.2">
      <c r="C164" s="549" t="str">
        <f t="shared" si="26"/>
        <v/>
      </c>
      <c r="D164" s="576" t="str">
        <f>IF(C164="","",WORKDAY.INTL(DATE(YEAR(D163),MONTH(D163)+1,4)-1,1,1,Inhábil[Fecha]))</f>
        <v/>
      </c>
      <c r="E164" s="555" t="str">
        <f t="shared" si="27"/>
        <v/>
      </c>
      <c r="F164" s="556" t="str">
        <f t="shared" si="29"/>
        <v/>
      </c>
      <c r="G164" s="556" t="str">
        <f t="shared" si="30"/>
        <v/>
      </c>
      <c r="H164" s="554" t="str">
        <f t="shared" si="31"/>
        <v/>
      </c>
      <c r="I164" s="554" t="str">
        <f t="shared" si="32"/>
        <v/>
      </c>
      <c r="J164" s="557" t="str">
        <f t="shared" si="28"/>
        <v/>
      </c>
      <c r="K164" s="530" t="str">
        <f t="shared" ref="K164:K212" si="35">IFERROR(IF(C164="","",F164+G164+J164+H164),0)</f>
        <v/>
      </c>
      <c r="L164" s="530"/>
      <c r="M164" s="530"/>
      <c r="N164" s="530"/>
      <c r="O164" s="530"/>
      <c r="P164" s="574"/>
      <c r="Q164" s="558" t="str">
        <f t="shared" si="33"/>
        <v/>
      </c>
      <c r="R164" s="559" t="str">
        <f t="shared" si="34"/>
        <v/>
      </c>
    </row>
    <row r="165" spans="3:18" x14ac:dyDescent="0.2">
      <c r="C165" s="549" t="str">
        <f t="shared" si="26"/>
        <v/>
      </c>
      <c r="D165" s="576" t="str">
        <f>IF(C165="","",WORKDAY.INTL(DATE(YEAR(D164),MONTH(D164)+1,4)-1,1,1,Inhábil[Fecha]))</f>
        <v/>
      </c>
      <c r="E165" s="555" t="str">
        <f t="shared" si="27"/>
        <v/>
      </c>
      <c r="F165" s="556" t="str">
        <f t="shared" si="29"/>
        <v/>
      </c>
      <c r="G165" s="556" t="str">
        <f t="shared" si="30"/>
        <v/>
      </c>
      <c r="H165" s="554" t="str">
        <f t="shared" si="31"/>
        <v/>
      </c>
      <c r="I165" s="554" t="str">
        <f t="shared" si="32"/>
        <v/>
      </c>
      <c r="J165" s="557" t="str">
        <f t="shared" si="28"/>
        <v/>
      </c>
      <c r="K165" s="530" t="str">
        <f t="shared" si="35"/>
        <v/>
      </c>
      <c r="L165" s="530"/>
      <c r="M165" s="530"/>
      <c r="N165" s="530"/>
      <c r="O165" s="530"/>
      <c r="P165" s="574"/>
      <c r="Q165" s="558" t="str">
        <f t="shared" si="33"/>
        <v/>
      </c>
      <c r="R165" s="559" t="str">
        <f t="shared" si="34"/>
        <v/>
      </c>
    </row>
    <row r="166" spans="3:18" x14ac:dyDescent="0.2">
      <c r="C166" s="549" t="str">
        <f t="shared" si="26"/>
        <v/>
      </c>
      <c r="D166" s="576" t="str">
        <f>IF(C166="","",WORKDAY.INTL(DATE(YEAR(D165),MONTH(D165)+1,4)-1,1,1,Inhábil[Fecha]))</f>
        <v/>
      </c>
      <c r="E166" s="555" t="str">
        <f t="shared" si="27"/>
        <v/>
      </c>
      <c r="F166" s="556" t="str">
        <f t="shared" si="29"/>
        <v/>
      </c>
      <c r="G166" s="556" t="str">
        <f t="shared" si="30"/>
        <v/>
      </c>
      <c r="H166" s="554" t="str">
        <f t="shared" si="31"/>
        <v/>
      </c>
      <c r="I166" s="554" t="str">
        <f t="shared" si="32"/>
        <v/>
      </c>
      <c r="J166" s="557" t="str">
        <f t="shared" si="28"/>
        <v/>
      </c>
      <c r="K166" s="530" t="str">
        <f t="shared" si="35"/>
        <v/>
      </c>
      <c r="L166" s="530"/>
      <c r="M166" s="530"/>
      <c r="N166" s="530"/>
      <c r="O166" s="530"/>
      <c r="P166" s="574"/>
      <c r="Q166" s="558" t="str">
        <f t="shared" si="33"/>
        <v/>
      </c>
      <c r="R166" s="559" t="str">
        <f t="shared" si="34"/>
        <v/>
      </c>
    </row>
    <row r="167" spans="3:18" x14ac:dyDescent="0.2">
      <c r="C167" s="549" t="str">
        <f t="shared" si="26"/>
        <v/>
      </c>
      <c r="D167" s="576" t="str">
        <f>IF(C167="","",WORKDAY.INTL(DATE(YEAR(D166),MONTH(D166)+1,4)-1,1,1,Inhábil[Fecha]))</f>
        <v/>
      </c>
      <c r="E167" s="555" t="str">
        <f t="shared" si="27"/>
        <v/>
      </c>
      <c r="F167" s="556" t="str">
        <f t="shared" si="29"/>
        <v/>
      </c>
      <c r="G167" s="556" t="str">
        <f t="shared" si="30"/>
        <v/>
      </c>
      <c r="H167" s="554" t="str">
        <f t="shared" si="31"/>
        <v/>
      </c>
      <c r="I167" s="554" t="str">
        <f t="shared" si="32"/>
        <v/>
      </c>
      <c r="J167" s="557" t="str">
        <f t="shared" si="28"/>
        <v/>
      </c>
      <c r="K167" s="530" t="str">
        <f t="shared" si="35"/>
        <v/>
      </c>
      <c r="L167" s="530"/>
      <c r="M167" s="530"/>
      <c r="N167" s="530"/>
      <c r="O167" s="530"/>
      <c r="P167" s="574"/>
      <c r="Q167" s="558" t="str">
        <f t="shared" si="33"/>
        <v/>
      </c>
      <c r="R167" s="559" t="str">
        <f t="shared" si="34"/>
        <v/>
      </c>
    </row>
    <row r="168" spans="3:18" x14ac:dyDescent="0.2">
      <c r="C168" s="549" t="str">
        <f t="shared" si="26"/>
        <v/>
      </c>
      <c r="D168" s="576" t="str">
        <f>IF(C168="","",WORKDAY.INTL(DATE(YEAR(D167),MONTH(D167)+1,4)-1,1,1,Inhábil[Fecha]))</f>
        <v/>
      </c>
      <c r="E168" s="555" t="str">
        <f t="shared" si="27"/>
        <v/>
      </c>
      <c r="F168" s="556" t="str">
        <f t="shared" si="29"/>
        <v/>
      </c>
      <c r="G168" s="556" t="str">
        <f t="shared" si="30"/>
        <v/>
      </c>
      <c r="H168" s="554" t="str">
        <f t="shared" si="31"/>
        <v/>
      </c>
      <c r="I168" s="554" t="str">
        <f t="shared" si="32"/>
        <v/>
      </c>
      <c r="J168" s="557" t="str">
        <f t="shared" si="28"/>
        <v/>
      </c>
      <c r="K168" s="530" t="str">
        <f t="shared" si="35"/>
        <v/>
      </c>
      <c r="L168" s="530"/>
      <c r="M168" s="530"/>
      <c r="N168" s="530"/>
      <c r="O168" s="530"/>
      <c r="P168" s="574"/>
      <c r="Q168" s="558" t="str">
        <f t="shared" si="33"/>
        <v/>
      </c>
      <c r="R168" s="559" t="str">
        <f t="shared" si="34"/>
        <v/>
      </c>
    </row>
    <row r="169" spans="3:18" x14ac:dyDescent="0.2">
      <c r="C169" s="549" t="str">
        <f t="shared" si="26"/>
        <v/>
      </c>
      <c r="D169" s="576" t="str">
        <f>IF(C169="","",WORKDAY.INTL(DATE(YEAR(D168),MONTH(D168)+1,4)-1,1,1,Inhábil[Fecha]))</f>
        <v/>
      </c>
      <c r="E169" s="555" t="str">
        <f t="shared" si="27"/>
        <v/>
      </c>
      <c r="F169" s="556" t="str">
        <f t="shared" si="29"/>
        <v/>
      </c>
      <c r="G169" s="556" t="str">
        <f t="shared" si="30"/>
        <v/>
      </c>
      <c r="H169" s="554" t="str">
        <f t="shared" si="31"/>
        <v/>
      </c>
      <c r="I169" s="554" t="str">
        <f t="shared" si="32"/>
        <v/>
      </c>
      <c r="J169" s="557" t="str">
        <f t="shared" si="28"/>
        <v/>
      </c>
      <c r="K169" s="530" t="str">
        <f t="shared" si="35"/>
        <v/>
      </c>
      <c r="L169" s="530"/>
      <c r="M169" s="530"/>
      <c r="N169" s="530"/>
      <c r="O169" s="530"/>
      <c r="P169" s="574"/>
      <c r="Q169" s="558" t="str">
        <f t="shared" si="33"/>
        <v/>
      </c>
      <c r="R169" s="559" t="str">
        <f t="shared" si="34"/>
        <v/>
      </c>
    </row>
    <row r="170" spans="3:18" x14ac:dyDescent="0.2">
      <c r="C170" s="549" t="str">
        <f t="shared" si="26"/>
        <v/>
      </c>
      <c r="D170" s="576" t="str">
        <f>IF(C170="","",WORKDAY.INTL(DATE(YEAR(D169),MONTH(D169)+1,4)-1,1,1,Inhábil[Fecha]))</f>
        <v/>
      </c>
      <c r="E170" s="555" t="str">
        <f t="shared" si="27"/>
        <v/>
      </c>
      <c r="F170" s="556" t="str">
        <f t="shared" si="29"/>
        <v/>
      </c>
      <c r="G170" s="556" t="str">
        <f t="shared" si="30"/>
        <v/>
      </c>
      <c r="H170" s="554" t="str">
        <f t="shared" si="31"/>
        <v/>
      </c>
      <c r="I170" s="554" t="str">
        <f t="shared" si="32"/>
        <v/>
      </c>
      <c r="J170" s="557" t="str">
        <f t="shared" si="28"/>
        <v/>
      </c>
      <c r="K170" s="530" t="str">
        <f t="shared" si="35"/>
        <v/>
      </c>
      <c r="L170" s="530"/>
      <c r="M170" s="530"/>
      <c r="N170" s="530"/>
      <c r="O170" s="530"/>
      <c r="P170" s="574"/>
      <c r="Q170" s="558" t="str">
        <f t="shared" si="33"/>
        <v/>
      </c>
      <c r="R170" s="559" t="str">
        <f t="shared" si="34"/>
        <v/>
      </c>
    </row>
    <row r="171" spans="3:18" x14ac:dyDescent="0.2">
      <c r="C171" s="549" t="str">
        <f t="shared" si="26"/>
        <v/>
      </c>
      <c r="D171" s="576" t="str">
        <f>IF(C171="","",WORKDAY.INTL(DATE(YEAR(D170),MONTH(D170)+1,4)-1,1,1,Inhábil[Fecha]))</f>
        <v/>
      </c>
      <c r="E171" s="555" t="str">
        <f t="shared" si="27"/>
        <v/>
      </c>
      <c r="F171" s="556" t="str">
        <f t="shared" si="29"/>
        <v/>
      </c>
      <c r="G171" s="556" t="str">
        <f t="shared" si="30"/>
        <v/>
      </c>
      <c r="H171" s="554" t="str">
        <f t="shared" si="31"/>
        <v/>
      </c>
      <c r="I171" s="554" t="str">
        <f t="shared" si="32"/>
        <v/>
      </c>
      <c r="J171" s="557" t="str">
        <f t="shared" si="28"/>
        <v/>
      </c>
      <c r="K171" s="530" t="str">
        <f t="shared" si="35"/>
        <v/>
      </c>
      <c r="L171" s="530"/>
      <c r="M171" s="530"/>
      <c r="N171" s="530"/>
      <c r="O171" s="530"/>
      <c r="P171" s="574"/>
      <c r="Q171" s="558" t="str">
        <f t="shared" si="33"/>
        <v/>
      </c>
      <c r="R171" s="559" t="str">
        <f t="shared" si="34"/>
        <v/>
      </c>
    </row>
    <row r="172" spans="3:18" x14ac:dyDescent="0.2">
      <c r="C172" s="549" t="str">
        <f t="shared" si="26"/>
        <v/>
      </c>
      <c r="D172" s="576" t="str">
        <f>IF(C172="","",WORKDAY.INTL(DATE(YEAR(D171),MONTH(D171)+1,4)-1,1,1,Inhábil[Fecha]))</f>
        <v/>
      </c>
      <c r="E172" s="555" t="str">
        <f t="shared" si="27"/>
        <v/>
      </c>
      <c r="F172" s="556" t="str">
        <f t="shared" si="29"/>
        <v/>
      </c>
      <c r="G172" s="556" t="str">
        <f t="shared" si="30"/>
        <v/>
      </c>
      <c r="H172" s="554" t="str">
        <f t="shared" si="31"/>
        <v/>
      </c>
      <c r="I172" s="554" t="str">
        <f t="shared" si="32"/>
        <v/>
      </c>
      <c r="J172" s="557" t="str">
        <f t="shared" si="28"/>
        <v/>
      </c>
      <c r="K172" s="530" t="str">
        <f t="shared" si="35"/>
        <v/>
      </c>
      <c r="L172" s="530"/>
      <c r="M172" s="530"/>
      <c r="N172" s="530"/>
      <c r="O172" s="530"/>
      <c r="P172" s="574"/>
      <c r="Q172" s="558" t="str">
        <f t="shared" si="33"/>
        <v/>
      </c>
      <c r="R172" s="559" t="str">
        <f t="shared" si="34"/>
        <v/>
      </c>
    </row>
    <row r="173" spans="3:18" x14ac:dyDescent="0.2">
      <c r="C173" s="549" t="str">
        <f t="shared" si="26"/>
        <v/>
      </c>
      <c r="D173" s="576" t="str">
        <f>IF(C173="","",WORKDAY.INTL(DATE(YEAR(D172),MONTH(D172)+1,4)-1,1,1,Inhábil[Fecha]))</f>
        <v/>
      </c>
      <c r="E173" s="555" t="str">
        <f t="shared" si="27"/>
        <v/>
      </c>
      <c r="F173" s="556" t="str">
        <f t="shared" si="29"/>
        <v/>
      </c>
      <c r="G173" s="556" t="str">
        <f t="shared" si="30"/>
        <v/>
      </c>
      <c r="H173" s="554" t="str">
        <f t="shared" si="31"/>
        <v/>
      </c>
      <c r="I173" s="554" t="str">
        <f t="shared" si="32"/>
        <v/>
      </c>
      <c r="J173" s="557" t="str">
        <f t="shared" si="28"/>
        <v/>
      </c>
      <c r="K173" s="530" t="str">
        <f t="shared" si="35"/>
        <v/>
      </c>
      <c r="L173" s="530"/>
      <c r="M173" s="530"/>
      <c r="N173" s="530"/>
      <c r="O173" s="530"/>
      <c r="P173" s="574"/>
      <c r="Q173" s="558" t="str">
        <f t="shared" si="33"/>
        <v/>
      </c>
      <c r="R173" s="559" t="str">
        <f t="shared" si="34"/>
        <v/>
      </c>
    </row>
    <row r="174" spans="3:18" x14ac:dyDescent="0.2">
      <c r="C174" s="549" t="str">
        <f t="shared" si="26"/>
        <v/>
      </c>
      <c r="D174" s="576" t="str">
        <f>IF(C174="","",WORKDAY.INTL(DATE(YEAR(D173),MONTH(D173)+1,4)-1,1,1,Inhábil[Fecha]))</f>
        <v/>
      </c>
      <c r="E174" s="555" t="str">
        <f t="shared" si="27"/>
        <v/>
      </c>
      <c r="F174" s="556" t="str">
        <f t="shared" si="29"/>
        <v/>
      </c>
      <c r="G174" s="556" t="str">
        <f t="shared" si="30"/>
        <v/>
      </c>
      <c r="H174" s="554" t="str">
        <f t="shared" si="31"/>
        <v/>
      </c>
      <c r="I174" s="554" t="str">
        <f t="shared" si="32"/>
        <v/>
      </c>
      <c r="J174" s="557" t="str">
        <f t="shared" si="28"/>
        <v/>
      </c>
      <c r="K174" s="530" t="str">
        <f t="shared" si="35"/>
        <v/>
      </c>
      <c r="L174" s="530"/>
      <c r="M174" s="530"/>
      <c r="N174" s="530"/>
      <c r="O174" s="530"/>
      <c r="P174" s="574"/>
      <c r="Q174" s="558" t="str">
        <f t="shared" si="33"/>
        <v/>
      </c>
      <c r="R174" s="559" t="str">
        <f t="shared" si="34"/>
        <v/>
      </c>
    </row>
    <row r="175" spans="3:18" x14ac:dyDescent="0.2">
      <c r="C175" s="549" t="str">
        <f t="shared" si="26"/>
        <v/>
      </c>
      <c r="D175" s="576" t="str">
        <f>IF(C175="","",WORKDAY.INTL(DATE(YEAR(D174),MONTH(D174)+1,4)-1,1,1,Inhábil[Fecha]))</f>
        <v/>
      </c>
      <c r="E175" s="555" t="str">
        <f t="shared" si="27"/>
        <v/>
      </c>
      <c r="F175" s="556" t="str">
        <f t="shared" si="29"/>
        <v/>
      </c>
      <c r="G175" s="556" t="str">
        <f t="shared" si="30"/>
        <v/>
      </c>
      <c r="H175" s="554" t="str">
        <f t="shared" si="31"/>
        <v/>
      </c>
      <c r="I175" s="554" t="str">
        <f t="shared" si="32"/>
        <v/>
      </c>
      <c r="J175" s="557" t="str">
        <f t="shared" si="28"/>
        <v/>
      </c>
      <c r="K175" s="530" t="str">
        <f t="shared" si="35"/>
        <v/>
      </c>
      <c r="L175" s="530"/>
      <c r="M175" s="530"/>
      <c r="N175" s="530"/>
      <c r="O175" s="530"/>
      <c r="P175" s="574"/>
      <c r="Q175" s="558" t="str">
        <f t="shared" si="33"/>
        <v/>
      </c>
      <c r="R175" s="559" t="str">
        <f t="shared" si="34"/>
        <v/>
      </c>
    </row>
    <row r="176" spans="3:18" x14ac:dyDescent="0.2">
      <c r="C176" s="549" t="str">
        <f t="shared" si="26"/>
        <v/>
      </c>
      <c r="D176" s="576" t="str">
        <f>IF(C176="","",WORKDAY.INTL(DATE(YEAR(D175),MONTH(D175)+1,4)-1,1,1,Inhábil[Fecha]))</f>
        <v/>
      </c>
      <c r="E176" s="555" t="str">
        <f t="shared" si="27"/>
        <v/>
      </c>
      <c r="F176" s="556" t="str">
        <f t="shared" si="29"/>
        <v/>
      </c>
      <c r="G176" s="556" t="str">
        <f t="shared" si="30"/>
        <v/>
      </c>
      <c r="H176" s="554" t="str">
        <f t="shared" si="31"/>
        <v/>
      </c>
      <c r="I176" s="554" t="str">
        <f t="shared" si="32"/>
        <v/>
      </c>
      <c r="J176" s="557" t="str">
        <f t="shared" si="28"/>
        <v/>
      </c>
      <c r="K176" s="530" t="str">
        <f t="shared" si="35"/>
        <v/>
      </c>
      <c r="L176" s="530"/>
      <c r="M176" s="530"/>
      <c r="N176" s="530"/>
      <c r="O176" s="530"/>
      <c r="P176" s="574"/>
      <c r="Q176" s="558" t="str">
        <f t="shared" si="33"/>
        <v/>
      </c>
      <c r="R176" s="559" t="str">
        <f t="shared" si="34"/>
        <v/>
      </c>
    </row>
    <row r="177" spans="3:18" x14ac:dyDescent="0.2">
      <c r="C177" s="549" t="str">
        <f t="shared" si="26"/>
        <v/>
      </c>
      <c r="D177" s="576" t="str">
        <f>IF(C177="","",WORKDAY.INTL(DATE(YEAR(D176),MONTH(D176)+1,4)-1,1,1,Inhábil[Fecha]))</f>
        <v/>
      </c>
      <c r="E177" s="555" t="str">
        <f t="shared" si="27"/>
        <v/>
      </c>
      <c r="F177" s="556" t="str">
        <f t="shared" si="29"/>
        <v/>
      </c>
      <c r="G177" s="556" t="str">
        <f t="shared" si="30"/>
        <v/>
      </c>
      <c r="H177" s="554" t="str">
        <f t="shared" si="31"/>
        <v/>
      </c>
      <c r="I177" s="554" t="str">
        <f t="shared" si="32"/>
        <v/>
      </c>
      <c r="J177" s="557" t="str">
        <f t="shared" si="28"/>
        <v/>
      </c>
      <c r="K177" s="530" t="str">
        <f t="shared" si="35"/>
        <v/>
      </c>
      <c r="L177" s="530"/>
      <c r="M177" s="530"/>
      <c r="N177" s="530"/>
      <c r="O177" s="530"/>
      <c r="P177" s="574"/>
      <c r="Q177" s="558" t="str">
        <f t="shared" si="33"/>
        <v/>
      </c>
      <c r="R177" s="559" t="str">
        <f t="shared" si="34"/>
        <v/>
      </c>
    </row>
    <row r="178" spans="3:18" x14ac:dyDescent="0.2">
      <c r="C178" s="549" t="str">
        <f t="shared" si="26"/>
        <v/>
      </c>
      <c r="D178" s="576" t="str">
        <f>IF(C178="","",WORKDAY.INTL(DATE(YEAR(D177),MONTH(D177)+1,4)-1,1,1,Inhábil[Fecha]))</f>
        <v/>
      </c>
      <c r="E178" s="555" t="str">
        <f t="shared" si="27"/>
        <v/>
      </c>
      <c r="F178" s="556" t="str">
        <f t="shared" si="29"/>
        <v/>
      </c>
      <c r="G178" s="556" t="str">
        <f t="shared" si="30"/>
        <v/>
      </c>
      <c r="H178" s="554" t="str">
        <f t="shared" si="31"/>
        <v/>
      </c>
      <c r="I178" s="554" t="str">
        <f t="shared" si="32"/>
        <v/>
      </c>
      <c r="J178" s="557" t="str">
        <f t="shared" si="28"/>
        <v/>
      </c>
      <c r="K178" s="530" t="str">
        <f t="shared" si="35"/>
        <v/>
      </c>
      <c r="L178" s="530"/>
      <c r="M178" s="530"/>
      <c r="N178" s="530"/>
      <c r="O178" s="530"/>
      <c r="P178" s="574"/>
      <c r="Q178" s="558" t="str">
        <f t="shared" si="33"/>
        <v/>
      </c>
      <c r="R178" s="559" t="str">
        <f t="shared" si="34"/>
        <v/>
      </c>
    </row>
    <row r="179" spans="3:18" x14ac:dyDescent="0.2">
      <c r="C179" s="549" t="str">
        <f t="shared" si="26"/>
        <v/>
      </c>
      <c r="D179" s="576" t="str">
        <f>IF(C179="","",WORKDAY.INTL(DATE(YEAR(D178),MONTH(D178)+1,4)-1,1,1,Inhábil[Fecha]))</f>
        <v/>
      </c>
      <c r="E179" s="555" t="str">
        <f t="shared" si="27"/>
        <v/>
      </c>
      <c r="F179" s="556" t="str">
        <f t="shared" si="29"/>
        <v/>
      </c>
      <c r="G179" s="556" t="str">
        <f t="shared" si="30"/>
        <v/>
      </c>
      <c r="H179" s="554" t="str">
        <f t="shared" si="31"/>
        <v/>
      </c>
      <c r="I179" s="554" t="str">
        <f t="shared" si="32"/>
        <v/>
      </c>
      <c r="J179" s="557" t="str">
        <f t="shared" si="28"/>
        <v/>
      </c>
      <c r="K179" s="530" t="str">
        <f t="shared" si="35"/>
        <v/>
      </c>
      <c r="L179" s="530"/>
      <c r="M179" s="530"/>
      <c r="N179" s="530"/>
      <c r="O179" s="530"/>
      <c r="P179" s="574"/>
      <c r="Q179" s="558" t="str">
        <f t="shared" si="33"/>
        <v/>
      </c>
      <c r="R179" s="559" t="str">
        <f t="shared" si="34"/>
        <v/>
      </c>
    </row>
    <row r="180" spans="3:18" x14ac:dyDescent="0.2">
      <c r="C180" s="549" t="str">
        <f t="shared" si="26"/>
        <v/>
      </c>
      <c r="D180" s="576" t="str">
        <f>IF(C180="","",WORKDAY.INTL(DATE(YEAR(D179),MONTH(D179)+1,4)-1,1,1,Inhábil[Fecha]))</f>
        <v/>
      </c>
      <c r="E180" s="555" t="str">
        <f t="shared" si="27"/>
        <v/>
      </c>
      <c r="F180" s="556" t="str">
        <f t="shared" si="29"/>
        <v/>
      </c>
      <c r="G180" s="556" t="str">
        <f t="shared" si="30"/>
        <v/>
      </c>
      <c r="H180" s="554" t="str">
        <f t="shared" si="31"/>
        <v/>
      </c>
      <c r="I180" s="554" t="str">
        <f t="shared" si="32"/>
        <v/>
      </c>
      <c r="J180" s="557" t="str">
        <f t="shared" si="28"/>
        <v/>
      </c>
      <c r="K180" s="530" t="str">
        <f t="shared" si="35"/>
        <v/>
      </c>
      <c r="L180" s="530"/>
      <c r="M180" s="530"/>
      <c r="N180" s="530"/>
      <c r="O180" s="530"/>
      <c r="P180" s="574"/>
      <c r="Q180" s="558" t="str">
        <f t="shared" si="33"/>
        <v/>
      </c>
      <c r="R180" s="559" t="str">
        <f t="shared" si="34"/>
        <v/>
      </c>
    </row>
    <row r="181" spans="3:18" x14ac:dyDescent="0.2">
      <c r="C181" s="549" t="str">
        <f t="shared" si="26"/>
        <v/>
      </c>
      <c r="D181" s="576" t="str">
        <f>IF(C181="","",WORKDAY.INTL(DATE(YEAR(D180),MONTH(D180)+1,4)-1,1,1,Inhábil[Fecha]))</f>
        <v/>
      </c>
      <c r="E181" s="555" t="str">
        <f t="shared" si="27"/>
        <v/>
      </c>
      <c r="F181" s="556" t="str">
        <f t="shared" si="29"/>
        <v/>
      </c>
      <c r="G181" s="556" t="str">
        <f t="shared" si="30"/>
        <v/>
      </c>
      <c r="H181" s="554" t="str">
        <f t="shared" si="31"/>
        <v/>
      </c>
      <c r="I181" s="554" t="str">
        <f t="shared" si="32"/>
        <v/>
      </c>
      <c r="J181" s="557" t="str">
        <f t="shared" si="28"/>
        <v/>
      </c>
      <c r="K181" s="530" t="str">
        <f t="shared" si="35"/>
        <v/>
      </c>
      <c r="L181" s="530"/>
      <c r="M181" s="530"/>
      <c r="N181" s="530"/>
      <c r="O181" s="530"/>
      <c r="P181" s="574"/>
      <c r="Q181" s="558" t="str">
        <f t="shared" si="33"/>
        <v/>
      </c>
      <c r="R181" s="559" t="str">
        <f t="shared" si="34"/>
        <v/>
      </c>
    </row>
    <row r="182" spans="3:18" x14ac:dyDescent="0.2">
      <c r="C182" s="549" t="str">
        <f t="shared" si="26"/>
        <v/>
      </c>
      <c r="D182" s="576" t="str">
        <f>IF(C182="","",WORKDAY.INTL(DATE(YEAR(D181),MONTH(D181)+1,4)-1,1,1,Inhábil[Fecha]))</f>
        <v/>
      </c>
      <c r="E182" s="555" t="str">
        <f t="shared" si="27"/>
        <v/>
      </c>
      <c r="F182" s="556" t="str">
        <f t="shared" si="29"/>
        <v/>
      </c>
      <c r="G182" s="556" t="str">
        <f t="shared" si="30"/>
        <v/>
      </c>
      <c r="H182" s="554" t="str">
        <f t="shared" si="31"/>
        <v/>
      </c>
      <c r="I182" s="554" t="str">
        <f t="shared" si="32"/>
        <v/>
      </c>
      <c r="J182" s="557" t="str">
        <f t="shared" si="28"/>
        <v/>
      </c>
      <c r="K182" s="530" t="str">
        <f t="shared" si="35"/>
        <v/>
      </c>
      <c r="L182" s="530"/>
      <c r="M182" s="530"/>
      <c r="N182" s="530"/>
      <c r="O182" s="530"/>
      <c r="P182" s="574"/>
      <c r="Q182" s="558" t="str">
        <f t="shared" si="33"/>
        <v/>
      </c>
      <c r="R182" s="559" t="str">
        <f t="shared" si="34"/>
        <v/>
      </c>
    </row>
    <row r="183" spans="3:18" x14ac:dyDescent="0.2">
      <c r="C183" s="549" t="str">
        <f t="shared" si="26"/>
        <v/>
      </c>
      <c r="D183" s="576" t="str">
        <f>IF(C183="","",WORKDAY.INTL(DATE(YEAR(D182),MONTH(D182)+1,4)-1,1,1,Inhábil[Fecha]))</f>
        <v/>
      </c>
      <c r="E183" s="555" t="str">
        <f t="shared" si="27"/>
        <v/>
      </c>
      <c r="F183" s="556" t="str">
        <f t="shared" si="29"/>
        <v/>
      </c>
      <c r="G183" s="556" t="str">
        <f t="shared" si="30"/>
        <v/>
      </c>
      <c r="H183" s="554" t="str">
        <f t="shared" si="31"/>
        <v/>
      </c>
      <c r="I183" s="554" t="str">
        <f t="shared" si="32"/>
        <v/>
      </c>
      <c r="J183" s="557" t="str">
        <f t="shared" si="28"/>
        <v/>
      </c>
      <c r="K183" s="530" t="str">
        <f t="shared" si="35"/>
        <v/>
      </c>
      <c r="L183" s="530"/>
      <c r="M183" s="530"/>
      <c r="N183" s="530"/>
      <c r="O183" s="530"/>
      <c r="P183" s="574"/>
      <c r="Q183" s="558" t="str">
        <f t="shared" si="33"/>
        <v/>
      </c>
      <c r="R183" s="559" t="str">
        <f t="shared" si="34"/>
        <v/>
      </c>
    </row>
    <row r="184" spans="3:18" x14ac:dyDescent="0.2">
      <c r="C184" s="549" t="str">
        <f t="shared" si="26"/>
        <v/>
      </c>
      <c r="D184" s="576" t="str">
        <f>IF(C184="","",WORKDAY.INTL(DATE(YEAR(D183),MONTH(D183)+1,4)-1,1,1,Inhábil[Fecha]))</f>
        <v/>
      </c>
      <c r="E184" s="555" t="str">
        <f t="shared" si="27"/>
        <v/>
      </c>
      <c r="F184" s="556" t="str">
        <f t="shared" si="29"/>
        <v/>
      </c>
      <c r="G184" s="556" t="str">
        <f t="shared" si="30"/>
        <v/>
      </c>
      <c r="H184" s="554" t="str">
        <f t="shared" si="31"/>
        <v/>
      </c>
      <c r="I184" s="554" t="str">
        <f t="shared" si="32"/>
        <v/>
      </c>
      <c r="J184" s="557" t="str">
        <f t="shared" si="28"/>
        <v/>
      </c>
      <c r="K184" s="530" t="str">
        <f t="shared" si="35"/>
        <v/>
      </c>
      <c r="L184" s="530"/>
      <c r="M184" s="530"/>
      <c r="N184" s="530"/>
      <c r="O184" s="530"/>
      <c r="P184" s="574"/>
      <c r="Q184" s="558" t="str">
        <f t="shared" si="33"/>
        <v/>
      </c>
      <c r="R184" s="559" t="str">
        <f t="shared" si="34"/>
        <v/>
      </c>
    </row>
    <row r="185" spans="3:18" x14ac:dyDescent="0.2">
      <c r="C185" s="549" t="str">
        <f t="shared" si="26"/>
        <v/>
      </c>
      <c r="D185" s="576" t="str">
        <f>IF(C185="","",WORKDAY.INTL(DATE(YEAR(D184),MONTH(D184)+1,4)-1,1,1,Inhábil[Fecha]))</f>
        <v/>
      </c>
      <c r="E185" s="555" t="str">
        <f t="shared" si="27"/>
        <v/>
      </c>
      <c r="F185" s="556" t="str">
        <f t="shared" si="29"/>
        <v/>
      </c>
      <c r="G185" s="556" t="str">
        <f t="shared" si="30"/>
        <v/>
      </c>
      <c r="H185" s="554" t="str">
        <f t="shared" si="31"/>
        <v/>
      </c>
      <c r="I185" s="554" t="str">
        <f t="shared" si="32"/>
        <v/>
      </c>
      <c r="J185" s="557" t="str">
        <f t="shared" si="28"/>
        <v/>
      </c>
      <c r="K185" s="530" t="str">
        <f t="shared" si="35"/>
        <v/>
      </c>
      <c r="L185" s="530"/>
      <c r="M185" s="530"/>
      <c r="N185" s="530"/>
      <c r="O185" s="530"/>
      <c r="P185" s="574"/>
      <c r="Q185" s="558" t="str">
        <f t="shared" si="33"/>
        <v/>
      </c>
      <c r="R185" s="559" t="str">
        <f t="shared" si="34"/>
        <v/>
      </c>
    </row>
    <row r="186" spans="3:18" x14ac:dyDescent="0.2">
      <c r="C186" s="549" t="str">
        <f t="shared" si="26"/>
        <v/>
      </c>
      <c r="D186" s="576" t="str">
        <f>IF(C186="","",WORKDAY.INTL(DATE(YEAR(D185),MONTH(D185)+1,4)-1,1,1,Inhábil[Fecha]))</f>
        <v/>
      </c>
      <c r="E186" s="555" t="str">
        <f t="shared" si="27"/>
        <v/>
      </c>
      <c r="F186" s="556" t="str">
        <f t="shared" si="29"/>
        <v/>
      </c>
      <c r="G186" s="556" t="str">
        <f t="shared" si="30"/>
        <v/>
      </c>
      <c r="H186" s="554" t="str">
        <f t="shared" si="31"/>
        <v/>
      </c>
      <c r="I186" s="554" t="str">
        <f t="shared" si="32"/>
        <v/>
      </c>
      <c r="J186" s="557" t="str">
        <f t="shared" si="28"/>
        <v/>
      </c>
      <c r="K186" s="530" t="str">
        <f t="shared" si="35"/>
        <v/>
      </c>
      <c r="L186" s="530"/>
      <c r="M186" s="530"/>
      <c r="N186" s="530"/>
      <c r="O186" s="530"/>
      <c r="P186" s="574"/>
      <c r="Q186" s="558" t="str">
        <f t="shared" si="33"/>
        <v/>
      </c>
      <c r="R186" s="559" t="str">
        <f t="shared" si="34"/>
        <v/>
      </c>
    </row>
    <row r="187" spans="3:18" x14ac:dyDescent="0.2">
      <c r="C187" s="549" t="str">
        <f t="shared" si="26"/>
        <v/>
      </c>
      <c r="D187" s="576" t="str">
        <f>IF(C187="","",WORKDAY.INTL(DATE(YEAR(D186),MONTH(D186)+1,4)-1,1,1,Inhábil[Fecha]))</f>
        <v/>
      </c>
      <c r="E187" s="555" t="str">
        <f t="shared" si="27"/>
        <v/>
      </c>
      <c r="F187" s="556" t="str">
        <f t="shared" si="29"/>
        <v/>
      </c>
      <c r="G187" s="556" t="str">
        <f t="shared" si="30"/>
        <v/>
      </c>
      <c r="H187" s="554" t="str">
        <f t="shared" si="31"/>
        <v/>
      </c>
      <c r="I187" s="554" t="str">
        <f t="shared" si="32"/>
        <v/>
      </c>
      <c r="J187" s="557" t="str">
        <f t="shared" si="28"/>
        <v/>
      </c>
      <c r="K187" s="530" t="str">
        <f t="shared" si="35"/>
        <v/>
      </c>
      <c r="L187" s="530"/>
      <c r="M187" s="530"/>
      <c r="N187" s="530"/>
      <c r="O187" s="530"/>
      <c r="P187" s="574"/>
      <c r="Q187" s="558" t="str">
        <f t="shared" si="33"/>
        <v/>
      </c>
      <c r="R187" s="559" t="str">
        <f t="shared" si="34"/>
        <v/>
      </c>
    </row>
    <row r="188" spans="3:18" x14ac:dyDescent="0.2">
      <c r="C188" s="549" t="str">
        <f t="shared" si="26"/>
        <v/>
      </c>
      <c r="D188" s="576" t="str">
        <f>IF(C188="","",WORKDAY.INTL(DATE(YEAR(D187),MONTH(D187)+1,4)-1,1,1,Inhábil[Fecha]))</f>
        <v/>
      </c>
      <c r="E188" s="555" t="str">
        <f t="shared" si="27"/>
        <v/>
      </c>
      <c r="F188" s="556" t="str">
        <f t="shared" si="29"/>
        <v/>
      </c>
      <c r="G188" s="556" t="str">
        <f t="shared" si="30"/>
        <v/>
      </c>
      <c r="H188" s="554" t="str">
        <f t="shared" si="31"/>
        <v/>
      </c>
      <c r="I188" s="554" t="str">
        <f t="shared" si="32"/>
        <v/>
      </c>
      <c r="J188" s="557" t="str">
        <f t="shared" si="28"/>
        <v/>
      </c>
      <c r="K188" s="530" t="str">
        <f t="shared" si="35"/>
        <v/>
      </c>
      <c r="L188" s="530"/>
      <c r="M188" s="530"/>
      <c r="N188" s="530"/>
      <c r="O188" s="530"/>
      <c r="P188" s="574"/>
      <c r="Q188" s="558" t="str">
        <f t="shared" si="33"/>
        <v/>
      </c>
      <c r="R188" s="559" t="str">
        <f t="shared" si="34"/>
        <v/>
      </c>
    </row>
    <row r="189" spans="3:18" x14ac:dyDescent="0.2">
      <c r="C189" s="549" t="str">
        <f t="shared" si="26"/>
        <v/>
      </c>
      <c r="D189" s="576" t="str">
        <f>IF(C189="","",WORKDAY.INTL(DATE(YEAR(D188),MONTH(D188)+1,4)-1,1,1,Inhábil[Fecha]))</f>
        <v/>
      </c>
      <c r="E189" s="555" t="str">
        <f t="shared" si="27"/>
        <v/>
      </c>
      <c r="F189" s="556" t="str">
        <f t="shared" si="29"/>
        <v/>
      </c>
      <c r="G189" s="556" t="str">
        <f t="shared" si="30"/>
        <v/>
      </c>
      <c r="H189" s="554" t="str">
        <f t="shared" si="31"/>
        <v/>
      </c>
      <c r="I189" s="554" t="str">
        <f t="shared" si="32"/>
        <v/>
      </c>
      <c r="J189" s="557" t="str">
        <f t="shared" si="28"/>
        <v/>
      </c>
      <c r="K189" s="530" t="str">
        <f t="shared" si="35"/>
        <v/>
      </c>
      <c r="L189" s="530"/>
      <c r="M189" s="530"/>
      <c r="N189" s="530"/>
      <c r="O189" s="530"/>
      <c r="P189" s="574"/>
      <c r="Q189" s="558" t="str">
        <f t="shared" si="33"/>
        <v/>
      </c>
      <c r="R189" s="559" t="str">
        <f t="shared" si="34"/>
        <v/>
      </c>
    </row>
    <row r="190" spans="3:18" x14ac:dyDescent="0.2">
      <c r="C190" s="549" t="str">
        <f t="shared" si="26"/>
        <v/>
      </c>
      <c r="D190" s="576" t="str">
        <f>IF(C190="","",WORKDAY.INTL(DATE(YEAR(D189),MONTH(D189)+1,4)-1,1,1,Inhábil[Fecha]))</f>
        <v/>
      </c>
      <c r="E190" s="555" t="str">
        <f t="shared" si="27"/>
        <v/>
      </c>
      <c r="F190" s="556" t="str">
        <f t="shared" si="29"/>
        <v/>
      </c>
      <c r="G190" s="556" t="str">
        <f t="shared" si="30"/>
        <v/>
      </c>
      <c r="H190" s="554" t="str">
        <f t="shared" si="31"/>
        <v/>
      </c>
      <c r="I190" s="554" t="str">
        <f t="shared" si="32"/>
        <v/>
      </c>
      <c r="J190" s="557" t="str">
        <f t="shared" si="28"/>
        <v/>
      </c>
      <c r="K190" s="530" t="str">
        <f t="shared" si="35"/>
        <v/>
      </c>
      <c r="L190" s="530"/>
      <c r="M190" s="530"/>
      <c r="N190" s="530"/>
      <c r="O190" s="530"/>
      <c r="P190" s="574"/>
      <c r="Q190" s="558" t="str">
        <f t="shared" si="33"/>
        <v/>
      </c>
      <c r="R190" s="559" t="str">
        <f t="shared" si="34"/>
        <v/>
      </c>
    </row>
    <row r="191" spans="3:18" x14ac:dyDescent="0.2">
      <c r="C191" s="549" t="str">
        <f t="shared" si="26"/>
        <v/>
      </c>
      <c r="D191" s="576" t="str">
        <f>IF(C191="","",WORKDAY.INTL(DATE(YEAR(D190),MONTH(D190)+1,4)-1,1,1,Inhábil[Fecha]))</f>
        <v/>
      </c>
      <c r="E191" s="555" t="str">
        <f t="shared" si="27"/>
        <v/>
      </c>
      <c r="F191" s="556" t="str">
        <f t="shared" si="29"/>
        <v/>
      </c>
      <c r="G191" s="556" t="str">
        <f t="shared" si="30"/>
        <v/>
      </c>
      <c r="H191" s="554" t="str">
        <f t="shared" si="31"/>
        <v/>
      </c>
      <c r="I191" s="554" t="str">
        <f t="shared" si="32"/>
        <v/>
      </c>
      <c r="J191" s="557" t="str">
        <f t="shared" si="28"/>
        <v/>
      </c>
      <c r="K191" s="530" t="str">
        <f t="shared" si="35"/>
        <v/>
      </c>
      <c r="L191" s="530"/>
      <c r="M191" s="530"/>
      <c r="N191" s="530"/>
      <c r="O191" s="530"/>
      <c r="P191" s="574"/>
      <c r="Q191" s="558" t="str">
        <f t="shared" si="33"/>
        <v/>
      </c>
      <c r="R191" s="559" t="str">
        <f t="shared" si="34"/>
        <v/>
      </c>
    </row>
    <row r="192" spans="3:18" x14ac:dyDescent="0.2">
      <c r="C192" s="549" t="str">
        <f t="shared" si="26"/>
        <v/>
      </c>
      <c r="D192" s="576" t="str">
        <f>IF(C192="","",WORKDAY.INTL(DATE(YEAR(D191),MONTH(D191)+1,4)-1,1,1,Inhábil[Fecha]))</f>
        <v/>
      </c>
      <c r="E192" s="555" t="str">
        <f t="shared" si="27"/>
        <v/>
      </c>
      <c r="F192" s="556" t="str">
        <f t="shared" si="29"/>
        <v/>
      </c>
      <c r="G192" s="556" t="str">
        <f t="shared" si="30"/>
        <v/>
      </c>
      <c r="H192" s="554" t="str">
        <f t="shared" si="31"/>
        <v/>
      </c>
      <c r="I192" s="554" t="str">
        <f t="shared" si="32"/>
        <v/>
      </c>
      <c r="J192" s="557" t="str">
        <f t="shared" si="28"/>
        <v/>
      </c>
      <c r="K192" s="530" t="str">
        <f t="shared" si="35"/>
        <v/>
      </c>
      <c r="L192" s="530"/>
      <c r="M192" s="530"/>
      <c r="N192" s="530"/>
      <c r="O192" s="530"/>
      <c r="P192" s="574"/>
      <c r="Q192" s="558" t="str">
        <f t="shared" si="33"/>
        <v/>
      </c>
      <c r="R192" s="559" t="str">
        <f t="shared" si="34"/>
        <v/>
      </c>
    </row>
    <row r="193" spans="3:18" x14ac:dyDescent="0.2">
      <c r="C193" s="549" t="str">
        <f t="shared" si="26"/>
        <v/>
      </c>
      <c r="D193" s="576" t="str">
        <f>IF(C193="","",WORKDAY.INTL(DATE(YEAR(D192),MONTH(D192)+1,4)-1,1,1,Inhábil[Fecha]))</f>
        <v/>
      </c>
      <c r="E193" s="555" t="str">
        <f t="shared" si="27"/>
        <v/>
      </c>
      <c r="F193" s="556" t="str">
        <f t="shared" si="29"/>
        <v/>
      </c>
      <c r="G193" s="556" t="str">
        <f t="shared" si="30"/>
        <v/>
      </c>
      <c r="H193" s="554" t="str">
        <f t="shared" si="31"/>
        <v/>
      </c>
      <c r="I193" s="554" t="str">
        <f t="shared" si="32"/>
        <v/>
      </c>
      <c r="J193" s="557" t="str">
        <f t="shared" si="28"/>
        <v/>
      </c>
      <c r="K193" s="530" t="str">
        <f t="shared" si="35"/>
        <v/>
      </c>
      <c r="L193" s="530"/>
      <c r="M193" s="530"/>
      <c r="N193" s="530"/>
      <c r="O193" s="530"/>
      <c r="P193" s="574"/>
      <c r="Q193" s="558" t="str">
        <f t="shared" si="33"/>
        <v/>
      </c>
      <c r="R193" s="559" t="str">
        <f t="shared" si="34"/>
        <v/>
      </c>
    </row>
    <row r="194" spans="3:18" x14ac:dyDescent="0.2">
      <c r="C194" s="549" t="str">
        <f t="shared" ref="C194:C212" si="36">IF(OR(C193="",Q193&lt;=0),"",IF(Q193&gt;0,C193+1,""))</f>
        <v/>
      </c>
      <c r="D194" s="576" t="str">
        <f>IF(C194="","",WORKDAY.INTL(DATE(YEAR(D193),MONTH(D193)+1,4)-1,1,1,Inhábil[Fecha]))</f>
        <v/>
      </c>
      <c r="E194" s="555" t="str">
        <f t="shared" ref="E194:E212" si="37">IF(Q193&lt;=0,"",Q193)</f>
        <v/>
      </c>
      <c r="F194" s="556" t="str">
        <f t="shared" si="29"/>
        <v/>
      </c>
      <c r="G194" s="556" t="str">
        <f t="shared" si="30"/>
        <v/>
      </c>
      <c r="H194" s="554" t="str">
        <f t="shared" si="31"/>
        <v/>
      </c>
      <c r="I194" s="554" t="str">
        <f t="shared" si="32"/>
        <v/>
      </c>
      <c r="J194" s="557" t="str">
        <f t="shared" ref="J194:J212" si="38">IF(C194="","",ROUND(R$21*Q193/1000,2))</f>
        <v/>
      </c>
      <c r="K194" s="530" t="str">
        <f t="shared" si="35"/>
        <v/>
      </c>
      <c r="L194" s="530"/>
      <c r="M194" s="530"/>
      <c r="N194" s="530"/>
      <c r="O194" s="530"/>
      <c r="P194" s="574"/>
      <c r="Q194" s="558" t="str">
        <f t="shared" si="33"/>
        <v/>
      </c>
      <c r="R194" s="559" t="str">
        <f t="shared" si="34"/>
        <v/>
      </c>
    </row>
    <row r="195" spans="3:18" x14ac:dyDescent="0.2">
      <c r="C195" s="549" t="str">
        <f t="shared" si="36"/>
        <v/>
      </c>
      <c r="D195" s="576" t="str">
        <f>IF(C195="","",WORKDAY.INTL(DATE(YEAR(D194),MONTH(D194)+1,4)-1,1,1,Inhábil[Fecha]))</f>
        <v/>
      </c>
      <c r="E195" s="555" t="str">
        <f t="shared" si="37"/>
        <v/>
      </c>
      <c r="F195" s="556" t="str">
        <f t="shared" si="29"/>
        <v/>
      </c>
      <c r="G195" s="556" t="str">
        <f t="shared" si="30"/>
        <v/>
      </c>
      <c r="H195" s="554" t="str">
        <f t="shared" si="31"/>
        <v/>
      </c>
      <c r="I195" s="554" t="str">
        <f t="shared" si="32"/>
        <v/>
      </c>
      <c r="J195" s="557" t="str">
        <f t="shared" si="38"/>
        <v/>
      </c>
      <c r="K195" s="530" t="str">
        <f t="shared" si="35"/>
        <v/>
      </c>
      <c r="L195" s="530"/>
      <c r="M195" s="530"/>
      <c r="N195" s="530"/>
      <c r="O195" s="530"/>
      <c r="P195" s="574"/>
      <c r="Q195" s="558" t="str">
        <f t="shared" si="33"/>
        <v/>
      </c>
      <c r="R195" s="559" t="str">
        <f t="shared" si="34"/>
        <v/>
      </c>
    </row>
    <row r="196" spans="3:18" x14ac:dyDescent="0.2">
      <c r="C196" s="549" t="str">
        <f t="shared" si="36"/>
        <v/>
      </c>
      <c r="D196" s="576" t="str">
        <f>IF(C196="","",WORKDAY.INTL(DATE(YEAR(D195),MONTH(D195)+1,4)-1,1,1,Inhábil[Fecha]))</f>
        <v/>
      </c>
      <c r="E196" s="555" t="str">
        <f t="shared" si="37"/>
        <v/>
      </c>
      <c r="F196" s="556" t="str">
        <f t="shared" si="29"/>
        <v/>
      </c>
      <c r="G196" s="556" t="str">
        <f t="shared" si="30"/>
        <v/>
      </c>
      <c r="H196" s="554" t="str">
        <f t="shared" si="31"/>
        <v/>
      </c>
      <c r="I196" s="554" t="str">
        <f t="shared" si="32"/>
        <v/>
      </c>
      <c r="J196" s="557" t="str">
        <f t="shared" si="38"/>
        <v/>
      </c>
      <c r="K196" s="530" t="str">
        <f t="shared" si="35"/>
        <v/>
      </c>
      <c r="L196" s="530"/>
      <c r="M196" s="530"/>
      <c r="N196" s="530"/>
      <c r="O196" s="530"/>
      <c r="P196" s="574"/>
      <c r="Q196" s="558" t="str">
        <f t="shared" si="33"/>
        <v/>
      </c>
      <c r="R196" s="559" t="str">
        <f t="shared" si="34"/>
        <v/>
      </c>
    </row>
    <row r="197" spans="3:18" x14ac:dyDescent="0.2">
      <c r="C197" s="549" t="str">
        <f t="shared" si="36"/>
        <v/>
      </c>
      <c r="D197" s="576" t="str">
        <f>IF(C197="","",WORKDAY.INTL(DATE(YEAR(D196),MONTH(D196)+1,4)-1,1,1,Inhábil[Fecha]))</f>
        <v/>
      </c>
      <c r="E197" s="555" t="str">
        <f t="shared" si="37"/>
        <v/>
      </c>
      <c r="F197" s="556" t="str">
        <f t="shared" si="29"/>
        <v/>
      </c>
      <c r="G197" s="556" t="str">
        <f t="shared" si="30"/>
        <v/>
      </c>
      <c r="H197" s="554" t="str">
        <f t="shared" si="31"/>
        <v/>
      </c>
      <c r="I197" s="554" t="str">
        <f t="shared" si="32"/>
        <v/>
      </c>
      <c r="J197" s="557" t="str">
        <f t="shared" si="38"/>
        <v/>
      </c>
      <c r="K197" s="530" t="str">
        <f t="shared" si="35"/>
        <v/>
      </c>
      <c r="L197" s="530"/>
      <c r="M197" s="530"/>
      <c r="N197" s="530"/>
      <c r="O197" s="530"/>
      <c r="P197" s="574"/>
      <c r="Q197" s="558" t="str">
        <f t="shared" si="33"/>
        <v/>
      </c>
      <c r="R197" s="559" t="str">
        <f t="shared" si="34"/>
        <v/>
      </c>
    </row>
    <row r="198" spans="3:18" x14ac:dyDescent="0.2">
      <c r="C198" s="549" t="str">
        <f t="shared" si="36"/>
        <v/>
      </c>
      <c r="D198" s="576" t="str">
        <f>IF(C198="","",WORKDAY.INTL(DATE(YEAR(D197),MONTH(D197)+1,4)-1,1,1,Inhábil[Fecha]))</f>
        <v/>
      </c>
      <c r="E198" s="555" t="str">
        <f t="shared" si="37"/>
        <v/>
      </c>
      <c r="F198" s="556" t="str">
        <f t="shared" si="29"/>
        <v/>
      </c>
      <c r="G198" s="556" t="str">
        <f t="shared" si="30"/>
        <v/>
      </c>
      <c r="H198" s="554" t="str">
        <f t="shared" si="31"/>
        <v/>
      </c>
      <c r="I198" s="554" t="str">
        <f t="shared" si="32"/>
        <v/>
      </c>
      <c r="J198" s="557" t="str">
        <f t="shared" si="38"/>
        <v/>
      </c>
      <c r="K198" s="530" t="str">
        <f t="shared" si="35"/>
        <v/>
      </c>
      <c r="L198" s="530"/>
      <c r="M198" s="530"/>
      <c r="N198" s="530"/>
      <c r="O198" s="530"/>
      <c r="P198" s="574"/>
      <c r="Q198" s="558" t="str">
        <f t="shared" si="33"/>
        <v/>
      </c>
      <c r="R198" s="559" t="str">
        <f t="shared" si="34"/>
        <v/>
      </c>
    </row>
    <row r="199" spans="3:18" x14ac:dyDescent="0.2">
      <c r="C199" s="549" t="str">
        <f t="shared" si="36"/>
        <v/>
      </c>
      <c r="D199" s="576" t="str">
        <f>IF(C199="","",WORKDAY.INTL(DATE(YEAR(D198),MONTH(D198)+1,4)-1,1,1,Inhábil[Fecha]))</f>
        <v/>
      </c>
      <c r="E199" s="555" t="str">
        <f t="shared" si="37"/>
        <v/>
      </c>
      <c r="F199" s="556" t="str">
        <f t="shared" si="29"/>
        <v/>
      </c>
      <c r="G199" s="556" t="str">
        <f t="shared" si="30"/>
        <v/>
      </c>
      <c r="H199" s="554" t="str">
        <f t="shared" si="31"/>
        <v/>
      </c>
      <c r="I199" s="554" t="str">
        <f t="shared" si="32"/>
        <v/>
      </c>
      <c r="J199" s="557" t="str">
        <f t="shared" si="38"/>
        <v/>
      </c>
      <c r="K199" s="530" t="str">
        <f t="shared" si="35"/>
        <v/>
      </c>
      <c r="L199" s="530"/>
      <c r="M199" s="530"/>
      <c r="N199" s="530"/>
      <c r="O199" s="530"/>
      <c r="P199" s="574"/>
      <c r="Q199" s="558" t="str">
        <f t="shared" si="33"/>
        <v/>
      </c>
      <c r="R199" s="559" t="str">
        <f t="shared" si="34"/>
        <v/>
      </c>
    </row>
    <row r="200" spans="3:18" x14ac:dyDescent="0.2">
      <c r="C200" s="549" t="str">
        <f t="shared" si="36"/>
        <v/>
      </c>
      <c r="D200" s="576" t="str">
        <f>IF(C200="","",WORKDAY.INTL(DATE(YEAR(D199),MONTH(D199)+1,4)-1,1,1,Inhábil[Fecha]))</f>
        <v/>
      </c>
      <c r="E200" s="555" t="str">
        <f t="shared" si="37"/>
        <v/>
      </c>
      <c r="F200" s="556" t="str">
        <f t="shared" si="29"/>
        <v/>
      </c>
      <c r="G200" s="556" t="str">
        <f t="shared" si="30"/>
        <v/>
      </c>
      <c r="H200" s="554" t="str">
        <f t="shared" si="31"/>
        <v/>
      </c>
      <c r="I200" s="554" t="str">
        <f t="shared" si="32"/>
        <v/>
      </c>
      <c r="J200" s="557" t="str">
        <f t="shared" si="38"/>
        <v/>
      </c>
      <c r="K200" s="530" t="str">
        <f t="shared" si="35"/>
        <v/>
      </c>
      <c r="L200" s="530"/>
      <c r="M200" s="530"/>
      <c r="N200" s="530"/>
      <c r="O200" s="530"/>
      <c r="P200" s="574"/>
      <c r="Q200" s="558" t="str">
        <f t="shared" si="33"/>
        <v/>
      </c>
      <c r="R200" s="559" t="str">
        <f t="shared" si="34"/>
        <v/>
      </c>
    </row>
    <row r="201" spans="3:18" x14ac:dyDescent="0.2">
      <c r="C201" s="549" t="str">
        <f t="shared" si="36"/>
        <v/>
      </c>
      <c r="D201" s="576" t="str">
        <f>IF(C201="","",WORKDAY.INTL(DATE(YEAR(D200),MONTH(D200)+1,4)-1,1,1,Inhábil[Fecha]))</f>
        <v/>
      </c>
      <c r="E201" s="555" t="str">
        <f t="shared" si="37"/>
        <v/>
      </c>
      <c r="F201" s="556" t="str">
        <f t="shared" si="29"/>
        <v/>
      </c>
      <c r="G201" s="556" t="str">
        <f t="shared" si="30"/>
        <v/>
      </c>
      <c r="H201" s="554" t="str">
        <f t="shared" si="31"/>
        <v/>
      </c>
      <c r="I201" s="554" t="str">
        <f t="shared" si="32"/>
        <v/>
      </c>
      <c r="J201" s="557" t="str">
        <f t="shared" si="38"/>
        <v/>
      </c>
      <c r="K201" s="530" t="str">
        <f t="shared" si="35"/>
        <v/>
      </c>
      <c r="L201" s="530"/>
      <c r="M201" s="530"/>
      <c r="N201" s="530"/>
      <c r="O201" s="530"/>
      <c r="P201" s="574"/>
      <c r="Q201" s="558" t="str">
        <f t="shared" si="33"/>
        <v/>
      </c>
      <c r="R201" s="559" t="str">
        <f t="shared" si="34"/>
        <v/>
      </c>
    </row>
    <row r="202" spans="3:18" x14ac:dyDescent="0.2">
      <c r="C202" s="549" t="str">
        <f t="shared" si="36"/>
        <v/>
      </c>
      <c r="D202" s="576" t="str">
        <f>IF(C202="","",WORKDAY.INTL(DATE(YEAR(D201),MONTH(D201)+1,4)-1,1,1,Inhábil[Fecha]))</f>
        <v/>
      </c>
      <c r="E202" s="555" t="str">
        <f t="shared" si="37"/>
        <v/>
      </c>
      <c r="F202" s="556" t="str">
        <f t="shared" si="29"/>
        <v/>
      </c>
      <c r="G202" s="556" t="str">
        <f t="shared" si="30"/>
        <v/>
      </c>
      <c r="H202" s="554" t="str">
        <f t="shared" si="31"/>
        <v/>
      </c>
      <c r="I202" s="554" t="str">
        <f t="shared" si="32"/>
        <v/>
      </c>
      <c r="J202" s="557" t="str">
        <f t="shared" si="38"/>
        <v/>
      </c>
      <c r="K202" s="530" t="str">
        <f t="shared" si="35"/>
        <v/>
      </c>
      <c r="L202" s="530"/>
      <c r="M202" s="530"/>
      <c r="N202" s="530"/>
      <c r="O202" s="530"/>
      <c r="P202" s="574"/>
      <c r="Q202" s="558" t="str">
        <f t="shared" si="33"/>
        <v/>
      </c>
      <c r="R202" s="559" t="str">
        <f t="shared" si="34"/>
        <v/>
      </c>
    </row>
    <row r="203" spans="3:18" x14ac:dyDescent="0.2">
      <c r="C203" s="549" t="str">
        <f t="shared" si="36"/>
        <v/>
      </c>
      <c r="D203" s="576" t="str">
        <f>IF(C203="","",WORKDAY.INTL(DATE(YEAR(D202),MONTH(D202)+1,4)-1,1,1,Inhábil[Fecha]))</f>
        <v/>
      </c>
      <c r="E203" s="555" t="str">
        <f t="shared" si="37"/>
        <v/>
      </c>
      <c r="F203" s="556" t="str">
        <f t="shared" si="29"/>
        <v/>
      </c>
      <c r="G203" s="556" t="str">
        <f t="shared" si="30"/>
        <v/>
      </c>
      <c r="H203" s="554" t="str">
        <f t="shared" si="31"/>
        <v/>
      </c>
      <c r="I203" s="554" t="str">
        <f t="shared" si="32"/>
        <v/>
      </c>
      <c r="J203" s="557" t="str">
        <f t="shared" si="38"/>
        <v/>
      </c>
      <c r="K203" s="530" t="str">
        <f t="shared" si="35"/>
        <v/>
      </c>
      <c r="L203" s="530"/>
      <c r="M203" s="530"/>
      <c r="N203" s="530"/>
      <c r="O203" s="530"/>
      <c r="P203" s="574"/>
      <c r="Q203" s="558" t="str">
        <f t="shared" si="33"/>
        <v/>
      </c>
      <c r="R203" s="559" t="str">
        <f t="shared" si="34"/>
        <v/>
      </c>
    </row>
    <row r="204" spans="3:18" x14ac:dyDescent="0.2">
      <c r="C204" s="549" t="str">
        <f t="shared" si="36"/>
        <v/>
      </c>
      <c r="D204" s="576" t="str">
        <f>IF(C204="","",WORKDAY.INTL(DATE(YEAR(D203),MONTH(D203)+1,4)-1,1,1,Inhábil[Fecha]))</f>
        <v/>
      </c>
      <c r="E204" s="555" t="str">
        <f t="shared" si="37"/>
        <v/>
      </c>
      <c r="F204" s="556" t="str">
        <f t="shared" si="29"/>
        <v/>
      </c>
      <c r="G204" s="556" t="str">
        <f t="shared" si="30"/>
        <v/>
      </c>
      <c r="H204" s="554" t="str">
        <f t="shared" si="31"/>
        <v/>
      </c>
      <c r="I204" s="554" t="str">
        <f t="shared" si="32"/>
        <v/>
      </c>
      <c r="J204" s="557" t="str">
        <f t="shared" si="38"/>
        <v/>
      </c>
      <c r="K204" s="530" t="str">
        <f t="shared" si="35"/>
        <v/>
      </c>
      <c r="L204" s="530"/>
      <c r="M204" s="530"/>
      <c r="N204" s="530"/>
      <c r="O204" s="530"/>
      <c r="P204" s="574"/>
      <c r="Q204" s="558" t="str">
        <f t="shared" si="33"/>
        <v/>
      </c>
      <c r="R204" s="559" t="str">
        <f t="shared" si="34"/>
        <v/>
      </c>
    </row>
    <row r="205" spans="3:18" x14ac:dyDescent="0.2">
      <c r="C205" s="549" t="str">
        <f t="shared" si="36"/>
        <v/>
      </c>
      <c r="D205" s="576" t="str">
        <f>IF(C205="","",WORKDAY.INTL(DATE(YEAR(D204),MONTH(D204)+1,4)-1,1,1,Inhábil[Fecha]))</f>
        <v/>
      </c>
      <c r="E205" s="555" t="str">
        <f t="shared" si="37"/>
        <v/>
      </c>
      <c r="F205" s="556" t="str">
        <f t="shared" si="29"/>
        <v/>
      </c>
      <c r="G205" s="556" t="str">
        <f t="shared" si="30"/>
        <v/>
      </c>
      <c r="H205" s="554" t="str">
        <f t="shared" si="31"/>
        <v/>
      </c>
      <c r="I205" s="554" t="str">
        <f t="shared" si="32"/>
        <v/>
      </c>
      <c r="J205" s="557" t="str">
        <f t="shared" si="38"/>
        <v/>
      </c>
      <c r="K205" s="530" t="str">
        <f t="shared" si="35"/>
        <v/>
      </c>
      <c r="L205" s="530"/>
      <c r="M205" s="530"/>
      <c r="N205" s="530"/>
      <c r="O205" s="530"/>
      <c r="P205" s="574"/>
      <c r="Q205" s="558" t="str">
        <f t="shared" si="33"/>
        <v/>
      </c>
      <c r="R205" s="559" t="str">
        <f t="shared" si="34"/>
        <v/>
      </c>
    </row>
    <row r="206" spans="3:18" x14ac:dyDescent="0.2">
      <c r="C206" s="549" t="str">
        <f t="shared" si="36"/>
        <v/>
      </c>
      <c r="D206" s="576" t="str">
        <f>IF(C206="","",WORKDAY.INTL(DATE(YEAR(D205),MONTH(D205)+1,4)-1,1,1,Inhábil[Fecha]))</f>
        <v/>
      </c>
      <c r="E206" s="555" t="str">
        <f t="shared" si="37"/>
        <v/>
      </c>
      <c r="F206" s="556" t="str">
        <f t="shared" si="29"/>
        <v/>
      </c>
      <c r="G206" s="556" t="str">
        <f t="shared" si="30"/>
        <v/>
      </c>
      <c r="H206" s="554" t="str">
        <f t="shared" si="31"/>
        <v/>
      </c>
      <c r="I206" s="554" t="str">
        <f t="shared" si="32"/>
        <v/>
      </c>
      <c r="J206" s="557" t="str">
        <f t="shared" si="38"/>
        <v/>
      </c>
      <c r="K206" s="530" t="str">
        <f t="shared" si="35"/>
        <v/>
      </c>
      <c r="L206" s="530"/>
      <c r="M206" s="530"/>
      <c r="N206" s="530"/>
      <c r="O206" s="530"/>
      <c r="P206" s="574"/>
      <c r="Q206" s="558" t="str">
        <f t="shared" si="33"/>
        <v/>
      </c>
      <c r="R206" s="559" t="str">
        <f t="shared" si="34"/>
        <v/>
      </c>
    </row>
    <row r="207" spans="3:18" x14ac:dyDescent="0.2">
      <c r="C207" s="549" t="str">
        <f t="shared" si="36"/>
        <v/>
      </c>
      <c r="D207" s="576" t="str">
        <f>IF(C207="","",WORKDAY.INTL(DATE(YEAR(D206),MONTH(D206)+1,4)-1,1,1,Inhábil[Fecha]))</f>
        <v/>
      </c>
      <c r="E207" s="555" t="str">
        <f t="shared" si="37"/>
        <v/>
      </c>
      <c r="F207" s="556" t="str">
        <f t="shared" si="29"/>
        <v/>
      </c>
      <c r="G207" s="556" t="str">
        <f t="shared" si="30"/>
        <v/>
      </c>
      <c r="H207" s="554" t="str">
        <f t="shared" si="31"/>
        <v/>
      </c>
      <c r="I207" s="554" t="str">
        <f t="shared" si="32"/>
        <v/>
      </c>
      <c r="J207" s="557" t="str">
        <f t="shared" si="38"/>
        <v/>
      </c>
      <c r="K207" s="530" t="str">
        <f t="shared" si="35"/>
        <v/>
      </c>
      <c r="L207" s="530"/>
      <c r="M207" s="530"/>
      <c r="N207" s="530"/>
      <c r="O207" s="530"/>
      <c r="P207" s="574"/>
      <c r="Q207" s="558" t="str">
        <f t="shared" si="33"/>
        <v/>
      </c>
      <c r="R207" s="559" t="str">
        <f t="shared" si="34"/>
        <v/>
      </c>
    </row>
    <row r="208" spans="3:18" x14ac:dyDescent="0.2">
      <c r="C208" s="549" t="str">
        <f t="shared" si="36"/>
        <v/>
      </c>
      <c r="D208" s="576" t="str">
        <f>IF(C208="","",WORKDAY.INTL(DATE(YEAR(D207),MONTH(D207)+1,4)-1,1,1,Inhábil[Fecha]))</f>
        <v/>
      </c>
      <c r="E208" s="555" t="str">
        <f t="shared" si="37"/>
        <v/>
      </c>
      <c r="F208" s="556" t="str">
        <f t="shared" si="29"/>
        <v/>
      </c>
      <c r="G208" s="556" t="str">
        <f t="shared" si="30"/>
        <v/>
      </c>
      <c r="H208" s="554" t="str">
        <f t="shared" si="31"/>
        <v/>
      </c>
      <c r="I208" s="554" t="str">
        <f t="shared" si="32"/>
        <v/>
      </c>
      <c r="J208" s="557" t="str">
        <f t="shared" si="38"/>
        <v/>
      </c>
      <c r="K208" s="530" t="str">
        <f t="shared" si="35"/>
        <v/>
      </c>
      <c r="L208" s="530"/>
      <c r="M208" s="530"/>
      <c r="N208" s="530"/>
      <c r="O208" s="530"/>
      <c r="P208" s="574"/>
      <c r="Q208" s="558" t="str">
        <f t="shared" si="33"/>
        <v/>
      </c>
      <c r="R208" s="559" t="str">
        <f t="shared" si="34"/>
        <v/>
      </c>
    </row>
    <row r="209" spans="3:18" x14ac:dyDescent="0.2">
      <c r="C209" s="549" t="str">
        <f t="shared" si="36"/>
        <v/>
      </c>
      <c r="D209" s="576" t="str">
        <f>IF(C209="","",WORKDAY.INTL(DATE(YEAR(D208),MONTH(D208)+1,4)-1,1,1,Inhábil[Fecha]))</f>
        <v/>
      </c>
      <c r="E209" s="555" t="str">
        <f t="shared" si="37"/>
        <v/>
      </c>
      <c r="F209" s="556" t="str">
        <f t="shared" si="29"/>
        <v/>
      </c>
      <c r="G209" s="556" t="str">
        <f t="shared" si="30"/>
        <v/>
      </c>
      <c r="H209" s="554" t="str">
        <f t="shared" si="31"/>
        <v/>
      </c>
      <c r="I209" s="554" t="str">
        <f t="shared" si="32"/>
        <v/>
      </c>
      <c r="J209" s="557" t="str">
        <f t="shared" si="38"/>
        <v/>
      </c>
      <c r="K209" s="530" t="str">
        <f t="shared" si="35"/>
        <v/>
      </c>
      <c r="L209" s="530"/>
      <c r="M209" s="530"/>
      <c r="N209" s="530"/>
      <c r="O209" s="530"/>
      <c r="P209" s="574"/>
      <c r="Q209" s="558" t="str">
        <f t="shared" si="33"/>
        <v/>
      </c>
      <c r="R209" s="559" t="str">
        <f t="shared" si="34"/>
        <v/>
      </c>
    </row>
    <row r="210" spans="3:18" x14ac:dyDescent="0.2">
      <c r="C210" s="549" t="str">
        <f t="shared" si="36"/>
        <v/>
      </c>
      <c r="D210" s="576" t="str">
        <f>IF(C210="","",WORKDAY.INTL(DATE(YEAR(D209),MONTH(D209)+1,4)-1,1,1,Inhábil[Fecha]))</f>
        <v/>
      </c>
      <c r="E210" s="555" t="str">
        <f t="shared" si="37"/>
        <v/>
      </c>
      <c r="F210" s="556" t="str">
        <f t="shared" si="29"/>
        <v/>
      </c>
      <c r="G210" s="556" t="str">
        <f t="shared" si="30"/>
        <v/>
      </c>
      <c r="H210" s="554" t="str">
        <f t="shared" si="31"/>
        <v/>
      </c>
      <c r="I210" s="554" t="str">
        <f t="shared" si="32"/>
        <v/>
      </c>
      <c r="J210" s="557" t="str">
        <f t="shared" si="38"/>
        <v/>
      </c>
      <c r="K210" s="530" t="str">
        <f t="shared" si="35"/>
        <v/>
      </c>
      <c r="L210" s="530"/>
      <c r="M210" s="530"/>
      <c r="N210" s="530"/>
      <c r="O210" s="530"/>
      <c r="P210" s="574"/>
      <c r="Q210" s="558" t="str">
        <f t="shared" si="33"/>
        <v/>
      </c>
      <c r="R210" s="559" t="str">
        <f t="shared" si="34"/>
        <v/>
      </c>
    </row>
    <row r="211" spans="3:18" x14ac:dyDescent="0.2">
      <c r="C211" s="549" t="str">
        <f t="shared" si="36"/>
        <v/>
      </c>
      <c r="D211" s="576" t="str">
        <f>IF(C211="","",WORKDAY.INTL(DATE(YEAR(D210),MONTH(D210)+1,4)-1,1,1,Inhábil[Fecha]))</f>
        <v/>
      </c>
      <c r="E211" s="555" t="str">
        <f t="shared" si="37"/>
        <v/>
      </c>
      <c r="F211" s="556" t="str">
        <f t="shared" si="29"/>
        <v/>
      </c>
      <c r="G211" s="556" t="str">
        <f t="shared" si="30"/>
        <v/>
      </c>
      <c r="H211" s="554" t="str">
        <f t="shared" si="31"/>
        <v/>
      </c>
      <c r="I211" s="554" t="str">
        <f t="shared" si="32"/>
        <v/>
      </c>
      <c r="J211" s="557" t="str">
        <f t="shared" si="38"/>
        <v/>
      </c>
      <c r="K211" s="530" t="str">
        <f t="shared" si="35"/>
        <v/>
      </c>
      <c r="L211" s="530"/>
      <c r="M211" s="530"/>
      <c r="N211" s="530"/>
      <c r="O211" s="530"/>
      <c r="P211" s="574"/>
      <c r="Q211" s="558" t="str">
        <f t="shared" si="33"/>
        <v/>
      </c>
      <c r="R211" s="559" t="str">
        <f t="shared" si="34"/>
        <v/>
      </c>
    </row>
    <row r="212" spans="3:18" x14ac:dyDescent="0.2">
      <c r="C212" s="549" t="str">
        <f t="shared" si="36"/>
        <v/>
      </c>
      <c r="D212" s="576" t="str">
        <f>IF(C212="","",WORKDAY.INTL(DATE(YEAR(D211),MONTH(D211)+1,4)-1,1,1,Inhábil[Fecha]))</f>
        <v/>
      </c>
      <c r="E212" s="555" t="str">
        <f t="shared" si="37"/>
        <v/>
      </c>
      <c r="F212" s="556" t="str">
        <f t="shared" si="29"/>
        <v/>
      </c>
      <c r="G212" s="556" t="str">
        <f t="shared" si="30"/>
        <v/>
      </c>
      <c r="H212" s="554" t="str">
        <f t="shared" si="31"/>
        <v/>
      </c>
      <c r="I212" s="554" t="str">
        <f t="shared" si="32"/>
        <v/>
      </c>
      <c r="J212" s="557" t="str">
        <f t="shared" si="38"/>
        <v/>
      </c>
      <c r="K212" s="530" t="str">
        <f t="shared" si="35"/>
        <v/>
      </c>
      <c r="L212" s="530"/>
      <c r="M212" s="530"/>
      <c r="N212" s="530"/>
      <c r="O212" s="530"/>
      <c r="P212" s="574"/>
      <c r="Q212" s="558" t="str">
        <f t="shared" si="33"/>
        <v/>
      </c>
      <c r="R212" s="559" t="str">
        <f t="shared" si="34"/>
        <v/>
      </c>
    </row>
    <row r="213" spans="3:18" x14ac:dyDescent="0.2">
      <c r="C213" s="549"/>
      <c r="D213" s="549"/>
      <c r="E213" s="555"/>
      <c r="F213" s="556"/>
      <c r="G213" s="556"/>
      <c r="H213" s="554"/>
      <c r="I213" s="554"/>
      <c r="J213" s="557"/>
      <c r="K213" s="530"/>
      <c r="L213" s="530"/>
      <c r="M213" s="530"/>
      <c r="N213" s="530"/>
      <c r="O213" s="530"/>
      <c r="P213" s="574"/>
      <c r="Q213" s="558"/>
      <c r="R213" s="559"/>
    </row>
    <row r="214" spans="3:18" ht="15.75" x14ac:dyDescent="0.25">
      <c r="C214" s="560" t="s">
        <v>270</v>
      </c>
      <c r="D214" s="560"/>
      <c r="E214" s="560"/>
      <c r="F214" s="561">
        <f t="shared" ref="F214:J214" si="39">SUM(F33:F213)</f>
        <v>0</v>
      </c>
      <c r="G214" s="561" t="e">
        <f t="shared" si="39"/>
        <v>#VALUE!</v>
      </c>
      <c r="H214" s="561">
        <f>SUM(H33:H213)</f>
        <v>0</v>
      </c>
      <c r="I214" s="561"/>
      <c r="J214" s="561" t="e">
        <f t="shared" si="39"/>
        <v>#VALUE!</v>
      </c>
      <c r="K214" s="562">
        <f>SUM(K33:K212)</f>
        <v>0</v>
      </c>
      <c r="L214" s="579"/>
      <c r="M214" s="579"/>
      <c r="N214" s="579"/>
      <c r="O214" s="579"/>
      <c r="P214" s="575"/>
      <c r="Q214" s="579"/>
      <c r="R214" s="562" t="e">
        <f>SUM(R33:R212)</f>
        <v>#VALUE!</v>
      </c>
    </row>
    <row r="215" spans="3:18" x14ac:dyDescent="0.25">
      <c r="H215" s="527"/>
      <c r="I215" s="527"/>
      <c r="K215" s="527"/>
      <c r="L215" s="527"/>
      <c r="M215" s="527"/>
      <c r="N215" s="527"/>
      <c r="O215" s="527"/>
    </row>
    <row r="216" spans="3:18" x14ac:dyDescent="0.25">
      <c r="H216" s="527"/>
      <c r="I216" s="527"/>
      <c r="K216" s="527"/>
      <c r="L216" s="527"/>
      <c r="M216" s="527"/>
      <c r="N216" s="527"/>
      <c r="O216" s="527"/>
      <c r="R216" s="530"/>
    </row>
    <row r="217" spans="3:18" ht="45.95" customHeight="1" x14ac:dyDescent="0.25">
      <c r="C217" s="730" t="s">
        <v>427</v>
      </c>
      <c r="D217" s="730"/>
      <c r="E217" s="730"/>
      <c r="F217" s="730"/>
      <c r="G217" s="730"/>
      <c r="H217" s="730"/>
      <c r="I217" s="730"/>
      <c r="J217" s="730"/>
      <c r="K217" s="730"/>
      <c r="L217" s="527"/>
      <c r="M217" s="527"/>
      <c r="N217" s="527"/>
      <c r="O217" s="527"/>
    </row>
    <row r="218" spans="3:18" ht="33" customHeight="1" x14ac:dyDescent="0.25">
      <c r="C218" s="730" t="s">
        <v>428</v>
      </c>
      <c r="D218" s="730"/>
      <c r="E218" s="730"/>
      <c r="F218" s="730"/>
      <c r="G218" s="730"/>
      <c r="H218" s="730"/>
      <c r="I218" s="730"/>
      <c r="J218" s="730"/>
      <c r="K218" s="730"/>
      <c r="L218" s="527"/>
      <c r="M218" s="527"/>
      <c r="N218" s="527"/>
      <c r="O218" s="527"/>
    </row>
    <row r="219" spans="3:18" x14ac:dyDescent="0.25">
      <c r="H219" s="527"/>
      <c r="I219" s="527"/>
      <c r="J219" s="563"/>
      <c r="K219" s="527"/>
      <c r="L219" s="527"/>
      <c r="M219" s="527"/>
      <c r="N219" s="527"/>
      <c r="O219" s="527"/>
    </row>
    <row r="220" spans="3:18" ht="15.75" x14ac:dyDescent="0.25">
      <c r="C220" s="586" t="str">
        <f>CONCATENATE("&gt;&gt; Para fines informativos y de comparación exclusivamente, el Costo Anual Total (CAT) es"," ",TEXT(IF(ISERROR(((1+IRR(R32:R212))^(12))-1),"-",(((1+IRR(R32:R212))^(12))-1)),"#.#%"))</f>
        <v>&gt;&gt; Para fines informativos y de comparación exclusivamente, el Costo Anual Total (CAT) es -</v>
      </c>
      <c r="H220" s="587"/>
      <c r="I220" s="527"/>
      <c r="K220" s="527"/>
      <c r="L220" s="527"/>
      <c r="M220" s="527"/>
      <c r="N220" s="527"/>
      <c r="O220" s="527"/>
    </row>
    <row r="221" spans="3:18" x14ac:dyDescent="0.25">
      <c r="H221" s="527"/>
      <c r="I221" s="527"/>
      <c r="K221" s="527"/>
      <c r="L221" s="527"/>
      <c r="M221" s="527"/>
      <c r="N221" s="527"/>
      <c r="O221" s="527"/>
    </row>
    <row r="222" spans="3:18" ht="15.75" x14ac:dyDescent="0.25">
      <c r="C222" s="533" t="s">
        <v>429</v>
      </c>
      <c r="H222" s="527"/>
      <c r="I222" s="527"/>
      <c r="K222" s="527"/>
      <c r="L222" s="527"/>
      <c r="M222" s="527"/>
      <c r="N222" s="527"/>
      <c r="O222" s="527"/>
    </row>
    <row r="223" spans="3:18" x14ac:dyDescent="0.25">
      <c r="H223" s="527"/>
      <c r="I223" s="527"/>
      <c r="K223" s="527"/>
      <c r="L223" s="527"/>
      <c r="M223" s="527"/>
      <c r="N223" s="527"/>
      <c r="O223" s="527"/>
    </row>
    <row r="224" spans="3:18" x14ac:dyDescent="0.25">
      <c r="H224" s="527"/>
      <c r="I224" s="527"/>
      <c r="K224" s="527"/>
      <c r="L224" s="527"/>
      <c r="M224" s="527"/>
      <c r="N224" s="527"/>
      <c r="O224" s="527"/>
    </row>
    <row r="225" spans="3:15" x14ac:dyDescent="0.25">
      <c r="H225" s="527"/>
      <c r="I225" s="527"/>
      <c r="K225" s="527"/>
      <c r="L225" s="527"/>
      <c r="M225" s="527"/>
      <c r="N225" s="527"/>
      <c r="O225" s="527"/>
    </row>
    <row r="226" spans="3:15" x14ac:dyDescent="0.25">
      <c r="H226" s="527"/>
      <c r="I226" s="527"/>
      <c r="K226" s="527"/>
      <c r="L226" s="527"/>
      <c r="M226" s="527"/>
      <c r="N226" s="527"/>
      <c r="O226" s="527"/>
    </row>
    <row r="227" spans="3:15" x14ac:dyDescent="0.25">
      <c r="H227" s="527"/>
      <c r="I227" s="527"/>
      <c r="K227" s="527"/>
      <c r="L227" s="527"/>
      <c r="M227" s="527"/>
      <c r="N227" s="527"/>
      <c r="O227" s="527"/>
    </row>
    <row r="228" spans="3:15" x14ac:dyDescent="0.25">
      <c r="H228" s="527"/>
      <c r="I228" s="527"/>
      <c r="K228" s="527"/>
      <c r="L228" s="527"/>
      <c r="M228" s="527"/>
      <c r="N228" s="527"/>
      <c r="O228" s="527"/>
    </row>
    <row r="229" spans="3:15" x14ac:dyDescent="0.25">
      <c r="H229" s="527"/>
      <c r="I229" s="527"/>
      <c r="K229" s="527"/>
      <c r="L229" s="527"/>
      <c r="M229" s="527"/>
      <c r="N229" s="527"/>
      <c r="O229" s="527"/>
    </row>
    <row r="230" spans="3:15" x14ac:dyDescent="0.25">
      <c r="H230" s="527"/>
      <c r="I230" s="527"/>
      <c r="K230" s="527"/>
      <c r="L230" s="527"/>
      <c r="M230" s="527"/>
      <c r="N230" s="527"/>
      <c r="O230" s="527"/>
    </row>
    <row r="231" spans="3:15" x14ac:dyDescent="0.25">
      <c r="H231" s="527"/>
      <c r="I231" s="527"/>
      <c r="K231" s="527"/>
      <c r="L231" s="527"/>
      <c r="M231" s="527"/>
      <c r="N231" s="527"/>
      <c r="O231" s="527"/>
    </row>
    <row r="232" spans="3:15" x14ac:dyDescent="0.25">
      <c r="H232" s="527"/>
      <c r="I232" s="527"/>
      <c r="K232" s="527"/>
      <c r="L232" s="527"/>
      <c r="M232" s="527"/>
      <c r="N232" s="527"/>
      <c r="O232" s="527"/>
    </row>
    <row r="233" spans="3:15" x14ac:dyDescent="0.25">
      <c r="H233" s="527"/>
      <c r="I233" s="527"/>
      <c r="K233" s="527"/>
      <c r="L233" s="527"/>
      <c r="M233" s="527"/>
      <c r="N233" s="527"/>
      <c r="O233" s="527"/>
    </row>
    <row r="234" spans="3:15" x14ac:dyDescent="0.25">
      <c r="H234" s="527"/>
      <c r="I234" s="527"/>
      <c r="K234" s="527"/>
      <c r="L234" s="527"/>
      <c r="M234" s="527"/>
      <c r="N234" s="527"/>
      <c r="O234" s="527"/>
    </row>
    <row r="235" spans="3:15" x14ac:dyDescent="0.25">
      <c r="E235" s="580"/>
      <c r="F235" s="580"/>
      <c r="G235" s="580"/>
      <c r="H235" s="580"/>
      <c r="I235" s="580"/>
      <c r="K235" s="527"/>
      <c r="L235" s="527"/>
      <c r="M235" s="527"/>
      <c r="N235" s="527"/>
      <c r="O235" s="527"/>
    </row>
    <row r="236" spans="3:15" x14ac:dyDescent="0.25">
      <c r="C236" s="728" t="s">
        <v>430</v>
      </c>
      <c r="D236" s="728"/>
      <c r="E236" s="728"/>
      <c r="F236" s="728"/>
      <c r="G236" s="728"/>
      <c r="H236" s="728"/>
      <c r="I236" s="728"/>
      <c r="J236" s="728"/>
      <c r="K236" s="728"/>
      <c r="L236" s="527"/>
      <c r="M236" s="527"/>
      <c r="N236" s="527"/>
      <c r="O236" s="527"/>
    </row>
    <row r="237" spans="3:15" ht="15.75" x14ac:dyDescent="0.25">
      <c r="C237" s="729" t="s">
        <v>431</v>
      </c>
      <c r="D237" s="729"/>
      <c r="E237" s="729"/>
      <c r="F237" s="729"/>
      <c r="G237" s="729"/>
      <c r="H237" s="729"/>
      <c r="I237" s="729"/>
      <c r="J237" s="729"/>
      <c r="K237" s="729"/>
      <c r="L237" s="527"/>
      <c r="M237" s="527"/>
      <c r="N237" s="527"/>
      <c r="O237" s="527"/>
    </row>
    <row r="238" spans="3:15" ht="15.75" x14ac:dyDescent="0.25">
      <c r="H238" s="527"/>
      <c r="I238" s="527"/>
      <c r="J238" s="727" t="s">
        <v>437</v>
      </c>
      <c r="K238" s="727"/>
      <c r="L238" s="527"/>
      <c r="M238" s="527"/>
      <c r="N238" s="527"/>
      <c r="O238" s="527"/>
    </row>
    <row r="239" spans="3:15" ht="15.75" x14ac:dyDescent="0.25">
      <c r="H239" s="527"/>
      <c r="I239" s="527"/>
      <c r="J239" s="727" t="s">
        <v>438</v>
      </c>
      <c r="K239" s="727"/>
      <c r="L239" s="527"/>
      <c r="M239" s="527"/>
      <c r="N239" s="527"/>
      <c r="O239" s="527"/>
    </row>
    <row r="240" spans="3:15" x14ac:dyDescent="0.25">
      <c r="H240" s="527"/>
      <c r="I240" s="527"/>
      <c r="K240" s="527"/>
      <c r="L240" s="527"/>
      <c r="M240" s="527"/>
      <c r="N240" s="527"/>
      <c r="O240" s="527"/>
    </row>
    <row r="241" spans="3:15" ht="15.75" x14ac:dyDescent="0.25">
      <c r="C241" s="533" t="s">
        <v>432</v>
      </c>
      <c r="H241" s="527"/>
      <c r="I241" s="527"/>
      <c r="K241" s="527"/>
      <c r="L241" s="527"/>
      <c r="M241" s="527"/>
      <c r="N241" s="527"/>
      <c r="O241" s="527"/>
    </row>
    <row r="242" spans="3:15" ht="15.75" x14ac:dyDescent="0.25">
      <c r="C242" s="533" t="s">
        <v>433</v>
      </c>
      <c r="H242" s="527"/>
      <c r="I242" s="527"/>
      <c r="K242" s="527"/>
      <c r="L242" s="527"/>
      <c r="M242" s="527"/>
      <c r="N242" s="527"/>
      <c r="O242" s="527"/>
    </row>
    <row r="243" spans="3:15" ht="15.75" x14ac:dyDescent="0.25">
      <c r="C243" s="533" t="s">
        <v>434</v>
      </c>
      <c r="H243" s="527"/>
      <c r="I243" s="527"/>
      <c r="K243" s="527"/>
      <c r="L243" s="527"/>
      <c r="M243" s="527"/>
      <c r="N243" s="527"/>
      <c r="O243" s="527"/>
    </row>
    <row r="244" spans="3:15" ht="15.75" x14ac:dyDescent="0.25">
      <c r="C244" s="533" t="s">
        <v>435</v>
      </c>
      <c r="H244" s="527"/>
      <c r="I244" s="527"/>
      <c r="K244" s="527"/>
      <c r="L244" s="527"/>
      <c r="M244" s="527"/>
      <c r="N244" s="527"/>
      <c r="O244" s="527"/>
    </row>
    <row r="245" spans="3:15" x14ac:dyDescent="0.2">
      <c r="H245" s="527" t="s">
        <v>436</v>
      </c>
      <c r="K245" s="527"/>
      <c r="L245" s="527"/>
      <c r="M245" s="527"/>
      <c r="N245" s="527"/>
      <c r="O245" s="527"/>
    </row>
    <row r="246" spans="3:15" x14ac:dyDescent="0.25">
      <c r="H246" s="527"/>
      <c r="I246" s="527"/>
      <c r="K246" s="527"/>
      <c r="L246" s="527"/>
      <c r="M246" s="527"/>
      <c r="N246" s="527"/>
      <c r="O246" s="527"/>
    </row>
    <row r="247" spans="3:15" x14ac:dyDescent="0.25">
      <c r="C247" s="580"/>
      <c r="D247" s="580"/>
      <c r="E247" s="580"/>
      <c r="F247" s="580"/>
      <c r="G247" s="580"/>
      <c r="H247" s="580"/>
      <c r="I247" s="580"/>
      <c r="J247" s="580"/>
      <c r="K247" s="580"/>
      <c r="L247" s="527"/>
      <c r="M247" s="527"/>
      <c r="N247" s="527"/>
      <c r="O247" s="527"/>
    </row>
    <row r="248" spans="3:15" x14ac:dyDescent="0.25">
      <c r="C248" s="728" t="s">
        <v>439</v>
      </c>
      <c r="D248" s="728"/>
      <c r="E248" s="728"/>
      <c r="F248" s="728"/>
      <c r="G248" s="728"/>
      <c r="H248" s="728"/>
      <c r="I248" s="728"/>
      <c r="J248" s="728"/>
      <c r="K248" s="728"/>
      <c r="L248" s="527"/>
      <c r="M248" s="527"/>
      <c r="N248" s="527"/>
      <c r="O248" s="527"/>
    </row>
    <row r="249" spans="3:15" ht="15.75" x14ac:dyDescent="0.25">
      <c r="C249" s="729" t="s">
        <v>440</v>
      </c>
      <c r="D249" s="729"/>
      <c r="E249" s="729"/>
      <c r="F249" s="729"/>
      <c r="G249" s="729"/>
      <c r="H249" s="729"/>
      <c r="I249" s="729"/>
      <c r="J249" s="729"/>
      <c r="K249" s="729"/>
      <c r="L249" s="527"/>
      <c r="M249" s="527"/>
      <c r="N249" s="527"/>
      <c r="O249" s="527"/>
    </row>
    <row r="250" spans="3:15" x14ac:dyDescent="0.25">
      <c r="H250" s="527"/>
      <c r="I250" s="527"/>
      <c r="K250" s="527"/>
      <c r="L250" s="527"/>
      <c r="M250" s="527"/>
      <c r="N250" s="527"/>
      <c r="O250" s="527"/>
    </row>
    <row r="251" spans="3:15" x14ac:dyDescent="0.25">
      <c r="H251" s="527"/>
      <c r="I251" s="527"/>
      <c r="K251" s="527"/>
      <c r="L251" s="527"/>
      <c r="M251" s="527"/>
      <c r="N251" s="527"/>
      <c r="O251" s="527"/>
    </row>
    <row r="252" spans="3:15" x14ac:dyDescent="0.25">
      <c r="H252" s="527"/>
      <c r="I252" s="527"/>
      <c r="K252" s="527"/>
      <c r="L252" s="527"/>
      <c r="M252" s="527"/>
      <c r="N252" s="527"/>
      <c r="O252" s="527"/>
    </row>
    <row r="253" spans="3:15" x14ac:dyDescent="0.25">
      <c r="H253" s="527"/>
      <c r="I253" s="527"/>
      <c r="K253" s="527"/>
      <c r="L253" s="527"/>
      <c r="M253" s="527"/>
      <c r="N253" s="527"/>
      <c r="O253" s="527"/>
    </row>
    <row r="254" spans="3:15" x14ac:dyDescent="0.25">
      <c r="H254" s="527"/>
      <c r="I254" s="527"/>
      <c r="K254" s="527"/>
      <c r="L254" s="527"/>
      <c r="M254" s="527"/>
      <c r="N254" s="527"/>
      <c r="O254" s="527"/>
    </row>
    <row r="255" spans="3:15" x14ac:dyDescent="0.25">
      <c r="H255" s="527"/>
      <c r="I255" s="527"/>
      <c r="K255" s="527"/>
      <c r="L255" s="527"/>
      <c r="M255" s="527"/>
      <c r="N255" s="527"/>
      <c r="O255" s="527"/>
    </row>
    <row r="256" spans="3:15" x14ac:dyDescent="0.25">
      <c r="H256" s="527"/>
      <c r="I256" s="527"/>
      <c r="K256" s="527"/>
      <c r="L256" s="527"/>
      <c r="M256" s="527"/>
      <c r="N256" s="527"/>
      <c r="O256" s="527"/>
    </row>
    <row r="257" spans="8:15" x14ac:dyDescent="0.25">
      <c r="H257" s="527"/>
      <c r="I257" s="527"/>
      <c r="K257" s="527"/>
      <c r="L257" s="527"/>
      <c r="M257" s="527"/>
      <c r="N257" s="527"/>
      <c r="O257" s="527"/>
    </row>
    <row r="258" spans="8:15" x14ac:dyDescent="0.25">
      <c r="H258" s="527"/>
      <c r="I258" s="527"/>
      <c r="K258" s="527"/>
      <c r="L258" s="527"/>
      <c r="M258" s="527"/>
      <c r="N258" s="527"/>
      <c r="O258" s="527"/>
    </row>
    <row r="259" spans="8:15" x14ac:dyDescent="0.25">
      <c r="H259" s="527"/>
      <c r="I259" s="527"/>
      <c r="K259" s="527"/>
      <c r="L259" s="527"/>
      <c r="M259" s="527"/>
      <c r="N259" s="527"/>
      <c r="O259" s="527"/>
    </row>
    <row r="260" spans="8:15" x14ac:dyDescent="0.25">
      <c r="H260" s="527"/>
      <c r="I260" s="527"/>
      <c r="K260" s="527"/>
      <c r="L260" s="527"/>
      <c r="M260" s="527"/>
      <c r="N260" s="527"/>
      <c r="O260" s="527"/>
    </row>
    <row r="261" spans="8:15" x14ac:dyDescent="0.25">
      <c r="H261" s="527"/>
      <c r="I261" s="527"/>
      <c r="K261" s="527"/>
      <c r="L261" s="527"/>
      <c r="M261" s="527"/>
      <c r="N261" s="527"/>
      <c r="O261" s="527"/>
    </row>
    <row r="262" spans="8:15" x14ac:dyDescent="0.25">
      <c r="H262" s="527"/>
      <c r="I262" s="527"/>
      <c r="K262" s="527"/>
      <c r="L262" s="527"/>
      <c r="M262" s="527"/>
      <c r="N262" s="527"/>
      <c r="O262" s="527"/>
    </row>
    <row r="263" spans="8:15" x14ac:dyDescent="0.25">
      <c r="H263" s="527"/>
      <c r="I263" s="527"/>
      <c r="K263" s="527"/>
      <c r="L263" s="527"/>
      <c r="M263" s="527"/>
      <c r="N263" s="527"/>
      <c r="O263" s="527"/>
    </row>
    <row r="264" spans="8:15" x14ac:dyDescent="0.25">
      <c r="H264" s="527"/>
      <c r="I264" s="527"/>
      <c r="K264" s="527"/>
      <c r="L264" s="527"/>
      <c r="M264" s="527"/>
      <c r="N264" s="527"/>
      <c r="O264" s="527"/>
    </row>
    <row r="265" spans="8:15" x14ac:dyDescent="0.25">
      <c r="H265" s="527"/>
      <c r="I265" s="527"/>
      <c r="K265" s="527"/>
      <c r="L265" s="527"/>
      <c r="M265" s="527"/>
      <c r="N265" s="527"/>
      <c r="O265" s="527"/>
    </row>
    <row r="266" spans="8:15" x14ac:dyDescent="0.25">
      <c r="H266" s="527"/>
      <c r="I266" s="527"/>
      <c r="K266" s="527"/>
      <c r="L266" s="527"/>
      <c r="M266" s="527"/>
      <c r="N266" s="527"/>
      <c r="O266" s="527"/>
    </row>
    <row r="267" spans="8:15" x14ac:dyDescent="0.25">
      <c r="H267" s="527"/>
      <c r="I267" s="527"/>
      <c r="K267" s="527"/>
      <c r="L267" s="527"/>
      <c r="M267" s="527"/>
      <c r="N267" s="527"/>
      <c r="O267" s="527"/>
    </row>
    <row r="268" spans="8:15" x14ac:dyDescent="0.25">
      <c r="H268" s="527"/>
      <c r="I268" s="527"/>
      <c r="K268" s="527"/>
      <c r="L268" s="527"/>
      <c r="M268" s="527"/>
      <c r="N268" s="527"/>
      <c r="O268" s="527"/>
    </row>
    <row r="269" spans="8:15" x14ac:dyDescent="0.25">
      <c r="H269" s="527"/>
      <c r="I269" s="527"/>
      <c r="K269" s="527"/>
      <c r="L269" s="527"/>
      <c r="M269" s="527"/>
      <c r="N269" s="527"/>
      <c r="O269" s="527"/>
    </row>
    <row r="270" spans="8:15" x14ac:dyDescent="0.25">
      <c r="H270" s="527"/>
      <c r="I270" s="527"/>
      <c r="K270" s="527"/>
      <c r="L270" s="527"/>
      <c r="M270" s="527"/>
      <c r="N270" s="527"/>
      <c r="O270" s="527"/>
    </row>
    <row r="271" spans="8:15" x14ac:dyDescent="0.25">
      <c r="H271" s="527"/>
      <c r="I271" s="527"/>
      <c r="K271" s="527"/>
      <c r="L271" s="527"/>
      <c r="M271" s="527"/>
      <c r="N271" s="527"/>
      <c r="O271" s="527"/>
    </row>
    <row r="272" spans="8:15" x14ac:dyDescent="0.25">
      <c r="H272" s="527"/>
      <c r="I272" s="527"/>
      <c r="K272" s="527"/>
      <c r="L272" s="527"/>
      <c r="M272" s="527"/>
      <c r="N272" s="527"/>
      <c r="O272" s="527"/>
    </row>
    <row r="273" spans="8:15" x14ac:dyDescent="0.25">
      <c r="H273" s="527"/>
      <c r="I273" s="527"/>
      <c r="K273" s="527"/>
      <c r="L273" s="527"/>
      <c r="M273" s="527"/>
      <c r="N273" s="527"/>
      <c r="O273" s="527"/>
    </row>
    <row r="274" spans="8:15" x14ac:dyDescent="0.25">
      <c r="H274" s="527"/>
      <c r="I274" s="527"/>
      <c r="K274" s="527"/>
      <c r="L274" s="527"/>
      <c r="M274" s="527"/>
      <c r="N274" s="527"/>
      <c r="O274" s="527"/>
    </row>
    <row r="275" spans="8:15" x14ac:dyDescent="0.25">
      <c r="H275" s="527"/>
      <c r="I275" s="527"/>
      <c r="K275" s="527"/>
      <c r="L275" s="527"/>
      <c r="M275" s="527"/>
      <c r="N275" s="527"/>
      <c r="O275" s="527"/>
    </row>
    <row r="276" spans="8:15" x14ac:dyDescent="0.25">
      <c r="H276" s="527"/>
      <c r="I276" s="527"/>
      <c r="K276" s="527"/>
      <c r="L276" s="527"/>
      <c r="M276" s="527"/>
      <c r="N276" s="527"/>
      <c r="O276" s="527"/>
    </row>
    <row r="277" spans="8:15" x14ac:dyDescent="0.25">
      <c r="H277" s="527"/>
      <c r="I277" s="527"/>
      <c r="K277" s="527"/>
      <c r="L277" s="527"/>
      <c r="M277" s="527"/>
      <c r="N277" s="527"/>
      <c r="O277" s="527"/>
    </row>
    <row r="278" spans="8:15" x14ac:dyDescent="0.25">
      <c r="H278" s="527"/>
      <c r="I278" s="527"/>
      <c r="K278" s="527"/>
      <c r="L278" s="527"/>
      <c r="M278" s="527"/>
      <c r="N278" s="527"/>
      <c r="O278" s="527"/>
    </row>
    <row r="279" spans="8:15" x14ac:dyDescent="0.25">
      <c r="H279" s="527"/>
      <c r="I279" s="527"/>
      <c r="K279" s="527"/>
      <c r="L279" s="527"/>
      <c r="M279" s="527"/>
      <c r="N279" s="527"/>
      <c r="O279" s="527"/>
    </row>
    <row r="280" spans="8:15" x14ac:dyDescent="0.25">
      <c r="H280" s="527"/>
      <c r="I280" s="527"/>
      <c r="K280" s="527"/>
      <c r="L280" s="527"/>
      <c r="M280" s="527"/>
      <c r="N280" s="527"/>
      <c r="O280" s="527"/>
    </row>
    <row r="281" spans="8:15" x14ac:dyDescent="0.25">
      <c r="H281" s="527"/>
      <c r="I281" s="527"/>
      <c r="K281" s="527"/>
      <c r="L281" s="527"/>
      <c r="M281" s="527"/>
      <c r="N281" s="527"/>
      <c r="O281" s="527"/>
    </row>
    <row r="282" spans="8:15" x14ac:dyDescent="0.25">
      <c r="H282" s="527"/>
      <c r="I282" s="527"/>
      <c r="K282" s="527"/>
      <c r="L282" s="527"/>
      <c r="M282" s="527"/>
      <c r="N282" s="527"/>
      <c r="O282" s="527"/>
    </row>
    <row r="283" spans="8:15" x14ac:dyDescent="0.25">
      <c r="H283" s="527"/>
      <c r="I283" s="527"/>
      <c r="K283" s="527"/>
      <c r="L283" s="527"/>
      <c r="M283" s="527"/>
      <c r="N283" s="527"/>
      <c r="O283" s="527"/>
    </row>
    <row r="284" spans="8:15" x14ac:dyDescent="0.25">
      <c r="H284" s="527"/>
      <c r="I284" s="527"/>
      <c r="K284" s="527"/>
      <c r="L284" s="527"/>
      <c r="M284" s="527"/>
      <c r="N284" s="527"/>
      <c r="O284" s="527"/>
    </row>
    <row r="285" spans="8:15" x14ac:dyDescent="0.25">
      <c r="H285" s="527"/>
      <c r="I285" s="527"/>
      <c r="K285" s="527"/>
      <c r="L285" s="527"/>
      <c r="M285" s="527"/>
      <c r="N285" s="527"/>
      <c r="O285" s="527"/>
    </row>
    <row r="286" spans="8:15" x14ac:dyDescent="0.25">
      <c r="H286" s="527"/>
      <c r="I286" s="527"/>
      <c r="K286" s="527"/>
      <c r="L286" s="527"/>
      <c r="M286" s="527"/>
      <c r="N286" s="527"/>
      <c r="O286" s="527"/>
    </row>
    <row r="287" spans="8:15" x14ac:dyDescent="0.25">
      <c r="H287" s="527"/>
      <c r="I287" s="527"/>
      <c r="K287" s="527"/>
      <c r="L287" s="527"/>
      <c r="M287" s="527"/>
      <c r="N287" s="527"/>
      <c r="O287" s="527"/>
    </row>
    <row r="288" spans="8:15" x14ac:dyDescent="0.25">
      <c r="H288" s="527"/>
      <c r="I288" s="527"/>
      <c r="K288" s="527"/>
      <c r="L288" s="527"/>
      <c r="M288" s="527"/>
      <c r="N288" s="527"/>
      <c r="O288" s="527"/>
    </row>
    <row r="289" spans="8:15" x14ac:dyDescent="0.25">
      <c r="H289" s="527"/>
      <c r="I289" s="527"/>
      <c r="K289" s="527"/>
      <c r="L289" s="527"/>
      <c r="M289" s="527"/>
      <c r="N289" s="527"/>
      <c r="O289" s="527"/>
    </row>
    <row r="290" spans="8:15" x14ac:dyDescent="0.25">
      <c r="H290" s="527"/>
      <c r="I290" s="527"/>
      <c r="K290" s="527"/>
      <c r="L290" s="527"/>
      <c r="M290" s="527"/>
      <c r="N290" s="527"/>
      <c r="O290" s="527"/>
    </row>
    <row r="291" spans="8:15" x14ac:dyDescent="0.25">
      <c r="H291" s="527"/>
      <c r="I291" s="527"/>
      <c r="K291" s="527"/>
      <c r="L291" s="527"/>
      <c r="M291" s="527"/>
      <c r="N291" s="527"/>
      <c r="O291" s="527"/>
    </row>
    <row r="292" spans="8:15" x14ac:dyDescent="0.25">
      <c r="H292" s="527"/>
      <c r="I292" s="527"/>
      <c r="K292" s="527"/>
      <c r="L292" s="527"/>
      <c r="M292" s="527"/>
      <c r="N292" s="527"/>
      <c r="O292" s="527"/>
    </row>
    <row r="293" spans="8:15" x14ac:dyDescent="0.25">
      <c r="H293" s="527"/>
      <c r="I293" s="527"/>
      <c r="K293" s="527"/>
      <c r="L293" s="527"/>
      <c r="M293" s="527"/>
      <c r="N293" s="527"/>
      <c r="O293" s="527"/>
    </row>
    <row r="294" spans="8:15" x14ac:dyDescent="0.25">
      <c r="H294" s="527"/>
      <c r="I294" s="527"/>
      <c r="K294" s="527"/>
      <c r="L294" s="527"/>
      <c r="M294" s="527"/>
      <c r="N294" s="527"/>
      <c r="O294" s="527"/>
    </row>
    <row r="295" spans="8:15" x14ac:dyDescent="0.25">
      <c r="H295" s="527"/>
      <c r="I295" s="527"/>
      <c r="K295" s="527"/>
      <c r="L295" s="527"/>
      <c r="M295" s="527"/>
      <c r="N295" s="527"/>
      <c r="O295" s="527"/>
    </row>
    <row r="296" spans="8:15" x14ac:dyDescent="0.25">
      <c r="H296" s="527"/>
      <c r="I296" s="527"/>
      <c r="K296" s="527"/>
      <c r="L296" s="527"/>
      <c r="M296" s="527"/>
      <c r="N296" s="527"/>
      <c r="O296" s="527"/>
    </row>
    <row r="297" spans="8:15" x14ac:dyDescent="0.25">
      <c r="H297" s="527"/>
      <c r="I297" s="527"/>
      <c r="K297" s="527"/>
      <c r="L297" s="527"/>
      <c r="M297" s="527"/>
      <c r="N297" s="527"/>
      <c r="O297" s="527"/>
    </row>
    <row r="298" spans="8:15" x14ac:dyDescent="0.25">
      <c r="H298" s="527"/>
      <c r="I298" s="527"/>
      <c r="K298" s="527"/>
      <c r="L298" s="527"/>
      <c r="M298" s="527"/>
      <c r="N298" s="527"/>
      <c r="O298" s="527"/>
    </row>
    <row r="299" spans="8:15" x14ac:dyDescent="0.25">
      <c r="H299" s="527"/>
      <c r="I299" s="527"/>
      <c r="K299" s="527"/>
      <c r="L299" s="527"/>
      <c r="M299" s="527"/>
      <c r="N299" s="527"/>
      <c r="O299" s="527"/>
    </row>
    <row r="300" spans="8:15" x14ac:dyDescent="0.25">
      <c r="H300" s="527"/>
      <c r="I300" s="527"/>
      <c r="K300" s="527"/>
      <c r="L300" s="527"/>
      <c r="M300" s="527"/>
      <c r="N300" s="527"/>
      <c r="O300" s="527"/>
    </row>
    <row r="301" spans="8:15" x14ac:dyDescent="0.25">
      <c r="H301" s="527"/>
      <c r="I301" s="527"/>
      <c r="K301" s="527"/>
      <c r="L301" s="527"/>
      <c r="M301" s="527"/>
      <c r="N301" s="527"/>
      <c r="O301" s="527"/>
    </row>
    <row r="302" spans="8:15" x14ac:dyDescent="0.25">
      <c r="H302" s="527"/>
      <c r="I302" s="527"/>
      <c r="K302" s="527"/>
      <c r="L302" s="527"/>
      <c r="M302" s="527"/>
      <c r="N302" s="527"/>
      <c r="O302" s="527"/>
    </row>
    <row r="303" spans="8:15" x14ac:dyDescent="0.25">
      <c r="H303" s="527"/>
      <c r="I303" s="527"/>
      <c r="K303" s="527"/>
      <c r="L303" s="527"/>
      <c r="M303" s="527"/>
      <c r="N303" s="527"/>
      <c r="O303" s="527"/>
    </row>
    <row r="304" spans="8:15" x14ac:dyDescent="0.25">
      <c r="H304" s="527"/>
      <c r="I304" s="527"/>
      <c r="K304" s="527"/>
      <c r="L304" s="527"/>
      <c r="M304" s="527"/>
      <c r="N304" s="527"/>
      <c r="O304" s="527"/>
    </row>
    <row r="305" spans="8:15" x14ac:dyDescent="0.25">
      <c r="H305" s="527"/>
      <c r="I305" s="527"/>
      <c r="K305" s="527"/>
      <c r="L305" s="527"/>
      <c r="M305" s="527"/>
      <c r="N305" s="527"/>
      <c r="O305" s="527"/>
    </row>
    <row r="306" spans="8:15" x14ac:dyDescent="0.25">
      <c r="H306" s="527"/>
      <c r="I306" s="527"/>
      <c r="K306" s="527"/>
      <c r="L306" s="527"/>
      <c r="M306" s="527"/>
      <c r="N306" s="527"/>
      <c r="O306" s="527"/>
    </row>
    <row r="307" spans="8:15" x14ac:dyDescent="0.25">
      <c r="H307" s="527"/>
      <c r="I307" s="527"/>
      <c r="K307" s="527"/>
      <c r="L307" s="527"/>
      <c r="M307" s="527"/>
      <c r="N307" s="527"/>
      <c r="O307" s="527"/>
    </row>
    <row r="308" spans="8:15" x14ac:dyDescent="0.25">
      <c r="H308" s="527"/>
      <c r="I308" s="527"/>
      <c r="K308" s="527"/>
      <c r="L308" s="527"/>
      <c r="M308" s="527"/>
      <c r="N308" s="527"/>
      <c r="O308" s="527"/>
    </row>
    <row r="309" spans="8:15" x14ac:dyDescent="0.25">
      <c r="H309" s="527"/>
      <c r="I309" s="527"/>
      <c r="K309" s="527"/>
      <c r="L309" s="527"/>
      <c r="M309" s="527"/>
      <c r="N309" s="527"/>
      <c r="O309" s="527"/>
    </row>
    <row r="310" spans="8:15" x14ac:dyDescent="0.25">
      <c r="H310" s="527"/>
      <c r="I310" s="527"/>
      <c r="K310" s="527"/>
      <c r="L310" s="527"/>
      <c r="M310" s="527"/>
      <c r="N310" s="527"/>
      <c r="O310" s="527"/>
    </row>
    <row r="311" spans="8:15" x14ac:dyDescent="0.25">
      <c r="H311" s="527"/>
      <c r="I311" s="527"/>
      <c r="K311" s="527"/>
      <c r="L311" s="527"/>
      <c r="M311" s="527"/>
      <c r="N311" s="527"/>
      <c r="O311" s="527"/>
    </row>
    <row r="312" spans="8:15" x14ac:dyDescent="0.25">
      <c r="H312" s="527"/>
      <c r="I312" s="527"/>
      <c r="K312" s="527"/>
      <c r="L312" s="527"/>
      <c r="M312" s="527"/>
      <c r="N312" s="527"/>
      <c r="O312" s="527"/>
    </row>
    <row r="313" spans="8:15" x14ac:dyDescent="0.25">
      <c r="H313" s="527"/>
      <c r="I313" s="527"/>
      <c r="K313" s="527"/>
      <c r="L313" s="527"/>
      <c r="M313" s="527"/>
      <c r="N313" s="527"/>
      <c r="O313" s="527"/>
    </row>
    <row r="314" spans="8:15" x14ac:dyDescent="0.25">
      <c r="H314" s="527"/>
      <c r="I314" s="527"/>
      <c r="K314" s="527"/>
      <c r="L314" s="527"/>
      <c r="M314" s="527"/>
      <c r="N314" s="527"/>
      <c r="O314" s="527"/>
    </row>
    <row r="315" spans="8:15" x14ac:dyDescent="0.25">
      <c r="H315" s="527"/>
      <c r="I315" s="527"/>
      <c r="K315" s="527"/>
      <c r="L315" s="527"/>
      <c r="M315" s="527"/>
      <c r="N315" s="527"/>
      <c r="O315" s="527"/>
    </row>
    <row r="316" spans="8:15" x14ac:dyDescent="0.25">
      <c r="H316" s="527"/>
      <c r="I316" s="527"/>
      <c r="K316" s="527"/>
      <c r="L316" s="527"/>
      <c r="M316" s="527"/>
      <c r="N316" s="527"/>
      <c r="O316" s="527"/>
    </row>
    <row r="317" spans="8:15" x14ac:dyDescent="0.25">
      <c r="H317" s="527"/>
      <c r="I317" s="527"/>
      <c r="K317" s="527"/>
      <c r="L317" s="527"/>
      <c r="M317" s="527"/>
      <c r="N317" s="527"/>
      <c r="O317" s="527"/>
    </row>
    <row r="318" spans="8:15" x14ac:dyDescent="0.25">
      <c r="H318" s="527"/>
      <c r="I318" s="527"/>
      <c r="K318" s="527"/>
      <c r="L318" s="527"/>
      <c r="M318" s="527"/>
      <c r="N318" s="527"/>
      <c r="O318" s="527"/>
    </row>
    <row r="319" spans="8:15" x14ac:dyDescent="0.25">
      <c r="H319" s="527"/>
      <c r="I319" s="527"/>
      <c r="K319" s="527"/>
      <c r="L319" s="527"/>
      <c r="M319" s="527"/>
      <c r="N319" s="527"/>
      <c r="O319" s="527"/>
    </row>
    <row r="320" spans="8:15" x14ac:dyDescent="0.25">
      <c r="H320" s="527"/>
      <c r="I320" s="527"/>
      <c r="K320" s="527"/>
      <c r="L320" s="527"/>
      <c r="M320" s="527"/>
      <c r="N320" s="527"/>
      <c r="O320" s="527"/>
    </row>
    <row r="321" spans="8:15" x14ac:dyDescent="0.25">
      <c r="H321" s="527"/>
      <c r="I321" s="527"/>
      <c r="K321" s="527"/>
      <c r="L321" s="527"/>
      <c r="M321" s="527"/>
      <c r="N321" s="527"/>
      <c r="O321" s="527"/>
    </row>
    <row r="322" spans="8:15" x14ac:dyDescent="0.25">
      <c r="H322" s="527"/>
      <c r="I322" s="527"/>
      <c r="K322" s="527"/>
      <c r="L322" s="527"/>
      <c r="M322" s="527"/>
      <c r="N322" s="527"/>
      <c r="O322" s="527"/>
    </row>
    <row r="323" spans="8:15" x14ac:dyDescent="0.25">
      <c r="H323" s="527"/>
      <c r="I323" s="527"/>
      <c r="K323" s="527"/>
      <c r="L323" s="527"/>
      <c r="M323" s="527"/>
      <c r="N323" s="527"/>
      <c r="O323" s="527"/>
    </row>
    <row r="324" spans="8:15" x14ac:dyDescent="0.25">
      <c r="H324" s="527"/>
      <c r="I324" s="527"/>
      <c r="K324" s="527"/>
      <c r="L324" s="527"/>
      <c r="M324" s="527"/>
      <c r="N324" s="527"/>
      <c r="O324" s="527"/>
    </row>
    <row r="325" spans="8:15" x14ac:dyDescent="0.25">
      <c r="H325" s="527"/>
      <c r="I325" s="527"/>
      <c r="K325" s="527"/>
      <c r="L325" s="527"/>
      <c r="M325" s="527"/>
      <c r="N325" s="527"/>
      <c r="O325" s="527"/>
    </row>
    <row r="326" spans="8:15" x14ac:dyDescent="0.25">
      <c r="H326" s="527"/>
      <c r="I326" s="527"/>
      <c r="K326" s="527"/>
      <c r="L326" s="527"/>
      <c r="M326" s="527"/>
      <c r="N326" s="527"/>
      <c r="O326" s="527"/>
    </row>
    <row r="327" spans="8:15" x14ac:dyDescent="0.25">
      <c r="H327" s="527"/>
      <c r="I327" s="527"/>
      <c r="K327" s="527"/>
      <c r="L327" s="527"/>
      <c r="M327" s="527"/>
      <c r="N327" s="527"/>
      <c r="O327" s="527"/>
    </row>
    <row r="328" spans="8:15" x14ac:dyDescent="0.25">
      <c r="H328" s="527"/>
      <c r="I328" s="527"/>
      <c r="K328" s="527"/>
      <c r="L328" s="527"/>
      <c r="M328" s="527"/>
      <c r="N328" s="527"/>
      <c r="O328" s="527"/>
    </row>
    <row r="329" spans="8:15" x14ac:dyDescent="0.25">
      <c r="H329" s="527"/>
      <c r="I329" s="527"/>
      <c r="K329" s="527"/>
      <c r="L329" s="527"/>
      <c r="M329" s="527"/>
      <c r="N329" s="527"/>
      <c r="O329" s="527"/>
    </row>
    <row r="330" spans="8:15" x14ac:dyDescent="0.25">
      <c r="H330" s="527"/>
      <c r="I330" s="527"/>
      <c r="K330" s="527"/>
      <c r="L330" s="527"/>
      <c r="M330" s="527"/>
      <c r="N330" s="527"/>
      <c r="O330" s="527"/>
    </row>
    <row r="331" spans="8:15" x14ac:dyDescent="0.25">
      <c r="H331" s="527"/>
      <c r="I331" s="527"/>
      <c r="K331" s="527"/>
      <c r="L331" s="527"/>
      <c r="M331" s="527"/>
      <c r="N331" s="527"/>
      <c r="O331" s="527"/>
    </row>
    <row r="332" spans="8:15" x14ac:dyDescent="0.25">
      <c r="H332" s="527"/>
      <c r="I332" s="527"/>
      <c r="K332" s="527"/>
      <c r="L332" s="527"/>
      <c r="M332" s="527"/>
      <c r="N332" s="527"/>
      <c r="O332" s="527"/>
    </row>
    <row r="333" spans="8:15" x14ac:dyDescent="0.25">
      <c r="H333" s="527"/>
      <c r="I333" s="527"/>
      <c r="K333" s="527"/>
      <c r="L333" s="527"/>
      <c r="M333" s="527"/>
      <c r="N333" s="527"/>
      <c r="O333" s="527"/>
    </row>
    <row r="334" spans="8:15" x14ac:dyDescent="0.25">
      <c r="H334" s="527"/>
      <c r="I334" s="527"/>
      <c r="K334" s="527"/>
      <c r="L334" s="527"/>
      <c r="M334" s="527"/>
      <c r="N334" s="527"/>
      <c r="O334" s="527"/>
    </row>
    <row r="335" spans="8:15" x14ac:dyDescent="0.25">
      <c r="H335" s="527"/>
      <c r="I335" s="527"/>
      <c r="K335" s="527"/>
      <c r="L335" s="527"/>
      <c r="M335" s="527"/>
      <c r="N335" s="527"/>
      <c r="O335" s="527"/>
    </row>
    <row r="336" spans="8:15" x14ac:dyDescent="0.25">
      <c r="H336" s="527"/>
      <c r="I336" s="527"/>
      <c r="K336" s="527"/>
      <c r="L336" s="527"/>
      <c r="M336" s="527"/>
      <c r="N336" s="527"/>
      <c r="O336" s="527"/>
    </row>
    <row r="337" spans="8:15" x14ac:dyDescent="0.25">
      <c r="H337" s="527"/>
      <c r="I337" s="527"/>
      <c r="K337" s="527"/>
      <c r="L337" s="527"/>
      <c r="M337" s="527"/>
      <c r="N337" s="527"/>
      <c r="O337" s="527"/>
    </row>
    <row r="338" spans="8:15" x14ac:dyDescent="0.25">
      <c r="H338" s="527"/>
      <c r="I338" s="527"/>
      <c r="K338" s="527"/>
      <c r="L338" s="527"/>
      <c r="M338" s="527"/>
      <c r="N338" s="527"/>
      <c r="O338" s="527"/>
    </row>
    <row r="339" spans="8:15" x14ac:dyDescent="0.25">
      <c r="H339" s="527"/>
      <c r="I339" s="527"/>
      <c r="K339" s="527"/>
      <c r="L339" s="527"/>
      <c r="M339" s="527"/>
      <c r="N339" s="527"/>
      <c r="O339" s="527"/>
    </row>
    <row r="340" spans="8:15" x14ac:dyDescent="0.25">
      <c r="H340" s="527"/>
      <c r="I340" s="527"/>
      <c r="K340" s="527"/>
      <c r="L340" s="527"/>
      <c r="M340" s="527"/>
      <c r="N340" s="527"/>
      <c r="O340" s="527"/>
    </row>
    <row r="341" spans="8:15" x14ac:dyDescent="0.25">
      <c r="H341" s="527"/>
      <c r="I341" s="527"/>
      <c r="K341" s="527"/>
      <c r="L341" s="527"/>
      <c r="M341" s="527"/>
      <c r="N341" s="527"/>
      <c r="O341" s="527"/>
    </row>
    <row r="342" spans="8:15" x14ac:dyDescent="0.25">
      <c r="H342" s="527"/>
      <c r="I342" s="527"/>
      <c r="K342" s="527"/>
      <c r="L342" s="527"/>
      <c r="M342" s="527"/>
      <c r="N342" s="527"/>
      <c r="O342" s="527"/>
    </row>
    <row r="343" spans="8:15" x14ac:dyDescent="0.25">
      <c r="H343" s="527"/>
      <c r="I343" s="527"/>
      <c r="K343" s="527"/>
      <c r="L343" s="527"/>
      <c r="M343" s="527"/>
      <c r="N343" s="527"/>
      <c r="O343" s="527"/>
    </row>
    <row r="344" spans="8:15" x14ac:dyDescent="0.25">
      <c r="H344" s="527"/>
      <c r="I344" s="527"/>
      <c r="K344" s="527"/>
      <c r="L344" s="527"/>
      <c r="M344" s="527"/>
      <c r="N344" s="527"/>
      <c r="O344" s="527"/>
    </row>
    <row r="345" spans="8:15" x14ac:dyDescent="0.25">
      <c r="H345" s="527"/>
      <c r="I345" s="527"/>
      <c r="K345" s="527"/>
      <c r="L345" s="527"/>
      <c r="M345" s="527"/>
      <c r="N345" s="527"/>
      <c r="O345" s="527"/>
    </row>
    <row r="346" spans="8:15" x14ac:dyDescent="0.25">
      <c r="H346" s="527"/>
      <c r="I346" s="527"/>
      <c r="K346" s="527"/>
      <c r="L346" s="527"/>
      <c r="M346" s="527"/>
      <c r="N346" s="527"/>
      <c r="O346" s="527"/>
    </row>
    <row r="347" spans="8:15" x14ac:dyDescent="0.25">
      <c r="H347" s="527"/>
      <c r="I347" s="527"/>
      <c r="K347" s="527"/>
      <c r="L347" s="527"/>
      <c r="M347" s="527"/>
      <c r="N347" s="527"/>
      <c r="O347" s="527"/>
    </row>
    <row r="348" spans="8:15" x14ac:dyDescent="0.25">
      <c r="H348" s="527"/>
      <c r="I348" s="527"/>
      <c r="K348" s="527"/>
      <c r="L348" s="527"/>
      <c r="M348" s="527"/>
      <c r="N348" s="527"/>
      <c r="O348" s="527"/>
    </row>
    <row r="349" spans="8:15" x14ac:dyDescent="0.25">
      <c r="H349" s="527"/>
      <c r="I349" s="527"/>
      <c r="K349" s="527"/>
      <c r="L349" s="527"/>
      <c r="M349" s="527"/>
      <c r="N349" s="527"/>
      <c r="O349" s="527"/>
    </row>
    <row r="350" spans="8:15" x14ac:dyDescent="0.25">
      <c r="H350" s="527"/>
      <c r="I350" s="527"/>
      <c r="K350" s="527"/>
      <c r="L350" s="527"/>
      <c r="M350" s="527"/>
      <c r="N350" s="527"/>
      <c r="O350" s="527"/>
    </row>
    <row r="351" spans="8:15" x14ac:dyDescent="0.25">
      <c r="H351" s="527"/>
      <c r="I351" s="527"/>
      <c r="K351" s="527"/>
      <c r="L351" s="527"/>
      <c r="M351" s="527"/>
      <c r="N351" s="527"/>
      <c r="O351" s="527"/>
    </row>
    <row r="352" spans="8:15" x14ac:dyDescent="0.25">
      <c r="H352" s="527"/>
      <c r="I352" s="527"/>
      <c r="K352" s="527"/>
      <c r="L352" s="527"/>
      <c r="M352" s="527"/>
      <c r="N352" s="527"/>
      <c r="O352" s="527"/>
    </row>
    <row r="353" spans="8:15" x14ac:dyDescent="0.25">
      <c r="H353" s="527"/>
      <c r="I353" s="527"/>
      <c r="K353" s="527"/>
      <c r="L353" s="527"/>
      <c r="M353" s="527"/>
      <c r="N353" s="527"/>
      <c r="O353" s="527"/>
    </row>
    <row r="354" spans="8:15" x14ac:dyDescent="0.25">
      <c r="H354" s="527"/>
      <c r="I354" s="527"/>
      <c r="K354" s="527"/>
      <c r="L354" s="527"/>
      <c r="M354" s="527"/>
      <c r="N354" s="527"/>
      <c r="O354" s="527"/>
    </row>
    <row r="355" spans="8:15" x14ac:dyDescent="0.25">
      <c r="H355" s="527"/>
      <c r="I355" s="527"/>
      <c r="K355" s="527"/>
      <c r="L355" s="527"/>
      <c r="M355" s="527"/>
      <c r="N355" s="527"/>
      <c r="O355" s="527"/>
    </row>
    <row r="356" spans="8:15" x14ac:dyDescent="0.25">
      <c r="H356" s="527"/>
      <c r="I356" s="527"/>
      <c r="K356" s="527"/>
      <c r="L356" s="527"/>
      <c r="M356" s="527"/>
      <c r="N356" s="527"/>
      <c r="O356" s="527"/>
    </row>
    <row r="357" spans="8:15" x14ac:dyDescent="0.25">
      <c r="H357" s="527"/>
      <c r="I357" s="527"/>
      <c r="K357" s="527"/>
      <c r="L357" s="527"/>
      <c r="M357" s="527"/>
      <c r="N357" s="527"/>
      <c r="O357" s="527"/>
    </row>
    <row r="358" spans="8:15" x14ac:dyDescent="0.25">
      <c r="H358" s="527"/>
      <c r="I358" s="527"/>
      <c r="K358" s="527"/>
      <c r="L358" s="527"/>
      <c r="M358" s="527"/>
      <c r="N358" s="527"/>
      <c r="O358" s="527"/>
    </row>
    <row r="359" spans="8:15" x14ac:dyDescent="0.25">
      <c r="H359" s="527"/>
      <c r="I359" s="527"/>
      <c r="K359" s="527"/>
      <c r="L359" s="527"/>
      <c r="M359" s="527"/>
      <c r="N359" s="527"/>
      <c r="O359" s="527"/>
    </row>
  </sheetData>
  <sheetProtection algorithmName="SHA-512" hashValue="EZ2YLUngoXrCApNsctQA5/62eLUPEV5gcvxe1iQoy8ZMuUKIUbKzGjAytYzL6q0Gz27BrLFUiFd4amD4zM2DVg==" saltValue="yGRS8Darv4aEIRVkc0BRvw==" spinCount="100000" sheet="1" formatColumns="0" formatRows="0"/>
  <mergeCells count="13">
    <mergeCell ref="J10:K10"/>
    <mergeCell ref="C15:K15"/>
    <mergeCell ref="C27:K27"/>
    <mergeCell ref="C11:K11"/>
    <mergeCell ref="J22:K22"/>
    <mergeCell ref="J239:K239"/>
    <mergeCell ref="C248:K248"/>
    <mergeCell ref="C249:K249"/>
    <mergeCell ref="C217:K217"/>
    <mergeCell ref="C218:K218"/>
    <mergeCell ref="C236:K236"/>
    <mergeCell ref="C237:K237"/>
    <mergeCell ref="J238:K238"/>
  </mergeCells>
  <conditionalFormatting sqref="Q29">
    <cfRule type="expression" dxfId="131" priority="10">
      <formula>$F$27="Pago Bajo Puntual"</formula>
    </cfRule>
  </conditionalFormatting>
  <conditionalFormatting sqref="P214">
    <cfRule type="expression" dxfId="130" priority="6">
      <formula>$P$214=0</formula>
    </cfRule>
  </conditionalFormatting>
  <dataValidations disablePrompts="1" count="2">
    <dataValidation type="list" allowBlank="1" showInputMessage="1" showErrorMessage="1" sqref="F29" xr:uid="{00000000-0002-0000-0700-000000000000}">
      <formula1>"No Aplica,1 mes,2 meses,3 meses"</formula1>
    </dataValidation>
    <dataValidation type="whole" allowBlank="1" showInputMessage="1" showErrorMessage="1" errorTitle="Monto Mayor al Permitido" error="El monto de la línea redisponible no puede ser mayor a $1,000,000 de pesos" promptTitle="Monto Solicitado de Liquidez" prompt="Ingresa el monto solicitado por el cliente del crédito de Liquidez de la línea Redisponible, recuerda que no puede ser mayor a la línea autorizada por Riesgos " sqref="E21" xr:uid="{00000000-0002-0000-0700-000004000000}">
      <formula1>0</formula1>
      <formula2>1000000</formula2>
    </dataValidation>
  </dataValidations>
  <printOptions horizontalCentered="1"/>
  <pageMargins left="0.23622047244094491" right="0.23622047244094491" top="0.74803149606299213" bottom="0.74803149606299213" header="0.31496062992125984" footer="0.31496062992125984"/>
  <pageSetup scale="32" orientation="landscape" r:id="rId1"/>
  <headerFooter>
    <oddFooter>&amp;C&amp;1#&amp;"Calibri"&amp;10&amp;K000000PUBLIC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57AB-45EC-464E-9ECE-41C4D4963F61}">
  <sheetPr codeName="Hoja19"/>
  <dimension ref="A1:D545"/>
  <sheetViews>
    <sheetView workbookViewId="0">
      <selection activeCell="A2" sqref="A2"/>
    </sheetView>
  </sheetViews>
  <sheetFormatPr baseColWidth="10" defaultRowHeight="15" x14ac:dyDescent="0.25"/>
  <cols>
    <col min="1" max="1" width="10.42578125" style="582" bestFit="1" customWidth="1"/>
    <col min="2" max="2" width="15.42578125" bestFit="1" customWidth="1"/>
    <col min="3" max="3" width="34.28515625" bestFit="1" customWidth="1"/>
  </cols>
  <sheetData>
    <row r="1" spans="1:4" x14ac:dyDescent="0.25">
      <c r="A1" s="583" t="s">
        <v>456</v>
      </c>
      <c r="B1" s="581" t="s">
        <v>457</v>
      </c>
      <c r="C1" s="581" t="s">
        <v>458</v>
      </c>
      <c r="D1" s="581" t="s">
        <v>37</v>
      </c>
    </row>
    <row r="2" spans="1:4" x14ac:dyDescent="0.25">
      <c r="A2" s="582">
        <v>45658</v>
      </c>
      <c r="B2" t="s">
        <v>449</v>
      </c>
      <c r="C2" t="s">
        <v>441</v>
      </c>
      <c r="D2">
        <v>2025</v>
      </c>
    </row>
    <row r="3" spans="1:4" x14ac:dyDescent="0.25">
      <c r="A3" s="582">
        <v>45691</v>
      </c>
      <c r="B3" t="s">
        <v>450</v>
      </c>
      <c r="C3" t="s">
        <v>442</v>
      </c>
      <c r="D3">
        <v>2025</v>
      </c>
    </row>
    <row r="4" spans="1:4" x14ac:dyDescent="0.25">
      <c r="A4" s="582">
        <v>45733</v>
      </c>
      <c r="B4" t="s">
        <v>450</v>
      </c>
      <c r="C4" t="s">
        <v>443</v>
      </c>
      <c r="D4">
        <v>2025</v>
      </c>
    </row>
    <row r="5" spans="1:4" x14ac:dyDescent="0.25">
      <c r="A5" s="582">
        <v>45778</v>
      </c>
      <c r="B5" t="s">
        <v>451</v>
      </c>
      <c r="C5" t="s">
        <v>444</v>
      </c>
      <c r="D5">
        <v>2025</v>
      </c>
    </row>
    <row r="6" spans="1:4" x14ac:dyDescent="0.25">
      <c r="A6" s="582">
        <v>45916</v>
      </c>
      <c r="B6" t="s">
        <v>452</v>
      </c>
      <c r="C6" t="s">
        <v>445</v>
      </c>
      <c r="D6">
        <v>2025</v>
      </c>
    </row>
    <row r="7" spans="1:4" x14ac:dyDescent="0.25">
      <c r="A7" s="582">
        <v>45978</v>
      </c>
      <c r="B7" t="s">
        <v>450</v>
      </c>
      <c r="C7" t="s">
        <v>446</v>
      </c>
      <c r="D7">
        <v>2025</v>
      </c>
    </row>
    <row r="8" spans="1:4" x14ac:dyDescent="0.25">
      <c r="A8" s="582">
        <v>46016</v>
      </c>
      <c r="B8" t="s">
        <v>451</v>
      </c>
      <c r="C8" t="s">
        <v>447</v>
      </c>
      <c r="D8">
        <v>2025</v>
      </c>
    </row>
    <row r="9" spans="1:4" x14ac:dyDescent="0.25">
      <c r="A9" s="582">
        <v>46023</v>
      </c>
      <c r="B9" t="s">
        <v>451</v>
      </c>
      <c r="C9" t="s">
        <v>441</v>
      </c>
      <c r="D9">
        <v>2026</v>
      </c>
    </row>
    <row r="10" spans="1:4" x14ac:dyDescent="0.25">
      <c r="A10" s="582">
        <v>46055</v>
      </c>
      <c r="B10" t="s">
        <v>450</v>
      </c>
      <c r="C10" t="s">
        <v>442</v>
      </c>
      <c r="D10">
        <v>2026</v>
      </c>
    </row>
    <row r="11" spans="1:4" x14ac:dyDescent="0.25">
      <c r="A11" s="582">
        <v>46097</v>
      </c>
      <c r="B11" t="s">
        <v>450</v>
      </c>
      <c r="C11" t="s">
        <v>443</v>
      </c>
      <c r="D11">
        <v>2026</v>
      </c>
    </row>
    <row r="12" spans="1:4" x14ac:dyDescent="0.25">
      <c r="A12" s="582">
        <v>46143</v>
      </c>
      <c r="B12" t="s">
        <v>453</v>
      </c>
      <c r="C12" t="s">
        <v>444</v>
      </c>
      <c r="D12">
        <v>2026</v>
      </c>
    </row>
    <row r="13" spans="1:4" x14ac:dyDescent="0.25">
      <c r="A13" s="582">
        <v>46281</v>
      </c>
      <c r="B13" t="s">
        <v>449</v>
      </c>
      <c r="C13" t="s">
        <v>445</v>
      </c>
      <c r="D13">
        <v>2026</v>
      </c>
    </row>
    <row r="14" spans="1:4" x14ac:dyDescent="0.25">
      <c r="A14" s="582">
        <v>46342</v>
      </c>
      <c r="B14" t="s">
        <v>450</v>
      </c>
      <c r="C14" t="s">
        <v>446</v>
      </c>
      <c r="D14">
        <v>2026</v>
      </c>
    </row>
    <row r="15" spans="1:4" x14ac:dyDescent="0.25">
      <c r="A15" s="582">
        <v>46381</v>
      </c>
      <c r="B15" t="s">
        <v>453</v>
      </c>
      <c r="C15" t="s">
        <v>447</v>
      </c>
      <c r="D15">
        <v>2026</v>
      </c>
    </row>
    <row r="16" spans="1:4" x14ac:dyDescent="0.25">
      <c r="A16" s="582">
        <v>46388</v>
      </c>
      <c r="B16" t="s">
        <v>453</v>
      </c>
      <c r="C16" t="s">
        <v>441</v>
      </c>
      <c r="D16">
        <v>2027</v>
      </c>
    </row>
    <row r="17" spans="1:4" x14ac:dyDescent="0.25">
      <c r="A17" s="582">
        <v>46419</v>
      </c>
      <c r="B17" t="s">
        <v>450</v>
      </c>
      <c r="C17" t="s">
        <v>442</v>
      </c>
      <c r="D17">
        <v>2027</v>
      </c>
    </row>
    <row r="18" spans="1:4" x14ac:dyDescent="0.25">
      <c r="A18" s="582">
        <v>46461</v>
      </c>
      <c r="B18" t="s">
        <v>450</v>
      </c>
      <c r="C18" t="s">
        <v>443</v>
      </c>
      <c r="D18">
        <v>2027</v>
      </c>
    </row>
    <row r="19" spans="1:4" x14ac:dyDescent="0.25">
      <c r="A19" s="582">
        <v>46508</v>
      </c>
      <c r="B19" t="s">
        <v>454</v>
      </c>
      <c r="C19" t="s">
        <v>444</v>
      </c>
      <c r="D19">
        <v>2027</v>
      </c>
    </row>
    <row r="20" spans="1:4" x14ac:dyDescent="0.25">
      <c r="A20" s="582">
        <v>46646</v>
      </c>
      <c r="B20" t="s">
        <v>451</v>
      </c>
      <c r="C20" t="s">
        <v>445</v>
      </c>
      <c r="D20">
        <v>2027</v>
      </c>
    </row>
    <row r="21" spans="1:4" x14ac:dyDescent="0.25">
      <c r="A21" s="582">
        <v>46706</v>
      </c>
      <c r="B21" t="s">
        <v>450</v>
      </c>
      <c r="C21" t="s">
        <v>446</v>
      </c>
      <c r="D21">
        <v>2027</v>
      </c>
    </row>
    <row r="22" spans="1:4" x14ac:dyDescent="0.25">
      <c r="A22" s="582">
        <v>46746</v>
      </c>
      <c r="B22" t="s">
        <v>454</v>
      </c>
      <c r="C22" t="s">
        <v>447</v>
      </c>
      <c r="D22">
        <v>2027</v>
      </c>
    </row>
    <row r="23" spans="1:4" x14ac:dyDescent="0.25">
      <c r="A23" s="582">
        <v>46753</v>
      </c>
      <c r="B23" t="s">
        <v>454</v>
      </c>
      <c r="C23" t="s">
        <v>441</v>
      </c>
      <c r="D23">
        <v>2028</v>
      </c>
    </row>
    <row r="24" spans="1:4" x14ac:dyDescent="0.25">
      <c r="A24" s="582">
        <v>46790</v>
      </c>
      <c r="B24" t="s">
        <v>450</v>
      </c>
      <c r="C24" t="s">
        <v>442</v>
      </c>
      <c r="D24">
        <v>2028</v>
      </c>
    </row>
    <row r="25" spans="1:4" x14ac:dyDescent="0.25">
      <c r="A25" s="582">
        <v>46832</v>
      </c>
      <c r="B25" t="s">
        <v>450</v>
      </c>
      <c r="C25" t="s">
        <v>443</v>
      </c>
      <c r="D25">
        <v>2028</v>
      </c>
    </row>
    <row r="26" spans="1:4" x14ac:dyDescent="0.25">
      <c r="A26" s="582">
        <v>46874</v>
      </c>
      <c r="B26" t="s">
        <v>450</v>
      </c>
      <c r="C26" t="s">
        <v>444</v>
      </c>
      <c r="D26">
        <v>2028</v>
      </c>
    </row>
    <row r="27" spans="1:4" x14ac:dyDescent="0.25">
      <c r="A27" s="582">
        <v>47012</v>
      </c>
      <c r="B27" t="s">
        <v>454</v>
      </c>
      <c r="C27" t="s">
        <v>445</v>
      </c>
      <c r="D27">
        <v>2028</v>
      </c>
    </row>
    <row r="28" spans="1:4" x14ac:dyDescent="0.25">
      <c r="A28" s="582">
        <v>47077</v>
      </c>
      <c r="B28" t="s">
        <v>450</v>
      </c>
      <c r="C28" t="s">
        <v>446</v>
      </c>
      <c r="D28">
        <v>2028</v>
      </c>
    </row>
    <row r="29" spans="1:4" x14ac:dyDescent="0.25">
      <c r="A29" s="582">
        <v>47112</v>
      </c>
      <c r="B29" t="s">
        <v>450</v>
      </c>
      <c r="C29" t="s">
        <v>447</v>
      </c>
      <c r="D29">
        <v>2028</v>
      </c>
    </row>
    <row r="30" spans="1:4" x14ac:dyDescent="0.25">
      <c r="A30" s="582">
        <v>47119</v>
      </c>
      <c r="B30" t="s">
        <v>450</v>
      </c>
      <c r="C30" t="s">
        <v>441</v>
      </c>
      <c r="D30">
        <v>2029</v>
      </c>
    </row>
    <row r="31" spans="1:4" x14ac:dyDescent="0.25">
      <c r="A31" s="582">
        <v>47154</v>
      </c>
      <c r="B31" t="s">
        <v>450</v>
      </c>
      <c r="C31" t="s">
        <v>442</v>
      </c>
      <c r="D31">
        <v>2029</v>
      </c>
    </row>
    <row r="32" spans="1:4" x14ac:dyDescent="0.25">
      <c r="A32" s="582">
        <v>47196</v>
      </c>
      <c r="B32" t="s">
        <v>450</v>
      </c>
      <c r="C32" t="s">
        <v>443</v>
      </c>
      <c r="D32">
        <v>2029</v>
      </c>
    </row>
    <row r="33" spans="1:4" x14ac:dyDescent="0.25">
      <c r="A33" s="582">
        <v>47239</v>
      </c>
      <c r="B33" t="s">
        <v>452</v>
      </c>
      <c r="C33" t="s">
        <v>444</v>
      </c>
      <c r="D33">
        <v>2029</v>
      </c>
    </row>
    <row r="34" spans="1:4" x14ac:dyDescent="0.25">
      <c r="A34" s="582">
        <v>47377</v>
      </c>
      <c r="B34" t="s">
        <v>455</v>
      </c>
      <c r="C34" t="s">
        <v>445</v>
      </c>
      <c r="D34">
        <v>2029</v>
      </c>
    </row>
    <row r="35" spans="1:4" x14ac:dyDescent="0.25">
      <c r="A35" s="582">
        <v>47441</v>
      </c>
      <c r="B35" t="s">
        <v>450</v>
      </c>
      <c r="C35" t="s">
        <v>446</v>
      </c>
      <c r="D35">
        <v>2029</v>
      </c>
    </row>
    <row r="36" spans="1:4" x14ac:dyDescent="0.25">
      <c r="A36" s="582">
        <v>47477</v>
      </c>
      <c r="B36" t="s">
        <v>452</v>
      </c>
      <c r="C36" t="s">
        <v>447</v>
      </c>
      <c r="D36">
        <v>2029</v>
      </c>
    </row>
    <row r="37" spans="1:4" x14ac:dyDescent="0.25">
      <c r="A37" s="582">
        <v>47484</v>
      </c>
      <c r="B37" t="s">
        <v>452</v>
      </c>
      <c r="C37" t="s">
        <v>441</v>
      </c>
      <c r="D37">
        <v>2030</v>
      </c>
    </row>
    <row r="38" spans="1:4" x14ac:dyDescent="0.25">
      <c r="A38" s="582">
        <v>47518</v>
      </c>
      <c r="B38" t="s">
        <v>450</v>
      </c>
      <c r="C38" t="s">
        <v>442</v>
      </c>
      <c r="D38">
        <v>2030</v>
      </c>
    </row>
    <row r="39" spans="1:4" x14ac:dyDescent="0.25">
      <c r="A39" s="582">
        <v>47560</v>
      </c>
      <c r="B39" t="s">
        <v>450</v>
      </c>
      <c r="C39" t="s">
        <v>443</v>
      </c>
      <c r="D39">
        <v>2030</v>
      </c>
    </row>
    <row r="40" spans="1:4" x14ac:dyDescent="0.25">
      <c r="A40" s="582">
        <v>47604</v>
      </c>
      <c r="B40" t="s">
        <v>449</v>
      </c>
      <c r="C40" t="s">
        <v>444</v>
      </c>
      <c r="D40">
        <v>2030</v>
      </c>
    </row>
    <row r="41" spans="1:4" x14ac:dyDescent="0.25">
      <c r="A41" s="582">
        <v>47742</v>
      </c>
      <c r="B41" t="s">
        <v>450</v>
      </c>
      <c r="C41" t="s">
        <v>445</v>
      </c>
      <c r="D41">
        <v>2030</v>
      </c>
    </row>
    <row r="42" spans="1:4" x14ac:dyDescent="0.25">
      <c r="A42" s="582">
        <v>47805</v>
      </c>
      <c r="B42" t="s">
        <v>450</v>
      </c>
      <c r="C42" t="s">
        <v>446</v>
      </c>
      <c r="D42">
        <v>2030</v>
      </c>
    </row>
    <row r="43" spans="1:4" x14ac:dyDescent="0.25">
      <c r="A43" s="582">
        <v>47818</v>
      </c>
      <c r="B43" t="s">
        <v>455</v>
      </c>
      <c r="C43" t="s">
        <v>448</v>
      </c>
      <c r="D43">
        <v>2030</v>
      </c>
    </row>
    <row r="44" spans="1:4" x14ac:dyDescent="0.25">
      <c r="A44" s="582">
        <v>47842</v>
      </c>
      <c r="B44" t="s">
        <v>449</v>
      </c>
      <c r="C44" t="s">
        <v>447</v>
      </c>
      <c r="D44">
        <v>2030</v>
      </c>
    </row>
    <row r="45" spans="1:4" x14ac:dyDescent="0.25">
      <c r="A45" s="582">
        <v>47849</v>
      </c>
      <c r="B45" t="s">
        <v>449</v>
      </c>
      <c r="C45" t="s">
        <v>441</v>
      </c>
      <c r="D45">
        <v>2031</v>
      </c>
    </row>
    <row r="46" spans="1:4" x14ac:dyDescent="0.25">
      <c r="A46" s="582">
        <v>47882</v>
      </c>
      <c r="B46" t="s">
        <v>450</v>
      </c>
      <c r="C46" t="s">
        <v>442</v>
      </c>
      <c r="D46">
        <v>2031</v>
      </c>
    </row>
    <row r="47" spans="1:4" x14ac:dyDescent="0.25">
      <c r="A47" s="582">
        <v>47924</v>
      </c>
      <c r="B47" t="s">
        <v>450</v>
      </c>
      <c r="C47" t="s">
        <v>443</v>
      </c>
      <c r="D47">
        <v>2031</v>
      </c>
    </row>
    <row r="48" spans="1:4" x14ac:dyDescent="0.25">
      <c r="A48" s="582">
        <v>47969</v>
      </c>
      <c r="B48" t="s">
        <v>451</v>
      </c>
      <c r="C48" t="s">
        <v>444</v>
      </c>
      <c r="D48">
        <v>2031</v>
      </c>
    </row>
    <row r="49" spans="1:4" x14ac:dyDescent="0.25">
      <c r="A49" s="582">
        <v>48107</v>
      </c>
      <c r="B49" t="s">
        <v>452</v>
      </c>
      <c r="C49" t="s">
        <v>445</v>
      </c>
      <c r="D49">
        <v>2031</v>
      </c>
    </row>
    <row r="50" spans="1:4" x14ac:dyDescent="0.25">
      <c r="A50" s="582">
        <v>48169</v>
      </c>
      <c r="B50" t="s">
        <v>450</v>
      </c>
      <c r="C50" t="s">
        <v>446</v>
      </c>
      <c r="D50">
        <v>2031</v>
      </c>
    </row>
    <row r="51" spans="1:4" x14ac:dyDescent="0.25">
      <c r="A51" s="582">
        <v>48207</v>
      </c>
      <c r="B51" t="s">
        <v>451</v>
      </c>
      <c r="C51" t="s">
        <v>447</v>
      </c>
      <c r="D51">
        <v>2031</v>
      </c>
    </row>
    <row r="52" spans="1:4" x14ac:dyDescent="0.25">
      <c r="A52" s="582">
        <v>48214</v>
      </c>
      <c r="B52" t="s">
        <v>451</v>
      </c>
      <c r="C52" t="s">
        <v>441</v>
      </c>
      <c r="D52">
        <v>2032</v>
      </c>
    </row>
    <row r="53" spans="1:4" x14ac:dyDescent="0.25">
      <c r="A53" s="582">
        <v>48246</v>
      </c>
      <c r="B53" t="s">
        <v>450</v>
      </c>
      <c r="C53" t="s">
        <v>442</v>
      </c>
      <c r="D53">
        <v>2032</v>
      </c>
    </row>
    <row r="54" spans="1:4" x14ac:dyDescent="0.25">
      <c r="A54" s="582">
        <v>48288</v>
      </c>
      <c r="B54" t="s">
        <v>450</v>
      </c>
      <c r="C54" t="s">
        <v>443</v>
      </c>
      <c r="D54">
        <v>2032</v>
      </c>
    </row>
    <row r="55" spans="1:4" x14ac:dyDescent="0.25">
      <c r="A55" s="582">
        <v>48335</v>
      </c>
      <c r="B55" t="s">
        <v>454</v>
      </c>
      <c r="C55" t="s">
        <v>444</v>
      </c>
      <c r="D55">
        <v>2032</v>
      </c>
    </row>
    <row r="56" spans="1:4" x14ac:dyDescent="0.25">
      <c r="A56" s="582">
        <v>48473</v>
      </c>
      <c r="B56" t="s">
        <v>451</v>
      </c>
      <c r="C56" t="s">
        <v>445</v>
      </c>
      <c r="D56">
        <v>2032</v>
      </c>
    </row>
    <row r="57" spans="1:4" x14ac:dyDescent="0.25">
      <c r="A57" s="582">
        <v>48533</v>
      </c>
      <c r="B57" t="s">
        <v>450</v>
      </c>
      <c r="C57" t="s">
        <v>446</v>
      </c>
      <c r="D57">
        <v>2032</v>
      </c>
    </row>
    <row r="58" spans="1:4" x14ac:dyDescent="0.25">
      <c r="A58" s="582">
        <v>48573</v>
      </c>
      <c r="B58" t="s">
        <v>454</v>
      </c>
      <c r="C58" t="s">
        <v>447</v>
      </c>
      <c r="D58">
        <v>2032</v>
      </c>
    </row>
    <row r="59" spans="1:4" x14ac:dyDescent="0.25">
      <c r="A59" s="582">
        <v>48580</v>
      </c>
      <c r="B59" t="s">
        <v>454</v>
      </c>
      <c r="C59" t="s">
        <v>441</v>
      </c>
      <c r="D59">
        <v>2033</v>
      </c>
    </row>
    <row r="60" spans="1:4" x14ac:dyDescent="0.25">
      <c r="A60" s="582">
        <v>48617</v>
      </c>
      <c r="B60" t="s">
        <v>450</v>
      </c>
      <c r="C60" t="s">
        <v>442</v>
      </c>
      <c r="D60">
        <v>2033</v>
      </c>
    </row>
    <row r="61" spans="1:4" x14ac:dyDescent="0.25">
      <c r="A61" s="582">
        <v>48659</v>
      </c>
      <c r="B61" t="s">
        <v>450</v>
      </c>
      <c r="C61" t="s">
        <v>443</v>
      </c>
      <c r="D61">
        <v>2033</v>
      </c>
    </row>
    <row r="62" spans="1:4" x14ac:dyDescent="0.25">
      <c r="A62" s="582">
        <v>48700</v>
      </c>
      <c r="B62" t="s">
        <v>455</v>
      </c>
      <c r="C62" t="s">
        <v>444</v>
      </c>
      <c r="D62">
        <v>2033</v>
      </c>
    </row>
    <row r="63" spans="1:4" x14ac:dyDescent="0.25">
      <c r="A63" s="582">
        <v>48838</v>
      </c>
      <c r="B63" t="s">
        <v>453</v>
      </c>
      <c r="C63" t="s">
        <v>445</v>
      </c>
      <c r="D63">
        <v>2033</v>
      </c>
    </row>
    <row r="64" spans="1:4" x14ac:dyDescent="0.25">
      <c r="A64" s="582">
        <v>48904</v>
      </c>
      <c r="B64" t="s">
        <v>450</v>
      </c>
      <c r="C64" t="s">
        <v>446</v>
      </c>
      <c r="D64">
        <v>2033</v>
      </c>
    </row>
    <row r="65" spans="1:4" x14ac:dyDescent="0.25">
      <c r="A65" s="582">
        <v>48938</v>
      </c>
      <c r="B65" t="s">
        <v>455</v>
      </c>
      <c r="C65" t="s">
        <v>447</v>
      </c>
      <c r="D65">
        <v>2033</v>
      </c>
    </row>
    <row r="66" spans="1:4" x14ac:dyDescent="0.25">
      <c r="A66" s="582">
        <v>48945</v>
      </c>
      <c r="B66" t="s">
        <v>455</v>
      </c>
      <c r="C66" t="s">
        <v>441</v>
      </c>
      <c r="D66">
        <v>2034</v>
      </c>
    </row>
    <row r="67" spans="1:4" x14ac:dyDescent="0.25">
      <c r="A67" s="582">
        <v>48981</v>
      </c>
      <c r="B67" t="s">
        <v>450</v>
      </c>
      <c r="C67" t="s">
        <v>442</v>
      </c>
      <c r="D67">
        <v>2034</v>
      </c>
    </row>
    <row r="68" spans="1:4" x14ac:dyDescent="0.25">
      <c r="A68" s="582">
        <v>49023</v>
      </c>
      <c r="B68" t="s">
        <v>450</v>
      </c>
      <c r="C68" t="s">
        <v>443</v>
      </c>
      <c r="D68">
        <v>2034</v>
      </c>
    </row>
    <row r="69" spans="1:4" x14ac:dyDescent="0.25">
      <c r="A69" s="582">
        <v>49065</v>
      </c>
      <c r="B69" t="s">
        <v>450</v>
      </c>
      <c r="C69" t="s">
        <v>444</v>
      </c>
      <c r="D69">
        <v>2034</v>
      </c>
    </row>
    <row r="70" spans="1:4" x14ac:dyDescent="0.25">
      <c r="A70" s="582">
        <v>49203</v>
      </c>
      <c r="B70" t="s">
        <v>454</v>
      </c>
      <c r="C70" t="s">
        <v>445</v>
      </c>
      <c r="D70">
        <v>2034</v>
      </c>
    </row>
    <row r="71" spans="1:4" x14ac:dyDescent="0.25">
      <c r="A71" s="582">
        <v>49268</v>
      </c>
      <c r="B71" t="s">
        <v>450</v>
      </c>
      <c r="C71" t="s">
        <v>446</v>
      </c>
      <c r="D71">
        <v>2034</v>
      </c>
    </row>
    <row r="72" spans="1:4" x14ac:dyDescent="0.25">
      <c r="A72" s="582">
        <v>49303</v>
      </c>
      <c r="B72" t="s">
        <v>450</v>
      </c>
      <c r="C72" t="s">
        <v>447</v>
      </c>
      <c r="D72">
        <v>2034</v>
      </c>
    </row>
    <row r="73" spans="1:4" x14ac:dyDescent="0.25">
      <c r="A73" s="582">
        <v>49310</v>
      </c>
      <c r="B73" t="s">
        <v>450</v>
      </c>
      <c r="C73" t="s">
        <v>441</v>
      </c>
      <c r="D73">
        <v>2035</v>
      </c>
    </row>
    <row r="74" spans="1:4" x14ac:dyDescent="0.25">
      <c r="A74" s="582">
        <v>49345</v>
      </c>
      <c r="B74" t="s">
        <v>450</v>
      </c>
      <c r="C74" t="s">
        <v>442</v>
      </c>
      <c r="D74">
        <v>2035</v>
      </c>
    </row>
    <row r="75" spans="1:4" x14ac:dyDescent="0.25">
      <c r="A75" s="582">
        <v>49387</v>
      </c>
      <c r="B75" t="s">
        <v>450</v>
      </c>
      <c r="C75" t="s">
        <v>443</v>
      </c>
      <c r="D75">
        <v>2035</v>
      </c>
    </row>
    <row r="76" spans="1:4" x14ac:dyDescent="0.25">
      <c r="A76" s="582">
        <v>49430</v>
      </c>
      <c r="B76" t="s">
        <v>452</v>
      </c>
      <c r="C76" t="s">
        <v>444</v>
      </c>
      <c r="D76">
        <v>2035</v>
      </c>
    </row>
    <row r="77" spans="1:4" x14ac:dyDescent="0.25">
      <c r="A77" s="582">
        <v>49568</v>
      </c>
      <c r="B77" t="s">
        <v>455</v>
      </c>
      <c r="C77" t="s">
        <v>445</v>
      </c>
      <c r="D77">
        <v>2035</v>
      </c>
    </row>
    <row r="78" spans="1:4" x14ac:dyDescent="0.25">
      <c r="A78" s="582">
        <v>49632</v>
      </c>
      <c r="B78" t="s">
        <v>450</v>
      </c>
      <c r="C78" t="s">
        <v>446</v>
      </c>
      <c r="D78">
        <v>2035</v>
      </c>
    </row>
    <row r="79" spans="1:4" x14ac:dyDescent="0.25">
      <c r="A79" s="582">
        <v>49668</v>
      </c>
      <c r="B79" t="s">
        <v>452</v>
      </c>
      <c r="C79" t="s">
        <v>447</v>
      </c>
      <c r="D79">
        <v>2035</v>
      </c>
    </row>
    <row r="80" spans="1:4" x14ac:dyDescent="0.25">
      <c r="A80" s="582">
        <v>49675</v>
      </c>
      <c r="B80" t="s">
        <v>452</v>
      </c>
      <c r="C80" t="s">
        <v>441</v>
      </c>
      <c r="D80">
        <v>2036</v>
      </c>
    </row>
    <row r="81" spans="1:4" x14ac:dyDescent="0.25">
      <c r="A81" s="582">
        <v>49709</v>
      </c>
      <c r="B81" t="s">
        <v>450</v>
      </c>
      <c r="C81" t="s">
        <v>442</v>
      </c>
      <c r="D81">
        <v>2036</v>
      </c>
    </row>
    <row r="82" spans="1:4" x14ac:dyDescent="0.25">
      <c r="A82" s="582">
        <v>49751</v>
      </c>
      <c r="B82" t="s">
        <v>450</v>
      </c>
      <c r="C82" t="s">
        <v>443</v>
      </c>
      <c r="D82">
        <v>2036</v>
      </c>
    </row>
    <row r="83" spans="1:4" x14ac:dyDescent="0.25">
      <c r="A83" s="582">
        <v>49796</v>
      </c>
      <c r="B83" t="s">
        <v>451</v>
      </c>
      <c r="C83" t="s">
        <v>444</v>
      </c>
      <c r="D83">
        <v>2036</v>
      </c>
    </row>
    <row r="84" spans="1:4" x14ac:dyDescent="0.25">
      <c r="A84" s="582">
        <v>49934</v>
      </c>
      <c r="B84" t="s">
        <v>452</v>
      </c>
      <c r="C84" t="s">
        <v>445</v>
      </c>
      <c r="D84">
        <v>2036</v>
      </c>
    </row>
    <row r="85" spans="1:4" x14ac:dyDescent="0.25">
      <c r="A85" s="582">
        <v>49996</v>
      </c>
      <c r="B85" t="s">
        <v>450</v>
      </c>
      <c r="C85" t="s">
        <v>446</v>
      </c>
      <c r="D85">
        <v>2036</v>
      </c>
    </row>
    <row r="86" spans="1:4" x14ac:dyDescent="0.25">
      <c r="A86" s="582">
        <v>50010</v>
      </c>
      <c r="B86" t="s">
        <v>450</v>
      </c>
      <c r="C86" t="s">
        <v>448</v>
      </c>
      <c r="D86">
        <v>2036</v>
      </c>
    </row>
    <row r="87" spans="1:4" x14ac:dyDescent="0.25">
      <c r="A87" s="582">
        <v>50034</v>
      </c>
      <c r="B87" t="s">
        <v>451</v>
      </c>
      <c r="C87" t="s">
        <v>447</v>
      </c>
      <c r="D87">
        <v>2036</v>
      </c>
    </row>
    <row r="88" spans="1:4" x14ac:dyDescent="0.25">
      <c r="A88" s="582">
        <v>50041</v>
      </c>
      <c r="B88" t="s">
        <v>451</v>
      </c>
      <c r="C88" t="s">
        <v>441</v>
      </c>
      <c r="D88">
        <v>2037</v>
      </c>
    </row>
    <row r="89" spans="1:4" x14ac:dyDescent="0.25">
      <c r="A89" s="582">
        <v>50073</v>
      </c>
      <c r="B89" t="s">
        <v>450</v>
      </c>
      <c r="C89" t="s">
        <v>442</v>
      </c>
      <c r="D89">
        <v>2037</v>
      </c>
    </row>
    <row r="90" spans="1:4" x14ac:dyDescent="0.25">
      <c r="A90" s="582">
        <v>50115</v>
      </c>
      <c r="B90" t="s">
        <v>450</v>
      </c>
      <c r="C90" t="s">
        <v>443</v>
      </c>
      <c r="D90">
        <v>2037</v>
      </c>
    </row>
    <row r="91" spans="1:4" x14ac:dyDescent="0.25">
      <c r="A91" s="582">
        <v>50161</v>
      </c>
      <c r="B91" t="s">
        <v>453</v>
      </c>
      <c r="C91" t="s">
        <v>444</v>
      </c>
      <c r="D91">
        <v>2037</v>
      </c>
    </row>
    <row r="92" spans="1:4" x14ac:dyDescent="0.25">
      <c r="A92" s="582">
        <v>50299</v>
      </c>
      <c r="B92" t="s">
        <v>449</v>
      </c>
      <c r="C92" t="s">
        <v>445</v>
      </c>
      <c r="D92">
        <v>2037</v>
      </c>
    </row>
    <row r="93" spans="1:4" x14ac:dyDescent="0.25">
      <c r="A93" s="582">
        <v>50360</v>
      </c>
      <c r="B93" t="s">
        <v>450</v>
      </c>
      <c r="C93" t="s">
        <v>446</v>
      </c>
      <c r="D93">
        <v>2037</v>
      </c>
    </row>
    <row r="94" spans="1:4" x14ac:dyDescent="0.25">
      <c r="A94" s="582">
        <v>50399</v>
      </c>
      <c r="B94" t="s">
        <v>453</v>
      </c>
      <c r="C94" t="s">
        <v>447</v>
      </c>
      <c r="D94">
        <v>2037</v>
      </c>
    </row>
    <row r="95" spans="1:4" x14ac:dyDescent="0.25">
      <c r="A95" s="582">
        <v>50406</v>
      </c>
      <c r="B95" t="s">
        <v>453</v>
      </c>
      <c r="C95" t="s">
        <v>441</v>
      </c>
      <c r="D95">
        <v>2038</v>
      </c>
    </row>
    <row r="96" spans="1:4" x14ac:dyDescent="0.25">
      <c r="A96" s="582">
        <v>50437</v>
      </c>
      <c r="B96" t="s">
        <v>450</v>
      </c>
      <c r="C96" t="s">
        <v>442</v>
      </c>
      <c r="D96">
        <v>2038</v>
      </c>
    </row>
    <row r="97" spans="1:4" x14ac:dyDescent="0.25">
      <c r="A97" s="582">
        <v>50479</v>
      </c>
      <c r="B97" t="s">
        <v>450</v>
      </c>
      <c r="C97" t="s">
        <v>443</v>
      </c>
      <c r="D97">
        <v>2038</v>
      </c>
    </row>
    <row r="98" spans="1:4" x14ac:dyDescent="0.25">
      <c r="A98" s="582">
        <v>50526</v>
      </c>
      <c r="B98" t="s">
        <v>454</v>
      </c>
      <c r="C98" t="s">
        <v>444</v>
      </c>
      <c r="D98">
        <v>2038</v>
      </c>
    </row>
    <row r="99" spans="1:4" x14ac:dyDescent="0.25">
      <c r="A99" s="582">
        <v>50664</v>
      </c>
      <c r="B99" t="s">
        <v>451</v>
      </c>
      <c r="C99" t="s">
        <v>445</v>
      </c>
      <c r="D99">
        <v>2038</v>
      </c>
    </row>
    <row r="100" spans="1:4" x14ac:dyDescent="0.25">
      <c r="A100" s="582">
        <v>50724</v>
      </c>
      <c r="B100" t="s">
        <v>450</v>
      </c>
      <c r="C100" t="s">
        <v>446</v>
      </c>
      <c r="D100">
        <v>2038</v>
      </c>
    </row>
    <row r="101" spans="1:4" x14ac:dyDescent="0.25">
      <c r="A101" s="582">
        <v>50764</v>
      </c>
      <c r="B101" t="s">
        <v>454</v>
      </c>
      <c r="C101" t="s">
        <v>447</v>
      </c>
      <c r="D101">
        <v>2038</v>
      </c>
    </row>
    <row r="102" spans="1:4" x14ac:dyDescent="0.25">
      <c r="A102" s="582">
        <v>50771</v>
      </c>
      <c r="B102" t="s">
        <v>454</v>
      </c>
      <c r="C102" t="s">
        <v>441</v>
      </c>
      <c r="D102">
        <v>2039</v>
      </c>
    </row>
    <row r="103" spans="1:4" x14ac:dyDescent="0.25">
      <c r="A103" s="582">
        <v>50808</v>
      </c>
      <c r="B103" t="s">
        <v>450</v>
      </c>
      <c r="C103" t="s">
        <v>442</v>
      </c>
      <c r="D103">
        <v>2039</v>
      </c>
    </row>
    <row r="104" spans="1:4" x14ac:dyDescent="0.25">
      <c r="A104" s="582">
        <v>50850</v>
      </c>
      <c r="B104" t="s">
        <v>450</v>
      </c>
      <c r="C104" t="s">
        <v>443</v>
      </c>
      <c r="D104">
        <v>2039</v>
      </c>
    </row>
    <row r="105" spans="1:4" x14ac:dyDescent="0.25">
      <c r="A105" s="582">
        <v>50891</v>
      </c>
      <c r="B105" t="s">
        <v>455</v>
      </c>
      <c r="C105" t="s">
        <v>444</v>
      </c>
      <c r="D105">
        <v>2039</v>
      </c>
    </row>
    <row r="106" spans="1:4" x14ac:dyDescent="0.25">
      <c r="A106" s="582">
        <v>51029</v>
      </c>
      <c r="B106" t="s">
        <v>453</v>
      </c>
      <c r="C106" t="s">
        <v>445</v>
      </c>
      <c r="D106">
        <v>2039</v>
      </c>
    </row>
    <row r="107" spans="1:4" x14ac:dyDescent="0.25">
      <c r="A107" s="582">
        <v>51095</v>
      </c>
      <c r="B107" t="s">
        <v>450</v>
      </c>
      <c r="C107" t="s">
        <v>446</v>
      </c>
      <c r="D107">
        <v>2039</v>
      </c>
    </row>
    <row r="108" spans="1:4" x14ac:dyDescent="0.25">
      <c r="A108" s="582">
        <v>51129</v>
      </c>
      <c r="B108" t="s">
        <v>455</v>
      </c>
      <c r="C108" t="s">
        <v>447</v>
      </c>
      <c r="D108">
        <v>2039</v>
      </c>
    </row>
    <row r="109" spans="1:4" x14ac:dyDescent="0.25">
      <c r="A109" s="582">
        <v>51136</v>
      </c>
      <c r="B109" t="s">
        <v>455</v>
      </c>
      <c r="C109" t="s">
        <v>441</v>
      </c>
      <c r="D109">
        <v>2040</v>
      </c>
    </row>
    <row r="110" spans="1:4" x14ac:dyDescent="0.25">
      <c r="A110" s="582">
        <v>51172</v>
      </c>
      <c r="B110" t="s">
        <v>450</v>
      </c>
      <c r="C110" t="s">
        <v>442</v>
      </c>
      <c r="D110">
        <v>2040</v>
      </c>
    </row>
    <row r="111" spans="1:4" x14ac:dyDescent="0.25">
      <c r="A111" s="582">
        <v>51214</v>
      </c>
      <c r="B111" t="s">
        <v>450</v>
      </c>
      <c r="C111" t="s">
        <v>443</v>
      </c>
      <c r="D111">
        <v>2040</v>
      </c>
    </row>
    <row r="112" spans="1:4" x14ac:dyDescent="0.25">
      <c r="A112" s="582">
        <v>51257</v>
      </c>
      <c r="B112" t="s">
        <v>452</v>
      </c>
      <c r="C112" t="s">
        <v>444</v>
      </c>
      <c r="D112">
        <v>2040</v>
      </c>
    </row>
    <row r="113" spans="1:4" x14ac:dyDescent="0.25">
      <c r="A113" s="582">
        <v>51395</v>
      </c>
      <c r="B113" t="s">
        <v>455</v>
      </c>
      <c r="C113" t="s">
        <v>445</v>
      </c>
      <c r="D113">
        <v>2040</v>
      </c>
    </row>
    <row r="114" spans="1:4" x14ac:dyDescent="0.25">
      <c r="A114" s="582">
        <v>51459</v>
      </c>
      <c r="B114" t="s">
        <v>450</v>
      </c>
      <c r="C114" t="s">
        <v>446</v>
      </c>
      <c r="D114">
        <v>2040</v>
      </c>
    </row>
    <row r="115" spans="1:4" x14ac:dyDescent="0.25">
      <c r="A115" s="582">
        <v>51495</v>
      </c>
      <c r="B115" t="s">
        <v>452</v>
      </c>
      <c r="C115" t="s">
        <v>447</v>
      </c>
      <c r="D115">
        <v>2040</v>
      </c>
    </row>
    <row r="116" spans="1:4" x14ac:dyDescent="0.25">
      <c r="A116" s="582">
        <v>51502</v>
      </c>
      <c r="B116" t="s">
        <v>452</v>
      </c>
      <c r="C116" t="s">
        <v>441</v>
      </c>
      <c r="D116">
        <v>2041</v>
      </c>
    </row>
    <row r="117" spans="1:4" x14ac:dyDescent="0.25">
      <c r="A117" s="582">
        <v>51536</v>
      </c>
      <c r="B117" t="s">
        <v>450</v>
      </c>
      <c r="C117" t="s">
        <v>442</v>
      </c>
      <c r="D117">
        <v>2041</v>
      </c>
    </row>
    <row r="118" spans="1:4" x14ac:dyDescent="0.25">
      <c r="A118" s="582">
        <v>51578</v>
      </c>
      <c r="B118" t="s">
        <v>450</v>
      </c>
      <c r="C118" t="s">
        <v>443</v>
      </c>
      <c r="D118">
        <v>2041</v>
      </c>
    </row>
    <row r="119" spans="1:4" x14ac:dyDescent="0.25">
      <c r="A119" s="582">
        <v>51622</v>
      </c>
      <c r="B119" t="s">
        <v>449</v>
      </c>
      <c r="C119" t="s">
        <v>444</v>
      </c>
      <c r="D119">
        <v>2041</v>
      </c>
    </row>
    <row r="120" spans="1:4" x14ac:dyDescent="0.25">
      <c r="A120" s="582">
        <v>51760</v>
      </c>
      <c r="B120" t="s">
        <v>450</v>
      </c>
      <c r="C120" t="s">
        <v>445</v>
      </c>
      <c r="D120">
        <v>2041</v>
      </c>
    </row>
    <row r="121" spans="1:4" x14ac:dyDescent="0.25">
      <c r="A121" s="582">
        <v>51823</v>
      </c>
      <c r="B121" t="s">
        <v>450</v>
      </c>
      <c r="C121" t="s">
        <v>446</v>
      </c>
      <c r="D121">
        <v>2041</v>
      </c>
    </row>
    <row r="122" spans="1:4" x14ac:dyDescent="0.25">
      <c r="A122" s="582">
        <v>51860</v>
      </c>
      <c r="B122" t="s">
        <v>449</v>
      </c>
      <c r="C122" t="s">
        <v>447</v>
      </c>
      <c r="D122">
        <v>2041</v>
      </c>
    </row>
    <row r="123" spans="1:4" x14ac:dyDescent="0.25">
      <c r="A123" s="582">
        <v>51867</v>
      </c>
      <c r="B123" t="s">
        <v>449</v>
      </c>
      <c r="C123" t="s">
        <v>441</v>
      </c>
      <c r="D123">
        <v>2042</v>
      </c>
    </row>
    <row r="124" spans="1:4" x14ac:dyDescent="0.25">
      <c r="A124" s="582">
        <v>51900</v>
      </c>
      <c r="B124" t="s">
        <v>450</v>
      </c>
      <c r="C124" t="s">
        <v>442</v>
      </c>
      <c r="D124">
        <v>2042</v>
      </c>
    </row>
    <row r="125" spans="1:4" x14ac:dyDescent="0.25">
      <c r="A125" s="582">
        <v>51942</v>
      </c>
      <c r="B125" t="s">
        <v>450</v>
      </c>
      <c r="C125" t="s">
        <v>443</v>
      </c>
      <c r="D125">
        <v>2042</v>
      </c>
    </row>
    <row r="126" spans="1:4" x14ac:dyDescent="0.25">
      <c r="A126" s="582">
        <v>51987</v>
      </c>
      <c r="B126" t="s">
        <v>451</v>
      </c>
      <c r="C126" t="s">
        <v>444</v>
      </c>
      <c r="D126">
        <v>2042</v>
      </c>
    </row>
    <row r="127" spans="1:4" x14ac:dyDescent="0.25">
      <c r="A127" s="582">
        <v>52125</v>
      </c>
      <c r="B127" t="s">
        <v>452</v>
      </c>
      <c r="C127" t="s">
        <v>445</v>
      </c>
      <c r="D127">
        <v>2042</v>
      </c>
    </row>
    <row r="128" spans="1:4" x14ac:dyDescent="0.25">
      <c r="A128" s="582">
        <v>52187</v>
      </c>
      <c r="B128" t="s">
        <v>450</v>
      </c>
      <c r="C128" t="s">
        <v>446</v>
      </c>
      <c r="D128">
        <v>2042</v>
      </c>
    </row>
    <row r="129" spans="1:4" x14ac:dyDescent="0.25">
      <c r="A129" s="582">
        <v>52201</v>
      </c>
      <c r="B129" t="s">
        <v>450</v>
      </c>
      <c r="C129" t="s">
        <v>448</v>
      </c>
      <c r="D129">
        <v>2042</v>
      </c>
    </row>
    <row r="130" spans="1:4" x14ac:dyDescent="0.25">
      <c r="A130" s="582">
        <v>52225</v>
      </c>
      <c r="B130" t="s">
        <v>451</v>
      </c>
      <c r="C130" t="s">
        <v>447</v>
      </c>
      <c r="D130">
        <v>2042</v>
      </c>
    </row>
    <row r="131" spans="1:4" x14ac:dyDescent="0.25">
      <c r="A131" s="582">
        <v>52232</v>
      </c>
      <c r="B131" t="s">
        <v>451</v>
      </c>
      <c r="C131" t="s">
        <v>441</v>
      </c>
      <c r="D131">
        <v>2043</v>
      </c>
    </row>
    <row r="132" spans="1:4" x14ac:dyDescent="0.25">
      <c r="A132" s="582">
        <v>52264</v>
      </c>
      <c r="B132" t="s">
        <v>450</v>
      </c>
      <c r="C132" t="s">
        <v>442</v>
      </c>
      <c r="D132">
        <v>2043</v>
      </c>
    </row>
    <row r="133" spans="1:4" x14ac:dyDescent="0.25">
      <c r="A133" s="582">
        <v>52306</v>
      </c>
      <c r="B133" t="s">
        <v>450</v>
      </c>
      <c r="C133" t="s">
        <v>443</v>
      </c>
      <c r="D133">
        <v>2043</v>
      </c>
    </row>
    <row r="134" spans="1:4" x14ac:dyDescent="0.25">
      <c r="A134" s="582">
        <v>52352</v>
      </c>
      <c r="B134" t="s">
        <v>453</v>
      </c>
      <c r="C134" t="s">
        <v>444</v>
      </c>
      <c r="D134">
        <v>2043</v>
      </c>
    </row>
    <row r="135" spans="1:4" x14ac:dyDescent="0.25">
      <c r="A135" s="582">
        <v>52490</v>
      </c>
      <c r="B135" t="s">
        <v>449</v>
      </c>
      <c r="C135" t="s">
        <v>445</v>
      </c>
      <c r="D135">
        <v>2043</v>
      </c>
    </row>
    <row r="136" spans="1:4" x14ac:dyDescent="0.25">
      <c r="A136" s="582">
        <v>52551</v>
      </c>
      <c r="B136" t="s">
        <v>450</v>
      </c>
      <c r="C136" t="s">
        <v>446</v>
      </c>
      <c r="D136">
        <v>2043</v>
      </c>
    </row>
    <row r="137" spans="1:4" x14ac:dyDescent="0.25">
      <c r="A137" s="582">
        <v>52590</v>
      </c>
      <c r="B137" t="s">
        <v>453</v>
      </c>
      <c r="C137" t="s">
        <v>447</v>
      </c>
      <c r="D137">
        <v>2043</v>
      </c>
    </row>
    <row r="138" spans="1:4" x14ac:dyDescent="0.25">
      <c r="A138" s="582">
        <v>52597</v>
      </c>
      <c r="B138" t="s">
        <v>453</v>
      </c>
      <c r="C138" t="s">
        <v>441</v>
      </c>
      <c r="D138">
        <v>2044</v>
      </c>
    </row>
    <row r="139" spans="1:4" x14ac:dyDescent="0.25">
      <c r="A139" s="582">
        <v>52628</v>
      </c>
      <c r="B139" t="s">
        <v>450</v>
      </c>
      <c r="C139" t="s">
        <v>442</v>
      </c>
      <c r="D139">
        <v>2044</v>
      </c>
    </row>
    <row r="140" spans="1:4" x14ac:dyDescent="0.25">
      <c r="A140" s="582">
        <v>52677</v>
      </c>
      <c r="B140" t="s">
        <v>450</v>
      </c>
      <c r="C140" t="s">
        <v>443</v>
      </c>
      <c r="D140">
        <v>2044</v>
      </c>
    </row>
    <row r="141" spans="1:4" x14ac:dyDescent="0.25">
      <c r="A141" s="582">
        <v>52718</v>
      </c>
      <c r="B141" t="s">
        <v>455</v>
      </c>
      <c r="C141" t="s">
        <v>444</v>
      </c>
      <c r="D141">
        <v>2044</v>
      </c>
    </row>
    <row r="142" spans="1:4" x14ac:dyDescent="0.25">
      <c r="A142" s="582">
        <v>52856</v>
      </c>
      <c r="B142" t="s">
        <v>453</v>
      </c>
      <c r="C142" t="s">
        <v>445</v>
      </c>
      <c r="D142">
        <v>2044</v>
      </c>
    </row>
    <row r="143" spans="1:4" x14ac:dyDescent="0.25">
      <c r="A143" s="582">
        <v>52922</v>
      </c>
      <c r="B143" t="s">
        <v>450</v>
      </c>
      <c r="C143" t="s">
        <v>446</v>
      </c>
      <c r="D143">
        <v>2044</v>
      </c>
    </row>
    <row r="144" spans="1:4" x14ac:dyDescent="0.25">
      <c r="A144" s="582">
        <v>52956</v>
      </c>
      <c r="B144" t="s">
        <v>455</v>
      </c>
      <c r="C144" t="s">
        <v>447</v>
      </c>
      <c r="D144">
        <v>2044</v>
      </c>
    </row>
    <row r="145" spans="1:4" x14ac:dyDescent="0.25">
      <c r="A145" s="582">
        <v>52963</v>
      </c>
      <c r="B145" t="s">
        <v>455</v>
      </c>
      <c r="C145" t="s">
        <v>441</v>
      </c>
      <c r="D145">
        <v>2045</v>
      </c>
    </row>
    <row r="146" spans="1:4" x14ac:dyDescent="0.25">
      <c r="A146" s="582">
        <v>52999</v>
      </c>
      <c r="B146" t="s">
        <v>450</v>
      </c>
      <c r="C146" t="s">
        <v>442</v>
      </c>
      <c r="D146">
        <v>2045</v>
      </c>
    </row>
    <row r="147" spans="1:4" x14ac:dyDescent="0.25">
      <c r="A147" s="582">
        <v>53041</v>
      </c>
      <c r="B147" t="s">
        <v>450</v>
      </c>
      <c r="C147" t="s">
        <v>443</v>
      </c>
      <c r="D147">
        <v>2045</v>
      </c>
    </row>
    <row r="148" spans="1:4" x14ac:dyDescent="0.25">
      <c r="A148" s="582">
        <v>53083</v>
      </c>
      <c r="B148" t="s">
        <v>450</v>
      </c>
      <c r="C148" t="s">
        <v>444</v>
      </c>
      <c r="D148">
        <v>2045</v>
      </c>
    </row>
    <row r="149" spans="1:4" x14ac:dyDescent="0.25">
      <c r="A149" s="582">
        <v>53221</v>
      </c>
      <c r="B149" t="s">
        <v>454</v>
      </c>
      <c r="C149" t="s">
        <v>445</v>
      </c>
      <c r="D149">
        <v>2045</v>
      </c>
    </row>
    <row r="150" spans="1:4" x14ac:dyDescent="0.25">
      <c r="A150" s="582">
        <v>53286</v>
      </c>
      <c r="B150" t="s">
        <v>450</v>
      </c>
      <c r="C150" t="s">
        <v>446</v>
      </c>
      <c r="D150">
        <v>2045</v>
      </c>
    </row>
    <row r="151" spans="1:4" x14ac:dyDescent="0.25">
      <c r="A151" s="582">
        <v>53321</v>
      </c>
      <c r="B151" t="s">
        <v>450</v>
      </c>
      <c r="C151" t="s">
        <v>447</v>
      </c>
      <c r="D151">
        <v>2045</v>
      </c>
    </row>
    <row r="152" spans="1:4" x14ac:dyDescent="0.25">
      <c r="A152" s="582">
        <v>53328</v>
      </c>
      <c r="B152" t="s">
        <v>450</v>
      </c>
      <c r="C152" t="s">
        <v>441</v>
      </c>
      <c r="D152">
        <v>2046</v>
      </c>
    </row>
    <row r="153" spans="1:4" x14ac:dyDescent="0.25">
      <c r="A153" s="582">
        <v>53363</v>
      </c>
      <c r="B153" t="s">
        <v>450</v>
      </c>
      <c r="C153" t="s">
        <v>442</v>
      </c>
      <c r="D153">
        <v>2046</v>
      </c>
    </row>
    <row r="154" spans="1:4" x14ac:dyDescent="0.25">
      <c r="A154" s="582">
        <v>53405</v>
      </c>
      <c r="B154" t="s">
        <v>450</v>
      </c>
      <c r="C154" t="s">
        <v>443</v>
      </c>
      <c r="D154">
        <v>2046</v>
      </c>
    </row>
    <row r="155" spans="1:4" x14ac:dyDescent="0.25">
      <c r="A155" s="582">
        <v>53448</v>
      </c>
      <c r="B155" t="s">
        <v>452</v>
      </c>
      <c r="C155" t="s">
        <v>444</v>
      </c>
      <c r="D155">
        <v>2046</v>
      </c>
    </row>
    <row r="156" spans="1:4" x14ac:dyDescent="0.25">
      <c r="A156" s="582">
        <v>53586</v>
      </c>
      <c r="B156" t="s">
        <v>455</v>
      </c>
      <c r="C156" t="s">
        <v>445</v>
      </c>
      <c r="D156">
        <v>2046</v>
      </c>
    </row>
    <row r="157" spans="1:4" x14ac:dyDescent="0.25">
      <c r="A157" s="582">
        <v>53650</v>
      </c>
      <c r="B157" t="s">
        <v>450</v>
      </c>
      <c r="C157" t="s">
        <v>446</v>
      </c>
      <c r="D157">
        <v>2046</v>
      </c>
    </row>
    <row r="158" spans="1:4" x14ac:dyDescent="0.25">
      <c r="A158" s="582">
        <v>53686</v>
      </c>
      <c r="B158" t="s">
        <v>452</v>
      </c>
      <c r="C158" t="s">
        <v>447</v>
      </c>
      <c r="D158">
        <v>2046</v>
      </c>
    </row>
    <row r="159" spans="1:4" x14ac:dyDescent="0.25">
      <c r="A159" s="582">
        <v>53693</v>
      </c>
      <c r="B159" t="s">
        <v>452</v>
      </c>
      <c r="C159" t="s">
        <v>441</v>
      </c>
      <c r="D159">
        <v>2047</v>
      </c>
    </row>
    <row r="160" spans="1:4" x14ac:dyDescent="0.25">
      <c r="A160" s="582">
        <v>53727</v>
      </c>
      <c r="B160" t="s">
        <v>450</v>
      </c>
      <c r="C160" t="s">
        <v>442</v>
      </c>
      <c r="D160">
        <v>2047</v>
      </c>
    </row>
    <row r="161" spans="1:4" x14ac:dyDescent="0.25">
      <c r="A161" s="582">
        <v>53769</v>
      </c>
      <c r="B161" t="s">
        <v>450</v>
      </c>
      <c r="C161" t="s">
        <v>443</v>
      </c>
      <c r="D161">
        <v>2047</v>
      </c>
    </row>
    <row r="162" spans="1:4" x14ac:dyDescent="0.25">
      <c r="A162" s="582">
        <v>53813</v>
      </c>
      <c r="B162" t="s">
        <v>449</v>
      </c>
      <c r="C162" t="s">
        <v>444</v>
      </c>
      <c r="D162">
        <v>2047</v>
      </c>
    </row>
    <row r="163" spans="1:4" x14ac:dyDescent="0.25">
      <c r="A163" s="582">
        <v>53951</v>
      </c>
      <c r="B163" t="s">
        <v>450</v>
      </c>
      <c r="C163" t="s">
        <v>445</v>
      </c>
      <c r="D163">
        <v>2047</v>
      </c>
    </row>
    <row r="164" spans="1:4" x14ac:dyDescent="0.25">
      <c r="A164" s="582">
        <v>54014</v>
      </c>
      <c r="B164" t="s">
        <v>450</v>
      </c>
      <c r="C164" t="s">
        <v>446</v>
      </c>
      <c r="D164">
        <v>2047</v>
      </c>
    </row>
    <row r="165" spans="1:4" x14ac:dyDescent="0.25">
      <c r="A165" s="582">
        <v>54051</v>
      </c>
      <c r="B165" t="s">
        <v>449</v>
      </c>
      <c r="C165" t="s">
        <v>447</v>
      </c>
      <c r="D165">
        <v>2047</v>
      </c>
    </row>
    <row r="166" spans="1:4" x14ac:dyDescent="0.25">
      <c r="A166" s="582">
        <v>54058</v>
      </c>
      <c r="B166" t="s">
        <v>449</v>
      </c>
      <c r="C166" t="s">
        <v>441</v>
      </c>
      <c r="D166">
        <v>2048</v>
      </c>
    </row>
    <row r="167" spans="1:4" x14ac:dyDescent="0.25">
      <c r="A167" s="582">
        <v>54091</v>
      </c>
      <c r="B167" t="s">
        <v>450</v>
      </c>
      <c r="C167" t="s">
        <v>442</v>
      </c>
      <c r="D167">
        <v>2048</v>
      </c>
    </row>
    <row r="168" spans="1:4" x14ac:dyDescent="0.25">
      <c r="A168" s="582">
        <v>54133</v>
      </c>
      <c r="B168" t="s">
        <v>450</v>
      </c>
      <c r="C168" t="s">
        <v>443</v>
      </c>
      <c r="D168">
        <v>2048</v>
      </c>
    </row>
    <row r="169" spans="1:4" x14ac:dyDescent="0.25">
      <c r="A169" s="582">
        <v>54179</v>
      </c>
      <c r="B169" t="s">
        <v>453</v>
      </c>
      <c r="C169" t="s">
        <v>444</v>
      </c>
      <c r="D169">
        <v>2048</v>
      </c>
    </row>
    <row r="170" spans="1:4" x14ac:dyDescent="0.25">
      <c r="A170" s="582">
        <v>54317</v>
      </c>
      <c r="B170" t="s">
        <v>449</v>
      </c>
      <c r="C170" t="s">
        <v>445</v>
      </c>
      <c r="D170">
        <v>2048</v>
      </c>
    </row>
    <row r="171" spans="1:4" x14ac:dyDescent="0.25">
      <c r="A171" s="582">
        <v>54378</v>
      </c>
      <c r="B171" t="s">
        <v>450</v>
      </c>
      <c r="C171" t="s">
        <v>446</v>
      </c>
      <c r="D171">
        <v>2048</v>
      </c>
    </row>
    <row r="172" spans="1:4" x14ac:dyDescent="0.25">
      <c r="A172" s="582">
        <v>54393</v>
      </c>
      <c r="B172" t="s">
        <v>452</v>
      </c>
      <c r="C172" t="s">
        <v>448</v>
      </c>
      <c r="D172">
        <v>2048</v>
      </c>
    </row>
    <row r="173" spans="1:4" x14ac:dyDescent="0.25">
      <c r="A173" s="582">
        <v>54417</v>
      </c>
      <c r="B173" t="s">
        <v>453</v>
      </c>
      <c r="C173" t="s">
        <v>447</v>
      </c>
      <c r="D173">
        <v>2048</v>
      </c>
    </row>
    <row r="174" spans="1:4" x14ac:dyDescent="0.25">
      <c r="A174" s="582">
        <v>54424</v>
      </c>
      <c r="B174" t="s">
        <v>453</v>
      </c>
      <c r="C174" t="s">
        <v>441</v>
      </c>
      <c r="D174">
        <v>2049</v>
      </c>
    </row>
    <row r="175" spans="1:4" x14ac:dyDescent="0.25">
      <c r="A175" s="582">
        <v>54455</v>
      </c>
      <c r="B175" t="s">
        <v>450</v>
      </c>
      <c r="C175" t="s">
        <v>442</v>
      </c>
      <c r="D175">
        <v>2049</v>
      </c>
    </row>
    <row r="176" spans="1:4" x14ac:dyDescent="0.25">
      <c r="A176" s="582">
        <v>54497</v>
      </c>
      <c r="B176" t="s">
        <v>450</v>
      </c>
      <c r="C176" t="s">
        <v>443</v>
      </c>
      <c r="D176">
        <v>2049</v>
      </c>
    </row>
    <row r="177" spans="1:4" x14ac:dyDescent="0.25">
      <c r="A177" s="582">
        <v>54544</v>
      </c>
      <c r="B177" t="s">
        <v>454</v>
      </c>
      <c r="C177" t="s">
        <v>444</v>
      </c>
      <c r="D177">
        <v>2049</v>
      </c>
    </row>
    <row r="178" spans="1:4" x14ac:dyDescent="0.25">
      <c r="A178" s="582">
        <v>54682</v>
      </c>
      <c r="B178" t="s">
        <v>451</v>
      </c>
      <c r="C178" t="s">
        <v>445</v>
      </c>
      <c r="D178">
        <v>2049</v>
      </c>
    </row>
    <row r="179" spans="1:4" x14ac:dyDescent="0.25">
      <c r="A179" s="582">
        <v>54742</v>
      </c>
      <c r="B179" t="s">
        <v>450</v>
      </c>
      <c r="C179" t="s">
        <v>446</v>
      </c>
      <c r="D179">
        <v>2049</v>
      </c>
    </row>
    <row r="180" spans="1:4" x14ac:dyDescent="0.25">
      <c r="A180" s="582">
        <v>54782</v>
      </c>
      <c r="B180" t="s">
        <v>454</v>
      </c>
      <c r="C180" t="s">
        <v>447</v>
      </c>
      <c r="D180">
        <v>2049</v>
      </c>
    </row>
    <row r="181" spans="1:4" x14ac:dyDescent="0.25">
      <c r="A181" s="582">
        <v>54789</v>
      </c>
      <c r="B181" t="s">
        <v>454</v>
      </c>
      <c r="C181" t="s">
        <v>441</v>
      </c>
      <c r="D181">
        <v>2050</v>
      </c>
    </row>
    <row r="182" spans="1:4" x14ac:dyDescent="0.25">
      <c r="A182" s="582">
        <v>54826</v>
      </c>
      <c r="B182" t="s">
        <v>450</v>
      </c>
      <c r="C182" t="s">
        <v>442</v>
      </c>
      <c r="D182">
        <v>2050</v>
      </c>
    </row>
    <row r="183" spans="1:4" x14ac:dyDescent="0.25">
      <c r="A183" s="582">
        <v>54868</v>
      </c>
      <c r="B183" t="s">
        <v>450</v>
      </c>
      <c r="C183" t="s">
        <v>443</v>
      </c>
      <c r="D183">
        <v>2050</v>
      </c>
    </row>
    <row r="184" spans="1:4" x14ac:dyDescent="0.25">
      <c r="A184" s="582">
        <v>54909</v>
      </c>
      <c r="B184" t="s">
        <v>455</v>
      </c>
      <c r="C184" t="s">
        <v>444</v>
      </c>
      <c r="D184">
        <v>2050</v>
      </c>
    </row>
    <row r="185" spans="1:4" x14ac:dyDescent="0.25">
      <c r="A185" s="582">
        <v>55047</v>
      </c>
      <c r="B185" t="s">
        <v>453</v>
      </c>
      <c r="C185" t="s">
        <v>445</v>
      </c>
      <c r="D185">
        <v>2050</v>
      </c>
    </row>
    <row r="186" spans="1:4" x14ac:dyDescent="0.25">
      <c r="A186" s="582">
        <v>55113</v>
      </c>
      <c r="B186" t="s">
        <v>450</v>
      </c>
      <c r="C186" t="s">
        <v>446</v>
      </c>
      <c r="D186">
        <v>2050</v>
      </c>
    </row>
    <row r="187" spans="1:4" x14ac:dyDescent="0.25">
      <c r="A187" s="582">
        <v>55147</v>
      </c>
      <c r="B187" t="s">
        <v>455</v>
      </c>
      <c r="C187" t="s">
        <v>447</v>
      </c>
      <c r="D187">
        <v>2050</v>
      </c>
    </row>
    <row r="188" spans="1:4" x14ac:dyDescent="0.25">
      <c r="A188" s="582">
        <v>55154</v>
      </c>
      <c r="B188" t="s">
        <v>455</v>
      </c>
      <c r="C188" t="s">
        <v>441</v>
      </c>
      <c r="D188">
        <v>2051</v>
      </c>
    </row>
    <row r="189" spans="1:4" x14ac:dyDescent="0.25">
      <c r="A189" s="582">
        <v>55190</v>
      </c>
      <c r="B189" t="s">
        <v>450</v>
      </c>
      <c r="C189" t="s">
        <v>442</v>
      </c>
      <c r="D189">
        <v>2051</v>
      </c>
    </row>
    <row r="190" spans="1:4" x14ac:dyDescent="0.25">
      <c r="A190" s="582">
        <v>55232</v>
      </c>
      <c r="B190" t="s">
        <v>450</v>
      </c>
      <c r="C190" t="s">
        <v>443</v>
      </c>
      <c r="D190">
        <v>2051</v>
      </c>
    </row>
    <row r="191" spans="1:4" x14ac:dyDescent="0.25">
      <c r="A191" s="582">
        <v>55274</v>
      </c>
      <c r="B191" t="s">
        <v>450</v>
      </c>
      <c r="C191" t="s">
        <v>444</v>
      </c>
      <c r="D191">
        <v>2051</v>
      </c>
    </row>
    <row r="192" spans="1:4" x14ac:dyDescent="0.25">
      <c r="A192" s="582">
        <v>55412</v>
      </c>
      <c r="B192" t="s">
        <v>454</v>
      </c>
      <c r="C192" t="s">
        <v>445</v>
      </c>
      <c r="D192">
        <v>2051</v>
      </c>
    </row>
    <row r="193" spans="1:4" x14ac:dyDescent="0.25">
      <c r="A193" s="582">
        <v>55477</v>
      </c>
      <c r="B193" t="s">
        <v>450</v>
      </c>
      <c r="C193" t="s">
        <v>446</v>
      </c>
      <c r="D193">
        <v>2051</v>
      </c>
    </row>
    <row r="194" spans="1:4" x14ac:dyDescent="0.25">
      <c r="A194" s="582">
        <v>55512</v>
      </c>
      <c r="B194" t="s">
        <v>450</v>
      </c>
      <c r="C194" t="s">
        <v>447</v>
      </c>
      <c r="D194">
        <v>2051</v>
      </c>
    </row>
    <row r="195" spans="1:4" x14ac:dyDescent="0.25">
      <c r="A195" s="582">
        <v>55519</v>
      </c>
      <c r="B195" t="s">
        <v>450</v>
      </c>
      <c r="C195" t="s">
        <v>441</v>
      </c>
      <c r="D195">
        <v>2052</v>
      </c>
    </row>
    <row r="196" spans="1:4" x14ac:dyDescent="0.25">
      <c r="A196" s="582">
        <v>55554</v>
      </c>
      <c r="B196" t="s">
        <v>450</v>
      </c>
      <c r="C196" t="s">
        <v>442</v>
      </c>
      <c r="D196">
        <v>2052</v>
      </c>
    </row>
    <row r="197" spans="1:4" x14ac:dyDescent="0.25">
      <c r="A197" s="582">
        <v>55596</v>
      </c>
      <c r="B197" t="s">
        <v>450</v>
      </c>
      <c r="C197" t="s">
        <v>443</v>
      </c>
      <c r="D197">
        <v>2052</v>
      </c>
    </row>
    <row r="198" spans="1:4" x14ac:dyDescent="0.25">
      <c r="A198" s="582">
        <v>55640</v>
      </c>
      <c r="B198" t="s">
        <v>449</v>
      </c>
      <c r="C198" t="s">
        <v>444</v>
      </c>
      <c r="D198">
        <v>2052</v>
      </c>
    </row>
    <row r="199" spans="1:4" x14ac:dyDescent="0.25">
      <c r="A199" s="582">
        <v>55778</v>
      </c>
      <c r="B199" t="s">
        <v>450</v>
      </c>
      <c r="C199" t="s">
        <v>445</v>
      </c>
      <c r="D199">
        <v>2052</v>
      </c>
    </row>
    <row r="200" spans="1:4" x14ac:dyDescent="0.25">
      <c r="A200" s="582">
        <v>55841</v>
      </c>
      <c r="B200" t="s">
        <v>450</v>
      </c>
      <c r="C200" t="s">
        <v>446</v>
      </c>
      <c r="D200">
        <v>2052</v>
      </c>
    </row>
    <row r="201" spans="1:4" x14ac:dyDescent="0.25">
      <c r="A201" s="582">
        <v>55878</v>
      </c>
      <c r="B201" t="s">
        <v>449</v>
      </c>
      <c r="C201" t="s">
        <v>447</v>
      </c>
      <c r="D201">
        <v>2052</v>
      </c>
    </row>
    <row r="202" spans="1:4" x14ac:dyDescent="0.25">
      <c r="A202" s="582">
        <v>55885</v>
      </c>
      <c r="B202" t="s">
        <v>449</v>
      </c>
      <c r="C202" t="s">
        <v>441</v>
      </c>
      <c r="D202">
        <v>2053</v>
      </c>
    </row>
    <row r="203" spans="1:4" x14ac:dyDescent="0.25">
      <c r="A203" s="582">
        <v>55918</v>
      </c>
      <c r="B203" t="s">
        <v>450</v>
      </c>
      <c r="C203" t="s">
        <v>442</v>
      </c>
      <c r="D203">
        <v>2053</v>
      </c>
    </row>
    <row r="204" spans="1:4" x14ac:dyDescent="0.25">
      <c r="A204" s="582">
        <v>55960</v>
      </c>
      <c r="B204" t="s">
        <v>450</v>
      </c>
      <c r="C204" t="s">
        <v>443</v>
      </c>
      <c r="D204">
        <v>2053</v>
      </c>
    </row>
    <row r="205" spans="1:4" x14ac:dyDescent="0.25">
      <c r="A205" s="582">
        <v>56005</v>
      </c>
      <c r="B205" t="s">
        <v>451</v>
      </c>
      <c r="C205" t="s">
        <v>444</v>
      </c>
      <c r="D205">
        <v>2053</v>
      </c>
    </row>
    <row r="206" spans="1:4" x14ac:dyDescent="0.25">
      <c r="A206" s="582">
        <v>56143</v>
      </c>
      <c r="B206" t="s">
        <v>452</v>
      </c>
      <c r="C206" t="s">
        <v>445</v>
      </c>
      <c r="D206">
        <v>2053</v>
      </c>
    </row>
    <row r="207" spans="1:4" x14ac:dyDescent="0.25">
      <c r="A207" s="582">
        <v>56205</v>
      </c>
      <c r="B207" t="s">
        <v>450</v>
      </c>
      <c r="C207" t="s">
        <v>446</v>
      </c>
      <c r="D207">
        <v>2053</v>
      </c>
    </row>
    <row r="208" spans="1:4" x14ac:dyDescent="0.25">
      <c r="A208" s="582">
        <v>56243</v>
      </c>
      <c r="B208" t="s">
        <v>451</v>
      </c>
      <c r="C208" t="s">
        <v>447</v>
      </c>
      <c r="D208">
        <v>2053</v>
      </c>
    </row>
    <row r="209" spans="1:4" x14ac:dyDescent="0.25">
      <c r="A209" s="582">
        <v>56250</v>
      </c>
      <c r="B209" t="s">
        <v>451</v>
      </c>
      <c r="C209" t="s">
        <v>441</v>
      </c>
      <c r="D209">
        <v>2054</v>
      </c>
    </row>
    <row r="210" spans="1:4" x14ac:dyDescent="0.25">
      <c r="A210" s="582">
        <v>56282</v>
      </c>
      <c r="B210" t="s">
        <v>450</v>
      </c>
      <c r="C210" t="s">
        <v>442</v>
      </c>
      <c r="D210">
        <v>2054</v>
      </c>
    </row>
    <row r="211" spans="1:4" x14ac:dyDescent="0.25">
      <c r="A211" s="582">
        <v>56324</v>
      </c>
      <c r="B211" t="s">
        <v>450</v>
      </c>
      <c r="C211" t="s">
        <v>443</v>
      </c>
      <c r="D211">
        <v>2054</v>
      </c>
    </row>
    <row r="212" spans="1:4" x14ac:dyDescent="0.25">
      <c r="A212" s="582">
        <v>56370</v>
      </c>
      <c r="B212" t="s">
        <v>453</v>
      </c>
      <c r="C212" t="s">
        <v>444</v>
      </c>
      <c r="D212">
        <v>2054</v>
      </c>
    </row>
    <row r="213" spans="1:4" x14ac:dyDescent="0.25">
      <c r="A213" s="582">
        <v>56508</v>
      </c>
      <c r="B213" t="s">
        <v>449</v>
      </c>
      <c r="C213" t="s">
        <v>445</v>
      </c>
      <c r="D213">
        <v>2054</v>
      </c>
    </row>
    <row r="214" spans="1:4" x14ac:dyDescent="0.25">
      <c r="A214" s="582">
        <v>56569</v>
      </c>
      <c r="B214" t="s">
        <v>450</v>
      </c>
      <c r="C214" t="s">
        <v>446</v>
      </c>
      <c r="D214">
        <v>2054</v>
      </c>
    </row>
    <row r="215" spans="1:4" x14ac:dyDescent="0.25">
      <c r="A215" s="582">
        <v>56584</v>
      </c>
      <c r="B215" t="s">
        <v>452</v>
      </c>
      <c r="C215" t="s">
        <v>448</v>
      </c>
      <c r="D215">
        <v>2054</v>
      </c>
    </row>
    <row r="216" spans="1:4" x14ac:dyDescent="0.25">
      <c r="A216" s="582">
        <v>56608</v>
      </c>
      <c r="B216" t="s">
        <v>453</v>
      </c>
      <c r="C216" t="s">
        <v>447</v>
      </c>
      <c r="D216">
        <v>2054</v>
      </c>
    </row>
    <row r="217" spans="1:4" x14ac:dyDescent="0.25">
      <c r="A217" s="582">
        <v>56615</v>
      </c>
      <c r="B217" t="s">
        <v>453</v>
      </c>
      <c r="C217" t="s">
        <v>441</v>
      </c>
      <c r="D217">
        <v>2055</v>
      </c>
    </row>
    <row r="218" spans="1:4" x14ac:dyDescent="0.25">
      <c r="A218" s="582">
        <v>56646</v>
      </c>
      <c r="B218" t="s">
        <v>450</v>
      </c>
      <c r="C218" t="s">
        <v>442</v>
      </c>
      <c r="D218">
        <v>2055</v>
      </c>
    </row>
    <row r="219" spans="1:4" x14ac:dyDescent="0.25">
      <c r="A219" s="582">
        <v>56688</v>
      </c>
      <c r="B219" t="s">
        <v>450</v>
      </c>
      <c r="C219" t="s">
        <v>443</v>
      </c>
      <c r="D219">
        <v>2055</v>
      </c>
    </row>
    <row r="220" spans="1:4" x14ac:dyDescent="0.25">
      <c r="A220" s="582">
        <v>56735</v>
      </c>
      <c r="B220" t="s">
        <v>454</v>
      </c>
      <c r="C220" t="s">
        <v>444</v>
      </c>
      <c r="D220">
        <v>2055</v>
      </c>
    </row>
    <row r="221" spans="1:4" x14ac:dyDescent="0.25">
      <c r="A221" s="582">
        <v>56873</v>
      </c>
      <c r="B221" t="s">
        <v>451</v>
      </c>
      <c r="C221" t="s">
        <v>445</v>
      </c>
      <c r="D221">
        <v>2055</v>
      </c>
    </row>
    <row r="222" spans="1:4" x14ac:dyDescent="0.25">
      <c r="A222" s="582">
        <v>56933</v>
      </c>
      <c r="B222" t="s">
        <v>450</v>
      </c>
      <c r="C222" t="s">
        <v>446</v>
      </c>
      <c r="D222">
        <v>2055</v>
      </c>
    </row>
    <row r="223" spans="1:4" x14ac:dyDescent="0.25">
      <c r="A223" s="582">
        <v>56973</v>
      </c>
      <c r="B223" t="s">
        <v>454</v>
      </c>
      <c r="C223" t="s">
        <v>447</v>
      </c>
      <c r="D223">
        <v>2055</v>
      </c>
    </row>
    <row r="224" spans="1:4" x14ac:dyDescent="0.25">
      <c r="A224" s="582">
        <v>56980</v>
      </c>
      <c r="B224" t="s">
        <v>454</v>
      </c>
      <c r="C224" t="s">
        <v>441</v>
      </c>
      <c r="D224">
        <v>2056</v>
      </c>
    </row>
    <row r="225" spans="1:4" x14ac:dyDescent="0.25">
      <c r="A225" s="582">
        <v>57017</v>
      </c>
      <c r="B225" t="s">
        <v>450</v>
      </c>
      <c r="C225" t="s">
        <v>442</v>
      </c>
      <c r="D225">
        <v>2056</v>
      </c>
    </row>
    <row r="226" spans="1:4" x14ac:dyDescent="0.25">
      <c r="A226" s="582">
        <v>57059</v>
      </c>
      <c r="B226" t="s">
        <v>450</v>
      </c>
      <c r="C226" t="s">
        <v>443</v>
      </c>
      <c r="D226">
        <v>2056</v>
      </c>
    </row>
    <row r="227" spans="1:4" x14ac:dyDescent="0.25">
      <c r="A227" s="582">
        <v>57101</v>
      </c>
      <c r="B227" t="s">
        <v>450</v>
      </c>
      <c r="C227" t="s">
        <v>444</v>
      </c>
      <c r="D227">
        <v>2056</v>
      </c>
    </row>
    <row r="228" spans="1:4" x14ac:dyDescent="0.25">
      <c r="A228" s="582">
        <v>57239</v>
      </c>
      <c r="B228" t="s">
        <v>454</v>
      </c>
      <c r="C228" t="s">
        <v>445</v>
      </c>
      <c r="D228">
        <v>2056</v>
      </c>
    </row>
    <row r="229" spans="1:4" x14ac:dyDescent="0.25">
      <c r="A229" s="582">
        <v>57304</v>
      </c>
      <c r="B229" t="s">
        <v>450</v>
      </c>
      <c r="C229" t="s">
        <v>446</v>
      </c>
      <c r="D229">
        <v>2056</v>
      </c>
    </row>
    <row r="230" spans="1:4" x14ac:dyDescent="0.25">
      <c r="A230" s="582">
        <v>57339</v>
      </c>
      <c r="B230" t="s">
        <v>450</v>
      </c>
      <c r="C230" t="s">
        <v>447</v>
      </c>
      <c r="D230">
        <v>2056</v>
      </c>
    </row>
    <row r="231" spans="1:4" x14ac:dyDescent="0.25">
      <c r="A231" s="582">
        <v>57346</v>
      </c>
      <c r="B231" t="s">
        <v>450</v>
      </c>
      <c r="C231" t="s">
        <v>441</v>
      </c>
      <c r="D231">
        <v>2057</v>
      </c>
    </row>
    <row r="232" spans="1:4" x14ac:dyDescent="0.25">
      <c r="A232" s="582">
        <v>57381</v>
      </c>
      <c r="B232" t="s">
        <v>450</v>
      </c>
      <c r="C232" t="s">
        <v>442</v>
      </c>
      <c r="D232">
        <v>2057</v>
      </c>
    </row>
    <row r="233" spans="1:4" x14ac:dyDescent="0.25">
      <c r="A233" s="582">
        <v>57423</v>
      </c>
      <c r="B233" t="s">
        <v>450</v>
      </c>
      <c r="C233" t="s">
        <v>443</v>
      </c>
      <c r="D233">
        <v>2057</v>
      </c>
    </row>
    <row r="234" spans="1:4" x14ac:dyDescent="0.25">
      <c r="A234" s="582">
        <v>57466</v>
      </c>
      <c r="B234" t="s">
        <v>452</v>
      </c>
      <c r="C234" t="s">
        <v>444</v>
      </c>
      <c r="D234">
        <v>2057</v>
      </c>
    </row>
    <row r="235" spans="1:4" x14ac:dyDescent="0.25">
      <c r="A235" s="582">
        <v>57604</v>
      </c>
      <c r="B235" t="s">
        <v>455</v>
      </c>
      <c r="C235" t="s">
        <v>445</v>
      </c>
      <c r="D235">
        <v>2057</v>
      </c>
    </row>
    <row r="236" spans="1:4" x14ac:dyDescent="0.25">
      <c r="A236" s="582">
        <v>57668</v>
      </c>
      <c r="B236" t="s">
        <v>450</v>
      </c>
      <c r="C236" t="s">
        <v>446</v>
      </c>
      <c r="D236">
        <v>2057</v>
      </c>
    </row>
    <row r="237" spans="1:4" x14ac:dyDescent="0.25">
      <c r="A237" s="582">
        <v>57704</v>
      </c>
      <c r="B237" t="s">
        <v>452</v>
      </c>
      <c r="C237" t="s">
        <v>447</v>
      </c>
      <c r="D237">
        <v>2057</v>
      </c>
    </row>
    <row r="238" spans="1:4" x14ac:dyDescent="0.25">
      <c r="A238" s="582">
        <v>57711</v>
      </c>
      <c r="B238" t="s">
        <v>452</v>
      </c>
      <c r="C238" t="s">
        <v>441</v>
      </c>
      <c r="D238">
        <v>2058</v>
      </c>
    </row>
    <row r="239" spans="1:4" x14ac:dyDescent="0.25">
      <c r="A239" s="582">
        <v>57745</v>
      </c>
      <c r="B239" t="s">
        <v>450</v>
      </c>
      <c r="C239" t="s">
        <v>442</v>
      </c>
      <c r="D239">
        <v>2058</v>
      </c>
    </row>
    <row r="240" spans="1:4" x14ac:dyDescent="0.25">
      <c r="A240" s="582">
        <v>57787</v>
      </c>
      <c r="B240" t="s">
        <v>450</v>
      </c>
      <c r="C240" t="s">
        <v>443</v>
      </c>
      <c r="D240">
        <v>2058</v>
      </c>
    </row>
    <row r="241" spans="1:4" x14ac:dyDescent="0.25">
      <c r="A241" s="582">
        <v>57831</v>
      </c>
      <c r="B241" t="s">
        <v>449</v>
      </c>
      <c r="C241" t="s">
        <v>444</v>
      </c>
      <c r="D241">
        <v>2058</v>
      </c>
    </row>
    <row r="242" spans="1:4" x14ac:dyDescent="0.25">
      <c r="A242" s="582">
        <v>57969</v>
      </c>
      <c r="B242" t="s">
        <v>450</v>
      </c>
      <c r="C242" t="s">
        <v>445</v>
      </c>
      <c r="D242">
        <v>2058</v>
      </c>
    </row>
    <row r="243" spans="1:4" x14ac:dyDescent="0.25">
      <c r="A243" s="582">
        <v>58032</v>
      </c>
      <c r="B243" t="s">
        <v>450</v>
      </c>
      <c r="C243" t="s">
        <v>446</v>
      </c>
      <c r="D243">
        <v>2058</v>
      </c>
    </row>
    <row r="244" spans="1:4" x14ac:dyDescent="0.25">
      <c r="A244" s="582">
        <v>58069</v>
      </c>
      <c r="B244" t="s">
        <v>449</v>
      </c>
      <c r="C244" t="s">
        <v>447</v>
      </c>
      <c r="D244">
        <v>2058</v>
      </c>
    </row>
    <row r="245" spans="1:4" x14ac:dyDescent="0.25">
      <c r="A245" s="582">
        <v>58076</v>
      </c>
      <c r="B245" t="s">
        <v>449</v>
      </c>
      <c r="C245" t="s">
        <v>441</v>
      </c>
      <c r="D245">
        <v>2059</v>
      </c>
    </row>
    <row r="246" spans="1:4" x14ac:dyDescent="0.25">
      <c r="A246" s="582">
        <v>58109</v>
      </c>
      <c r="B246" t="s">
        <v>450</v>
      </c>
      <c r="C246" t="s">
        <v>442</v>
      </c>
      <c r="D246">
        <v>2059</v>
      </c>
    </row>
    <row r="247" spans="1:4" x14ac:dyDescent="0.25">
      <c r="A247" s="582">
        <v>58151</v>
      </c>
      <c r="B247" t="s">
        <v>450</v>
      </c>
      <c r="C247" t="s">
        <v>443</v>
      </c>
      <c r="D247">
        <v>2059</v>
      </c>
    </row>
    <row r="248" spans="1:4" x14ac:dyDescent="0.25">
      <c r="A248" s="582">
        <v>58196</v>
      </c>
      <c r="B248" t="s">
        <v>451</v>
      </c>
      <c r="C248" t="s">
        <v>444</v>
      </c>
      <c r="D248">
        <v>2059</v>
      </c>
    </row>
    <row r="249" spans="1:4" x14ac:dyDescent="0.25">
      <c r="A249" s="582">
        <v>58334</v>
      </c>
      <c r="B249" t="s">
        <v>452</v>
      </c>
      <c r="C249" t="s">
        <v>445</v>
      </c>
      <c r="D249">
        <v>2059</v>
      </c>
    </row>
    <row r="250" spans="1:4" x14ac:dyDescent="0.25">
      <c r="A250" s="582">
        <v>58396</v>
      </c>
      <c r="B250" t="s">
        <v>450</v>
      </c>
      <c r="C250" t="s">
        <v>446</v>
      </c>
      <c r="D250">
        <v>2059</v>
      </c>
    </row>
    <row r="251" spans="1:4" x14ac:dyDescent="0.25">
      <c r="A251" s="582">
        <v>58434</v>
      </c>
      <c r="B251" t="s">
        <v>451</v>
      </c>
      <c r="C251" t="s">
        <v>447</v>
      </c>
      <c r="D251">
        <v>2059</v>
      </c>
    </row>
    <row r="252" spans="1:4" x14ac:dyDescent="0.25">
      <c r="A252" s="582">
        <v>58441</v>
      </c>
      <c r="B252" t="s">
        <v>451</v>
      </c>
      <c r="C252" t="s">
        <v>441</v>
      </c>
      <c r="D252">
        <v>2060</v>
      </c>
    </row>
    <row r="253" spans="1:4" x14ac:dyDescent="0.25">
      <c r="A253" s="582">
        <v>58473</v>
      </c>
      <c r="B253" t="s">
        <v>450</v>
      </c>
      <c r="C253" t="s">
        <v>442</v>
      </c>
      <c r="D253">
        <v>2060</v>
      </c>
    </row>
    <row r="254" spans="1:4" x14ac:dyDescent="0.25">
      <c r="A254" s="582">
        <v>58515</v>
      </c>
      <c r="B254" t="s">
        <v>450</v>
      </c>
      <c r="C254" t="s">
        <v>443</v>
      </c>
      <c r="D254">
        <v>2060</v>
      </c>
    </row>
    <row r="255" spans="1:4" x14ac:dyDescent="0.25">
      <c r="A255" s="582">
        <v>58562</v>
      </c>
      <c r="B255" t="s">
        <v>454</v>
      </c>
      <c r="C255" t="s">
        <v>444</v>
      </c>
      <c r="D255">
        <v>2060</v>
      </c>
    </row>
    <row r="256" spans="1:4" x14ac:dyDescent="0.25">
      <c r="A256" s="582">
        <v>58700</v>
      </c>
      <c r="B256" t="s">
        <v>451</v>
      </c>
      <c r="C256" t="s">
        <v>445</v>
      </c>
      <c r="D256">
        <v>2060</v>
      </c>
    </row>
    <row r="257" spans="1:4" x14ac:dyDescent="0.25">
      <c r="A257" s="582">
        <v>58760</v>
      </c>
      <c r="B257" t="s">
        <v>450</v>
      </c>
      <c r="C257" t="s">
        <v>446</v>
      </c>
      <c r="D257">
        <v>2060</v>
      </c>
    </row>
    <row r="258" spans="1:4" x14ac:dyDescent="0.25">
      <c r="A258" s="582">
        <v>58776</v>
      </c>
      <c r="B258" t="s">
        <v>449</v>
      </c>
      <c r="C258" t="s">
        <v>448</v>
      </c>
      <c r="D258">
        <v>2060</v>
      </c>
    </row>
    <row r="259" spans="1:4" x14ac:dyDescent="0.25">
      <c r="A259" s="582">
        <v>58800</v>
      </c>
      <c r="B259" t="s">
        <v>454</v>
      </c>
      <c r="C259" t="s">
        <v>447</v>
      </c>
      <c r="D259">
        <v>2060</v>
      </c>
    </row>
    <row r="260" spans="1:4" x14ac:dyDescent="0.25">
      <c r="A260" s="582">
        <v>58807</v>
      </c>
      <c r="B260" t="s">
        <v>454</v>
      </c>
      <c r="C260" t="s">
        <v>441</v>
      </c>
      <c r="D260">
        <v>2061</v>
      </c>
    </row>
    <row r="261" spans="1:4" x14ac:dyDescent="0.25">
      <c r="A261" s="582">
        <v>58844</v>
      </c>
      <c r="B261" t="s">
        <v>450</v>
      </c>
      <c r="C261" t="s">
        <v>442</v>
      </c>
      <c r="D261">
        <v>2061</v>
      </c>
    </row>
    <row r="262" spans="1:4" x14ac:dyDescent="0.25">
      <c r="A262" s="582">
        <v>58886</v>
      </c>
      <c r="B262" t="s">
        <v>450</v>
      </c>
      <c r="C262" t="s">
        <v>443</v>
      </c>
      <c r="D262">
        <v>2061</v>
      </c>
    </row>
    <row r="263" spans="1:4" x14ac:dyDescent="0.25">
      <c r="A263" s="582">
        <v>58927</v>
      </c>
      <c r="B263" t="s">
        <v>455</v>
      </c>
      <c r="C263" t="s">
        <v>444</v>
      </c>
      <c r="D263">
        <v>2061</v>
      </c>
    </row>
    <row r="264" spans="1:4" x14ac:dyDescent="0.25">
      <c r="A264" s="582">
        <v>59065</v>
      </c>
      <c r="B264" t="s">
        <v>453</v>
      </c>
      <c r="C264" t="s">
        <v>445</v>
      </c>
      <c r="D264">
        <v>2061</v>
      </c>
    </row>
    <row r="265" spans="1:4" x14ac:dyDescent="0.25">
      <c r="A265" s="582">
        <v>59131</v>
      </c>
      <c r="B265" t="s">
        <v>450</v>
      </c>
      <c r="C265" t="s">
        <v>446</v>
      </c>
      <c r="D265">
        <v>2061</v>
      </c>
    </row>
    <row r="266" spans="1:4" x14ac:dyDescent="0.25">
      <c r="A266" s="582">
        <v>59165</v>
      </c>
      <c r="B266" t="s">
        <v>455</v>
      </c>
      <c r="C266" t="s">
        <v>447</v>
      </c>
      <c r="D266">
        <v>2061</v>
      </c>
    </row>
    <row r="267" spans="1:4" x14ac:dyDescent="0.25">
      <c r="A267" s="582">
        <v>59172</v>
      </c>
      <c r="B267" t="s">
        <v>455</v>
      </c>
      <c r="C267" t="s">
        <v>441</v>
      </c>
      <c r="D267">
        <v>2062</v>
      </c>
    </row>
    <row r="268" spans="1:4" x14ac:dyDescent="0.25">
      <c r="A268" s="582">
        <v>59208</v>
      </c>
      <c r="B268" t="s">
        <v>450</v>
      </c>
      <c r="C268" t="s">
        <v>442</v>
      </c>
      <c r="D268">
        <v>2062</v>
      </c>
    </row>
    <row r="269" spans="1:4" x14ac:dyDescent="0.25">
      <c r="A269" s="582">
        <v>59250</v>
      </c>
      <c r="B269" t="s">
        <v>450</v>
      </c>
      <c r="C269" t="s">
        <v>443</v>
      </c>
      <c r="D269">
        <v>2062</v>
      </c>
    </row>
    <row r="270" spans="1:4" x14ac:dyDescent="0.25">
      <c r="A270" s="582">
        <v>59292</v>
      </c>
      <c r="B270" t="s">
        <v>450</v>
      </c>
      <c r="C270" t="s">
        <v>444</v>
      </c>
      <c r="D270">
        <v>2062</v>
      </c>
    </row>
    <row r="271" spans="1:4" x14ac:dyDescent="0.25">
      <c r="A271" s="582">
        <v>59430</v>
      </c>
      <c r="B271" t="s">
        <v>454</v>
      </c>
      <c r="C271" t="s">
        <v>445</v>
      </c>
      <c r="D271">
        <v>2062</v>
      </c>
    </row>
    <row r="272" spans="1:4" x14ac:dyDescent="0.25">
      <c r="A272" s="582">
        <v>59495</v>
      </c>
      <c r="B272" t="s">
        <v>450</v>
      </c>
      <c r="C272" t="s">
        <v>446</v>
      </c>
      <c r="D272">
        <v>2062</v>
      </c>
    </row>
    <row r="273" spans="1:4" x14ac:dyDescent="0.25">
      <c r="A273" s="582">
        <v>59530</v>
      </c>
      <c r="B273" t="s">
        <v>450</v>
      </c>
      <c r="C273" t="s">
        <v>447</v>
      </c>
      <c r="D273">
        <v>2062</v>
      </c>
    </row>
    <row r="274" spans="1:4" x14ac:dyDescent="0.25">
      <c r="A274" s="582">
        <v>59537</v>
      </c>
      <c r="B274" t="s">
        <v>450</v>
      </c>
      <c r="C274" t="s">
        <v>441</v>
      </c>
      <c r="D274">
        <v>2063</v>
      </c>
    </row>
    <row r="275" spans="1:4" x14ac:dyDescent="0.25">
      <c r="A275" s="582">
        <v>59572</v>
      </c>
      <c r="B275" t="s">
        <v>450</v>
      </c>
      <c r="C275" t="s">
        <v>442</v>
      </c>
      <c r="D275">
        <v>2063</v>
      </c>
    </row>
    <row r="276" spans="1:4" x14ac:dyDescent="0.25">
      <c r="A276" s="582">
        <v>59614</v>
      </c>
      <c r="B276" t="s">
        <v>450</v>
      </c>
      <c r="C276" t="s">
        <v>443</v>
      </c>
      <c r="D276">
        <v>2063</v>
      </c>
    </row>
    <row r="277" spans="1:4" x14ac:dyDescent="0.25">
      <c r="A277" s="582">
        <v>59657</v>
      </c>
      <c r="B277" t="s">
        <v>452</v>
      </c>
      <c r="C277" t="s">
        <v>444</v>
      </c>
      <c r="D277">
        <v>2063</v>
      </c>
    </row>
    <row r="278" spans="1:4" x14ac:dyDescent="0.25">
      <c r="A278" s="582">
        <v>59795</v>
      </c>
      <c r="B278" t="s">
        <v>455</v>
      </c>
      <c r="C278" t="s">
        <v>445</v>
      </c>
      <c r="D278">
        <v>2063</v>
      </c>
    </row>
    <row r="279" spans="1:4" x14ac:dyDescent="0.25">
      <c r="A279" s="582">
        <v>59859</v>
      </c>
      <c r="B279" t="s">
        <v>450</v>
      </c>
      <c r="C279" t="s">
        <v>446</v>
      </c>
      <c r="D279">
        <v>2063</v>
      </c>
    </row>
    <row r="280" spans="1:4" x14ac:dyDescent="0.25">
      <c r="A280" s="582">
        <v>59895</v>
      </c>
      <c r="B280" t="s">
        <v>452</v>
      </c>
      <c r="C280" t="s">
        <v>447</v>
      </c>
      <c r="D280">
        <v>2063</v>
      </c>
    </row>
    <row r="281" spans="1:4" x14ac:dyDescent="0.25">
      <c r="A281" s="582">
        <v>59902</v>
      </c>
      <c r="B281" t="s">
        <v>452</v>
      </c>
      <c r="C281" t="s">
        <v>441</v>
      </c>
      <c r="D281">
        <v>2064</v>
      </c>
    </row>
    <row r="282" spans="1:4" x14ac:dyDescent="0.25">
      <c r="A282" s="582">
        <v>59936</v>
      </c>
      <c r="B282" t="s">
        <v>450</v>
      </c>
      <c r="C282" t="s">
        <v>442</v>
      </c>
      <c r="D282">
        <v>2064</v>
      </c>
    </row>
    <row r="283" spans="1:4" x14ac:dyDescent="0.25">
      <c r="A283" s="582">
        <v>59978</v>
      </c>
      <c r="B283" t="s">
        <v>450</v>
      </c>
      <c r="C283" t="s">
        <v>443</v>
      </c>
      <c r="D283">
        <v>2064</v>
      </c>
    </row>
    <row r="284" spans="1:4" x14ac:dyDescent="0.25">
      <c r="A284" s="582">
        <v>60023</v>
      </c>
      <c r="B284" t="s">
        <v>451</v>
      </c>
      <c r="C284" t="s">
        <v>444</v>
      </c>
      <c r="D284">
        <v>2064</v>
      </c>
    </row>
    <row r="285" spans="1:4" x14ac:dyDescent="0.25">
      <c r="A285" s="582">
        <v>60161</v>
      </c>
      <c r="B285" t="s">
        <v>452</v>
      </c>
      <c r="C285" t="s">
        <v>445</v>
      </c>
      <c r="D285">
        <v>2064</v>
      </c>
    </row>
    <row r="286" spans="1:4" x14ac:dyDescent="0.25">
      <c r="A286" s="582">
        <v>60223</v>
      </c>
      <c r="B286" t="s">
        <v>450</v>
      </c>
      <c r="C286" t="s">
        <v>446</v>
      </c>
      <c r="D286">
        <v>2064</v>
      </c>
    </row>
    <row r="287" spans="1:4" x14ac:dyDescent="0.25">
      <c r="A287" s="582">
        <v>60261</v>
      </c>
      <c r="B287" t="s">
        <v>451</v>
      </c>
      <c r="C287" t="s">
        <v>447</v>
      </c>
      <c r="D287">
        <v>2064</v>
      </c>
    </row>
    <row r="288" spans="1:4" x14ac:dyDescent="0.25">
      <c r="A288" s="582">
        <v>60268</v>
      </c>
      <c r="B288" t="s">
        <v>451</v>
      </c>
      <c r="C288" t="s">
        <v>441</v>
      </c>
      <c r="D288">
        <v>2065</v>
      </c>
    </row>
    <row r="289" spans="1:4" x14ac:dyDescent="0.25">
      <c r="A289" s="582">
        <v>60300</v>
      </c>
      <c r="B289" t="s">
        <v>450</v>
      </c>
      <c r="C289" t="s">
        <v>442</v>
      </c>
      <c r="D289">
        <v>2065</v>
      </c>
    </row>
    <row r="290" spans="1:4" x14ac:dyDescent="0.25">
      <c r="A290" s="582">
        <v>60342</v>
      </c>
      <c r="B290" t="s">
        <v>450</v>
      </c>
      <c r="C290" t="s">
        <v>443</v>
      </c>
      <c r="D290">
        <v>2065</v>
      </c>
    </row>
    <row r="291" spans="1:4" x14ac:dyDescent="0.25">
      <c r="A291" s="582">
        <v>60388</v>
      </c>
      <c r="B291" t="s">
        <v>453</v>
      </c>
      <c r="C291" t="s">
        <v>444</v>
      </c>
      <c r="D291">
        <v>2065</v>
      </c>
    </row>
    <row r="292" spans="1:4" x14ac:dyDescent="0.25">
      <c r="A292" s="582">
        <v>60526</v>
      </c>
      <c r="B292" t="s">
        <v>449</v>
      </c>
      <c r="C292" t="s">
        <v>445</v>
      </c>
      <c r="D292">
        <v>2065</v>
      </c>
    </row>
    <row r="293" spans="1:4" x14ac:dyDescent="0.25">
      <c r="A293" s="582">
        <v>60587</v>
      </c>
      <c r="B293" t="s">
        <v>450</v>
      </c>
      <c r="C293" t="s">
        <v>446</v>
      </c>
      <c r="D293">
        <v>2065</v>
      </c>
    </row>
    <row r="294" spans="1:4" x14ac:dyDescent="0.25">
      <c r="A294" s="582">
        <v>60626</v>
      </c>
      <c r="B294" t="s">
        <v>453</v>
      </c>
      <c r="C294" t="s">
        <v>447</v>
      </c>
      <c r="D294">
        <v>2065</v>
      </c>
    </row>
    <row r="295" spans="1:4" x14ac:dyDescent="0.25">
      <c r="A295" s="582">
        <v>60633</v>
      </c>
      <c r="B295" t="s">
        <v>453</v>
      </c>
      <c r="C295" t="s">
        <v>441</v>
      </c>
      <c r="D295">
        <v>2066</v>
      </c>
    </row>
    <row r="296" spans="1:4" x14ac:dyDescent="0.25">
      <c r="A296" s="582">
        <v>60664</v>
      </c>
      <c r="B296" t="s">
        <v>450</v>
      </c>
      <c r="C296" t="s">
        <v>442</v>
      </c>
      <c r="D296">
        <v>2066</v>
      </c>
    </row>
    <row r="297" spans="1:4" x14ac:dyDescent="0.25">
      <c r="A297" s="582">
        <v>60706</v>
      </c>
      <c r="B297" t="s">
        <v>450</v>
      </c>
      <c r="C297" t="s">
        <v>443</v>
      </c>
      <c r="D297">
        <v>2066</v>
      </c>
    </row>
    <row r="298" spans="1:4" x14ac:dyDescent="0.25">
      <c r="A298" s="582">
        <v>60753</v>
      </c>
      <c r="B298" t="s">
        <v>454</v>
      </c>
      <c r="C298" t="s">
        <v>444</v>
      </c>
      <c r="D298">
        <v>2066</v>
      </c>
    </row>
    <row r="299" spans="1:4" x14ac:dyDescent="0.25">
      <c r="A299" s="582">
        <v>60891</v>
      </c>
      <c r="B299" t="s">
        <v>451</v>
      </c>
      <c r="C299" t="s">
        <v>445</v>
      </c>
      <c r="D299">
        <v>2066</v>
      </c>
    </row>
    <row r="300" spans="1:4" x14ac:dyDescent="0.25">
      <c r="A300" s="582">
        <v>60951</v>
      </c>
      <c r="B300" t="s">
        <v>450</v>
      </c>
      <c r="C300" t="s">
        <v>446</v>
      </c>
      <c r="D300">
        <v>2066</v>
      </c>
    </row>
    <row r="301" spans="1:4" x14ac:dyDescent="0.25">
      <c r="A301" s="582">
        <v>60967</v>
      </c>
      <c r="B301" t="s">
        <v>449</v>
      </c>
      <c r="C301" t="s">
        <v>448</v>
      </c>
      <c r="D301">
        <v>2066</v>
      </c>
    </row>
    <row r="302" spans="1:4" x14ac:dyDescent="0.25">
      <c r="A302" s="582">
        <v>60991</v>
      </c>
      <c r="B302" t="s">
        <v>454</v>
      </c>
      <c r="C302" t="s">
        <v>447</v>
      </c>
      <c r="D302">
        <v>2066</v>
      </c>
    </row>
    <row r="303" spans="1:4" x14ac:dyDescent="0.25">
      <c r="A303" s="582">
        <v>60998</v>
      </c>
      <c r="B303" t="s">
        <v>454</v>
      </c>
      <c r="C303" t="s">
        <v>441</v>
      </c>
      <c r="D303">
        <v>2067</v>
      </c>
    </row>
    <row r="304" spans="1:4" x14ac:dyDescent="0.25">
      <c r="A304" s="582">
        <v>61035</v>
      </c>
      <c r="B304" t="s">
        <v>450</v>
      </c>
      <c r="C304" t="s">
        <v>442</v>
      </c>
      <c r="D304">
        <v>2067</v>
      </c>
    </row>
    <row r="305" spans="1:4" x14ac:dyDescent="0.25">
      <c r="A305" s="582">
        <v>61077</v>
      </c>
      <c r="B305" t="s">
        <v>450</v>
      </c>
      <c r="C305" t="s">
        <v>443</v>
      </c>
      <c r="D305">
        <v>2067</v>
      </c>
    </row>
    <row r="306" spans="1:4" x14ac:dyDescent="0.25">
      <c r="A306" s="582">
        <v>61118</v>
      </c>
      <c r="B306" t="s">
        <v>455</v>
      </c>
      <c r="C306" t="s">
        <v>444</v>
      </c>
      <c r="D306">
        <v>2067</v>
      </c>
    </row>
    <row r="307" spans="1:4" x14ac:dyDescent="0.25">
      <c r="A307" s="582">
        <v>61256</v>
      </c>
      <c r="B307" t="s">
        <v>453</v>
      </c>
      <c r="C307" t="s">
        <v>445</v>
      </c>
      <c r="D307">
        <v>2067</v>
      </c>
    </row>
    <row r="308" spans="1:4" x14ac:dyDescent="0.25">
      <c r="A308" s="582">
        <v>61322</v>
      </c>
      <c r="B308" t="s">
        <v>450</v>
      </c>
      <c r="C308" t="s">
        <v>446</v>
      </c>
      <c r="D308">
        <v>2067</v>
      </c>
    </row>
    <row r="309" spans="1:4" x14ac:dyDescent="0.25">
      <c r="A309" s="582">
        <v>61356</v>
      </c>
      <c r="B309" t="s">
        <v>455</v>
      </c>
      <c r="C309" t="s">
        <v>447</v>
      </c>
      <c r="D309">
        <v>2067</v>
      </c>
    </row>
    <row r="310" spans="1:4" x14ac:dyDescent="0.25">
      <c r="A310" s="582">
        <v>61363</v>
      </c>
      <c r="B310" t="s">
        <v>455</v>
      </c>
      <c r="C310" t="s">
        <v>441</v>
      </c>
      <c r="D310">
        <v>2068</v>
      </c>
    </row>
    <row r="311" spans="1:4" x14ac:dyDescent="0.25">
      <c r="A311" s="582">
        <v>61399</v>
      </c>
      <c r="B311" t="s">
        <v>450</v>
      </c>
      <c r="C311" t="s">
        <v>442</v>
      </c>
      <c r="D311">
        <v>2068</v>
      </c>
    </row>
    <row r="312" spans="1:4" x14ac:dyDescent="0.25">
      <c r="A312" s="582">
        <v>61441</v>
      </c>
      <c r="B312" t="s">
        <v>450</v>
      </c>
      <c r="C312" t="s">
        <v>443</v>
      </c>
      <c r="D312">
        <v>2068</v>
      </c>
    </row>
    <row r="313" spans="1:4" x14ac:dyDescent="0.25">
      <c r="A313" s="582">
        <v>61484</v>
      </c>
      <c r="B313" t="s">
        <v>452</v>
      </c>
      <c r="C313" t="s">
        <v>444</v>
      </c>
      <c r="D313">
        <v>2068</v>
      </c>
    </row>
    <row r="314" spans="1:4" x14ac:dyDescent="0.25">
      <c r="A314" s="582">
        <v>61622</v>
      </c>
      <c r="B314" t="s">
        <v>455</v>
      </c>
      <c r="C314" t="s">
        <v>445</v>
      </c>
      <c r="D314">
        <v>2068</v>
      </c>
    </row>
    <row r="315" spans="1:4" x14ac:dyDescent="0.25">
      <c r="A315" s="582">
        <v>61686</v>
      </c>
      <c r="B315" t="s">
        <v>450</v>
      </c>
      <c r="C315" t="s">
        <v>446</v>
      </c>
      <c r="D315">
        <v>2068</v>
      </c>
    </row>
    <row r="316" spans="1:4" x14ac:dyDescent="0.25">
      <c r="A316" s="582">
        <v>61722</v>
      </c>
      <c r="B316" t="s">
        <v>452</v>
      </c>
      <c r="C316" t="s">
        <v>447</v>
      </c>
      <c r="D316">
        <v>2068</v>
      </c>
    </row>
    <row r="317" spans="1:4" x14ac:dyDescent="0.25">
      <c r="A317" s="582">
        <v>61729</v>
      </c>
      <c r="B317" t="s">
        <v>452</v>
      </c>
      <c r="C317" t="s">
        <v>441</v>
      </c>
      <c r="D317">
        <v>2069</v>
      </c>
    </row>
    <row r="318" spans="1:4" x14ac:dyDescent="0.25">
      <c r="A318" s="582">
        <v>61763</v>
      </c>
      <c r="B318" t="s">
        <v>450</v>
      </c>
      <c r="C318" t="s">
        <v>442</v>
      </c>
      <c r="D318">
        <v>2069</v>
      </c>
    </row>
    <row r="319" spans="1:4" x14ac:dyDescent="0.25">
      <c r="A319" s="582">
        <v>61805</v>
      </c>
      <c r="B319" t="s">
        <v>450</v>
      </c>
      <c r="C319" t="s">
        <v>443</v>
      </c>
      <c r="D319">
        <v>2069</v>
      </c>
    </row>
    <row r="320" spans="1:4" x14ac:dyDescent="0.25">
      <c r="A320" s="582">
        <v>61849</v>
      </c>
      <c r="B320" t="s">
        <v>449</v>
      </c>
      <c r="C320" t="s">
        <v>444</v>
      </c>
      <c r="D320">
        <v>2069</v>
      </c>
    </row>
    <row r="321" spans="1:4" x14ac:dyDescent="0.25">
      <c r="A321" s="582">
        <v>61987</v>
      </c>
      <c r="B321" t="s">
        <v>450</v>
      </c>
      <c r="C321" t="s">
        <v>445</v>
      </c>
      <c r="D321">
        <v>2069</v>
      </c>
    </row>
    <row r="322" spans="1:4" x14ac:dyDescent="0.25">
      <c r="A322" s="582">
        <v>62050</v>
      </c>
      <c r="B322" t="s">
        <v>450</v>
      </c>
      <c r="C322" t="s">
        <v>446</v>
      </c>
      <c r="D322">
        <v>2069</v>
      </c>
    </row>
    <row r="323" spans="1:4" x14ac:dyDescent="0.25">
      <c r="A323" s="582">
        <v>62087</v>
      </c>
      <c r="B323" t="s">
        <v>449</v>
      </c>
      <c r="C323" t="s">
        <v>447</v>
      </c>
      <c r="D323">
        <v>2069</v>
      </c>
    </row>
    <row r="324" spans="1:4" x14ac:dyDescent="0.25">
      <c r="A324" s="582">
        <v>62094</v>
      </c>
      <c r="B324" t="s">
        <v>449</v>
      </c>
      <c r="C324" t="s">
        <v>441</v>
      </c>
      <c r="D324">
        <v>2070</v>
      </c>
    </row>
    <row r="325" spans="1:4" x14ac:dyDescent="0.25">
      <c r="A325" s="582">
        <v>62127</v>
      </c>
      <c r="B325" t="s">
        <v>450</v>
      </c>
      <c r="C325" t="s">
        <v>442</v>
      </c>
      <c r="D325">
        <v>2070</v>
      </c>
    </row>
    <row r="326" spans="1:4" x14ac:dyDescent="0.25">
      <c r="A326" s="582">
        <v>62169</v>
      </c>
      <c r="B326" t="s">
        <v>450</v>
      </c>
      <c r="C326" t="s">
        <v>443</v>
      </c>
      <c r="D326">
        <v>2070</v>
      </c>
    </row>
    <row r="327" spans="1:4" x14ac:dyDescent="0.25">
      <c r="A327" s="582">
        <v>62214</v>
      </c>
      <c r="B327" t="s">
        <v>451</v>
      </c>
      <c r="C327" t="s">
        <v>444</v>
      </c>
      <c r="D327">
        <v>2070</v>
      </c>
    </row>
    <row r="328" spans="1:4" x14ac:dyDescent="0.25">
      <c r="A328" s="582">
        <v>62352</v>
      </c>
      <c r="B328" t="s">
        <v>452</v>
      </c>
      <c r="C328" t="s">
        <v>445</v>
      </c>
      <c r="D328">
        <v>2070</v>
      </c>
    </row>
    <row r="329" spans="1:4" x14ac:dyDescent="0.25">
      <c r="A329" s="582">
        <v>62414</v>
      </c>
      <c r="B329" t="s">
        <v>450</v>
      </c>
      <c r="C329" t="s">
        <v>446</v>
      </c>
      <c r="D329">
        <v>2070</v>
      </c>
    </row>
    <row r="330" spans="1:4" x14ac:dyDescent="0.25">
      <c r="A330" s="582">
        <v>62452</v>
      </c>
      <c r="B330" t="s">
        <v>451</v>
      </c>
      <c r="C330" t="s">
        <v>447</v>
      </c>
      <c r="D330">
        <v>2070</v>
      </c>
    </row>
    <row r="331" spans="1:4" x14ac:dyDescent="0.25">
      <c r="A331" s="582">
        <v>62459</v>
      </c>
      <c r="B331" t="s">
        <v>451</v>
      </c>
      <c r="C331" t="s">
        <v>441</v>
      </c>
      <c r="D331">
        <v>2071</v>
      </c>
    </row>
    <row r="332" spans="1:4" x14ac:dyDescent="0.25">
      <c r="A332" s="582">
        <v>62491</v>
      </c>
      <c r="B332" t="s">
        <v>450</v>
      </c>
      <c r="C332" t="s">
        <v>442</v>
      </c>
      <c r="D332">
        <v>2071</v>
      </c>
    </row>
    <row r="333" spans="1:4" x14ac:dyDescent="0.25">
      <c r="A333" s="582">
        <v>62533</v>
      </c>
      <c r="B333" t="s">
        <v>450</v>
      </c>
      <c r="C333" t="s">
        <v>443</v>
      </c>
      <c r="D333">
        <v>2071</v>
      </c>
    </row>
    <row r="334" spans="1:4" x14ac:dyDescent="0.25">
      <c r="A334" s="582">
        <v>62579</v>
      </c>
      <c r="B334" t="s">
        <v>453</v>
      </c>
      <c r="C334" t="s">
        <v>444</v>
      </c>
      <c r="D334">
        <v>2071</v>
      </c>
    </row>
    <row r="335" spans="1:4" x14ac:dyDescent="0.25">
      <c r="A335" s="582">
        <v>62717</v>
      </c>
      <c r="B335" t="s">
        <v>449</v>
      </c>
      <c r="C335" t="s">
        <v>445</v>
      </c>
      <c r="D335">
        <v>2071</v>
      </c>
    </row>
    <row r="336" spans="1:4" x14ac:dyDescent="0.25">
      <c r="A336" s="582">
        <v>62778</v>
      </c>
      <c r="B336" t="s">
        <v>450</v>
      </c>
      <c r="C336" t="s">
        <v>446</v>
      </c>
      <c r="D336">
        <v>2071</v>
      </c>
    </row>
    <row r="337" spans="1:4" x14ac:dyDescent="0.25">
      <c r="A337" s="582">
        <v>62817</v>
      </c>
      <c r="B337" t="s">
        <v>453</v>
      </c>
      <c r="C337" t="s">
        <v>447</v>
      </c>
      <c r="D337">
        <v>2071</v>
      </c>
    </row>
    <row r="338" spans="1:4" x14ac:dyDescent="0.25">
      <c r="A338" s="582">
        <v>62824</v>
      </c>
      <c r="B338" t="s">
        <v>453</v>
      </c>
      <c r="C338" t="s">
        <v>441</v>
      </c>
      <c r="D338">
        <v>2072</v>
      </c>
    </row>
    <row r="339" spans="1:4" x14ac:dyDescent="0.25">
      <c r="A339" s="582">
        <v>62855</v>
      </c>
      <c r="B339" t="s">
        <v>450</v>
      </c>
      <c r="C339" t="s">
        <v>442</v>
      </c>
      <c r="D339">
        <v>2072</v>
      </c>
    </row>
    <row r="340" spans="1:4" x14ac:dyDescent="0.25">
      <c r="A340" s="582">
        <v>62904</v>
      </c>
      <c r="B340" t="s">
        <v>450</v>
      </c>
      <c r="C340" t="s">
        <v>443</v>
      </c>
      <c r="D340">
        <v>2072</v>
      </c>
    </row>
    <row r="341" spans="1:4" x14ac:dyDescent="0.25">
      <c r="A341" s="582">
        <v>62945</v>
      </c>
      <c r="B341" t="s">
        <v>455</v>
      </c>
      <c r="C341" t="s">
        <v>444</v>
      </c>
      <c r="D341">
        <v>2072</v>
      </c>
    </row>
    <row r="342" spans="1:4" x14ac:dyDescent="0.25">
      <c r="A342" s="582">
        <v>63083</v>
      </c>
      <c r="B342" t="s">
        <v>453</v>
      </c>
      <c r="C342" t="s">
        <v>445</v>
      </c>
      <c r="D342">
        <v>2072</v>
      </c>
    </row>
    <row r="343" spans="1:4" x14ac:dyDescent="0.25">
      <c r="A343" s="582">
        <v>63149</v>
      </c>
      <c r="B343" t="s">
        <v>450</v>
      </c>
      <c r="C343" t="s">
        <v>446</v>
      </c>
      <c r="D343">
        <v>2072</v>
      </c>
    </row>
    <row r="344" spans="1:4" x14ac:dyDescent="0.25">
      <c r="A344" s="582">
        <v>63159</v>
      </c>
      <c r="B344" t="s">
        <v>451</v>
      </c>
      <c r="C344" t="s">
        <v>448</v>
      </c>
      <c r="D344">
        <v>2072</v>
      </c>
    </row>
    <row r="345" spans="1:4" x14ac:dyDescent="0.25">
      <c r="A345" s="582">
        <v>63183</v>
      </c>
      <c r="B345" t="s">
        <v>455</v>
      </c>
      <c r="C345" t="s">
        <v>447</v>
      </c>
      <c r="D345">
        <v>2072</v>
      </c>
    </row>
    <row r="346" spans="1:4" x14ac:dyDescent="0.25">
      <c r="A346" s="582">
        <v>63190</v>
      </c>
      <c r="B346" t="s">
        <v>455</v>
      </c>
      <c r="C346" t="s">
        <v>441</v>
      </c>
      <c r="D346">
        <v>2073</v>
      </c>
    </row>
    <row r="347" spans="1:4" x14ac:dyDescent="0.25">
      <c r="A347" s="582">
        <v>63226</v>
      </c>
      <c r="B347" t="s">
        <v>450</v>
      </c>
      <c r="C347" t="s">
        <v>442</v>
      </c>
      <c r="D347">
        <v>2073</v>
      </c>
    </row>
    <row r="348" spans="1:4" x14ac:dyDescent="0.25">
      <c r="A348" s="582">
        <v>63268</v>
      </c>
      <c r="B348" t="s">
        <v>450</v>
      </c>
      <c r="C348" t="s">
        <v>443</v>
      </c>
      <c r="D348">
        <v>2073</v>
      </c>
    </row>
    <row r="349" spans="1:4" x14ac:dyDescent="0.25">
      <c r="A349" s="582">
        <v>63310</v>
      </c>
      <c r="B349" t="s">
        <v>450</v>
      </c>
      <c r="C349" t="s">
        <v>444</v>
      </c>
      <c r="D349">
        <v>2073</v>
      </c>
    </row>
    <row r="350" spans="1:4" x14ac:dyDescent="0.25">
      <c r="A350" s="582">
        <v>63448</v>
      </c>
      <c r="B350" t="s">
        <v>454</v>
      </c>
      <c r="C350" t="s">
        <v>445</v>
      </c>
      <c r="D350">
        <v>2073</v>
      </c>
    </row>
    <row r="351" spans="1:4" x14ac:dyDescent="0.25">
      <c r="A351" s="582">
        <v>63513</v>
      </c>
      <c r="B351" t="s">
        <v>450</v>
      </c>
      <c r="C351" t="s">
        <v>446</v>
      </c>
      <c r="D351">
        <v>2073</v>
      </c>
    </row>
    <row r="352" spans="1:4" x14ac:dyDescent="0.25">
      <c r="A352" s="582">
        <v>63548</v>
      </c>
      <c r="B352" t="s">
        <v>450</v>
      </c>
      <c r="C352" t="s">
        <v>447</v>
      </c>
      <c r="D352">
        <v>2073</v>
      </c>
    </row>
    <row r="353" spans="1:4" x14ac:dyDescent="0.25">
      <c r="A353" s="582">
        <v>63555</v>
      </c>
      <c r="B353" t="s">
        <v>450</v>
      </c>
      <c r="C353" t="s">
        <v>441</v>
      </c>
      <c r="D353">
        <v>2074</v>
      </c>
    </row>
    <row r="354" spans="1:4" x14ac:dyDescent="0.25">
      <c r="A354" s="582">
        <v>63590</v>
      </c>
      <c r="B354" t="s">
        <v>450</v>
      </c>
      <c r="C354" t="s">
        <v>442</v>
      </c>
      <c r="D354">
        <v>2074</v>
      </c>
    </row>
    <row r="355" spans="1:4" x14ac:dyDescent="0.25">
      <c r="A355" s="582">
        <v>63632</v>
      </c>
      <c r="B355" t="s">
        <v>450</v>
      </c>
      <c r="C355" t="s">
        <v>443</v>
      </c>
      <c r="D355">
        <v>2074</v>
      </c>
    </row>
    <row r="356" spans="1:4" x14ac:dyDescent="0.25">
      <c r="A356" s="582">
        <v>63675</v>
      </c>
      <c r="B356" t="s">
        <v>452</v>
      </c>
      <c r="C356" t="s">
        <v>444</v>
      </c>
      <c r="D356">
        <v>2074</v>
      </c>
    </row>
    <row r="357" spans="1:4" x14ac:dyDescent="0.25">
      <c r="A357" s="582">
        <v>63813</v>
      </c>
      <c r="B357" t="s">
        <v>455</v>
      </c>
      <c r="C357" t="s">
        <v>445</v>
      </c>
      <c r="D357">
        <v>2074</v>
      </c>
    </row>
    <row r="358" spans="1:4" x14ac:dyDescent="0.25">
      <c r="A358" s="582">
        <v>63877</v>
      </c>
      <c r="B358" t="s">
        <v>450</v>
      </c>
      <c r="C358" t="s">
        <v>446</v>
      </c>
      <c r="D358">
        <v>2074</v>
      </c>
    </row>
    <row r="359" spans="1:4" x14ac:dyDescent="0.25">
      <c r="A359" s="582">
        <v>63913</v>
      </c>
      <c r="B359" t="s">
        <v>452</v>
      </c>
      <c r="C359" t="s">
        <v>447</v>
      </c>
      <c r="D359">
        <v>2074</v>
      </c>
    </row>
    <row r="360" spans="1:4" x14ac:dyDescent="0.25">
      <c r="A360" s="582">
        <v>63920</v>
      </c>
      <c r="B360" t="s">
        <v>452</v>
      </c>
      <c r="C360" t="s">
        <v>441</v>
      </c>
      <c r="D360">
        <v>2075</v>
      </c>
    </row>
    <row r="361" spans="1:4" x14ac:dyDescent="0.25">
      <c r="A361" s="582">
        <v>63954</v>
      </c>
      <c r="B361" t="s">
        <v>450</v>
      </c>
      <c r="C361" t="s">
        <v>442</v>
      </c>
      <c r="D361">
        <v>2075</v>
      </c>
    </row>
    <row r="362" spans="1:4" x14ac:dyDescent="0.25">
      <c r="A362" s="582">
        <v>63996</v>
      </c>
      <c r="B362" t="s">
        <v>450</v>
      </c>
      <c r="C362" t="s">
        <v>443</v>
      </c>
      <c r="D362">
        <v>2075</v>
      </c>
    </row>
    <row r="363" spans="1:4" x14ac:dyDescent="0.25">
      <c r="A363" s="582">
        <v>64040</v>
      </c>
      <c r="B363" t="s">
        <v>449</v>
      </c>
      <c r="C363" t="s">
        <v>444</v>
      </c>
      <c r="D363">
        <v>2075</v>
      </c>
    </row>
    <row r="364" spans="1:4" x14ac:dyDescent="0.25">
      <c r="A364" s="582">
        <v>64178</v>
      </c>
      <c r="B364" t="s">
        <v>450</v>
      </c>
      <c r="C364" t="s">
        <v>445</v>
      </c>
      <c r="D364">
        <v>2075</v>
      </c>
    </row>
    <row r="365" spans="1:4" x14ac:dyDescent="0.25">
      <c r="A365" s="582">
        <v>64241</v>
      </c>
      <c r="B365" t="s">
        <v>450</v>
      </c>
      <c r="C365" t="s">
        <v>446</v>
      </c>
      <c r="D365">
        <v>2075</v>
      </c>
    </row>
    <row r="366" spans="1:4" x14ac:dyDescent="0.25">
      <c r="A366" s="582">
        <v>64278</v>
      </c>
      <c r="B366" t="s">
        <v>449</v>
      </c>
      <c r="C366" t="s">
        <v>447</v>
      </c>
      <c r="D366">
        <v>2075</v>
      </c>
    </row>
    <row r="367" spans="1:4" x14ac:dyDescent="0.25">
      <c r="A367" s="582">
        <v>64285</v>
      </c>
      <c r="B367" t="s">
        <v>449</v>
      </c>
      <c r="C367" t="s">
        <v>441</v>
      </c>
      <c r="D367">
        <v>2076</v>
      </c>
    </row>
    <row r="368" spans="1:4" x14ac:dyDescent="0.25">
      <c r="A368" s="582">
        <v>64318</v>
      </c>
      <c r="B368" t="s">
        <v>450</v>
      </c>
      <c r="C368" t="s">
        <v>442</v>
      </c>
      <c r="D368">
        <v>2076</v>
      </c>
    </row>
    <row r="369" spans="1:4" x14ac:dyDescent="0.25">
      <c r="A369" s="582">
        <v>64360</v>
      </c>
      <c r="B369" t="s">
        <v>450</v>
      </c>
      <c r="C369" t="s">
        <v>443</v>
      </c>
      <c r="D369">
        <v>2076</v>
      </c>
    </row>
    <row r="370" spans="1:4" x14ac:dyDescent="0.25">
      <c r="A370" s="582">
        <v>64406</v>
      </c>
      <c r="B370" t="s">
        <v>453</v>
      </c>
      <c r="C370" t="s">
        <v>444</v>
      </c>
      <c r="D370">
        <v>2076</v>
      </c>
    </row>
    <row r="371" spans="1:4" x14ac:dyDescent="0.25">
      <c r="A371" s="582">
        <v>64544</v>
      </c>
      <c r="B371" t="s">
        <v>449</v>
      </c>
      <c r="C371" t="s">
        <v>445</v>
      </c>
      <c r="D371">
        <v>2076</v>
      </c>
    </row>
    <row r="372" spans="1:4" x14ac:dyDescent="0.25">
      <c r="A372" s="582">
        <v>64605</v>
      </c>
      <c r="B372" t="s">
        <v>450</v>
      </c>
      <c r="C372" t="s">
        <v>446</v>
      </c>
      <c r="D372">
        <v>2076</v>
      </c>
    </row>
    <row r="373" spans="1:4" x14ac:dyDescent="0.25">
      <c r="A373" s="582">
        <v>64644</v>
      </c>
      <c r="B373" t="s">
        <v>453</v>
      </c>
      <c r="C373" t="s">
        <v>447</v>
      </c>
      <c r="D373">
        <v>2076</v>
      </c>
    </row>
    <row r="374" spans="1:4" x14ac:dyDescent="0.25">
      <c r="A374" s="582">
        <v>64651</v>
      </c>
      <c r="B374" t="s">
        <v>453</v>
      </c>
      <c r="C374" t="s">
        <v>441</v>
      </c>
      <c r="D374">
        <v>2077</v>
      </c>
    </row>
    <row r="375" spans="1:4" x14ac:dyDescent="0.25">
      <c r="A375" s="582">
        <v>64682</v>
      </c>
      <c r="B375" t="s">
        <v>450</v>
      </c>
      <c r="C375" t="s">
        <v>442</v>
      </c>
      <c r="D375">
        <v>2077</v>
      </c>
    </row>
    <row r="376" spans="1:4" x14ac:dyDescent="0.25">
      <c r="A376" s="582">
        <v>64724</v>
      </c>
      <c r="B376" t="s">
        <v>450</v>
      </c>
      <c r="C376" t="s">
        <v>443</v>
      </c>
      <c r="D376">
        <v>2077</v>
      </c>
    </row>
    <row r="377" spans="1:4" x14ac:dyDescent="0.25">
      <c r="A377" s="582">
        <v>64771</v>
      </c>
      <c r="B377" t="s">
        <v>454</v>
      </c>
      <c r="C377" t="s">
        <v>444</v>
      </c>
      <c r="D377">
        <v>2077</v>
      </c>
    </row>
    <row r="378" spans="1:4" x14ac:dyDescent="0.25">
      <c r="A378" s="582">
        <v>64909</v>
      </c>
      <c r="B378" t="s">
        <v>451</v>
      </c>
      <c r="C378" t="s">
        <v>445</v>
      </c>
      <c r="D378">
        <v>2077</v>
      </c>
    </row>
    <row r="379" spans="1:4" x14ac:dyDescent="0.25">
      <c r="A379" s="582">
        <v>64969</v>
      </c>
      <c r="B379" t="s">
        <v>450</v>
      </c>
      <c r="C379" t="s">
        <v>446</v>
      </c>
      <c r="D379">
        <v>2077</v>
      </c>
    </row>
    <row r="380" spans="1:4" x14ac:dyDescent="0.25">
      <c r="A380" s="582">
        <v>65009</v>
      </c>
      <c r="B380" t="s">
        <v>454</v>
      </c>
      <c r="C380" t="s">
        <v>447</v>
      </c>
      <c r="D380">
        <v>2077</v>
      </c>
    </row>
    <row r="381" spans="1:4" x14ac:dyDescent="0.25">
      <c r="A381" s="582">
        <v>65016</v>
      </c>
      <c r="B381" t="s">
        <v>454</v>
      </c>
      <c r="C381" t="s">
        <v>441</v>
      </c>
      <c r="D381">
        <v>2078</v>
      </c>
    </row>
    <row r="382" spans="1:4" x14ac:dyDescent="0.25">
      <c r="A382" s="582">
        <v>65053</v>
      </c>
      <c r="B382" t="s">
        <v>450</v>
      </c>
      <c r="C382" t="s">
        <v>442</v>
      </c>
      <c r="D382">
        <v>2078</v>
      </c>
    </row>
    <row r="383" spans="1:4" x14ac:dyDescent="0.25">
      <c r="A383" s="582">
        <v>65095</v>
      </c>
      <c r="B383" t="s">
        <v>450</v>
      </c>
      <c r="C383" t="s">
        <v>443</v>
      </c>
      <c r="D383">
        <v>2078</v>
      </c>
    </row>
    <row r="384" spans="1:4" x14ac:dyDescent="0.25">
      <c r="A384" s="582">
        <v>65136</v>
      </c>
      <c r="B384" t="s">
        <v>455</v>
      </c>
      <c r="C384" t="s">
        <v>444</v>
      </c>
      <c r="D384">
        <v>2078</v>
      </c>
    </row>
    <row r="385" spans="1:4" x14ac:dyDescent="0.25">
      <c r="A385" s="582">
        <v>65274</v>
      </c>
      <c r="B385" t="s">
        <v>453</v>
      </c>
      <c r="C385" t="s">
        <v>445</v>
      </c>
      <c r="D385">
        <v>2078</v>
      </c>
    </row>
    <row r="386" spans="1:4" x14ac:dyDescent="0.25">
      <c r="A386" s="582">
        <v>65340</v>
      </c>
      <c r="B386" t="s">
        <v>450</v>
      </c>
      <c r="C386" t="s">
        <v>446</v>
      </c>
      <c r="D386">
        <v>2078</v>
      </c>
    </row>
    <row r="387" spans="1:4" x14ac:dyDescent="0.25">
      <c r="A387" s="582">
        <v>65350</v>
      </c>
      <c r="B387" t="s">
        <v>451</v>
      </c>
      <c r="C387" t="s">
        <v>448</v>
      </c>
      <c r="D387">
        <v>2078</v>
      </c>
    </row>
    <row r="388" spans="1:4" x14ac:dyDescent="0.25">
      <c r="A388" s="582">
        <v>65374</v>
      </c>
      <c r="B388" t="s">
        <v>455</v>
      </c>
      <c r="C388" t="s">
        <v>447</v>
      </c>
      <c r="D388">
        <v>2078</v>
      </c>
    </row>
    <row r="389" spans="1:4" x14ac:dyDescent="0.25">
      <c r="A389" s="582">
        <v>65381</v>
      </c>
      <c r="B389" t="s">
        <v>455</v>
      </c>
      <c r="C389" t="s">
        <v>441</v>
      </c>
      <c r="D389">
        <v>2079</v>
      </c>
    </row>
    <row r="390" spans="1:4" x14ac:dyDescent="0.25">
      <c r="A390" s="582">
        <v>65417</v>
      </c>
      <c r="B390" t="s">
        <v>450</v>
      </c>
      <c r="C390" t="s">
        <v>442</v>
      </c>
      <c r="D390">
        <v>2079</v>
      </c>
    </row>
    <row r="391" spans="1:4" x14ac:dyDescent="0.25">
      <c r="A391" s="582">
        <v>65459</v>
      </c>
      <c r="B391" t="s">
        <v>450</v>
      </c>
      <c r="C391" t="s">
        <v>443</v>
      </c>
      <c r="D391">
        <v>2079</v>
      </c>
    </row>
    <row r="392" spans="1:4" x14ac:dyDescent="0.25">
      <c r="A392" s="582">
        <v>65501</v>
      </c>
      <c r="B392" t="s">
        <v>450</v>
      </c>
      <c r="C392" t="s">
        <v>444</v>
      </c>
      <c r="D392">
        <v>2079</v>
      </c>
    </row>
    <row r="393" spans="1:4" x14ac:dyDescent="0.25">
      <c r="A393" s="582">
        <v>65639</v>
      </c>
      <c r="B393" t="s">
        <v>454</v>
      </c>
      <c r="C393" t="s">
        <v>445</v>
      </c>
      <c r="D393">
        <v>2079</v>
      </c>
    </row>
    <row r="394" spans="1:4" x14ac:dyDescent="0.25">
      <c r="A394" s="582">
        <v>65704</v>
      </c>
      <c r="B394" t="s">
        <v>450</v>
      </c>
      <c r="C394" t="s">
        <v>446</v>
      </c>
      <c r="D394">
        <v>2079</v>
      </c>
    </row>
    <row r="395" spans="1:4" x14ac:dyDescent="0.25">
      <c r="A395" s="582">
        <v>65739</v>
      </c>
      <c r="B395" t="s">
        <v>450</v>
      </c>
      <c r="C395" t="s">
        <v>447</v>
      </c>
      <c r="D395">
        <v>2079</v>
      </c>
    </row>
    <row r="396" spans="1:4" x14ac:dyDescent="0.25">
      <c r="A396" s="582">
        <v>65746</v>
      </c>
      <c r="B396" t="s">
        <v>450</v>
      </c>
      <c r="C396" t="s">
        <v>441</v>
      </c>
      <c r="D396">
        <v>2080</v>
      </c>
    </row>
    <row r="397" spans="1:4" x14ac:dyDescent="0.25">
      <c r="A397" s="582">
        <v>65781</v>
      </c>
      <c r="B397" t="s">
        <v>450</v>
      </c>
      <c r="C397" t="s">
        <v>442</v>
      </c>
      <c r="D397">
        <v>2080</v>
      </c>
    </row>
    <row r="398" spans="1:4" x14ac:dyDescent="0.25">
      <c r="A398" s="582">
        <v>65823</v>
      </c>
      <c r="B398" t="s">
        <v>450</v>
      </c>
      <c r="C398" t="s">
        <v>443</v>
      </c>
      <c r="D398">
        <v>2080</v>
      </c>
    </row>
    <row r="399" spans="1:4" x14ac:dyDescent="0.25">
      <c r="A399" s="582">
        <v>65867</v>
      </c>
      <c r="B399" t="s">
        <v>449</v>
      </c>
      <c r="C399" t="s">
        <v>444</v>
      </c>
      <c r="D399">
        <v>2080</v>
      </c>
    </row>
    <row r="400" spans="1:4" x14ac:dyDescent="0.25">
      <c r="A400" s="582">
        <v>66005</v>
      </c>
      <c r="B400" t="s">
        <v>450</v>
      </c>
      <c r="C400" t="s">
        <v>445</v>
      </c>
      <c r="D400">
        <v>2080</v>
      </c>
    </row>
    <row r="401" spans="1:4" x14ac:dyDescent="0.25">
      <c r="A401" s="582">
        <v>66068</v>
      </c>
      <c r="B401" t="s">
        <v>450</v>
      </c>
      <c r="C401" t="s">
        <v>446</v>
      </c>
      <c r="D401">
        <v>2080</v>
      </c>
    </row>
    <row r="402" spans="1:4" x14ac:dyDescent="0.25">
      <c r="A402" s="582">
        <v>66105</v>
      </c>
      <c r="B402" t="s">
        <v>449</v>
      </c>
      <c r="C402" t="s">
        <v>447</v>
      </c>
      <c r="D402">
        <v>2080</v>
      </c>
    </row>
    <row r="403" spans="1:4" x14ac:dyDescent="0.25">
      <c r="A403" s="582">
        <v>66112</v>
      </c>
      <c r="B403" t="s">
        <v>449</v>
      </c>
      <c r="C403" t="s">
        <v>441</v>
      </c>
      <c r="D403">
        <v>2081</v>
      </c>
    </row>
    <row r="404" spans="1:4" x14ac:dyDescent="0.25">
      <c r="A404" s="582">
        <v>66145</v>
      </c>
      <c r="B404" t="s">
        <v>450</v>
      </c>
      <c r="C404" t="s">
        <v>442</v>
      </c>
      <c r="D404">
        <v>2081</v>
      </c>
    </row>
    <row r="405" spans="1:4" x14ac:dyDescent="0.25">
      <c r="A405" s="582">
        <v>66187</v>
      </c>
      <c r="B405" t="s">
        <v>450</v>
      </c>
      <c r="C405" t="s">
        <v>443</v>
      </c>
      <c r="D405">
        <v>2081</v>
      </c>
    </row>
    <row r="406" spans="1:4" x14ac:dyDescent="0.25">
      <c r="A406" s="582">
        <v>66232</v>
      </c>
      <c r="B406" t="s">
        <v>451</v>
      </c>
      <c r="C406" t="s">
        <v>444</v>
      </c>
      <c r="D406">
        <v>2081</v>
      </c>
    </row>
    <row r="407" spans="1:4" x14ac:dyDescent="0.25">
      <c r="A407" s="582">
        <v>66370</v>
      </c>
      <c r="B407" t="s">
        <v>452</v>
      </c>
      <c r="C407" t="s">
        <v>445</v>
      </c>
      <c r="D407">
        <v>2081</v>
      </c>
    </row>
    <row r="408" spans="1:4" x14ac:dyDescent="0.25">
      <c r="A408" s="582">
        <v>66432</v>
      </c>
      <c r="B408" t="s">
        <v>450</v>
      </c>
      <c r="C408" t="s">
        <v>446</v>
      </c>
      <c r="D408">
        <v>2081</v>
      </c>
    </row>
    <row r="409" spans="1:4" x14ac:dyDescent="0.25">
      <c r="A409" s="582">
        <v>66470</v>
      </c>
      <c r="B409" t="s">
        <v>451</v>
      </c>
      <c r="C409" t="s">
        <v>447</v>
      </c>
      <c r="D409">
        <v>2081</v>
      </c>
    </row>
    <row r="410" spans="1:4" x14ac:dyDescent="0.25">
      <c r="A410" s="582">
        <v>66477</v>
      </c>
      <c r="B410" t="s">
        <v>451</v>
      </c>
      <c r="C410" t="s">
        <v>441</v>
      </c>
      <c r="D410">
        <v>2082</v>
      </c>
    </row>
    <row r="411" spans="1:4" x14ac:dyDescent="0.25">
      <c r="A411" s="582">
        <v>66509</v>
      </c>
      <c r="B411" t="s">
        <v>450</v>
      </c>
      <c r="C411" t="s">
        <v>442</v>
      </c>
      <c r="D411">
        <v>2082</v>
      </c>
    </row>
    <row r="412" spans="1:4" x14ac:dyDescent="0.25">
      <c r="A412" s="582">
        <v>66551</v>
      </c>
      <c r="B412" t="s">
        <v>450</v>
      </c>
      <c r="C412" t="s">
        <v>443</v>
      </c>
      <c r="D412">
        <v>2082</v>
      </c>
    </row>
    <row r="413" spans="1:4" x14ac:dyDescent="0.25">
      <c r="A413" s="582">
        <v>66597</v>
      </c>
      <c r="B413" t="s">
        <v>453</v>
      </c>
      <c r="C413" t="s">
        <v>444</v>
      </c>
      <c r="D413">
        <v>2082</v>
      </c>
    </row>
    <row r="414" spans="1:4" x14ac:dyDescent="0.25">
      <c r="A414" s="582">
        <v>66735</v>
      </c>
      <c r="B414" t="s">
        <v>449</v>
      </c>
      <c r="C414" t="s">
        <v>445</v>
      </c>
      <c r="D414">
        <v>2082</v>
      </c>
    </row>
    <row r="415" spans="1:4" x14ac:dyDescent="0.25">
      <c r="A415" s="582">
        <v>66796</v>
      </c>
      <c r="B415" t="s">
        <v>450</v>
      </c>
      <c r="C415" t="s">
        <v>446</v>
      </c>
      <c r="D415">
        <v>2082</v>
      </c>
    </row>
    <row r="416" spans="1:4" x14ac:dyDescent="0.25">
      <c r="A416" s="582">
        <v>66835</v>
      </c>
      <c r="B416" t="s">
        <v>453</v>
      </c>
      <c r="C416" t="s">
        <v>447</v>
      </c>
      <c r="D416">
        <v>2082</v>
      </c>
    </row>
    <row r="417" spans="1:4" x14ac:dyDescent="0.25">
      <c r="A417" s="582">
        <v>66842</v>
      </c>
      <c r="B417" t="s">
        <v>453</v>
      </c>
      <c r="C417" t="s">
        <v>441</v>
      </c>
      <c r="D417">
        <v>2083</v>
      </c>
    </row>
    <row r="418" spans="1:4" x14ac:dyDescent="0.25">
      <c r="A418" s="582">
        <v>66873</v>
      </c>
      <c r="B418" t="s">
        <v>450</v>
      </c>
      <c r="C418" t="s">
        <v>442</v>
      </c>
      <c r="D418">
        <v>2083</v>
      </c>
    </row>
    <row r="419" spans="1:4" x14ac:dyDescent="0.25">
      <c r="A419" s="582">
        <v>66915</v>
      </c>
      <c r="B419" t="s">
        <v>450</v>
      </c>
      <c r="C419" t="s">
        <v>443</v>
      </c>
      <c r="D419">
        <v>2083</v>
      </c>
    </row>
    <row r="420" spans="1:4" x14ac:dyDescent="0.25">
      <c r="A420" s="582">
        <v>66962</v>
      </c>
      <c r="B420" t="s">
        <v>454</v>
      </c>
      <c r="C420" t="s">
        <v>444</v>
      </c>
      <c r="D420">
        <v>2083</v>
      </c>
    </row>
    <row r="421" spans="1:4" x14ac:dyDescent="0.25">
      <c r="A421" s="582">
        <v>67100</v>
      </c>
      <c r="B421" t="s">
        <v>451</v>
      </c>
      <c r="C421" t="s">
        <v>445</v>
      </c>
      <c r="D421">
        <v>2083</v>
      </c>
    </row>
    <row r="422" spans="1:4" x14ac:dyDescent="0.25">
      <c r="A422" s="582">
        <v>67160</v>
      </c>
      <c r="B422" t="s">
        <v>450</v>
      </c>
      <c r="C422" t="s">
        <v>446</v>
      </c>
      <c r="D422">
        <v>2083</v>
      </c>
    </row>
    <row r="423" spans="1:4" x14ac:dyDescent="0.25">
      <c r="A423" s="582">
        <v>67200</v>
      </c>
      <c r="B423" t="s">
        <v>454</v>
      </c>
      <c r="C423" t="s">
        <v>447</v>
      </c>
      <c r="D423">
        <v>2083</v>
      </c>
    </row>
    <row r="424" spans="1:4" x14ac:dyDescent="0.25">
      <c r="A424" s="582">
        <v>67207</v>
      </c>
      <c r="B424" t="s">
        <v>454</v>
      </c>
      <c r="C424" t="s">
        <v>441</v>
      </c>
      <c r="D424">
        <v>2084</v>
      </c>
    </row>
    <row r="425" spans="1:4" x14ac:dyDescent="0.25">
      <c r="A425" s="582">
        <v>67244</v>
      </c>
      <c r="B425" t="s">
        <v>450</v>
      </c>
      <c r="C425" t="s">
        <v>442</v>
      </c>
      <c r="D425">
        <v>2084</v>
      </c>
    </row>
    <row r="426" spans="1:4" x14ac:dyDescent="0.25">
      <c r="A426" s="582">
        <v>67286</v>
      </c>
      <c r="B426" t="s">
        <v>450</v>
      </c>
      <c r="C426" t="s">
        <v>443</v>
      </c>
      <c r="D426">
        <v>2084</v>
      </c>
    </row>
    <row r="427" spans="1:4" x14ac:dyDescent="0.25">
      <c r="A427" s="582">
        <v>67328</v>
      </c>
      <c r="B427" t="s">
        <v>450</v>
      </c>
      <c r="C427" t="s">
        <v>444</v>
      </c>
      <c r="D427">
        <v>2084</v>
      </c>
    </row>
    <row r="428" spans="1:4" x14ac:dyDescent="0.25">
      <c r="A428" s="582">
        <v>67466</v>
      </c>
      <c r="B428" t="s">
        <v>454</v>
      </c>
      <c r="C428" t="s">
        <v>445</v>
      </c>
      <c r="D428">
        <v>2084</v>
      </c>
    </row>
    <row r="429" spans="1:4" x14ac:dyDescent="0.25">
      <c r="A429" s="582">
        <v>67531</v>
      </c>
      <c r="B429" t="s">
        <v>450</v>
      </c>
      <c r="C429" t="s">
        <v>446</v>
      </c>
      <c r="D429">
        <v>2084</v>
      </c>
    </row>
    <row r="430" spans="1:4" x14ac:dyDescent="0.25">
      <c r="A430" s="582">
        <v>67542</v>
      </c>
      <c r="B430" t="s">
        <v>453</v>
      </c>
      <c r="C430" t="s">
        <v>448</v>
      </c>
      <c r="D430">
        <v>2084</v>
      </c>
    </row>
    <row r="431" spans="1:4" x14ac:dyDescent="0.25">
      <c r="A431" s="582">
        <v>67566</v>
      </c>
      <c r="B431" t="s">
        <v>450</v>
      </c>
      <c r="C431" t="s">
        <v>447</v>
      </c>
      <c r="D431">
        <v>2084</v>
      </c>
    </row>
    <row r="432" spans="1:4" x14ac:dyDescent="0.25">
      <c r="A432" s="582">
        <v>67573</v>
      </c>
      <c r="B432" t="s">
        <v>450</v>
      </c>
      <c r="C432" t="s">
        <v>441</v>
      </c>
      <c r="D432">
        <v>2085</v>
      </c>
    </row>
    <row r="433" spans="1:4" x14ac:dyDescent="0.25">
      <c r="A433" s="582">
        <v>67608</v>
      </c>
      <c r="B433" t="s">
        <v>450</v>
      </c>
      <c r="C433" t="s">
        <v>442</v>
      </c>
      <c r="D433">
        <v>2085</v>
      </c>
    </row>
    <row r="434" spans="1:4" x14ac:dyDescent="0.25">
      <c r="A434" s="582">
        <v>67650</v>
      </c>
      <c r="B434" t="s">
        <v>450</v>
      </c>
      <c r="C434" t="s">
        <v>443</v>
      </c>
      <c r="D434">
        <v>2085</v>
      </c>
    </row>
    <row r="435" spans="1:4" x14ac:dyDescent="0.25">
      <c r="A435" s="582">
        <v>67693</v>
      </c>
      <c r="B435" t="s">
        <v>452</v>
      </c>
      <c r="C435" t="s">
        <v>444</v>
      </c>
      <c r="D435">
        <v>2085</v>
      </c>
    </row>
    <row r="436" spans="1:4" x14ac:dyDescent="0.25">
      <c r="A436" s="582">
        <v>67831</v>
      </c>
      <c r="B436" t="s">
        <v>455</v>
      </c>
      <c r="C436" t="s">
        <v>445</v>
      </c>
      <c r="D436">
        <v>2085</v>
      </c>
    </row>
    <row r="437" spans="1:4" x14ac:dyDescent="0.25">
      <c r="A437" s="582">
        <v>67895</v>
      </c>
      <c r="B437" t="s">
        <v>450</v>
      </c>
      <c r="C437" t="s">
        <v>446</v>
      </c>
      <c r="D437">
        <v>2085</v>
      </c>
    </row>
    <row r="438" spans="1:4" x14ac:dyDescent="0.25">
      <c r="A438" s="582">
        <v>67931</v>
      </c>
      <c r="B438" t="s">
        <v>452</v>
      </c>
      <c r="C438" t="s">
        <v>447</v>
      </c>
      <c r="D438">
        <v>2085</v>
      </c>
    </row>
    <row r="439" spans="1:4" x14ac:dyDescent="0.25">
      <c r="A439" s="582">
        <v>67938</v>
      </c>
      <c r="B439" t="s">
        <v>452</v>
      </c>
      <c r="C439" t="s">
        <v>441</v>
      </c>
      <c r="D439">
        <v>2086</v>
      </c>
    </row>
    <row r="440" spans="1:4" x14ac:dyDescent="0.25">
      <c r="A440" s="582">
        <v>67972</v>
      </c>
      <c r="B440" t="s">
        <v>450</v>
      </c>
      <c r="C440" t="s">
        <v>442</v>
      </c>
      <c r="D440">
        <v>2086</v>
      </c>
    </row>
    <row r="441" spans="1:4" x14ac:dyDescent="0.25">
      <c r="A441" s="582">
        <v>68014</v>
      </c>
      <c r="B441" t="s">
        <v>450</v>
      </c>
      <c r="C441" t="s">
        <v>443</v>
      </c>
      <c r="D441">
        <v>2086</v>
      </c>
    </row>
    <row r="442" spans="1:4" x14ac:dyDescent="0.25">
      <c r="A442" s="582">
        <v>68058</v>
      </c>
      <c r="B442" t="s">
        <v>449</v>
      </c>
      <c r="C442" t="s">
        <v>444</v>
      </c>
      <c r="D442">
        <v>2086</v>
      </c>
    </row>
    <row r="443" spans="1:4" x14ac:dyDescent="0.25">
      <c r="A443" s="582">
        <v>68196</v>
      </c>
      <c r="B443" t="s">
        <v>450</v>
      </c>
      <c r="C443" t="s">
        <v>445</v>
      </c>
      <c r="D443">
        <v>2086</v>
      </c>
    </row>
    <row r="444" spans="1:4" x14ac:dyDescent="0.25">
      <c r="A444" s="582">
        <v>68259</v>
      </c>
      <c r="B444" t="s">
        <v>450</v>
      </c>
      <c r="C444" t="s">
        <v>446</v>
      </c>
      <c r="D444">
        <v>2086</v>
      </c>
    </row>
    <row r="445" spans="1:4" x14ac:dyDescent="0.25">
      <c r="A445" s="582">
        <v>68296</v>
      </c>
      <c r="B445" t="s">
        <v>449</v>
      </c>
      <c r="C445" t="s">
        <v>447</v>
      </c>
      <c r="D445">
        <v>2086</v>
      </c>
    </row>
    <row r="446" spans="1:4" x14ac:dyDescent="0.25">
      <c r="A446" s="582">
        <v>68303</v>
      </c>
      <c r="B446" t="s">
        <v>449</v>
      </c>
      <c r="C446" t="s">
        <v>441</v>
      </c>
      <c r="D446">
        <v>2087</v>
      </c>
    </row>
    <row r="447" spans="1:4" x14ac:dyDescent="0.25">
      <c r="A447" s="582">
        <v>68336</v>
      </c>
      <c r="B447" t="s">
        <v>450</v>
      </c>
      <c r="C447" t="s">
        <v>442</v>
      </c>
      <c r="D447">
        <v>2087</v>
      </c>
    </row>
    <row r="448" spans="1:4" x14ac:dyDescent="0.25">
      <c r="A448" s="582">
        <v>68378</v>
      </c>
      <c r="B448" t="s">
        <v>450</v>
      </c>
      <c r="C448" t="s">
        <v>443</v>
      </c>
      <c r="D448">
        <v>2087</v>
      </c>
    </row>
    <row r="449" spans="1:4" x14ac:dyDescent="0.25">
      <c r="A449" s="582">
        <v>68423</v>
      </c>
      <c r="B449" t="s">
        <v>451</v>
      </c>
      <c r="C449" t="s">
        <v>444</v>
      </c>
      <c r="D449">
        <v>2087</v>
      </c>
    </row>
    <row r="450" spans="1:4" x14ac:dyDescent="0.25">
      <c r="A450" s="582">
        <v>68561</v>
      </c>
      <c r="B450" t="s">
        <v>452</v>
      </c>
      <c r="C450" t="s">
        <v>445</v>
      </c>
      <c r="D450">
        <v>2087</v>
      </c>
    </row>
    <row r="451" spans="1:4" x14ac:dyDescent="0.25">
      <c r="A451" s="582">
        <v>68623</v>
      </c>
      <c r="B451" t="s">
        <v>450</v>
      </c>
      <c r="C451" t="s">
        <v>446</v>
      </c>
      <c r="D451">
        <v>2087</v>
      </c>
    </row>
    <row r="452" spans="1:4" x14ac:dyDescent="0.25">
      <c r="A452" s="582">
        <v>68661</v>
      </c>
      <c r="B452" t="s">
        <v>451</v>
      </c>
      <c r="C452" t="s">
        <v>447</v>
      </c>
      <c r="D452">
        <v>2087</v>
      </c>
    </row>
    <row r="453" spans="1:4" x14ac:dyDescent="0.25">
      <c r="A453" s="582">
        <v>68668</v>
      </c>
      <c r="B453" t="s">
        <v>451</v>
      </c>
      <c r="C453" t="s">
        <v>441</v>
      </c>
      <c r="D453">
        <v>2088</v>
      </c>
    </row>
    <row r="454" spans="1:4" x14ac:dyDescent="0.25">
      <c r="A454" s="582">
        <v>68700</v>
      </c>
      <c r="B454" t="s">
        <v>450</v>
      </c>
      <c r="C454" t="s">
        <v>442</v>
      </c>
      <c r="D454">
        <v>2088</v>
      </c>
    </row>
    <row r="455" spans="1:4" x14ac:dyDescent="0.25">
      <c r="A455" s="582">
        <v>68742</v>
      </c>
      <c r="B455" t="s">
        <v>450</v>
      </c>
      <c r="C455" t="s">
        <v>443</v>
      </c>
      <c r="D455">
        <v>2088</v>
      </c>
    </row>
    <row r="456" spans="1:4" x14ac:dyDescent="0.25">
      <c r="A456" s="582">
        <v>68789</v>
      </c>
      <c r="B456" t="s">
        <v>454</v>
      </c>
      <c r="C456" t="s">
        <v>444</v>
      </c>
      <c r="D456">
        <v>2088</v>
      </c>
    </row>
    <row r="457" spans="1:4" x14ac:dyDescent="0.25">
      <c r="A457" s="582">
        <v>68927</v>
      </c>
      <c r="B457" t="s">
        <v>451</v>
      </c>
      <c r="C457" t="s">
        <v>445</v>
      </c>
      <c r="D457">
        <v>2088</v>
      </c>
    </row>
    <row r="458" spans="1:4" x14ac:dyDescent="0.25">
      <c r="A458" s="582">
        <v>68987</v>
      </c>
      <c r="B458" t="s">
        <v>450</v>
      </c>
      <c r="C458" t="s">
        <v>446</v>
      </c>
      <c r="D458">
        <v>2088</v>
      </c>
    </row>
    <row r="459" spans="1:4" x14ac:dyDescent="0.25">
      <c r="A459" s="582">
        <v>69027</v>
      </c>
      <c r="B459" t="s">
        <v>454</v>
      </c>
      <c r="C459" t="s">
        <v>447</v>
      </c>
      <c r="D459">
        <v>2088</v>
      </c>
    </row>
    <row r="460" spans="1:4" x14ac:dyDescent="0.25">
      <c r="A460" s="582">
        <v>69034</v>
      </c>
      <c r="B460" t="s">
        <v>454</v>
      </c>
      <c r="C460" t="s">
        <v>441</v>
      </c>
      <c r="D460">
        <v>2089</v>
      </c>
    </row>
    <row r="461" spans="1:4" x14ac:dyDescent="0.25">
      <c r="A461" s="582">
        <v>69071</v>
      </c>
      <c r="B461" t="s">
        <v>450</v>
      </c>
      <c r="C461" t="s">
        <v>442</v>
      </c>
      <c r="D461">
        <v>2089</v>
      </c>
    </row>
    <row r="462" spans="1:4" x14ac:dyDescent="0.25">
      <c r="A462" s="582">
        <v>69113</v>
      </c>
      <c r="B462" t="s">
        <v>450</v>
      </c>
      <c r="C462" t="s">
        <v>443</v>
      </c>
      <c r="D462">
        <v>2089</v>
      </c>
    </row>
    <row r="463" spans="1:4" x14ac:dyDescent="0.25">
      <c r="A463" s="582">
        <v>69154</v>
      </c>
      <c r="B463" t="s">
        <v>455</v>
      </c>
      <c r="C463" t="s">
        <v>444</v>
      </c>
      <c r="D463">
        <v>2089</v>
      </c>
    </row>
    <row r="464" spans="1:4" x14ac:dyDescent="0.25">
      <c r="A464" s="582">
        <v>69292</v>
      </c>
      <c r="B464" t="s">
        <v>453</v>
      </c>
      <c r="C464" t="s">
        <v>445</v>
      </c>
      <c r="D464">
        <v>2089</v>
      </c>
    </row>
    <row r="465" spans="1:4" x14ac:dyDescent="0.25">
      <c r="A465" s="582">
        <v>69358</v>
      </c>
      <c r="B465" t="s">
        <v>450</v>
      </c>
      <c r="C465" t="s">
        <v>446</v>
      </c>
      <c r="D465">
        <v>2089</v>
      </c>
    </row>
    <row r="466" spans="1:4" x14ac:dyDescent="0.25">
      <c r="A466" s="582">
        <v>69392</v>
      </c>
      <c r="B466" t="s">
        <v>455</v>
      </c>
      <c r="C466" t="s">
        <v>447</v>
      </c>
      <c r="D466">
        <v>2089</v>
      </c>
    </row>
    <row r="467" spans="1:4" x14ac:dyDescent="0.25">
      <c r="A467" s="582">
        <v>69399</v>
      </c>
      <c r="B467" t="s">
        <v>455</v>
      </c>
      <c r="C467" t="s">
        <v>441</v>
      </c>
      <c r="D467">
        <v>2090</v>
      </c>
    </row>
    <row r="468" spans="1:4" x14ac:dyDescent="0.25">
      <c r="A468" s="582">
        <v>69435</v>
      </c>
      <c r="B468" t="s">
        <v>450</v>
      </c>
      <c r="C468" t="s">
        <v>442</v>
      </c>
      <c r="D468">
        <v>2090</v>
      </c>
    </row>
    <row r="469" spans="1:4" x14ac:dyDescent="0.25">
      <c r="A469" s="582">
        <v>69477</v>
      </c>
      <c r="B469" t="s">
        <v>450</v>
      </c>
      <c r="C469" t="s">
        <v>443</v>
      </c>
      <c r="D469">
        <v>2090</v>
      </c>
    </row>
    <row r="470" spans="1:4" x14ac:dyDescent="0.25">
      <c r="A470" s="582">
        <v>69519</v>
      </c>
      <c r="B470" t="s">
        <v>450</v>
      </c>
      <c r="C470" t="s">
        <v>444</v>
      </c>
      <c r="D470">
        <v>2090</v>
      </c>
    </row>
    <row r="471" spans="1:4" x14ac:dyDescent="0.25">
      <c r="A471" s="582">
        <v>69657</v>
      </c>
      <c r="B471" t="s">
        <v>454</v>
      </c>
      <c r="C471" t="s">
        <v>445</v>
      </c>
      <c r="D471">
        <v>2090</v>
      </c>
    </row>
    <row r="472" spans="1:4" x14ac:dyDescent="0.25">
      <c r="A472" s="582">
        <v>69722</v>
      </c>
      <c r="B472" t="s">
        <v>450</v>
      </c>
      <c r="C472" t="s">
        <v>446</v>
      </c>
      <c r="D472">
        <v>2090</v>
      </c>
    </row>
    <row r="473" spans="1:4" x14ac:dyDescent="0.25">
      <c r="A473" s="582">
        <v>69733</v>
      </c>
      <c r="B473" t="s">
        <v>453</v>
      </c>
      <c r="C473" t="s">
        <v>448</v>
      </c>
      <c r="D473">
        <v>2090</v>
      </c>
    </row>
    <row r="474" spans="1:4" x14ac:dyDescent="0.25">
      <c r="A474" s="582">
        <v>69757</v>
      </c>
      <c r="B474" t="s">
        <v>450</v>
      </c>
      <c r="C474" t="s">
        <v>447</v>
      </c>
      <c r="D474">
        <v>2090</v>
      </c>
    </row>
    <row r="475" spans="1:4" x14ac:dyDescent="0.25">
      <c r="A475" s="582">
        <v>69764</v>
      </c>
      <c r="B475" t="s">
        <v>450</v>
      </c>
      <c r="C475" t="s">
        <v>441</v>
      </c>
      <c r="D475">
        <v>2091</v>
      </c>
    </row>
    <row r="476" spans="1:4" x14ac:dyDescent="0.25">
      <c r="A476" s="582">
        <v>69799</v>
      </c>
      <c r="B476" t="s">
        <v>450</v>
      </c>
      <c r="C476" t="s">
        <v>442</v>
      </c>
      <c r="D476">
        <v>2091</v>
      </c>
    </row>
    <row r="477" spans="1:4" x14ac:dyDescent="0.25">
      <c r="A477" s="582">
        <v>69841</v>
      </c>
      <c r="B477" t="s">
        <v>450</v>
      </c>
      <c r="C477" t="s">
        <v>443</v>
      </c>
      <c r="D477">
        <v>2091</v>
      </c>
    </row>
    <row r="478" spans="1:4" x14ac:dyDescent="0.25">
      <c r="A478" s="582">
        <v>69884</v>
      </c>
      <c r="B478" t="s">
        <v>452</v>
      </c>
      <c r="C478" t="s">
        <v>444</v>
      </c>
      <c r="D478">
        <v>2091</v>
      </c>
    </row>
    <row r="479" spans="1:4" x14ac:dyDescent="0.25">
      <c r="A479" s="582">
        <v>70022</v>
      </c>
      <c r="B479" t="s">
        <v>455</v>
      </c>
      <c r="C479" t="s">
        <v>445</v>
      </c>
      <c r="D479">
        <v>2091</v>
      </c>
    </row>
    <row r="480" spans="1:4" x14ac:dyDescent="0.25">
      <c r="A480" s="582">
        <v>70086</v>
      </c>
      <c r="B480" t="s">
        <v>450</v>
      </c>
      <c r="C480" t="s">
        <v>446</v>
      </c>
      <c r="D480">
        <v>2091</v>
      </c>
    </row>
    <row r="481" spans="1:4" x14ac:dyDescent="0.25">
      <c r="A481" s="582">
        <v>70122</v>
      </c>
      <c r="B481" t="s">
        <v>452</v>
      </c>
      <c r="C481" t="s">
        <v>447</v>
      </c>
      <c r="D481">
        <v>2091</v>
      </c>
    </row>
    <row r="482" spans="1:4" x14ac:dyDescent="0.25">
      <c r="A482" s="582">
        <v>70129</v>
      </c>
      <c r="B482" t="s">
        <v>452</v>
      </c>
      <c r="C482" t="s">
        <v>441</v>
      </c>
      <c r="D482">
        <v>2092</v>
      </c>
    </row>
    <row r="483" spans="1:4" x14ac:dyDescent="0.25">
      <c r="A483" s="582">
        <v>70163</v>
      </c>
      <c r="B483" t="s">
        <v>450</v>
      </c>
      <c r="C483" t="s">
        <v>442</v>
      </c>
      <c r="D483">
        <v>2092</v>
      </c>
    </row>
    <row r="484" spans="1:4" x14ac:dyDescent="0.25">
      <c r="A484" s="582">
        <v>70205</v>
      </c>
      <c r="B484" t="s">
        <v>450</v>
      </c>
      <c r="C484" t="s">
        <v>443</v>
      </c>
      <c r="D484">
        <v>2092</v>
      </c>
    </row>
    <row r="485" spans="1:4" x14ac:dyDescent="0.25">
      <c r="A485" s="582">
        <v>70250</v>
      </c>
      <c r="B485" t="s">
        <v>451</v>
      </c>
      <c r="C485" t="s">
        <v>444</v>
      </c>
      <c r="D485">
        <v>2092</v>
      </c>
    </row>
    <row r="486" spans="1:4" x14ac:dyDescent="0.25">
      <c r="A486" s="582">
        <v>70388</v>
      </c>
      <c r="B486" t="s">
        <v>452</v>
      </c>
      <c r="C486" t="s">
        <v>445</v>
      </c>
      <c r="D486">
        <v>2092</v>
      </c>
    </row>
    <row r="487" spans="1:4" x14ac:dyDescent="0.25">
      <c r="A487" s="582">
        <v>70450</v>
      </c>
      <c r="B487" t="s">
        <v>450</v>
      </c>
      <c r="C487" t="s">
        <v>446</v>
      </c>
      <c r="D487">
        <v>2092</v>
      </c>
    </row>
    <row r="488" spans="1:4" x14ac:dyDescent="0.25">
      <c r="A488" s="582">
        <v>70488</v>
      </c>
      <c r="B488" t="s">
        <v>451</v>
      </c>
      <c r="C488" t="s">
        <v>447</v>
      </c>
      <c r="D488">
        <v>2092</v>
      </c>
    </row>
    <row r="489" spans="1:4" x14ac:dyDescent="0.25">
      <c r="A489" s="582">
        <v>70495</v>
      </c>
      <c r="B489" t="s">
        <v>451</v>
      </c>
      <c r="C489" t="s">
        <v>441</v>
      </c>
      <c r="D489">
        <v>2093</v>
      </c>
    </row>
    <row r="490" spans="1:4" x14ac:dyDescent="0.25">
      <c r="A490" s="582">
        <v>70527</v>
      </c>
      <c r="B490" t="s">
        <v>450</v>
      </c>
      <c r="C490" t="s">
        <v>442</v>
      </c>
      <c r="D490">
        <v>2093</v>
      </c>
    </row>
    <row r="491" spans="1:4" x14ac:dyDescent="0.25">
      <c r="A491" s="582">
        <v>70569</v>
      </c>
      <c r="B491" t="s">
        <v>450</v>
      </c>
      <c r="C491" t="s">
        <v>443</v>
      </c>
      <c r="D491">
        <v>2093</v>
      </c>
    </row>
    <row r="492" spans="1:4" x14ac:dyDescent="0.25">
      <c r="A492" s="582">
        <v>70615</v>
      </c>
      <c r="B492" t="s">
        <v>453</v>
      </c>
      <c r="C492" t="s">
        <v>444</v>
      </c>
      <c r="D492">
        <v>2093</v>
      </c>
    </row>
    <row r="493" spans="1:4" x14ac:dyDescent="0.25">
      <c r="A493" s="582">
        <v>70753</v>
      </c>
      <c r="B493" t="s">
        <v>449</v>
      </c>
      <c r="C493" t="s">
        <v>445</v>
      </c>
      <c r="D493">
        <v>2093</v>
      </c>
    </row>
    <row r="494" spans="1:4" x14ac:dyDescent="0.25">
      <c r="A494" s="582">
        <v>70814</v>
      </c>
      <c r="B494" t="s">
        <v>450</v>
      </c>
      <c r="C494" t="s">
        <v>446</v>
      </c>
      <c r="D494">
        <v>2093</v>
      </c>
    </row>
    <row r="495" spans="1:4" x14ac:dyDescent="0.25">
      <c r="A495" s="582">
        <v>70853</v>
      </c>
      <c r="B495" t="s">
        <v>453</v>
      </c>
      <c r="C495" t="s">
        <v>447</v>
      </c>
      <c r="D495">
        <v>2093</v>
      </c>
    </row>
    <row r="496" spans="1:4" x14ac:dyDescent="0.25">
      <c r="A496" s="582">
        <v>70860</v>
      </c>
      <c r="B496" t="s">
        <v>453</v>
      </c>
      <c r="C496" t="s">
        <v>441</v>
      </c>
      <c r="D496">
        <v>2094</v>
      </c>
    </row>
    <row r="497" spans="1:4" x14ac:dyDescent="0.25">
      <c r="A497" s="582">
        <v>70891</v>
      </c>
      <c r="B497" t="s">
        <v>450</v>
      </c>
      <c r="C497" t="s">
        <v>442</v>
      </c>
      <c r="D497">
        <v>2094</v>
      </c>
    </row>
    <row r="498" spans="1:4" x14ac:dyDescent="0.25">
      <c r="A498" s="582">
        <v>70933</v>
      </c>
      <c r="B498" t="s">
        <v>450</v>
      </c>
      <c r="C498" t="s">
        <v>443</v>
      </c>
      <c r="D498">
        <v>2094</v>
      </c>
    </row>
    <row r="499" spans="1:4" x14ac:dyDescent="0.25">
      <c r="A499" s="582">
        <v>70980</v>
      </c>
      <c r="B499" t="s">
        <v>454</v>
      </c>
      <c r="C499" t="s">
        <v>444</v>
      </c>
      <c r="D499">
        <v>2094</v>
      </c>
    </row>
    <row r="500" spans="1:4" x14ac:dyDescent="0.25">
      <c r="A500" s="582">
        <v>71118</v>
      </c>
      <c r="B500" t="s">
        <v>451</v>
      </c>
      <c r="C500" t="s">
        <v>445</v>
      </c>
      <c r="D500">
        <v>2094</v>
      </c>
    </row>
    <row r="501" spans="1:4" x14ac:dyDescent="0.25">
      <c r="A501" s="582">
        <v>71178</v>
      </c>
      <c r="B501" t="s">
        <v>450</v>
      </c>
      <c r="C501" t="s">
        <v>446</v>
      </c>
      <c r="D501">
        <v>2094</v>
      </c>
    </row>
    <row r="502" spans="1:4" x14ac:dyDescent="0.25">
      <c r="A502" s="582">
        <v>71218</v>
      </c>
      <c r="B502" t="s">
        <v>454</v>
      </c>
      <c r="C502" t="s">
        <v>447</v>
      </c>
      <c r="D502">
        <v>2094</v>
      </c>
    </row>
    <row r="503" spans="1:4" x14ac:dyDescent="0.25">
      <c r="A503" s="582">
        <v>71225</v>
      </c>
      <c r="B503" t="s">
        <v>454</v>
      </c>
      <c r="C503" t="s">
        <v>441</v>
      </c>
      <c r="D503">
        <v>2095</v>
      </c>
    </row>
    <row r="504" spans="1:4" x14ac:dyDescent="0.25">
      <c r="A504" s="582">
        <v>71262</v>
      </c>
      <c r="B504" t="s">
        <v>450</v>
      </c>
      <c r="C504" t="s">
        <v>442</v>
      </c>
      <c r="D504">
        <v>2095</v>
      </c>
    </row>
    <row r="505" spans="1:4" x14ac:dyDescent="0.25">
      <c r="A505" s="582">
        <v>71304</v>
      </c>
      <c r="B505" t="s">
        <v>450</v>
      </c>
      <c r="C505" t="s">
        <v>443</v>
      </c>
      <c r="D505">
        <v>2095</v>
      </c>
    </row>
    <row r="506" spans="1:4" x14ac:dyDescent="0.25">
      <c r="A506" s="582">
        <v>71345</v>
      </c>
      <c r="B506" t="s">
        <v>455</v>
      </c>
      <c r="C506" t="s">
        <v>444</v>
      </c>
      <c r="D506">
        <v>2095</v>
      </c>
    </row>
    <row r="507" spans="1:4" x14ac:dyDescent="0.25">
      <c r="A507" s="582">
        <v>71483</v>
      </c>
      <c r="B507" t="s">
        <v>453</v>
      </c>
      <c r="C507" t="s">
        <v>445</v>
      </c>
      <c r="D507">
        <v>2095</v>
      </c>
    </row>
    <row r="508" spans="1:4" x14ac:dyDescent="0.25">
      <c r="A508" s="582">
        <v>71549</v>
      </c>
      <c r="B508" t="s">
        <v>450</v>
      </c>
      <c r="C508" t="s">
        <v>446</v>
      </c>
      <c r="D508">
        <v>2095</v>
      </c>
    </row>
    <row r="509" spans="1:4" x14ac:dyDescent="0.25">
      <c r="A509" s="582">
        <v>71583</v>
      </c>
      <c r="B509" t="s">
        <v>455</v>
      </c>
      <c r="C509" t="s">
        <v>447</v>
      </c>
      <c r="D509">
        <v>2095</v>
      </c>
    </row>
    <row r="510" spans="1:4" x14ac:dyDescent="0.25">
      <c r="A510" s="582">
        <v>71590</v>
      </c>
      <c r="B510" t="s">
        <v>455</v>
      </c>
      <c r="C510" t="s">
        <v>441</v>
      </c>
      <c r="D510">
        <v>2096</v>
      </c>
    </row>
    <row r="511" spans="1:4" x14ac:dyDescent="0.25">
      <c r="A511" s="582">
        <v>71626</v>
      </c>
      <c r="B511" t="s">
        <v>450</v>
      </c>
      <c r="C511" t="s">
        <v>442</v>
      </c>
      <c r="D511">
        <v>2096</v>
      </c>
    </row>
    <row r="512" spans="1:4" x14ac:dyDescent="0.25">
      <c r="A512" s="582">
        <v>71668</v>
      </c>
      <c r="B512" t="s">
        <v>450</v>
      </c>
      <c r="C512" t="s">
        <v>443</v>
      </c>
      <c r="D512">
        <v>2096</v>
      </c>
    </row>
    <row r="513" spans="1:4" x14ac:dyDescent="0.25">
      <c r="A513" s="582">
        <v>71711</v>
      </c>
      <c r="B513" t="s">
        <v>452</v>
      </c>
      <c r="C513" t="s">
        <v>444</v>
      </c>
      <c r="D513">
        <v>2096</v>
      </c>
    </row>
    <row r="514" spans="1:4" x14ac:dyDescent="0.25">
      <c r="A514" s="582">
        <v>71849</v>
      </c>
      <c r="B514" t="s">
        <v>455</v>
      </c>
      <c r="C514" t="s">
        <v>445</v>
      </c>
      <c r="D514">
        <v>2096</v>
      </c>
    </row>
    <row r="515" spans="1:4" x14ac:dyDescent="0.25">
      <c r="A515" s="582">
        <v>71913</v>
      </c>
      <c r="B515" t="s">
        <v>450</v>
      </c>
      <c r="C515" t="s">
        <v>446</v>
      </c>
      <c r="D515">
        <v>2096</v>
      </c>
    </row>
    <row r="516" spans="1:4" x14ac:dyDescent="0.25">
      <c r="A516" s="582">
        <v>71925</v>
      </c>
      <c r="B516" t="s">
        <v>454</v>
      </c>
      <c r="C516" t="s">
        <v>448</v>
      </c>
      <c r="D516">
        <v>2096</v>
      </c>
    </row>
    <row r="517" spans="1:4" x14ac:dyDescent="0.25">
      <c r="A517" s="582">
        <v>71949</v>
      </c>
      <c r="B517" t="s">
        <v>452</v>
      </c>
      <c r="C517" t="s">
        <v>447</v>
      </c>
      <c r="D517">
        <v>2096</v>
      </c>
    </row>
    <row r="518" spans="1:4" x14ac:dyDescent="0.25">
      <c r="A518" s="582">
        <v>71956</v>
      </c>
      <c r="B518" t="s">
        <v>452</v>
      </c>
      <c r="C518" t="s">
        <v>441</v>
      </c>
      <c r="D518">
        <v>2097</v>
      </c>
    </row>
    <row r="519" spans="1:4" x14ac:dyDescent="0.25">
      <c r="A519" s="582">
        <v>71990</v>
      </c>
      <c r="B519" t="s">
        <v>450</v>
      </c>
      <c r="C519" t="s">
        <v>442</v>
      </c>
      <c r="D519">
        <v>2097</v>
      </c>
    </row>
    <row r="520" spans="1:4" x14ac:dyDescent="0.25">
      <c r="A520" s="582">
        <v>72032</v>
      </c>
      <c r="B520" t="s">
        <v>450</v>
      </c>
      <c r="C520" t="s">
        <v>443</v>
      </c>
      <c r="D520">
        <v>2097</v>
      </c>
    </row>
    <row r="521" spans="1:4" x14ac:dyDescent="0.25">
      <c r="A521" s="582">
        <v>72076</v>
      </c>
      <c r="B521" t="s">
        <v>449</v>
      </c>
      <c r="C521" t="s">
        <v>444</v>
      </c>
      <c r="D521">
        <v>2097</v>
      </c>
    </row>
    <row r="522" spans="1:4" x14ac:dyDescent="0.25">
      <c r="A522" s="582">
        <v>72214</v>
      </c>
      <c r="B522" t="s">
        <v>450</v>
      </c>
      <c r="C522" t="s">
        <v>445</v>
      </c>
      <c r="D522">
        <v>2097</v>
      </c>
    </row>
    <row r="523" spans="1:4" x14ac:dyDescent="0.25">
      <c r="A523" s="582">
        <v>72277</v>
      </c>
      <c r="B523" t="s">
        <v>450</v>
      </c>
      <c r="C523" t="s">
        <v>446</v>
      </c>
      <c r="D523">
        <v>2097</v>
      </c>
    </row>
    <row r="524" spans="1:4" x14ac:dyDescent="0.25">
      <c r="A524" s="582">
        <v>72314</v>
      </c>
      <c r="B524" t="s">
        <v>449</v>
      </c>
      <c r="C524" t="s">
        <v>447</v>
      </c>
      <c r="D524">
        <v>2097</v>
      </c>
    </row>
    <row r="525" spans="1:4" x14ac:dyDescent="0.25">
      <c r="A525" s="582">
        <v>72321</v>
      </c>
      <c r="B525" t="s">
        <v>449</v>
      </c>
      <c r="C525" t="s">
        <v>441</v>
      </c>
      <c r="D525">
        <v>2098</v>
      </c>
    </row>
    <row r="526" spans="1:4" x14ac:dyDescent="0.25">
      <c r="A526" s="582">
        <v>72354</v>
      </c>
      <c r="B526" t="s">
        <v>450</v>
      </c>
      <c r="C526" t="s">
        <v>442</v>
      </c>
      <c r="D526">
        <v>2098</v>
      </c>
    </row>
    <row r="527" spans="1:4" x14ac:dyDescent="0.25">
      <c r="A527" s="582">
        <v>72396</v>
      </c>
      <c r="B527" t="s">
        <v>450</v>
      </c>
      <c r="C527" t="s">
        <v>443</v>
      </c>
      <c r="D527">
        <v>2098</v>
      </c>
    </row>
    <row r="528" spans="1:4" x14ac:dyDescent="0.25">
      <c r="A528" s="582">
        <v>72441</v>
      </c>
      <c r="B528" t="s">
        <v>451</v>
      </c>
      <c r="C528" t="s">
        <v>444</v>
      </c>
      <c r="D528">
        <v>2098</v>
      </c>
    </row>
    <row r="529" spans="1:4" x14ac:dyDescent="0.25">
      <c r="A529" s="582">
        <v>72579</v>
      </c>
      <c r="B529" t="s">
        <v>452</v>
      </c>
      <c r="C529" t="s">
        <v>445</v>
      </c>
      <c r="D529">
        <v>2098</v>
      </c>
    </row>
    <row r="530" spans="1:4" x14ac:dyDescent="0.25">
      <c r="A530" s="582">
        <v>72641</v>
      </c>
      <c r="B530" t="s">
        <v>450</v>
      </c>
      <c r="C530" t="s">
        <v>446</v>
      </c>
      <c r="D530">
        <v>2098</v>
      </c>
    </row>
    <row r="531" spans="1:4" x14ac:dyDescent="0.25">
      <c r="A531" s="582">
        <v>72679</v>
      </c>
      <c r="B531" t="s">
        <v>451</v>
      </c>
      <c r="C531" t="s">
        <v>447</v>
      </c>
      <c r="D531">
        <v>2098</v>
      </c>
    </row>
    <row r="532" spans="1:4" x14ac:dyDescent="0.25">
      <c r="A532" s="582">
        <v>72686</v>
      </c>
      <c r="B532" t="s">
        <v>451</v>
      </c>
      <c r="C532" t="s">
        <v>441</v>
      </c>
      <c r="D532">
        <v>2099</v>
      </c>
    </row>
    <row r="533" spans="1:4" x14ac:dyDescent="0.25">
      <c r="A533" s="582">
        <v>72718</v>
      </c>
      <c r="B533" t="s">
        <v>450</v>
      </c>
      <c r="C533" t="s">
        <v>442</v>
      </c>
      <c r="D533">
        <v>2099</v>
      </c>
    </row>
    <row r="534" spans="1:4" x14ac:dyDescent="0.25">
      <c r="A534" s="582">
        <v>72760</v>
      </c>
      <c r="B534" t="s">
        <v>450</v>
      </c>
      <c r="C534" t="s">
        <v>443</v>
      </c>
      <c r="D534">
        <v>2099</v>
      </c>
    </row>
    <row r="535" spans="1:4" x14ac:dyDescent="0.25">
      <c r="A535" s="582">
        <v>72806</v>
      </c>
      <c r="B535" t="s">
        <v>453</v>
      </c>
      <c r="C535" t="s">
        <v>444</v>
      </c>
      <c r="D535">
        <v>2099</v>
      </c>
    </row>
    <row r="536" spans="1:4" x14ac:dyDescent="0.25">
      <c r="A536" s="582">
        <v>72944</v>
      </c>
      <c r="B536" t="s">
        <v>449</v>
      </c>
      <c r="C536" t="s">
        <v>445</v>
      </c>
      <c r="D536">
        <v>2099</v>
      </c>
    </row>
    <row r="537" spans="1:4" x14ac:dyDescent="0.25">
      <c r="A537" s="582">
        <v>73005</v>
      </c>
      <c r="B537" t="s">
        <v>450</v>
      </c>
      <c r="C537" t="s">
        <v>446</v>
      </c>
      <c r="D537">
        <v>2099</v>
      </c>
    </row>
    <row r="538" spans="1:4" x14ac:dyDescent="0.25">
      <c r="A538" s="582">
        <v>73044</v>
      </c>
      <c r="B538" t="s">
        <v>453</v>
      </c>
      <c r="C538" t="s">
        <v>447</v>
      </c>
      <c r="D538">
        <v>2099</v>
      </c>
    </row>
    <row r="539" spans="1:4" x14ac:dyDescent="0.25">
      <c r="A539" s="582">
        <v>73051</v>
      </c>
      <c r="B539" t="s">
        <v>453</v>
      </c>
      <c r="C539" t="s">
        <v>441</v>
      </c>
      <c r="D539">
        <v>2100</v>
      </c>
    </row>
    <row r="540" spans="1:4" x14ac:dyDescent="0.25">
      <c r="A540" s="582">
        <v>73082</v>
      </c>
      <c r="B540" t="s">
        <v>450</v>
      </c>
      <c r="C540" t="s">
        <v>442</v>
      </c>
      <c r="D540">
        <v>2100</v>
      </c>
    </row>
    <row r="541" spans="1:4" x14ac:dyDescent="0.25">
      <c r="A541" s="582">
        <v>73124</v>
      </c>
      <c r="B541" t="s">
        <v>450</v>
      </c>
      <c r="C541" t="s">
        <v>443</v>
      </c>
      <c r="D541">
        <v>2100</v>
      </c>
    </row>
    <row r="542" spans="1:4" x14ac:dyDescent="0.25">
      <c r="A542" s="582">
        <v>73171</v>
      </c>
      <c r="B542" t="s">
        <v>454</v>
      </c>
      <c r="C542" t="s">
        <v>444</v>
      </c>
      <c r="D542">
        <v>2100</v>
      </c>
    </row>
    <row r="543" spans="1:4" x14ac:dyDescent="0.25">
      <c r="A543" s="582">
        <v>73309</v>
      </c>
      <c r="B543" t="s">
        <v>451</v>
      </c>
      <c r="C543" t="s">
        <v>445</v>
      </c>
      <c r="D543">
        <v>2100</v>
      </c>
    </row>
    <row r="544" spans="1:4" x14ac:dyDescent="0.25">
      <c r="A544" s="582">
        <v>73369</v>
      </c>
      <c r="B544" t="s">
        <v>450</v>
      </c>
      <c r="C544" t="s">
        <v>446</v>
      </c>
      <c r="D544">
        <v>2100</v>
      </c>
    </row>
    <row r="545" spans="1:4" x14ac:dyDescent="0.25">
      <c r="A545" s="582">
        <v>73409</v>
      </c>
      <c r="B545" t="s">
        <v>454</v>
      </c>
      <c r="C545" t="s">
        <v>447</v>
      </c>
      <c r="D545">
        <v>2100</v>
      </c>
    </row>
  </sheetData>
  <sheetProtection algorithmName="SHA-512" hashValue="YTjMukC4UYMF92xJoa5PA9l+fxo0RXw8eEmMu3hGui0wdRbkIp82j9z/3aX56e0hlx3jQSF5kGavuvpnUDLq8A==" saltValue="GDDBAH/pHkpzZp4AZ/yifw==" spinCount="100000" sheet="1" objects="1" scenarios="1"/>
  <phoneticPr fontId="15"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EE329"/>
  <sheetViews>
    <sheetView showGridLines="0" zoomScaleNormal="100" zoomScaleSheetLayoutView="115" workbookViewId="0"/>
  </sheetViews>
  <sheetFormatPr baseColWidth="10" defaultColWidth="49.28515625" defaultRowHeight="18.75" x14ac:dyDescent="0.3"/>
  <cols>
    <col min="1" max="1" width="3.85546875" style="63" customWidth="1"/>
    <col min="2" max="2" width="7.140625" style="273" bestFit="1" customWidth="1"/>
    <col min="3" max="3" width="15.7109375" style="273" bestFit="1" customWidth="1"/>
    <col min="4" max="4" width="16.28515625" style="273" customWidth="1"/>
    <col min="5" max="8" width="8.5703125" style="273" customWidth="1"/>
    <col min="9" max="10" width="8.85546875" style="273" customWidth="1"/>
    <col min="11" max="11" width="8.5703125" style="273" customWidth="1"/>
    <col min="12" max="12" width="8.85546875" style="273" customWidth="1"/>
    <col min="13" max="13" width="10.140625" style="273" customWidth="1"/>
    <col min="14" max="14" width="9.85546875" style="273" customWidth="1"/>
    <col min="15" max="18" width="11.7109375" style="273" customWidth="1"/>
    <col min="19" max="19" width="8.85546875" style="273" customWidth="1"/>
    <col min="20" max="20" width="8.5703125" style="485" customWidth="1"/>
    <col min="21" max="21" width="8.85546875" style="485" customWidth="1"/>
    <col min="22" max="22" width="8.85546875" style="273" customWidth="1"/>
    <col min="23" max="25" width="8.5703125" style="273" customWidth="1"/>
    <col min="26" max="26" width="8.140625" style="63" customWidth="1"/>
    <col min="27" max="27" width="13.85546875" style="63" customWidth="1"/>
    <col min="28" max="28" width="9.7109375" style="63" hidden="1" customWidth="1"/>
    <col min="29" max="32" width="27" style="63" hidden="1" customWidth="1"/>
    <col min="33" max="34" width="9.7109375" style="63" hidden="1" customWidth="1"/>
    <col min="35" max="35" width="12.28515625" style="63" hidden="1" customWidth="1"/>
    <col min="36" max="42" width="9.7109375" style="63" hidden="1" customWidth="1"/>
    <col min="43" max="43" width="14.7109375" style="63" hidden="1" customWidth="1"/>
    <col min="44" max="44" width="25.42578125" style="63" hidden="1" customWidth="1"/>
    <col min="45" max="45" width="26.5703125" style="63" hidden="1" customWidth="1"/>
    <col min="46" max="46" width="12.85546875" style="63" hidden="1" customWidth="1"/>
    <col min="47" max="47" width="50.42578125" style="63" hidden="1" customWidth="1"/>
    <col min="48" max="49" width="12.85546875" style="63" hidden="1" customWidth="1"/>
    <col min="50" max="50" width="16.28515625" style="63" hidden="1" customWidth="1"/>
    <col min="51" max="51" width="15.42578125" style="63" hidden="1" customWidth="1"/>
    <col min="52" max="52" width="21.5703125" style="63" hidden="1" customWidth="1"/>
    <col min="53" max="53" width="15.42578125" style="63" hidden="1" customWidth="1"/>
    <col min="54" max="63" width="12.85546875" style="63" hidden="1" customWidth="1"/>
    <col min="64" max="64" width="21.42578125" style="63" hidden="1" customWidth="1"/>
    <col min="65" max="65" width="27.140625" style="63" hidden="1" customWidth="1"/>
    <col min="66" max="66" width="12.85546875" style="63" hidden="1" customWidth="1"/>
    <col min="67" max="67" width="15.28515625" style="63" hidden="1" customWidth="1"/>
    <col min="68" max="97" width="12.85546875" style="63" hidden="1" customWidth="1"/>
    <col min="98" max="98" width="15.85546875" style="63" hidden="1" customWidth="1"/>
    <col min="99" max="100" width="12.85546875" style="63" hidden="1" customWidth="1"/>
    <col min="101" max="101" width="22.28515625" style="63" hidden="1" customWidth="1"/>
    <col min="102" max="102" width="15.85546875" style="63" hidden="1" customWidth="1"/>
    <col min="103" max="103" width="12.85546875" style="63" hidden="1" customWidth="1"/>
    <col min="104" max="107" width="49.28515625" style="63" hidden="1" customWidth="1"/>
    <col min="108" max="108" width="10.5703125" style="63" hidden="1" customWidth="1"/>
    <col min="109" max="135" width="49.28515625" style="63" hidden="1" customWidth="1"/>
    <col min="136" max="267" width="49.28515625" style="63" customWidth="1"/>
    <col min="268" max="16384" width="49.28515625" style="63"/>
  </cols>
  <sheetData>
    <row r="1" spans="3:102" ht="25.5" customHeight="1" x14ac:dyDescent="0.3">
      <c r="R1" s="445"/>
      <c r="T1" s="273"/>
      <c r="U1" s="273"/>
    </row>
    <row r="2" spans="3:102" ht="33" customHeight="1" x14ac:dyDescent="0.3">
      <c r="T2" s="273"/>
      <c r="U2" s="273"/>
    </row>
    <row r="3" spans="3:102" x14ac:dyDescent="0.3">
      <c r="T3" s="273"/>
      <c r="U3" s="273"/>
    </row>
    <row r="4" spans="3:102" ht="54.75" customHeight="1" x14ac:dyDescent="0.3">
      <c r="T4" s="273"/>
      <c r="U4" s="273"/>
      <c r="BV4" s="63" t="s">
        <v>150</v>
      </c>
      <c r="BX4" s="217" t="s">
        <v>80</v>
      </c>
      <c r="BY4" s="218">
        <v>0.35</v>
      </c>
      <c r="BZ4" s="219" t="s">
        <v>249</v>
      </c>
    </row>
    <row r="5" spans="3:102" ht="16.5" customHeight="1" x14ac:dyDescent="0.3">
      <c r="I5" s="764" t="s">
        <v>3</v>
      </c>
      <c r="J5" s="764"/>
      <c r="K5" s="764"/>
      <c r="L5" s="764"/>
      <c r="M5" s="764"/>
      <c r="N5" s="764"/>
      <c r="O5" s="764"/>
      <c r="P5" s="764"/>
      <c r="Q5" s="764"/>
      <c r="R5" s="764"/>
      <c r="S5" s="764"/>
      <c r="T5" s="273"/>
      <c r="U5" s="273"/>
      <c r="BV5" s="63" t="s">
        <v>151</v>
      </c>
      <c r="BX5" s="217" t="s">
        <v>81</v>
      </c>
      <c r="BY5" s="218">
        <v>0.35</v>
      </c>
      <c r="BZ5" s="37">
        <v>6</v>
      </c>
    </row>
    <row r="6" spans="3:102" ht="16.5" customHeight="1" x14ac:dyDescent="0.3">
      <c r="P6" s="284"/>
      <c r="T6" s="273"/>
      <c r="U6" s="273"/>
      <c r="X6" s="221" t="str">
        <f>Formulario!H3</f>
        <v>Versión M111 V3</v>
      </c>
      <c r="AX6" s="278" t="s">
        <v>330</v>
      </c>
      <c r="AY6" s="279">
        <f>IF(I10="Terreno + Construcción",I26+I27,I26)</f>
        <v>1500000</v>
      </c>
      <c r="BV6" s="63" t="s">
        <v>152</v>
      </c>
      <c r="BX6" s="217" t="s">
        <v>82</v>
      </c>
      <c r="BY6" s="218">
        <v>0.35</v>
      </c>
      <c r="BZ6" s="37">
        <v>12</v>
      </c>
      <c r="CB6" s="160"/>
      <c r="CC6" s="160"/>
      <c r="CD6" s="160"/>
      <c r="CE6" s="160"/>
      <c r="CF6" s="160"/>
      <c r="CG6" s="160"/>
      <c r="CH6" s="160"/>
      <c r="CI6" s="160"/>
      <c r="CJ6" s="160"/>
      <c r="CK6" s="160"/>
      <c r="CL6" s="160"/>
      <c r="CM6" s="160"/>
      <c r="CN6" s="160"/>
      <c r="CO6" s="151"/>
      <c r="CU6" s="455" t="s">
        <v>28</v>
      </c>
      <c r="CV6" s="455" t="s">
        <v>351</v>
      </c>
      <c r="CW6" s="455" t="s">
        <v>352</v>
      </c>
      <c r="CX6" s="460" t="s">
        <v>353</v>
      </c>
    </row>
    <row r="7" spans="3:102" ht="16.5" customHeight="1" x14ac:dyDescent="0.3">
      <c r="I7" s="215"/>
      <c r="J7" s="215"/>
      <c r="K7" s="215"/>
      <c r="L7" s="215"/>
      <c r="M7" s="215"/>
      <c r="N7" s="215"/>
      <c r="O7" s="215"/>
      <c r="P7" s="215"/>
      <c r="Q7" s="215"/>
      <c r="R7" s="215"/>
      <c r="S7" s="215"/>
      <c r="T7" s="791">
        <f ca="1">TODAY()</f>
        <v>46126</v>
      </c>
      <c r="U7" s="791"/>
      <c r="V7" s="791"/>
      <c r="W7" s="791"/>
      <c r="X7" s="791"/>
      <c r="AX7" s="280" t="s">
        <v>31</v>
      </c>
      <c r="AY7" s="209">
        <f>VLOOKUP(TRIM(CONCATENATE(I10," ",I12," ",I11," ",I15," ",I21," ",I13)),Catalogo_Condicione_Financieras!B:W,13,0)</f>
        <v>9.6500000000000002E-2</v>
      </c>
      <c r="BA7" s="63" t="str">
        <f>TRIM(CONCATENATE(I10," ",I12," ",I11," ",I15," ",I21," ",I13))</f>
        <v>Construcción PF Premier Pago_Fijo_Puntual 20 0.0965</v>
      </c>
      <c r="BN7" s="222">
        <f>I16*0.7</f>
        <v>441000</v>
      </c>
      <c r="BX7" s="217" t="s">
        <v>83</v>
      </c>
      <c r="BY7" s="218">
        <v>0.35</v>
      </c>
      <c r="BZ7" s="37">
        <v>18</v>
      </c>
      <c r="CB7" s="160"/>
      <c r="CC7" s="160"/>
      <c r="CD7" s="160"/>
      <c r="CE7" s="160"/>
      <c r="CF7" s="160"/>
      <c r="CG7" s="160"/>
      <c r="CH7" s="160"/>
      <c r="CI7" s="160"/>
      <c r="CJ7" s="160"/>
      <c r="CK7" s="160"/>
      <c r="CL7" s="160"/>
      <c r="CM7" s="160"/>
      <c r="CN7" s="160"/>
      <c r="CO7" s="151"/>
      <c r="CU7" s="457">
        <v>0</v>
      </c>
      <c r="CV7" s="458">
        <v>0.19999900000000001</v>
      </c>
      <c r="CW7" s="456">
        <v>4</v>
      </c>
      <c r="CX7" s="461">
        <f>VLOOKUP(I29,CU7:CW10,3)</f>
        <v>3</v>
      </c>
    </row>
    <row r="8" spans="3:102" ht="16.5" customHeight="1" x14ac:dyDescent="0.3">
      <c r="H8" s="832" t="s">
        <v>6</v>
      </c>
      <c r="I8" s="832"/>
      <c r="J8" s="832"/>
      <c r="K8" s="832"/>
      <c r="L8" s="832"/>
      <c r="M8" s="215"/>
      <c r="N8" s="215"/>
      <c r="O8" s="124" t="s">
        <v>200</v>
      </c>
      <c r="P8" s="215"/>
      <c r="Q8" s="215"/>
      <c r="R8" s="215"/>
      <c r="S8" s="215"/>
      <c r="T8" s="273"/>
      <c r="U8" s="273"/>
      <c r="AX8" s="281" t="s">
        <v>26</v>
      </c>
      <c r="AY8" s="209">
        <f>VLOOKUP(TRIM(CONCATENATE(I10," ",I12," ",I11," ",I15," ",I21," ",I13)),Catalogo_Condicione_Financieras!B:W,14,0)</f>
        <v>9.1999999999999998E-2</v>
      </c>
      <c r="BN8" s="222"/>
      <c r="BX8" s="217" t="s">
        <v>84</v>
      </c>
      <c r="BY8" s="218">
        <v>0.35</v>
      </c>
      <c r="CB8" s="160"/>
      <c r="CC8" s="161" t="e">
        <f>IF(CC9&lt;#REF!*80%,"Monto de crédito solicitado para el terreno",1)</f>
        <v>#REF!</v>
      </c>
      <c r="CD8" s="161"/>
      <c r="CE8" s="161"/>
      <c r="CF8" s="161"/>
      <c r="CG8" s="161"/>
      <c r="CH8" s="161"/>
      <c r="CI8" s="161"/>
      <c r="CJ8" s="161"/>
      <c r="CK8" s="161"/>
      <c r="CL8" s="162">
        <f>IF(AND(I10="Terreno + Construcción",I31=4),40%,
IF(AND(I10="Terreno + Construcción",I31=3),50%,
IF(AND(I10="Terreno + Construcción",I31=2),100%,
IF(AND(I10="Terreno + Construcción",I31=1),"",
IF(AND(I10="Construcción",I31=4),25%,
IF(AND(I10="Construcción",I31=3),30%,
IF(AND(I10="Construcción",I31=2),50%,
IF(AND(I10="Construcción",I31=1),""))))))))</f>
        <v>0.3</v>
      </c>
      <c r="CM8" s="162">
        <f>IF(AND(I10="Terreno + Construcción",I31=4),35%,
IF(AND(I10="Terreno + Construcción",I31=3),50%,
IF(AND(I10="Terreno + Construcción",I31=2),"",
IF(AND(I10="Terreno + Construcción",I31=1),"",
IF(AND(I10="Construcción",I31=4),25%,
IF(AND(I10="Construcción",I31=3),20%,
IF(AND(I10="Construcción",I31=2),"",
IF(AND(I10="Construcción",I31=1),""))))))))</f>
        <v>0.2</v>
      </c>
      <c r="CN8" s="162" t="str">
        <f>IF(AND(I10="Terreno + Construcción",I31=4),25%,
IF(AND(I10="Terreno + Construcción",I31=3),"",
IF(AND(I10="Terreno + Construcción",I31=2),"",
IF(AND(I10="Terreno + Construcción",I31=1),"",
IF(AND(I10="Construcción",I31=4),20%,
IF(AND(I10="Construcción",I31=3),"",
IF(AND(I10="Construcción",I31=2),"",
IF(AND(I10="Construcción",I31=1),""))))))))</f>
        <v/>
      </c>
      <c r="CO8" s="151"/>
      <c r="CU8" s="457">
        <v>0.2</v>
      </c>
      <c r="CV8" s="458">
        <v>0.44999899999999998</v>
      </c>
      <c r="CW8" s="456">
        <v>3</v>
      </c>
      <c r="CX8" s="37"/>
    </row>
    <row r="9" spans="3:102" ht="16.5" customHeight="1" thickBot="1" x14ac:dyDescent="0.35">
      <c r="R9" s="215"/>
      <c r="T9" s="273"/>
      <c r="U9" s="273"/>
      <c r="AO9" s="220"/>
      <c r="AX9" s="281" t="s">
        <v>23</v>
      </c>
      <c r="AY9" s="209">
        <f>VLOOKUP(TRIM(CONCATENATE(I10," ",I12," ",I11," ",I15," ",I21," ",I13)),Catalogo_Condicione_Financieras!B:W,15,0)</f>
        <v>0.10249999999999999</v>
      </c>
      <c r="BN9" s="222"/>
      <c r="BQ9" s="223">
        <f>IF(I29&lt;BQ23,4,IF(I29&lt;BR23,3,IF(I29&lt;BS23,2,1)))</f>
        <v>3</v>
      </c>
      <c r="BV9" s="63" t="s">
        <v>143</v>
      </c>
      <c r="BX9" s="217" t="s">
        <v>85</v>
      </c>
      <c r="BY9" s="218">
        <v>0.35</v>
      </c>
      <c r="CB9" s="224" t="s">
        <v>248</v>
      </c>
      <c r="CC9" s="758">
        <f>IF(I10="Construcción",I26,IF(I10="Terreno + Construcción",I26+I27))</f>
        <v>1500000</v>
      </c>
      <c r="CD9" s="758"/>
      <c r="CE9" s="758"/>
      <c r="CF9" s="216"/>
      <c r="CG9" s="216"/>
      <c r="CH9" s="216"/>
      <c r="CI9" s="216"/>
      <c r="CJ9" s="216"/>
      <c r="CK9" s="216"/>
      <c r="CL9" s="163"/>
      <c r="CM9" s="163"/>
      <c r="CN9" s="163"/>
      <c r="CO9" s="148"/>
      <c r="CU9" s="457">
        <v>0.45</v>
      </c>
      <c r="CV9" s="459">
        <v>0.79999900000000002</v>
      </c>
      <c r="CW9" s="456">
        <v>2</v>
      </c>
      <c r="CX9" s="37"/>
    </row>
    <row r="10" spans="3:102" ht="16.5" customHeight="1" thickTop="1" x14ac:dyDescent="0.3">
      <c r="C10" s="817" t="s">
        <v>321</v>
      </c>
      <c r="D10" s="817"/>
      <c r="E10" s="817"/>
      <c r="F10" s="817"/>
      <c r="G10" s="817"/>
      <c r="H10" s="817"/>
      <c r="I10" s="775" t="s">
        <v>150</v>
      </c>
      <c r="J10" s="775"/>
      <c r="K10" s="775"/>
      <c r="L10" s="775"/>
      <c r="M10" s="215"/>
      <c r="N10" s="211"/>
      <c r="O10" s="833" t="str">
        <f>CONCATENATE(V10*100,"%",IF(I10=BV6," del valor de la vivienda"," del valor final "))</f>
        <v xml:space="preserve">70% del valor final </v>
      </c>
      <c r="P10" s="812"/>
      <c r="Q10" s="812"/>
      <c r="R10" s="812"/>
      <c r="S10" s="765">
        <f>IF(I10="Remodelación",I16*V10,I18*V10)</f>
        <v>2265406.5</v>
      </c>
      <c r="T10" s="765"/>
      <c r="U10" s="765"/>
      <c r="V10" s="789">
        <f>IF(AND(I10="Remodelación",I13=10.3%,I14="Si"),VLOOKUP(TRIM(CONCATENATE(I10," ",I12," ",I11," ",I15," ",I21," ",I13)),Catalogo_Condicione_Financieras!B:W,20,0),IF(AND(I13=10.3%,I14="Si"),VLOOKUP(TRIM(CONCATENATE(I10," ",I12," ",I11," ",I15," ",I14," ",I21," ",I13)),Catalogo_Condicione_Financieras!B:W,20,0),VLOOKUP(TRIM(CONCATENATE(I10," ",I12," ",I11," ",I15," ",I21," ",I13)),Catalogo_Condicione_Financieras!B:W,20,0)))</f>
        <v>0.7</v>
      </c>
      <c r="W10" s="789"/>
      <c r="X10" s="790"/>
      <c r="BN10" s="63">
        <f>I21*12</f>
        <v>240</v>
      </c>
      <c r="BO10" s="63" t="s">
        <v>147</v>
      </c>
      <c r="BP10" s="63">
        <v>20</v>
      </c>
      <c r="BQ10" s="63">
        <v>1</v>
      </c>
      <c r="BV10" s="63" t="s">
        <v>179</v>
      </c>
      <c r="BX10" s="217" t="s">
        <v>86</v>
      </c>
      <c r="BY10" s="218">
        <v>0.35</v>
      </c>
      <c r="CB10" s="224"/>
      <c r="CC10" s="163"/>
      <c r="CD10" s="163"/>
      <c r="CE10" s="163"/>
      <c r="CF10" s="163"/>
      <c r="CG10" s="163"/>
      <c r="CH10" s="163"/>
      <c r="CI10" s="163"/>
      <c r="CJ10" s="163"/>
      <c r="CK10" s="163"/>
      <c r="CL10" s="163"/>
      <c r="CM10" s="163"/>
      <c r="CN10" s="163"/>
      <c r="CO10" s="148"/>
      <c r="CU10" s="457">
        <v>0.8</v>
      </c>
      <c r="CV10" s="457">
        <v>1</v>
      </c>
      <c r="CW10" s="456">
        <v>1</v>
      </c>
      <c r="CX10" s="37"/>
    </row>
    <row r="11" spans="3:102" x14ac:dyDescent="0.3">
      <c r="C11" s="817" t="s">
        <v>322</v>
      </c>
      <c r="D11" s="817"/>
      <c r="E11" s="817"/>
      <c r="F11" s="817"/>
      <c r="G11" s="817"/>
      <c r="H11" s="817"/>
      <c r="I11" s="775" t="s">
        <v>143</v>
      </c>
      <c r="J11" s="775"/>
      <c r="K11" s="775"/>
      <c r="L11" s="775"/>
      <c r="M11" s="207"/>
      <c r="N11" s="211"/>
      <c r="O11" s="834" t="str">
        <f>CONCATENATE(V11*100,"%"," del valor del proyecto ")</f>
        <v xml:space="preserve">100% del valor del proyecto </v>
      </c>
      <c r="P11" s="786"/>
      <c r="Q11" s="786"/>
      <c r="R11" s="786"/>
      <c r="S11" s="808">
        <f>I17*V11</f>
        <v>2606295</v>
      </c>
      <c r="T11" s="808"/>
      <c r="U11" s="808"/>
      <c r="V11" s="796">
        <v>1</v>
      </c>
      <c r="W11" s="796"/>
      <c r="X11" s="797"/>
      <c r="BN11" s="225">
        <f>BN10+BN25</f>
        <v>252</v>
      </c>
      <c r="BO11" s="63" t="s">
        <v>148</v>
      </c>
      <c r="BP11" s="63">
        <v>15</v>
      </c>
      <c r="BQ11" s="63">
        <f>IF($I$29&gt;=$BS$23,"",2)</f>
        <v>2</v>
      </c>
      <c r="BX11" s="217" t="s">
        <v>87</v>
      </c>
      <c r="BY11" s="218">
        <v>0.35</v>
      </c>
      <c r="CB11" s="124"/>
      <c r="CC11" s="148"/>
      <c r="CD11" s="148"/>
      <c r="CE11" s="148"/>
      <c r="CF11" s="148"/>
      <c r="CG11" s="148"/>
      <c r="CH11" s="148"/>
      <c r="CI11" s="148"/>
      <c r="CJ11" s="148"/>
      <c r="CK11" s="148"/>
      <c r="CL11" s="148"/>
      <c r="CM11" s="148"/>
      <c r="CN11" s="148"/>
      <c r="CO11" s="148"/>
      <c r="CU11" s="37"/>
      <c r="CV11" s="37"/>
      <c r="CW11" s="37"/>
    </row>
    <row r="12" spans="3:102" ht="18.75" customHeight="1" x14ac:dyDescent="0.3">
      <c r="C12" s="817" t="s">
        <v>323</v>
      </c>
      <c r="D12" s="817"/>
      <c r="E12" s="817"/>
      <c r="F12" s="817"/>
      <c r="G12" s="817"/>
      <c r="H12" s="817"/>
      <c r="I12" s="775" t="s">
        <v>132</v>
      </c>
      <c r="J12" s="775"/>
      <c r="K12" s="775"/>
      <c r="L12" s="775"/>
      <c r="M12" s="207"/>
      <c r="N12" s="211"/>
      <c r="O12" s="834" t="str">
        <f>IF(I10=BV5,"50% Valor Terreno","")</f>
        <v/>
      </c>
      <c r="P12" s="786"/>
      <c r="Q12" s="786"/>
      <c r="R12" s="786"/>
      <c r="S12" s="809">
        <f>IF(I10=BV5,I16*0.5,0)</f>
        <v>0</v>
      </c>
      <c r="T12" s="809"/>
      <c r="U12" s="809"/>
      <c r="V12" s="798" t="str">
        <f>IF(I10=BV5,"50%","")</f>
        <v/>
      </c>
      <c r="W12" s="798"/>
      <c r="X12" s="799"/>
      <c r="BL12" s="63">
        <f>IF($I$10=BV6,IF(BQ15="si",$BQ$11,$BQ$10),$BQ$9)</f>
        <v>3</v>
      </c>
      <c r="BP12" s="63">
        <v>10</v>
      </c>
      <c r="BQ12" s="63">
        <f>IF($I$29&gt;=$BR$23,"",3)</f>
        <v>3</v>
      </c>
      <c r="BX12" s="217" t="s">
        <v>88</v>
      </c>
      <c r="BY12" s="218">
        <v>0.35</v>
      </c>
      <c r="CB12" s="124"/>
      <c r="CC12" s="148"/>
      <c r="CD12" s="148"/>
      <c r="CE12" s="148"/>
      <c r="CF12" s="148"/>
      <c r="CG12" s="148"/>
      <c r="CH12" s="148"/>
      <c r="CI12" s="148"/>
      <c r="CJ12" s="148"/>
      <c r="CK12" s="148"/>
      <c r="CL12" s="148"/>
      <c r="CM12" s="148"/>
      <c r="CN12" s="148"/>
      <c r="CO12" s="148"/>
    </row>
    <row r="13" spans="3:102" ht="16.5" customHeight="1" x14ac:dyDescent="0.3">
      <c r="C13" s="817" t="s">
        <v>332</v>
      </c>
      <c r="D13" s="817"/>
      <c r="E13" s="817"/>
      <c r="F13" s="817"/>
      <c r="G13" s="817"/>
      <c r="H13" s="817"/>
      <c r="I13" s="774">
        <v>9.6500000000000002E-2</v>
      </c>
      <c r="J13" s="774"/>
      <c r="K13" s="774"/>
      <c r="L13" s="774"/>
      <c r="M13" s="207"/>
      <c r="N13" s="284"/>
      <c r="O13" s="438" t="s">
        <v>201</v>
      </c>
      <c r="P13" s="207"/>
      <c r="Q13" s="284"/>
      <c r="R13" s="207"/>
      <c r="S13" s="207"/>
      <c r="T13" s="207"/>
      <c r="U13" s="207"/>
      <c r="V13" s="800">
        <f>IF(I10=BV5,I18-I26-V14,I17-I26)</f>
        <v>1106295</v>
      </c>
      <c r="W13" s="800"/>
      <c r="X13" s="801"/>
      <c r="BN13" s="226">
        <v>0.02</v>
      </c>
      <c r="BP13" s="63">
        <v>5</v>
      </c>
      <c r="BQ13" s="63" t="str">
        <f>IF($I$29&gt;=$BQ$23,"",4)</f>
        <v/>
      </c>
      <c r="BX13" s="217" t="s">
        <v>89</v>
      </c>
      <c r="BY13" s="218">
        <v>0.35</v>
      </c>
    </row>
    <row r="14" spans="3:102" ht="16.5" customHeight="1" x14ac:dyDescent="0.3">
      <c r="C14" s="828" t="str">
        <f>IF(I13=10.3%,"¿LTV Mayor a 70 %? *","")</f>
        <v/>
      </c>
      <c r="D14" s="828"/>
      <c r="E14" s="828"/>
      <c r="F14" s="828"/>
      <c r="G14" s="828"/>
      <c r="H14" s="828"/>
      <c r="I14" s="827"/>
      <c r="J14" s="827"/>
      <c r="K14" s="827"/>
      <c r="L14" s="827"/>
      <c r="M14" s="207"/>
      <c r="N14" s="211"/>
      <c r="O14" s="438" t="s">
        <v>203</v>
      </c>
      <c r="P14" s="207"/>
      <c r="Q14" s="211"/>
      <c r="R14" s="207"/>
      <c r="S14" s="207"/>
      <c r="T14" s="207"/>
      <c r="U14" s="207"/>
      <c r="V14" s="800">
        <f>IF(I10=BV5,S12,0)</f>
        <v>0</v>
      </c>
      <c r="W14" s="800"/>
      <c r="X14" s="801"/>
      <c r="BN14" s="226">
        <v>0.03</v>
      </c>
      <c r="BV14" s="227">
        <f>I17/I16</f>
        <v>4.1369761904761901</v>
      </c>
      <c r="BX14" s="217" t="s">
        <v>90</v>
      </c>
      <c r="BY14" s="218">
        <v>0.35</v>
      </c>
    </row>
    <row r="15" spans="3:102" ht="16.5" customHeight="1" x14ac:dyDescent="0.3">
      <c r="C15" s="825" t="s">
        <v>333</v>
      </c>
      <c r="D15" s="825"/>
      <c r="E15" s="825"/>
      <c r="F15" s="825"/>
      <c r="G15" s="825"/>
      <c r="H15" s="825"/>
      <c r="I15" s="773" t="s">
        <v>171</v>
      </c>
      <c r="J15" s="773"/>
      <c r="K15" s="773"/>
      <c r="L15" s="773"/>
      <c r="N15" s="228"/>
      <c r="O15" s="815" t="s">
        <v>369</v>
      </c>
      <c r="P15" s="816"/>
      <c r="Q15" s="816"/>
      <c r="R15" s="816"/>
      <c r="S15" s="207"/>
      <c r="T15" s="207"/>
      <c r="U15" s="207"/>
      <c r="V15" s="744">
        <f>IF(OR(I16=0,I16=""),0,IF(O15="Campaña Sin Cobro de Avalúo",0,VLOOKUP(I16,BV23:BW32,2)))</f>
        <v>3422</v>
      </c>
      <c r="W15" s="744"/>
      <c r="X15" s="813"/>
      <c r="BN15" s="226">
        <v>0.04</v>
      </c>
      <c r="BP15" s="63" t="s">
        <v>204</v>
      </c>
      <c r="BQ15" s="229">
        <f>I22</f>
        <v>0</v>
      </c>
      <c r="BR15" s="63">
        <f>IF(BQ15="No",1,2)</f>
        <v>2</v>
      </c>
      <c r="BV15" s="63" t="str">
        <f>IF(BV14&gt;0.25,"MAYOR","MENOR")</f>
        <v>MAYOR</v>
      </c>
      <c r="BW15" s="63">
        <f>IF(BV15="Mayor",2,1)</f>
        <v>2</v>
      </c>
      <c r="BX15" s="217" t="s">
        <v>91</v>
      </c>
      <c r="BY15" s="218">
        <v>0.35</v>
      </c>
    </row>
    <row r="16" spans="3:102" ht="16.5" customHeight="1" x14ac:dyDescent="0.3">
      <c r="C16" s="817" t="str">
        <f>IF(I10="Remodelación","Valor vivienda *","Valor del Terreno *")</f>
        <v>Valor del Terreno *</v>
      </c>
      <c r="D16" s="817"/>
      <c r="E16" s="817"/>
      <c r="F16" s="817"/>
      <c r="G16" s="817"/>
      <c r="H16" s="817"/>
      <c r="I16" s="763">
        <v>630000</v>
      </c>
      <c r="J16" s="763"/>
      <c r="K16" s="763"/>
      <c r="L16" s="763"/>
      <c r="M16" s="207"/>
      <c r="N16" s="228"/>
      <c r="O16" s="438" t="s">
        <v>375</v>
      </c>
      <c r="P16" s="207"/>
      <c r="Q16" s="228"/>
      <c r="R16" s="207"/>
      <c r="S16" s="207"/>
      <c r="T16" s="207"/>
      <c r="U16" s="207"/>
      <c r="V16" s="744">
        <f>IF(OR(I16="",I16=0),0,IF(AND(I10=BV6,I31=1),0,2500))</f>
        <v>2500</v>
      </c>
      <c r="W16" s="744"/>
      <c r="X16" s="813"/>
      <c r="AU16" s="599" t="s">
        <v>476</v>
      </c>
      <c r="AV16" s="467">
        <v>3566.22</v>
      </c>
      <c r="BN16" s="226">
        <v>4.4999999999999998E-2</v>
      </c>
      <c r="BX16" s="217" t="s">
        <v>92</v>
      </c>
      <c r="BY16" s="218">
        <v>0.35</v>
      </c>
    </row>
    <row r="17" spans="1:93" ht="16.5" customHeight="1" x14ac:dyDescent="0.3">
      <c r="C17" s="817" t="s">
        <v>324</v>
      </c>
      <c r="D17" s="817"/>
      <c r="E17" s="817"/>
      <c r="F17" s="817"/>
      <c r="G17" s="817"/>
      <c r="H17" s="817"/>
      <c r="I17" s="763">
        <v>2606295</v>
      </c>
      <c r="J17" s="763"/>
      <c r="K17" s="763"/>
      <c r="L17" s="763"/>
      <c r="M17" s="207"/>
      <c r="N17" s="228"/>
      <c r="O17" s="438" t="s">
        <v>371</v>
      </c>
      <c r="P17" s="207"/>
      <c r="Q17" s="228"/>
      <c r="R17" s="207"/>
      <c r="S17" s="207"/>
      <c r="T17" s="207"/>
      <c r="U17" s="207"/>
      <c r="V17" s="744">
        <v>0</v>
      </c>
      <c r="W17" s="744"/>
      <c r="X17" s="813"/>
      <c r="BN17" s="226">
        <v>0.05</v>
      </c>
      <c r="BR17" s="63">
        <f>VLOOKUP($I$10,$BP$18:$BT$21,3,FALSE)</f>
        <v>0.25</v>
      </c>
      <c r="BS17" s="223">
        <f>VLOOKUP($I$10,$BP$18:$BT$21,4,FALSE)</f>
        <v>0.5</v>
      </c>
      <c r="BT17" s="63">
        <f>VLOOKUP($I$10,$BP$18:$BT$21,5,FALSE)</f>
        <v>0.8</v>
      </c>
      <c r="BU17" s="63">
        <v>1</v>
      </c>
      <c r="BX17" s="230" t="s">
        <v>93</v>
      </c>
      <c r="BY17" s="218">
        <v>0.35</v>
      </c>
    </row>
    <row r="18" spans="1:93" ht="16.5" customHeight="1" x14ac:dyDescent="0.3">
      <c r="C18" s="817" t="s">
        <v>202</v>
      </c>
      <c r="D18" s="817"/>
      <c r="E18" s="817"/>
      <c r="F18" s="817"/>
      <c r="G18" s="817"/>
      <c r="H18" s="817"/>
      <c r="I18" s="772">
        <f>I16+I17</f>
        <v>3236295</v>
      </c>
      <c r="J18" s="772"/>
      <c r="K18" s="772"/>
      <c r="L18" s="772"/>
      <c r="M18" s="207"/>
      <c r="N18" s="212"/>
      <c r="O18" s="438" t="s">
        <v>372</v>
      </c>
      <c r="P18" s="207"/>
      <c r="Q18" s="212"/>
      <c r="R18" s="207"/>
      <c r="S18" s="207"/>
      <c r="T18" s="207"/>
      <c r="U18" s="207"/>
      <c r="V18" s="744"/>
      <c r="W18" s="744"/>
      <c r="X18" s="813"/>
      <c r="BN18" s="226">
        <v>0.06</v>
      </c>
      <c r="BQ18" s="63">
        <v>1</v>
      </c>
      <c r="BR18" s="63">
        <v>2</v>
      </c>
      <c r="BS18" s="63">
        <v>3</v>
      </c>
      <c r="BT18" s="63">
        <v>4</v>
      </c>
      <c r="BX18" s="217" t="s">
        <v>94</v>
      </c>
      <c r="BY18" s="218">
        <v>0.35</v>
      </c>
    </row>
    <row r="19" spans="1:93" ht="16.5" customHeight="1" x14ac:dyDescent="0.3">
      <c r="C19" s="825" t="str">
        <f>IF(I10="Remodelación","Plazo de remodelación (meses) *", "Plazo de construcción (meses) *")</f>
        <v>Plazo de construcción (meses) *</v>
      </c>
      <c r="D19" s="825"/>
      <c r="E19" s="825"/>
      <c r="F19" s="825"/>
      <c r="G19" s="825"/>
      <c r="H19" s="825"/>
      <c r="I19" s="761">
        <v>12</v>
      </c>
      <c r="J19" s="761"/>
      <c r="K19" s="761"/>
      <c r="L19" s="761"/>
      <c r="M19" s="287" t="str">
        <f>IF(C19=1,"",IF(I19="","Seleccionar Plazo",""))</f>
        <v/>
      </c>
      <c r="O19" s="438" t="s">
        <v>329</v>
      </c>
      <c r="P19" s="207"/>
      <c r="Q19" s="284"/>
      <c r="R19" s="207"/>
      <c r="S19" s="207"/>
      <c r="T19" s="810">
        <v>2.5000000000000001E-2</v>
      </c>
      <c r="U19" s="810"/>
      <c r="V19" s="744">
        <f>IF(I10&lt;&gt;"Remodelación",T19*I16,I26*T19)</f>
        <v>15750</v>
      </c>
      <c r="W19" s="744"/>
      <c r="X19" s="813"/>
      <c r="BN19" s="226">
        <v>7.0000000000000007E-2</v>
      </c>
      <c r="BP19" s="63" t="str">
        <f>BV4</f>
        <v>Construcción</v>
      </c>
      <c r="BR19" s="191">
        <v>0.25</v>
      </c>
      <c r="BS19" s="191">
        <v>0.5</v>
      </c>
      <c r="BT19" s="191">
        <v>0.8</v>
      </c>
      <c r="BX19" s="217" t="s">
        <v>95</v>
      </c>
      <c r="BY19" s="218">
        <v>0.35</v>
      </c>
      <c r="CB19" s="124"/>
      <c r="CC19" s="148"/>
      <c r="CD19" s="148"/>
      <c r="CE19" s="148"/>
      <c r="CF19" s="148"/>
      <c r="CG19" s="148"/>
      <c r="CH19" s="148"/>
      <c r="CI19" s="148"/>
      <c r="CJ19" s="148"/>
      <c r="CK19" s="148"/>
      <c r="CL19" s="148"/>
      <c r="CM19" s="148"/>
      <c r="CN19" s="148"/>
      <c r="CO19" s="148"/>
    </row>
    <row r="20" spans="1:93" ht="16.5" customHeight="1" thickBot="1" x14ac:dyDescent="0.35">
      <c r="C20" s="231"/>
      <c r="D20" s="231"/>
      <c r="E20" s="231"/>
      <c r="F20" s="231"/>
      <c r="G20" s="231"/>
      <c r="H20" s="232"/>
      <c r="I20" s="762"/>
      <c r="J20" s="762"/>
      <c r="K20" s="762"/>
      <c r="L20" s="762"/>
      <c r="M20" s="207"/>
      <c r="N20" s="285"/>
      <c r="O20" s="439" t="s">
        <v>205</v>
      </c>
      <c r="P20" s="436"/>
      <c r="Q20" s="437"/>
      <c r="R20" s="436"/>
      <c r="S20" s="436"/>
      <c r="T20" s="436"/>
      <c r="U20" s="436"/>
      <c r="V20" s="802">
        <f>SUM(V13:X19)</f>
        <v>1127967</v>
      </c>
      <c r="W20" s="802"/>
      <c r="X20" s="803"/>
      <c r="AB20" s="233"/>
      <c r="AC20" s="233"/>
      <c r="AD20" s="233"/>
      <c r="AE20" s="233"/>
      <c r="AF20" s="233"/>
      <c r="AG20" s="233"/>
      <c r="AH20" s="233"/>
      <c r="AI20" s="233"/>
      <c r="AJ20" s="233"/>
      <c r="AK20" s="233"/>
      <c r="AL20" s="233"/>
      <c r="AM20" s="233"/>
      <c r="AN20" s="233"/>
      <c r="BN20" s="226">
        <v>0.08</v>
      </c>
      <c r="BP20" s="63" t="str">
        <f>BV5</f>
        <v>Terreno + Construcción</v>
      </c>
      <c r="BR20" s="191">
        <v>0.25</v>
      </c>
      <c r="BS20" s="191">
        <v>0.5</v>
      </c>
      <c r="BT20" s="191">
        <v>0.8</v>
      </c>
      <c r="BX20" s="217" t="s">
        <v>96</v>
      </c>
      <c r="BY20" s="218">
        <v>0.35</v>
      </c>
      <c r="CB20" s="124"/>
      <c r="CC20" s="148"/>
      <c r="CD20" s="148"/>
      <c r="CE20" s="148"/>
      <c r="CF20" s="148"/>
      <c r="CG20" s="148"/>
      <c r="CH20" s="148"/>
      <c r="CI20" s="148"/>
      <c r="CJ20" s="148"/>
      <c r="CK20" s="148"/>
      <c r="CL20" s="148"/>
      <c r="CM20" s="148"/>
      <c r="CN20" s="148"/>
      <c r="CO20" s="148"/>
    </row>
    <row r="21" spans="1:93" ht="16.5" customHeight="1" thickTop="1" thickBot="1" x14ac:dyDescent="0.35">
      <c r="C21" s="817" t="s">
        <v>325</v>
      </c>
      <c r="D21" s="817"/>
      <c r="E21" s="817"/>
      <c r="F21" s="817"/>
      <c r="G21" s="817"/>
      <c r="H21" s="817"/>
      <c r="I21" s="761">
        <v>20</v>
      </c>
      <c r="J21" s="761"/>
      <c r="K21" s="761"/>
      <c r="L21" s="761"/>
      <c r="M21" s="287" t="str">
        <f>IF(I21="","Seleccionar Plazo","")</f>
        <v/>
      </c>
      <c r="N21" s="284"/>
      <c r="O21" s="207"/>
      <c r="P21" s="207"/>
      <c r="Q21" s="284"/>
      <c r="R21" s="207"/>
      <c r="S21" s="207"/>
      <c r="T21" s="207"/>
      <c r="U21" s="207"/>
      <c r="V21" s="207"/>
      <c r="W21" s="207"/>
      <c r="X21" s="207"/>
      <c r="BN21" s="226">
        <v>0.09</v>
      </c>
      <c r="BP21" s="63" t="str">
        <f>BV6</f>
        <v>Remodelación</v>
      </c>
      <c r="BR21" s="191">
        <v>0.6</v>
      </c>
      <c r="BS21" s="191">
        <v>1</v>
      </c>
      <c r="BT21" s="191">
        <v>1</v>
      </c>
      <c r="BX21" s="217" t="s">
        <v>97</v>
      </c>
      <c r="BY21" s="218">
        <v>0.35</v>
      </c>
      <c r="CB21" s="124"/>
      <c r="CC21" s="148"/>
      <c r="CD21" s="148"/>
      <c r="CE21" s="148"/>
      <c r="CF21" s="148"/>
      <c r="CG21" s="148"/>
      <c r="CH21" s="148"/>
      <c r="CI21" s="148"/>
      <c r="CJ21" s="148"/>
      <c r="CK21" s="148"/>
      <c r="CL21" s="148"/>
      <c r="CM21" s="148"/>
      <c r="CN21" s="148"/>
      <c r="CO21" s="148"/>
    </row>
    <row r="22" spans="1:93" ht="16.5" customHeight="1" thickTop="1" thickBot="1" x14ac:dyDescent="0.35">
      <c r="C22" s="825" t="str">
        <f>IF(I10="Remodelación","¿La remodelación es estructural? *","")</f>
        <v/>
      </c>
      <c r="D22" s="825"/>
      <c r="E22" s="825"/>
      <c r="F22" s="825"/>
      <c r="G22" s="825"/>
      <c r="H22" s="825"/>
      <c r="I22" s="760"/>
      <c r="J22" s="760"/>
      <c r="K22" s="760"/>
      <c r="L22" s="760"/>
      <c r="N22" s="288"/>
      <c r="O22" s="811" t="s">
        <v>206</v>
      </c>
      <c r="P22" s="812"/>
      <c r="Q22" s="812"/>
      <c r="R22" s="812"/>
      <c r="S22" s="812"/>
      <c r="T22" s="812"/>
      <c r="U22" s="812"/>
      <c r="V22" s="804">
        <f>IF(I10="Remodelación",MIN(S10,S11,I26+I27),
IF(I10="Terreno + Construcción",MIN(S11+S12,S10,I26+I27),
MIN(S10,S11,I26+I27)))</f>
        <v>1500000</v>
      </c>
      <c r="W22" s="804"/>
      <c r="X22" s="805"/>
      <c r="Y22" s="289"/>
      <c r="BN22" s="226">
        <v>0.1</v>
      </c>
      <c r="BO22" s="63">
        <v>6</v>
      </c>
      <c r="BV22" s="63" t="s">
        <v>27</v>
      </c>
      <c r="BX22" s="217" t="s">
        <v>98</v>
      </c>
      <c r="BY22" s="218">
        <v>0.35</v>
      </c>
      <c r="CB22" s="235" t="s">
        <v>211</v>
      </c>
      <c r="CC22" s="149">
        <f>BP34</f>
        <v>1</v>
      </c>
      <c r="CD22" s="149"/>
      <c r="CE22" s="149"/>
      <c r="CF22" s="149"/>
      <c r="CG22" s="149"/>
      <c r="CH22" s="149"/>
      <c r="CI22" s="149"/>
      <c r="CJ22" s="149"/>
      <c r="CK22" s="149"/>
      <c r="CL22" s="149">
        <f>BP35</f>
        <v>2</v>
      </c>
      <c r="CM22" s="149">
        <f>BP36</f>
        <v>3</v>
      </c>
      <c r="CN22" s="150">
        <f>BP37</f>
        <v>0</v>
      </c>
      <c r="CO22" s="236" t="s">
        <v>212</v>
      </c>
    </row>
    <row r="23" spans="1:93" ht="16.5" customHeight="1" thickTop="1" x14ac:dyDescent="0.3">
      <c r="C23" s="231"/>
      <c r="D23" s="231"/>
      <c r="E23" s="231"/>
      <c r="F23" s="231"/>
      <c r="G23" s="231"/>
      <c r="H23" s="208"/>
      <c r="I23" s="759"/>
      <c r="J23" s="759"/>
      <c r="K23" s="759"/>
      <c r="L23" s="759"/>
      <c r="M23" s="290"/>
      <c r="N23" s="284"/>
      <c r="O23" s="785" t="s">
        <v>207</v>
      </c>
      <c r="P23" s="786"/>
      <c r="Q23" s="786"/>
      <c r="R23" s="786"/>
      <c r="S23" s="786"/>
      <c r="T23" s="786"/>
      <c r="U23" s="786"/>
      <c r="V23" s="806">
        <f>I13</f>
        <v>9.6500000000000002E-2</v>
      </c>
      <c r="W23" s="806"/>
      <c r="X23" s="807"/>
      <c r="Y23" s="289"/>
      <c r="BN23" s="226">
        <v>0.11</v>
      </c>
      <c r="BO23" s="63">
        <v>9</v>
      </c>
      <c r="BQ23" s="191">
        <v>0.2</v>
      </c>
      <c r="BR23" s="191">
        <v>0.45</v>
      </c>
      <c r="BS23" s="191">
        <v>0.8</v>
      </c>
      <c r="BV23" s="63" t="s">
        <v>28</v>
      </c>
      <c r="BW23" s="63" t="s">
        <v>29</v>
      </c>
      <c r="BX23" s="217" t="s">
        <v>99</v>
      </c>
      <c r="BY23" s="218">
        <v>0.35</v>
      </c>
      <c r="CB23" s="235" t="s">
        <v>213</v>
      </c>
      <c r="CC23" s="237">
        <v>1</v>
      </c>
      <c r="CD23" s="237"/>
      <c r="CE23" s="237"/>
      <c r="CF23" s="237"/>
      <c r="CG23" s="237"/>
      <c r="CH23" s="237"/>
      <c r="CI23" s="237"/>
      <c r="CJ23" s="237"/>
      <c r="CK23" s="237"/>
      <c r="CL23" s="238"/>
      <c r="CM23" s="238"/>
      <c r="CN23" s="238"/>
      <c r="CO23" s="239"/>
    </row>
    <row r="24" spans="1:93" ht="16.5" customHeight="1" x14ac:dyDescent="0.3">
      <c r="C24" s="231"/>
      <c r="D24" s="231"/>
      <c r="E24" s="231"/>
      <c r="F24" s="231"/>
      <c r="G24" s="231"/>
      <c r="H24" s="208"/>
      <c r="I24" s="207"/>
      <c r="J24" s="207"/>
      <c r="K24" s="207"/>
      <c r="L24" s="207"/>
      <c r="M24" s="207"/>
      <c r="N24" s="207"/>
      <c r="O24" s="785" t="s">
        <v>349</v>
      </c>
      <c r="P24" s="786"/>
      <c r="Q24" s="786"/>
      <c r="R24" s="786"/>
      <c r="S24" s="786"/>
      <c r="T24" s="786"/>
      <c r="U24" s="786"/>
      <c r="V24" s="776">
        <f>MAX(X61:Y318)</f>
        <v>16313.50790744</v>
      </c>
      <c r="W24" s="776"/>
      <c r="X24" s="777"/>
      <c r="BN24" s="226">
        <v>0.12</v>
      </c>
      <c r="BO24" s="63">
        <v>12</v>
      </c>
      <c r="BV24" s="63">
        <v>0</v>
      </c>
      <c r="BW24" s="240">
        <v>2146</v>
      </c>
      <c r="BX24" s="217" t="s">
        <v>100</v>
      </c>
      <c r="BY24" s="218">
        <v>0.35</v>
      </c>
      <c r="CB24" s="241" t="s">
        <v>214</v>
      </c>
      <c r="CC24" s="103">
        <f>IF($I$10=$BV$5,CC25/I26,IF($I$10=$BV$4,$BQ$61,CO24/$I$31))</f>
        <v>0.5</v>
      </c>
      <c r="CD24" s="103"/>
      <c r="CE24" s="103"/>
      <c r="CF24" s="103"/>
      <c r="CG24" s="103"/>
      <c r="CH24" s="103"/>
      <c r="CI24" s="103"/>
      <c r="CJ24" s="103"/>
      <c r="CK24" s="103"/>
      <c r="CL24" s="103">
        <f>IF($I$10=$BV$5,CL25/$I$26,IF(CL22=0,0,IF($I$10=$BV$4,$BR$61,$CO$24/$I$31)))</f>
        <v>0.3</v>
      </c>
      <c r="CM24" s="103">
        <f>IF($I$10=$BV$5,CM25/$I$26,IF(CM22=0,0,IF($I$10=$BV$4,$BS$61,$CO$24/$I$31)))</f>
        <v>0.2</v>
      </c>
      <c r="CN24" s="103">
        <f>IF($I$10=$BV$5,CN25/$I$26,IF(CN22=0,0,IF($I$10=$BV$4,$BT$61,$CO$24/$I$31)))</f>
        <v>0</v>
      </c>
      <c r="CO24" s="104">
        <v>1</v>
      </c>
    </row>
    <row r="25" spans="1:93" ht="16.5" customHeight="1" thickBot="1" x14ac:dyDescent="0.35">
      <c r="D25" s="9" t="s">
        <v>264</v>
      </c>
      <c r="E25" s="231"/>
      <c r="F25" s="231"/>
      <c r="G25" s="231"/>
      <c r="H25" s="231"/>
      <c r="I25" s="242"/>
      <c r="J25" s="242"/>
      <c r="K25" s="215"/>
      <c r="L25" s="215"/>
      <c r="M25" s="207"/>
      <c r="N25" s="215"/>
      <c r="O25" s="787" t="s">
        <v>209</v>
      </c>
      <c r="P25" s="788"/>
      <c r="Q25" s="788"/>
      <c r="R25" s="788"/>
      <c r="S25" s="788"/>
      <c r="T25" s="788"/>
      <c r="U25" s="788"/>
      <c r="V25" s="778">
        <f>I28/100%/65%</f>
        <v>25097.704472984613</v>
      </c>
      <c r="W25" s="778"/>
      <c r="X25" s="779"/>
      <c r="Y25" s="289"/>
      <c r="BN25" s="243">
        <f>IF(I31=1,1,I19)</f>
        <v>12</v>
      </c>
      <c r="BO25" s="63">
        <v>12</v>
      </c>
      <c r="BV25" s="244">
        <v>500001</v>
      </c>
      <c r="BW25" s="240">
        <v>3422</v>
      </c>
      <c r="BX25" s="217" t="s">
        <v>101</v>
      </c>
      <c r="BY25" s="218">
        <v>0.35</v>
      </c>
      <c r="CB25" s="241" t="s">
        <v>215</v>
      </c>
      <c r="CC25" s="105">
        <f>IF(I10=BV5,IF(C27=1,I16*0.8,I27+(I17*0.3)),I26*CC24)</f>
        <v>750000</v>
      </c>
      <c r="CD25" s="105"/>
      <c r="CE25" s="105"/>
      <c r="CF25" s="105"/>
      <c r="CG25" s="105"/>
      <c r="CH25" s="105"/>
      <c r="CI25" s="105"/>
      <c r="CJ25" s="105"/>
      <c r="CK25" s="105"/>
      <c r="CL25" s="105">
        <f>IF($I$10=$BV$5,((1-$CC$24)*I26)*BR62,I26*CL24)</f>
        <v>450000</v>
      </c>
      <c r="CM25" s="105">
        <f>IF($I$10=$BV$5,((1-$CC$24)*I26)*BS62,I26*CM24)</f>
        <v>300000</v>
      </c>
      <c r="CN25" s="105">
        <f>IF($I$10=$BV$5,((1-$CC$24)*I26)*BT62,I26*CN24)</f>
        <v>0</v>
      </c>
      <c r="CO25" s="106"/>
    </row>
    <row r="26" spans="1:93" ht="16.5" customHeight="1" thickTop="1" thickBot="1" x14ac:dyDescent="0.35">
      <c r="C26" s="817" t="s">
        <v>326</v>
      </c>
      <c r="D26" s="817"/>
      <c r="E26" s="817"/>
      <c r="F26" s="817"/>
      <c r="G26" s="817"/>
      <c r="H26" s="818"/>
      <c r="I26" s="763">
        <v>1500000</v>
      </c>
      <c r="J26" s="763"/>
      <c r="K26" s="763"/>
      <c r="L26" s="763"/>
      <c r="M26" s="287" t="str">
        <f>IF(I26&gt;V22,"Revisar","")</f>
        <v/>
      </c>
      <c r="N26" s="245"/>
      <c r="O26" s="245"/>
      <c r="P26" s="245"/>
      <c r="Q26" s="245"/>
      <c r="R26" s="207"/>
      <c r="S26" s="215"/>
      <c r="T26" s="207"/>
      <c r="U26" s="207"/>
      <c r="V26" s="246"/>
      <c r="W26" s="246"/>
      <c r="X26" s="246"/>
      <c r="Y26" s="289"/>
      <c r="BO26" s="63">
        <v>18</v>
      </c>
      <c r="BS26" s="247"/>
      <c r="BV26" s="63">
        <v>1000001</v>
      </c>
      <c r="BW26" s="240">
        <v>5916</v>
      </c>
      <c r="BX26" s="217" t="s">
        <v>102</v>
      </c>
      <c r="BY26" s="218">
        <v>0.35</v>
      </c>
      <c r="CB26" s="248" t="s">
        <v>216</v>
      </c>
      <c r="CC26" s="107">
        <f>I29</f>
        <v>0.2</v>
      </c>
      <c r="CD26" s="107"/>
      <c r="CE26" s="107"/>
      <c r="CF26" s="107"/>
      <c r="CG26" s="107"/>
      <c r="CH26" s="107"/>
      <c r="CI26" s="107"/>
      <c r="CJ26" s="107"/>
      <c r="CK26" s="107"/>
      <c r="CL26" s="107">
        <f>IF(CC26=0,IF(I31=1,100%,IF(I31=2,60%,IF(I31=3,50%,IF(CC26&lt;$BQ$23,$BR$17,IF(CC26&lt;$BR$23,$BS$17,IF(CC26&lt;$BS$23,$BT$17,$BU$17)))))),IF(CC26&lt;$BQ$23,$BR$17,IF(CC26&lt;$BR$23,$BS$17,IF(CC26&lt;$BS$23,$BT$17,$BU$17))))</f>
        <v>0.5</v>
      </c>
      <c r="CM26" s="107">
        <f>IF(CC26=0,IF(I31=2,100%,IF(I31=3,95%,IF(CL26&lt;$BQ$23,$BR$17,IF(CL26&lt;$BR$23,$BS$17,IF(CL26&lt;$BS$23,$BT$17,$BU$17))))),IF(CL26&lt;$BQ$23,$BR$17,IF(CL26&lt;$BR$23,$BS$17,IF(CL26&lt;$BS$23,$BT$17,$BU$17))))</f>
        <v>0.8</v>
      </c>
      <c r="CN26" s="107">
        <f>IF(CC26=0,IF(I31=2,100%,IF(I31=3,100%,IF(CM26&lt;$BQ$23,$BR$17,IF(CM26&lt;$BR$23,$BS$17,IF(CM26&lt;$BS$23,$BT$17,$BU$17))))),IF(CM26&lt;$BQ$23,$BR$17,IF(CM26&lt;$BR$23,$BS$17,IF(CM26&lt;$BS$23,$BT$17,$BU$17))))</f>
        <v>1</v>
      </c>
      <c r="CO26" s="108">
        <v>1</v>
      </c>
    </row>
    <row r="27" spans="1:93" ht="16.5" customHeight="1" thickTop="1" thickBot="1" x14ac:dyDescent="0.35">
      <c r="C27" s="817" t="str">
        <f>IF(AND(I10="Terreno + Construcción",I26&lt;I16*0.8),"Monto del crédito solicitado para el terreno *", "")</f>
        <v/>
      </c>
      <c r="D27" s="817"/>
      <c r="E27" s="817"/>
      <c r="F27" s="817"/>
      <c r="G27" s="817"/>
      <c r="H27" s="817"/>
      <c r="I27" s="767"/>
      <c r="J27" s="768"/>
      <c r="K27" s="768"/>
      <c r="L27" s="769"/>
      <c r="M27" s="291" t="str">
        <f>IF(C27="","",IF(AND(C27&lt;&gt;1,I27=""),"Capturar Monto Solicitado de Terreno",IF(AND(I10="Terreno + Construcción",I27&gt;I16/2),"Solo se puede Financiar el 50 % del valor del Terreno","")))</f>
        <v/>
      </c>
      <c r="N27" s="249"/>
      <c r="O27" s="249"/>
      <c r="P27" s="249"/>
      <c r="Q27" s="249"/>
      <c r="R27" s="207"/>
      <c r="S27" s="207"/>
      <c r="T27" s="781" t="s">
        <v>259</v>
      </c>
      <c r="U27" s="782"/>
      <c r="V27" s="783">
        <f>((1+AI59)^12)-1</f>
        <v>6.3384177244145024E-2</v>
      </c>
      <c r="W27" s="783"/>
      <c r="X27" s="784"/>
      <c r="BV27" s="63">
        <v>2000001</v>
      </c>
      <c r="BW27" s="240">
        <v>9222</v>
      </c>
      <c r="BX27" s="217" t="s">
        <v>103</v>
      </c>
      <c r="BY27" s="218">
        <v>0.35</v>
      </c>
      <c r="CB27" s="109" t="s">
        <v>217</v>
      </c>
      <c r="CC27" s="109">
        <f>CC26*$I$17</f>
        <v>521259</v>
      </c>
      <c r="CD27" s="109"/>
      <c r="CE27" s="109"/>
      <c r="CF27" s="109"/>
      <c r="CG27" s="109"/>
      <c r="CH27" s="109"/>
      <c r="CI27" s="109"/>
      <c r="CJ27" s="109"/>
      <c r="CK27" s="109"/>
      <c r="CL27" s="109">
        <f>CL26*$I$17</f>
        <v>1303147.5</v>
      </c>
      <c r="CM27" s="109">
        <f>CM26*$I$17</f>
        <v>2085036</v>
      </c>
      <c r="CN27" s="109">
        <f>CN26*$I$17</f>
        <v>2606295</v>
      </c>
      <c r="CO27" s="109">
        <f>CO26*$I$17</f>
        <v>2606295</v>
      </c>
    </row>
    <row r="28" spans="1:93" ht="16.5" customHeight="1" thickTop="1" x14ac:dyDescent="0.3">
      <c r="C28" s="817" t="s">
        <v>208</v>
      </c>
      <c r="D28" s="817"/>
      <c r="E28" s="817"/>
      <c r="F28" s="817"/>
      <c r="G28" s="817"/>
      <c r="H28" s="818"/>
      <c r="I28" s="770">
        <f>MAX(X61:Y318)</f>
        <v>16313.50790744</v>
      </c>
      <c r="J28" s="770"/>
      <c r="K28" s="770"/>
      <c r="L28" s="770"/>
      <c r="M28" s="292"/>
      <c r="N28" s="293"/>
      <c r="O28" s="293"/>
      <c r="P28" s="294"/>
      <c r="Q28" s="293"/>
      <c r="R28" s="207"/>
      <c r="S28" s="207"/>
      <c r="T28" s="207"/>
      <c r="U28" s="207"/>
      <c r="V28" s="207"/>
      <c r="W28" s="207"/>
      <c r="X28" s="207"/>
      <c r="BO28" s="780" t="s">
        <v>244</v>
      </c>
      <c r="BP28" s="780"/>
      <c r="BQ28" s="780"/>
      <c r="BR28" s="780"/>
      <c r="BS28" s="780"/>
      <c r="BV28" s="63">
        <v>3000001</v>
      </c>
      <c r="BW28" s="240">
        <v>12470</v>
      </c>
      <c r="BX28" s="217" t="s">
        <v>104</v>
      </c>
      <c r="BY28" s="218">
        <v>0.35</v>
      </c>
      <c r="CC28" s="110">
        <f>CL27</f>
        <v>1303147.5</v>
      </c>
      <c r="CD28" s="110"/>
      <c r="CE28" s="110"/>
      <c r="CF28" s="110"/>
      <c r="CG28" s="110"/>
      <c r="CH28" s="110"/>
      <c r="CI28" s="110"/>
      <c r="CJ28" s="110"/>
      <c r="CK28" s="110"/>
      <c r="CL28" s="110">
        <f>CM27</f>
        <v>2085036</v>
      </c>
      <c r="CM28" s="110">
        <f>CN27</f>
        <v>2606295</v>
      </c>
      <c r="CN28" s="110">
        <f>CO27</f>
        <v>2606295</v>
      </c>
    </row>
    <row r="29" spans="1:93" s="6" customFormat="1" ht="16.5" customHeight="1" x14ac:dyDescent="0.3">
      <c r="A29" s="63"/>
      <c r="B29" s="273"/>
      <c r="C29" s="817" t="s">
        <v>327</v>
      </c>
      <c r="D29" s="817"/>
      <c r="E29" s="817"/>
      <c r="F29" s="817"/>
      <c r="G29" s="817"/>
      <c r="H29" s="818"/>
      <c r="I29" s="771">
        <v>0.2</v>
      </c>
      <c r="J29" s="771"/>
      <c r="K29" s="771"/>
      <c r="L29" s="771"/>
      <c r="M29" s="287" t="str">
        <f>IF(I29="","Capturar % de Avance de Obra","")</f>
        <v/>
      </c>
      <c r="N29" s="294"/>
      <c r="O29" s="294"/>
      <c r="P29" s="207"/>
      <c r="Q29" s="294"/>
      <c r="R29" s="207"/>
      <c r="S29" s="207"/>
      <c r="T29" s="207"/>
      <c r="U29" s="207"/>
      <c r="V29" s="207"/>
      <c r="W29" s="207"/>
      <c r="X29" s="207"/>
      <c r="Y29" s="27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O29" s="71" t="s">
        <v>245</v>
      </c>
      <c r="BP29" s="71">
        <v>0.38519999999999999</v>
      </c>
      <c r="BQ29" s="71">
        <f>(BP29*1.16)/1000</f>
        <v>4.4683199999999993E-4</v>
      </c>
      <c r="BR29" s="71">
        <v>0.273621</v>
      </c>
      <c r="BS29" s="250">
        <f>(BR29*1.16)/1000</f>
        <v>3.1740035999999999E-4</v>
      </c>
      <c r="BV29" s="6">
        <v>4000001</v>
      </c>
      <c r="BW29" s="251">
        <v>15370</v>
      </c>
      <c r="BX29" s="217" t="s">
        <v>105</v>
      </c>
      <c r="BY29" s="218">
        <v>0.35</v>
      </c>
      <c r="CB29" s="111" t="s">
        <v>218</v>
      </c>
      <c r="CC29" s="112">
        <f>CL27-CC27-(CC25-IF(C27=1,S12,I27))</f>
        <v>31888.5</v>
      </c>
      <c r="CD29" s="112"/>
      <c r="CE29" s="112"/>
      <c r="CF29" s="112"/>
      <c r="CG29" s="112"/>
      <c r="CH29" s="112"/>
      <c r="CI29" s="112"/>
      <c r="CJ29" s="112"/>
      <c r="CK29" s="112"/>
      <c r="CL29" s="112">
        <f>IF(CL22=0,0,CM27-CL27-CL25)</f>
        <v>331888.5</v>
      </c>
      <c r="CM29" s="112">
        <f>IF(CM22=0,0,CN27-CM27-CM25)</f>
        <v>221259</v>
      </c>
      <c r="CN29" s="113">
        <f>IF(CN22=0,0,CO27-CN27-CN25)</f>
        <v>0</v>
      </c>
      <c r="CO29" s="63"/>
    </row>
    <row r="30" spans="1:93" ht="16.5" customHeight="1" x14ac:dyDescent="0.3">
      <c r="C30" s="252"/>
      <c r="D30" s="252"/>
      <c r="E30" s="252"/>
      <c r="F30" s="252"/>
      <c r="G30" s="252"/>
      <c r="H30" s="283"/>
      <c r="I30" s="766"/>
      <c r="J30" s="766"/>
      <c r="K30" s="766"/>
      <c r="L30" s="284"/>
      <c r="M30" s="287"/>
      <c r="N30" s="284"/>
      <c r="P30" s="284"/>
      <c r="Q30" s="284"/>
      <c r="R30" s="207"/>
      <c r="S30" s="207"/>
      <c r="T30" s="207"/>
      <c r="U30" s="207"/>
      <c r="V30" s="207"/>
      <c r="W30" s="207"/>
      <c r="X30" s="207"/>
      <c r="BO30" s="71" t="s">
        <v>246</v>
      </c>
      <c r="BP30" s="253">
        <v>0.44</v>
      </c>
      <c r="BQ30" s="71"/>
      <c r="BR30" s="71"/>
      <c r="BS30" s="71"/>
      <c r="BV30" s="63">
        <v>5000001</v>
      </c>
      <c r="BW30" s="240">
        <v>19952</v>
      </c>
      <c r="BX30" s="217" t="s">
        <v>106</v>
      </c>
      <c r="BY30" s="218">
        <v>0.35</v>
      </c>
      <c r="CB30" s="740" t="str">
        <f>IF(AND(CC29&gt;=0,CL29&gt;=0,CM29&gt;=0,CN29&gt;=0),"","Los importes con saldo negativo representan los recursos otorgados anticipadamente para invertir durante la construcción")</f>
        <v/>
      </c>
      <c r="CC30" s="741"/>
      <c r="CD30" s="741"/>
      <c r="CE30" s="741"/>
      <c r="CF30" s="741"/>
      <c r="CG30" s="741"/>
      <c r="CH30" s="741"/>
      <c r="CI30" s="741"/>
      <c r="CJ30" s="741"/>
      <c r="CK30" s="741"/>
      <c r="CL30" s="741"/>
      <c r="CM30" s="741"/>
      <c r="CN30" s="742"/>
    </row>
    <row r="31" spans="1:93" ht="16.5" customHeight="1" x14ac:dyDescent="0.3">
      <c r="C31" s="817" t="s">
        <v>328</v>
      </c>
      <c r="D31" s="817"/>
      <c r="E31" s="817"/>
      <c r="F31" s="817"/>
      <c r="G31" s="817"/>
      <c r="H31" s="818"/>
      <c r="I31" s="748">
        <f>IF(AND(I10="Remodelación",I22="No"),1,IF(AND(I10="Remodelación",I22="Si"),2,IF(I29&lt;20%,4,IF(AND(I29&gt;=20%,I29&lt;45%),3,IF(AND(I29&gt;=45%,I29&lt;80%),2,1)))))</f>
        <v>3</v>
      </c>
      <c r="J31" s="748"/>
      <c r="K31" s="748"/>
      <c r="L31" s="748"/>
      <c r="M31" s="287" t="str">
        <f>IF(I31="","Capturar número de ministraciones",IF(OR(AND(I10="Remodelación",I31&lt;&gt;BR15),AND(I10&lt;&gt;"Remodelación",I31&lt;&gt;BQ9)),"Actualizar ministraciones",""))</f>
        <v/>
      </c>
      <c r="N31" s="284"/>
      <c r="O31" s="284"/>
      <c r="P31" s="284"/>
      <c r="Q31" s="284"/>
      <c r="R31" s="207"/>
      <c r="S31" s="207"/>
      <c r="T31" s="207"/>
      <c r="U31" s="207"/>
      <c r="V31" s="207"/>
      <c r="W31" s="207"/>
      <c r="X31" s="207"/>
      <c r="BO31" s="71" t="s">
        <v>1</v>
      </c>
      <c r="BP31" s="254">
        <f>VLOOKUP(TRIM(CONCATENATE(I10," ",I12," ",I11," ",I15," ",I21," ",I13)),Catalogo_Condicione_Financieras!B:W,11,0)</f>
        <v>9.66</v>
      </c>
      <c r="BQ31" s="71"/>
      <c r="BR31" s="71"/>
      <c r="BS31" s="71"/>
      <c r="BV31" s="63">
        <v>7000001</v>
      </c>
      <c r="BW31" s="240">
        <v>23200</v>
      </c>
      <c r="BX31" s="217" t="s">
        <v>107</v>
      </c>
      <c r="BY31" s="218">
        <v>0.35</v>
      </c>
      <c r="CB31" s="248" t="s">
        <v>219</v>
      </c>
      <c r="CC31" s="114">
        <f>CL27-CC27-(CC25-IF(C27=1,S12,I27))</f>
        <v>31888.5</v>
      </c>
      <c r="CD31" s="114"/>
      <c r="CE31" s="114"/>
      <c r="CF31" s="114"/>
      <c r="CG31" s="114"/>
      <c r="CH31" s="114"/>
      <c r="CI31" s="114"/>
      <c r="CJ31" s="114"/>
      <c r="CK31" s="114"/>
      <c r="CL31" s="114">
        <f>IF(CL22=0,0,CM27-CL27-CL25+CC31)</f>
        <v>363777</v>
      </c>
      <c r="CM31" s="114">
        <f>IF(CM22=0,0,CN27-CM27-CM25+CL31)</f>
        <v>585036</v>
      </c>
      <c r="CN31" s="115">
        <f>IF(CN22=0,0,CO27-CN27-CN25+CM31)</f>
        <v>0</v>
      </c>
      <c r="CO31" s="255"/>
    </row>
    <row r="32" spans="1:93" ht="16.5" customHeight="1" x14ac:dyDescent="0.3">
      <c r="I32" s="295"/>
      <c r="J32" s="295"/>
      <c r="K32" s="295"/>
      <c r="L32" s="295"/>
      <c r="M32" s="295"/>
      <c r="N32" s="295"/>
      <c r="O32" s="295"/>
      <c r="P32" s="295"/>
      <c r="Q32" s="295"/>
      <c r="R32" s="291"/>
      <c r="T32" s="273"/>
      <c r="U32" s="273"/>
      <c r="BP32" s="257"/>
      <c r="BV32" s="63">
        <v>10000001</v>
      </c>
      <c r="BW32" s="240">
        <v>24360</v>
      </c>
      <c r="BX32" s="217" t="s">
        <v>108</v>
      </c>
      <c r="BY32" s="218">
        <v>0.35</v>
      </c>
    </row>
    <row r="33" spans="4:103" x14ac:dyDescent="0.3">
      <c r="H33" s="10"/>
      <c r="I33" s="749"/>
      <c r="J33" s="749"/>
      <c r="K33" s="749"/>
      <c r="L33" s="749"/>
      <c r="M33" s="295"/>
      <c r="N33" s="295"/>
      <c r="O33" s="295"/>
      <c r="P33" s="295"/>
      <c r="Q33" s="295"/>
      <c r="R33" s="291"/>
      <c r="T33" s="273"/>
      <c r="U33" s="273"/>
      <c r="BX33" s="217" t="s">
        <v>109</v>
      </c>
      <c r="BY33" s="218">
        <v>0.35</v>
      </c>
    </row>
    <row r="34" spans="4:103" x14ac:dyDescent="0.3">
      <c r="T34" s="273"/>
      <c r="U34" s="273"/>
      <c r="AP34" s="165"/>
      <c r="AQ34" s="165"/>
      <c r="AR34" s="165"/>
      <c r="AS34" s="165"/>
      <c r="AT34" s="165"/>
      <c r="BO34" s="6"/>
      <c r="BP34" s="63">
        <f>IF(CC24-CO24=0,1,1)</f>
        <v>1</v>
      </c>
      <c r="BQ34" s="6"/>
      <c r="BR34" s="6"/>
      <c r="BS34" s="6"/>
      <c r="BX34" s="217" t="s">
        <v>110</v>
      </c>
      <c r="BY34" s="218">
        <v>0.35</v>
      </c>
    </row>
    <row r="35" spans="4:103" ht="16.5" customHeight="1" x14ac:dyDescent="0.3">
      <c r="D35" s="124" t="s">
        <v>210</v>
      </c>
      <c r="I35" s="296"/>
      <c r="J35" s="296"/>
      <c r="K35" s="296"/>
      <c r="L35" s="296"/>
      <c r="M35" s="213" t="str">
        <f>IF(AND(I10="Remodelación",I22="No"),"Sin Ministraciones, Todo el Crédito se Dispone al Momento de la Firma","Ministraciones")</f>
        <v>Ministraciones</v>
      </c>
      <c r="N35" s="296"/>
      <c r="O35" s="296"/>
      <c r="P35" s="296"/>
      <c r="Q35" s="296"/>
      <c r="R35" s="297"/>
      <c r="T35" s="273"/>
      <c r="U35" s="273"/>
      <c r="BP35" s="63">
        <f>IF(I31=1,0,2)</f>
        <v>2</v>
      </c>
      <c r="BX35" s="217" t="s">
        <v>111</v>
      </c>
      <c r="BY35" s="218">
        <v>0.35</v>
      </c>
      <c r="CB35" s="6"/>
      <c r="CC35" s="44" t="s">
        <v>54</v>
      </c>
      <c r="CD35" s="44" t="s">
        <v>55</v>
      </c>
      <c r="CE35" s="44" t="s">
        <v>56</v>
      </c>
      <c r="CF35" s="44" t="s">
        <v>57</v>
      </c>
      <c r="CG35" s="44" t="s">
        <v>58</v>
      </c>
      <c r="CH35" s="44" t="s">
        <v>59</v>
      </c>
      <c r="CI35" s="44" t="s">
        <v>60</v>
      </c>
      <c r="CJ35" s="44" t="s">
        <v>61</v>
      </c>
      <c r="CK35" s="44" t="s">
        <v>62</v>
      </c>
      <c r="CL35" s="44" t="s">
        <v>63</v>
      </c>
      <c r="CM35" s="44" t="s">
        <v>64</v>
      </c>
      <c r="CN35" s="44" t="s">
        <v>65</v>
      </c>
      <c r="CO35" s="44" t="s">
        <v>66</v>
      </c>
      <c r="CP35" s="44" t="s">
        <v>67</v>
      </c>
      <c r="CQ35" s="44" t="s">
        <v>68</v>
      </c>
      <c r="CR35" s="44" t="s">
        <v>69</v>
      </c>
      <c r="CS35" s="44" t="s">
        <v>70</v>
      </c>
      <c r="CT35" s="44" t="s">
        <v>71</v>
      </c>
      <c r="CU35" s="44" t="s">
        <v>72</v>
      </c>
      <c r="CV35" s="44" t="s">
        <v>73</v>
      </c>
      <c r="CW35" s="44" t="s">
        <v>74</v>
      </c>
      <c r="CX35" s="44" t="s">
        <v>75</v>
      </c>
      <c r="CY35" s="44" t="s">
        <v>124</v>
      </c>
    </row>
    <row r="36" spans="4:103" ht="19.5" thickBot="1" x14ac:dyDescent="0.35">
      <c r="I36" s="734" t="str">
        <f>IF(OR(AND(I31=4,OR(L38="",L38=0,O38="",O38=0,R38="",R38=0)),
AND(I31=3,OR(L38="",L38=0,O38="",O38=0)),
AND(I31=2,OR(L38="",L38=0))),
"Se debe capturar el periodo de las ministraciones (los meses estimados en que se abonaran las ministraciones)","")</f>
        <v/>
      </c>
      <c r="J36" s="734"/>
      <c r="K36" s="734"/>
      <c r="L36" s="734"/>
      <c r="M36" s="734"/>
      <c r="N36" s="734"/>
      <c r="O36" s="734"/>
      <c r="P36" s="734"/>
      <c r="Q36" s="734"/>
      <c r="R36" s="734"/>
      <c r="S36" s="734"/>
      <c r="T36" s="734"/>
      <c r="U36" s="734"/>
      <c r="V36" s="734"/>
      <c r="BP36" s="63">
        <f>IF(OR(I31=1,I31=2),0,3)</f>
        <v>3</v>
      </c>
      <c r="CB36" s="45" t="s">
        <v>32</v>
      </c>
      <c r="CC36" s="51" t="b">
        <v>1</v>
      </c>
      <c r="CD36" s="51" t="b">
        <v>1</v>
      </c>
      <c r="CE36" s="51" t="b">
        <v>1</v>
      </c>
      <c r="CF36" s="51" t="b">
        <v>1</v>
      </c>
      <c r="CG36" s="51" t="b">
        <v>1</v>
      </c>
      <c r="CH36" s="51" t="b">
        <v>1</v>
      </c>
      <c r="CI36" s="51" t="b">
        <v>1</v>
      </c>
      <c r="CJ36" s="51" t="b">
        <v>1</v>
      </c>
      <c r="CK36" s="51" t="b">
        <v>1</v>
      </c>
      <c r="CL36" s="51" t="b">
        <v>1</v>
      </c>
      <c r="CM36" s="51" t="b">
        <v>1</v>
      </c>
      <c r="CN36" s="51" t="b">
        <v>1</v>
      </c>
      <c r="CO36" s="51" t="b">
        <v>1</v>
      </c>
      <c r="CP36" s="51" t="b">
        <v>1</v>
      </c>
      <c r="CQ36" s="51" t="b">
        <v>1</v>
      </c>
      <c r="CR36" s="51" t="b">
        <v>1</v>
      </c>
      <c r="CS36" s="51" t="b">
        <v>1</v>
      </c>
      <c r="CT36" s="51" t="b">
        <v>1</v>
      </c>
      <c r="CU36" s="51" t="b">
        <v>1</v>
      </c>
      <c r="CV36" s="51" t="b">
        <v>1</v>
      </c>
      <c r="CW36" s="51" t="b">
        <v>1</v>
      </c>
      <c r="CX36" s="51" t="b">
        <v>0</v>
      </c>
      <c r="CY36" s="46" cm="1">
        <f t="array" ref="CY36">IF(I21=20,AVERAGE(CC36:CV36*1),IF(I21=15,AVERAGE(CC36:CQ36*1),IF(I21=10,AVERAGE(CC36:CL36*1),IF(I21=5,AVERAGE(CC36:CG36*1)))))</f>
        <v>1</v>
      </c>
    </row>
    <row r="37" spans="4:103" ht="23.25" customHeight="1" x14ac:dyDescent="0.3">
      <c r="D37" s="298"/>
      <c r="E37" s="299"/>
      <c r="F37" s="299"/>
      <c r="G37" s="309" t="str">
        <f>IF(AND(I10="Remodelación",I22="No"),"","# de Ministración")</f>
        <v># de Ministración</v>
      </c>
      <c r="H37" s="299"/>
      <c r="I37" s="746">
        <f>IF(AND(I10="Remodelación",I22="No"),"",IF(OR(I31=1,I31=2,I31=3,I31=4),1))</f>
        <v>1</v>
      </c>
      <c r="J37" s="746"/>
      <c r="K37" s="316"/>
      <c r="L37" s="746">
        <f>IF(AND(I10="Remodelación",I22="No"),"",IF(I31=1,"",IF(I31=2,2,IF(I31=3,2,IF(I31=4,2,"")))))</f>
        <v>2</v>
      </c>
      <c r="M37" s="746"/>
      <c r="N37" s="316"/>
      <c r="O37" s="746">
        <f>IF(I10="Remodelación","",IF(I31=1,"",IF(I31=2,"",IF(I31=3,3,IF(I31=4,3,"")))))</f>
        <v>3</v>
      </c>
      <c r="P37" s="746"/>
      <c r="Q37" s="316"/>
      <c r="R37" s="746" t="str">
        <f>IF(I10="Remodelación","",IF(I31=1,"",IF(I31=2,"",IF(I31=3,"",IF(I31=4,4,"")))))</f>
        <v/>
      </c>
      <c r="S37" s="746"/>
      <c r="T37" s="299"/>
      <c r="U37" s="316" t="str">
        <f>IF(I10="Remodelación","","Supervisión Final")</f>
        <v>Supervisión Final</v>
      </c>
      <c r="V37" s="300"/>
      <c r="W37" s="823" t="str">
        <f>IF(AND(I10="Remodelación",I22="No"),"",IF(OR(I38&gt;=I19,L38&gt;=I19,O38&gt;=I19,R38&gt;=I19),"El periodo no puede ser mayor o igual al plazo de construcción",""))</f>
        <v/>
      </c>
      <c r="X37" s="824"/>
      <c r="Y37" s="824"/>
      <c r="Z37" s="824"/>
      <c r="AX37" s="266" t="str">
        <f>IF(AND(OR(I22="No",I22=""),I10="Remodelación"),"","Mes")</f>
        <v>Mes</v>
      </c>
      <c r="AY37" s="472" t="s">
        <v>255</v>
      </c>
      <c r="AZ37" s="473"/>
      <c r="BP37" s="63">
        <f>IF(I31=4,4,0)</f>
        <v>0</v>
      </c>
      <c r="CB37" s="45" t="s">
        <v>33</v>
      </c>
      <c r="CC37" s="51" t="b">
        <v>1</v>
      </c>
      <c r="CD37" s="51" t="b">
        <v>1</v>
      </c>
      <c r="CE37" s="51" t="b">
        <v>1</v>
      </c>
      <c r="CF37" s="51" t="b">
        <v>1</v>
      </c>
      <c r="CG37" s="51" t="b">
        <v>1</v>
      </c>
      <c r="CH37" s="51" t="b">
        <v>1</v>
      </c>
      <c r="CI37" s="51" t="b">
        <v>1</v>
      </c>
      <c r="CJ37" s="51" t="b">
        <v>1</v>
      </c>
      <c r="CK37" s="51" t="b">
        <v>1</v>
      </c>
      <c r="CL37" s="51" t="b">
        <v>1</v>
      </c>
      <c r="CM37" s="51" t="b">
        <v>1</v>
      </c>
      <c r="CN37" s="51" t="b">
        <v>1</v>
      </c>
      <c r="CO37" s="51" t="b">
        <v>1</v>
      </c>
      <c r="CP37" s="51" t="b">
        <v>1</v>
      </c>
      <c r="CQ37" s="51" t="b">
        <v>1</v>
      </c>
      <c r="CR37" s="51" t="b">
        <v>1</v>
      </c>
      <c r="CS37" s="51" t="b">
        <v>1</v>
      </c>
      <c r="CT37" s="51" t="b">
        <v>1</v>
      </c>
      <c r="CU37" s="51" t="b">
        <v>1</v>
      </c>
      <c r="CV37" s="51" t="b">
        <v>1</v>
      </c>
      <c r="CW37" s="51" t="b">
        <v>1</v>
      </c>
      <c r="CX37" s="51" t="b">
        <v>1</v>
      </c>
      <c r="CY37" s="46" cm="1">
        <f t="array" ref="CY37">IF(I21=20,AVERAGE(CC37:CV37*1),IF(I21=15,AVERAGE(CC37:CQ37*1),IF(I21=10,AVERAGE(CC37:CL37*1),IF(I21=5,AVERAGE(CC37:CG37*1)))))</f>
        <v>1</v>
      </c>
    </row>
    <row r="38" spans="4:103" ht="23.25" customHeight="1" x14ac:dyDescent="0.3">
      <c r="D38" s="301"/>
      <c r="E38" s="252"/>
      <c r="F38" s="252"/>
      <c r="G38" s="302" t="s">
        <v>213</v>
      </c>
      <c r="I38" s="798">
        <v>1</v>
      </c>
      <c r="J38" s="798"/>
      <c r="L38" s="830">
        <v>3</v>
      </c>
      <c r="M38" s="830"/>
      <c r="N38" s="462" t="str">
        <f>IF(AND(I10="Remodelación",I22="No"),"",IF(L37="","","*"))</f>
        <v>*</v>
      </c>
      <c r="O38" s="831">
        <v>6</v>
      </c>
      <c r="P38" s="831"/>
      <c r="Q38" s="291" t="str">
        <f>IF(AND(I10="Remodelación",I22="No"),"",IF(O37="","","*"))</f>
        <v>*</v>
      </c>
      <c r="R38" s="831"/>
      <c r="S38" s="831"/>
      <c r="T38" s="291" t="str">
        <f>IF(AND(I10="Remodelación",I22="No"),"",IF(R37="","","*"))</f>
        <v/>
      </c>
      <c r="U38" s="273"/>
      <c r="V38" s="303"/>
      <c r="W38" s="823"/>
      <c r="X38" s="824"/>
      <c r="Y38" s="824"/>
      <c r="Z38" s="824"/>
      <c r="AX38" s="76">
        <f>IF(AND(OR(I22="No",I22=""),I10="Remodelación"),1,1)</f>
        <v>1</v>
      </c>
      <c r="AY38" s="272" t="s">
        <v>215</v>
      </c>
      <c r="AZ38" s="474"/>
      <c r="CB38" s="6"/>
      <c r="CC38" s="6"/>
      <c r="CD38" s="6"/>
      <c r="CE38" s="6"/>
      <c r="CF38" s="6"/>
      <c r="CG38" s="6"/>
      <c r="CH38" s="6"/>
      <c r="CI38" s="6"/>
      <c r="CJ38" s="6"/>
      <c r="CK38" s="6"/>
      <c r="CL38" s="6"/>
      <c r="CM38" s="6"/>
      <c r="CN38" s="6"/>
      <c r="CO38" s="6"/>
      <c r="CP38" s="6"/>
      <c r="CQ38" s="6"/>
      <c r="CR38" s="6"/>
      <c r="CS38" s="6"/>
      <c r="CT38" s="6"/>
      <c r="CU38" s="6"/>
      <c r="CV38" s="6"/>
    </row>
    <row r="39" spans="4:103" ht="23.25" customHeight="1" x14ac:dyDescent="0.3">
      <c r="D39" s="301"/>
      <c r="G39" s="310" t="s">
        <v>214</v>
      </c>
      <c r="I39" s="747">
        <f>IF(AND(I10="Remodelación",I22="No"),1,IF(AND(I10="Remodelación",I22="Si"),50%,
IF(AND(I10="Terreno + Construcción",I31=4),I40/CC9,
IF(AND(I10="Terreno + Construcción",I31=3),I40/CC9,
IF(AND(I10="Terreno + Construcción",I31=2),I40/CC9,
IF(AND(I10="Terreno + Construcción",I31=1),I40/CC9,
IF(AND(I10="Construcción",I31=4),30%,
IF(AND(I10="Construcción",I31=3),50%,
IF(AND(I10="Construcción",I31=2),50%,
IF(AND(I10="Construcción",I31=1),100%))))))))))</f>
        <v>0.5</v>
      </c>
      <c r="J39" s="747"/>
      <c r="K39" s="317"/>
      <c r="L39" s="747">
        <f>IF(AND(I10="Remodelación",I22="No"),"",
IF(AND(I10="Remodelación",I22="Si"),1-I39,
IF(AND(I10="Terreno + Construcción",I31=4),L40/CC9,
IF(AND(I10="Terreno + Construcción",I31=3),L40/CC9,
IF(AND(I10="Terreno + Construcción",I31=2),L40/CC9,
IF(AND(I10="Terreno + Construcción",I31=1),"",
IF(AND(I10="Construcción",I31=4),25%,
IF(AND(I10="Construcción",I31=3),30%,
IF(AND(I10="Construcción",I31=2),50%,
IF(AND(I10="Construcción",I31=1),""))))))))))</f>
        <v>0.3</v>
      </c>
      <c r="M39" s="747"/>
      <c r="N39" s="317"/>
      <c r="O39" s="747">
        <f>IF(I10="Remodelación","",
IF(AND(I10="Terreno + Construcción",I31=4),O40/CC9,
IF(AND(I10="Terreno + Construcción",I31=3),O40/CC9,
IF(AND(I10="Terreno + Construcción",I31=2),"",
IF(AND(I10="Terreno + Construcción",I31=1),"",
IF(AND(I10="Construcción",I31=4),25%,
IF(AND(I10="Construcción",I31=3),20%,
IF(AND(I10="Construcción",I31=2),"",
IF(AND(I10="Construcción",I31=1),"")))))))))</f>
        <v>0.2</v>
      </c>
      <c r="P39" s="747"/>
      <c r="Q39" s="317"/>
      <c r="R39" s="747" t="str">
        <f>IF(I10="Remodelación","",
IF(AND(I10="Terreno + Construcción",I31=4),R40/CC9,
IF(AND(I10="Terreno + Construcción",I31=3),"",
IF(AND(I10="Terreno + Construcción",I31=2),"",
IF(AND(I10="Terreno + Construcción",I31=1),"",
IF(AND(I10="Construcción",I31=4),20%,
IF(AND(I10="Construcción",I31=3),"",
IF(AND(I10="Construcción",I31=2),"",
IF(AND(I10="Construcción",I31=1),"")))))))))</f>
        <v/>
      </c>
      <c r="S39" s="747"/>
      <c r="T39" s="273"/>
      <c r="U39" s="745">
        <f>IF(I10="Remodelación","",100%)</f>
        <v>1</v>
      </c>
      <c r="V39" s="792"/>
      <c r="W39" s="823"/>
      <c r="X39" s="824"/>
      <c r="Y39" s="824"/>
      <c r="Z39" s="824"/>
      <c r="AX39" s="76">
        <f>IF(AND(OR(I22="No",I22=""),I10="Remodelación"),"",2)</f>
        <v>2</v>
      </c>
      <c r="AY39" s="272" t="str">
        <f>IF(OR($L$38=2,$O$38=2,$R$38=2),"Ministración","")</f>
        <v/>
      </c>
      <c r="AZ39" s="474"/>
      <c r="CB39" s="45" t="s">
        <v>31</v>
      </c>
      <c r="CC39" s="47">
        <f>'Tabla_Puntual&amp;Relacionamiento'!B37</f>
        <v>9.6500000000000002E-2</v>
      </c>
      <c r="CD39" s="47">
        <f>'Tabla_Puntual&amp;Relacionamiento'!B38</f>
        <v>9.6500000000000002E-2</v>
      </c>
      <c r="CE39" s="47">
        <f>'Tabla_Puntual&amp;Relacionamiento'!B39</f>
        <v>9.5000000000000001E-2</v>
      </c>
      <c r="CF39" s="47">
        <f>'Tabla_Puntual&amp;Relacionamiento'!B40</f>
        <v>9.35E-2</v>
      </c>
      <c r="CG39" s="47">
        <f>'Tabla_Puntual&amp;Relacionamiento'!B41</f>
        <v>9.1999999999999998E-2</v>
      </c>
      <c r="CH39" s="47">
        <f>'Tabla_Puntual&amp;Relacionamiento'!B42</f>
        <v>9.1999999999999998E-2</v>
      </c>
      <c r="CI39" s="47">
        <f>'Tabla_Puntual&amp;Relacionamiento'!B43</f>
        <v>9.1999999999999998E-2</v>
      </c>
      <c r="CJ39" s="47">
        <f>'Tabla_Puntual&amp;Relacionamiento'!B44</f>
        <v>9.1999999999999998E-2</v>
      </c>
      <c r="CK39" s="47">
        <f>'Tabla_Puntual&amp;Relacionamiento'!B45</f>
        <v>9.1999999999999998E-2</v>
      </c>
      <c r="CL39" s="47">
        <f>'Tabla_Puntual&amp;Relacionamiento'!B46</f>
        <v>9.1999999999999998E-2</v>
      </c>
      <c r="CM39" s="47">
        <f>'Tabla_Puntual&amp;Relacionamiento'!B47</f>
        <v>9.1999999999999998E-2</v>
      </c>
      <c r="CN39" s="47">
        <f>'Tabla_Puntual&amp;Relacionamiento'!B48</f>
        <v>9.1999999999999998E-2</v>
      </c>
      <c r="CO39" s="47">
        <f>'Tabla_Puntual&amp;Relacionamiento'!B49</f>
        <v>9.1999999999999998E-2</v>
      </c>
      <c r="CP39" s="47">
        <f>'Tabla_Puntual&amp;Relacionamiento'!B50</f>
        <v>9.1999999999999998E-2</v>
      </c>
      <c r="CQ39" s="47">
        <f>'Tabla_Puntual&amp;Relacionamiento'!B51</f>
        <v>9.1999999999999998E-2</v>
      </c>
      <c r="CR39" s="47">
        <f>'Tabla_Puntual&amp;Relacionamiento'!B52</f>
        <v>9.1999999999999998E-2</v>
      </c>
      <c r="CS39" s="47">
        <f>'Tabla_Puntual&amp;Relacionamiento'!B53</f>
        <v>9.1999999999999998E-2</v>
      </c>
      <c r="CT39" s="47">
        <f>'Tabla_Puntual&amp;Relacionamiento'!B54</f>
        <v>9.1999999999999998E-2</v>
      </c>
      <c r="CU39" s="47">
        <f>'Tabla_Puntual&amp;Relacionamiento'!B55</f>
        <v>9.1999999999999998E-2</v>
      </c>
      <c r="CV39" s="47">
        <f>'Tabla_Puntual&amp;Relacionamiento'!B56</f>
        <v>9.1999999999999998E-2</v>
      </c>
      <c r="CW39" s="47">
        <f>'Tabla_Puntual&amp;Relacionamiento'!B57</f>
        <v>9.1999999999999998E-2</v>
      </c>
      <c r="CX39" s="47">
        <f>'Tabla_Puntual&amp;Relacionamiento'!B58</f>
        <v>9.1999999999999998E-2</v>
      </c>
    </row>
    <row r="40" spans="4:103" ht="23.25" customHeight="1" x14ac:dyDescent="0.3">
      <c r="D40" s="301"/>
      <c r="G40" s="310" t="s">
        <v>263</v>
      </c>
      <c r="I40" s="835">
        <f>IF(I10="Terreno + Construcción",
IF(C27="",I16*0.8,I27+(I17*0.3)),I26*I39)</f>
        <v>750000</v>
      </c>
      <c r="J40" s="744"/>
      <c r="K40" s="311"/>
      <c r="L40" s="744">
        <f>IFERROR(IF(AND(I10="Remodelación",I22="No"),"",
IF(AND(I10="Remodelación",I22="Si"),I26*L39,
IF(I10="Terreno + Construcción",((1-I39)*CC9)*CL8,
IF(I10="Construcción",CC9*CL8)))),"")</f>
        <v>450000</v>
      </c>
      <c r="M40" s="744"/>
      <c r="N40" s="311"/>
      <c r="O40" s="744">
        <f>IFERROR(IF(I10="Remodelación","",IF(I10="Terreno + Construcción",((1-I39)*CC9)*CM8,IF(I10="Construcción",CC9*CM8))),"")</f>
        <v>300000</v>
      </c>
      <c r="P40" s="744"/>
      <c r="Q40" s="311"/>
      <c r="R40" s="744" t="str">
        <f>IFERROR(IF(I10="Remodelación","",IF(I10="Terreno + Construcción",((1-I39)*CC9)*CN8,IF(I10="Construcción",CC9*CN8))),"")</f>
        <v/>
      </c>
      <c r="S40" s="744"/>
      <c r="T40" s="273"/>
      <c r="U40" s="282"/>
      <c r="V40" s="303"/>
      <c r="AC40" s="484"/>
      <c r="AD40" s="484"/>
      <c r="AE40" s="484"/>
      <c r="AF40" s="484"/>
      <c r="AX40" s="76">
        <f>IF(AND(OR(I22="No",I22=""),I10="Remodelación"),"",3)</f>
        <v>3</v>
      </c>
      <c r="AY40" s="272" t="str">
        <f>IF(OR($L$38=3,$O$38=3,$R$38=3),"Ministración","")</f>
        <v>Ministración</v>
      </c>
      <c r="AZ40" s="474"/>
      <c r="BO40" s="63" t="str">
        <f>I11&amp;I21</f>
        <v>Premier20</v>
      </c>
      <c r="BP40" s="63" t="s">
        <v>220</v>
      </c>
      <c r="BQ40" s="258">
        <v>0.1075</v>
      </c>
      <c r="CB40" s="233"/>
      <c r="CC40" s="256"/>
      <c r="CD40" s="256"/>
      <c r="CE40" s="256"/>
      <c r="CF40" s="256"/>
      <c r="CG40" s="256"/>
      <c r="CH40" s="256"/>
      <c r="CI40" s="256"/>
      <c r="CJ40" s="256"/>
      <c r="CK40" s="256"/>
      <c r="CL40" s="102"/>
    </row>
    <row r="41" spans="4:103" ht="23.25" customHeight="1" thickBot="1" x14ac:dyDescent="0.35">
      <c r="D41" s="304"/>
      <c r="E41" s="305"/>
      <c r="F41" s="305"/>
      <c r="G41" s="314" t="str">
        <f>IF(AND(I10="Remodelación",I22="No"),"","% Avance de Obra Requerido")</f>
        <v>% Avance de Obra Requerido</v>
      </c>
      <c r="H41" s="305"/>
      <c r="I41" s="756">
        <f>IF(AND(I10="Remodelación",I22="No"),"",IF(AND(I10="Remodelación",I22="Si"),0%,I29))</f>
        <v>0.2</v>
      </c>
      <c r="J41" s="756"/>
      <c r="K41" s="440"/>
      <c r="L41" s="756">
        <f>IF(AND(I10="Remodelación",I22="No"),"",IF(AND(I10="Remodelación",I22="Si"),60%,IF(AND(I10="Terreno + Construcción",I31=1),"",IF(AND(I10="Terreno + Construcción",I31=2),80%,IF(AND(I10="Terreno + Construcción",I31=3),50%,IF(AND(I10="Terreno + Construcción",I31=4),25%,IF(AND(I10="Terreno + Construcción",I41=0),0%,IF(AND(I10="Construcción",I31=1),"",IF(AND(I10="Construcción",I31=2),80%,IF(AND(I10="Construcción",I31=3),50%,IF(AND(I10="Construcción",I31=4),25%,IF(AND(I10="Construcción",I41=0),0%,""))))))))))))</f>
        <v>0.5</v>
      </c>
      <c r="M41" s="756"/>
      <c r="N41" s="440"/>
      <c r="O41" s="756">
        <f>IF(I10="Remodelación","",IF(AND(I10="Terreno + Construcción",I31=1),"",IF(AND(I10="Terreno + Construcción",I31=2),"",IF(AND(I10="Terreno + Construcción",I31=3),80%,IF(AND(I10="Terreno + Construcción",I31=4),50%,IF(AND(I10="Terreno + Construcción",I41=0),0%,IF(AND(I10="Construcción",I31=1),"",IF(AND(I10="Construcción",I31=2),"",IF(AND(I10="Construcción",I31=3),80%,IF(AND(I10="Construcción",I31=4),50%,IF(AND(I10="Construcción",I41=0),0%,"")))))))))))</f>
        <v>0.8</v>
      </c>
      <c r="P41" s="756"/>
      <c r="Q41" s="440"/>
      <c r="R41" s="756" t="str">
        <f>IF(I10="Remodelación","",IF(AND(I10="Terreno + Construcción",I31=1),"",IF(AND(I10="Terreno + Construcción",I31=2),"",IF(AND(I10="Terreno + Construcción",I31=3),"",IF(AND(I10="Terreno + Construcción",I31=4),80%,IF(AND(I10="Terreno + Construcción",I41=0),0%,IF(AND(I10="Construcción",I31=1),"",IF(AND(I10="Construcción",I31=2),"",IF(AND(I10="Construcción",I31=3),"",IF(AND(I10="Construcción",I31=4),80%,IF(AND(I10="Construcción",I41=0),0%,"")))))))))))</f>
        <v/>
      </c>
      <c r="S41" s="756"/>
      <c r="T41" s="305"/>
      <c r="U41" s="756">
        <f>IF(I10="Remodelación","",IF(I10="Terreno + Construcción",100%,100%))</f>
        <v>1</v>
      </c>
      <c r="V41" s="793"/>
      <c r="AC41" s="484"/>
      <c r="AD41" s="484"/>
      <c r="AE41" s="484"/>
      <c r="AF41" s="484"/>
      <c r="AX41" s="76">
        <f>IF(AND(OR(I22="No",I22=""),I10="Remodelación"),"",4)</f>
        <v>4</v>
      </c>
      <c r="AY41" s="272" t="str">
        <f>IF(OR($L$38=4,$O$38=4,$R$38=4),"Ministración","")</f>
        <v/>
      </c>
      <c r="AZ41" s="474"/>
      <c r="BP41" s="63" t="s">
        <v>221</v>
      </c>
      <c r="BQ41" s="258">
        <f>BQ40</f>
        <v>0.1075</v>
      </c>
      <c r="CB41" s="233"/>
      <c r="CC41" s="256"/>
      <c r="CD41" s="256"/>
      <c r="CE41" s="256"/>
      <c r="CF41" s="256"/>
      <c r="CG41" s="256"/>
      <c r="CH41" s="256"/>
      <c r="CI41" s="256"/>
      <c r="CJ41" s="256"/>
      <c r="CK41" s="256"/>
      <c r="CL41" s="102"/>
      <c r="CT41" s="63" t="s">
        <v>258</v>
      </c>
    </row>
    <row r="42" spans="4:103" ht="23.25" customHeight="1" thickTop="1" thickBot="1" x14ac:dyDescent="0.35">
      <c r="D42" s="301"/>
      <c r="G42" s="283" t="str">
        <f>IF(AND(I10="Remodelación",I22="No"),"","Suma asegurada")</f>
        <v>Suma asegurada</v>
      </c>
      <c r="I42" s="743">
        <f>IF(AND(I10="Remodelación",I22="No"),"",IF(AND(I10="Remodelación",I22="Si"),I16*0.65+I17*50%,IF(I31=1,I17*1,I17*L41)))</f>
        <v>1303147.5</v>
      </c>
      <c r="J42" s="743"/>
      <c r="K42" s="313"/>
      <c r="L42" s="744">
        <f>IF(AND(I10="Remodelación",I22="No"),"",IF(AND(I10="Remodelación",I22="Si"),"",IF(I31=1,"",IF(I31=2,I17*1,I17*O41))))</f>
        <v>2085036</v>
      </c>
      <c r="M42" s="744"/>
      <c r="N42" s="313"/>
      <c r="O42" s="744">
        <f>IF(I10="Remodelación","",IF(I31=1,"",IF(I31=2,"",IF(I31=3,I17*1,I17*R41))))</f>
        <v>2606295</v>
      </c>
      <c r="P42" s="744"/>
      <c r="Q42" s="313"/>
      <c r="R42" s="744" t="str">
        <f>IF(I10="Remodelación","",IF(I31=1,"",IF(I31=2,"",IF(I31=3,"",I17*1))))</f>
        <v/>
      </c>
      <c r="S42" s="744"/>
      <c r="T42" s="273"/>
      <c r="U42" s="207"/>
      <c r="V42" s="303"/>
      <c r="AX42" s="76">
        <f>IF(AND(OR(I22="No",I22=""),I10="Remodelación"),"",5)</f>
        <v>5</v>
      </c>
      <c r="AY42" s="272" t="str">
        <f>IF(OR($L$38=5,$O$38=5,$R$38=5),"Ministración","")</f>
        <v/>
      </c>
      <c r="AZ42" s="474"/>
      <c r="BP42" s="63" t="s">
        <v>222</v>
      </c>
      <c r="BQ42" s="258">
        <f>BQ41-0.25%</f>
        <v>0.105</v>
      </c>
      <c r="CB42" s="750" t="str">
        <f>IF(OR(CY36&lt;&gt;0,CY37&lt;&gt;0),"BENEFICIO DEL PRODUCTO","")</f>
        <v>BENEFICIO DEL PRODUCTO</v>
      </c>
      <c r="CC42" s="751"/>
      <c r="CD42" s="751"/>
      <c r="CE42" s="751"/>
      <c r="CF42" s="751"/>
      <c r="CG42" s="751"/>
      <c r="CH42" s="751"/>
      <c r="CI42" s="751"/>
      <c r="CJ42" s="751"/>
      <c r="CK42" s="751"/>
      <c r="CL42" s="751"/>
      <c r="CM42" s="751"/>
      <c r="CN42" s="751"/>
      <c r="CO42" s="751"/>
      <c r="CP42" s="751"/>
      <c r="CQ42" s="751"/>
      <c r="CR42" s="751"/>
      <c r="CS42" s="751"/>
      <c r="CT42" s="751"/>
      <c r="CU42" s="751"/>
      <c r="CV42" s="751"/>
      <c r="CW42" s="752"/>
      <c r="CX42" s="166"/>
      <c r="CY42" s="166"/>
    </row>
    <row r="43" spans="4:103" ht="23.25" customHeight="1" thickTop="1" x14ac:dyDescent="0.3">
      <c r="D43" s="301"/>
      <c r="G43" s="207"/>
      <c r="I43" s="207"/>
      <c r="J43" s="207"/>
      <c r="K43" s="207"/>
      <c r="L43" s="207"/>
      <c r="M43" s="207"/>
      <c r="N43" s="207"/>
      <c r="O43" s="207"/>
      <c r="P43" s="207"/>
      <c r="Q43" s="207"/>
      <c r="R43" s="207"/>
      <c r="T43" s="273"/>
      <c r="U43" s="207"/>
      <c r="V43" s="303"/>
      <c r="AR43" s="166"/>
      <c r="AS43" s="166"/>
      <c r="AT43" s="166"/>
      <c r="AX43" s="76">
        <f>IF(AND(OR(I22="No",I22=""),I10="Remodelación"),"",6)</f>
        <v>6</v>
      </c>
      <c r="AY43" s="272" t="str">
        <f>IF(OR($L$38=6,$O$38=6,$R$38=6),"Ministración","")</f>
        <v>Ministración</v>
      </c>
      <c r="AZ43" s="474"/>
      <c r="BP43" s="63" t="s">
        <v>224</v>
      </c>
      <c r="BQ43" s="258">
        <f>BQ42-0.25%</f>
        <v>0.10249999999999999</v>
      </c>
      <c r="CB43" s="259"/>
      <c r="CC43" s="49"/>
      <c r="CD43" s="753" t="s">
        <v>166</v>
      </c>
      <c r="CE43" s="753"/>
      <c r="CF43" s="753"/>
      <c r="CG43" s="49"/>
      <c r="CH43" s="753" t="str">
        <f>IF(OR(CY36&lt;&gt;0,CY37&lt;&gt;0),"Ahorro Total","")</f>
        <v>Ahorro Total</v>
      </c>
      <c r="CI43" s="753"/>
      <c r="CJ43" s="753"/>
      <c r="CK43" s="49"/>
      <c r="CL43" s="753" t="str">
        <f>IF(OR(CY36&lt;&gt;0,CY36&lt;&gt;0),"Reducción de Plazo","")</f>
        <v>Reducción de Plazo</v>
      </c>
      <c r="CM43" s="753"/>
      <c r="CN43" s="753"/>
      <c r="CO43" s="54"/>
      <c r="CP43" s="753" t="s">
        <v>167</v>
      </c>
      <c r="CQ43" s="753"/>
      <c r="CR43" s="753"/>
      <c r="CS43" s="54"/>
      <c r="CT43" s="260"/>
      <c r="CU43" s="753" t="s">
        <v>155</v>
      </c>
      <c r="CV43" s="753"/>
      <c r="CW43" s="757"/>
      <c r="CX43" s="55"/>
    </row>
    <row r="44" spans="4:103" ht="23.25" customHeight="1" x14ac:dyDescent="0.3">
      <c r="D44" s="301"/>
      <c r="G44" s="283" t="str">
        <f>IF(AND(I10="Remodelación",I22="No"),"","Valor Actual de Vivienda")</f>
        <v>Valor Actual de Vivienda</v>
      </c>
      <c r="I44" s="744">
        <f>IFERROR(IF(AND(I10="Remodelación",I22="No"),"",IF(AND(I10="Remodelación",I22="Si"),I17*I41+I16,I17*I41+I16)),"")</f>
        <v>1151259</v>
      </c>
      <c r="J44" s="744"/>
      <c r="K44" s="311"/>
      <c r="L44" s="744">
        <f>IFERROR(IF(AND(I10="Remodelación",I22="No"),"",IF(AND(I10="Remodelación",I22="Si"),I17*L41+I16,I17*L41+I16)),"")</f>
        <v>1933147.5</v>
      </c>
      <c r="M44" s="744"/>
      <c r="N44" s="311"/>
      <c r="O44" s="744">
        <f>IFERROR(IF(I10="Remodelación","",I17*O41+I16),"")</f>
        <v>2715036</v>
      </c>
      <c r="P44" s="744"/>
      <c r="Q44" s="311"/>
      <c r="R44" s="744" t="str">
        <f>IFERROR(IF(I10="Remodelación","",I17*R41+I16),"")</f>
        <v/>
      </c>
      <c r="S44" s="744"/>
      <c r="T44" s="273"/>
      <c r="U44" s="744">
        <f>IF(I10="Remodelación","",I18)</f>
        <v>3236295</v>
      </c>
      <c r="V44" s="794"/>
      <c r="AR44" s="55"/>
      <c r="AS44" s="55"/>
      <c r="AX44" s="76">
        <f>IF(OR(I19=12,I19=18),7,"")</f>
        <v>7</v>
      </c>
      <c r="AY44" s="272" t="str">
        <f>IF(OR($L$38=7,$O$38=7,$R$38=7),"Ministración","")</f>
        <v/>
      </c>
      <c r="AZ44" s="474"/>
      <c r="BP44" s="63" t="s">
        <v>308</v>
      </c>
      <c r="BQ44" s="258">
        <v>0.1075</v>
      </c>
      <c r="CB44" s="171" t="str">
        <f>IF(AND(CY36=0,CY37&lt;&gt;0),"Sin Pago Puntual Con Relacionamiento",IF(AND(CY36&lt;&gt;0,CY37&lt;&gt;0),"Con Pago Puntual y Relacionamiento",IF(AND(CY36&lt;&gt;0,CY37=0),"Con Pago Puntual Sin Relacionamiento",IF(AND(CY36=0,CY37=0),"Sin Pago Puntual y Sin Relacinamiento"))))</f>
        <v>Con Pago Puntual y Relacionamiento</v>
      </c>
      <c r="CC44" s="55"/>
      <c r="CD44" s="754">
        <f>X320</f>
        <v>2107130.7640270265</v>
      </c>
      <c r="CE44" s="754"/>
      <c r="CF44" s="754"/>
      <c r="CG44" s="55"/>
      <c r="CH44" s="755">
        <f>IF(OR(CY36&lt;&gt;0,CY37&lt;&gt;0),'Tabla_ConstruRemo_Peor Escenari'!P282-X320,"")</f>
        <v>1760050.3742573005</v>
      </c>
      <c r="CI44" s="755"/>
      <c r="CJ44" s="755"/>
      <c r="CK44" s="55"/>
      <c r="CL44" s="814" t="str">
        <f>IF(OR(CY36&lt;&gt;0,CY37&lt;&gt;0),CONCATENATE('Tabla_ConstruRemo_Peor Escenari'!R282-MAX(B61:B318)," ","Meses"),"")</f>
        <v>111 Meses</v>
      </c>
      <c r="CM44" s="814"/>
      <c r="CN44" s="814"/>
      <c r="CO44" s="172"/>
      <c r="CP44" s="795" t="str">
        <f>CONCATENATE('Tabla_ConstruRemo_Peor Escenari'!R282-('Tabla_ConstruRemo_Peor Escenari'!R282-MAX(B61:B318))," ","Meses")</f>
        <v>137 Meses</v>
      </c>
      <c r="CQ44" s="795"/>
      <c r="CR44" s="795"/>
      <c r="CS44" s="167"/>
      <c r="CU44" s="739">
        <f>IFERROR(V27,"")</f>
        <v>6.3384177244145024E-2</v>
      </c>
      <c r="CV44" s="739"/>
      <c r="CW44" s="739"/>
      <c r="CX44" s="56"/>
    </row>
    <row r="45" spans="4:103" ht="23.25" customHeight="1" thickBot="1" x14ac:dyDescent="0.35">
      <c r="D45" s="301"/>
      <c r="G45" s="283" t="str">
        <f>IF(AND(I10="Remodelación",I22="No"),"","Crédito Dispuesto")</f>
        <v>Crédito Dispuesto</v>
      </c>
      <c r="I45" s="744">
        <f>IF(AND(I10="Remodelación",I22="No"),"",IF(AND(I10="Remodelación",I22="Si"),I40,I40))</f>
        <v>750000</v>
      </c>
      <c r="J45" s="744"/>
      <c r="K45" s="311"/>
      <c r="L45" s="744">
        <f>IFERROR(IF(AND(I10="Remodelación",I22="No"),"",IF(AND(I10="Remodelación",I22="Si"),I45+L40,I45+L40)),"")</f>
        <v>1200000</v>
      </c>
      <c r="M45" s="744"/>
      <c r="N45" s="311"/>
      <c r="O45" s="744">
        <f>IFERROR(IF(I10="Remodelación","",L45+O40),"")</f>
        <v>1500000</v>
      </c>
      <c r="P45" s="744"/>
      <c r="Q45" s="311"/>
      <c r="R45" s="744" t="str">
        <f>IFERROR(IF(I10="Remodelación","",O45+R40),"")</f>
        <v/>
      </c>
      <c r="S45" s="744"/>
      <c r="T45" s="273"/>
      <c r="U45" s="744">
        <f>IF(I10="Remodelación","",IF(I31=1,I45,IF(I31=2,L45,IF(I31=3,O45,IF(I31=4,R45)))))</f>
        <v>1500000</v>
      </c>
      <c r="V45" s="794"/>
      <c r="AR45" s="55"/>
      <c r="AS45" s="55"/>
      <c r="AX45" s="76">
        <f>IF(OR(I19=12,I19=18),8,"")</f>
        <v>8</v>
      </c>
      <c r="AY45" s="272" t="str">
        <f>IF(OR($L$38=8,$O$38=8,$R$38=8),"Ministración","")</f>
        <v/>
      </c>
      <c r="AZ45" s="474"/>
      <c r="BP45" s="63" t="s">
        <v>309</v>
      </c>
      <c r="BQ45" s="258">
        <f>BQ44</f>
        <v>0.1075</v>
      </c>
      <c r="CB45" s="261"/>
      <c r="CC45" s="50"/>
      <c r="CD45" s="169"/>
      <c r="CE45" s="169"/>
      <c r="CF45" s="169"/>
      <c r="CG45" s="169"/>
      <c r="CH45" s="169"/>
      <c r="CI45" s="169"/>
      <c r="CJ45" s="169"/>
      <c r="CK45" s="169"/>
      <c r="CL45" s="169"/>
      <c r="CM45" s="170"/>
      <c r="CN45" s="170"/>
      <c r="CO45" s="170"/>
      <c r="CP45" s="170"/>
      <c r="CQ45" s="50"/>
      <c r="CR45" s="169"/>
      <c r="CS45" s="169"/>
      <c r="CT45" s="169"/>
      <c r="CU45" s="169"/>
      <c r="CV45" s="50"/>
      <c r="CW45" s="173"/>
      <c r="CX45" s="168"/>
      <c r="CY45" s="168"/>
    </row>
    <row r="46" spans="4:103" ht="23.25" customHeight="1" thickTop="1" x14ac:dyDescent="0.3">
      <c r="D46" s="301"/>
      <c r="G46" s="283" t="str">
        <f>IF(AND(I10="Remodelación",I22="No"),"","LTV")</f>
        <v>LTV</v>
      </c>
      <c r="I46" s="745">
        <f>IF(AND(I10="Remodelación",I22="No"),"",IF(AND(I10="Remodelación",I22="Si"),I45/I44,I45/I44))</f>
        <v>0.65146070519318411</v>
      </c>
      <c r="J46" s="745"/>
      <c r="K46" s="312"/>
      <c r="L46" s="745">
        <f>IFERROR(IF(AND(I10="Remodelación",I22="No"),"",IF(AND(I10="Remodelación",I22="Si"),L45/L44,L45/L44)),"")</f>
        <v>0.62074932202534983</v>
      </c>
      <c r="M46" s="745"/>
      <c r="N46" s="312"/>
      <c r="O46" s="745">
        <f>IFERROR(IF(I10="Remodelación","",O45/O44),"")</f>
        <v>0.55247886215873376</v>
      </c>
      <c r="P46" s="745"/>
      <c r="Q46" s="312"/>
      <c r="R46" s="745" t="str">
        <f>IFERROR(IF(I10="Remodelación","",R45/R44),"")</f>
        <v/>
      </c>
      <c r="S46" s="745"/>
      <c r="T46" s="273"/>
      <c r="U46" s="207"/>
      <c r="V46" s="210"/>
      <c r="AR46" s="168"/>
      <c r="AS46" s="6"/>
      <c r="AT46" s="6"/>
      <c r="AX46" s="76">
        <f>IF(OR(I19=12,I19=18),9,"")</f>
        <v>9</v>
      </c>
      <c r="AY46" s="272" t="str">
        <f>IF(OR($L$38=9,$O$38=9,$R$38=9),"Ministración","")</f>
        <v/>
      </c>
      <c r="AZ46" s="474"/>
      <c r="BP46" s="63" t="s">
        <v>310</v>
      </c>
      <c r="BQ46" s="258">
        <f>BQ45-0.25%</f>
        <v>0.105</v>
      </c>
    </row>
    <row r="47" spans="4:103" ht="23.25" customHeight="1" thickBot="1" x14ac:dyDescent="0.35">
      <c r="D47" s="304"/>
      <c r="E47" s="305"/>
      <c r="F47" s="305"/>
      <c r="G47" s="314" t="str">
        <f>IF(AND(I10="Remodelación",I22="No"),"","Valor del Proyecto")</f>
        <v>Valor del Proyecto</v>
      </c>
      <c r="H47" s="305"/>
      <c r="I47" s="826">
        <f>IF(AND(I10="Remodelación",I22="No"),"",IF(I41="",$I$17*1,$I$17*I41))</f>
        <v>521259</v>
      </c>
      <c r="J47" s="826" t="str">
        <f>IF(J41="","",$I$17*J41)</f>
        <v/>
      </c>
      <c r="K47" s="315"/>
      <c r="L47" s="826">
        <f>IF(AND(I10="Remodelación",I22="No"),"",IF(L41="",$I$17*1,$I$17*L41))</f>
        <v>1303147.5</v>
      </c>
      <c r="M47" s="826" t="str">
        <f>IF(M41="","",$I$17*M41)</f>
        <v/>
      </c>
      <c r="N47" s="315"/>
      <c r="O47" s="826">
        <f>IF(AND(I10="Remodelación",I22="No"),"",IF(O41="",$I$17*1,$I$17*O41))</f>
        <v>2085036</v>
      </c>
      <c r="P47" s="826" t="str">
        <f>IF(P41="","",$I$17*P41)</f>
        <v/>
      </c>
      <c r="Q47" s="315"/>
      <c r="R47" s="826">
        <f>IF(AND(I10="Remodelación",I22="No"),"",IF(R41="",$I$17*1,$I$17*R41))</f>
        <v>2606295</v>
      </c>
      <c r="S47" s="826" t="str">
        <f>IF(S41="","",$I$17*S41)</f>
        <v/>
      </c>
      <c r="T47" s="315"/>
      <c r="U47" s="826">
        <f>IF(AND(I10="Remodelación",I22="No"),"",IF(AND(OR(I22="No",I22="Si"),I10="Remodelación"),I17,I17))</f>
        <v>2606295</v>
      </c>
      <c r="V47" s="829"/>
      <c r="AX47" s="76">
        <f>IF(OR(I19=12,I19=18),10,"")</f>
        <v>10</v>
      </c>
      <c r="AY47" s="272" t="str">
        <f>IF(OR($L$38=10,$O$38=10,$R$38=10),"Ministración","")</f>
        <v/>
      </c>
      <c r="AZ47" s="474"/>
      <c r="BP47" s="63" t="s">
        <v>311</v>
      </c>
      <c r="BQ47" s="258">
        <f>BQ46-0.25%</f>
        <v>0.10249999999999999</v>
      </c>
    </row>
    <row r="48" spans="4:103" x14ac:dyDescent="0.3">
      <c r="H48" s="306"/>
      <c r="I48" s="306"/>
      <c r="J48" s="306"/>
      <c r="K48" s="306"/>
      <c r="L48" s="306"/>
      <c r="M48" s="306"/>
      <c r="N48" s="306"/>
      <c r="O48" s="306"/>
      <c r="P48" s="306"/>
      <c r="Q48" s="306"/>
      <c r="R48" s="306"/>
      <c r="S48" s="306"/>
      <c r="T48" s="306"/>
      <c r="U48" s="306"/>
      <c r="V48" s="306"/>
      <c r="AX48" s="76">
        <f>IF(OR(I19=12,I19=18),11,"")</f>
        <v>11</v>
      </c>
      <c r="AY48" s="272" t="str">
        <f>IF(OR($L$38=11,$O$38=11,$R$38=11),"Ministración","")</f>
        <v/>
      </c>
      <c r="AZ48" s="475"/>
    </row>
    <row r="49" spans="1:75" hidden="1" x14ac:dyDescent="0.3">
      <c r="D49" s="298" t="s">
        <v>218</v>
      </c>
      <c r="E49" s="299"/>
      <c r="F49" s="299"/>
      <c r="G49" s="299"/>
      <c r="H49" s="299"/>
      <c r="I49" s="819">
        <f>IF(AND(I10="Remodelación",I22="No"),I17-I40,L47-I47-(I40-IF(C27="",S12,I27)))</f>
        <v>31888.5</v>
      </c>
      <c r="J49" s="819"/>
      <c r="K49" s="299"/>
      <c r="L49" s="819">
        <f>IF(AND(I10="Remodelación",I22="No"),"",IF(L37="",0,O47-L47-L40))</f>
        <v>331888.5</v>
      </c>
      <c r="M49" s="819"/>
      <c r="N49" s="299"/>
      <c r="O49" s="819">
        <f>IF(AND(I10="Remodelación",I22="No"),"",IF(O37="",0,R47-O47-O40))</f>
        <v>221259</v>
      </c>
      <c r="P49" s="819"/>
      <c r="Q49" s="299"/>
      <c r="R49" s="819">
        <f>IF(AND(I10="Remodelación",I22="No"),"",IF(R37="",0,U47-R47-R40))</f>
        <v>0</v>
      </c>
      <c r="S49" s="819"/>
      <c r="T49" s="299"/>
      <c r="U49" s="299"/>
      <c r="V49" s="320"/>
      <c r="AX49" s="76">
        <f>IF(OR(I19=12,I19=18),12,"")</f>
        <v>12</v>
      </c>
      <c r="AY49" s="272" t="str">
        <f>IF(OR($L$38=12,$O$38=12,$R$38=12),"Ministración","")</f>
        <v/>
      </c>
      <c r="AZ49" s="475"/>
      <c r="BO49" s="66"/>
    </row>
    <row r="50" spans="1:75" ht="19.5" hidden="1" thickBot="1" x14ac:dyDescent="0.35">
      <c r="D50" s="321" t="str">
        <f>IF(AND(I49&gt;=0,L49&gt;=0,O49&gt;=0,R49&gt;=0),"","Los importes con saldo negativo representan los recursos otorgados anticipadamente para invertir durante la construcción")</f>
        <v/>
      </c>
      <c r="E50" s="305"/>
      <c r="F50" s="305"/>
      <c r="G50" s="305"/>
      <c r="H50" s="305"/>
      <c r="I50" s="322"/>
      <c r="J50" s="322"/>
      <c r="K50" s="322"/>
      <c r="L50" s="322"/>
      <c r="M50" s="305"/>
      <c r="N50" s="305"/>
      <c r="O50" s="305"/>
      <c r="P50" s="305"/>
      <c r="Q50" s="305"/>
      <c r="R50" s="305"/>
      <c r="S50" s="305"/>
      <c r="T50" s="305"/>
      <c r="U50" s="305"/>
      <c r="V50" s="323"/>
      <c r="AX50" s="76">
        <f>IF(OR(I19=12,I19=18),13,"")</f>
        <v>13</v>
      </c>
      <c r="AY50" s="272" t="str">
        <f>IF(OR($L$38=13,$O$38=13,$R$38=13),"Ministración","")</f>
        <v/>
      </c>
      <c r="AZ50" s="475"/>
      <c r="BO50" s="66"/>
    </row>
    <row r="51" spans="1:75" x14ac:dyDescent="0.3">
      <c r="I51" s="295"/>
      <c r="J51" s="295"/>
      <c r="K51" s="295"/>
      <c r="L51" s="295"/>
      <c r="M51" s="295"/>
      <c r="N51" s="295"/>
      <c r="O51" s="295"/>
      <c r="P51" s="295"/>
      <c r="Q51" s="295"/>
      <c r="R51" s="291"/>
      <c r="T51" s="273"/>
      <c r="U51" s="273"/>
      <c r="AX51" s="76">
        <f>IF(OR(I19=12,I19=18),14,"")</f>
        <v>14</v>
      </c>
      <c r="AY51" s="272" t="str">
        <f>IF(OR($L$38=14,$O$38=14,$R$38=14),"Ministración","")</f>
        <v/>
      </c>
      <c r="AZ51" s="475"/>
    </row>
    <row r="52" spans="1:75" x14ac:dyDescent="0.3">
      <c r="D52" s="319"/>
      <c r="E52" s="319"/>
      <c r="F52" s="319"/>
      <c r="G52" s="319"/>
      <c r="H52" s="319"/>
      <c r="I52" s="838"/>
      <c r="J52" s="838"/>
      <c r="K52" s="319"/>
      <c r="L52" s="319"/>
      <c r="M52" s="325" t="s">
        <v>53</v>
      </c>
      <c r="N52" s="319"/>
      <c r="O52" s="319"/>
      <c r="P52" s="319"/>
      <c r="Q52" s="319"/>
      <c r="R52" s="463" t="s">
        <v>191</v>
      </c>
      <c r="S52" s="319"/>
      <c r="T52" s="319"/>
      <c r="U52" s="325" t="s">
        <v>359</v>
      </c>
      <c r="V52" s="319"/>
      <c r="Y52" s="839" t="s">
        <v>467</v>
      </c>
      <c r="Z52" s="839"/>
      <c r="AA52" s="52"/>
      <c r="AX52" s="76">
        <f>IF(OR(I19=12,I19=18),15,"")</f>
        <v>15</v>
      </c>
      <c r="AY52" s="272" t="str">
        <f>IF(OR($L$38=15,$O$38=15,$R$38=15),"Ministración","")</f>
        <v/>
      </c>
      <c r="AZ52" s="475"/>
    </row>
    <row r="53" spans="1:75" x14ac:dyDescent="0.3">
      <c r="D53" s="319"/>
      <c r="E53" s="319"/>
      <c r="F53" s="319"/>
      <c r="G53" s="319"/>
      <c r="H53" s="319"/>
      <c r="I53" s="319"/>
      <c r="J53" s="319"/>
      <c r="K53" s="319"/>
      <c r="L53" s="319"/>
      <c r="M53" s="319"/>
      <c r="N53" s="319"/>
      <c r="O53" s="319"/>
      <c r="P53" s="319"/>
      <c r="Q53" s="319"/>
      <c r="R53" s="319"/>
      <c r="S53" s="319"/>
      <c r="T53" s="319"/>
      <c r="U53" s="319"/>
      <c r="V53" s="319"/>
      <c r="AX53" s="76">
        <f>IF(OR(I19=12,I19=18),16,"")</f>
        <v>16</v>
      </c>
      <c r="AY53" s="272" t="str">
        <f>IF(OR($L$38=16,$O$38=16,$R$38=16),"Ministración","")</f>
        <v/>
      </c>
      <c r="AZ53" s="475"/>
    </row>
    <row r="54" spans="1:75" x14ac:dyDescent="0.3">
      <c r="M54" s="325" t="s">
        <v>354</v>
      </c>
      <c r="O54" s="324"/>
      <c r="P54" s="324"/>
      <c r="Q54" s="324"/>
      <c r="R54" s="463" t="s">
        <v>191</v>
      </c>
      <c r="T54" s="273"/>
      <c r="U54" s="124" t="str">
        <f>IF(Y52="SI","¿Ingreso Mensual?","")</f>
        <v>¿Ingreso Mensual?</v>
      </c>
      <c r="Y54" s="737">
        <v>120000</v>
      </c>
      <c r="Z54" s="737"/>
      <c r="AX54" s="76">
        <f>IF(OR(I19=12,I19=18),17,"")</f>
        <v>17</v>
      </c>
      <c r="AY54" s="272" t="str">
        <f>IF(OR($L$38=17,$O$38=17,$R$38=17),"Ministración","")</f>
        <v/>
      </c>
      <c r="AZ54" s="475"/>
    </row>
    <row r="55" spans="1:75" x14ac:dyDescent="0.3">
      <c r="M55" s="319"/>
      <c r="T55" s="273"/>
      <c r="U55" s="273"/>
      <c r="AX55" s="76">
        <f>IF(OR(I19=12,I19=18),18,"")</f>
        <v>18</v>
      </c>
      <c r="AY55" s="272" t="str">
        <f>IF(OR($L$38=18,$O$38=18,$R$38=18),"Ministración","")</f>
        <v/>
      </c>
      <c r="AZ55" s="475"/>
    </row>
    <row r="56" spans="1:75" x14ac:dyDescent="0.3">
      <c r="D56" s="319"/>
      <c r="E56" s="319"/>
      <c r="F56" s="319"/>
      <c r="G56" s="319"/>
      <c r="H56" s="319"/>
      <c r="I56" s="319"/>
      <c r="J56" s="319"/>
      <c r="K56" s="319"/>
      <c r="L56" s="319"/>
      <c r="M56" s="319"/>
      <c r="N56" s="663" t="s">
        <v>350</v>
      </c>
      <c r="O56" s="663"/>
      <c r="P56" s="663"/>
      <c r="Q56" s="663"/>
      <c r="R56" s="663"/>
      <c r="S56" s="663"/>
      <c r="T56" s="663"/>
      <c r="U56" s="663"/>
      <c r="V56" s="663"/>
      <c r="W56" s="663"/>
      <c r="X56" s="663"/>
      <c r="Y56" s="663"/>
    </row>
    <row r="57" spans="1:75" x14ac:dyDescent="0.3">
      <c r="C57" s="644" t="str">
        <f>IF(X320&gt;0,"Pago Total del Crédito","")</f>
        <v>Pago Total del Crédito</v>
      </c>
      <c r="D57" s="644"/>
      <c r="E57" s="644"/>
      <c r="F57" s="647" t="str">
        <f>IF(X320&gt;0,"Plazo Para Liquidar el Crédito","")</f>
        <v>Plazo Para Liquidar el Crédito</v>
      </c>
      <c r="G57" s="647"/>
      <c r="H57" s="647"/>
      <c r="I57" s="647"/>
      <c r="J57" s="647" t="str">
        <f>IF(X320&gt;0,"Ahorro Total","")</f>
        <v>Ahorro Total</v>
      </c>
      <c r="K57" s="647"/>
      <c r="L57" s="647"/>
      <c r="M57" s="319"/>
      <c r="N57" s="446" t="str">
        <f>IF(OR(R54="NO",R54=""),"","Plazo")</f>
        <v/>
      </c>
      <c r="O57" s="650" t="str">
        <f>IF(OR(R54="NO",R54=""),"","Monto Solicitado")</f>
        <v/>
      </c>
      <c r="P57" s="650"/>
      <c r="Q57" s="650"/>
      <c r="R57" s="446" t="str">
        <f>IF(OR(R54="NO",R54=""),"","Tasa")</f>
        <v/>
      </c>
      <c r="S57" s="650" t="str">
        <f>IF(OR(R54="NO",R54=""),"","Pago Mensual Máximo")</f>
        <v/>
      </c>
      <c r="T57" s="650"/>
      <c r="U57" s="650"/>
      <c r="V57" s="650" t="str">
        <f>IF(OR(R54="NO",R54=""),"","Pago Total del Crédito")</f>
        <v/>
      </c>
      <c r="W57" s="650"/>
      <c r="X57" s="650"/>
      <c r="Y57" s="446" t="str">
        <f>IF(OR(R54="NO",R54=""),"","CAT")</f>
        <v/>
      </c>
    </row>
    <row r="58" spans="1:75" x14ac:dyDescent="0.3">
      <c r="C58" s="821">
        <f>IF(X320&gt;0,X320,"")</f>
        <v>2107130.7640270265</v>
      </c>
      <c r="D58" s="821"/>
      <c r="E58" s="821"/>
      <c r="F58" s="821" t="str">
        <f>IF(X320&gt;0,CP44,"")</f>
        <v>137 Meses</v>
      </c>
      <c r="G58" s="821"/>
      <c r="H58" s="821"/>
      <c r="I58" s="821"/>
      <c r="J58" s="822">
        <f>IF(X320&gt;0,CH44,"")</f>
        <v>1760050.3742573005</v>
      </c>
      <c r="K58" s="822"/>
      <c r="L58" s="822"/>
      <c r="M58" s="207"/>
      <c r="N58" s="452"/>
      <c r="O58" s="707"/>
      <c r="P58" s="707"/>
      <c r="Q58" s="707"/>
      <c r="R58" s="454" t="str">
        <f>IFERROR(IF(OR(R54="NO",R54=""),"",IF(OR(N58="",O58=""),"",Tabla_Amor_Redispon_Construcció!J10)),"")</f>
        <v/>
      </c>
      <c r="S58" s="651" t="str">
        <f>IF(OR(R54="NO",R54=""),"",IF(MAX(Tabla_Amor_Redispon_Construcció!K21:K200)=0,"",MAX(Tabla_Amor_Redispon_Construcció!K21:K200)))</f>
        <v/>
      </c>
      <c r="T58" s="651"/>
      <c r="U58" s="651"/>
      <c r="V58" s="651" t="str">
        <f>IF(OR(R54="NO",R54=""),"",IF(Tabla_Amor_Redispon_Construcció!K202=0,"",Tabla_Amor_Redispon_Construcció!K202))</f>
        <v/>
      </c>
      <c r="W58" s="651"/>
      <c r="X58" s="651"/>
      <c r="Y58" s="448" t="str">
        <f>IF(OR(R54="NO",R54=""),"",Tabla_Amor_Redispon_Construcció!J17)</f>
        <v/>
      </c>
      <c r="AA58" s="262"/>
      <c r="AB58" s="262"/>
      <c r="AC58" s="262"/>
      <c r="AD58" s="262"/>
      <c r="AE58" s="262"/>
      <c r="AF58" s="262"/>
      <c r="AG58" s="262"/>
      <c r="AH58" s="262"/>
      <c r="AI58" s="37" t="s">
        <v>243</v>
      </c>
      <c r="AR58" s="262"/>
      <c r="AS58" s="262"/>
      <c r="AT58" s="262"/>
      <c r="AU58" s="262"/>
      <c r="AV58" s="262"/>
      <c r="BA58" s="262"/>
      <c r="BB58" s="262"/>
      <c r="BC58" s="262"/>
      <c r="BD58" s="262"/>
      <c r="BE58" s="262"/>
      <c r="BF58" s="262"/>
      <c r="BG58" s="262"/>
      <c r="BH58" s="262"/>
      <c r="BI58" s="262"/>
      <c r="BJ58" s="262"/>
      <c r="BK58" s="262"/>
    </row>
    <row r="59" spans="1:75" ht="16.5" customHeight="1" x14ac:dyDescent="0.3">
      <c r="A59" s="6"/>
      <c r="B59" s="207"/>
      <c r="C59" s="207"/>
      <c r="E59" s="307"/>
      <c r="F59" s="307"/>
      <c r="G59" s="307"/>
      <c r="H59" s="307"/>
      <c r="I59" s="307"/>
      <c r="J59" s="307"/>
      <c r="K59" s="307"/>
      <c r="L59" s="307"/>
      <c r="M59" s="307"/>
      <c r="N59" s="307"/>
      <c r="O59" s="307"/>
      <c r="P59" s="307"/>
      <c r="Q59" s="307"/>
      <c r="R59" s="307"/>
      <c r="S59" s="307"/>
      <c r="T59" s="307"/>
      <c r="U59" s="307"/>
      <c r="V59" s="307"/>
      <c r="W59" s="207"/>
      <c r="AA59" s="6"/>
      <c r="AB59" s="6"/>
      <c r="AC59" s="6"/>
      <c r="AD59" s="6"/>
      <c r="AE59" s="6"/>
      <c r="AF59" s="6"/>
      <c r="AG59" s="6"/>
      <c r="AH59" s="6"/>
      <c r="AI59" s="13">
        <f>IRR(AI60:AI318)</f>
        <v>5.1345068473516164E-3</v>
      </c>
      <c r="AR59" s="6"/>
      <c r="AS59" s="6"/>
      <c r="AT59" s="6"/>
      <c r="AU59" s="6"/>
      <c r="AV59" s="6"/>
      <c r="BA59" s="6"/>
      <c r="BB59" s="6"/>
      <c r="BC59" s="6"/>
      <c r="BD59" s="6"/>
      <c r="BE59" s="6"/>
      <c r="BF59" s="6"/>
      <c r="BG59" s="6"/>
      <c r="BH59" s="6"/>
      <c r="BI59" s="6"/>
      <c r="BJ59" s="6"/>
      <c r="BK59" s="6"/>
    </row>
    <row r="60" spans="1:75" ht="37.5" x14ac:dyDescent="0.25">
      <c r="B60" s="263" t="s">
        <v>314</v>
      </c>
      <c r="C60" s="263" t="s">
        <v>215</v>
      </c>
      <c r="D60" s="263" t="s">
        <v>233</v>
      </c>
      <c r="E60" s="820" t="s">
        <v>234</v>
      </c>
      <c r="F60" s="820"/>
      <c r="G60" s="820" t="s">
        <v>10</v>
      </c>
      <c r="H60" s="820"/>
      <c r="I60" s="738" t="s">
        <v>317</v>
      </c>
      <c r="J60" s="738"/>
      <c r="K60" s="738" t="s">
        <v>235</v>
      </c>
      <c r="L60" s="738"/>
      <c r="M60" s="738" t="s">
        <v>236</v>
      </c>
      <c r="N60" s="738"/>
      <c r="O60" s="738" t="s">
        <v>238</v>
      </c>
      <c r="P60" s="738"/>
      <c r="Q60" s="738" t="s">
        <v>237</v>
      </c>
      <c r="R60" s="738"/>
      <c r="S60" s="263" t="s">
        <v>31</v>
      </c>
      <c r="T60" s="738" t="s">
        <v>163</v>
      </c>
      <c r="U60" s="738"/>
      <c r="V60" s="738" t="s">
        <v>18</v>
      </c>
      <c r="W60" s="738"/>
      <c r="X60" s="738" t="s">
        <v>159</v>
      </c>
      <c r="Y60" s="738"/>
      <c r="Z60" s="738" t="s">
        <v>15</v>
      </c>
      <c r="AA60" s="738"/>
      <c r="AB60" s="264"/>
      <c r="AC60" s="264"/>
      <c r="AD60" s="264"/>
      <c r="AE60" s="264"/>
      <c r="AF60" s="264"/>
      <c r="AG60" s="264"/>
      <c r="AH60" s="264"/>
      <c r="AI60" s="214">
        <f>-I26-I27+V15+V16</f>
        <v>-1494078</v>
      </c>
      <c r="AR60" s="263" t="s">
        <v>160</v>
      </c>
      <c r="AS60" s="263" t="s">
        <v>348</v>
      </c>
      <c r="AX60" s="265" t="s">
        <v>189</v>
      </c>
      <c r="AY60" s="265" t="s">
        <v>228</v>
      </c>
      <c r="AZ60" s="265" t="s">
        <v>331</v>
      </c>
      <c r="BA60" s="265" t="s">
        <v>358</v>
      </c>
      <c r="BK60" s="266" t="s">
        <v>189</v>
      </c>
      <c r="BL60" s="266" t="s">
        <v>256</v>
      </c>
      <c r="BM60" s="266" t="s">
        <v>247</v>
      </c>
      <c r="BQ60" s="63">
        <v>1</v>
      </c>
      <c r="BR60" s="63">
        <v>2</v>
      </c>
      <c r="BS60" s="63">
        <v>3</v>
      </c>
      <c r="BT60" s="63">
        <v>4</v>
      </c>
    </row>
    <row r="61" spans="1:75" ht="21" customHeight="1" x14ac:dyDescent="0.3">
      <c r="B61" s="282">
        <v>1</v>
      </c>
      <c r="C61" s="282">
        <f>IF(AX38&lt;&gt;"",1,"")</f>
        <v>1</v>
      </c>
      <c r="D61" s="267">
        <f>IF(B61="","",IF(AN61="Ministración",Simul_ConstruRemo!BM61,1))</f>
        <v>0.2</v>
      </c>
      <c r="E61" s="836">
        <f>IF(B61="","",
IF(AN61="Obra Concluida",0,
IF(AND($I$10="Remodelación",$I$22="No"),$I$26,
$I$40)))</f>
        <v>750000</v>
      </c>
      <c r="F61" s="836"/>
      <c r="G61" s="836">
        <f>IF(B61="","",E61)</f>
        <v>750000</v>
      </c>
      <c r="H61" s="836"/>
      <c r="I61" s="836">
        <f>IF(B61="","",IF(G61&lt;AR61-K61,G61,AR61-K61))</f>
        <v>0</v>
      </c>
      <c r="J61" s="836"/>
      <c r="K61" s="836">
        <f>IF(B61="","",IF(AN61="Ministración",G61*S61/12,
IF(G61*(S61/12)&lt;0,"",G61*(S61/12))))</f>
        <v>6031.25</v>
      </c>
      <c r="L61" s="836"/>
      <c r="M61" s="836">
        <f>IF(B61="","",IF($I$10="Remodelación",($I$16*0.7+$I$17*0.5),IF(OR(C61=0,C61=""),$CO$27,HLOOKUP(C61,Simul_ConstruRemo!$CC$22:$CN$29,7,FALSE))))</f>
        <v>1303147.5</v>
      </c>
      <c r="N61" s="836"/>
      <c r="O61" s="836">
        <f>IFERROR(Z61*Simul_ConstruRemo!$BP$30/1000,"")</f>
        <v>330</v>
      </c>
      <c r="P61" s="836"/>
      <c r="Q61" s="836">
        <f>IFERROR(IF($I$10="Remodelación",M61*Simul_ConstruRemo!$BS$29,
IF(D61=1,MAX(M61,Z61)*$BS$29,M61*$BQ$29)),"")</f>
        <v>582.28800371999989</v>
      </c>
      <c r="R61" s="836"/>
      <c r="S61" s="268">
        <f>IF(B61="","",'Tabla_Puntual&amp;Relacionamiento'!$B$37)</f>
        <v>9.6500000000000002E-2</v>
      </c>
      <c r="T61" s="837"/>
      <c r="U61" s="837"/>
      <c r="V61" s="734"/>
      <c r="W61" s="734"/>
      <c r="X61" s="836">
        <f t="shared" ref="X61:X88" si="0">IFERROR(IF(G61&lt;AR61-K61,I61+K61+O61+Q61,AR61+O61+Q61),"")</f>
        <v>6943.5380037200002</v>
      </c>
      <c r="Y61" s="836"/>
      <c r="Z61" s="836">
        <f>IF(AND(OR(L38="",O38="",R38=""),I31=4),"",IF(AND(OR(L38="",O38=""),I31=3),"",IF(AND(L38="",I31=2),"",E61-T61-V61)))</f>
        <v>750000</v>
      </c>
      <c r="AA61" s="836"/>
      <c r="AI61" s="137">
        <f t="shared" ref="AI61:AI124" si="1">IF(X61="","",X61-(Q61-(Q61/1.16)))</f>
        <v>6863.222417</v>
      </c>
      <c r="AJ61" s="63">
        <f>IF(OR(Z61="",Z61&lt;=0.01),"",IF(SUM($E$61:F61)=$I$26+$I$27,1,0))</f>
        <v>0</v>
      </c>
      <c r="AK61" s="63">
        <f>IFERROR(AJ61,2)</f>
        <v>0</v>
      </c>
      <c r="AL61" s="269">
        <f>IF(AK61&gt;0,AK61-1,AK61)</f>
        <v>0</v>
      </c>
      <c r="AN61" s="63" t="str">
        <f>IF(B61="","",IF($I$19&gt;=1,"Ministración","Obra Concluida"))</f>
        <v>Ministración</v>
      </c>
      <c r="AQ61" s="63">
        <v>0</v>
      </c>
      <c r="AR61" s="137">
        <f>IF(B61="","",IF(AQ61=0,K61,IF(G61&lt;I61,G61+K61,($I$26+$I$27)*$BP$31/1000)))</f>
        <v>6031.25</v>
      </c>
      <c r="AS61" s="37">
        <f>MAX(B61:B318)</f>
        <v>137</v>
      </c>
      <c r="AX61" s="465">
        <f>I38</f>
        <v>1</v>
      </c>
      <c r="AY61" s="465">
        <f>I37</f>
        <v>1</v>
      </c>
      <c r="AZ61" s="466">
        <f>IFERROR(HLOOKUP(AX61,$I$38:$S$40,3,0),0)</f>
        <v>750000</v>
      </c>
      <c r="BA61" s="467">
        <f>AZ61</f>
        <v>750000</v>
      </c>
      <c r="BK61" s="76">
        <v>1</v>
      </c>
      <c r="BL61" s="76">
        <f>COUNTIF(AY38,"Ministración")</f>
        <v>1</v>
      </c>
      <c r="BM61" s="471">
        <f>IF(AND(I10="Remodelación",I22="No"),0,IF(BL61=1,I41))</f>
        <v>0.2</v>
      </c>
      <c r="BP61" s="63" t="s">
        <v>150</v>
      </c>
      <c r="BQ61" s="227">
        <f>IF(I31=4,30%,IF(I31=3,50%,IF(I31=2,80%,100%)))</f>
        <v>0.5</v>
      </c>
      <c r="BR61" s="227">
        <f>IF(I31=4,25%,IF(I31=3,30%,IF(I31=2,20%,100%)))</f>
        <v>0.3</v>
      </c>
      <c r="BS61" s="227">
        <f>IF(I31=4,25%,IF(I31=3,20%,0%))</f>
        <v>0.2</v>
      </c>
      <c r="BT61" s="227">
        <f>IF(I31=4,20%,0%)</f>
        <v>0</v>
      </c>
      <c r="BU61" s="191">
        <f>SUM(BQ61:BT61)</f>
        <v>1</v>
      </c>
    </row>
    <row r="62" spans="1:75" ht="21" customHeight="1" x14ac:dyDescent="0.3">
      <c r="B62" s="282">
        <f t="shared" ref="B62:B125" si="2">IFERROR(IF(Z61&lt;=0.01,"",IF(B61+1&gt;$BN$11,"",B61+1)),"")</f>
        <v>2</v>
      </c>
      <c r="C62" s="282">
        <f t="shared" ref="C62:C78" si="3">IF(B62&gt;$I$19,"",IF($I$39=100%,"",IFERROR(VLOOKUP(B62,$AX$61:$AY$64,2,0),C61)))</f>
        <v>1</v>
      </c>
      <c r="D62" s="267">
        <f>IF(B62="","",IF(AND($I$10="Remodelación",$I$22="No"),1,IF($I$29&gt;=0.8,1,IF(AN62="Ministración",Simul_ConstruRemo!BM62,1))))</f>
        <v>0.2</v>
      </c>
      <c r="E62" s="836">
        <f>IFERROR(IF(B62="","",
IF(AND($I$10="Remodelación",$I$22="No"),0,
IF(AND($I$10&lt;&gt;"Remodelación",$I$29&gt;=0.8),0,
IF(AN62="Obra Concluida",0,VLOOKUP(B62,$AX$61:$AZ$72,3,0))))),0)</f>
        <v>0</v>
      </c>
      <c r="F62" s="836"/>
      <c r="G62" s="836">
        <f t="shared" ref="G62:G125" si="4">IF(B62="","",Z61)</f>
        <v>750000</v>
      </c>
      <c r="H62" s="836"/>
      <c r="I62" s="836">
        <f>IF(B62="","",IF(G62&lt;AR62-K62,G62,AR62-K62))</f>
        <v>0</v>
      </c>
      <c r="J62" s="836"/>
      <c r="K62" s="836">
        <f t="shared" ref="K62:K78" si="5">IF(B62="","",IF(AN62="Ministración",G62*S62/12,
IF(G62*(S62/12)&lt;0,"",G62*(S62/12))))</f>
        <v>6031.25</v>
      </c>
      <c r="L62" s="836"/>
      <c r="M62" s="836">
        <f>IF(B62="","",IF($I$10="Remodelación",($I$16*0.7+$I$17*0.5),IF(OR(C62=0,C62=""),$CO$27,HLOOKUP(C62,Simul_ConstruRemo!$CC$22:$CN$29,7,FALSE))))</f>
        <v>1303147.5</v>
      </c>
      <c r="N62" s="836"/>
      <c r="O62" s="836">
        <f>IFERROR(Z62*Simul_ConstruRemo!$BP$30/1000,"")</f>
        <v>330</v>
      </c>
      <c r="P62" s="836"/>
      <c r="Q62" s="836">
        <f>IFERROR(IF($I$10="Remodelación",M62*Simul_ConstruRemo!$BS$29,
IF(D62=1,MAX(M62,Z62)*$BS$29,M62*$BQ$29)),"")</f>
        <v>582.28800371999989</v>
      </c>
      <c r="R62" s="836"/>
      <c r="S62" s="268">
        <f>IF(B62="","",'Tabla_Puntual&amp;Relacionamiento'!$B$37)</f>
        <v>9.6500000000000002E-2</v>
      </c>
      <c r="T62" s="837"/>
      <c r="U62" s="837"/>
      <c r="V62" s="735">
        <f>IF(OR(Z61=0,Z61=""),"",IF(I62&gt;=G62,0,IF(OR($Y$52="NO",$Y$52=""),0,IF(B62&gt;=$I$19+6,MIN(IF($Y$54="",0,$Y$54),$AV$16*25)*10%,0))))</f>
        <v>0</v>
      </c>
      <c r="W62" s="735"/>
      <c r="X62" s="836">
        <f t="shared" si="0"/>
        <v>6943.5380037200002</v>
      </c>
      <c r="Y62" s="836"/>
      <c r="Z62" s="836">
        <f>IFERROR(IF(Z61+E62-I62-T62&lt;=0,0,Z61+E62-I62-T62-V62),"")</f>
        <v>750000</v>
      </c>
      <c r="AA62" s="836"/>
      <c r="AI62" s="137">
        <f t="shared" si="1"/>
        <v>6863.222417</v>
      </c>
      <c r="AJ62" s="63">
        <f>IF(OR(Z62="",Z62&lt;=0.01),"",IF(SUM($E$61:F62)=$I$26+$I$27,1,0))</f>
        <v>0</v>
      </c>
      <c r="AK62" s="63">
        <f>IFERROR(AK61+AJ62,0)</f>
        <v>0</v>
      </c>
      <c r="AL62" s="269">
        <f>IF(AK62&gt;0,AK62-1,AK62)</f>
        <v>0</v>
      </c>
      <c r="AN62" s="63" t="str">
        <f>IF(B62="","",IF($I$19&gt;=2,"Ministración","Obra Concluida"))</f>
        <v>Ministración</v>
      </c>
      <c r="AQ62" s="63">
        <f>IF(E61&gt;=$I$26+$I$27,1,0)</f>
        <v>0</v>
      </c>
      <c r="AR62" s="137">
        <f>IF(B62="","",IF(AQ62=0,K62,($I$26+$I$27)*$BP$31/1000))</f>
        <v>6031.25</v>
      </c>
      <c r="AX62" s="465">
        <f>L38</f>
        <v>3</v>
      </c>
      <c r="AY62" s="465">
        <f>L37</f>
        <v>2</v>
      </c>
      <c r="AZ62" s="466">
        <f>IFERROR(HLOOKUP(AX62,$I$38:$S$40,3,0),0)</f>
        <v>450000</v>
      </c>
      <c r="BA62" s="467">
        <f>+BA61+AZ62</f>
        <v>1200000</v>
      </c>
      <c r="BK62" s="76">
        <v>2</v>
      </c>
      <c r="BL62" s="76" t="str">
        <f>IF(AY39="","",COUNTIF(AY38:AY39,"Ministración"))</f>
        <v/>
      </c>
      <c r="BM62" s="270">
        <f>IF(BL62=2,L41,IF(BL62=3,O41,IF(BL62=4,R41,BM61)))</f>
        <v>0.2</v>
      </c>
      <c r="BP62" s="63" t="s">
        <v>151</v>
      </c>
      <c r="BQ62" s="227"/>
      <c r="BR62" s="227">
        <f>IF(I31=4,40%,IF(I31=3,50%,IF(I31=2,100%,0)))</f>
        <v>0.5</v>
      </c>
      <c r="BS62" s="227">
        <f>IF(I31=4,35%,IF(I31=3,50%,0))</f>
        <v>0.5</v>
      </c>
      <c r="BT62" s="227">
        <f>IF(I31=4,25%,0)</f>
        <v>0</v>
      </c>
      <c r="BW62" s="223" t="s">
        <v>229</v>
      </c>
    </row>
    <row r="63" spans="1:75" ht="21" customHeight="1" x14ac:dyDescent="0.3">
      <c r="B63" s="282">
        <f t="shared" si="2"/>
        <v>3</v>
      </c>
      <c r="C63" s="282">
        <f t="shared" si="3"/>
        <v>2</v>
      </c>
      <c r="D63" s="267">
        <f>IF(B63="","",IF(AND($I$10="Remodelación",$I$22="No"),1,IF($I$29&gt;=0.8,1,IF(AN63="Ministración",Simul_ConstruRemo!BM63,1))))</f>
        <v>0.5</v>
      </c>
      <c r="E63" s="836">
        <f t="shared" ref="E63:E78" si="6">IFERROR(IF(B63="","",
IF(AND($I$10="Remodelación",$I$22="No"),0,
IF(AND($I$10&lt;&gt;"Remodelación",$I$29&gt;=0.8),0,
IF(AN63="Obra Concluida",0,VLOOKUP(B63,$AX$61:$AZ$72,3,0))))),0)</f>
        <v>450000</v>
      </c>
      <c r="F63" s="836"/>
      <c r="G63" s="836">
        <f t="shared" si="4"/>
        <v>750000</v>
      </c>
      <c r="H63" s="836"/>
      <c r="I63" s="836">
        <f t="shared" ref="I63:I72" si="7">IF(B63="","",IF(G63&lt;AR63-K63,G63,AR63-K63))</f>
        <v>0</v>
      </c>
      <c r="J63" s="836"/>
      <c r="K63" s="836">
        <f t="shared" si="5"/>
        <v>6031.25</v>
      </c>
      <c r="L63" s="836"/>
      <c r="M63" s="836">
        <f>IF(B63="","",IF($I$10="Remodelación",($I$16*0.7+$I$17*0.5),IF(OR(C63=0,C63=""),$CO$27,HLOOKUP(C63,Simul_ConstruRemo!$CC$22:$CN$29,7,FALSE))))</f>
        <v>2085036</v>
      </c>
      <c r="N63" s="836"/>
      <c r="O63" s="836">
        <f>IFERROR(Z63*Simul_ConstruRemo!$BP$30/1000,"")</f>
        <v>528</v>
      </c>
      <c r="P63" s="836"/>
      <c r="Q63" s="836">
        <f>IFERROR(IF($I$10="Remodelación",M63*Simul_ConstruRemo!$BS$29,
IF(D63=1,MAX(M63,Z63)*$BS$29,M63*$BQ$29)),"")</f>
        <v>931.66080595199981</v>
      </c>
      <c r="R63" s="836"/>
      <c r="S63" s="268">
        <f>IF(B63="","",'Tabla_Puntual&amp;Relacionamiento'!$B$37)</f>
        <v>9.6500000000000002E-2</v>
      </c>
      <c r="T63" s="837"/>
      <c r="U63" s="837"/>
      <c r="V63" s="734"/>
      <c r="W63" s="734"/>
      <c r="X63" s="836">
        <f t="shared" si="0"/>
        <v>7490.9108059519995</v>
      </c>
      <c r="Y63" s="836"/>
      <c r="Z63" s="836">
        <f>IFERROR(IF(Z62+E63-I63-T63&lt;=0,0,Z62+E63-I63-T63-V63),"")</f>
        <v>1200000</v>
      </c>
      <c r="AA63" s="836"/>
      <c r="AB63" s="234"/>
      <c r="AC63" s="234"/>
      <c r="AD63" s="234"/>
      <c r="AE63" s="234"/>
      <c r="AF63" s="234"/>
      <c r="AG63" s="234"/>
      <c r="AH63" s="234"/>
      <c r="AI63" s="137">
        <f t="shared" si="1"/>
        <v>7362.4058671999992</v>
      </c>
      <c r="AJ63" s="63">
        <f>IF(OR(Z63="",Z63&lt;=0.01),"",IF(SUM($E$61:F63)=$I$26+$I$27,1,0))</f>
        <v>0</v>
      </c>
      <c r="AK63" s="63">
        <f t="shared" ref="AK63:AK126" si="8">IFERROR(AK62+AJ63,0)</f>
        <v>0</v>
      </c>
      <c r="AL63" s="269">
        <f>IF(AK63&gt;0,AK63-1,AK63)</f>
        <v>0</v>
      </c>
      <c r="AN63" s="63" t="str">
        <f>IF(B63="","",IF($I$19&gt;=3,"Ministración","Obra Concluida"))</f>
        <v>Ministración</v>
      </c>
      <c r="AQ63" s="63">
        <f>IF(SUM($E$61:F62)&gt;=$I$26+$I$27,1,0)</f>
        <v>0</v>
      </c>
      <c r="AR63" s="137">
        <f t="shared" ref="AR63:AR126" si="9">IF(B63="","",IF(AQ63=0,K63,($I$26+$I$27)*$BP$31/1000))</f>
        <v>6031.25</v>
      </c>
      <c r="AS63" s="234"/>
      <c r="AT63" s="234"/>
      <c r="AU63" s="234"/>
      <c r="AV63" s="234"/>
      <c r="AX63" s="465">
        <f>O38</f>
        <v>6</v>
      </c>
      <c r="AY63" s="465">
        <f>O37</f>
        <v>3</v>
      </c>
      <c r="AZ63" s="466">
        <f t="shared" ref="AZ63:AZ64" si="10">IFERROR(HLOOKUP(AX63,$I$38:$S$40,3,0),0)</f>
        <v>300000</v>
      </c>
      <c r="BA63" s="468">
        <f>+BA62+AZ63</f>
        <v>1500000</v>
      </c>
      <c r="BB63" s="234"/>
      <c r="BC63" s="234"/>
      <c r="BD63" s="234"/>
      <c r="BE63" s="234"/>
      <c r="BF63" s="234"/>
      <c r="BG63" s="234"/>
      <c r="BH63" s="234"/>
      <c r="BI63" s="234"/>
      <c r="BJ63" s="234"/>
      <c r="BK63" s="76">
        <v>3</v>
      </c>
      <c r="BL63" s="76">
        <f>IF(AY40="","",COUNTIF(AY38:AY40,"Ministración"))</f>
        <v>2</v>
      </c>
      <c r="BM63" s="270">
        <f>IF(BL63=2,L41,IF(BL63=3,O41,IF(BL63=4,R41,BM62)))</f>
        <v>0.5</v>
      </c>
    </row>
    <row r="64" spans="1:75" ht="21" customHeight="1" x14ac:dyDescent="0.3">
      <c r="B64" s="282">
        <f t="shared" si="2"/>
        <v>4</v>
      </c>
      <c r="C64" s="282">
        <f t="shared" si="3"/>
        <v>2</v>
      </c>
      <c r="D64" s="267">
        <f>IF(B64="","",IF(AND($I$10="Remodelación",$I$22="No"),1,IF($I$29&gt;=0.8,1,IF(AN64="Ministración",Simul_ConstruRemo!BM64,1))))</f>
        <v>0.5</v>
      </c>
      <c r="E64" s="836">
        <f t="shared" si="6"/>
        <v>0</v>
      </c>
      <c r="F64" s="836"/>
      <c r="G64" s="836">
        <f t="shared" si="4"/>
        <v>1200000</v>
      </c>
      <c r="H64" s="836"/>
      <c r="I64" s="836">
        <f t="shared" si="7"/>
        <v>0</v>
      </c>
      <c r="J64" s="836"/>
      <c r="K64" s="836">
        <f t="shared" si="5"/>
        <v>9650</v>
      </c>
      <c r="L64" s="836"/>
      <c r="M64" s="836">
        <f>IF(B64="","",IF($I$10="Remodelación",($I$16*0.7+$I$17*0.5),IF(OR(C64=0,C64=""),$CO$27,HLOOKUP(C64,Simul_ConstruRemo!$CC$22:$CN$29,7,FALSE))))</f>
        <v>2085036</v>
      </c>
      <c r="N64" s="836"/>
      <c r="O64" s="836">
        <f>IFERROR(Z64*Simul_ConstruRemo!$BP$30/1000,"")</f>
        <v>528</v>
      </c>
      <c r="P64" s="836"/>
      <c r="Q64" s="836">
        <f>IFERROR(IF($I$10="Remodelación",M64*Simul_ConstruRemo!$BS$29,
IF(D64=1,MAX(M64,Z64)*$BS$29,M64*$BQ$29)),"")</f>
        <v>931.66080595199981</v>
      </c>
      <c r="R64" s="836"/>
      <c r="S64" s="268">
        <f>IF(B64="","",'Tabla_Puntual&amp;Relacionamiento'!$B$37)</f>
        <v>9.6500000000000002E-2</v>
      </c>
      <c r="T64" s="837"/>
      <c r="U64" s="837"/>
      <c r="V64" s="735">
        <f>IF(OR(Z63=0,Z63=""),"",IF(I64&gt;=G64,0,IF(OR($Y$52="NO",$Y$52=""),0,IF(B64&gt;=$I$19+6,MIN(IF($Y$54="",0,$Y$54),$AV$16*25)*10%,0))))</f>
        <v>0</v>
      </c>
      <c r="W64" s="735"/>
      <c r="X64" s="836">
        <f t="shared" si="0"/>
        <v>11109.660805952</v>
      </c>
      <c r="Y64" s="836"/>
      <c r="Z64" s="836">
        <f>IFERROR(IF(Z63+E64-I64-T64&lt;=0,0,Z63+E64-I64-T64-V64),"")</f>
        <v>1200000</v>
      </c>
      <c r="AA64" s="836"/>
      <c r="AB64" s="271"/>
      <c r="AC64" s="271"/>
      <c r="AD64" s="271"/>
      <c r="AE64" s="271"/>
      <c r="AF64" s="271"/>
      <c r="AG64" s="271"/>
      <c r="AH64" s="271"/>
      <c r="AI64" s="137">
        <f t="shared" si="1"/>
        <v>10981.155867200001</v>
      </c>
      <c r="AJ64" s="63">
        <f>IF(OR(Z64="",Z64&lt;=0.01),"",IF(SUM($E$61:F64)=$I$26+$I$27,1,0))</f>
        <v>0</v>
      </c>
      <c r="AK64" s="63">
        <f t="shared" si="8"/>
        <v>0</v>
      </c>
      <c r="AL64" s="269">
        <f t="shared" ref="AL64:AL127" si="11">IF(AK64&gt;0,AK64-1,AK64)</f>
        <v>0</v>
      </c>
      <c r="AN64" s="63" t="str">
        <f>IF(B64="","",IF($I$19&gt;=4,"Ministración","Obra Concluida"))</f>
        <v>Ministración</v>
      </c>
      <c r="AQ64" s="63">
        <f>IF(SUM($E$61:F63)&gt;=$I$26+$I$27,1,0)</f>
        <v>0</v>
      </c>
      <c r="AR64" s="137">
        <f t="shared" si="9"/>
        <v>9650</v>
      </c>
      <c r="AS64" s="271"/>
      <c r="AT64" s="271"/>
      <c r="AU64" s="271"/>
      <c r="AV64" s="271"/>
      <c r="AX64" s="465">
        <f>R38</f>
        <v>0</v>
      </c>
      <c r="AY64" s="465" t="str">
        <f>R37</f>
        <v/>
      </c>
      <c r="AZ64" s="466">
        <f t="shared" si="10"/>
        <v>0</v>
      </c>
      <c r="BA64" s="469">
        <f>+BA63+AZ64</f>
        <v>1500000</v>
      </c>
      <c r="BB64" s="271"/>
      <c r="BC64" s="271"/>
      <c r="BD64" s="271"/>
      <c r="BE64" s="271"/>
      <c r="BF64" s="271"/>
      <c r="BG64" s="271"/>
      <c r="BH64" s="271"/>
      <c r="BI64" s="271"/>
      <c r="BJ64" s="271"/>
      <c r="BK64" s="76">
        <v>4</v>
      </c>
      <c r="BL64" s="76" t="str">
        <f>IF(AY41="","",COUNTIF(AY38:AY41,"Ministración"))</f>
        <v/>
      </c>
      <c r="BM64" s="270">
        <f>IF(BL64=2,L41,IF(BL64=3,O41,IF(BL64=4,R41,BM63)))</f>
        <v>0.5</v>
      </c>
    </row>
    <row r="65" spans="2:65" ht="21" customHeight="1" x14ac:dyDescent="0.3">
      <c r="B65" s="282">
        <f t="shared" si="2"/>
        <v>5</v>
      </c>
      <c r="C65" s="282">
        <f t="shared" si="3"/>
        <v>2</v>
      </c>
      <c r="D65" s="267">
        <f>IF(B65="","",IF(AND($I$10="Remodelación",$I$22="No"),1,IF($I$29&gt;=0.8,1,IF(AN65="Ministración",Simul_ConstruRemo!BM65,1))))</f>
        <v>0.5</v>
      </c>
      <c r="E65" s="836">
        <f t="shared" si="6"/>
        <v>0</v>
      </c>
      <c r="F65" s="836"/>
      <c r="G65" s="836">
        <f t="shared" si="4"/>
        <v>1200000</v>
      </c>
      <c r="H65" s="836"/>
      <c r="I65" s="836">
        <f t="shared" si="7"/>
        <v>0</v>
      </c>
      <c r="J65" s="836"/>
      <c r="K65" s="836">
        <f t="shared" si="5"/>
        <v>9650</v>
      </c>
      <c r="L65" s="836"/>
      <c r="M65" s="836">
        <f>IF(B65="","",IF($I$10="Remodelación",($I$16*0.7+$I$17*0.5),IF(OR(C65=0,C65=""),$CO$27,HLOOKUP(C65,Simul_ConstruRemo!$CC$22:$CN$29,7,FALSE))))</f>
        <v>2085036</v>
      </c>
      <c r="N65" s="836"/>
      <c r="O65" s="836">
        <f>IFERROR(Z65*Simul_ConstruRemo!$BP$30/1000,"")</f>
        <v>528</v>
      </c>
      <c r="P65" s="836"/>
      <c r="Q65" s="836">
        <f>IFERROR(IF($I$10="Remodelación",M65*Simul_ConstruRemo!$BS$29,
IF(D65=1,MAX(M65,Z65)*$BS$29,M65*$BQ$29)),"")</f>
        <v>931.66080595199981</v>
      </c>
      <c r="R65" s="836"/>
      <c r="S65" s="268">
        <f>IF(B65="","",'Tabla_Puntual&amp;Relacionamiento'!$B$37)</f>
        <v>9.6500000000000002E-2</v>
      </c>
      <c r="T65" s="837"/>
      <c r="U65" s="837"/>
      <c r="V65" s="734"/>
      <c r="W65" s="734"/>
      <c r="X65" s="836">
        <f t="shared" si="0"/>
        <v>11109.660805952</v>
      </c>
      <c r="Y65" s="836"/>
      <c r="Z65" s="836">
        <f>IFERROR(IF(Z64+E65-I65-T65&lt;=0,0,Z64+E65-I65-T65-V65),"")</f>
        <v>1200000</v>
      </c>
      <c r="AA65" s="836"/>
      <c r="AI65" s="137">
        <f t="shared" si="1"/>
        <v>10981.155867200001</v>
      </c>
      <c r="AJ65" s="63">
        <f>IF(OR(Z65="",Z65&lt;=0.01),"",IF(SUM($E$61:F65)=$I$26+$I$27,1,0))</f>
        <v>0</v>
      </c>
      <c r="AK65" s="63">
        <f t="shared" si="8"/>
        <v>0</v>
      </c>
      <c r="AL65" s="269">
        <f t="shared" si="11"/>
        <v>0</v>
      </c>
      <c r="AN65" s="63" t="str">
        <f>IF(B65="","",IF($I$19&gt;=5,"Ministración","Obra Concluida"))</f>
        <v>Ministración</v>
      </c>
      <c r="AQ65" s="63">
        <f>IF(SUM($E$61:F64)&gt;=$I$26+$I$27,1,0)</f>
        <v>0</v>
      </c>
      <c r="AR65" s="137">
        <f t="shared" si="9"/>
        <v>9650</v>
      </c>
      <c r="AX65" s="37"/>
      <c r="AY65" s="6"/>
      <c r="AZ65" s="470"/>
      <c r="BK65" s="76">
        <v>5</v>
      </c>
      <c r="BL65" s="76" t="str">
        <f>IF(AY42="","",COUNTIF(AY38:AY42,"Ministración"))</f>
        <v/>
      </c>
      <c r="BM65" s="270">
        <f>IF(BL65=2,L41,IF(BL65=3,O41,IF(BL65=4,R41,BM64)))</f>
        <v>0.5</v>
      </c>
    </row>
    <row r="66" spans="2:65" ht="21" customHeight="1" x14ac:dyDescent="0.3">
      <c r="B66" s="282">
        <f t="shared" si="2"/>
        <v>6</v>
      </c>
      <c r="C66" s="282">
        <f t="shared" si="3"/>
        <v>3</v>
      </c>
      <c r="D66" s="267">
        <f>IF(B66="","",IF(AND($I$10="Remodelación",$I$22="No"),1,IF($I$29&gt;=0.8,1,IF(AN66="Ministración",Simul_ConstruRemo!BM66,1))))</f>
        <v>0.8</v>
      </c>
      <c r="E66" s="836">
        <f t="shared" si="6"/>
        <v>300000</v>
      </c>
      <c r="F66" s="836"/>
      <c r="G66" s="836">
        <f t="shared" si="4"/>
        <v>1200000</v>
      </c>
      <c r="H66" s="836"/>
      <c r="I66" s="836">
        <f t="shared" si="7"/>
        <v>0</v>
      </c>
      <c r="J66" s="836"/>
      <c r="K66" s="836">
        <f t="shared" si="5"/>
        <v>9650</v>
      </c>
      <c r="L66" s="836"/>
      <c r="M66" s="836">
        <f>IF(B66="","",IF($I$10="Remodelación",($I$16*0.7+$I$17*0.5),IF(OR(C66=0,C66=""),$CO$27,HLOOKUP(C66,Simul_ConstruRemo!$CC$22:$CN$29,7,FALSE))))</f>
        <v>2606295</v>
      </c>
      <c r="N66" s="836"/>
      <c r="O66" s="836">
        <f>IFERROR(Z66*Simul_ConstruRemo!$BP$30/1000,"")</f>
        <v>660</v>
      </c>
      <c r="P66" s="836"/>
      <c r="Q66" s="836">
        <f>IFERROR(IF($I$10="Remodelación",M66*Simul_ConstruRemo!$BS$29,
IF(D66=1,MAX(M66,Z66)*$BS$29,M66*$BQ$29)),"")</f>
        <v>1164.5760074399998</v>
      </c>
      <c r="R66" s="836"/>
      <c r="S66" s="268">
        <f>IF(B66="","",'Tabla_Puntual&amp;Relacionamiento'!$B$37)</f>
        <v>9.6500000000000002E-2</v>
      </c>
      <c r="T66" s="837"/>
      <c r="U66" s="837"/>
      <c r="V66" s="735">
        <f>IF(OR(Z65=0,Z65=""),"",IF(I66&gt;=G66,0,IF(OR($Y$52="NO",$Y$52=""),0,IF(B66&gt;=$I$19+6,MIN(IF($Y$54="",0,$Y$54),$AV$16*25)*10%,0))))</f>
        <v>0</v>
      </c>
      <c r="W66" s="735"/>
      <c r="X66" s="836">
        <f t="shared" si="0"/>
        <v>11474.57600744</v>
      </c>
      <c r="Y66" s="836"/>
      <c r="Z66" s="836">
        <f t="shared" ref="Z66:Z78" si="12">IFERROR(IF(Z65+E66-I66-T66&lt;=0,0,Z65+E66-I66-T66-V66),"")</f>
        <v>1500000</v>
      </c>
      <c r="AA66" s="836"/>
      <c r="AI66" s="137">
        <f t="shared" si="1"/>
        <v>11313.944834</v>
      </c>
      <c r="AJ66" s="63">
        <f>IF(OR(Z66="",Z66&lt;=0.01),"",IF(SUM($E$61:F66)=$I$26+$I$27,1,0))</f>
        <v>1</v>
      </c>
      <c r="AK66" s="63">
        <f t="shared" si="8"/>
        <v>1</v>
      </c>
      <c r="AL66" s="269">
        <f t="shared" si="11"/>
        <v>0</v>
      </c>
      <c r="AN66" s="63" t="str">
        <f>IF(B66="","",IF($I$19&gt;=6,"Ministración","Obra Concluida"))</f>
        <v>Ministración</v>
      </c>
      <c r="AQ66" s="63">
        <f>IF(SUM($E$61:F65)&gt;=$I$26+$I$27,1,0)</f>
        <v>0</v>
      </c>
      <c r="AR66" s="137">
        <f t="shared" si="9"/>
        <v>9650</v>
      </c>
      <c r="AX66" s="37"/>
      <c r="AY66" s="6"/>
      <c r="AZ66" s="470"/>
      <c r="BK66" s="76">
        <v>6</v>
      </c>
      <c r="BL66" s="76">
        <f>IF(AY43="","",COUNTIF(AY38:AY43,"Ministración"))</f>
        <v>3</v>
      </c>
      <c r="BM66" s="270">
        <f>IF(BL66=2,L41,IF(BL66=3,O41,IF(BL66=4,R41,BM65)))</f>
        <v>0.8</v>
      </c>
    </row>
    <row r="67" spans="2:65" ht="21" customHeight="1" x14ac:dyDescent="0.3">
      <c r="B67" s="282">
        <f t="shared" si="2"/>
        <v>7</v>
      </c>
      <c r="C67" s="282">
        <f t="shared" si="3"/>
        <v>3</v>
      </c>
      <c r="D67" s="267">
        <f>IF(B67="","",IF(AND($I$10="Remodelación",$I$22="No"),1,IF($I$29&gt;=0.8,1,IF(AN67="Ministración",Simul_ConstruRemo!BM67,1))))</f>
        <v>0.8</v>
      </c>
      <c r="E67" s="836">
        <f t="shared" si="6"/>
        <v>0</v>
      </c>
      <c r="F67" s="836"/>
      <c r="G67" s="836">
        <f t="shared" si="4"/>
        <v>1500000</v>
      </c>
      <c r="H67" s="836"/>
      <c r="I67" s="836">
        <f t="shared" si="7"/>
        <v>2427.5</v>
      </c>
      <c r="J67" s="836"/>
      <c r="K67" s="836">
        <f t="shared" si="5"/>
        <v>12062.5</v>
      </c>
      <c r="L67" s="836"/>
      <c r="M67" s="836">
        <f>IF(B67="","",IF($I$10="Remodelación",($I$16*0.7+$I$17*0.5),IF(OR(C67=0,C67=""),$CO$27,HLOOKUP(C67,Simul_ConstruRemo!$CC$22:$CN$29,7,FALSE))))</f>
        <v>2606295</v>
      </c>
      <c r="N67" s="836"/>
      <c r="O67" s="836">
        <f>IFERROR(Z67*Simul_ConstruRemo!$BP$30/1000,"")</f>
        <v>658.93190000000004</v>
      </c>
      <c r="P67" s="836"/>
      <c r="Q67" s="836">
        <f>IFERROR(IF($I$10="Remodelación",M67*Simul_ConstruRemo!$BS$29,
IF(D67=1,MAX(M67,Z67)*$BS$29,M67*$BQ$29)),"")</f>
        <v>1164.5760074399998</v>
      </c>
      <c r="R67" s="836"/>
      <c r="S67" s="268">
        <f>IF(B67="","",'Tabla_Puntual&amp;Relacionamiento'!$B$37)</f>
        <v>9.6500000000000002E-2</v>
      </c>
      <c r="T67" s="837"/>
      <c r="U67" s="837"/>
      <c r="V67" s="734"/>
      <c r="W67" s="734"/>
      <c r="X67" s="836">
        <f t="shared" si="0"/>
        <v>16313.50790744</v>
      </c>
      <c r="Y67" s="836"/>
      <c r="Z67" s="836">
        <f t="shared" si="12"/>
        <v>1497572.5</v>
      </c>
      <c r="AA67" s="836"/>
      <c r="AI67" s="137">
        <f t="shared" si="1"/>
        <v>16152.876733999999</v>
      </c>
      <c r="AJ67" s="63">
        <f>IF(OR(Z67="",Z67&lt;=0.01),"",IF(SUM($E$61:F67)=$I$26+$I$27,1,0))</f>
        <v>1</v>
      </c>
      <c r="AK67" s="63">
        <f t="shared" si="8"/>
        <v>2</v>
      </c>
      <c r="AL67" s="269">
        <f t="shared" si="11"/>
        <v>1</v>
      </c>
      <c r="AN67" s="63" t="str">
        <f>IF(B67="","",IF($I$19&gt;=7,"Ministración","Obra Concluida"))</f>
        <v>Ministración</v>
      </c>
      <c r="AQ67" s="63">
        <f>IF(SUM($E$61:F66)&gt;=$I$26+$I$27,1,0)</f>
        <v>1</v>
      </c>
      <c r="AR67" s="137">
        <f t="shared" si="9"/>
        <v>14490</v>
      </c>
      <c r="AX67" s="37"/>
      <c r="AY67" s="6"/>
      <c r="AZ67" s="470"/>
      <c r="BK67" s="76">
        <v>7</v>
      </c>
      <c r="BL67" s="76" t="str">
        <f>IF(AY44="","",COUNTIF(AY38:AY44,"Ministración"))</f>
        <v/>
      </c>
      <c r="BM67" s="270">
        <f>IF(BL67=2,L41,IF(BL67=3,O41,IF(BL67=4,R41,BM66)))</f>
        <v>0.8</v>
      </c>
    </row>
    <row r="68" spans="2:65" ht="21" customHeight="1" x14ac:dyDescent="0.3">
      <c r="B68" s="282">
        <f t="shared" si="2"/>
        <v>8</v>
      </c>
      <c r="C68" s="282">
        <f t="shared" si="3"/>
        <v>3</v>
      </c>
      <c r="D68" s="267">
        <f>IF(B68="","",IF(AND($I$10="Remodelación",$I$22="No"),1,IF($I$29&gt;=0.8,1,IF(AN68="Ministración",Simul_ConstruRemo!BM68,1))))</f>
        <v>0.8</v>
      </c>
      <c r="E68" s="836">
        <f t="shared" si="6"/>
        <v>0</v>
      </c>
      <c r="F68" s="836"/>
      <c r="G68" s="836">
        <f t="shared" si="4"/>
        <v>1497572.5</v>
      </c>
      <c r="H68" s="836"/>
      <c r="I68" s="836">
        <f t="shared" si="7"/>
        <v>2447.0211458333342</v>
      </c>
      <c r="J68" s="836"/>
      <c r="K68" s="836">
        <f t="shared" si="5"/>
        <v>12042.978854166666</v>
      </c>
      <c r="L68" s="836"/>
      <c r="M68" s="836">
        <f>IF(B68="","",IF($I$10="Remodelación",($I$16*0.7+$I$17*0.5),IF(OR(C68=0,C68=""),$CO$27,HLOOKUP(C68,Simul_ConstruRemo!$CC$22:$CN$29,7,FALSE))))</f>
        <v>2606295</v>
      </c>
      <c r="N68" s="836"/>
      <c r="O68" s="836">
        <f>IFERROR(Z68*Simul_ConstruRemo!$BP$30/1000,"")</f>
        <v>657.85521069583331</v>
      </c>
      <c r="P68" s="836"/>
      <c r="Q68" s="836">
        <f>IFERROR(IF($I$10="Remodelación",M68*Simul_ConstruRemo!$BS$29,
IF(D68=1,MAX(M68,Z68)*$BS$29,M68*$BQ$29)),"")</f>
        <v>1164.5760074399998</v>
      </c>
      <c r="R68" s="836"/>
      <c r="S68" s="268">
        <f>IF(B68="","",'Tabla_Puntual&amp;Relacionamiento'!$B$37)</f>
        <v>9.6500000000000002E-2</v>
      </c>
      <c r="T68" s="837"/>
      <c r="U68" s="837"/>
      <c r="V68" s="735">
        <f>IF(OR(Z67=0,Z67=""),"",IF(I68&gt;=G68,0,IF(OR($Y$52="NO",$Y$52=""),0,IF(B68&gt;=$I$19+6,MIN(IF($Y$54="",0,$Y$54),$AV$16*25)*10%,0))))</f>
        <v>0</v>
      </c>
      <c r="W68" s="735"/>
      <c r="X68" s="836">
        <f t="shared" si="0"/>
        <v>16312.431218135835</v>
      </c>
      <c r="Y68" s="836"/>
      <c r="Z68" s="836">
        <f t="shared" si="12"/>
        <v>1495125.4788541666</v>
      </c>
      <c r="AA68" s="836"/>
      <c r="AI68" s="137">
        <f t="shared" si="1"/>
        <v>16151.800044695834</v>
      </c>
      <c r="AJ68" s="63">
        <f>IF(OR(Z68="",Z68&lt;=0.01),"",IF(SUM($E$61:F68)=$I$26+$I$27,1,0))</f>
        <v>1</v>
      </c>
      <c r="AK68" s="63">
        <f t="shared" si="8"/>
        <v>3</v>
      </c>
      <c r="AL68" s="269">
        <f t="shared" si="11"/>
        <v>2</v>
      </c>
      <c r="AN68" s="63" t="str">
        <f>IF(B68="","",IF($I$19&gt;=8,"Ministración","Obra Concluida"))</f>
        <v>Ministración</v>
      </c>
      <c r="AQ68" s="63">
        <f>IF(SUM($E$61:F67)&gt;=$I$26+$I$27,1,0)</f>
        <v>1</v>
      </c>
      <c r="AR68" s="137">
        <f t="shared" si="9"/>
        <v>14490</v>
      </c>
      <c r="AX68" s="37"/>
      <c r="AY68" s="6"/>
      <c r="AZ68" s="470"/>
      <c r="BK68" s="76">
        <v>8</v>
      </c>
      <c r="BL68" s="76" t="str">
        <f>IF(AY45="","",COUNTIF(AY38:AY45,"Ministración"))</f>
        <v/>
      </c>
      <c r="BM68" s="270">
        <f>IF(BL68=2,L41,IF(BL68=3,O41,IF(BL68=4,R41,BM67)))</f>
        <v>0.8</v>
      </c>
    </row>
    <row r="69" spans="2:65" ht="21" customHeight="1" x14ac:dyDescent="0.3">
      <c r="B69" s="282">
        <f t="shared" si="2"/>
        <v>9</v>
      </c>
      <c r="C69" s="282">
        <f t="shared" si="3"/>
        <v>3</v>
      </c>
      <c r="D69" s="267">
        <f>IF(B69="","",IF(AND($I$10="Remodelación",$I$22="No"),1,IF($I$29&gt;=0.8,1,IF(AN69="Ministración",Simul_ConstruRemo!BM69,1))))</f>
        <v>0.8</v>
      </c>
      <c r="E69" s="836">
        <f t="shared" si="6"/>
        <v>0</v>
      </c>
      <c r="F69" s="836"/>
      <c r="G69" s="836">
        <f t="shared" si="4"/>
        <v>1495125.4788541666</v>
      </c>
      <c r="H69" s="836"/>
      <c r="I69" s="836">
        <f t="shared" si="7"/>
        <v>2466.6992742144084</v>
      </c>
      <c r="J69" s="836"/>
      <c r="K69" s="836">
        <f t="shared" si="5"/>
        <v>12023.300725785592</v>
      </c>
      <c r="L69" s="836"/>
      <c r="M69" s="836">
        <f>IF(B69="","",IF($I$10="Remodelación",($I$16*0.7+$I$17*0.5),IF(OR(C69=0,C69=""),$CO$27,HLOOKUP(C69,Simul_ConstruRemo!$CC$22:$CN$29,7,FALSE))))</f>
        <v>2606295</v>
      </c>
      <c r="N69" s="836"/>
      <c r="O69" s="836">
        <f>IFERROR(Z69*Simul_ConstruRemo!$BP$30/1000,"")</f>
        <v>656.76986301517888</v>
      </c>
      <c r="P69" s="836"/>
      <c r="Q69" s="836">
        <f>IFERROR(IF($I$10="Remodelación",M69*Simul_ConstruRemo!$BS$29,
IF(D69=1,MAX(M69,Z69)*$BS$29,M69*$BQ$29)),"")</f>
        <v>1164.5760074399998</v>
      </c>
      <c r="R69" s="836"/>
      <c r="S69" s="268">
        <f>IF(B69="","",'Tabla_Puntual&amp;Relacionamiento'!$B$37)</f>
        <v>9.6500000000000002E-2</v>
      </c>
      <c r="T69" s="837"/>
      <c r="U69" s="837"/>
      <c r="V69" s="734"/>
      <c r="W69" s="734"/>
      <c r="X69" s="836">
        <f t="shared" si="0"/>
        <v>16311.345870455179</v>
      </c>
      <c r="Y69" s="836"/>
      <c r="Z69" s="836">
        <f t="shared" si="12"/>
        <v>1492658.7795799521</v>
      </c>
      <c r="AA69" s="836"/>
      <c r="AI69" s="137">
        <f t="shared" si="1"/>
        <v>16150.714697015179</v>
      </c>
      <c r="AJ69" s="63">
        <f>IF(OR(Z69="",Z69&lt;=0.01),"",IF(SUM($E$61:F69)=$I$26+$I$27,1,0))</f>
        <v>1</v>
      </c>
      <c r="AK69" s="63">
        <f t="shared" si="8"/>
        <v>4</v>
      </c>
      <c r="AL69" s="269">
        <f t="shared" si="11"/>
        <v>3</v>
      </c>
      <c r="AN69" s="63" t="str">
        <f>IF(B69="","",IF($I$19&gt;=9,"Ministración","Obra Concluida"))</f>
        <v>Ministración</v>
      </c>
      <c r="AQ69" s="63">
        <f>IF(SUM($E$61:F68)&gt;=$I$26+$I$27,1,0)</f>
        <v>1</v>
      </c>
      <c r="AR69" s="137">
        <f t="shared" si="9"/>
        <v>14490</v>
      </c>
      <c r="AX69" s="37"/>
      <c r="AY69" s="6"/>
      <c r="AZ69" s="470"/>
      <c r="BK69" s="76">
        <v>9</v>
      </c>
      <c r="BL69" s="76" t="str">
        <f>IF(AY46="","",COUNTIF(AY38:AY46,"Ministración"))</f>
        <v/>
      </c>
      <c r="BM69" s="270">
        <f>IF(BL69=2,L41,IF(BL69=3,O41,IF(BL69=4,R41,BM68)))</f>
        <v>0.8</v>
      </c>
    </row>
    <row r="70" spans="2:65" ht="21" customHeight="1" x14ac:dyDescent="0.3">
      <c r="B70" s="282">
        <f t="shared" si="2"/>
        <v>10</v>
      </c>
      <c r="C70" s="282">
        <f t="shared" si="3"/>
        <v>3</v>
      </c>
      <c r="D70" s="267">
        <f>IF(B70="","",IF(AND($I$10="Remodelación",$I$22="No"),1,IF($I$29&gt;=0.8,1,IF(AN70="Ministración",Simul_ConstruRemo!BM70,1))))</f>
        <v>0.8</v>
      </c>
      <c r="E70" s="836">
        <f t="shared" si="6"/>
        <v>0</v>
      </c>
      <c r="F70" s="836"/>
      <c r="G70" s="836">
        <f t="shared" si="4"/>
        <v>1492658.7795799521</v>
      </c>
      <c r="H70" s="836"/>
      <c r="I70" s="836">
        <f t="shared" si="7"/>
        <v>2486.5356475445515</v>
      </c>
      <c r="J70" s="836"/>
      <c r="K70" s="836">
        <f t="shared" si="5"/>
        <v>12003.464352455449</v>
      </c>
      <c r="L70" s="836"/>
      <c r="M70" s="836">
        <f>IF(B70="","",IF($I$10="Remodelación",($I$16*0.7+$I$17*0.5),IF(OR(C70=0,C70=""),$CO$27,HLOOKUP(C70,Simul_ConstruRemo!$CC$22:$CN$29,7,FALSE))))</f>
        <v>2606295</v>
      </c>
      <c r="N70" s="836"/>
      <c r="O70" s="836">
        <f>IFERROR(Z70*Simul_ConstruRemo!$BP$30/1000,"")</f>
        <v>655.67578733025937</v>
      </c>
      <c r="P70" s="836"/>
      <c r="Q70" s="836">
        <f>IFERROR(IF($I$10="Remodelación",M70*Simul_ConstruRemo!$BS$29,
IF(D70=1,MAX(M70,Z70)*$BS$29,M70*$BQ$29)),"")</f>
        <v>1164.5760074399998</v>
      </c>
      <c r="R70" s="836"/>
      <c r="S70" s="268">
        <f>IF(B70="","",'Tabla_Puntual&amp;Relacionamiento'!$B$37)</f>
        <v>9.6500000000000002E-2</v>
      </c>
      <c r="T70" s="837"/>
      <c r="U70" s="837"/>
      <c r="V70" s="735">
        <f>IF(OR(Z69=0,Z69=""),"",IF(I70&gt;=G70,0,IF(OR($Y$52="NO",$Y$52=""),0,IF(B70&gt;=$I$19+6,MIN(IF($Y$54="",0,$Y$54),$AV$16*25)*10%,0))))</f>
        <v>0</v>
      </c>
      <c r="W70" s="735"/>
      <c r="X70" s="836">
        <f t="shared" si="0"/>
        <v>16310.25179477026</v>
      </c>
      <c r="Y70" s="836"/>
      <c r="Z70" s="836">
        <f t="shared" si="12"/>
        <v>1490172.2439324076</v>
      </c>
      <c r="AA70" s="836"/>
      <c r="AI70" s="137">
        <f t="shared" si="1"/>
        <v>16149.620621330259</v>
      </c>
      <c r="AJ70" s="63">
        <f>IF(OR(Z70="",Z70&lt;=0.01),"",IF(SUM($E$61:F70)=$I$26+$I$27,1,0))</f>
        <v>1</v>
      </c>
      <c r="AK70" s="63">
        <f t="shared" si="8"/>
        <v>5</v>
      </c>
      <c r="AL70" s="269">
        <f t="shared" si="11"/>
        <v>4</v>
      </c>
      <c r="AN70" s="63" t="str">
        <f>IF(B70="","",IF($I$19&gt;=10,"Ministración","Obra Concluida"))</f>
        <v>Ministración</v>
      </c>
      <c r="AQ70" s="63">
        <f>IF(SUM($E$61:F69)&gt;=$I$26+$I$27,1,0)</f>
        <v>1</v>
      </c>
      <c r="AR70" s="137">
        <f t="shared" si="9"/>
        <v>14490</v>
      </c>
      <c r="AX70" s="37"/>
      <c r="AY70" s="6"/>
      <c r="AZ70" s="470"/>
      <c r="BK70" s="76">
        <v>10</v>
      </c>
      <c r="BL70" s="76" t="str">
        <f>IF(AY47="","",COUNTIF(AY38:AY47,"Ministración"))</f>
        <v/>
      </c>
      <c r="BM70" s="270">
        <f>IF(BL70=2,L41,IF(BL70=3,O41,IF(BL70=4,R41,BM69)))</f>
        <v>0.8</v>
      </c>
    </row>
    <row r="71" spans="2:65" ht="21" customHeight="1" x14ac:dyDescent="0.3">
      <c r="B71" s="282">
        <f t="shared" si="2"/>
        <v>11</v>
      </c>
      <c r="C71" s="282">
        <f t="shared" si="3"/>
        <v>3</v>
      </c>
      <c r="D71" s="267">
        <f>IF(B71="","",IF(AND($I$10="Remodelación",$I$22="No"),1,IF($I$29&gt;=0.8,1,IF(AN71="Ministración",Simul_ConstruRemo!BM71,1))))</f>
        <v>0.8</v>
      </c>
      <c r="E71" s="836">
        <f t="shared" si="6"/>
        <v>0</v>
      </c>
      <c r="F71" s="836"/>
      <c r="G71" s="836">
        <f t="shared" si="4"/>
        <v>1490172.2439324076</v>
      </c>
      <c r="H71" s="836"/>
      <c r="I71" s="836">
        <f t="shared" si="7"/>
        <v>2506.5315383768884</v>
      </c>
      <c r="J71" s="836"/>
      <c r="K71" s="836">
        <f t="shared" si="5"/>
        <v>11983.468461623112</v>
      </c>
      <c r="L71" s="836"/>
      <c r="M71" s="836">
        <f>IF(B71="","",IF($I$10="Remodelación",($I$16*0.7+$I$17*0.5),IF(OR(C71=0,C71=""),$CO$27,HLOOKUP(C71,Simul_ConstruRemo!$CC$22:$CN$29,7,FALSE))))</f>
        <v>2606295</v>
      </c>
      <c r="N71" s="836"/>
      <c r="O71" s="836">
        <f>IFERROR(Z71*Simul_ConstruRemo!$BP$30/1000,"")</f>
        <v>654.57291345337364</v>
      </c>
      <c r="P71" s="836"/>
      <c r="Q71" s="836">
        <f>IFERROR(IF($I$10="Remodelación",M71*Simul_ConstruRemo!$BS$29,
IF(D71=1,MAX(M71,Z71)*$BS$29,M71*$BQ$29)),"")</f>
        <v>1164.5760074399998</v>
      </c>
      <c r="R71" s="836"/>
      <c r="S71" s="268">
        <f>IF(B71="","",'Tabla_Puntual&amp;Relacionamiento'!$B$37)</f>
        <v>9.6500000000000002E-2</v>
      </c>
      <c r="T71" s="837"/>
      <c r="U71" s="837"/>
      <c r="V71" s="734"/>
      <c r="W71" s="734"/>
      <c r="X71" s="836">
        <f t="shared" si="0"/>
        <v>16309.148920893374</v>
      </c>
      <c r="Y71" s="836"/>
      <c r="Z71" s="836">
        <f t="shared" si="12"/>
        <v>1487665.7123940308</v>
      </c>
      <c r="AA71" s="836"/>
      <c r="AI71" s="137">
        <f t="shared" si="1"/>
        <v>16148.517747453374</v>
      </c>
      <c r="AJ71" s="63">
        <f>IF(OR(Z71="",Z71&lt;=0.01),"",IF(SUM($E$61:F71)=$I$26+$I$27,1,0))</f>
        <v>1</v>
      </c>
      <c r="AK71" s="63">
        <f t="shared" si="8"/>
        <v>6</v>
      </c>
      <c r="AL71" s="269">
        <f t="shared" si="11"/>
        <v>5</v>
      </c>
      <c r="AN71" s="63" t="str">
        <f>IF(B71="","",IF($I$19&gt;=11,"Ministración","Obra Concluida"))</f>
        <v>Ministración</v>
      </c>
      <c r="AQ71" s="63">
        <f>IF(SUM($E$61:F70)&gt;=$I$26+$I$27,1,0)</f>
        <v>1</v>
      </c>
      <c r="AR71" s="137">
        <f t="shared" si="9"/>
        <v>14490</v>
      </c>
      <c r="AX71" s="37"/>
      <c r="AY71" s="6"/>
      <c r="AZ71" s="470"/>
      <c r="BK71" s="76">
        <v>11</v>
      </c>
      <c r="BL71" s="76" t="str">
        <f>IF(AY48="","",COUNTIF(AY38:AY48,"Ministración"))</f>
        <v/>
      </c>
      <c r="BM71" s="270">
        <f>IF(BL71=2,L41,IF(BL71=3,O41,IF(BL71=4,R41,BM70)))</f>
        <v>0.8</v>
      </c>
    </row>
    <row r="72" spans="2:65" ht="21" customHeight="1" x14ac:dyDescent="0.3">
      <c r="B72" s="282">
        <f t="shared" si="2"/>
        <v>12</v>
      </c>
      <c r="C72" s="282">
        <f t="shared" si="3"/>
        <v>3</v>
      </c>
      <c r="D72" s="267">
        <f>IF(B72="","",IF(AND($I$10="Remodelación",$I$22="No"),1,IF($I$29&gt;=0.8,1,IF(AN72="Ministración",Simul_ConstruRemo!BM72,1))))</f>
        <v>0.8</v>
      </c>
      <c r="E72" s="836">
        <f t="shared" si="6"/>
        <v>0</v>
      </c>
      <c r="F72" s="836"/>
      <c r="G72" s="836">
        <f t="shared" si="4"/>
        <v>1487665.7123940308</v>
      </c>
      <c r="H72" s="836"/>
      <c r="I72" s="836">
        <f t="shared" si="7"/>
        <v>2526.6882294980023</v>
      </c>
      <c r="J72" s="836"/>
      <c r="K72" s="836">
        <f t="shared" si="5"/>
        <v>11963.311770501998</v>
      </c>
      <c r="L72" s="836"/>
      <c r="M72" s="836">
        <f>IF(B72="","",IF($I$10="Remodelación",($I$16*0.7+$I$17*0.5),IF(OR(C72=0,C72=""),$CO$27,HLOOKUP(C72,Simul_ConstruRemo!$CC$22:$CN$29,7,FALSE))))</f>
        <v>2606295</v>
      </c>
      <c r="N72" s="836"/>
      <c r="O72" s="836">
        <f>IFERROR(Z72*Simul_ConstruRemo!$BP$30/1000,"")</f>
        <v>653.46117063239433</v>
      </c>
      <c r="P72" s="836"/>
      <c r="Q72" s="836">
        <f>IFERROR(IF($I$10="Remodelación",M72*Simul_ConstruRemo!$BS$29,
IF(D72=1,MAX(M72,Z72)*$BS$29,M72*$BQ$29)),"")</f>
        <v>1164.5760074399998</v>
      </c>
      <c r="R72" s="836"/>
      <c r="S72" s="268">
        <f>IF(B72="","",'Tabla_Puntual&amp;Relacionamiento'!$B$37)</f>
        <v>9.6500000000000002E-2</v>
      </c>
      <c r="T72" s="837"/>
      <c r="U72" s="837"/>
      <c r="V72" s="735">
        <f>IF(OR(Z71=0,Z71=""),"",IF(I72&gt;=G72,0,IF(OR($Y$52="NO",$Y$52=""),0,IF(B72&gt;=$I$19+6,MIN(IF($Y$54="",0,$Y$54),$AV$16*25)*10%,0))))</f>
        <v>0</v>
      </c>
      <c r="W72" s="735"/>
      <c r="X72" s="836">
        <f t="shared" si="0"/>
        <v>16308.037178072394</v>
      </c>
      <c r="Y72" s="836"/>
      <c r="Z72" s="836">
        <f t="shared" si="12"/>
        <v>1485139.0241645328</v>
      </c>
      <c r="AA72" s="836"/>
      <c r="AI72" s="137">
        <f t="shared" si="1"/>
        <v>16147.406004632394</v>
      </c>
      <c r="AJ72" s="63">
        <f>IF(OR(Z72="",Z72&lt;=0.01),"",IF(SUM($E$61:F72)=$I$26+$I$27,1,0))</f>
        <v>1</v>
      </c>
      <c r="AK72" s="63">
        <f t="shared" si="8"/>
        <v>7</v>
      </c>
      <c r="AL72" s="269">
        <f t="shared" si="11"/>
        <v>6</v>
      </c>
      <c r="AN72" s="63" t="str">
        <f>IF(B72="","",IF($I$19&gt;=12,"Ministración","Obra Concluida"))</f>
        <v>Ministración</v>
      </c>
      <c r="AQ72" s="63">
        <f>IF(SUM($E$61:F71)&gt;=$I$26+$I$27,1,0)</f>
        <v>1</v>
      </c>
      <c r="AR72" s="137">
        <f t="shared" si="9"/>
        <v>14490</v>
      </c>
      <c r="AX72" s="37"/>
      <c r="AY72" s="6"/>
      <c r="AZ72" s="470"/>
      <c r="BK72" s="76">
        <v>12</v>
      </c>
      <c r="BL72" s="76" t="str">
        <f>IF(AY49="","",COUNTIF(AY38:AY49,"Ministración"))</f>
        <v/>
      </c>
      <c r="BM72" s="270">
        <f>IF(BL72=2,L41,IF(BL72=3,O41,IF(BL72=4,R41,BM71)))</f>
        <v>0.8</v>
      </c>
    </row>
    <row r="73" spans="2:65" ht="21" customHeight="1" x14ac:dyDescent="0.3">
      <c r="B73" s="282">
        <f t="shared" si="2"/>
        <v>13</v>
      </c>
      <c r="C73" s="282" t="str">
        <f t="shared" si="3"/>
        <v/>
      </c>
      <c r="D73" s="267">
        <f>IF(B73="","",IF(AND($I$10="Remodelación",$I$22="No"),1,IF($I$29&gt;=0.8,1,IF(AN73="Ministración",Simul_ConstruRemo!BM73,1))))</f>
        <v>1</v>
      </c>
      <c r="E73" s="836">
        <f t="shared" si="6"/>
        <v>0</v>
      </c>
      <c r="F73" s="836"/>
      <c r="G73" s="836">
        <f t="shared" si="4"/>
        <v>1485139.0241645328</v>
      </c>
      <c r="H73" s="836"/>
      <c r="I73" s="836">
        <f t="shared" ref="I73" si="13">IF(B73="","",IF(G73&lt;AR73-K73,G73,AR73-K73))</f>
        <v>2547.0070140102143</v>
      </c>
      <c r="J73" s="836"/>
      <c r="K73" s="836">
        <f t="shared" si="5"/>
        <v>11942.992985989786</v>
      </c>
      <c r="L73" s="836"/>
      <c r="M73" s="836">
        <f>IF(B73="","",IF($I$10="Remodelación",($I$16*0.7+$I$17*0.5),IF(OR(C73=0,C73=""),$CO$27,HLOOKUP(C73,Simul_ConstruRemo!$CC$22:$CN$29,7,FALSE))))</f>
        <v>2606295</v>
      </c>
      <c r="N73" s="836"/>
      <c r="O73" s="836">
        <f>IFERROR(Z73*Simul_ConstruRemo!$BP$30/1000,"")</f>
        <v>652.34048754622995</v>
      </c>
      <c r="P73" s="836"/>
      <c r="Q73" s="836">
        <f>IFERROR(IF($I$10="Remodelación",M73*Simul_ConstruRemo!$BS$29,
IF(D73=1,MAX(M73,Z73)*$BS$29,M73*$BQ$29)),"")</f>
        <v>827.2389712662</v>
      </c>
      <c r="R73" s="836"/>
      <c r="S73" s="268">
        <f>IF(B73="","",'Tabla_Puntual&amp;Relacionamiento'!$B$38)</f>
        <v>9.6500000000000002E-2</v>
      </c>
      <c r="T73" s="837"/>
      <c r="U73" s="837"/>
      <c r="V73" s="734"/>
      <c r="W73" s="734"/>
      <c r="X73" s="836">
        <f t="shared" si="0"/>
        <v>15969.57945881243</v>
      </c>
      <c r="Y73" s="836"/>
      <c r="Z73" s="836">
        <f t="shared" si="12"/>
        <v>1482592.0171505227</v>
      </c>
      <c r="AA73" s="836"/>
      <c r="AC73" s="484"/>
      <c r="AD73" s="66"/>
      <c r="AE73" s="66"/>
      <c r="AI73" s="137">
        <f t="shared" si="1"/>
        <v>15855.47753174123</v>
      </c>
      <c r="AJ73" s="63">
        <f>IF(OR(Z73="",Z73&lt;=0.01),"",IF(SUM($E$61:F73)=$I$26+$I$27,1,0))</f>
        <v>1</v>
      </c>
      <c r="AK73" s="63">
        <f t="shared" si="8"/>
        <v>8</v>
      </c>
      <c r="AL73" s="269">
        <f t="shared" si="11"/>
        <v>7</v>
      </c>
      <c r="AN73" s="63" t="str">
        <f>IF(B73="","",IF($I$19&gt;=13,"Ministración","Obra Concluida"))</f>
        <v>Obra Concluida</v>
      </c>
      <c r="AQ73" s="63">
        <f>IF(SUM($E$61:F72)&gt;=$I$26+$I$27,1,0)</f>
        <v>1</v>
      </c>
      <c r="AR73" s="137">
        <f t="shared" si="9"/>
        <v>14490</v>
      </c>
      <c r="BK73" s="76">
        <v>13</v>
      </c>
      <c r="BL73" s="76" t="str">
        <f>IF(AY50="","",COUNTIF(AY38:AY50,"Ministración"))</f>
        <v/>
      </c>
      <c r="BM73" s="270">
        <f>IF(BL73=2,L41,IF(BL73=3,O41,IF(BL73=4,R41,BM72)))</f>
        <v>0.8</v>
      </c>
    </row>
    <row r="74" spans="2:65" ht="21" customHeight="1" x14ac:dyDescent="0.3">
      <c r="B74" s="282">
        <f t="shared" si="2"/>
        <v>14</v>
      </c>
      <c r="C74" s="282" t="str">
        <f t="shared" si="3"/>
        <v/>
      </c>
      <c r="D74" s="267">
        <f>IF(B74="","",IF(AND($I$10="Remodelación",$I$22="No"),1,IF($I$29&gt;=0.8,1,IF(AN74="Ministración",Simul_ConstruRemo!BM74,1))))</f>
        <v>1</v>
      </c>
      <c r="E74" s="836">
        <f t="shared" si="6"/>
        <v>0</v>
      </c>
      <c r="F74" s="836"/>
      <c r="G74" s="836">
        <f t="shared" si="4"/>
        <v>1482592.0171505227</v>
      </c>
      <c r="H74" s="836"/>
      <c r="I74" s="836">
        <f t="shared" ref="I74:I137" si="14">IF(B74="","",IF(G74&lt;AR74-K74,G74,AR74-K74))</f>
        <v>2567.489195414546</v>
      </c>
      <c r="J74" s="836"/>
      <c r="K74" s="836">
        <f t="shared" si="5"/>
        <v>11922.510804585454</v>
      </c>
      <c r="L74" s="836"/>
      <c r="M74" s="836">
        <f>IF(B74="","",IF($I$10="Remodelación",($I$16*0.7+$I$17*0.5),IF(OR(C74=0,C74=""),$CO$27,HLOOKUP(C74,Simul_ConstruRemo!$CC$22:$CN$29,7,FALSE))))</f>
        <v>2606295</v>
      </c>
      <c r="N74" s="836"/>
      <c r="O74" s="836">
        <f>IFERROR(Z74*Simul_ConstruRemo!$BP$30/1000,"")</f>
        <v>651.21079230024759</v>
      </c>
      <c r="P74" s="836"/>
      <c r="Q74" s="836">
        <f>IFERROR(IF($I$10="Remodelación",M74*Simul_ConstruRemo!$BS$29,
IF(D74=1,MAX(M74,Z74)*$BS$29,M74*$BQ$29)),"")</f>
        <v>827.2389712662</v>
      </c>
      <c r="R74" s="836"/>
      <c r="S74" s="268">
        <f>IF(B74="","",'Tabla_Puntual&amp;Relacionamiento'!$B$38)</f>
        <v>9.6500000000000002E-2</v>
      </c>
      <c r="T74" s="837"/>
      <c r="U74" s="837"/>
      <c r="V74" s="735">
        <f>IF(OR(Z73=0,Z73=""),"",IF(I74&gt;=G74,0,IF(OR($Y$52="NO",$Y$52=""),0,IF(B74&gt;=$I$19+6,MIN(IF($Y$54="",0,$Y$54),$AV$16*25)*10%,0))))</f>
        <v>0</v>
      </c>
      <c r="W74" s="735"/>
      <c r="X74" s="836">
        <f t="shared" si="0"/>
        <v>15968.449763566448</v>
      </c>
      <c r="Y74" s="836"/>
      <c r="Z74" s="836">
        <f t="shared" si="12"/>
        <v>1480024.5279551081</v>
      </c>
      <c r="AA74" s="836"/>
      <c r="AC74" s="484"/>
      <c r="AD74" s="66"/>
      <c r="AE74" s="66"/>
      <c r="AI74" s="137">
        <f t="shared" si="1"/>
        <v>15854.347836495248</v>
      </c>
      <c r="AJ74" s="63">
        <f>IF(OR(Z74="",Z74&lt;=0.01),"",IF(SUM($E$61:F74)=$I$26+$I$27,1,0))</f>
        <v>1</v>
      </c>
      <c r="AK74" s="63">
        <f t="shared" si="8"/>
        <v>9</v>
      </c>
      <c r="AL74" s="269">
        <f t="shared" si="11"/>
        <v>8</v>
      </c>
      <c r="AN74" s="63" t="str">
        <f>IF(B74="","",IF($I$19&gt;=14,"Ministración","Obra Concluida"))</f>
        <v>Obra Concluida</v>
      </c>
      <c r="AQ74" s="63">
        <f>IF(SUM($E$61:F73)&gt;=$I$26+$I$27,1,0)</f>
        <v>1</v>
      </c>
      <c r="AR74" s="137">
        <f t="shared" si="9"/>
        <v>14490</v>
      </c>
      <c r="BK74" s="76">
        <v>14</v>
      </c>
      <c r="BL74" s="76" t="str">
        <f>IF(AY51="","",COUNTIF(AY38:AY51,"Ministración"))</f>
        <v/>
      </c>
      <c r="BM74" s="270">
        <f>IF(BL74=2,L41,IF(BL74=3,O41,IF(BL74=4,R41,BM73)))</f>
        <v>0.8</v>
      </c>
    </row>
    <row r="75" spans="2:65" ht="21" customHeight="1" x14ac:dyDescent="0.3">
      <c r="B75" s="282">
        <f t="shared" si="2"/>
        <v>15</v>
      </c>
      <c r="C75" s="282" t="str">
        <f t="shared" si="3"/>
        <v/>
      </c>
      <c r="D75" s="267">
        <f>IF(B75="","",IF(AND($I$10="Remodelación",$I$22="No"),1,IF($I$29&gt;=0.8,1,IF(AN75="Ministración",Simul_ConstruRemo!BM75,1))))</f>
        <v>1</v>
      </c>
      <c r="E75" s="836">
        <f t="shared" si="6"/>
        <v>0</v>
      </c>
      <c r="F75" s="836"/>
      <c r="G75" s="836">
        <f t="shared" si="4"/>
        <v>1480024.5279551081</v>
      </c>
      <c r="H75" s="836"/>
      <c r="I75" s="836">
        <f t="shared" si="14"/>
        <v>2588.1360876943381</v>
      </c>
      <c r="J75" s="836"/>
      <c r="K75" s="836">
        <f t="shared" si="5"/>
        <v>11901.863912305662</v>
      </c>
      <c r="L75" s="836"/>
      <c r="M75" s="836">
        <f>IF(B75="","",IF($I$10="Remodelación",($I$16*0.7+$I$17*0.5),IF(OR(C75=0,C75=""),$CO$27,HLOOKUP(C75,Simul_ConstruRemo!$CC$22:$CN$29,7,FALSE))))</f>
        <v>2606295</v>
      </c>
      <c r="N75" s="836"/>
      <c r="O75" s="836">
        <f>IFERROR(Z75*Simul_ConstruRemo!$BP$30/1000,"")</f>
        <v>650.07201242166195</v>
      </c>
      <c r="P75" s="836"/>
      <c r="Q75" s="836">
        <f>IFERROR(IF($I$10="Remodelación",M75*Simul_ConstruRemo!$BS$29,
IF(D75=1,MAX(M75,Z75)*$BS$29,M75*$BQ$29)),"")</f>
        <v>827.2389712662</v>
      </c>
      <c r="R75" s="836"/>
      <c r="S75" s="268">
        <f>IF(B75="","",'Tabla_Puntual&amp;Relacionamiento'!$B$38)</f>
        <v>9.6500000000000002E-2</v>
      </c>
      <c r="T75" s="837"/>
      <c r="U75" s="837"/>
      <c r="V75" s="734"/>
      <c r="W75" s="734"/>
      <c r="X75" s="836">
        <f t="shared" si="0"/>
        <v>15967.310983687863</v>
      </c>
      <c r="Y75" s="836"/>
      <c r="Z75" s="836">
        <f t="shared" si="12"/>
        <v>1477436.3918674137</v>
      </c>
      <c r="AA75" s="836"/>
      <c r="AC75" s="484"/>
      <c r="AD75" s="66"/>
      <c r="AE75" s="66"/>
      <c r="AI75" s="137">
        <f t="shared" si="1"/>
        <v>15853.209056616663</v>
      </c>
      <c r="AJ75" s="63">
        <f>IF(OR(Z75="",Z75&lt;=0.01),"",IF(SUM($E$61:F75)=$I$26+$I$27,1,0))</f>
        <v>1</v>
      </c>
      <c r="AK75" s="63">
        <f t="shared" si="8"/>
        <v>10</v>
      </c>
      <c r="AL75" s="269">
        <f t="shared" si="11"/>
        <v>9</v>
      </c>
      <c r="AN75" s="63" t="str">
        <f>IF(B75="","",IF($I$19&gt;=15,"Ministración","Obra Concluida"))</f>
        <v>Obra Concluida</v>
      </c>
      <c r="AQ75" s="63">
        <f>IF(SUM($E$61:F74)&gt;=$I$26+$I$27,1,0)</f>
        <v>1</v>
      </c>
      <c r="AR75" s="137">
        <f t="shared" si="9"/>
        <v>14490</v>
      </c>
      <c r="BK75" s="76">
        <v>15</v>
      </c>
      <c r="BL75" s="76" t="str">
        <f>IF(AY52="","",COUNTIF(AY38:AY52,"Ministración"))</f>
        <v/>
      </c>
      <c r="BM75" s="270">
        <f>IF(BL75=2,L41,IF(BL75=3,O41,IF(BL75=4,R41,BM74)))</f>
        <v>0.8</v>
      </c>
    </row>
    <row r="76" spans="2:65" ht="21" customHeight="1" x14ac:dyDescent="0.3">
      <c r="B76" s="282">
        <f t="shared" si="2"/>
        <v>16</v>
      </c>
      <c r="C76" s="282" t="str">
        <f t="shared" si="3"/>
        <v/>
      </c>
      <c r="D76" s="267">
        <f>IF(B76="","",IF(AND($I$10="Remodelación",$I$22="No"),1,IF($I$29&gt;=0.8,1,IF(AN76="Ministración",Simul_ConstruRemo!BM76,1))))</f>
        <v>1</v>
      </c>
      <c r="E76" s="836">
        <f t="shared" si="6"/>
        <v>0</v>
      </c>
      <c r="F76" s="836"/>
      <c r="G76" s="836">
        <f t="shared" si="4"/>
        <v>1477436.3918674137</v>
      </c>
      <c r="H76" s="836"/>
      <c r="I76" s="836">
        <f t="shared" si="14"/>
        <v>2608.9490153995466</v>
      </c>
      <c r="J76" s="836"/>
      <c r="K76" s="836">
        <f t="shared" si="5"/>
        <v>11881.050984600453</v>
      </c>
      <c r="L76" s="836"/>
      <c r="M76" s="836">
        <f>IF(B76="","",IF($I$10="Remodelación",($I$16*0.7+$I$17*0.5),IF(OR(C76=0,C76=""),$CO$27,HLOOKUP(C76,Simul_ConstruRemo!$CC$22:$CN$29,7,FALSE))))</f>
        <v>2606295</v>
      </c>
      <c r="N76" s="836"/>
      <c r="O76" s="836">
        <f>IFERROR(Z76*Simul_ConstruRemo!$BP$30/1000,"")</f>
        <v>648.92407485488627</v>
      </c>
      <c r="P76" s="836"/>
      <c r="Q76" s="836">
        <f>IFERROR(IF($I$10="Remodelación",M76*Simul_ConstruRemo!$BS$29,
IF(D76=1,MAX(M76,Z76)*$BS$29,M76*$BQ$29)),"")</f>
        <v>827.2389712662</v>
      </c>
      <c r="R76" s="836"/>
      <c r="S76" s="268">
        <f>IF(B76="","",'Tabla_Puntual&amp;Relacionamiento'!$B$38)</f>
        <v>9.6500000000000002E-2</v>
      </c>
      <c r="T76" s="837"/>
      <c r="U76" s="837"/>
      <c r="V76" s="735">
        <f>IF(OR(Z75=0,Z75=""),"",IF(I76&gt;=G76,0,IF(OR($Y$52="NO",$Y$52=""),0,IF(B76&gt;=$I$19+6,MIN(IF($Y$54="",0,$Y$54),$AV$16*25)*10%,0))))</f>
        <v>0</v>
      </c>
      <c r="W76" s="735"/>
      <c r="X76" s="836">
        <f t="shared" si="0"/>
        <v>15966.163046121086</v>
      </c>
      <c r="Y76" s="836"/>
      <c r="Z76" s="836">
        <f t="shared" si="12"/>
        <v>1474827.4428520142</v>
      </c>
      <c r="AA76" s="836"/>
      <c r="AC76" s="484"/>
      <c r="AD76" s="66"/>
      <c r="AE76" s="66"/>
      <c r="AI76" s="137">
        <f t="shared" si="1"/>
        <v>15852.061119049886</v>
      </c>
      <c r="AJ76" s="63">
        <f>IF(OR(Z76="",Z76&lt;=0.01),"",IF(SUM($E$61:F76)=$I$26+$I$27,1,0))</f>
        <v>1</v>
      </c>
      <c r="AK76" s="63">
        <f t="shared" si="8"/>
        <v>11</v>
      </c>
      <c r="AL76" s="269">
        <f t="shared" si="11"/>
        <v>10</v>
      </c>
      <c r="AN76" s="63" t="str">
        <f>IF(B76="","",IF($I$19&gt;=16,"Ministración","Obra Concluida"))</f>
        <v>Obra Concluida</v>
      </c>
      <c r="AQ76" s="63">
        <f>IF(SUM($E$61:F75)&gt;=$I$26+$I$27,1,0)</f>
        <v>1</v>
      </c>
      <c r="AR76" s="137">
        <f t="shared" si="9"/>
        <v>14490</v>
      </c>
      <c r="BK76" s="76">
        <v>16</v>
      </c>
      <c r="BL76" s="76" t="str">
        <f>IF(AY53="","",COUNTIF(AY38:AY53,"Ministración"))</f>
        <v/>
      </c>
      <c r="BM76" s="270">
        <f>IF(BL76=2,L41,IF(BL76=3,O41,IF(BL76=4,R41,BM75)))</f>
        <v>0.8</v>
      </c>
    </row>
    <row r="77" spans="2:65" ht="21" customHeight="1" x14ac:dyDescent="0.3">
      <c r="B77" s="282">
        <f t="shared" si="2"/>
        <v>17</v>
      </c>
      <c r="C77" s="282" t="str">
        <f t="shared" si="3"/>
        <v/>
      </c>
      <c r="D77" s="267">
        <f>IF(B77="","",IF(AND($I$10="Remodelación",$I$22="No"),1,IF($I$29&gt;=0.8,1,IF(AN77="Ministración",Simul_ConstruRemo!BM77,1))))</f>
        <v>1</v>
      </c>
      <c r="E77" s="836">
        <f t="shared" si="6"/>
        <v>0</v>
      </c>
      <c r="F77" s="836"/>
      <c r="G77" s="836">
        <f t="shared" si="4"/>
        <v>1474827.4428520142</v>
      </c>
      <c r="H77" s="836"/>
      <c r="I77" s="836">
        <f t="shared" si="14"/>
        <v>2629.9293137317181</v>
      </c>
      <c r="J77" s="836"/>
      <c r="K77" s="836">
        <f t="shared" si="5"/>
        <v>11860.070686268282</v>
      </c>
      <c r="L77" s="836"/>
      <c r="M77" s="836">
        <f>IF(B77="","",IF($I$10="Remodelación",($I$16*0.7+$I$17*0.5),IF(OR(C77=0,C77=""),$CO$27,HLOOKUP(C77,Simul_ConstruRemo!$CC$22:$CN$29,7,FALSE))))</f>
        <v>2606295</v>
      </c>
      <c r="N77" s="836"/>
      <c r="O77" s="836">
        <f>IFERROR(Z77*Simul_ConstruRemo!$BP$30/1000,"")</f>
        <v>647.76690595684431</v>
      </c>
      <c r="P77" s="836"/>
      <c r="Q77" s="836">
        <f>IFERROR(IF($I$10="Remodelación",M77*Simul_ConstruRemo!$BS$29,
IF(D77=1,MAX(M77,Z77)*$BS$29,M77*$BQ$29)),"")</f>
        <v>827.2389712662</v>
      </c>
      <c r="R77" s="836"/>
      <c r="S77" s="268">
        <f>IF(B77="","",'Tabla_Puntual&amp;Relacionamiento'!$B$38)</f>
        <v>9.6500000000000002E-2</v>
      </c>
      <c r="T77" s="837"/>
      <c r="U77" s="837"/>
      <c r="V77" s="734"/>
      <c r="W77" s="734"/>
      <c r="X77" s="836">
        <f t="shared" si="0"/>
        <v>15965.005877223044</v>
      </c>
      <c r="Y77" s="836"/>
      <c r="Z77" s="836">
        <f t="shared" si="12"/>
        <v>1472197.5135382826</v>
      </c>
      <c r="AA77" s="836"/>
      <c r="AC77" s="484"/>
      <c r="AD77" s="66"/>
      <c r="AE77" s="66"/>
      <c r="AI77" s="137">
        <f t="shared" si="1"/>
        <v>15850.903950151844</v>
      </c>
      <c r="AJ77" s="63">
        <f>IF(OR(Z77="",Z77&lt;=0.01),"",IF(SUM($E$61:F77)=$I$26+$I$27,1,0))</f>
        <v>1</v>
      </c>
      <c r="AK77" s="63">
        <f t="shared" si="8"/>
        <v>12</v>
      </c>
      <c r="AL77" s="269">
        <f t="shared" si="11"/>
        <v>11</v>
      </c>
      <c r="AN77" s="63" t="str">
        <f>IF(B77="","",IF($I$19&gt;=17,"Ministración","Obra Concluida"))</f>
        <v>Obra Concluida</v>
      </c>
      <c r="AQ77" s="63">
        <f>IF(SUM($E$61:F76)&gt;=$I$26+$I$27,1,0)</f>
        <v>1</v>
      </c>
      <c r="AR77" s="137">
        <f t="shared" si="9"/>
        <v>14490</v>
      </c>
      <c r="BK77" s="76">
        <v>17</v>
      </c>
      <c r="BL77" s="76" t="str">
        <f>IF(AY54="","",COUNTIF(AY38:AY54,"Ministración"))</f>
        <v/>
      </c>
      <c r="BM77" s="270">
        <f>IF(BL77=2,L41,IF(BL77=3,O41,IF(BL77=4,R41,BM76)))</f>
        <v>0.8</v>
      </c>
    </row>
    <row r="78" spans="2:65" ht="21" customHeight="1" x14ac:dyDescent="0.3">
      <c r="B78" s="282">
        <f t="shared" si="2"/>
        <v>18</v>
      </c>
      <c r="C78" s="282" t="str">
        <f t="shared" si="3"/>
        <v/>
      </c>
      <c r="D78" s="267">
        <f>IF(B78="","",IF(AND($I$10="Remodelación",$I$22="No"),1,IF($I$29&gt;=0.8,1,IF(AN78="Ministración",Simul_ConstruRemo!BM78,1))))</f>
        <v>1</v>
      </c>
      <c r="E78" s="836">
        <f t="shared" si="6"/>
        <v>0</v>
      </c>
      <c r="F78" s="836"/>
      <c r="G78" s="836">
        <f t="shared" si="4"/>
        <v>1472197.5135382826</v>
      </c>
      <c r="H78" s="836"/>
      <c r="I78" s="836">
        <f t="shared" si="14"/>
        <v>2651.0783286296428</v>
      </c>
      <c r="J78" s="836"/>
      <c r="K78" s="836">
        <f t="shared" si="5"/>
        <v>11838.921671370357</v>
      </c>
      <c r="L78" s="836"/>
      <c r="M78" s="836">
        <f>IF(B78="","",IF($I$10="Remodelación",($I$16*0.7+$I$17*0.5),IF(OR(C78=0,C78=""),$CO$27,HLOOKUP(C78,Simul_ConstruRemo!$CC$22:$CN$29,7,FALSE))))</f>
        <v>2606295</v>
      </c>
      <c r="N78" s="836"/>
      <c r="O78" s="836">
        <f>IFERROR(Z78*Simul_ConstruRemo!$BP$30/1000,"")</f>
        <v>642.67758949224719</v>
      </c>
      <c r="P78" s="836"/>
      <c r="Q78" s="836">
        <f>IFERROR(IF($I$10="Remodelación",M78*Simul_ConstruRemo!$BS$29,
IF(D78=1,MAX(M78,Z78)*$BS$29,M78*$BQ$29)),"")</f>
        <v>827.2389712662</v>
      </c>
      <c r="R78" s="836"/>
      <c r="S78" s="268">
        <f>IF(B78="","",'Tabla_Puntual&amp;Relacionamiento'!$B$38)</f>
        <v>9.6500000000000002E-2</v>
      </c>
      <c r="T78" s="837"/>
      <c r="U78" s="837"/>
      <c r="V78" s="735">
        <f>IF(OR(Z77=0,Z77=""),"",IF(I78&gt;=G78,0,IF(OR($Y$52="NO",$Y$52=""),0,IF(B78&gt;=$I$19+6,MIN(IF($Y$54="",0,$Y$54),$AV$16*25)*10%,0))))</f>
        <v>8915.5500000000011</v>
      </c>
      <c r="W78" s="735"/>
      <c r="X78" s="836">
        <f t="shared" si="0"/>
        <v>15959.916560758447</v>
      </c>
      <c r="Y78" s="836"/>
      <c r="Z78" s="836">
        <f t="shared" si="12"/>
        <v>1460630.8852096528</v>
      </c>
      <c r="AA78" s="836"/>
      <c r="AC78" s="484"/>
      <c r="AD78" s="66"/>
      <c r="AE78" s="66"/>
      <c r="AI78" s="137">
        <f t="shared" si="1"/>
        <v>15845.814633687247</v>
      </c>
      <c r="AJ78" s="63">
        <f>IF(OR(Z78="",Z78&lt;=0.01),"",IF(SUM($E$61:F78)=$I$26+$I$27,1,0))</f>
        <v>1</v>
      </c>
      <c r="AK78" s="63">
        <f t="shared" si="8"/>
        <v>13</v>
      </c>
      <c r="AL78" s="269">
        <f t="shared" si="11"/>
        <v>12</v>
      </c>
      <c r="AN78" s="63" t="str">
        <f>IF(B78="","",IF($I$19&gt;=18,"Ministración","Obra Concluida"))</f>
        <v>Obra Concluida</v>
      </c>
      <c r="AQ78" s="63">
        <f>IF(SUM($E$61:F77)&gt;=$I$26+$I$27,1,0)</f>
        <v>1</v>
      </c>
      <c r="AR78" s="137">
        <f t="shared" si="9"/>
        <v>14490</v>
      </c>
      <c r="BK78" s="76">
        <v>18</v>
      </c>
      <c r="BL78" s="76" t="str">
        <f>IF(AY55="","",COUNTIF(AY38:AY55,"Ministración"))</f>
        <v/>
      </c>
      <c r="BM78" s="270">
        <f>IF(BL78=2,L41,IF(BL78=3,O41,IF(BL78=4,R41,BM77)))</f>
        <v>0.8</v>
      </c>
    </row>
    <row r="79" spans="2:65" ht="21" customHeight="1" x14ac:dyDescent="0.3">
      <c r="B79" s="282">
        <f t="shared" si="2"/>
        <v>19</v>
      </c>
      <c r="C79" s="282"/>
      <c r="D79" s="267">
        <f>IF(B79="","",IF(AND($I$10="Remodelación",$I$22="No"),1,IF($I$29&gt;=0.8,1,IF(AN79="Ministración",Simul_ConstruRemo!BM79,1))))</f>
        <v>1</v>
      </c>
      <c r="E79" s="836">
        <f t="shared" ref="E79" si="15">IFERROR(IF(B79="","",
IF(AND($I$10="Remodelación",$I$22="No"),0,
IF(AND($I$10&lt;&gt;"Remodelación",$I$29&gt;=0.8),0,
IF(AN79="Obra Concluida",0,VLOOKUP(B79,$AX$61:$AZ$72,3,0))))),0)</f>
        <v>0</v>
      </c>
      <c r="F79" s="836"/>
      <c r="G79" s="836">
        <f t="shared" si="4"/>
        <v>1460630.8852096528</v>
      </c>
      <c r="H79" s="836"/>
      <c r="I79" s="836">
        <f t="shared" si="14"/>
        <v>2744.0932981057067</v>
      </c>
      <c r="J79" s="836"/>
      <c r="K79" s="836">
        <f t="shared" ref="K79:K142" si="16">IF(B79="","",IF(AN79="Ministración",G79*S79/12,
IF(G79*(S79/12)&lt;0,"",G79*(S79/12))))</f>
        <v>11745.906701894293</v>
      </c>
      <c r="L79" s="836"/>
      <c r="M79" s="836">
        <f>IF(B79="","",IF($I$10="Remodelación",($I$16*0.7+$I$17*0.5),$CO$27))</f>
        <v>2606295</v>
      </c>
      <c r="N79" s="836"/>
      <c r="O79" s="836">
        <f>IFERROR(Z79*Simul_ConstruRemo!$BP$30/1000,"")</f>
        <v>641.47018844108072</v>
      </c>
      <c r="P79" s="836"/>
      <c r="Q79" s="836">
        <f>IFERROR(IF($I$10="Remodelación",M79*Simul_ConstruRemo!$BS$29,
IF(D79=1,MAX(M79,Z79)*$BS$29,M79*$BQ$29)),"")</f>
        <v>827.2389712662</v>
      </c>
      <c r="R79" s="836"/>
      <c r="S79" s="268">
        <f>IF(B79="","",'Tabla_Puntual&amp;Relacionamiento'!$B$38)</f>
        <v>9.6500000000000002E-2</v>
      </c>
      <c r="T79" s="837"/>
      <c r="U79" s="837"/>
      <c r="V79" s="734"/>
      <c r="W79" s="734"/>
      <c r="X79" s="836">
        <f t="shared" si="0"/>
        <v>15958.709159707281</v>
      </c>
      <c r="Y79" s="836"/>
      <c r="Z79" s="836">
        <f>IF(B79="","",IF((G79-I79+T79)&lt;1,0,G79-I79-T79-V79))</f>
        <v>1457886.7919115471</v>
      </c>
      <c r="AA79" s="836"/>
      <c r="AC79" s="484"/>
      <c r="AD79" s="66"/>
      <c r="AE79" s="66"/>
      <c r="AI79" s="137">
        <f t="shared" si="1"/>
        <v>15844.607232636081</v>
      </c>
      <c r="AJ79" s="63">
        <f>IF(OR(Z79="",Z79&lt;=0.01),"",IF(SUM($E$61:F79)=$I$26+$I$27,1,0))</f>
        <v>1</v>
      </c>
      <c r="AK79" s="63">
        <f t="shared" si="8"/>
        <v>14</v>
      </c>
      <c r="AL79" s="269">
        <f t="shared" si="11"/>
        <v>13</v>
      </c>
      <c r="AN79" s="63" t="str">
        <f>IF(B79="","","Obra Concluida")</f>
        <v>Obra Concluida</v>
      </c>
      <c r="AQ79" s="63">
        <f>IF(SUM($E$61:F78)&gt;=$I$26+$I$27,1,0)</f>
        <v>1</v>
      </c>
      <c r="AR79" s="137">
        <f t="shared" si="9"/>
        <v>14490</v>
      </c>
    </row>
    <row r="80" spans="2:65" ht="21" customHeight="1" x14ac:dyDescent="0.3">
      <c r="B80" s="282">
        <f t="shared" si="2"/>
        <v>20</v>
      </c>
      <c r="C80" s="282"/>
      <c r="D80" s="267">
        <f>IF(B80="","",IF(AND($I$10="Remodelación",$I$22="No"),1,IF($I$29&gt;=0.8,1,IF(AN80="Ministración",Simul_ConstruRemo!BM80,1))))</f>
        <v>1</v>
      </c>
      <c r="E80" s="836">
        <f t="shared" ref="E80:E143" si="17">IFERROR(IF(B80="","",
IF(AND($I$10="Remodelación",$I$22="No"),0,
IF(AND($I$10&lt;&gt;"Remodelación",$I$29&gt;=0.8),0,
IF(AN80="Obra Concluida",0,VLOOKUP(B80,$AX$61:$AZ$72,3,0))))),0)</f>
        <v>0</v>
      </c>
      <c r="F80" s="836"/>
      <c r="G80" s="836">
        <f t="shared" si="4"/>
        <v>1457886.7919115471</v>
      </c>
      <c r="H80" s="836"/>
      <c r="I80" s="836">
        <f t="shared" si="14"/>
        <v>2766.1603817113082</v>
      </c>
      <c r="J80" s="836"/>
      <c r="K80" s="836">
        <f t="shared" si="16"/>
        <v>11723.839618288692</v>
      </c>
      <c r="L80" s="836"/>
      <c r="M80" s="836">
        <f t="shared" ref="M80:M143" si="18">IF(B80="","",IF($I$10="Remodelación",($I$16*0.7+$I$17*0.5),$CO$27))</f>
        <v>2606295</v>
      </c>
      <c r="N80" s="836"/>
      <c r="O80" s="836">
        <f>IFERROR(Z80*Simul_ConstruRemo!$BP$30/1000,"")</f>
        <v>636.33023587312766</v>
      </c>
      <c r="P80" s="836"/>
      <c r="Q80" s="836">
        <f>IFERROR(IF($I$10="Remodelación",M80*Simul_ConstruRemo!$BS$29,
IF(D80=1,MAX(M80,Z80)*$BS$29,M80*$BQ$29)),"")</f>
        <v>827.2389712662</v>
      </c>
      <c r="R80" s="836"/>
      <c r="S80" s="268">
        <f>IF(B80="","",'Tabla_Puntual&amp;Relacionamiento'!$B$38)</f>
        <v>9.6500000000000002E-2</v>
      </c>
      <c r="T80" s="837"/>
      <c r="U80" s="837"/>
      <c r="V80" s="735">
        <f>IF(OR(Z79=0,Z79=""),"",IF(I80&gt;=G80,0,IF(OR($Y$52="NO",$Y$52=""),0,IF(B80&gt;=$I$19+6,MIN(IF($Y$54="",0,$Y$54),$AV$16*25)*10%,0))))</f>
        <v>8915.5500000000011</v>
      </c>
      <c r="W80" s="735"/>
      <c r="X80" s="836">
        <f t="shared" si="0"/>
        <v>15953.569207139328</v>
      </c>
      <c r="Y80" s="836"/>
      <c r="Z80" s="836">
        <f>IF(B80="","",IF((G80-I80+T80-V80)&lt;1,0,G80-I80-T80-V80))</f>
        <v>1446205.0815298357</v>
      </c>
      <c r="AA80" s="836"/>
      <c r="AC80" s="484"/>
      <c r="AD80" s="66"/>
      <c r="AE80" s="66"/>
      <c r="AI80" s="137">
        <f t="shared" si="1"/>
        <v>15839.467280068127</v>
      </c>
      <c r="AJ80" s="63">
        <f>IF(OR(Z80="",Z80&lt;=0.01),"",IF(SUM($E$61:F80)=$I$26+$I$27,1,0))</f>
        <v>1</v>
      </c>
      <c r="AK80" s="63">
        <f t="shared" si="8"/>
        <v>15</v>
      </c>
      <c r="AL80" s="269">
        <f t="shared" si="11"/>
        <v>14</v>
      </c>
      <c r="AN80" s="63" t="str">
        <f t="shared" ref="AN80:AN143" si="19">IF(B80="","","Obra Concluida")</f>
        <v>Obra Concluida</v>
      </c>
      <c r="AQ80" s="63">
        <f>IF(SUM($E$61:F79)&gt;=$I$26+$I$27,1,0)</f>
        <v>1</v>
      </c>
      <c r="AR80" s="137">
        <f t="shared" si="9"/>
        <v>14490</v>
      </c>
    </row>
    <row r="81" spans="2:44" ht="21" customHeight="1" x14ac:dyDescent="0.3">
      <c r="B81" s="282">
        <f t="shared" si="2"/>
        <v>21</v>
      </c>
      <c r="C81" s="282"/>
      <c r="D81" s="267">
        <f>IF(B81="","",IF(AND($I$10="Remodelación",$I$22="No"),1,IF($I$29&gt;=0.8,1,IF(AN81="Ministración",Simul_ConstruRemo!BM81,1))))</f>
        <v>1</v>
      </c>
      <c r="E81" s="836">
        <f t="shared" si="17"/>
        <v>0</v>
      </c>
      <c r="F81" s="836"/>
      <c r="G81" s="836">
        <f t="shared" si="4"/>
        <v>1446205.0815298357</v>
      </c>
      <c r="H81" s="836"/>
      <c r="I81" s="836">
        <f t="shared" si="14"/>
        <v>2860.1008026975705</v>
      </c>
      <c r="J81" s="836"/>
      <c r="K81" s="836">
        <f t="shared" si="16"/>
        <v>11629.899197302429</v>
      </c>
      <c r="L81" s="836"/>
      <c r="M81" s="836">
        <f t="shared" si="18"/>
        <v>2606295</v>
      </c>
      <c r="N81" s="836"/>
      <c r="O81" s="836">
        <f>IFERROR(Z81*Simul_ConstruRemo!$BP$30/1000,"")</f>
        <v>635.0717915199408</v>
      </c>
      <c r="P81" s="836"/>
      <c r="Q81" s="836">
        <f>IFERROR(IF($I$10="Remodelación",M81*Simul_ConstruRemo!$BS$29,
IF(D81=1,MAX(M81,Z81)*$BS$29,M81*$BQ$29)),"")</f>
        <v>827.2389712662</v>
      </c>
      <c r="R81" s="836"/>
      <c r="S81" s="268">
        <f>IF(B81="","",'Tabla_Puntual&amp;Relacionamiento'!$B$38)</f>
        <v>9.6500000000000002E-2</v>
      </c>
      <c r="T81" s="837"/>
      <c r="U81" s="837"/>
      <c r="V81" s="734"/>
      <c r="W81" s="734"/>
      <c r="X81" s="836">
        <f t="shared" si="0"/>
        <v>15952.310762786141</v>
      </c>
      <c r="Y81" s="836"/>
      <c r="Z81" s="836">
        <f>IF(B81="","",IF((G81-I81+T81-V81)&lt;1,0,G81-I81-T81-V81))</f>
        <v>1443344.9807271382</v>
      </c>
      <c r="AA81" s="836"/>
      <c r="AC81" s="484"/>
      <c r="AD81" s="66"/>
      <c r="AE81" s="66"/>
      <c r="AI81" s="137">
        <f t="shared" si="1"/>
        <v>15838.208835714941</v>
      </c>
      <c r="AJ81" s="63">
        <f>IF(OR(Z81="",Z81&lt;=0.01),"",IF(SUM($E$61:F81)=$I$26+$I$27,1,0))</f>
        <v>1</v>
      </c>
      <c r="AK81" s="63">
        <f t="shared" si="8"/>
        <v>16</v>
      </c>
      <c r="AL81" s="269">
        <f t="shared" si="11"/>
        <v>15</v>
      </c>
      <c r="AN81" s="63" t="str">
        <f t="shared" si="19"/>
        <v>Obra Concluida</v>
      </c>
      <c r="AQ81" s="63">
        <f>IF(SUM($E$61:F80)&gt;=$I$26+$I$27,1,0)</f>
        <v>1</v>
      </c>
      <c r="AR81" s="137">
        <f t="shared" si="9"/>
        <v>14490</v>
      </c>
    </row>
    <row r="82" spans="2:44" ht="21" customHeight="1" x14ac:dyDescent="0.3">
      <c r="B82" s="282">
        <f t="shared" si="2"/>
        <v>22</v>
      </c>
      <c r="C82" s="282"/>
      <c r="D82" s="267">
        <f>IF(B82="","",IF(AND($I$10="Remodelación",$I$22="No"),1,IF($I$29&gt;=0.8,1,IF(AN82="Ministración",Simul_ConstruRemo!BM82,1))))</f>
        <v>1</v>
      </c>
      <c r="E82" s="836">
        <f t="shared" si="17"/>
        <v>0</v>
      </c>
      <c r="F82" s="836"/>
      <c r="G82" s="836">
        <f t="shared" si="4"/>
        <v>1443344.9807271382</v>
      </c>
      <c r="H82" s="836"/>
      <c r="I82" s="836">
        <f t="shared" si="14"/>
        <v>2883.100779985929</v>
      </c>
      <c r="J82" s="836"/>
      <c r="K82" s="836">
        <f t="shared" si="16"/>
        <v>11606.899220014071</v>
      </c>
      <c r="L82" s="836"/>
      <c r="M82" s="836">
        <f t="shared" si="18"/>
        <v>2606295</v>
      </c>
      <c r="N82" s="836"/>
      <c r="O82" s="836">
        <f>IFERROR(Z82*Simul_ConstruRemo!$BP$30/1000,"")</f>
        <v>629.88038517674704</v>
      </c>
      <c r="P82" s="836"/>
      <c r="Q82" s="836">
        <f>IFERROR(IF($I$10="Remodelación",M82*Simul_ConstruRemo!$BS$29,
IF(D82=1,MAX(M82,Z82)*$BS$29,M82*$BQ$29)),"")</f>
        <v>827.2389712662</v>
      </c>
      <c r="R82" s="836"/>
      <c r="S82" s="268">
        <f>IF(B82="","",'Tabla_Puntual&amp;Relacionamiento'!$B$38)</f>
        <v>9.6500000000000002E-2</v>
      </c>
      <c r="T82" s="837"/>
      <c r="U82" s="837"/>
      <c r="V82" s="735">
        <f>IF(OR(Z81=0,Z81=""),"",IF(I82&gt;=G82,0,IF(OR($Y$52="NO",$Y$52=""),0,IF(B82&gt;=$I$19+6,MIN(IF($Y$54="",0,$Y$54),$AV$16*25)*10%,0))))</f>
        <v>8915.5500000000011</v>
      </c>
      <c r="W82" s="735"/>
      <c r="X82" s="836">
        <f t="shared" si="0"/>
        <v>15947.119356442949</v>
      </c>
      <c r="Y82" s="836"/>
      <c r="Z82" s="836">
        <f t="shared" ref="Z82:Z145" si="20">IF(B82="","",IF((G82-I82+T82-V82)&lt;1,0,G82-I82-T82-V82))</f>
        <v>1431546.3299471522</v>
      </c>
      <c r="AA82" s="836"/>
      <c r="AC82" s="484"/>
      <c r="AD82" s="66"/>
      <c r="AE82" s="66"/>
      <c r="AI82" s="137">
        <f t="shared" si="1"/>
        <v>15833.017429371748</v>
      </c>
      <c r="AJ82" s="63">
        <f>IF(OR(Z82="",Z82&lt;=0.01),"",IF(SUM($E$61:F82)=$I$26+$I$27,1,0))</f>
        <v>1</v>
      </c>
      <c r="AK82" s="63">
        <f t="shared" si="8"/>
        <v>17</v>
      </c>
      <c r="AL82" s="269">
        <f t="shared" si="11"/>
        <v>16</v>
      </c>
      <c r="AN82" s="63" t="str">
        <f t="shared" si="19"/>
        <v>Obra Concluida</v>
      </c>
      <c r="AQ82" s="63">
        <f>IF(SUM($E$61:F81)&gt;=$I$26+$I$27,1,0)</f>
        <v>1</v>
      </c>
      <c r="AR82" s="137">
        <f t="shared" si="9"/>
        <v>14490</v>
      </c>
    </row>
    <row r="83" spans="2:44" ht="21" customHeight="1" x14ac:dyDescent="0.3">
      <c r="B83" s="282">
        <f t="shared" si="2"/>
        <v>23</v>
      </c>
      <c r="C83" s="282"/>
      <c r="D83" s="267">
        <f>IF(B83="","",IF(AND($I$10="Remodelación",$I$22="No"),1,IF($I$29&gt;=0.8,1,IF(AN83="Ministración",Simul_ConstruRemo!BM83,1))))</f>
        <v>1</v>
      </c>
      <c r="E83" s="836">
        <f t="shared" si="17"/>
        <v>0</v>
      </c>
      <c r="F83" s="836"/>
      <c r="G83" s="836">
        <f t="shared" si="4"/>
        <v>1431546.3299471522</v>
      </c>
      <c r="H83" s="836"/>
      <c r="I83" s="836">
        <f t="shared" si="14"/>
        <v>2977.9815966749829</v>
      </c>
      <c r="J83" s="836"/>
      <c r="K83" s="836">
        <f t="shared" si="16"/>
        <v>11512.018403325017</v>
      </c>
      <c r="L83" s="836"/>
      <c r="M83" s="836">
        <f t="shared" si="18"/>
        <v>2606295</v>
      </c>
      <c r="N83" s="836"/>
      <c r="O83" s="836">
        <f>IFERROR(Z83*Simul_ConstruRemo!$BP$30/1000,"")</f>
        <v>628.57007327421002</v>
      </c>
      <c r="P83" s="836"/>
      <c r="Q83" s="836">
        <f>IFERROR(IF($I$10="Remodelación",M83*Simul_ConstruRemo!$BS$29,
IF(D83=1,MAX(M83,Z83)*$BS$29,M83*$BQ$29)),"")</f>
        <v>827.2389712662</v>
      </c>
      <c r="R83" s="836"/>
      <c r="S83" s="268">
        <f>IF(B83="","",'Tabla_Puntual&amp;Relacionamiento'!$B$38)</f>
        <v>9.6500000000000002E-2</v>
      </c>
      <c r="T83" s="837"/>
      <c r="U83" s="837"/>
      <c r="V83" s="734"/>
      <c r="W83" s="734"/>
      <c r="X83" s="836">
        <f t="shared" si="0"/>
        <v>15945.80904454041</v>
      </c>
      <c r="Y83" s="836"/>
      <c r="Z83" s="836">
        <f t="shared" si="20"/>
        <v>1428568.3483504772</v>
      </c>
      <c r="AA83" s="836"/>
      <c r="AC83" s="484"/>
      <c r="AD83" s="66"/>
      <c r="AE83" s="66"/>
      <c r="AI83" s="137">
        <f t="shared" si="1"/>
        <v>15831.70711746921</v>
      </c>
      <c r="AJ83" s="63">
        <f>IF(OR(Z83="",Z83&lt;=0.01),"",IF(SUM($E$61:F83)=$I$26+$I$27,1,0))</f>
        <v>1</v>
      </c>
      <c r="AK83" s="63">
        <f t="shared" si="8"/>
        <v>18</v>
      </c>
      <c r="AL83" s="269">
        <f t="shared" si="11"/>
        <v>17</v>
      </c>
      <c r="AN83" s="63" t="str">
        <f t="shared" si="19"/>
        <v>Obra Concluida</v>
      </c>
      <c r="AQ83" s="63">
        <f>IF(SUM($E$61:F82)&gt;=$I$26+$I$27,1,0)</f>
        <v>1</v>
      </c>
      <c r="AR83" s="137">
        <f t="shared" si="9"/>
        <v>14490</v>
      </c>
    </row>
    <row r="84" spans="2:44" ht="21" customHeight="1" x14ac:dyDescent="0.3">
      <c r="B84" s="282">
        <f t="shared" si="2"/>
        <v>24</v>
      </c>
      <c r="C84" s="282"/>
      <c r="D84" s="267">
        <f>IF(B84="","",IF(AND($I$10="Remodelación",$I$22="No"),1,IF($I$29&gt;=0.8,1,IF(AN84="Ministración",Simul_ConstruRemo!BM84,1))))</f>
        <v>1</v>
      </c>
      <c r="E84" s="836">
        <f t="shared" si="17"/>
        <v>0</v>
      </c>
      <c r="F84" s="836"/>
      <c r="G84" s="836">
        <f t="shared" si="4"/>
        <v>1428568.3483504772</v>
      </c>
      <c r="H84" s="836"/>
      <c r="I84" s="836">
        <f t="shared" si="14"/>
        <v>3001.9295320149122</v>
      </c>
      <c r="J84" s="836"/>
      <c r="K84" s="836">
        <f t="shared" si="16"/>
        <v>11488.070467985088</v>
      </c>
      <c r="L84" s="836"/>
      <c r="M84" s="836">
        <f t="shared" si="18"/>
        <v>2606295</v>
      </c>
      <c r="N84" s="836"/>
      <c r="O84" s="836">
        <f>IFERROR(Z84*Simul_ConstruRemo!$BP$30/1000,"")</f>
        <v>623.32638228012331</v>
      </c>
      <c r="P84" s="836"/>
      <c r="Q84" s="836">
        <f>IFERROR(IF($I$10="Remodelación",M84*Simul_ConstruRemo!$BS$29,
IF(D84=1,MAX(M84,Z84)*$BS$29,M84*$BQ$29)),"")</f>
        <v>827.2389712662</v>
      </c>
      <c r="R84" s="836"/>
      <c r="S84" s="268">
        <f>IF(B84="","",'Tabla_Puntual&amp;Relacionamiento'!$B$38)</f>
        <v>9.6500000000000002E-2</v>
      </c>
      <c r="T84" s="837"/>
      <c r="U84" s="837"/>
      <c r="V84" s="735">
        <f>IF(OR(Z83=0,Z83=""),"",IF(I84&gt;=G84,0,IF(OR($Y$52="NO",$Y$52=""),0,IF(B84&gt;=$I$19+6,MIN(IF($Y$54="",0,$Y$54),$AV$16*25)*10%,0))))</f>
        <v>8915.5500000000011</v>
      </c>
      <c r="W84" s="735"/>
      <c r="X84" s="836">
        <f t="shared" si="0"/>
        <v>15940.565353546324</v>
      </c>
      <c r="Y84" s="836"/>
      <c r="Z84" s="836">
        <f t="shared" si="20"/>
        <v>1416650.8688184621</v>
      </c>
      <c r="AA84" s="836"/>
      <c r="AC84" s="484"/>
      <c r="AD84" s="66"/>
      <c r="AE84" s="66"/>
      <c r="AI84" s="137">
        <f t="shared" si="1"/>
        <v>15826.463426475124</v>
      </c>
      <c r="AJ84" s="63">
        <f>IF(OR(Z84="",Z84&lt;=0.01),"",IF(SUM($E$61:F84)=$I$26+$I$27,1,0))</f>
        <v>1</v>
      </c>
      <c r="AK84" s="63">
        <f t="shared" si="8"/>
        <v>19</v>
      </c>
      <c r="AL84" s="269">
        <f t="shared" si="11"/>
        <v>18</v>
      </c>
      <c r="AN84" s="63" t="str">
        <f t="shared" si="19"/>
        <v>Obra Concluida</v>
      </c>
      <c r="AQ84" s="63">
        <f>IF(SUM($E$61:F83)&gt;=$I$26+$I$27,1,0)</f>
        <v>1</v>
      </c>
      <c r="AR84" s="137">
        <f t="shared" si="9"/>
        <v>14490</v>
      </c>
    </row>
    <row r="85" spans="2:44" ht="21" customHeight="1" x14ac:dyDescent="0.3">
      <c r="B85" s="282">
        <f t="shared" si="2"/>
        <v>25</v>
      </c>
      <c r="C85" s="282"/>
      <c r="D85" s="267">
        <f>IF(B85="","",IF(AND($I$10="Remodelación",$I$22="No"),1,IF($I$29&gt;=0.8,1,IF(AN85="Ministración",Simul_ConstruRemo!BM85,1))))</f>
        <v>1</v>
      </c>
      <c r="E85" s="836">
        <f t="shared" si="17"/>
        <v>0</v>
      </c>
      <c r="F85" s="836"/>
      <c r="G85" s="836">
        <f t="shared" si="4"/>
        <v>1416650.8688184621</v>
      </c>
      <c r="H85" s="836"/>
      <c r="I85" s="836">
        <f t="shared" si="14"/>
        <v>3274.8472885205065</v>
      </c>
      <c r="J85" s="836"/>
      <c r="K85" s="836">
        <f t="shared" si="16"/>
        <v>11215.152711479494</v>
      </c>
      <c r="L85" s="836"/>
      <c r="M85" s="836">
        <f t="shared" si="18"/>
        <v>2606295</v>
      </c>
      <c r="N85" s="836"/>
      <c r="O85" s="836">
        <f>IFERROR(Z85*Simul_ConstruRemo!$BP$30/1000,"")</f>
        <v>621.88544947317428</v>
      </c>
      <c r="P85" s="836"/>
      <c r="Q85" s="836">
        <f>IFERROR(IF($I$10="Remodelación",M85*Simul_ConstruRemo!$BS$29,
IF(D85=1,MAX(M85,Z85)*$BS$29,M85*$BQ$29)),"")</f>
        <v>827.2389712662</v>
      </c>
      <c r="R85" s="836"/>
      <c r="S85" s="268">
        <f>IF(B85="","",'Tabla_Puntual&amp;Relacionamiento'!$B$39)</f>
        <v>9.5000000000000001E-2</v>
      </c>
      <c r="T85" s="837"/>
      <c r="U85" s="837"/>
      <c r="V85" s="734"/>
      <c r="W85" s="734"/>
      <c r="X85" s="836">
        <f t="shared" si="0"/>
        <v>15939.124420739376</v>
      </c>
      <c r="Y85" s="836"/>
      <c r="Z85" s="836">
        <f t="shared" si="20"/>
        <v>1413376.0215299416</v>
      </c>
      <c r="AA85" s="836"/>
      <c r="AC85" s="484"/>
      <c r="AD85" s="66"/>
      <c r="AE85" s="66"/>
      <c r="AI85" s="137">
        <f t="shared" si="1"/>
        <v>15825.022493668175</v>
      </c>
      <c r="AJ85" s="63">
        <f>IF(OR(Z85="",Z85&lt;=0.01),"",IF(SUM($E$61:F85)=$I$26+$I$27,1,0))</f>
        <v>1</v>
      </c>
      <c r="AK85" s="63">
        <f t="shared" si="8"/>
        <v>20</v>
      </c>
      <c r="AL85" s="269">
        <f t="shared" si="11"/>
        <v>19</v>
      </c>
      <c r="AN85" s="63" t="str">
        <f t="shared" si="19"/>
        <v>Obra Concluida</v>
      </c>
      <c r="AQ85" s="63">
        <f>IF(SUM($E$61:F84)&gt;=$I$26+$I$27,1,0)</f>
        <v>1</v>
      </c>
      <c r="AR85" s="137">
        <f t="shared" si="9"/>
        <v>14490</v>
      </c>
    </row>
    <row r="86" spans="2:44" ht="21" customHeight="1" x14ac:dyDescent="0.3">
      <c r="B86" s="282">
        <f t="shared" si="2"/>
        <v>26</v>
      </c>
      <c r="C86" s="282"/>
      <c r="D86" s="267">
        <f>IF(B86="","",IF(AND($I$10="Remodelación",$I$22="No"),1,IF($I$29&gt;=0.8,1,IF(AN86="Ministración",Simul_ConstruRemo!BM86,1))))</f>
        <v>1</v>
      </c>
      <c r="E86" s="836">
        <f t="shared" si="17"/>
        <v>0</v>
      </c>
      <c r="F86" s="836"/>
      <c r="G86" s="836">
        <f t="shared" si="4"/>
        <v>1413376.0215299416</v>
      </c>
      <c r="H86" s="836"/>
      <c r="I86" s="836">
        <f t="shared" si="14"/>
        <v>3300.773162887961</v>
      </c>
      <c r="J86" s="836"/>
      <c r="K86" s="836">
        <f t="shared" si="16"/>
        <v>11189.226837112039</v>
      </c>
      <c r="L86" s="836"/>
      <c r="M86" s="836">
        <f t="shared" si="18"/>
        <v>2606295</v>
      </c>
      <c r="N86" s="836"/>
      <c r="O86" s="836">
        <f>IFERROR(Z86*Simul_ConstruRemo!$BP$30/1000,"")</f>
        <v>616.51026728150362</v>
      </c>
      <c r="P86" s="836"/>
      <c r="Q86" s="836">
        <f>IFERROR(IF($I$10="Remodelación",M86*Simul_ConstruRemo!$BS$29,
IF(D86=1,MAX(M86,Z86)*$BS$29,M86*$BQ$29)),"")</f>
        <v>827.2389712662</v>
      </c>
      <c r="R86" s="836"/>
      <c r="S86" s="268">
        <f>IF(B86="","",'Tabla_Puntual&amp;Relacionamiento'!$B$39)</f>
        <v>9.5000000000000001E-2</v>
      </c>
      <c r="T86" s="837"/>
      <c r="U86" s="837"/>
      <c r="V86" s="735">
        <f>IF(OR(Z85=0,Z85=""),"",IF(I86&gt;=G86,0,IF(OR($Y$52="NO",$Y$52=""),0,MIN(IF($Y$54="",0,$Y$54),$AV$16*25)*10%)))</f>
        <v>8915.5500000000011</v>
      </c>
      <c r="W86" s="735"/>
      <c r="X86" s="836">
        <f t="shared" si="0"/>
        <v>15933.749238547703</v>
      </c>
      <c r="Y86" s="836"/>
      <c r="Z86" s="836">
        <f t="shared" si="20"/>
        <v>1401159.6983670536</v>
      </c>
      <c r="AA86" s="836"/>
      <c r="AC86" s="484"/>
      <c r="AD86" s="66"/>
      <c r="AE86" s="66"/>
      <c r="AI86" s="137">
        <f t="shared" si="1"/>
        <v>15819.647311476503</v>
      </c>
      <c r="AJ86" s="63">
        <f>IF(OR(Z86="",Z86&lt;=0.01),"",IF(SUM($E$61:F86)=$I$26+$I$27,1,0))</f>
        <v>1</v>
      </c>
      <c r="AK86" s="63">
        <f t="shared" si="8"/>
        <v>21</v>
      </c>
      <c r="AL86" s="269">
        <f t="shared" si="11"/>
        <v>20</v>
      </c>
      <c r="AN86" s="63" t="str">
        <f t="shared" si="19"/>
        <v>Obra Concluida</v>
      </c>
      <c r="AQ86" s="63">
        <f>IF(SUM($E$61:F85)&gt;=$I$26+$I$27,1,0)</f>
        <v>1</v>
      </c>
      <c r="AR86" s="137">
        <f t="shared" si="9"/>
        <v>14490</v>
      </c>
    </row>
    <row r="87" spans="2:44" ht="21" customHeight="1" x14ac:dyDescent="0.3">
      <c r="B87" s="282">
        <f t="shared" si="2"/>
        <v>27</v>
      </c>
      <c r="C87" s="282"/>
      <c r="D87" s="267">
        <f>IF(B87="","",IF(AND($I$10="Remodelación",$I$22="No"),1,IF($I$29&gt;=0.8,1,IF(AN87="Ministración",Simul_ConstruRemo!BM87,1))))</f>
        <v>1</v>
      </c>
      <c r="E87" s="836">
        <f t="shared" si="17"/>
        <v>0</v>
      </c>
      <c r="F87" s="836"/>
      <c r="G87" s="836">
        <f t="shared" si="4"/>
        <v>1401159.6983670536</v>
      </c>
      <c r="H87" s="836"/>
      <c r="I87" s="836">
        <f t="shared" si="14"/>
        <v>3397.485721260824</v>
      </c>
      <c r="J87" s="836"/>
      <c r="K87" s="836">
        <f t="shared" si="16"/>
        <v>11092.514278739176</v>
      </c>
      <c r="L87" s="836"/>
      <c r="M87" s="836">
        <f t="shared" si="18"/>
        <v>2606295</v>
      </c>
      <c r="N87" s="836"/>
      <c r="O87" s="836">
        <f>IFERROR(Z87*Simul_ConstruRemo!$BP$30/1000,"")</f>
        <v>615.01537356414894</v>
      </c>
      <c r="P87" s="836"/>
      <c r="Q87" s="836">
        <f>IFERROR(IF($I$10="Remodelación",M87*Simul_ConstruRemo!$BS$29,
IF(D87=1,MAX(M87,Z87)*$BS$29,M87*$BQ$29)),"")</f>
        <v>827.2389712662</v>
      </c>
      <c r="R87" s="836"/>
      <c r="S87" s="268">
        <f>IF(B87="","",'Tabla_Puntual&amp;Relacionamiento'!$B$39)</f>
        <v>9.5000000000000001E-2</v>
      </c>
      <c r="T87" s="837"/>
      <c r="U87" s="837"/>
      <c r="V87" s="734"/>
      <c r="W87" s="734"/>
      <c r="X87" s="836">
        <f t="shared" si="0"/>
        <v>15932.25434483035</v>
      </c>
      <c r="Y87" s="836"/>
      <c r="Z87" s="836">
        <f t="shared" si="20"/>
        <v>1397762.2126457929</v>
      </c>
      <c r="AA87" s="836"/>
      <c r="AC87" s="484"/>
      <c r="AD87" s="66"/>
      <c r="AE87" s="66"/>
      <c r="AI87" s="137">
        <f t="shared" si="1"/>
        <v>15818.152417759149</v>
      </c>
      <c r="AJ87" s="63">
        <f>IF(OR(Z87="",Z87&lt;=0.01),"",IF(SUM($E$61:F87)=$I$26+$I$27,1,0))</f>
        <v>1</v>
      </c>
      <c r="AK87" s="63">
        <f t="shared" si="8"/>
        <v>22</v>
      </c>
      <c r="AL87" s="269">
        <f t="shared" si="11"/>
        <v>21</v>
      </c>
      <c r="AN87" s="63" t="str">
        <f t="shared" si="19"/>
        <v>Obra Concluida</v>
      </c>
      <c r="AQ87" s="63">
        <f>IF(SUM($E$61:F86)&gt;=$I$26+$I$27,1,0)</f>
        <v>1</v>
      </c>
      <c r="AR87" s="137">
        <f t="shared" si="9"/>
        <v>14490</v>
      </c>
    </row>
    <row r="88" spans="2:44" ht="21" customHeight="1" x14ac:dyDescent="0.3">
      <c r="B88" s="282">
        <f t="shared" si="2"/>
        <v>28</v>
      </c>
      <c r="C88" s="282"/>
      <c r="D88" s="267">
        <f>IF(B88="","",IF(AND($I$10="Remodelación",$I$22="No"),1,IF($I$29&gt;=0.8,1,IF(AN88="Ministración",Simul_ConstruRemo!BM88,1))))</f>
        <v>1</v>
      </c>
      <c r="E88" s="836">
        <f t="shared" si="17"/>
        <v>0</v>
      </c>
      <c r="F88" s="836"/>
      <c r="G88" s="836">
        <f t="shared" si="4"/>
        <v>1397762.2126457929</v>
      </c>
      <c r="H88" s="836"/>
      <c r="I88" s="836">
        <f t="shared" si="14"/>
        <v>3424.3824832208047</v>
      </c>
      <c r="J88" s="836"/>
      <c r="K88" s="836">
        <f t="shared" si="16"/>
        <v>11065.617516779195</v>
      </c>
      <c r="L88" s="836"/>
      <c r="M88" s="836">
        <f t="shared" si="18"/>
        <v>2606295</v>
      </c>
      <c r="N88" s="836"/>
      <c r="O88" s="836">
        <f>IFERROR(Z88*Simul_ConstruRemo!$BP$30/1000,"")</f>
        <v>609.58580327153174</v>
      </c>
      <c r="P88" s="836"/>
      <c r="Q88" s="836">
        <f>IFERROR(IF($I$10="Remodelación",M88*Simul_ConstruRemo!$BS$29,
IF(D88=1,MAX(M88,Z88)*$BS$29,M88*$BQ$29)),"")</f>
        <v>827.2389712662</v>
      </c>
      <c r="R88" s="836"/>
      <c r="S88" s="268">
        <f>IF(B88="","",'Tabla_Puntual&amp;Relacionamiento'!$B$39)</f>
        <v>9.5000000000000001E-2</v>
      </c>
      <c r="T88" s="837"/>
      <c r="U88" s="837"/>
      <c r="V88" s="735">
        <f>IF(OR(Z87=0,Z87=""),"",IF(I88&gt;=G88,0,IF(OR($Y$52="NO",$Y$52=""),0,MIN(IF($Y$54="",0,$Y$54),$AV$16*25)*10%)))</f>
        <v>8915.5500000000011</v>
      </c>
      <c r="W88" s="735"/>
      <c r="X88" s="836">
        <f t="shared" si="0"/>
        <v>15926.824774537732</v>
      </c>
      <c r="Y88" s="836"/>
      <c r="Z88" s="836">
        <f t="shared" si="20"/>
        <v>1385422.2801625719</v>
      </c>
      <c r="AA88" s="836"/>
      <c r="AC88" s="484"/>
      <c r="AD88" s="66"/>
      <c r="AE88" s="66"/>
      <c r="AI88" s="137">
        <f t="shared" si="1"/>
        <v>15812.722847466532</v>
      </c>
      <c r="AJ88" s="63">
        <f>IF(OR(Z88="",Z88&lt;=0.01),"",IF(SUM($E$61:F88)=$I$26+$I$27,1,0))</f>
        <v>1</v>
      </c>
      <c r="AK88" s="63">
        <f t="shared" si="8"/>
        <v>23</v>
      </c>
      <c r="AL88" s="269">
        <f t="shared" si="11"/>
        <v>22</v>
      </c>
      <c r="AN88" s="63" t="str">
        <f t="shared" si="19"/>
        <v>Obra Concluida</v>
      </c>
      <c r="AQ88" s="63">
        <f>IF(SUM($E$61:F87)&gt;=$I$26+$I$27,1,0)</f>
        <v>1</v>
      </c>
      <c r="AR88" s="137">
        <f t="shared" si="9"/>
        <v>14490</v>
      </c>
    </row>
    <row r="89" spans="2:44" ht="21" customHeight="1" x14ac:dyDescent="0.3">
      <c r="B89" s="282">
        <f t="shared" si="2"/>
        <v>29</v>
      </c>
      <c r="C89" s="282"/>
      <c r="D89" s="267">
        <f>IF(B89="","",IF(AND($I$10="Remodelación",$I$22="No"),1,IF($I$29&gt;=0.8,1,IF(AN89="Ministración",Simul_ConstruRemo!BM89,1))))</f>
        <v>1</v>
      </c>
      <c r="E89" s="836">
        <f t="shared" si="17"/>
        <v>0</v>
      </c>
      <c r="F89" s="836"/>
      <c r="G89" s="836">
        <f t="shared" si="4"/>
        <v>1385422.2801625719</v>
      </c>
      <c r="H89" s="836"/>
      <c r="I89" s="836">
        <f t="shared" si="14"/>
        <v>3522.0736153796388</v>
      </c>
      <c r="J89" s="836"/>
      <c r="K89" s="836">
        <f t="shared" si="16"/>
        <v>10967.926384620361</v>
      </c>
      <c r="L89" s="836"/>
      <c r="M89" s="836">
        <f t="shared" si="18"/>
        <v>2606295</v>
      </c>
      <c r="N89" s="836"/>
      <c r="O89" s="836">
        <f>IFERROR(Z89*Simul_ConstruRemo!$BP$30/1000,"")</f>
        <v>608.03609088076462</v>
      </c>
      <c r="P89" s="836"/>
      <c r="Q89" s="836">
        <f>IFERROR(IF($I$10="Remodelación",M89*Simul_ConstruRemo!$BS$29,
IF(D89=1,MAX(M89,Z89)*$BS$29,M89*$BQ$29)),"")</f>
        <v>827.2389712662</v>
      </c>
      <c r="R89" s="836"/>
      <c r="S89" s="268">
        <f>IF(B89="","",'Tabla_Puntual&amp;Relacionamiento'!$B$39)</f>
        <v>9.5000000000000001E-2</v>
      </c>
      <c r="T89" s="837"/>
      <c r="U89" s="837"/>
      <c r="V89" s="734"/>
      <c r="W89" s="734"/>
      <c r="X89" s="836">
        <f t="shared" ref="X89:X152" si="21">IFERROR(IF(G89&lt;AR89-K89,I89+K89+O89+Q89,AR89+O89+Q89),"")</f>
        <v>15925.275062146966</v>
      </c>
      <c r="Y89" s="836"/>
      <c r="Z89" s="836">
        <f t="shared" si="20"/>
        <v>1381900.2065471923</v>
      </c>
      <c r="AA89" s="836"/>
      <c r="AC89" s="484"/>
      <c r="AD89" s="66"/>
      <c r="AE89" s="66"/>
      <c r="AI89" s="137">
        <f t="shared" si="1"/>
        <v>15811.173135075765</v>
      </c>
      <c r="AJ89" s="63">
        <f>IF(OR(Z89="",Z89&lt;=0.01),"",IF(SUM($E$61:F89)=$I$26+$I$27,1,0))</f>
        <v>1</v>
      </c>
      <c r="AK89" s="63">
        <f t="shared" si="8"/>
        <v>24</v>
      </c>
      <c r="AL89" s="269">
        <f t="shared" si="11"/>
        <v>23</v>
      </c>
      <c r="AN89" s="63" t="str">
        <f t="shared" si="19"/>
        <v>Obra Concluida</v>
      </c>
      <c r="AQ89" s="63">
        <f>IF(SUM($E$61:F88)&gt;=$I$26+$I$27,1,0)</f>
        <v>1</v>
      </c>
      <c r="AR89" s="137">
        <f t="shared" si="9"/>
        <v>14490</v>
      </c>
    </row>
    <row r="90" spans="2:44" ht="21" customHeight="1" x14ac:dyDescent="0.3">
      <c r="B90" s="282">
        <f t="shared" si="2"/>
        <v>30</v>
      </c>
      <c r="C90" s="282"/>
      <c r="D90" s="267">
        <f>IF(B90="","",IF(AND($I$10="Remodelación",$I$22="No"),1,IF($I$29&gt;=0.8,1,IF(AN90="Ministración",Simul_ConstruRemo!BM90,1))))</f>
        <v>1</v>
      </c>
      <c r="E90" s="836">
        <f t="shared" si="17"/>
        <v>0</v>
      </c>
      <c r="F90" s="836"/>
      <c r="G90" s="836">
        <f t="shared" si="4"/>
        <v>1381900.2065471923</v>
      </c>
      <c r="H90" s="836"/>
      <c r="I90" s="836">
        <f t="shared" si="14"/>
        <v>3549.95669816806</v>
      </c>
      <c r="J90" s="836"/>
      <c r="K90" s="836">
        <f t="shared" si="16"/>
        <v>10940.04330183194</v>
      </c>
      <c r="L90" s="836"/>
      <c r="M90" s="836">
        <f t="shared" si="18"/>
        <v>2606295</v>
      </c>
      <c r="N90" s="836"/>
      <c r="O90" s="836">
        <f>IFERROR(Z90*Simul_ConstruRemo!$BP$30/1000,"")</f>
        <v>602.55126793357067</v>
      </c>
      <c r="P90" s="836"/>
      <c r="Q90" s="836">
        <f>IFERROR(IF($I$10="Remodelación",M90*Simul_ConstruRemo!$BS$29,
IF(D90=1,MAX(M90,Z90)*$BS$29,M90*$BQ$29)),"")</f>
        <v>827.2389712662</v>
      </c>
      <c r="R90" s="836"/>
      <c r="S90" s="268">
        <f>IF(B90="","",'Tabla_Puntual&amp;Relacionamiento'!$B$39)</f>
        <v>9.5000000000000001E-2</v>
      </c>
      <c r="T90" s="837"/>
      <c r="U90" s="837"/>
      <c r="V90" s="735">
        <f>IF(OR(Z89=0,Z89=""),"",IF(I90&gt;=G90,0,IF(OR($Y$52="NO",$Y$52=""),0,MIN(IF($Y$54="",0,$Y$54),$AV$16*25)*10%)))</f>
        <v>8915.5500000000011</v>
      </c>
      <c r="W90" s="735"/>
      <c r="X90" s="836">
        <f t="shared" si="21"/>
        <v>15919.79023919977</v>
      </c>
      <c r="Y90" s="836"/>
      <c r="Z90" s="836">
        <f t="shared" si="20"/>
        <v>1369434.6998490242</v>
      </c>
      <c r="AA90" s="836"/>
      <c r="AC90" s="484"/>
      <c r="AD90" s="66"/>
      <c r="AE90" s="66"/>
      <c r="AI90" s="137">
        <f t="shared" si="1"/>
        <v>15805.68831212857</v>
      </c>
      <c r="AJ90" s="63">
        <f>IF(OR(Z90="",Z90&lt;=0.01),"",IF(SUM($E$61:F90)=$I$26+$I$27,1,0))</f>
        <v>1</v>
      </c>
      <c r="AK90" s="63">
        <f t="shared" si="8"/>
        <v>25</v>
      </c>
      <c r="AL90" s="269">
        <f t="shared" si="11"/>
        <v>24</v>
      </c>
      <c r="AN90" s="63" t="str">
        <f t="shared" si="19"/>
        <v>Obra Concluida</v>
      </c>
      <c r="AQ90" s="63">
        <f>IF(SUM($E$61:F89)&gt;=$I$26+$I$27,1,0)</f>
        <v>1</v>
      </c>
      <c r="AR90" s="137">
        <f t="shared" si="9"/>
        <v>14490</v>
      </c>
    </row>
    <row r="91" spans="2:44" ht="21" customHeight="1" x14ac:dyDescent="0.3">
      <c r="B91" s="282">
        <f t="shared" si="2"/>
        <v>31</v>
      </c>
      <c r="C91" s="282"/>
      <c r="D91" s="267">
        <f>IF(B91="","",IF(AND($I$10="Remodelación",$I$22="No"),1,IF($I$29&gt;=0.8,1,IF(AN91="Ministración",Simul_ConstruRemo!BM91,1))))</f>
        <v>1</v>
      </c>
      <c r="E91" s="836">
        <f t="shared" si="17"/>
        <v>0</v>
      </c>
      <c r="F91" s="836"/>
      <c r="G91" s="836">
        <f t="shared" si="4"/>
        <v>1369434.6998490242</v>
      </c>
      <c r="H91" s="836"/>
      <c r="I91" s="836">
        <f t="shared" si="14"/>
        <v>3648.641959528557</v>
      </c>
      <c r="J91" s="836"/>
      <c r="K91" s="836">
        <f t="shared" si="16"/>
        <v>10841.358040471443</v>
      </c>
      <c r="L91" s="836"/>
      <c r="M91" s="836">
        <f t="shared" si="18"/>
        <v>2606295</v>
      </c>
      <c r="N91" s="836"/>
      <c r="O91" s="836">
        <f>IFERROR(Z91*Simul_ConstruRemo!$BP$30/1000,"")</f>
        <v>600.94586547137806</v>
      </c>
      <c r="P91" s="836"/>
      <c r="Q91" s="836">
        <f>IFERROR(IF($I$10="Remodelación",M91*Simul_ConstruRemo!$BS$29,
IF(D91=1,MAX(M91,Z91)*$BS$29,M91*$BQ$29)),"")</f>
        <v>827.2389712662</v>
      </c>
      <c r="R91" s="836"/>
      <c r="S91" s="268">
        <f>IF(B91="","",'Tabla_Puntual&amp;Relacionamiento'!$B$39)</f>
        <v>9.5000000000000001E-2</v>
      </c>
      <c r="T91" s="837"/>
      <c r="U91" s="837"/>
      <c r="V91" s="734"/>
      <c r="W91" s="734"/>
      <c r="X91" s="836">
        <f t="shared" si="21"/>
        <v>15918.184836737579</v>
      </c>
      <c r="Y91" s="836"/>
      <c r="Z91" s="836">
        <f t="shared" si="20"/>
        <v>1365786.0578894955</v>
      </c>
      <c r="AA91" s="836"/>
      <c r="AC91" s="484"/>
      <c r="AD91" s="66"/>
      <c r="AE91" s="66"/>
      <c r="AI91" s="137">
        <f t="shared" si="1"/>
        <v>15804.082909666378</v>
      </c>
      <c r="AJ91" s="63">
        <f>IF(OR(Z91="",Z91&lt;=0.01),"",IF(SUM($E$61:F91)=$I$26+$I$27,1,0))</f>
        <v>1</v>
      </c>
      <c r="AK91" s="63">
        <f t="shared" si="8"/>
        <v>26</v>
      </c>
      <c r="AL91" s="269">
        <f t="shared" si="11"/>
        <v>25</v>
      </c>
      <c r="AN91" s="63" t="str">
        <f t="shared" si="19"/>
        <v>Obra Concluida</v>
      </c>
      <c r="AQ91" s="63">
        <f>IF(SUM($E$61:F90)&gt;=$I$26+$I$27,1,0)</f>
        <v>1</v>
      </c>
      <c r="AR91" s="137">
        <f t="shared" si="9"/>
        <v>14490</v>
      </c>
    </row>
    <row r="92" spans="2:44" ht="21" customHeight="1" x14ac:dyDescent="0.3">
      <c r="B92" s="282">
        <f t="shared" si="2"/>
        <v>32</v>
      </c>
      <c r="C92" s="282"/>
      <c r="D92" s="267">
        <f>IF(B92="","",IF(AND($I$10="Remodelación",$I$22="No"),1,IF($I$29&gt;=0.8,1,IF(AN92="Ministración",Simul_ConstruRemo!BM92,1))))</f>
        <v>1</v>
      </c>
      <c r="E92" s="836">
        <f t="shared" si="17"/>
        <v>0</v>
      </c>
      <c r="F92" s="836"/>
      <c r="G92" s="836">
        <f t="shared" si="4"/>
        <v>1365786.0578894955</v>
      </c>
      <c r="H92" s="836"/>
      <c r="I92" s="836">
        <f t="shared" si="14"/>
        <v>3677.5270417081592</v>
      </c>
      <c r="J92" s="836"/>
      <c r="K92" s="836">
        <f t="shared" si="16"/>
        <v>10812.472958291841</v>
      </c>
      <c r="L92" s="836"/>
      <c r="M92" s="836">
        <f t="shared" si="18"/>
        <v>2606295</v>
      </c>
      <c r="N92" s="836"/>
      <c r="O92" s="836">
        <f>IFERROR(Z92*Simul_ConstruRemo!$BP$30/1000,"")</f>
        <v>595.40491157302642</v>
      </c>
      <c r="P92" s="836"/>
      <c r="Q92" s="836">
        <f>IFERROR(IF($I$10="Remodelación",M92*Simul_ConstruRemo!$BS$29,
IF(D92=1,MAX(M92,Z92)*$BS$29,M92*$BQ$29)),"")</f>
        <v>827.2389712662</v>
      </c>
      <c r="R92" s="836"/>
      <c r="S92" s="268">
        <f>IF(B92="","",'Tabla_Puntual&amp;Relacionamiento'!$B$39)</f>
        <v>9.5000000000000001E-2</v>
      </c>
      <c r="T92" s="837"/>
      <c r="U92" s="837"/>
      <c r="V92" s="735">
        <f>IF(OR(Z91=0,Z91=""),"",IF(I92&gt;=G92,0,IF(OR($Y$52="NO",$Y$52=""),0,MIN(IF($Y$54="",0,$Y$54),$AV$16*25)*10%)))</f>
        <v>8915.5500000000011</v>
      </c>
      <c r="W92" s="735"/>
      <c r="X92" s="836">
        <f t="shared" si="21"/>
        <v>15912.643882839227</v>
      </c>
      <c r="Y92" s="836"/>
      <c r="Z92" s="836">
        <f t="shared" si="20"/>
        <v>1353192.9808477873</v>
      </c>
      <c r="AA92" s="836"/>
      <c r="AC92" s="484"/>
      <c r="AD92" s="66"/>
      <c r="AE92" s="66"/>
      <c r="AI92" s="137">
        <f t="shared" si="1"/>
        <v>15798.541955768027</v>
      </c>
      <c r="AJ92" s="63">
        <f>IF(OR(Z92="",Z92&lt;=0.01),"",IF(SUM($E$61:F92)=$I$26+$I$27,1,0))</f>
        <v>1</v>
      </c>
      <c r="AK92" s="63">
        <f t="shared" si="8"/>
        <v>27</v>
      </c>
      <c r="AL92" s="269">
        <f t="shared" si="11"/>
        <v>26</v>
      </c>
      <c r="AN92" s="63" t="str">
        <f t="shared" si="19"/>
        <v>Obra Concluida</v>
      </c>
      <c r="AQ92" s="63">
        <f>IF(SUM($E$61:F91)&gt;=$I$26+$I$27,1,0)</f>
        <v>1</v>
      </c>
      <c r="AR92" s="137">
        <f t="shared" si="9"/>
        <v>14490</v>
      </c>
    </row>
    <row r="93" spans="2:44" ht="21" customHeight="1" x14ac:dyDescent="0.3">
      <c r="B93" s="282">
        <f t="shared" si="2"/>
        <v>33</v>
      </c>
      <c r="C93" s="282"/>
      <c r="D93" s="267">
        <f>IF(B93="","",IF(AND($I$10="Remodelación",$I$22="No"),1,IF($I$29&gt;=0.8,1,IF(AN93="Ministración",Simul_ConstruRemo!BM93,1))))</f>
        <v>1</v>
      </c>
      <c r="E93" s="836">
        <f t="shared" si="17"/>
        <v>0</v>
      </c>
      <c r="F93" s="836"/>
      <c r="G93" s="836">
        <f t="shared" si="4"/>
        <v>1353192.9808477873</v>
      </c>
      <c r="H93" s="836"/>
      <c r="I93" s="836">
        <f t="shared" si="14"/>
        <v>3777.2222349550157</v>
      </c>
      <c r="J93" s="836"/>
      <c r="K93" s="836">
        <f t="shared" si="16"/>
        <v>10712.777765044984</v>
      </c>
      <c r="L93" s="836"/>
      <c r="M93" s="836">
        <f t="shared" si="18"/>
        <v>2606295</v>
      </c>
      <c r="N93" s="836"/>
      <c r="O93" s="836">
        <f>IFERROR(Z93*Simul_ConstruRemo!$BP$30/1000,"")</f>
        <v>593.74293378964626</v>
      </c>
      <c r="P93" s="836"/>
      <c r="Q93" s="836">
        <f>IFERROR(IF($I$10="Remodelación",M93*Simul_ConstruRemo!$BS$29,
IF(D93=1,MAX(M93,Z93)*$BS$29,M93*$BQ$29)),"")</f>
        <v>827.2389712662</v>
      </c>
      <c r="R93" s="836"/>
      <c r="S93" s="268">
        <f>IF(B93="","",'Tabla_Puntual&amp;Relacionamiento'!$B$39)</f>
        <v>9.5000000000000001E-2</v>
      </c>
      <c r="T93" s="837"/>
      <c r="U93" s="837"/>
      <c r="V93" s="734"/>
      <c r="W93" s="734"/>
      <c r="X93" s="836">
        <f t="shared" si="21"/>
        <v>15910.981905055847</v>
      </c>
      <c r="Y93" s="836"/>
      <c r="Z93" s="836">
        <f t="shared" si="20"/>
        <v>1349415.7586128323</v>
      </c>
      <c r="AA93" s="836"/>
      <c r="AC93" s="484"/>
      <c r="AD93" s="66"/>
      <c r="AE93" s="66"/>
      <c r="AI93" s="137">
        <f t="shared" si="1"/>
        <v>15796.879977984647</v>
      </c>
      <c r="AJ93" s="63">
        <f>IF(OR(Z93="",Z93&lt;=0.01),"",IF(SUM($E$61:F93)=$I$26+$I$27,1,0))</f>
        <v>1</v>
      </c>
      <c r="AK93" s="63">
        <f t="shared" si="8"/>
        <v>28</v>
      </c>
      <c r="AL93" s="269">
        <f t="shared" si="11"/>
        <v>27</v>
      </c>
      <c r="AN93" s="63" t="str">
        <f t="shared" si="19"/>
        <v>Obra Concluida</v>
      </c>
      <c r="AQ93" s="63">
        <f>IF(SUM($E$61:F92)&gt;=$I$26+$I$27,1,0)</f>
        <v>1</v>
      </c>
      <c r="AR93" s="137">
        <f t="shared" si="9"/>
        <v>14490</v>
      </c>
    </row>
    <row r="94" spans="2:44" ht="21" customHeight="1" x14ac:dyDescent="0.3">
      <c r="B94" s="282">
        <f t="shared" si="2"/>
        <v>34</v>
      </c>
      <c r="C94" s="282"/>
      <c r="D94" s="267">
        <f>IF(B94="","",IF(AND($I$10="Remodelación",$I$22="No"),1,IF($I$29&gt;=0.8,1,IF(AN94="Ministración",Simul_ConstruRemo!BM94,1))))</f>
        <v>1</v>
      </c>
      <c r="E94" s="836">
        <f t="shared" si="17"/>
        <v>0</v>
      </c>
      <c r="F94" s="836"/>
      <c r="G94" s="836">
        <f t="shared" si="4"/>
        <v>1349415.7586128323</v>
      </c>
      <c r="H94" s="836"/>
      <c r="I94" s="836">
        <f t="shared" si="14"/>
        <v>3807.125244315077</v>
      </c>
      <c r="J94" s="836"/>
      <c r="K94" s="836">
        <f t="shared" si="16"/>
        <v>10682.874755684923</v>
      </c>
      <c r="L94" s="836"/>
      <c r="M94" s="836">
        <f t="shared" si="18"/>
        <v>2606295</v>
      </c>
      <c r="N94" s="836"/>
      <c r="O94" s="836">
        <f>IFERROR(Z94*Simul_ConstruRemo!$BP$30/1000,"")</f>
        <v>588.14495668214761</v>
      </c>
      <c r="P94" s="836"/>
      <c r="Q94" s="836">
        <f>IFERROR(IF($I$10="Remodelación",M94*Simul_ConstruRemo!$BS$29,
IF(D94=1,MAX(M94,Z94)*$BS$29,M94*$BQ$29)),"")</f>
        <v>827.2389712662</v>
      </c>
      <c r="R94" s="836"/>
      <c r="S94" s="268">
        <f>IF(B94="","",'Tabla_Puntual&amp;Relacionamiento'!$B$39)</f>
        <v>9.5000000000000001E-2</v>
      </c>
      <c r="T94" s="837"/>
      <c r="U94" s="837"/>
      <c r="V94" s="735">
        <f>IF(OR(Z93=0,Z93=""),"",IF(I94&gt;=G94,0,IF(OR($Y$52="NO",$Y$52=""),0,MIN(IF($Y$54="",0,$Y$54),$AV$16*25)*10%)))</f>
        <v>8915.5500000000011</v>
      </c>
      <c r="W94" s="735"/>
      <c r="X94" s="836">
        <f t="shared" si="21"/>
        <v>15905.383927948349</v>
      </c>
      <c r="Y94" s="836"/>
      <c r="Z94" s="836">
        <f t="shared" si="20"/>
        <v>1336693.0833685172</v>
      </c>
      <c r="AA94" s="836"/>
      <c r="AC94" s="484"/>
      <c r="AD94" s="66"/>
      <c r="AE94" s="66"/>
      <c r="AI94" s="137">
        <f t="shared" si="1"/>
        <v>15791.282000877149</v>
      </c>
      <c r="AJ94" s="63">
        <f>IF(OR(Z94="",Z94&lt;=0.01),"",IF(SUM($E$61:F94)=$I$26+$I$27,1,0))</f>
        <v>1</v>
      </c>
      <c r="AK94" s="63">
        <f t="shared" si="8"/>
        <v>29</v>
      </c>
      <c r="AL94" s="269">
        <f t="shared" si="11"/>
        <v>28</v>
      </c>
      <c r="AN94" s="63" t="str">
        <f t="shared" si="19"/>
        <v>Obra Concluida</v>
      </c>
      <c r="AQ94" s="63">
        <f>IF(SUM($E$61:F93)&gt;=$I$26+$I$27,1,0)</f>
        <v>1</v>
      </c>
      <c r="AR94" s="137">
        <f t="shared" si="9"/>
        <v>14490</v>
      </c>
    </row>
    <row r="95" spans="2:44" ht="21" customHeight="1" x14ac:dyDescent="0.3">
      <c r="B95" s="282">
        <f t="shared" si="2"/>
        <v>35</v>
      </c>
      <c r="C95" s="282"/>
      <c r="D95" s="267">
        <f>IF(B95="","",IF(AND($I$10="Remodelación",$I$22="No"),1,IF($I$29&gt;=0.8,1,IF(AN95="Ministración",Simul_ConstruRemo!BM95,1))))</f>
        <v>1</v>
      </c>
      <c r="E95" s="836">
        <f t="shared" si="17"/>
        <v>0</v>
      </c>
      <c r="F95" s="836"/>
      <c r="G95" s="836">
        <f t="shared" si="4"/>
        <v>1336693.0833685172</v>
      </c>
      <c r="H95" s="836"/>
      <c r="I95" s="836">
        <f t="shared" si="14"/>
        <v>3907.8464233325703</v>
      </c>
      <c r="J95" s="836"/>
      <c r="K95" s="836">
        <f t="shared" si="16"/>
        <v>10582.15357666743</v>
      </c>
      <c r="L95" s="836"/>
      <c r="M95" s="836">
        <f t="shared" si="18"/>
        <v>2606295</v>
      </c>
      <c r="N95" s="836"/>
      <c r="O95" s="836">
        <f>IFERROR(Z95*Simul_ConstruRemo!$BP$30/1000,"")</f>
        <v>586.42550425588126</v>
      </c>
      <c r="P95" s="836"/>
      <c r="Q95" s="836">
        <f>IFERROR(IF($I$10="Remodelación",M95*Simul_ConstruRemo!$BS$29,
IF(D95=1,MAX(M95,Z95)*$BS$29,M95*$BQ$29)),"")</f>
        <v>827.2389712662</v>
      </c>
      <c r="R95" s="836"/>
      <c r="S95" s="268">
        <f>IF(B95="","",'Tabla_Puntual&amp;Relacionamiento'!$B$39)</f>
        <v>9.5000000000000001E-2</v>
      </c>
      <c r="T95" s="837"/>
      <c r="U95" s="837"/>
      <c r="V95" s="734"/>
      <c r="W95" s="734"/>
      <c r="X95" s="836">
        <f t="shared" si="21"/>
        <v>15903.664475522082</v>
      </c>
      <c r="Y95" s="836"/>
      <c r="Z95" s="836">
        <f t="shared" si="20"/>
        <v>1332785.2369451846</v>
      </c>
      <c r="AA95" s="836"/>
      <c r="AC95" s="484"/>
      <c r="AD95" s="66"/>
      <c r="AE95" s="66"/>
      <c r="AI95" s="137">
        <f t="shared" si="1"/>
        <v>15789.562548450882</v>
      </c>
      <c r="AJ95" s="63">
        <f>IF(OR(Z95="",Z95&lt;=0.01),"",IF(SUM($E$61:F95)=$I$26+$I$27,1,0))</f>
        <v>1</v>
      </c>
      <c r="AK95" s="63">
        <f t="shared" si="8"/>
        <v>30</v>
      </c>
      <c r="AL95" s="269">
        <f t="shared" si="11"/>
        <v>29</v>
      </c>
      <c r="AN95" s="63" t="str">
        <f t="shared" si="19"/>
        <v>Obra Concluida</v>
      </c>
      <c r="AQ95" s="63">
        <f>IF(SUM($E$61:F94)&gt;=$I$26+$I$27,1,0)</f>
        <v>1</v>
      </c>
      <c r="AR95" s="137">
        <f t="shared" si="9"/>
        <v>14490</v>
      </c>
    </row>
    <row r="96" spans="2:44" ht="21" customHeight="1" x14ac:dyDescent="0.3">
      <c r="B96" s="282">
        <f t="shared" si="2"/>
        <v>36</v>
      </c>
      <c r="C96" s="282"/>
      <c r="D96" s="267">
        <f>IF(B96="","",IF(AND($I$10="Remodelación",$I$22="No"),1,IF($I$29&gt;=0.8,1,IF(AN96="Ministración",Simul_ConstruRemo!BM96,1))))</f>
        <v>1</v>
      </c>
      <c r="E96" s="836">
        <f t="shared" si="17"/>
        <v>0</v>
      </c>
      <c r="F96" s="836"/>
      <c r="G96" s="836">
        <f t="shared" si="4"/>
        <v>1332785.2369451846</v>
      </c>
      <c r="H96" s="836"/>
      <c r="I96" s="836">
        <f t="shared" si="14"/>
        <v>3938.7835408506198</v>
      </c>
      <c r="J96" s="836"/>
      <c r="K96" s="836">
        <f t="shared" si="16"/>
        <v>10551.21645914938</v>
      </c>
      <c r="L96" s="836"/>
      <c r="M96" s="836">
        <f t="shared" si="18"/>
        <v>2606295</v>
      </c>
      <c r="N96" s="836"/>
      <c r="O96" s="836">
        <f>IFERROR(Z96*Simul_ConstruRemo!$BP$30/1000,"")</f>
        <v>580.76959749790706</v>
      </c>
      <c r="P96" s="836"/>
      <c r="Q96" s="836">
        <f>IFERROR(IF($I$10="Remodelación",M96*Simul_ConstruRemo!$BS$29,
IF(D96=1,MAX(M96,Z96)*$BS$29,M96*$BQ$29)),"")</f>
        <v>827.2389712662</v>
      </c>
      <c r="R96" s="836"/>
      <c r="S96" s="268">
        <f>IF(B96="","",'Tabla_Puntual&amp;Relacionamiento'!$B$39)</f>
        <v>9.5000000000000001E-2</v>
      </c>
      <c r="T96" s="837"/>
      <c r="U96" s="837"/>
      <c r="V96" s="735">
        <f>IF(OR(Z95=0,Z95=""),"",IF(I96&gt;=G96,0,IF(OR($Y$52="NO",$Y$52=""),0,MIN(IF($Y$54="",0,$Y$54),$AV$16*25)*10%)))</f>
        <v>8915.5500000000011</v>
      </c>
      <c r="W96" s="735"/>
      <c r="X96" s="836">
        <f t="shared" si="21"/>
        <v>15898.008568764108</v>
      </c>
      <c r="Y96" s="836"/>
      <c r="Z96" s="836">
        <f t="shared" si="20"/>
        <v>1319930.9034043341</v>
      </c>
      <c r="AA96" s="836"/>
      <c r="AC96" s="484"/>
      <c r="AD96" s="66"/>
      <c r="AE96" s="66"/>
      <c r="AI96" s="137">
        <f t="shared" si="1"/>
        <v>15783.906641692907</v>
      </c>
      <c r="AJ96" s="63">
        <f>IF(OR(Z96="",Z96&lt;=0.01),"",IF(SUM($E$61:F96)=$I$26+$I$27,1,0))</f>
        <v>1</v>
      </c>
      <c r="AK96" s="63">
        <f t="shared" si="8"/>
        <v>31</v>
      </c>
      <c r="AL96" s="269">
        <f t="shared" si="11"/>
        <v>30</v>
      </c>
      <c r="AN96" s="63" t="str">
        <f t="shared" si="19"/>
        <v>Obra Concluida</v>
      </c>
      <c r="AQ96" s="63">
        <f>IF(SUM($E$61:F95)&gt;=$I$26+$I$27,1,0)</f>
        <v>1</v>
      </c>
      <c r="AR96" s="137">
        <f t="shared" si="9"/>
        <v>14490</v>
      </c>
    </row>
    <row r="97" spans="2:44" ht="21" customHeight="1" x14ac:dyDescent="0.3">
      <c r="B97" s="282">
        <f t="shared" si="2"/>
        <v>37</v>
      </c>
      <c r="C97" s="282"/>
      <c r="D97" s="267">
        <f>IF(B97="","",IF(AND($I$10="Remodelación",$I$22="No"),1,IF($I$29&gt;=0.8,1,IF(AN97="Ministración",Simul_ConstruRemo!BM97,1))))</f>
        <v>1</v>
      </c>
      <c r="E97" s="836">
        <f t="shared" si="17"/>
        <v>0</v>
      </c>
      <c r="F97" s="836"/>
      <c r="G97" s="836">
        <f t="shared" si="4"/>
        <v>1319930.9034043341</v>
      </c>
      <c r="H97" s="836"/>
      <c r="I97" s="836">
        <f t="shared" si="14"/>
        <v>4205.5383776412309</v>
      </c>
      <c r="J97" s="836"/>
      <c r="K97" s="836">
        <f t="shared" si="16"/>
        <v>10284.461622358769</v>
      </c>
      <c r="L97" s="836"/>
      <c r="M97" s="836">
        <f t="shared" si="18"/>
        <v>2606295</v>
      </c>
      <c r="N97" s="836"/>
      <c r="O97" s="836">
        <f>IFERROR(Z97*Simul_ConstruRemo!$BP$30/1000,"")</f>
        <v>578.91916061174481</v>
      </c>
      <c r="P97" s="836"/>
      <c r="Q97" s="836">
        <f>IFERROR(IF($I$10="Remodelación",M97*Simul_ConstruRemo!$BS$29,
IF(D97=1,MAX(M97,Z97)*$BS$29,M97*$BQ$29)),"")</f>
        <v>827.2389712662</v>
      </c>
      <c r="R97" s="836"/>
      <c r="S97" s="268">
        <f>IF(B97="","",'Tabla_Puntual&amp;Relacionamiento'!$B$40)</f>
        <v>9.35E-2</v>
      </c>
      <c r="T97" s="837"/>
      <c r="U97" s="837"/>
      <c r="V97" s="734"/>
      <c r="W97" s="734"/>
      <c r="X97" s="836">
        <f t="shared" si="21"/>
        <v>15896.158131877946</v>
      </c>
      <c r="Y97" s="836"/>
      <c r="Z97" s="836">
        <f t="shared" si="20"/>
        <v>1315725.3650266929</v>
      </c>
      <c r="AA97" s="836"/>
      <c r="AC97" s="484"/>
      <c r="AD97" s="66"/>
      <c r="AE97" s="66"/>
      <c r="AI97" s="137">
        <f t="shared" si="1"/>
        <v>15782.056204806746</v>
      </c>
      <c r="AJ97" s="63">
        <f>IF(OR(Z97="",Z97&lt;=0.01),"",IF(SUM($E$61:F97)=$I$26+$I$27,1,0))</f>
        <v>1</v>
      </c>
      <c r="AK97" s="63">
        <f t="shared" si="8"/>
        <v>32</v>
      </c>
      <c r="AL97" s="269">
        <f t="shared" si="11"/>
        <v>31</v>
      </c>
      <c r="AN97" s="63" t="str">
        <f t="shared" si="19"/>
        <v>Obra Concluida</v>
      </c>
      <c r="AQ97" s="63">
        <f>IF(SUM($E$61:F96)&gt;=$I$26+$I$27,1,0)</f>
        <v>1</v>
      </c>
      <c r="AR97" s="137">
        <f t="shared" si="9"/>
        <v>14490</v>
      </c>
    </row>
    <row r="98" spans="2:44" ht="21" customHeight="1" x14ac:dyDescent="0.3">
      <c r="B98" s="282">
        <f t="shared" si="2"/>
        <v>38</v>
      </c>
      <c r="C98" s="282"/>
      <c r="D98" s="267">
        <f>IF(B98="","",IF(AND($I$10="Remodelación",$I$22="No"),1,IF($I$29&gt;=0.8,1,IF(AN98="Ministración",Simul_ConstruRemo!BM98,1))))</f>
        <v>1</v>
      </c>
      <c r="E98" s="836">
        <f t="shared" si="17"/>
        <v>0</v>
      </c>
      <c r="F98" s="836"/>
      <c r="G98" s="836">
        <f t="shared" si="4"/>
        <v>1315725.3650266929</v>
      </c>
      <c r="H98" s="836"/>
      <c r="I98" s="836">
        <f t="shared" si="14"/>
        <v>4238.3065308336845</v>
      </c>
      <c r="J98" s="836"/>
      <c r="K98" s="836">
        <f t="shared" si="16"/>
        <v>10251.693469166315</v>
      </c>
      <c r="L98" s="836"/>
      <c r="M98" s="836">
        <f t="shared" si="18"/>
        <v>2606295</v>
      </c>
      <c r="N98" s="836"/>
      <c r="O98" s="836">
        <f>IFERROR(Z98*Simul_ConstruRemo!$BP$30/1000,"")</f>
        <v>573.13146373817801</v>
      </c>
      <c r="P98" s="836"/>
      <c r="Q98" s="836">
        <f>IFERROR(IF($I$10="Remodelación",M98*Simul_ConstruRemo!$BS$29,
IF(D98=1,MAX(M98,Z98)*$BS$29,M98*$BQ$29)),"")</f>
        <v>827.2389712662</v>
      </c>
      <c r="R98" s="836"/>
      <c r="S98" s="268">
        <f>IF(B98="","",'Tabla_Puntual&amp;Relacionamiento'!$B$40)</f>
        <v>9.35E-2</v>
      </c>
      <c r="T98" s="837"/>
      <c r="U98" s="837"/>
      <c r="V98" s="735">
        <f>IF(OR(Z97=0,Z97=""),"",IF(I98&gt;=G98,0,IF(OR($Y$52="NO",$Y$52=""),0,MIN(IF($Y$54="",0,$Y$54),$AV$16*25)*10%)))</f>
        <v>8915.5500000000011</v>
      </c>
      <c r="W98" s="735"/>
      <c r="X98" s="836">
        <f t="shared" si="21"/>
        <v>15890.370435004379</v>
      </c>
      <c r="Y98" s="836"/>
      <c r="Z98" s="836">
        <f t="shared" si="20"/>
        <v>1302571.5084958591</v>
      </c>
      <c r="AA98" s="836"/>
      <c r="AC98" s="484"/>
      <c r="AD98" s="66"/>
      <c r="AE98" s="66"/>
      <c r="AI98" s="137">
        <f t="shared" si="1"/>
        <v>15776.268507933179</v>
      </c>
      <c r="AJ98" s="63">
        <f>IF(OR(Z98="",Z98&lt;=0.01),"",IF(SUM($E$61:F98)=$I$26+$I$27,1,0))</f>
        <v>1</v>
      </c>
      <c r="AK98" s="63">
        <f t="shared" si="8"/>
        <v>33</v>
      </c>
      <c r="AL98" s="269">
        <f t="shared" si="11"/>
        <v>32</v>
      </c>
      <c r="AN98" s="63" t="str">
        <f t="shared" si="19"/>
        <v>Obra Concluida</v>
      </c>
      <c r="AQ98" s="63">
        <f>IF(SUM($E$61:F97)&gt;=$I$26+$I$27,1,0)</f>
        <v>1</v>
      </c>
      <c r="AR98" s="137">
        <f t="shared" si="9"/>
        <v>14490</v>
      </c>
    </row>
    <row r="99" spans="2:44" ht="21" customHeight="1" x14ac:dyDescent="0.3">
      <c r="B99" s="282">
        <f t="shared" si="2"/>
        <v>39</v>
      </c>
      <c r="C99" s="282"/>
      <c r="D99" s="267">
        <f>IF(B99="","",IF(AND($I$10="Remodelación",$I$22="No"),1,IF($I$29&gt;=0.8,1,IF(AN99="Ministración",Simul_ConstruRemo!BM99,1))))</f>
        <v>1</v>
      </c>
      <c r="E99" s="836">
        <f t="shared" si="17"/>
        <v>0</v>
      </c>
      <c r="F99" s="836"/>
      <c r="G99" s="836">
        <f t="shared" si="4"/>
        <v>1302571.5084958591</v>
      </c>
      <c r="H99" s="836"/>
      <c r="I99" s="836">
        <f t="shared" si="14"/>
        <v>4340.7969963030973</v>
      </c>
      <c r="J99" s="836"/>
      <c r="K99" s="836">
        <f t="shared" si="16"/>
        <v>10149.203003696903</v>
      </c>
      <c r="L99" s="836"/>
      <c r="M99" s="836">
        <f t="shared" si="18"/>
        <v>2606295</v>
      </c>
      <c r="N99" s="836"/>
      <c r="O99" s="836">
        <f>IFERROR(Z99*Simul_ConstruRemo!$BP$30/1000,"")</f>
        <v>571.22151305980469</v>
      </c>
      <c r="P99" s="836"/>
      <c r="Q99" s="836">
        <f>IFERROR(IF($I$10="Remodelación",M99*Simul_ConstruRemo!$BS$29,
IF(D99=1,MAX(M99,Z99)*$BS$29,M99*$BQ$29)),"")</f>
        <v>827.2389712662</v>
      </c>
      <c r="R99" s="836"/>
      <c r="S99" s="268">
        <f>IF(B99="","",'Tabla_Puntual&amp;Relacionamiento'!$B$40)</f>
        <v>9.35E-2</v>
      </c>
      <c r="T99" s="837"/>
      <c r="U99" s="837"/>
      <c r="V99" s="734"/>
      <c r="W99" s="734"/>
      <c r="X99" s="836">
        <f t="shared" si="21"/>
        <v>15888.460484326006</v>
      </c>
      <c r="Y99" s="836"/>
      <c r="Z99" s="836">
        <f t="shared" si="20"/>
        <v>1298230.711499556</v>
      </c>
      <c r="AA99" s="836"/>
      <c r="AC99" s="484"/>
      <c r="AD99" s="66"/>
      <c r="AE99" s="66"/>
      <c r="AI99" s="137">
        <f t="shared" si="1"/>
        <v>15774.358557254805</v>
      </c>
      <c r="AJ99" s="63">
        <f>IF(OR(Z99="",Z99&lt;=0.01),"",IF(SUM($E$61:F99)=$I$26+$I$27,1,0))</f>
        <v>1</v>
      </c>
      <c r="AK99" s="63">
        <f t="shared" si="8"/>
        <v>34</v>
      </c>
      <c r="AL99" s="269">
        <f t="shared" si="11"/>
        <v>33</v>
      </c>
      <c r="AN99" s="63" t="str">
        <f t="shared" si="19"/>
        <v>Obra Concluida</v>
      </c>
      <c r="AQ99" s="63">
        <f>IF(SUM($E$61:F98)&gt;=$I$26+$I$27,1,0)</f>
        <v>1</v>
      </c>
      <c r="AR99" s="137">
        <f t="shared" si="9"/>
        <v>14490</v>
      </c>
    </row>
    <row r="100" spans="2:44" ht="21" customHeight="1" x14ac:dyDescent="0.3">
      <c r="B100" s="282">
        <f t="shared" si="2"/>
        <v>40</v>
      </c>
      <c r="C100" s="282"/>
      <c r="D100" s="267">
        <f>IF(B100="","",IF(AND($I$10="Remodelación",$I$22="No"),1,IF($I$29&gt;=0.8,1,IF(AN100="Ministración",Simul_ConstruRemo!BM100,1))))</f>
        <v>1</v>
      </c>
      <c r="E100" s="836">
        <f t="shared" si="17"/>
        <v>0</v>
      </c>
      <c r="F100" s="836"/>
      <c r="G100" s="836">
        <f t="shared" si="4"/>
        <v>1298230.711499556</v>
      </c>
      <c r="H100" s="836"/>
      <c r="I100" s="836">
        <f t="shared" si="14"/>
        <v>4374.6190395659596</v>
      </c>
      <c r="J100" s="836"/>
      <c r="K100" s="836">
        <f t="shared" si="16"/>
        <v>10115.38096043404</v>
      </c>
      <c r="L100" s="836"/>
      <c r="M100" s="836">
        <f t="shared" si="18"/>
        <v>2606295</v>
      </c>
      <c r="N100" s="836"/>
      <c r="O100" s="836">
        <f>IFERROR(Z100*Simul_ConstruRemo!$BP$30/1000,"")</f>
        <v>565.37383868239556</v>
      </c>
      <c r="P100" s="836"/>
      <c r="Q100" s="836">
        <f>IFERROR(IF($I$10="Remodelación",M100*Simul_ConstruRemo!$BS$29,
IF(D100=1,MAX(M100,Z100)*$BS$29,M100*$BQ$29)),"")</f>
        <v>827.2389712662</v>
      </c>
      <c r="R100" s="836"/>
      <c r="S100" s="268">
        <f>IF(B100="","",'Tabla_Puntual&amp;Relacionamiento'!$B$40)</f>
        <v>9.35E-2</v>
      </c>
      <c r="T100" s="837"/>
      <c r="U100" s="837"/>
      <c r="V100" s="735">
        <f>IF(OR(Z99=0,Z99=""),"",IF(I100&gt;=G100,0,IF(OR($Y$52="NO",$Y$52=""),0,MIN(IF($Y$54="",0,$Y$54),$AV$16*25)*10%)))</f>
        <v>8915.5500000000011</v>
      </c>
      <c r="W100" s="735"/>
      <c r="X100" s="836">
        <f t="shared" si="21"/>
        <v>15882.612809948596</v>
      </c>
      <c r="Y100" s="836"/>
      <c r="Z100" s="836">
        <f t="shared" si="20"/>
        <v>1284940.5424599899</v>
      </c>
      <c r="AA100" s="836"/>
      <c r="AC100" s="484"/>
      <c r="AD100" s="66"/>
      <c r="AE100" s="66"/>
      <c r="AI100" s="137">
        <f t="shared" si="1"/>
        <v>15768.510882877395</v>
      </c>
      <c r="AJ100" s="63">
        <f>IF(OR(Z100="",Z100&lt;=0.01),"",IF(SUM($E$61:F100)=$I$26+$I$27,1,0))</f>
        <v>1</v>
      </c>
      <c r="AK100" s="63">
        <f t="shared" si="8"/>
        <v>35</v>
      </c>
      <c r="AL100" s="269">
        <f t="shared" si="11"/>
        <v>34</v>
      </c>
      <c r="AN100" s="63" t="str">
        <f t="shared" si="19"/>
        <v>Obra Concluida</v>
      </c>
      <c r="AQ100" s="63">
        <f>IF(SUM($E$61:F99)&gt;=$I$26+$I$27,1,0)</f>
        <v>1</v>
      </c>
      <c r="AR100" s="137">
        <f t="shared" si="9"/>
        <v>14490</v>
      </c>
    </row>
    <row r="101" spans="2:44" ht="21" customHeight="1" x14ac:dyDescent="0.3">
      <c r="B101" s="282">
        <f t="shared" si="2"/>
        <v>41</v>
      </c>
      <c r="C101" s="282"/>
      <c r="D101" s="267">
        <f>IF(B101="","",IF(AND($I$10="Remodelación",$I$22="No"),1,IF($I$29&gt;=0.8,1,IF(AN101="Ministración",Simul_ConstruRemo!BM101,1))))</f>
        <v>1</v>
      </c>
      <c r="E101" s="836">
        <f t="shared" si="17"/>
        <v>0</v>
      </c>
      <c r="F101" s="836"/>
      <c r="G101" s="836">
        <f t="shared" si="4"/>
        <v>1284940.5424599899</v>
      </c>
      <c r="H101" s="836"/>
      <c r="I101" s="836">
        <f t="shared" si="14"/>
        <v>4478.1716066659119</v>
      </c>
      <c r="J101" s="836"/>
      <c r="K101" s="836">
        <f t="shared" si="16"/>
        <v>10011.828393334088</v>
      </c>
      <c r="L101" s="836"/>
      <c r="M101" s="836">
        <f t="shared" si="18"/>
        <v>2606295</v>
      </c>
      <c r="N101" s="836"/>
      <c r="O101" s="836">
        <f>IFERROR(Z101*Simul_ConstruRemo!$BP$30/1000,"")</f>
        <v>563.40344317546248</v>
      </c>
      <c r="P101" s="836"/>
      <c r="Q101" s="836">
        <f>IFERROR(IF($I$10="Remodelación",M101*Simul_ConstruRemo!$BS$29,
IF(D101=1,MAX(M101,Z101)*$BS$29,M101*$BQ$29)),"")</f>
        <v>827.2389712662</v>
      </c>
      <c r="R101" s="836"/>
      <c r="S101" s="268">
        <f>IF(B101="","",'Tabla_Puntual&amp;Relacionamiento'!$B$40)</f>
        <v>9.35E-2</v>
      </c>
      <c r="T101" s="837"/>
      <c r="U101" s="837"/>
      <c r="V101" s="734"/>
      <c r="W101" s="734"/>
      <c r="X101" s="836">
        <f t="shared" si="21"/>
        <v>15880.642414441663</v>
      </c>
      <c r="Y101" s="836"/>
      <c r="Z101" s="836">
        <f t="shared" si="20"/>
        <v>1280462.370853324</v>
      </c>
      <c r="AA101" s="836"/>
      <c r="AC101" s="484"/>
      <c r="AD101" s="66"/>
      <c r="AE101" s="66"/>
      <c r="AI101" s="137">
        <f t="shared" si="1"/>
        <v>15766.540487370463</v>
      </c>
      <c r="AJ101" s="63">
        <f>IF(OR(Z101="",Z101&lt;=0.01),"",IF(SUM($E$61:F101)=$I$26+$I$27,1,0))</f>
        <v>1</v>
      </c>
      <c r="AK101" s="63">
        <f t="shared" si="8"/>
        <v>36</v>
      </c>
      <c r="AL101" s="269">
        <f t="shared" si="11"/>
        <v>35</v>
      </c>
      <c r="AN101" s="63" t="str">
        <f t="shared" si="19"/>
        <v>Obra Concluida</v>
      </c>
      <c r="AQ101" s="63">
        <f>IF(SUM($E$61:F100)&gt;=$I$26+$I$27,1,0)</f>
        <v>1</v>
      </c>
      <c r="AR101" s="137">
        <f t="shared" si="9"/>
        <v>14490</v>
      </c>
    </row>
    <row r="102" spans="2:44" ht="21" customHeight="1" x14ac:dyDescent="0.3">
      <c r="B102" s="282">
        <f t="shared" si="2"/>
        <v>42</v>
      </c>
      <c r="C102" s="282"/>
      <c r="D102" s="267">
        <f>IF(B102="","",IF(AND($I$10="Remodelación",$I$22="No"),1,IF($I$29&gt;=0.8,1,IF(AN102="Ministración",Simul_ConstruRemo!BM102,1))))</f>
        <v>1</v>
      </c>
      <c r="E102" s="836">
        <f t="shared" si="17"/>
        <v>0</v>
      </c>
      <c r="F102" s="836"/>
      <c r="G102" s="836">
        <f t="shared" si="4"/>
        <v>1280462.370853324</v>
      </c>
      <c r="H102" s="836"/>
      <c r="I102" s="836">
        <f t="shared" si="14"/>
        <v>4513.0640271011853</v>
      </c>
      <c r="J102" s="836"/>
      <c r="K102" s="836">
        <f t="shared" si="16"/>
        <v>9976.9359728988147</v>
      </c>
      <c r="L102" s="836"/>
      <c r="M102" s="836">
        <f t="shared" si="18"/>
        <v>2606295</v>
      </c>
      <c r="N102" s="836"/>
      <c r="O102" s="836">
        <f>IFERROR(Z102*Simul_ConstruRemo!$BP$30/1000,"")</f>
        <v>557.49485300353797</v>
      </c>
      <c r="P102" s="836"/>
      <c r="Q102" s="836">
        <f>IFERROR(IF($I$10="Remodelación",M102*Simul_ConstruRemo!$BS$29,
IF(D102=1,MAX(M102,Z102)*$BS$29,M102*$BQ$29)),"")</f>
        <v>827.2389712662</v>
      </c>
      <c r="R102" s="836"/>
      <c r="S102" s="268">
        <f>IF(B102="","",'Tabla_Puntual&amp;Relacionamiento'!$B$40)</f>
        <v>9.35E-2</v>
      </c>
      <c r="T102" s="837"/>
      <c r="U102" s="837"/>
      <c r="V102" s="735">
        <f>IF(OR(Z101=0,Z101=""),"",IF(I102&gt;=G102,0,IF(OR($Y$52="NO",$Y$52=""),0,MIN(IF($Y$54="",0,$Y$54),$AV$16*25)*10%)))</f>
        <v>8915.5500000000011</v>
      </c>
      <c r="W102" s="735"/>
      <c r="X102" s="836">
        <f t="shared" si="21"/>
        <v>15874.733824269739</v>
      </c>
      <c r="Y102" s="836"/>
      <c r="Z102" s="836">
        <f t="shared" si="20"/>
        <v>1267033.7568262226</v>
      </c>
      <c r="AA102" s="836"/>
      <c r="AC102" s="484"/>
      <c r="AD102" s="66"/>
      <c r="AE102" s="66"/>
      <c r="AI102" s="137">
        <f t="shared" si="1"/>
        <v>15760.631897198538</v>
      </c>
      <c r="AJ102" s="63">
        <f>IF(OR(Z102="",Z102&lt;=0.01),"",IF(SUM($E$61:F102)=$I$26+$I$27,1,0))</f>
        <v>1</v>
      </c>
      <c r="AK102" s="63">
        <f t="shared" si="8"/>
        <v>37</v>
      </c>
      <c r="AL102" s="269">
        <f t="shared" si="11"/>
        <v>36</v>
      </c>
      <c r="AN102" s="63" t="str">
        <f t="shared" si="19"/>
        <v>Obra Concluida</v>
      </c>
      <c r="AQ102" s="63">
        <f>IF(SUM($E$61:F101)&gt;=$I$26+$I$27,1,0)</f>
        <v>1</v>
      </c>
      <c r="AR102" s="137">
        <f t="shared" si="9"/>
        <v>14490</v>
      </c>
    </row>
    <row r="103" spans="2:44" ht="21" customHeight="1" x14ac:dyDescent="0.3">
      <c r="B103" s="282">
        <f t="shared" si="2"/>
        <v>43</v>
      </c>
      <c r="C103" s="282"/>
      <c r="D103" s="267">
        <f>IF(B103="","",IF(AND($I$10="Remodelación",$I$22="No"),1,IF($I$29&gt;=0.8,1,IF(AN103="Ministración",Simul_ConstruRemo!BM103,1))))</f>
        <v>1</v>
      </c>
      <c r="E103" s="836">
        <f t="shared" si="17"/>
        <v>0</v>
      </c>
      <c r="F103" s="836"/>
      <c r="G103" s="836">
        <f t="shared" si="4"/>
        <v>1267033.7568262226</v>
      </c>
      <c r="H103" s="836"/>
      <c r="I103" s="836">
        <f t="shared" si="14"/>
        <v>4617.6953113956824</v>
      </c>
      <c r="J103" s="836"/>
      <c r="K103" s="836">
        <f t="shared" si="16"/>
        <v>9872.3046886043176</v>
      </c>
      <c r="L103" s="836"/>
      <c r="M103" s="836">
        <f t="shared" si="18"/>
        <v>2606295</v>
      </c>
      <c r="N103" s="836"/>
      <c r="O103" s="836">
        <f>IFERROR(Z103*Simul_ConstruRemo!$BP$30/1000,"")</f>
        <v>555.46306706652388</v>
      </c>
      <c r="P103" s="836"/>
      <c r="Q103" s="836">
        <f>IFERROR(IF($I$10="Remodelación",M103*Simul_ConstruRemo!$BS$29,
IF(D103=1,MAX(M103,Z103)*$BS$29,M103*$BQ$29)),"")</f>
        <v>827.2389712662</v>
      </c>
      <c r="R103" s="836"/>
      <c r="S103" s="268">
        <f>IF(B103="","",'Tabla_Puntual&amp;Relacionamiento'!$B$40)</f>
        <v>9.35E-2</v>
      </c>
      <c r="T103" s="837"/>
      <c r="U103" s="837"/>
      <c r="V103" s="734"/>
      <c r="W103" s="734"/>
      <c r="X103" s="836">
        <f t="shared" si="21"/>
        <v>15872.702038332725</v>
      </c>
      <c r="Y103" s="836"/>
      <c r="Z103" s="836">
        <f t="shared" si="20"/>
        <v>1262416.061514827</v>
      </c>
      <c r="AA103" s="836"/>
      <c r="AC103" s="484"/>
      <c r="AD103" s="66"/>
      <c r="AE103" s="66"/>
      <c r="AI103" s="137">
        <f t="shared" si="1"/>
        <v>15758.600111261525</v>
      </c>
      <c r="AJ103" s="63">
        <f>IF(OR(Z103="",Z103&lt;=0.01),"",IF(SUM($E$61:F103)=$I$26+$I$27,1,0))</f>
        <v>1</v>
      </c>
      <c r="AK103" s="63">
        <f t="shared" si="8"/>
        <v>38</v>
      </c>
      <c r="AL103" s="269">
        <f t="shared" si="11"/>
        <v>37</v>
      </c>
      <c r="AN103" s="63" t="str">
        <f t="shared" si="19"/>
        <v>Obra Concluida</v>
      </c>
      <c r="AQ103" s="63">
        <f>IF(SUM($E$61:F102)&gt;=$I$26+$I$27,1,0)</f>
        <v>1</v>
      </c>
      <c r="AR103" s="137">
        <f t="shared" si="9"/>
        <v>14490</v>
      </c>
    </row>
    <row r="104" spans="2:44" ht="21" customHeight="1" x14ac:dyDescent="0.3">
      <c r="B104" s="282">
        <f t="shared" si="2"/>
        <v>44</v>
      </c>
      <c r="C104" s="282"/>
      <c r="D104" s="267">
        <f>IF(B104="","",IF(AND($I$10="Remodelación",$I$22="No"),1,IF($I$29&gt;=0.8,1,IF(AN104="Ministración",Simul_ConstruRemo!BM104,1))))</f>
        <v>1</v>
      </c>
      <c r="E104" s="836">
        <f t="shared" si="17"/>
        <v>0</v>
      </c>
      <c r="F104" s="836"/>
      <c r="G104" s="836">
        <f t="shared" si="4"/>
        <v>1262416.061514827</v>
      </c>
      <c r="H104" s="836"/>
      <c r="I104" s="836">
        <f t="shared" si="14"/>
        <v>4653.674854030307</v>
      </c>
      <c r="J104" s="836"/>
      <c r="K104" s="836">
        <f t="shared" si="16"/>
        <v>9836.325145969693</v>
      </c>
      <c r="L104" s="836"/>
      <c r="M104" s="836">
        <f t="shared" si="18"/>
        <v>2606295</v>
      </c>
      <c r="N104" s="836"/>
      <c r="O104" s="836">
        <f>IFERROR(Z104*Simul_ConstruRemo!$BP$30/1000,"")</f>
        <v>549.49260813075045</v>
      </c>
      <c r="P104" s="836"/>
      <c r="Q104" s="836">
        <f>IFERROR(IF($I$10="Remodelación",M104*Simul_ConstruRemo!$BS$29,
IF(D104=1,MAX(M104,Z104)*$BS$29,M104*$BQ$29)),"")</f>
        <v>827.2389712662</v>
      </c>
      <c r="R104" s="836"/>
      <c r="S104" s="268">
        <f>IF(B104="","",'Tabla_Puntual&amp;Relacionamiento'!$B$40)</f>
        <v>9.35E-2</v>
      </c>
      <c r="T104" s="837"/>
      <c r="U104" s="837"/>
      <c r="V104" s="735">
        <f>IF(OR(Z103=0,Z103=""),"",IF(I104&gt;=G104,0,IF(OR($Y$52="NO",$Y$52=""),0,MIN(IF($Y$54="",0,$Y$54),$AV$16*25)*10%)))</f>
        <v>8915.5500000000011</v>
      </c>
      <c r="W104" s="735"/>
      <c r="X104" s="836">
        <f t="shared" si="21"/>
        <v>15866.731579396952</v>
      </c>
      <c r="Y104" s="836"/>
      <c r="Z104" s="836">
        <f t="shared" si="20"/>
        <v>1248846.8366607965</v>
      </c>
      <c r="AA104" s="836"/>
      <c r="AC104" s="484"/>
      <c r="AD104" s="66"/>
      <c r="AE104" s="66"/>
      <c r="AI104" s="137">
        <f t="shared" si="1"/>
        <v>15752.629652325752</v>
      </c>
      <c r="AJ104" s="63">
        <f>IF(OR(Z104="",Z104&lt;=0.01),"",IF(SUM($E$61:F104)=$I$26+$I$27,1,0))</f>
        <v>1</v>
      </c>
      <c r="AK104" s="63">
        <f t="shared" si="8"/>
        <v>39</v>
      </c>
      <c r="AL104" s="269">
        <f t="shared" si="11"/>
        <v>38</v>
      </c>
      <c r="AN104" s="63" t="str">
        <f t="shared" si="19"/>
        <v>Obra Concluida</v>
      </c>
      <c r="AQ104" s="63">
        <f>IF(SUM($E$61:F103)&gt;=$I$26+$I$27,1,0)</f>
        <v>1</v>
      </c>
      <c r="AR104" s="137">
        <f t="shared" si="9"/>
        <v>14490</v>
      </c>
    </row>
    <row r="105" spans="2:44" ht="21" customHeight="1" x14ac:dyDescent="0.3">
      <c r="B105" s="282">
        <f t="shared" si="2"/>
        <v>45</v>
      </c>
      <c r="C105" s="282"/>
      <c r="D105" s="267">
        <f>IF(B105="","",IF(AND($I$10="Remodelación",$I$22="No"),1,IF($I$29&gt;=0.8,1,IF(AN105="Ministración",Simul_ConstruRemo!BM105,1))))</f>
        <v>1</v>
      </c>
      <c r="E105" s="836">
        <f t="shared" si="17"/>
        <v>0</v>
      </c>
      <c r="F105" s="836"/>
      <c r="G105" s="836">
        <f t="shared" si="4"/>
        <v>1248846.8366607965</v>
      </c>
      <c r="H105" s="836"/>
      <c r="I105" s="836">
        <f t="shared" si="14"/>
        <v>4759.4017310179606</v>
      </c>
      <c r="J105" s="836"/>
      <c r="K105" s="836">
        <f t="shared" si="16"/>
        <v>9730.5982689820394</v>
      </c>
      <c r="L105" s="836"/>
      <c r="M105" s="836">
        <f t="shared" si="18"/>
        <v>2606295</v>
      </c>
      <c r="N105" s="836"/>
      <c r="O105" s="836">
        <f>IFERROR(Z105*Simul_ConstruRemo!$BP$30/1000,"")</f>
        <v>547.39847136910259</v>
      </c>
      <c r="P105" s="836"/>
      <c r="Q105" s="836">
        <f>IFERROR(IF($I$10="Remodelación",M105*Simul_ConstruRemo!$BS$29,
IF(D105=1,MAX(M105,Z105)*$BS$29,M105*$BQ$29)),"")</f>
        <v>827.2389712662</v>
      </c>
      <c r="R105" s="836"/>
      <c r="S105" s="268">
        <f>IF(B105="","",'Tabla_Puntual&amp;Relacionamiento'!$B$40)</f>
        <v>9.35E-2</v>
      </c>
      <c r="T105" s="837"/>
      <c r="U105" s="837"/>
      <c r="V105" s="734"/>
      <c r="W105" s="734"/>
      <c r="X105" s="836">
        <f t="shared" si="21"/>
        <v>15864.637442635303</v>
      </c>
      <c r="Y105" s="836"/>
      <c r="Z105" s="836">
        <f t="shared" si="20"/>
        <v>1244087.4349297786</v>
      </c>
      <c r="AA105" s="836"/>
      <c r="AC105" s="484"/>
      <c r="AD105" s="66"/>
      <c r="AE105" s="66"/>
      <c r="AI105" s="137">
        <f t="shared" si="1"/>
        <v>15750.535515564103</v>
      </c>
      <c r="AJ105" s="63">
        <f>IF(OR(Z105="",Z105&lt;=0.01),"",IF(SUM($E$61:F105)=$I$26+$I$27,1,0))</f>
        <v>1</v>
      </c>
      <c r="AK105" s="63">
        <f t="shared" si="8"/>
        <v>40</v>
      </c>
      <c r="AL105" s="269">
        <f t="shared" si="11"/>
        <v>39</v>
      </c>
      <c r="AN105" s="63" t="str">
        <f t="shared" si="19"/>
        <v>Obra Concluida</v>
      </c>
      <c r="AQ105" s="63">
        <f>IF(SUM($E$61:F104)&gt;=$I$26+$I$27,1,0)</f>
        <v>1</v>
      </c>
      <c r="AR105" s="137">
        <f t="shared" si="9"/>
        <v>14490</v>
      </c>
    </row>
    <row r="106" spans="2:44" ht="21" customHeight="1" x14ac:dyDescent="0.3">
      <c r="B106" s="282">
        <f t="shared" si="2"/>
        <v>46</v>
      </c>
      <c r="C106" s="282"/>
      <c r="D106" s="267">
        <f>IF(B106="","",IF(AND($I$10="Remodelación",$I$22="No"),1,IF($I$29&gt;=0.8,1,IF(AN106="Ministración",Simul_ConstruRemo!BM106,1))))</f>
        <v>1</v>
      </c>
      <c r="E106" s="836">
        <f t="shared" si="17"/>
        <v>0</v>
      </c>
      <c r="F106" s="836"/>
      <c r="G106" s="836">
        <f t="shared" si="4"/>
        <v>1244087.4349297786</v>
      </c>
      <c r="H106" s="836"/>
      <c r="I106" s="836">
        <f t="shared" si="14"/>
        <v>4796.485402838809</v>
      </c>
      <c r="J106" s="836"/>
      <c r="K106" s="836">
        <f t="shared" si="16"/>
        <v>9693.514597161191</v>
      </c>
      <c r="L106" s="836"/>
      <c r="M106" s="836">
        <f t="shared" si="18"/>
        <v>2606295</v>
      </c>
      <c r="N106" s="836"/>
      <c r="O106" s="836">
        <f>IFERROR(Z106*Simul_ConstruRemo!$BP$30/1000,"")</f>
        <v>541.3651757918534</v>
      </c>
      <c r="P106" s="836"/>
      <c r="Q106" s="836">
        <f>IFERROR(IF($I$10="Remodelación",M106*Simul_ConstruRemo!$BS$29,
IF(D106=1,MAX(M106,Z106)*$BS$29,M106*$BQ$29)),"")</f>
        <v>827.2389712662</v>
      </c>
      <c r="R106" s="836"/>
      <c r="S106" s="268">
        <f>IF(B106="","",'Tabla_Puntual&amp;Relacionamiento'!$B$40)</f>
        <v>9.35E-2</v>
      </c>
      <c r="T106" s="837"/>
      <c r="U106" s="837"/>
      <c r="V106" s="735">
        <f>IF(OR(Z105=0,Z105=""),"",IF(I106&gt;=G106,0,IF(OR($Y$52="NO",$Y$52=""),0,MIN(IF($Y$54="",0,$Y$54),$AV$16*25)*10%)))</f>
        <v>8915.5500000000011</v>
      </c>
      <c r="W106" s="735"/>
      <c r="X106" s="836">
        <f t="shared" si="21"/>
        <v>15858.604147058055</v>
      </c>
      <c r="Y106" s="836"/>
      <c r="Z106" s="836">
        <f t="shared" si="20"/>
        <v>1230375.3995269397</v>
      </c>
      <c r="AA106" s="836"/>
      <c r="AC106" s="484"/>
      <c r="AD106" s="66"/>
      <c r="AE106" s="66"/>
      <c r="AI106" s="137">
        <f t="shared" si="1"/>
        <v>15744.502219986854</v>
      </c>
      <c r="AJ106" s="63">
        <f>IF(OR(Z106="",Z106&lt;=0.01),"",IF(SUM($E$61:F106)=$I$26+$I$27,1,0))</f>
        <v>1</v>
      </c>
      <c r="AK106" s="63">
        <f t="shared" si="8"/>
        <v>41</v>
      </c>
      <c r="AL106" s="269">
        <f t="shared" si="11"/>
        <v>40</v>
      </c>
      <c r="AN106" s="63" t="str">
        <f t="shared" si="19"/>
        <v>Obra Concluida</v>
      </c>
      <c r="AQ106" s="63">
        <f>IF(SUM($E$61:F105)&gt;=$I$26+$I$27,1,0)</f>
        <v>1</v>
      </c>
      <c r="AR106" s="137">
        <f t="shared" si="9"/>
        <v>14490</v>
      </c>
    </row>
    <row r="107" spans="2:44" ht="21" customHeight="1" x14ac:dyDescent="0.3">
      <c r="B107" s="282">
        <f t="shared" si="2"/>
        <v>47</v>
      </c>
      <c r="C107" s="282"/>
      <c r="D107" s="267">
        <f>IF(B107="","",IF(AND($I$10="Remodelación",$I$22="No"),1,IF($I$29&gt;=0.8,1,IF(AN107="Ministración",Simul_ConstruRemo!BM107,1))))</f>
        <v>1</v>
      </c>
      <c r="E107" s="836">
        <f t="shared" si="17"/>
        <v>0</v>
      </c>
      <c r="F107" s="836"/>
      <c r="G107" s="836">
        <f t="shared" si="4"/>
        <v>1230375.3995269397</v>
      </c>
      <c r="H107" s="836"/>
      <c r="I107" s="836">
        <f t="shared" si="14"/>
        <v>4903.3250120192624</v>
      </c>
      <c r="J107" s="836"/>
      <c r="K107" s="836">
        <f t="shared" si="16"/>
        <v>9586.6749879807376</v>
      </c>
      <c r="L107" s="836"/>
      <c r="M107" s="836">
        <f t="shared" si="18"/>
        <v>2606295</v>
      </c>
      <c r="N107" s="836"/>
      <c r="O107" s="836">
        <f>IFERROR(Z107*Simul_ConstruRemo!$BP$30/1000,"")</f>
        <v>539.20771278656491</v>
      </c>
      <c r="P107" s="836"/>
      <c r="Q107" s="836">
        <f>IFERROR(IF($I$10="Remodelación",M107*Simul_ConstruRemo!$BS$29,
IF(D107=1,MAX(M107,Z107)*$BS$29,M107*$BQ$29)),"")</f>
        <v>827.2389712662</v>
      </c>
      <c r="R107" s="836"/>
      <c r="S107" s="268">
        <f>IF(B107="","",'Tabla_Puntual&amp;Relacionamiento'!$B$40)</f>
        <v>9.35E-2</v>
      </c>
      <c r="T107" s="837"/>
      <c r="U107" s="837"/>
      <c r="V107" s="734"/>
      <c r="W107" s="734"/>
      <c r="X107" s="836">
        <f t="shared" si="21"/>
        <v>15856.446684052766</v>
      </c>
      <c r="Y107" s="836"/>
      <c r="Z107" s="836">
        <f t="shared" si="20"/>
        <v>1225472.0745149204</v>
      </c>
      <c r="AA107" s="836"/>
      <c r="AC107" s="484"/>
      <c r="AD107" s="66"/>
      <c r="AE107" s="66"/>
      <c r="AI107" s="137">
        <f t="shared" si="1"/>
        <v>15742.344756981565</v>
      </c>
      <c r="AJ107" s="63">
        <f>IF(OR(Z107="",Z107&lt;=0.01),"",IF(SUM($E$61:F107)=$I$26+$I$27,1,0))</f>
        <v>1</v>
      </c>
      <c r="AK107" s="63">
        <f t="shared" si="8"/>
        <v>42</v>
      </c>
      <c r="AL107" s="269">
        <f t="shared" si="11"/>
        <v>41</v>
      </c>
      <c r="AN107" s="63" t="str">
        <f t="shared" si="19"/>
        <v>Obra Concluida</v>
      </c>
      <c r="AQ107" s="63">
        <f>IF(SUM($E$61:F106)&gt;=$I$26+$I$27,1,0)</f>
        <v>1</v>
      </c>
      <c r="AR107" s="137">
        <f t="shared" si="9"/>
        <v>14490</v>
      </c>
    </row>
    <row r="108" spans="2:44" ht="21" customHeight="1" x14ac:dyDescent="0.3">
      <c r="B108" s="282">
        <f t="shared" si="2"/>
        <v>48</v>
      </c>
      <c r="C108" s="282"/>
      <c r="D108" s="267">
        <f>IF(B108="","",IF(AND($I$10="Remodelación",$I$22="No"),1,IF($I$29&gt;=0.8,1,IF(AN108="Ministración",Simul_ConstruRemo!BM108,1))))</f>
        <v>1</v>
      </c>
      <c r="E108" s="836">
        <f t="shared" si="17"/>
        <v>0</v>
      </c>
      <c r="F108" s="836"/>
      <c r="G108" s="836">
        <f t="shared" si="4"/>
        <v>1225472.0745149204</v>
      </c>
      <c r="H108" s="836"/>
      <c r="I108" s="836">
        <f t="shared" si="14"/>
        <v>4941.530086071245</v>
      </c>
      <c r="J108" s="836"/>
      <c r="K108" s="836">
        <f t="shared" si="16"/>
        <v>9548.469913928755</v>
      </c>
      <c r="L108" s="836"/>
      <c r="M108" s="836">
        <f t="shared" si="18"/>
        <v>2606295</v>
      </c>
      <c r="N108" s="836"/>
      <c r="O108" s="836">
        <f>IFERROR(Z108*Simul_ConstruRemo!$BP$30/1000,"")</f>
        <v>533.1105975486937</v>
      </c>
      <c r="P108" s="836"/>
      <c r="Q108" s="836">
        <f>IFERROR(IF($I$10="Remodelación",M108*Simul_ConstruRemo!$BS$29,
IF(D108=1,MAX(M108,Z108)*$BS$29,M108*$BQ$29)),"")</f>
        <v>827.2389712662</v>
      </c>
      <c r="R108" s="836"/>
      <c r="S108" s="268">
        <f>IF(B108="","",'Tabla_Puntual&amp;Relacionamiento'!$B$40)</f>
        <v>9.35E-2</v>
      </c>
      <c r="T108" s="837"/>
      <c r="U108" s="837"/>
      <c r="V108" s="735">
        <f>IF(OR(Z107=0,Z107=""),"",IF(I108&gt;=G108,0,IF(OR($Y$52="NO",$Y$52=""),0,MIN(IF($Y$54="",0,$Y$54),$AV$16*25)*10%)))</f>
        <v>8915.5500000000011</v>
      </c>
      <c r="W108" s="735"/>
      <c r="X108" s="836">
        <f t="shared" si="21"/>
        <v>15850.349568814894</v>
      </c>
      <c r="Y108" s="836"/>
      <c r="Z108" s="836">
        <f t="shared" si="20"/>
        <v>1211614.9944288491</v>
      </c>
      <c r="AA108" s="836"/>
      <c r="AC108" s="484"/>
      <c r="AD108" s="66"/>
      <c r="AE108" s="66"/>
      <c r="AI108" s="137">
        <f t="shared" si="1"/>
        <v>15736.247641743694</v>
      </c>
      <c r="AJ108" s="63">
        <f>IF(OR(Z108="",Z108&lt;=0.01),"",IF(SUM($E$61:F108)=$I$26+$I$27,1,0))</f>
        <v>1</v>
      </c>
      <c r="AK108" s="63">
        <f t="shared" si="8"/>
        <v>43</v>
      </c>
      <c r="AL108" s="269">
        <f t="shared" si="11"/>
        <v>42</v>
      </c>
      <c r="AN108" s="63" t="str">
        <f t="shared" si="19"/>
        <v>Obra Concluida</v>
      </c>
      <c r="AQ108" s="63">
        <f>IF(SUM($E$61:F107)&gt;=$I$26+$I$27,1,0)</f>
        <v>1</v>
      </c>
      <c r="AR108" s="137">
        <f t="shared" si="9"/>
        <v>14490</v>
      </c>
    </row>
    <row r="109" spans="2:44" ht="21" customHeight="1" x14ac:dyDescent="0.3">
      <c r="B109" s="282">
        <f t="shared" si="2"/>
        <v>49</v>
      </c>
      <c r="C109" s="282"/>
      <c r="D109" s="267">
        <f>IF(B109="","",IF(AND($I$10="Remodelación",$I$22="No"),1,IF($I$29&gt;=0.8,1,IF(AN109="Ministración",Simul_ConstruRemo!BM109,1))))</f>
        <v>1</v>
      </c>
      <c r="E109" s="836">
        <f t="shared" si="17"/>
        <v>0</v>
      </c>
      <c r="F109" s="836"/>
      <c r="G109" s="836">
        <f t="shared" si="4"/>
        <v>1211614.9944288491</v>
      </c>
      <c r="H109" s="836"/>
      <c r="I109" s="836">
        <f t="shared" si="14"/>
        <v>5200.9517093788236</v>
      </c>
      <c r="J109" s="836"/>
      <c r="K109" s="836">
        <f t="shared" si="16"/>
        <v>9289.0482906211764</v>
      </c>
      <c r="L109" s="836"/>
      <c r="M109" s="836">
        <f t="shared" si="18"/>
        <v>2606295</v>
      </c>
      <c r="N109" s="836"/>
      <c r="O109" s="836">
        <f>IFERROR(Z109*Simul_ConstruRemo!$BP$30/1000,"")</f>
        <v>530.82217879656696</v>
      </c>
      <c r="P109" s="836"/>
      <c r="Q109" s="836">
        <f>IFERROR(IF($I$10="Remodelación",M109*Simul_ConstruRemo!$BS$29,
IF(D109=1,MAX(M109,Z109)*$BS$29,M109*$BQ$29)),"")</f>
        <v>827.2389712662</v>
      </c>
      <c r="R109" s="836"/>
      <c r="S109" s="268">
        <f>IF(B109="","",'Tabla_Puntual&amp;Relacionamiento'!$B$41)</f>
        <v>9.1999999999999998E-2</v>
      </c>
      <c r="T109" s="837"/>
      <c r="U109" s="837"/>
      <c r="V109" s="734"/>
      <c r="W109" s="734"/>
      <c r="X109" s="836">
        <f t="shared" si="21"/>
        <v>15848.061150062767</v>
      </c>
      <c r="Y109" s="836"/>
      <c r="Z109" s="836">
        <f t="shared" si="20"/>
        <v>1206414.0427194703</v>
      </c>
      <c r="AA109" s="836"/>
      <c r="AC109" s="484"/>
      <c r="AD109" s="66"/>
      <c r="AE109" s="66"/>
      <c r="AI109" s="137">
        <f t="shared" si="1"/>
        <v>15733.959222991567</v>
      </c>
      <c r="AJ109" s="63">
        <f>IF(OR(Z109="",Z109&lt;=0.01),"",IF(SUM($E$61:F109)=$I$26+$I$27,1,0))</f>
        <v>1</v>
      </c>
      <c r="AK109" s="63">
        <f t="shared" si="8"/>
        <v>44</v>
      </c>
      <c r="AL109" s="269">
        <f t="shared" si="11"/>
        <v>43</v>
      </c>
      <c r="AN109" s="63" t="str">
        <f t="shared" si="19"/>
        <v>Obra Concluida</v>
      </c>
      <c r="AQ109" s="63">
        <f>IF(SUM($E$61:F108)&gt;=$I$26+$I$27,1,0)</f>
        <v>1</v>
      </c>
      <c r="AR109" s="137">
        <f t="shared" si="9"/>
        <v>14490</v>
      </c>
    </row>
    <row r="110" spans="2:44" ht="21" customHeight="1" x14ac:dyDescent="0.3">
      <c r="B110" s="282">
        <f t="shared" si="2"/>
        <v>50</v>
      </c>
      <c r="C110" s="282"/>
      <c r="D110" s="267">
        <f>IF(B110="","",IF(AND($I$10="Remodelación",$I$22="No"),1,IF($I$29&gt;=0.8,1,IF(AN110="Ministración",Simul_ConstruRemo!BM110,1))))</f>
        <v>1</v>
      </c>
      <c r="E110" s="836">
        <f t="shared" si="17"/>
        <v>0</v>
      </c>
      <c r="F110" s="836"/>
      <c r="G110" s="836">
        <f t="shared" si="4"/>
        <v>1206414.0427194703</v>
      </c>
      <c r="H110" s="836"/>
      <c r="I110" s="836">
        <f t="shared" si="14"/>
        <v>5240.8256724840612</v>
      </c>
      <c r="J110" s="836"/>
      <c r="K110" s="836">
        <f t="shared" si="16"/>
        <v>9249.1743275159388</v>
      </c>
      <c r="L110" s="836"/>
      <c r="M110" s="836">
        <f t="shared" si="18"/>
        <v>2606295</v>
      </c>
      <c r="N110" s="836"/>
      <c r="O110" s="836">
        <f>IFERROR(Z110*Simul_ConstruRemo!$BP$30/1000,"")</f>
        <v>524.59337350067392</v>
      </c>
      <c r="P110" s="836"/>
      <c r="Q110" s="836">
        <f>IFERROR(IF($I$10="Remodelación",M110*Simul_ConstruRemo!$BS$29,
IF(D110=1,MAX(M110,Z110)*$BS$29,M110*$BQ$29)),"")</f>
        <v>827.2389712662</v>
      </c>
      <c r="R110" s="836"/>
      <c r="S110" s="268">
        <f>IF(B110="","",'Tabla_Puntual&amp;Relacionamiento'!$B$41)</f>
        <v>9.1999999999999998E-2</v>
      </c>
      <c r="T110" s="837"/>
      <c r="U110" s="837"/>
      <c r="V110" s="735">
        <f>IF(OR(Z109=0,Z109=""),"",IF(I110&gt;=G110,0,IF(OR($Y$52="NO",$Y$52=""),0,MIN(IF($Y$54="",0,$Y$54),$AV$16*25)*10%)))</f>
        <v>8915.5500000000011</v>
      </c>
      <c r="W110" s="735"/>
      <c r="X110" s="836">
        <f t="shared" si="21"/>
        <v>15841.832344766875</v>
      </c>
      <c r="Y110" s="836"/>
      <c r="Z110" s="836">
        <f t="shared" si="20"/>
        <v>1192257.6670469863</v>
      </c>
      <c r="AA110" s="836"/>
      <c r="AC110" s="484"/>
      <c r="AD110" s="66"/>
      <c r="AE110" s="66"/>
      <c r="AI110" s="137">
        <f t="shared" si="1"/>
        <v>15727.730417695675</v>
      </c>
      <c r="AJ110" s="63">
        <f>IF(OR(Z110="",Z110&lt;=0.01),"",IF(SUM($E$61:F110)=$I$26+$I$27,1,0))</f>
        <v>1</v>
      </c>
      <c r="AK110" s="63">
        <f t="shared" si="8"/>
        <v>45</v>
      </c>
      <c r="AL110" s="269">
        <f t="shared" si="11"/>
        <v>44</v>
      </c>
      <c r="AN110" s="63" t="str">
        <f t="shared" si="19"/>
        <v>Obra Concluida</v>
      </c>
      <c r="AQ110" s="63">
        <f>IF(SUM($E$61:F109)&gt;=$I$26+$I$27,1,0)</f>
        <v>1</v>
      </c>
      <c r="AR110" s="137">
        <f t="shared" si="9"/>
        <v>14490</v>
      </c>
    </row>
    <row r="111" spans="2:44" ht="21" customHeight="1" x14ac:dyDescent="0.3">
      <c r="B111" s="282">
        <f t="shared" si="2"/>
        <v>51</v>
      </c>
      <c r="C111" s="282"/>
      <c r="D111" s="267">
        <f>IF(B111="","",IF(AND($I$10="Remodelación",$I$22="No"),1,IF($I$29&gt;=0.8,1,IF(AN111="Ministración",Simul_ConstruRemo!BM111,1))))</f>
        <v>1</v>
      </c>
      <c r="E111" s="836">
        <f t="shared" si="17"/>
        <v>0</v>
      </c>
      <c r="F111" s="836"/>
      <c r="G111" s="836">
        <f t="shared" si="4"/>
        <v>1192257.6670469863</v>
      </c>
      <c r="H111" s="836"/>
      <c r="I111" s="836">
        <f t="shared" si="14"/>
        <v>5349.357885973106</v>
      </c>
      <c r="J111" s="836"/>
      <c r="K111" s="836">
        <f t="shared" si="16"/>
        <v>9140.642114026894</v>
      </c>
      <c r="L111" s="836"/>
      <c r="M111" s="836">
        <f t="shared" si="18"/>
        <v>2606295</v>
      </c>
      <c r="N111" s="836"/>
      <c r="O111" s="836">
        <f>IFERROR(Z111*Simul_ConstruRemo!$BP$30/1000,"")</f>
        <v>522.23965603084582</v>
      </c>
      <c r="P111" s="836"/>
      <c r="Q111" s="836">
        <f>IFERROR(IF($I$10="Remodelación",M111*Simul_ConstruRemo!$BS$29,
IF(D111=1,MAX(M111,Z111)*$BS$29,M111*$BQ$29)),"")</f>
        <v>827.2389712662</v>
      </c>
      <c r="R111" s="836"/>
      <c r="S111" s="268">
        <f>IF(B111="","",'Tabla_Puntual&amp;Relacionamiento'!$B$41)</f>
        <v>9.1999999999999998E-2</v>
      </c>
      <c r="T111" s="837"/>
      <c r="U111" s="837"/>
      <c r="V111" s="734"/>
      <c r="W111" s="734"/>
      <c r="X111" s="836">
        <f t="shared" si="21"/>
        <v>15839.478627297047</v>
      </c>
      <c r="Y111" s="836"/>
      <c r="Z111" s="836">
        <f t="shared" si="20"/>
        <v>1186908.3091610132</v>
      </c>
      <c r="AA111" s="836"/>
      <c r="AC111" s="484"/>
      <c r="AD111" s="66"/>
      <c r="AE111" s="66"/>
      <c r="AI111" s="137">
        <f t="shared" si="1"/>
        <v>15725.376700225846</v>
      </c>
      <c r="AJ111" s="63">
        <f>IF(OR(Z111="",Z111&lt;=0.01),"",IF(SUM($E$61:F111)=$I$26+$I$27,1,0))</f>
        <v>1</v>
      </c>
      <c r="AK111" s="63">
        <f t="shared" si="8"/>
        <v>46</v>
      </c>
      <c r="AL111" s="269">
        <f t="shared" si="11"/>
        <v>45</v>
      </c>
      <c r="AN111" s="63" t="str">
        <f t="shared" si="19"/>
        <v>Obra Concluida</v>
      </c>
      <c r="AQ111" s="63">
        <f>IF(SUM($E$61:F110)&gt;=$I$26+$I$27,1,0)</f>
        <v>1</v>
      </c>
      <c r="AR111" s="137">
        <f t="shared" si="9"/>
        <v>14490</v>
      </c>
    </row>
    <row r="112" spans="2:44" ht="21" customHeight="1" x14ac:dyDescent="0.3">
      <c r="B112" s="282">
        <f t="shared" si="2"/>
        <v>52</v>
      </c>
      <c r="C112" s="282"/>
      <c r="D112" s="267">
        <f>IF(B112="","",IF(AND($I$10="Remodelación",$I$22="No"),1,IF($I$29&gt;=0.8,1,IF(AN112="Ministración",Simul_ConstruRemo!BM112,1))))</f>
        <v>1</v>
      </c>
      <c r="E112" s="836">
        <f t="shared" si="17"/>
        <v>0</v>
      </c>
      <c r="F112" s="836"/>
      <c r="G112" s="836">
        <f t="shared" si="4"/>
        <v>1186908.3091610132</v>
      </c>
      <c r="H112" s="836"/>
      <c r="I112" s="836">
        <f t="shared" si="14"/>
        <v>5390.3696297655661</v>
      </c>
      <c r="J112" s="836"/>
      <c r="K112" s="836">
        <f t="shared" si="16"/>
        <v>9099.6303702344339</v>
      </c>
      <c r="L112" s="836"/>
      <c r="M112" s="836">
        <f t="shared" si="18"/>
        <v>2606295</v>
      </c>
      <c r="N112" s="836"/>
      <c r="O112" s="836">
        <f>IFERROR(Z112*Simul_ConstruRemo!$BP$30/1000,"")</f>
        <v>515.94505139374894</v>
      </c>
      <c r="P112" s="836"/>
      <c r="Q112" s="836">
        <f>IFERROR(IF($I$10="Remodelación",M112*Simul_ConstruRemo!$BS$29,
IF(D112=1,MAX(M112,Z112)*$BS$29,M112*$BQ$29)),"")</f>
        <v>827.2389712662</v>
      </c>
      <c r="R112" s="836"/>
      <c r="S112" s="268">
        <f>IF(B112="","",'Tabla_Puntual&amp;Relacionamiento'!$B$41)</f>
        <v>9.1999999999999998E-2</v>
      </c>
      <c r="T112" s="837"/>
      <c r="U112" s="837"/>
      <c r="V112" s="735">
        <f>IF(OR(Z111=0,Z111=""),"",IF(I112&gt;=G112,0,IF(OR($Y$52="NO",$Y$52=""),0,MIN(IF($Y$54="",0,$Y$54),$AV$16*25)*10%)))</f>
        <v>8915.5500000000011</v>
      </c>
      <c r="W112" s="735"/>
      <c r="X112" s="836">
        <f t="shared" si="21"/>
        <v>15833.184022659949</v>
      </c>
      <c r="Y112" s="836"/>
      <c r="Z112" s="836">
        <f t="shared" si="20"/>
        <v>1172602.3895312476</v>
      </c>
      <c r="AA112" s="836"/>
      <c r="AC112" s="484"/>
      <c r="AD112" s="66"/>
      <c r="AE112" s="66"/>
      <c r="AI112" s="137">
        <f t="shared" si="1"/>
        <v>15719.082095588748</v>
      </c>
      <c r="AJ112" s="63">
        <f>IF(OR(Z112="",Z112&lt;=0.01),"",IF(SUM($E$61:F112)=$I$26+$I$27,1,0))</f>
        <v>1</v>
      </c>
      <c r="AK112" s="63">
        <f t="shared" si="8"/>
        <v>47</v>
      </c>
      <c r="AL112" s="269">
        <f t="shared" si="11"/>
        <v>46</v>
      </c>
      <c r="AN112" s="63" t="str">
        <f t="shared" si="19"/>
        <v>Obra Concluida</v>
      </c>
      <c r="AQ112" s="63">
        <f>IF(SUM($E$61:F111)&gt;=$I$26+$I$27,1,0)</f>
        <v>1</v>
      </c>
      <c r="AR112" s="137">
        <f t="shared" si="9"/>
        <v>14490</v>
      </c>
    </row>
    <row r="113" spans="2:44" ht="21" customHeight="1" x14ac:dyDescent="0.3">
      <c r="B113" s="282">
        <f t="shared" si="2"/>
        <v>53</v>
      </c>
      <c r="C113" s="282"/>
      <c r="D113" s="267">
        <f>IF(B113="","",IF(AND($I$10="Remodelación",$I$22="No"),1,IF($I$29&gt;=0.8,1,IF(AN113="Ministración",Simul_ConstruRemo!BM113,1))))</f>
        <v>1</v>
      </c>
      <c r="E113" s="836">
        <f t="shared" si="17"/>
        <v>0</v>
      </c>
      <c r="F113" s="836"/>
      <c r="G113" s="836">
        <f t="shared" si="4"/>
        <v>1172602.3895312476</v>
      </c>
      <c r="H113" s="836"/>
      <c r="I113" s="836">
        <f t="shared" si="14"/>
        <v>5500.0483469271021</v>
      </c>
      <c r="J113" s="836"/>
      <c r="K113" s="836">
        <f t="shared" si="16"/>
        <v>8989.9516530728979</v>
      </c>
      <c r="L113" s="836"/>
      <c r="M113" s="836">
        <f t="shared" si="18"/>
        <v>2606295</v>
      </c>
      <c r="N113" s="836"/>
      <c r="O113" s="836">
        <f>IFERROR(Z113*Simul_ConstruRemo!$BP$30/1000,"")</f>
        <v>513.52503012110094</v>
      </c>
      <c r="P113" s="836"/>
      <c r="Q113" s="836">
        <f>IFERROR(IF($I$10="Remodelación",M113*Simul_ConstruRemo!$BS$29,
IF(D113=1,MAX(M113,Z113)*$BS$29,M113*$BQ$29)),"")</f>
        <v>827.2389712662</v>
      </c>
      <c r="R113" s="836"/>
      <c r="S113" s="268">
        <f>IF(B113="","",'Tabla_Puntual&amp;Relacionamiento'!$B$41)</f>
        <v>9.1999999999999998E-2</v>
      </c>
      <c r="T113" s="837"/>
      <c r="U113" s="837"/>
      <c r="V113" s="734"/>
      <c r="W113" s="734"/>
      <c r="X113" s="836">
        <f t="shared" si="21"/>
        <v>15830.764001387302</v>
      </c>
      <c r="Y113" s="836"/>
      <c r="Z113" s="836">
        <f t="shared" si="20"/>
        <v>1167102.3411843204</v>
      </c>
      <c r="AA113" s="836"/>
      <c r="AC113" s="484"/>
      <c r="AD113" s="66"/>
      <c r="AE113" s="66"/>
      <c r="AI113" s="137">
        <f t="shared" si="1"/>
        <v>15716.662074316102</v>
      </c>
      <c r="AJ113" s="63">
        <f>IF(OR(Z113="",Z113&lt;=0.01),"",IF(SUM($E$61:F113)=$I$26+$I$27,1,0))</f>
        <v>1</v>
      </c>
      <c r="AK113" s="63">
        <f t="shared" si="8"/>
        <v>48</v>
      </c>
      <c r="AL113" s="269">
        <f t="shared" si="11"/>
        <v>47</v>
      </c>
      <c r="AN113" s="63" t="str">
        <f t="shared" si="19"/>
        <v>Obra Concluida</v>
      </c>
      <c r="AQ113" s="63">
        <f>IF(SUM($E$61:F112)&gt;=$I$26+$I$27,1,0)</f>
        <v>1</v>
      </c>
      <c r="AR113" s="137">
        <f t="shared" si="9"/>
        <v>14490</v>
      </c>
    </row>
    <row r="114" spans="2:44" ht="21" customHeight="1" x14ac:dyDescent="0.3">
      <c r="B114" s="282">
        <f t="shared" si="2"/>
        <v>54</v>
      </c>
      <c r="C114" s="282"/>
      <c r="D114" s="267">
        <f>IF(B114="","",IF(AND($I$10="Remodelación",$I$22="No"),1,IF($I$29&gt;=0.8,1,IF(AN114="Ministración",Simul_ConstruRemo!BM114,1))))</f>
        <v>1</v>
      </c>
      <c r="E114" s="836">
        <f t="shared" si="17"/>
        <v>0</v>
      </c>
      <c r="F114" s="836"/>
      <c r="G114" s="836">
        <f t="shared" si="4"/>
        <v>1167102.3411843204</v>
      </c>
      <c r="H114" s="836"/>
      <c r="I114" s="836">
        <f t="shared" si="14"/>
        <v>5542.2153842535445</v>
      </c>
      <c r="J114" s="836"/>
      <c r="K114" s="836">
        <f t="shared" si="16"/>
        <v>8947.7846157464555</v>
      </c>
      <c r="L114" s="836"/>
      <c r="M114" s="836">
        <f t="shared" si="18"/>
        <v>2606295</v>
      </c>
      <c r="N114" s="836"/>
      <c r="O114" s="836">
        <f>IFERROR(Z114*Simul_ConstruRemo!$BP$30/1000,"")</f>
        <v>507.16361335202942</v>
      </c>
      <c r="P114" s="836"/>
      <c r="Q114" s="836">
        <f>IFERROR(IF($I$10="Remodelación",M114*Simul_ConstruRemo!$BS$29,
IF(D114=1,MAX(M114,Z114)*$BS$29,M114*$BQ$29)),"")</f>
        <v>827.2389712662</v>
      </c>
      <c r="R114" s="836"/>
      <c r="S114" s="268">
        <f>IF(B114="","",'Tabla_Puntual&amp;Relacionamiento'!$B$41)</f>
        <v>9.1999999999999998E-2</v>
      </c>
      <c r="T114" s="837"/>
      <c r="U114" s="837"/>
      <c r="V114" s="735">
        <f>IF(OR(Z113=0,Z113=""),"",IF(I114&gt;=G114,0,IF(OR($Y$52="NO",$Y$52=""),0,MIN(IF($Y$54="",0,$Y$54),$AV$16*25)*10%)))</f>
        <v>8915.5500000000011</v>
      </c>
      <c r="W114" s="735"/>
      <c r="X114" s="836">
        <f t="shared" si="21"/>
        <v>15824.40258461823</v>
      </c>
      <c r="Y114" s="836"/>
      <c r="Z114" s="836">
        <f t="shared" si="20"/>
        <v>1152644.5758000668</v>
      </c>
      <c r="AA114" s="836"/>
      <c r="AC114" s="484"/>
      <c r="AD114" s="66"/>
      <c r="AE114" s="66"/>
      <c r="AI114" s="137">
        <f t="shared" si="1"/>
        <v>15710.30065754703</v>
      </c>
      <c r="AJ114" s="63">
        <f>IF(OR(Z114="",Z114&lt;=0.01),"",IF(SUM($E$61:F114)=$I$26+$I$27,1,0))</f>
        <v>1</v>
      </c>
      <c r="AK114" s="63">
        <f t="shared" si="8"/>
        <v>49</v>
      </c>
      <c r="AL114" s="269">
        <f t="shared" si="11"/>
        <v>48</v>
      </c>
      <c r="AN114" s="63" t="str">
        <f t="shared" si="19"/>
        <v>Obra Concluida</v>
      </c>
      <c r="AQ114" s="63">
        <f>IF(SUM($E$61:F113)&gt;=$I$26+$I$27,1,0)</f>
        <v>1</v>
      </c>
      <c r="AR114" s="137">
        <f t="shared" si="9"/>
        <v>14490</v>
      </c>
    </row>
    <row r="115" spans="2:44" ht="21" customHeight="1" x14ac:dyDescent="0.3">
      <c r="B115" s="282">
        <f t="shared" si="2"/>
        <v>55</v>
      </c>
      <c r="C115" s="282"/>
      <c r="D115" s="267">
        <f>IF(B115="","",IF(AND($I$10="Remodelación",$I$22="No"),1,IF($I$29&gt;=0.8,1,IF(AN115="Ministración",Simul_ConstruRemo!BM115,1))))</f>
        <v>1</v>
      </c>
      <c r="E115" s="836">
        <f t="shared" si="17"/>
        <v>0</v>
      </c>
      <c r="F115" s="836"/>
      <c r="G115" s="836">
        <f t="shared" si="4"/>
        <v>1152644.5758000668</v>
      </c>
      <c r="H115" s="836"/>
      <c r="I115" s="836">
        <f t="shared" si="14"/>
        <v>5653.0582521994875</v>
      </c>
      <c r="J115" s="836"/>
      <c r="K115" s="836">
        <f t="shared" si="16"/>
        <v>8836.9417478005125</v>
      </c>
      <c r="L115" s="836"/>
      <c r="M115" s="836">
        <f t="shared" si="18"/>
        <v>2606295</v>
      </c>
      <c r="N115" s="836"/>
      <c r="O115" s="836">
        <f>IFERROR(Z115*Simul_ConstruRemo!$BP$30/1000,"")</f>
        <v>504.67626772106161</v>
      </c>
      <c r="P115" s="836"/>
      <c r="Q115" s="836">
        <f>IFERROR(IF($I$10="Remodelación",M115*Simul_ConstruRemo!$BS$29,
IF(D115=1,MAX(M115,Z115)*$BS$29,M115*$BQ$29)),"")</f>
        <v>827.2389712662</v>
      </c>
      <c r="R115" s="836"/>
      <c r="S115" s="268">
        <f>IF(B115="","",'Tabla_Puntual&amp;Relacionamiento'!$B$41)</f>
        <v>9.1999999999999998E-2</v>
      </c>
      <c r="T115" s="837"/>
      <c r="U115" s="837"/>
      <c r="V115" s="734"/>
      <c r="W115" s="734"/>
      <c r="X115" s="836">
        <f t="shared" si="21"/>
        <v>15821.915238987262</v>
      </c>
      <c r="Y115" s="836"/>
      <c r="Z115" s="836">
        <f t="shared" si="20"/>
        <v>1146991.5175478673</v>
      </c>
      <c r="AA115" s="836"/>
      <c r="AC115" s="484"/>
      <c r="AD115" s="66"/>
      <c r="AE115" s="66"/>
      <c r="AI115" s="137">
        <f t="shared" si="1"/>
        <v>15707.813311916061</v>
      </c>
      <c r="AJ115" s="63">
        <f>IF(OR(Z115="",Z115&lt;=0.01),"",IF(SUM($E$61:F115)=$I$26+$I$27,1,0))</f>
        <v>1</v>
      </c>
      <c r="AK115" s="63">
        <f t="shared" si="8"/>
        <v>50</v>
      </c>
      <c r="AL115" s="269">
        <f t="shared" si="11"/>
        <v>49</v>
      </c>
      <c r="AN115" s="63" t="str">
        <f t="shared" si="19"/>
        <v>Obra Concluida</v>
      </c>
      <c r="AQ115" s="63">
        <f>IF(SUM($E$61:F114)&gt;=$I$26+$I$27,1,0)</f>
        <v>1</v>
      </c>
      <c r="AR115" s="137">
        <f t="shared" si="9"/>
        <v>14490</v>
      </c>
    </row>
    <row r="116" spans="2:44" ht="21" customHeight="1" x14ac:dyDescent="0.3">
      <c r="B116" s="282">
        <f t="shared" si="2"/>
        <v>56</v>
      </c>
      <c r="C116" s="282"/>
      <c r="D116" s="267">
        <f>IF(B116="","",IF(AND($I$10="Remodelación",$I$22="No"),1,IF($I$29&gt;=0.8,1,IF(AN116="Ministración",Simul_ConstruRemo!BM116,1))))</f>
        <v>1</v>
      </c>
      <c r="E116" s="836">
        <f t="shared" si="17"/>
        <v>0</v>
      </c>
      <c r="F116" s="836"/>
      <c r="G116" s="836">
        <f t="shared" si="4"/>
        <v>1146991.5175478673</v>
      </c>
      <c r="H116" s="836"/>
      <c r="I116" s="836">
        <f t="shared" si="14"/>
        <v>5696.3983654663516</v>
      </c>
      <c r="J116" s="836"/>
      <c r="K116" s="836">
        <f t="shared" si="16"/>
        <v>8793.6016345336484</v>
      </c>
      <c r="L116" s="836"/>
      <c r="M116" s="836">
        <f t="shared" si="18"/>
        <v>2606295</v>
      </c>
      <c r="N116" s="836"/>
      <c r="O116" s="836">
        <f>IFERROR(Z116*Simul_ConstruRemo!$BP$30/1000,"")</f>
        <v>498.24701044025636</v>
      </c>
      <c r="P116" s="836"/>
      <c r="Q116" s="836">
        <f>IFERROR(IF($I$10="Remodelación",M116*Simul_ConstruRemo!$BS$29,
IF(D116=1,MAX(M116,Z116)*$BS$29,M116*$BQ$29)),"")</f>
        <v>827.2389712662</v>
      </c>
      <c r="R116" s="836"/>
      <c r="S116" s="268">
        <f>IF(B116="","",'Tabla_Puntual&amp;Relacionamiento'!$B$41)</f>
        <v>9.1999999999999998E-2</v>
      </c>
      <c r="T116" s="837"/>
      <c r="U116" s="837"/>
      <c r="V116" s="735">
        <f>IF(OR(Z115=0,Z115=""),"",IF(I116&gt;=G116,0,IF(OR($Y$52="NO",$Y$52=""),0,MIN(IF($Y$54="",0,$Y$54),$AV$16*25)*10%)))</f>
        <v>8915.5500000000011</v>
      </c>
      <c r="W116" s="735"/>
      <c r="X116" s="836">
        <f t="shared" si="21"/>
        <v>15815.485981706457</v>
      </c>
      <c r="Y116" s="836"/>
      <c r="Z116" s="836">
        <f t="shared" si="20"/>
        <v>1132379.5691824008</v>
      </c>
      <c r="AA116" s="836"/>
      <c r="AC116" s="484"/>
      <c r="AD116" s="66"/>
      <c r="AE116" s="66"/>
      <c r="AI116" s="137">
        <f t="shared" si="1"/>
        <v>15701.384054635257</v>
      </c>
      <c r="AJ116" s="63">
        <f>IF(OR(Z116="",Z116&lt;=0.01),"",IF(SUM($E$61:F116)=$I$26+$I$27,1,0))</f>
        <v>1</v>
      </c>
      <c r="AK116" s="63">
        <f t="shared" si="8"/>
        <v>51</v>
      </c>
      <c r="AL116" s="269">
        <f t="shared" si="11"/>
        <v>50</v>
      </c>
      <c r="AN116" s="63" t="str">
        <f t="shared" si="19"/>
        <v>Obra Concluida</v>
      </c>
      <c r="AQ116" s="63">
        <f>IF(SUM($E$61:F115)&gt;=$I$26+$I$27,1,0)</f>
        <v>1</v>
      </c>
      <c r="AR116" s="137">
        <f t="shared" si="9"/>
        <v>14490</v>
      </c>
    </row>
    <row r="117" spans="2:44" ht="21" customHeight="1" x14ac:dyDescent="0.3">
      <c r="B117" s="282">
        <f t="shared" si="2"/>
        <v>57</v>
      </c>
      <c r="C117" s="282"/>
      <c r="D117" s="267">
        <f>IF(B117="","",IF(AND($I$10="Remodelación",$I$22="No"),1,IF($I$29&gt;=0.8,1,IF(AN117="Ministración",Simul_ConstruRemo!BM117,1))))</f>
        <v>1</v>
      </c>
      <c r="E117" s="836">
        <f t="shared" si="17"/>
        <v>0</v>
      </c>
      <c r="F117" s="836"/>
      <c r="G117" s="836">
        <f t="shared" si="4"/>
        <v>1132379.5691824008</v>
      </c>
      <c r="H117" s="836"/>
      <c r="I117" s="836">
        <f t="shared" si="14"/>
        <v>5808.4233029349271</v>
      </c>
      <c r="J117" s="836"/>
      <c r="K117" s="836">
        <f t="shared" si="16"/>
        <v>8681.5766970650729</v>
      </c>
      <c r="L117" s="836"/>
      <c r="M117" s="836">
        <f t="shared" si="18"/>
        <v>2606295</v>
      </c>
      <c r="N117" s="836"/>
      <c r="O117" s="836">
        <f>IFERROR(Z117*Simul_ConstruRemo!$BP$30/1000,"")</f>
        <v>495.691304186965</v>
      </c>
      <c r="P117" s="836"/>
      <c r="Q117" s="836">
        <f>IFERROR(IF($I$10="Remodelación",M117*Simul_ConstruRemo!$BS$29,
IF(D117=1,MAX(M117,Z117)*$BS$29,M117*$BQ$29)),"")</f>
        <v>827.2389712662</v>
      </c>
      <c r="R117" s="836"/>
      <c r="S117" s="268">
        <f>IF(B117="","",'Tabla_Puntual&amp;Relacionamiento'!$B$41)</f>
        <v>9.1999999999999998E-2</v>
      </c>
      <c r="T117" s="837"/>
      <c r="U117" s="837"/>
      <c r="V117" s="734"/>
      <c r="W117" s="734"/>
      <c r="X117" s="836">
        <f t="shared" si="21"/>
        <v>15812.930275453165</v>
      </c>
      <c r="Y117" s="836"/>
      <c r="Z117" s="836">
        <f t="shared" si="20"/>
        <v>1126571.1458794659</v>
      </c>
      <c r="AA117" s="836"/>
      <c r="AC117" s="484"/>
      <c r="AD117" s="66"/>
      <c r="AE117" s="66"/>
      <c r="AI117" s="137">
        <f t="shared" si="1"/>
        <v>15698.828348381965</v>
      </c>
      <c r="AJ117" s="63">
        <f>IF(OR(Z117="",Z117&lt;=0.01),"",IF(SUM($E$61:F117)=$I$26+$I$27,1,0))</f>
        <v>1</v>
      </c>
      <c r="AK117" s="63">
        <f t="shared" si="8"/>
        <v>52</v>
      </c>
      <c r="AL117" s="269">
        <f t="shared" si="11"/>
        <v>51</v>
      </c>
      <c r="AN117" s="63" t="str">
        <f t="shared" si="19"/>
        <v>Obra Concluida</v>
      </c>
      <c r="AQ117" s="63">
        <f>IF(SUM($E$61:F116)&gt;=$I$26+$I$27,1,0)</f>
        <v>1</v>
      </c>
      <c r="AR117" s="137">
        <f t="shared" si="9"/>
        <v>14490</v>
      </c>
    </row>
    <row r="118" spans="2:44" ht="21" customHeight="1" x14ac:dyDescent="0.3">
      <c r="B118" s="282">
        <f t="shared" si="2"/>
        <v>58</v>
      </c>
      <c r="C118" s="282"/>
      <c r="D118" s="267">
        <f>IF(B118="","",IF(AND($I$10="Remodelación",$I$22="No"),1,IF($I$29&gt;=0.8,1,IF(AN118="Ministración",Simul_ConstruRemo!BM118,1))))</f>
        <v>1</v>
      </c>
      <c r="E118" s="836">
        <f t="shared" si="17"/>
        <v>0</v>
      </c>
      <c r="F118" s="836"/>
      <c r="G118" s="836">
        <f t="shared" si="4"/>
        <v>1126571.1458794659</v>
      </c>
      <c r="H118" s="836"/>
      <c r="I118" s="836">
        <f t="shared" si="14"/>
        <v>5852.9545482574285</v>
      </c>
      <c r="J118" s="836"/>
      <c r="K118" s="836">
        <f t="shared" si="16"/>
        <v>8637.0454517425715</v>
      </c>
      <c r="L118" s="836"/>
      <c r="M118" s="836">
        <f t="shared" si="18"/>
        <v>2606295</v>
      </c>
      <c r="N118" s="836"/>
      <c r="O118" s="836">
        <f>IFERROR(Z118*Simul_ConstruRemo!$BP$30/1000,"")</f>
        <v>489.19316218573169</v>
      </c>
      <c r="P118" s="836"/>
      <c r="Q118" s="836">
        <f>IFERROR(IF($I$10="Remodelación",M118*Simul_ConstruRemo!$BS$29,
IF(D118=1,MAX(M118,Z118)*$BS$29,M118*$BQ$29)),"")</f>
        <v>827.2389712662</v>
      </c>
      <c r="R118" s="836"/>
      <c r="S118" s="268">
        <f>IF(B118="","",'Tabla_Puntual&amp;Relacionamiento'!$B$41)</f>
        <v>9.1999999999999998E-2</v>
      </c>
      <c r="T118" s="837"/>
      <c r="U118" s="837"/>
      <c r="V118" s="735">
        <f>IF(OR(Z117=0,Z117=""),"",IF(I118&gt;=G118,0,IF(OR($Y$52="NO",$Y$52=""),0,MIN(IF($Y$54="",0,$Y$54),$AV$16*25)*10%)))</f>
        <v>8915.5500000000011</v>
      </c>
      <c r="W118" s="735"/>
      <c r="X118" s="836">
        <f t="shared" si="21"/>
        <v>15806.432133451932</v>
      </c>
      <c r="Y118" s="836"/>
      <c r="Z118" s="836">
        <f t="shared" si="20"/>
        <v>1111802.6413312084</v>
      </c>
      <c r="AA118" s="836"/>
      <c r="AC118" s="484"/>
      <c r="AD118" s="66"/>
      <c r="AE118" s="66"/>
      <c r="AI118" s="137">
        <f t="shared" si="1"/>
        <v>15692.330206380731</v>
      </c>
      <c r="AJ118" s="63">
        <f>IF(OR(Z118="",Z118&lt;=0.01),"",IF(SUM($E$61:F118)=$I$26+$I$27,1,0))</f>
        <v>1</v>
      </c>
      <c r="AK118" s="63">
        <f t="shared" si="8"/>
        <v>53</v>
      </c>
      <c r="AL118" s="269">
        <f t="shared" si="11"/>
        <v>52</v>
      </c>
      <c r="AN118" s="63" t="str">
        <f t="shared" si="19"/>
        <v>Obra Concluida</v>
      </c>
      <c r="AQ118" s="63">
        <f>IF(SUM($E$61:F117)&gt;=$I$26+$I$27,1,0)</f>
        <v>1</v>
      </c>
      <c r="AR118" s="137">
        <f t="shared" si="9"/>
        <v>14490</v>
      </c>
    </row>
    <row r="119" spans="2:44" ht="21" customHeight="1" x14ac:dyDescent="0.3">
      <c r="B119" s="282">
        <f t="shared" si="2"/>
        <v>59</v>
      </c>
      <c r="C119" s="282"/>
      <c r="D119" s="267">
        <f>IF(B119="","",IF(AND($I$10="Remodelación",$I$22="No"),1,IF($I$29&gt;=0.8,1,IF(AN119="Ministración",Simul_ConstruRemo!BM119,1))))</f>
        <v>1</v>
      </c>
      <c r="E119" s="836">
        <f t="shared" si="17"/>
        <v>0</v>
      </c>
      <c r="F119" s="836"/>
      <c r="G119" s="836">
        <f t="shared" si="4"/>
        <v>1111802.6413312084</v>
      </c>
      <c r="H119" s="836"/>
      <c r="I119" s="836">
        <f t="shared" si="14"/>
        <v>5966.1797497940697</v>
      </c>
      <c r="J119" s="836"/>
      <c r="K119" s="836">
        <f t="shared" si="16"/>
        <v>8523.8202502059303</v>
      </c>
      <c r="L119" s="836"/>
      <c r="M119" s="836">
        <f t="shared" si="18"/>
        <v>2606295</v>
      </c>
      <c r="N119" s="836"/>
      <c r="O119" s="836">
        <f>IFERROR(Z119*Simul_ConstruRemo!$BP$30/1000,"")</f>
        <v>486.5680430958223</v>
      </c>
      <c r="P119" s="836"/>
      <c r="Q119" s="836">
        <f>IFERROR(IF($I$10="Remodelación",M119*Simul_ConstruRemo!$BS$29,
IF(D119=1,MAX(M119,Z119)*$BS$29,M119*$BQ$29)),"")</f>
        <v>827.2389712662</v>
      </c>
      <c r="R119" s="836"/>
      <c r="S119" s="268">
        <f>IF(B119="","",'Tabla_Puntual&amp;Relacionamiento'!$B$41)</f>
        <v>9.1999999999999998E-2</v>
      </c>
      <c r="T119" s="837"/>
      <c r="U119" s="837"/>
      <c r="V119" s="734"/>
      <c r="W119" s="734"/>
      <c r="X119" s="836">
        <f t="shared" si="21"/>
        <v>15803.807014362023</v>
      </c>
      <c r="Y119" s="836"/>
      <c r="Z119" s="836">
        <f t="shared" si="20"/>
        <v>1105836.4615814143</v>
      </c>
      <c r="AA119" s="836"/>
      <c r="AC119" s="484"/>
      <c r="AD119" s="66"/>
      <c r="AE119" s="66"/>
      <c r="AI119" s="137">
        <f t="shared" si="1"/>
        <v>15689.705087290822</v>
      </c>
      <c r="AJ119" s="63">
        <f>IF(OR(Z119="",Z119&lt;=0.01),"",IF(SUM($E$61:F119)=$I$26+$I$27,1,0))</f>
        <v>1</v>
      </c>
      <c r="AK119" s="63">
        <f t="shared" si="8"/>
        <v>54</v>
      </c>
      <c r="AL119" s="269">
        <f t="shared" si="11"/>
        <v>53</v>
      </c>
      <c r="AN119" s="63" t="str">
        <f t="shared" si="19"/>
        <v>Obra Concluida</v>
      </c>
      <c r="AQ119" s="63">
        <f>IF(SUM($E$61:F118)&gt;=$I$26+$I$27,1,0)</f>
        <v>1</v>
      </c>
      <c r="AR119" s="137">
        <f t="shared" si="9"/>
        <v>14490</v>
      </c>
    </row>
    <row r="120" spans="2:44" ht="21" customHeight="1" x14ac:dyDescent="0.3">
      <c r="B120" s="282">
        <f t="shared" si="2"/>
        <v>60</v>
      </c>
      <c r="C120" s="282"/>
      <c r="D120" s="267">
        <f>IF(B120="","",IF(AND($I$10="Remodelación",$I$22="No"),1,IF($I$29&gt;=0.8,1,IF(AN120="Ministración",Simul_ConstruRemo!BM120,1))))</f>
        <v>1</v>
      </c>
      <c r="E120" s="836">
        <f t="shared" si="17"/>
        <v>0</v>
      </c>
      <c r="F120" s="836"/>
      <c r="G120" s="836">
        <f t="shared" si="4"/>
        <v>1105836.4615814143</v>
      </c>
      <c r="H120" s="836"/>
      <c r="I120" s="836">
        <f t="shared" si="14"/>
        <v>6011.920461209158</v>
      </c>
      <c r="J120" s="836"/>
      <c r="K120" s="836">
        <f t="shared" si="16"/>
        <v>8478.079538790842</v>
      </c>
      <c r="L120" s="836"/>
      <c r="M120" s="836">
        <f t="shared" si="18"/>
        <v>2606295</v>
      </c>
      <c r="N120" s="836"/>
      <c r="O120" s="836">
        <f>IFERROR(Z120*Simul_ConstruRemo!$BP$30/1000,"")</f>
        <v>479.99995609289022</v>
      </c>
      <c r="P120" s="836"/>
      <c r="Q120" s="836">
        <f>IFERROR(IF($I$10="Remodelación",M120*Simul_ConstruRemo!$BS$29,
IF(D120=1,MAX(M120,Z120)*$BS$29,M120*$BQ$29)),"")</f>
        <v>827.2389712662</v>
      </c>
      <c r="R120" s="836"/>
      <c r="S120" s="268">
        <f>IF(B120="","",'Tabla_Puntual&amp;Relacionamiento'!$B$41)</f>
        <v>9.1999999999999998E-2</v>
      </c>
      <c r="T120" s="837"/>
      <c r="U120" s="837"/>
      <c r="V120" s="735">
        <f>IF(OR(Z119=0,Z119=""),"",IF(I120&gt;=G120,0,IF(OR($Y$52="NO",$Y$52=""),0,MIN(IF($Y$54="",0,$Y$54),$AV$16*25)*10%)))</f>
        <v>8915.5500000000011</v>
      </c>
      <c r="W120" s="735"/>
      <c r="X120" s="836">
        <f t="shared" si="21"/>
        <v>15797.238927359091</v>
      </c>
      <c r="Y120" s="836"/>
      <c r="Z120" s="836">
        <f t="shared" si="20"/>
        <v>1090908.991120205</v>
      </c>
      <c r="AA120" s="836"/>
      <c r="AC120" s="484"/>
      <c r="AD120" s="66"/>
      <c r="AE120" s="66"/>
      <c r="AI120" s="137">
        <f t="shared" si="1"/>
        <v>15683.13700028789</v>
      </c>
      <c r="AJ120" s="63">
        <f>IF(OR(Z120="",Z120&lt;=0.01),"",IF(SUM($E$61:F120)=$I$26+$I$27,1,0))</f>
        <v>1</v>
      </c>
      <c r="AK120" s="63">
        <f t="shared" si="8"/>
        <v>55</v>
      </c>
      <c r="AL120" s="269">
        <f t="shared" si="11"/>
        <v>54</v>
      </c>
      <c r="AN120" s="63" t="str">
        <f t="shared" si="19"/>
        <v>Obra Concluida</v>
      </c>
      <c r="AQ120" s="63">
        <f>IF(SUM($E$61:F119)&gt;=$I$26+$I$27,1,0)</f>
        <v>1</v>
      </c>
      <c r="AR120" s="137">
        <f t="shared" si="9"/>
        <v>14490</v>
      </c>
    </row>
    <row r="121" spans="2:44" ht="21" customHeight="1" x14ac:dyDescent="0.3">
      <c r="B121" s="282">
        <f t="shared" si="2"/>
        <v>61</v>
      </c>
      <c r="C121" s="282"/>
      <c r="D121" s="267">
        <f>IF(B121="","",IF(AND($I$10="Remodelación",$I$22="No"),1,IF($I$29&gt;=0.8,1,IF(AN121="Ministración",Simul_ConstruRemo!BM121,1))))</f>
        <v>1</v>
      </c>
      <c r="E121" s="836">
        <f t="shared" si="17"/>
        <v>0</v>
      </c>
      <c r="F121" s="836"/>
      <c r="G121" s="836">
        <f t="shared" si="4"/>
        <v>1090908.991120205</v>
      </c>
      <c r="H121" s="836"/>
      <c r="I121" s="836">
        <f t="shared" si="14"/>
        <v>6126.3644014117617</v>
      </c>
      <c r="J121" s="836"/>
      <c r="K121" s="836">
        <f t="shared" si="16"/>
        <v>8363.6355985882383</v>
      </c>
      <c r="L121" s="836"/>
      <c r="M121" s="836">
        <f t="shared" si="18"/>
        <v>2606295</v>
      </c>
      <c r="N121" s="836"/>
      <c r="O121" s="836">
        <f>IFERROR(Z121*Simul_ConstruRemo!$BP$30/1000,"")</f>
        <v>477.30435575626905</v>
      </c>
      <c r="P121" s="836"/>
      <c r="Q121" s="836">
        <f>IFERROR(IF($I$10="Remodelación",M121*Simul_ConstruRemo!$BS$29,
IF(D121=1,MAX(M121,Z121)*$BS$29,M121*$BQ$29)),"")</f>
        <v>827.2389712662</v>
      </c>
      <c r="R121" s="836"/>
      <c r="S121" s="268">
        <f>IF(B121="","",'Tabla_Puntual&amp;Relacionamiento'!$B$42)</f>
        <v>9.1999999999999998E-2</v>
      </c>
      <c r="T121" s="837"/>
      <c r="U121" s="837"/>
      <c r="V121" s="734"/>
      <c r="W121" s="734"/>
      <c r="X121" s="836">
        <f t="shared" si="21"/>
        <v>15794.543327022469</v>
      </c>
      <c r="Y121" s="836"/>
      <c r="Z121" s="836">
        <f t="shared" si="20"/>
        <v>1084782.6267187933</v>
      </c>
      <c r="AA121" s="836"/>
      <c r="AC121" s="484"/>
      <c r="AD121" s="66"/>
      <c r="AE121" s="66"/>
      <c r="AI121" s="137">
        <f t="shared" si="1"/>
        <v>15680.441399951269</v>
      </c>
      <c r="AJ121" s="63">
        <f>IF(OR(Z121="",Z121&lt;=0.01),"",IF(SUM($E$61:F121)=$I$26+$I$27,1,0))</f>
        <v>1</v>
      </c>
      <c r="AK121" s="63">
        <f t="shared" si="8"/>
        <v>56</v>
      </c>
      <c r="AL121" s="269">
        <f t="shared" si="11"/>
        <v>55</v>
      </c>
      <c r="AN121" s="63" t="str">
        <f t="shared" si="19"/>
        <v>Obra Concluida</v>
      </c>
      <c r="AQ121" s="63">
        <f>IF(SUM($E$61:F120)&gt;=$I$26+$I$27,1,0)</f>
        <v>1</v>
      </c>
      <c r="AR121" s="137">
        <f t="shared" si="9"/>
        <v>14490</v>
      </c>
    </row>
    <row r="122" spans="2:44" ht="21" customHeight="1" x14ac:dyDescent="0.3">
      <c r="B122" s="282">
        <f t="shared" si="2"/>
        <v>62</v>
      </c>
      <c r="C122" s="282"/>
      <c r="D122" s="267">
        <f>IF(B122="","",IF(AND($I$10="Remodelación",$I$22="No"),1,IF($I$29&gt;=0.8,1,IF(AN122="Ministración",Simul_ConstruRemo!BM122,1))))</f>
        <v>1</v>
      </c>
      <c r="E122" s="836">
        <f t="shared" si="17"/>
        <v>0</v>
      </c>
      <c r="F122" s="836"/>
      <c r="G122" s="836">
        <f t="shared" si="4"/>
        <v>1084782.6267187933</v>
      </c>
      <c r="H122" s="836"/>
      <c r="I122" s="836">
        <f t="shared" si="14"/>
        <v>6173.3331951559194</v>
      </c>
      <c r="J122" s="836"/>
      <c r="K122" s="836">
        <f t="shared" si="16"/>
        <v>8316.6668048440806</v>
      </c>
      <c r="L122" s="836"/>
      <c r="M122" s="836">
        <f t="shared" si="18"/>
        <v>2606295</v>
      </c>
      <c r="N122" s="836"/>
      <c r="O122" s="836">
        <f>IFERROR(Z122*Simul_ConstruRemo!$BP$30/1000,"")</f>
        <v>470.66524715040043</v>
      </c>
      <c r="P122" s="836"/>
      <c r="Q122" s="836">
        <f>IFERROR(IF($I$10="Remodelación",M122*Simul_ConstruRemo!$BS$29,
IF(D122=1,MAX(M122,Z122)*$BS$29,M122*$BQ$29)),"")</f>
        <v>827.2389712662</v>
      </c>
      <c r="R122" s="836"/>
      <c r="S122" s="268">
        <f>IF(B122="","",'Tabla_Puntual&amp;Relacionamiento'!$B$42)</f>
        <v>9.1999999999999998E-2</v>
      </c>
      <c r="T122" s="837"/>
      <c r="U122" s="837"/>
      <c r="V122" s="735">
        <f>IF(OR(Z121=0,Z121=""),"",IF(I122&gt;=G122,0,IF(OR($Y$52="NO",$Y$52=""),0,MIN(IF($Y$54="",0,$Y$54),$AV$16*25)*10%)))</f>
        <v>8915.5500000000011</v>
      </c>
      <c r="W122" s="735"/>
      <c r="X122" s="836">
        <f t="shared" si="21"/>
        <v>15787.904218416601</v>
      </c>
      <c r="Y122" s="836"/>
      <c r="Z122" s="836">
        <f t="shared" si="20"/>
        <v>1069693.7435236373</v>
      </c>
      <c r="AA122" s="836"/>
      <c r="AC122" s="484"/>
      <c r="AD122" s="66"/>
      <c r="AE122" s="66"/>
      <c r="AI122" s="137">
        <f t="shared" si="1"/>
        <v>15673.802291345401</v>
      </c>
      <c r="AJ122" s="63">
        <f>IF(OR(Z122="",Z122&lt;=0.01),"",IF(SUM($E$61:F122)=$I$26+$I$27,1,0))</f>
        <v>1</v>
      </c>
      <c r="AK122" s="63">
        <f t="shared" si="8"/>
        <v>57</v>
      </c>
      <c r="AL122" s="269">
        <f t="shared" si="11"/>
        <v>56</v>
      </c>
      <c r="AN122" s="63" t="str">
        <f t="shared" si="19"/>
        <v>Obra Concluida</v>
      </c>
      <c r="AQ122" s="63">
        <f>IF(SUM($E$61:F121)&gt;=$I$26+$I$27,1,0)</f>
        <v>1</v>
      </c>
      <c r="AR122" s="137">
        <f t="shared" si="9"/>
        <v>14490</v>
      </c>
    </row>
    <row r="123" spans="2:44" ht="21" customHeight="1" x14ac:dyDescent="0.3">
      <c r="B123" s="282">
        <f t="shared" si="2"/>
        <v>63</v>
      </c>
      <c r="C123" s="282"/>
      <c r="D123" s="267">
        <f>IF(B123="","",IF(AND($I$10="Remodelación",$I$22="No"),1,IF($I$29&gt;=0.8,1,IF(AN123="Ministración",Simul_ConstruRemo!BM123,1))))</f>
        <v>1</v>
      </c>
      <c r="E123" s="836">
        <f t="shared" si="17"/>
        <v>0</v>
      </c>
      <c r="F123" s="836"/>
      <c r="G123" s="836">
        <f t="shared" si="4"/>
        <v>1069693.7435236373</v>
      </c>
      <c r="H123" s="836"/>
      <c r="I123" s="836">
        <f t="shared" si="14"/>
        <v>6289.014632985447</v>
      </c>
      <c r="J123" s="836"/>
      <c r="K123" s="836">
        <f t="shared" si="16"/>
        <v>8200.985367014553</v>
      </c>
      <c r="L123" s="836"/>
      <c r="M123" s="836">
        <f t="shared" si="18"/>
        <v>2606295</v>
      </c>
      <c r="N123" s="836"/>
      <c r="O123" s="836">
        <f>IFERROR(Z123*Simul_ConstruRemo!$BP$30/1000,"")</f>
        <v>467.89808071188679</v>
      </c>
      <c r="P123" s="836"/>
      <c r="Q123" s="836">
        <f>IFERROR(IF($I$10="Remodelación",M123*Simul_ConstruRemo!$BS$29,
IF(D123=1,MAX(M123,Z123)*$BS$29,M123*$BQ$29)),"")</f>
        <v>827.2389712662</v>
      </c>
      <c r="R123" s="836"/>
      <c r="S123" s="268">
        <f>IF(B123="","",'Tabla_Puntual&amp;Relacionamiento'!$B$42)</f>
        <v>9.1999999999999998E-2</v>
      </c>
      <c r="T123" s="837"/>
      <c r="U123" s="837"/>
      <c r="V123" s="734"/>
      <c r="W123" s="734"/>
      <c r="X123" s="836">
        <f t="shared" si="21"/>
        <v>15785.137051978087</v>
      </c>
      <c r="Y123" s="836"/>
      <c r="Z123" s="836">
        <f t="shared" si="20"/>
        <v>1063404.7288906518</v>
      </c>
      <c r="AA123" s="836"/>
      <c r="AC123" s="484"/>
      <c r="AD123" s="66"/>
      <c r="AE123" s="66"/>
      <c r="AI123" s="137">
        <f t="shared" si="1"/>
        <v>15671.035124906886</v>
      </c>
      <c r="AJ123" s="63">
        <f>IF(OR(Z123="",Z123&lt;=0.01),"",IF(SUM($E$61:F123)=$I$26+$I$27,1,0))</f>
        <v>1</v>
      </c>
      <c r="AK123" s="63">
        <f t="shared" si="8"/>
        <v>58</v>
      </c>
      <c r="AL123" s="269">
        <f t="shared" si="11"/>
        <v>57</v>
      </c>
      <c r="AN123" s="63" t="str">
        <f t="shared" si="19"/>
        <v>Obra Concluida</v>
      </c>
      <c r="AQ123" s="63">
        <f>IF(SUM($E$61:F122)&gt;=$I$26+$I$27,1,0)</f>
        <v>1</v>
      </c>
      <c r="AR123" s="137">
        <f t="shared" si="9"/>
        <v>14490</v>
      </c>
    </row>
    <row r="124" spans="2:44" ht="21" customHeight="1" x14ac:dyDescent="0.3">
      <c r="B124" s="282">
        <f t="shared" si="2"/>
        <v>64</v>
      </c>
      <c r="C124" s="282"/>
      <c r="D124" s="267">
        <f>IF(B124="","",IF(AND($I$10="Remodelación",$I$22="No"),1,IF($I$29&gt;=0.8,1,IF(AN124="Ministración",Simul_ConstruRemo!BM124,1))))</f>
        <v>1</v>
      </c>
      <c r="E124" s="836">
        <f t="shared" si="17"/>
        <v>0</v>
      </c>
      <c r="F124" s="836"/>
      <c r="G124" s="836">
        <f t="shared" si="4"/>
        <v>1063404.7288906518</v>
      </c>
      <c r="H124" s="836"/>
      <c r="I124" s="836">
        <f t="shared" si="14"/>
        <v>6337.2304118383363</v>
      </c>
      <c r="J124" s="836"/>
      <c r="K124" s="836">
        <f t="shared" si="16"/>
        <v>8152.7695881616637</v>
      </c>
      <c r="L124" s="836"/>
      <c r="M124" s="836">
        <f t="shared" si="18"/>
        <v>2606295</v>
      </c>
      <c r="N124" s="836"/>
      <c r="O124" s="836">
        <f>IFERROR(Z124*Simul_ConstruRemo!$BP$30/1000,"")</f>
        <v>461.18685733067798</v>
      </c>
      <c r="P124" s="836"/>
      <c r="Q124" s="836">
        <f>IFERROR(IF($I$10="Remodelación",M124*Simul_ConstruRemo!$BS$29,
IF(D124=1,MAX(M124,Z124)*$BS$29,M124*$BQ$29)),"")</f>
        <v>827.2389712662</v>
      </c>
      <c r="R124" s="836"/>
      <c r="S124" s="268">
        <f>IF(B124="","",'Tabla_Puntual&amp;Relacionamiento'!$B$42)</f>
        <v>9.1999999999999998E-2</v>
      </c>
      <c r="T124" s="837"/>
      <c r="U124" s="837"/>
      <c r="V124" s="735">
        <f>IF(OR(Z123=0,Z123=""),"",IF(I124&gt;=G124,0,IF(OR($Y$52="NO",$Y$52=""),0,MIN(IF($Y$54="",0,$Y$54),$AV$16*25)*10%)))</f>
        <v>8915.5500000000011</v>
      </c>
      <c r="W124" s="735"/>
      <c r="X124" s="836">
        <f t="shared" si="21"/>
        <v>15778.425828596879</v>
      </c>
      <c r="Y124" s="836"/>
      <c r="Z124" s="836">
        <f t="shared" si="20"/>
        <v>1048151.9484788135</v>
      </c>
      <c r="AA124" s="836"/>
      <c r="AC124" s="484"/>
      <c r="AD124" s="66"/>
      <c r="AE124" s="66"/>
      <c r="AI124" s="137">
        <f t="shared" si="1"/>
        <v>15664.323901525679</v>
      </c>
      <c r="AJ124" s="63">
        <f>IF(OR(Z124="",Z124&lt;=0.01),"",IF(SUM($E$61:F124)=$I$26+$I$27,1,0))</f>
        <v>1</v>
      </c>
      <c r="AK124" s="63">
        <f t="shared" si="8"/>
        <v>59</v>
      </c>
      <c r="AL124" s="269">
        <f t="shared" si="11"/>
        <v>58</v>
      </c>
      <c r="AN124" s="63" t="str">
        <f t="shared" si="19"/>
        <v>Obra Concluida</v>
      </c>
      <c r="AQ124" s="63">
        <f>IF(SUM($E$61:F123)&gt;=$I$26+$I$27,1,0)</f>
        <v>1</v>
      </c>
      <c r="AR124" s="137">
        <f t="shared" si="9"/>
        <v>14490</v>
      </c>
    </row>
    <row r="125" spans="2:44" ht="21" customHeight="1" x14ac:dyDescent="0.3">
      <c r="B125" s="282">
        <f t="shared" si="2"/>
        <v>65</v>
      </c>
      <c r="C125" s="282"/>
      <c r="D125" s="267">
        <f>IF(B125="","",IF(AND($I$10="Remodelación",$I$22="No"),1,IF($I$29&gt;=0.8,1,IF(AN125="Ministración",Simul_ConstruRemo!BM125,1))))</f>
        <v>1</v>
      </c>
      <c r="E125" s="836">
        <f t="shared" si="17"/>
        <v>0</v>
      </c>
      <c r="F125" s="836"/>
      <c r="G125" s="836">
        <f t="shared" si="4"/>
        <v>1048151.9484788135</v>
      </c>
      <c r="H125" s="836"/>
      <c r="I125" s="836">
        <f t="shared" si="14"/>
        <v>6454.1683949957633</v>
      </c>
      <c r="J125" s="836"/>
      <c r="K125" s="836">
        <f t="shared" si="16"/>
        <v>8035.8316050042367</v>
      </c>
      <c r="L125" s="836"/>
      <c r="M125" s="836">
        <f t="shared" si="18"/>
        <v>2606295</v>
      </c>
      <c r="N125" s="836"/>
      <c r="O125" s="836">
        <f>IFERROR(Z125*Simul_ConstruRemo!$BP$30/1000,"")</f>
        <v>458.34702323687986</v>
      </c>
      <c r="P125" s="836"/>
      <c r="Q125" s="836">
        <f>IFERROR(IF($I$10="Remodelación",M125*Simul_ConstruRemo!$BS$29,
IF(D125=1,MAX(M125,Z125)*$BS$29,M125*$BQ$29)),"")</f>
        <v>827.2389712662</v>
      </c>
      <c r="R125" s="836"/>
      <c r="S125" s="268">
        <f>IF(B125="","",'Tabla_Puntual&amp;Relacionamiento'!$B$42)</f>
        <v>9.1999999999999998E-2</v>
      </c>
      <c r="T125" s="837"/>
      <c r="U125" s="837"/>
      <c r="V125" s="734"/>
      <c r="W125" s="734"/>
      <c r="X125" s="836">
        <f t="shared" si="21"/>
        <v>15775.585994503081</v>
      </c>
      <c r="Y125" s="836"/>
      <c r="Z125" s="836">
        <f t="shared" si="20"/>
        <v>1041697.7800838178</v>
      </c>
      <c r="AA125" s="836"/>
      <c r="AC125" s="484"/>
      <c r="AD125" s="66"/>
      <c r="AE125" s="66"/>
      <c r="AI125" s="137">
        <f t="shared" ref="AI125:AI188" si="22">IF(X125="","",X125-(Q125-(Q125/1.16)))</f>
        <v>15661.48406743188</v>
      </c>
      <c r="AJ125" s="63">
        <f>IF(OR(Z125="",Z125&lt;=0.01),"",IF(SUM($E$61:F125)=$I$26+$I$27,1,0))</f>
        <v>1</v>
      </c>
      <c r="AK125" s="63">
        <f t="shared" si="8"/>
        <v>60</v>
      </c>
      <c r="AL125" s="269">
        <f t="shared" si="11"/>
        <v>59</v>
      </c>
      <c r="AN125" s="63" t="str">
        <f t="shared" si="19"/>
        <v>Obra Concluida</v>
      </c>
      <c r="AQ125" s="63">
        <f>IF(SUM($E$61:F124)&gt;=$I$26+$I$27,1,0)</f>
        <v>1</v>
      </c>
      <c r="AR125" s="137">
        <f t="shared" si="9"/>
        <v>14490</v>
      </c>
    </row>
    <row r="126" spans="2:44" ht="21" customHeight="1" x14ac:dyDescent="0.3">
      <c r="B126" s="282">
        <f t="shared" ref="B126:B189" si="23">IFERROR(IF(Z125&lt;=0.01,"",IF(B125+1&gt;$BN$11,"",B125+1)),"")</f>
        <v>66</v>
      </c>
      <c r="C126" s="282"/>
      <c r="D126" s="267">
        <f>IF(B126="","",IF(AND($I$10="Remodelación",$I$22="No"),1,IF($I$29&gt;=0.8,1,IF(AN126="Ministración",Simul_ConstruRemo!BM126,1))))</f>
        <v>1</v>
      </c>
      <c r="E126" s="836">
        <f t="shared" si="17"/>
        <v>0</v>
      </c>
      <c r="F126" s="836"/>
      <c r="G126" s="836">
        <f t="shared" ref="G126:G189" si="24">IF(B126="","",Z125)</f>
        <v>1041697.7800838178</v>
      </c>
      <c r="H126" s="836"/>
      <c r="I126" s="836">
        <f t="shared" si="14"/>
        <v>6503.6503526907309</v>
      </c>
      <c r="J126" s="836"/>
      <c r="K126" s="836">
        <f t="shared" si="16"/>
        <v>7986.3496473092691</v>
      </c>
      <c r="L126" s="836"/>
      <c r="M126" s="836">
        <f t="shared" si="18"/>
        <v>2606295</v>
      </c>
      <c r="N126" s="836"/>
      <c r="O126" s="836">
        <f>IFERROR(Z126*Simul_ConstruRemo!$BP$30/1000,"")</f>
        <v>451.56257508169585</v>
      </c>
      <c r="P126" s="836"/>
      <c r="Q126" s="836">
        <f>IFERROR(IF($I$10="Remodelación",M126*Simul_ConstruRemo!$BS$29,
IF(D126=1,MAX(M126,Z126)*$BS$29,M126*$BQ$29)),"")</f>
        <v>827.2389712662</v>
      </c>
      <c r="R126" s="836"/>
      <c r="S126" s="268">
        <f>IF(B126="","",'Tabla_Puntual&amp;Relacionamiento'!$B$42)</f>
        <v>9.1999999999999998E-2</v>
      </c>
      <c r="T126" s="837"/>
      <c r="U126" s="837"/>
      <c r="V126" s="735">
        <f>IF(OR(Z125=0,Z125=""),"",IF(I126&gt;=G126,0,IF(OR($Y$52="NO",$Y$52=""),0,MIN(IF($Y$54="",0,$Y$54),$AV$16*25)*10%)))</f>
        <v>8915.5500000000011</v>
      </c>
      <c r="W126" s="735"/>
      <c r="X126" s="836">
        <f t="shared" si="21"/>
        <v>15768.801546347897</v>
      </c>
      <c r="Y126" s="836"/>
      <c r="Z126" s="836">
        <f t="shared" si="20"/>
        <v>1026278.579731127</v>
      </c>
      <c r="AA126" s="836"/>
      <c r="AC126" s="484"/>
      <c r="AD126" s="66"/>
      <c r="AE126" s="66"/>
      <c r="AI126" s="137">
        <f t="shared" si="22"/>
        <v>15654.699619276696</v>
      </c>
      <c r="AJ126" s="63">
        <f>IF(OR(Z126="",Z126&lt;=0.01),"",IF(SUM($E$61:F126)=$I$26+$I$27,1,0))</f>
        <v>1</v>
      </c>
      <c r="AK126" s="63">
        <f t="shared" si="8"/>
        <v>61</v>
      </c>
      <c r="AL126" s="269">
        <f t="shared" si="11"/>
        <v>60</v>
      </c>
      <c r="AN126" s="63" t="str">
        <f t="shared" si="19"/>
        <v>Obra Concluida</v>
      </c>
      <c r="AQ126" s="63">
        <f>IF(SUM($E$61:F125)&gt;=$I$26+$I$27,1,0)</f>
        <v>1</v>
      </c>
      <c r="AR126" s="137">
        <f t="shared" si="9"/>
        <v>14490</v>
      </c>
    </row>
    <row r="127" spans="2:44" ht="21" customHeight="1" x14ac:dyDescent="0.3">
      <c r="B127" s="282">
        <f t="shared" si="23"/>
        <v>67</v>
      </c>
      <c r="C127" s="282"/>
      <c r="D127" s="267">
        <f>IF(B127="","",IF(AND($I$10="Remodelación",$I$22="No"),1,IF($I$29&gt;=0.8,1,IF(AN127="Ministración",Simul_ConstruRemo!BM127,1))))</f>
        <v>1</v>
      </c>
      <c r="E127" s="836">
        <f t="shared" si="17"/>
        <v>0</v>
      </c>
      <c r="F127" s="836"/>
      <c r="G127" s="836">
        <f t="shared" si="24"/>
        <v>1026278.579731127</v>
      </c>
      <c r="H127" s="836"/>
      <c r="I127" s="836">
        <f t="shared" si="14"/>
        <v>6621.8642220613601</v>
      </c>
      <c r="J127" s="836"/>
      <c r="K127" s="836">
        <f t="shared" si="16"/>
        <v>7868.1357779386399</v>
      </c>
      <c r="L127" s="836"/>
      <c r="M127" s="836">
        <f t="shared" si="18"/>
        <v>2606295</v>
      </c>
      <c r="N127" s="836"/>
      <c r="O127" s="836">
        <f>IFERROR(Z127*Simul_ConstruRemo!$BP$30/1000,"")</f>
        <v>448.6489548239889</v>
      </c>
      <c r="P127" s="836"/>
      <c r="Q127" s="836">
        <f>IFERROR(IF($I$10="Remodelación",M127*Simul_ConstruRemo!$BS$29,
IF(D127=1,MAX(M127,Z127)*$BS$29,M127*$BQ$29)),"")</f>
        <v>827.2389712662</v>
      </c>
      <c r="R127" s="836"/>
      <c r="S127" s="268">
        <f>IF(B127="","",'Tabla_Puntual&amp;Relacionamiento'!$B$42)</f>
        <v>9.1999999999999998E-2</v>
      </c>
      <c r="T127" s="837"/>
      <c r="U127" s="837"/>
      <c r="V127" s="734"/>
      <c r="W127" s="734"/>
      <c r="X127" s="836">
        <f t="shared" si="21"/>
        <v>15765.88792609019</v>
      </c>
      <c r="Y127" s="836"/>
      <c r="Z127" s="836">
        <f t="shared" si="20"/>
        <v>1019656.7155090657</v>
      </c>
      <c r="AA127" s="836"/>
      <c r="AC127" s="484"/>
      <c r="AD127" s="66"/>
      <c r="AE127" s="66"/>
      <c r="AI127" s="137">
        <f t="shared" si="22"/>
        <v>15651.78599901899</v>
      </c>
      <c r="AJ127" s="63">
        <f>IF(OR(Z127="",Z127&lt;=0.01),"",IF(SUM($E$61:F127)=$I$26+$I$27,1,0))</f>
        <v>1</v>
      </c>
      <c r="AK127" s="63">
        <f t="shared" ref="AK127:AK190" si="25">IFERROR(AK126+AJ127,0)</f>
        <v>62</v>
      </c>
      <c r="AL127" s="269">
        <f t="shared" si="11"/>
        <v>61</v>
      </c>
      <c r="AN127" s="63" t="str">
        <f t="shared" si="19"/>
        <v>Obra Concluida</v>
      </c>
      <c r="AQ127" s="63">
        <f>IF(SUM($E$61:F126)&gt;=$I$26+$I$27,1,0)</f>
        <v>1</v>
      </c>
      <c r="AR127" s="137">
        <f t="shared" ref="AR127:AR190" si="26">IF(B127="","",IF(AQ127=0,K127,($I$26+$I$27)*$BP$31/1000))</f>
        <v>14490</v>
      </c>
    </row>
    <row r="128" spans="2:44" ht="21" customHeight="1" x14ac:dyDescent="0.3">
      <c r="B128" s="282">
        <f t="shared" si="23"/>
        <v>68</v>
      </c>
      <c r="C128" s="282"/>
      <c r="D128" s="267">
        <f>IF(B128="","",IF(AND($I$10="Remodelación",$I$22="No"),1,IF($I$29&gt;=0.8,1,IF(AN128="Ministración",Simul_ConstruRemo!BM128,1))))</f>
        <v>1</v>
      </c>
      <c r="E128" s="836">
        <f t="shared" si="17"/>
        <v>0</v>
      </c>
      <c r="F128" s="836"/>
      <c r="G128" s="836">
        <f t="shared" si="24"/>
        <v>1019656.7155090657</v>
      </c>
      <c r="H128" s="836"/>
      <c r="I128" s="836">
        <f t="shared" si="14"/>
        <v>6672.6318477638306</v>
      </c>
      <c r="J128" s="836"/>
      <c r="K128" s="836">
        <f t="shared" si="16"/>
        <v>7817.3681522361694</v>
      </c>
      <c r="L128" s="836"/>
      <c r="M128" s="836">
        <f t="shared" si="18"/>
        <v>2606295</v>
      </c>
      <c r="N128" s="836"/>
      <c r="O128" s="836">
        <f>IFERROR(Z128*Simul_ConstruRemo!$BP$30/1000,"")</f>
        <v>441.79015481097281</v>
      </c>
      <c r="P128" s="836"/>
      <c r="Q128" s="836">
        <f>IFERROR(IF($I$10="Remodelación",M128*Simul_ConstruRemo!$BS$29,
IF(D128=1,MAX(M128,Z128)*$BS$29,M128*$BQ$29)),"")</f>
        <v>827.2389712662</v>
      </c>
      <c r="R128" s="836"/>
      <c r="S128" s="268">
        <f>IF(B128="","",'Tabla_Puntual&amp;Relacionamiento'!$B$42)</f>
        <v>9.1999999999999998E-2</v>
      </c>
      <c r="T128" s="837"/>
      <c r="U128" s="837"/>
      <c r="V128" s="735">
        <f>IF(OR(Z127=0,Z127=""),"",IF(I128&gt;=G128,0,IF(OR($Y$52="NO",$Y$52=""),0,MIN(IF($Y$54="",0,$Y$54),$AV$16*25)*10%)))</f>
        <v>8915.5500000000011</v>
      </c>
      <c r="W128" s="735"/>
      <c r="X128" s="836">
        <f t="shared" si="21"/>
        <v>15759.029126077174</v>
      </c>
      <c r="Y128" s="836"/>
      <c r="Z128" s="836">
        <f t="shared" si="20"/>
        <v>1004068.5336613018</v>
      </c>
      <c r="AA128" s="836"/>
      <c r="AC128" s="484"/>
      <c r="AD128" s="66"/>
      <c r="AE128" s="66"/>
      <c r="AI128" s="137">
        <f t="shared" si="22"/>
        <v>15644.927199005973</v>
      </c>
      <c r="AJ128" s="63">
        <f>IF(OR(Z128="",Z128&lt;=0.01),"",IF(SUM($E$61:F128)=$I$26+$I$27,1,0))</f>
        <v>1</v>
      </c>
      <c r="AK128" s="63">
        <f t="shared" si="25"/>
        <v>63</v>
      </c>
      <c r="AL128" s="269">
        <f t="shared" ref="AL128:AL191" si="27">IF(AK128&gt;0,AK128-1,AK128)</f>
        <v>62</v>
      </c>
      <c r="AN128" s="63" t="str">
        <f t="shared" si="19"/>
        <v>Obra Concluida</v>
      </c>
      <c r="AQ128" s="63">
        <f>IF(SUM($E$61:F127)&gt;=$I$26+$I$27,1,0)</f>
        <v>1</v>
      </c>
      <c r="AR128" s="137">
        <f t="shared" si="26"/>
        <v>14490</v>
      </c>
    </row>
    <row r="129" spans="2:44" ht="21" customHeight="1" x14ac:dyDescent="0.3">
      <c r="B129" s="282">
        <f t="shared" si="23"/>
        <v>69</v>
      </c>
      <c r="C129" s="282"/>
      <c r="D129" s="267">
        <f>IF(B129="","",IF(AND($I$10="Remodelación",$I$22="No"),1,IF($I$29&gt;=0.8,1,IF(AN129="Ministración",Simul_ConstruRemo!BM129,1))))</f>
        <v>1</v>
      </c>
      <c r="E129" s="836">
        <f t="shared" si="17"/>
        <v>0</v>
      </c>
      <c r="F129" s="836"/>
      <c r="G129" s="836">
        <f t="shared" si="24"/>
        <v>1004068.5336613018</v>
      </c>
      <c r="H129" s="836"/>
      <c r="I129" s="836">
        <f t="shared" si="14"/>
        <v>6792.1412419300195</v>
      </c>
      <c r="J129" s="836"/>
      <c r="K129" s="836">
        <f t="shared" si="16"/>
        <v>7697.8587580699805</v>
      </c>
      <c r="L129" s="836"/>
      <c r="M129" s="836">
        <f t="shared" si="18"/>
        <v>2606295</v>
      </c>
      <c r="N129" s="836"/>
      <c r="O129" s="836">
        <f>IFERROR(Z129*Simul_ConstruRemo!$BP$30/1000,"")</f>
        <v>438.80161266452359</v>
      </c>
      <c r="P129" s="836"/>
      <c r="Q129" s="836">
        <f>IFERROR(IF($I$10="Remodelación",M129*Simul_ConstruRemo!$BS$29,
IF(D129=1,MAX(M129,Z129)*$BS$29,M129*$BQ$29)),"")</f>
        <v>827.2389712662</v>
      </c>
      <c r="R129" s="836"/>
      <c r="S129" s="268">
        <f>IF(B129="","",'Tabla_Puntual&amp;Relacionamiento'!$B$42)</f>
        <v>9.1999999999999998E-2</v>
      </c>
      <c r="T129" s="837"/>
      <c r="U129" s="837"/>
      <c r="V129" s="734"/>
      <c r="W129" s="734"/>
      <c r="X129" s="836">
        <f t="shared" si="21"/>
        <v>15756.040583930724</v>
      </c>
      <c r="Y129" s="836"/>
      <c r="Z129" s="836">
        <f t="shared" si="20"/>
        <v>997276.39241937175</v>
      </c>
      <c r="AA129" s="836"/>
      <c r="AC129" s="484"/>
      <c r="AD129" s="66"/>
      <c r="AE129" s="66"/>
      <c r="AI129" s="137">
        <f t="shared" si="22"/>
        <v>15641.938656859524</v>
      </c>
      <c r="AJ129" s="63">
        <f>IF(OR(Z129="",Z129&lt;=0.01),"",IF(SUM($E$61:F129)=$I$26+$I$27,1,0))</f>
        <v>1</v>
      </c>
      <c r="AK129" s="63">
        <f t="shared" si="25"/>
        <v>64</v>
      </c>
      <c r="AL129" s="269">
        <f t="shared" si="27"/>
        <v>63</v>
      </c>
      <c r="AN129" s="63" t="str">
        <f t="shared" si="19"/>
        <v>Obra Concluida</v>
      </c>
      <c r="AQ129" s="63">
        <f>IF(SUM($E$61:F128)&gt;=$I$26+$I$27,1,0)</f>
        <v>1</v>
      </c>
      <c r="AR129" s="137">
        <f t="shared" si="26"/>
        <v>14490</v>
      </c>
    </row>
    <row r="130" spans="2:44" ht="21" customHeight="1" x14ac:dyDescent="0.3">
      <c r="B130" s="282">
        <f t="shared" si="23"/>
        <v>70</v>
      </c>
      <c r="C130" s="282"/>
      <c r="D130" s="267">
        <f>IF(B130="","",IF(AND($I$10="Remodelación",$I$22="No"),1,IF($I$29&gt;=0.8,1,IF(AN130="Ministración",Simul_ConstruRemo!BM130,1))))</f>
        <v>1</v>
      </c>
      <c r="E130" s="836">
        <f t="shared" si="17"/>
        <v>0</v>
      </c>
      <c r="F130" s="836"/>
      <c r="G130" s="836">
        <f t="shared" si="24"/>
        <v>997276.39241937175</v>
      </c>
      <c r="H130" s="836"/>
      <c r="I130" s="836">
        <f t="shared" si="14"/>
        <v>6844.2143247848171</v>
      </c>
      <c r="J130" s="836"/>
      <c r="K130" s="836">
        <f t="shared" si="16"/>
        <v>7645.7856752151829</v>
      </c>
      <c r="L130" s="836"/>
      <c r="M130" s="836">
        <f t="shared" si="18"/>
        <v>2606295</v>
      </c>
      <c r="N130" s="836"/>
      <c r="O130" s="836">
        <f>IFERROR(Z130*Simul_ConstruRemo!$BP$30/1000,"")</f>
        <v>431.86731636161824</v>
      </c>
      <c r="P130" s="836"/>
      <c r="Q130" s="836">
        <f>IFERROR(IF($I$10="Remodelación",M130*Simul_ConstruRemo!$BS$29,
IF(D130=1,MAX(M130,Z130)*$BS$29,M130*$BQ$29)),"")</f>
        <v>827.2389712662</v>
      </c>
      <c r="R130" s="836"/>
      <c r="S130" s="268">
        <f>IF(B130="","",'Tabla_Puntual&amp;Relacionamiento'!$B$42)</f>
        <v>9.1999999999999998E-2</v>
      </c>
      <c r="T130" s="837"/>
      <c r="U130" s="837"/>
      <c r="V130" s="735">
        <f>IF(OR(Z129=0,Z129=""),"",IF(I130&gt;=G130,0,IF(OR($Y$52="NO",$Y$52=""),0,MIN(IF($Y$54="",0,$Y$54),$AV$16*25)*10%)))</f>
        <v>8915.5500000000011</v>
      </c>
      <c r="W130" s="735"/>
      <c r="X130" s="836">
        <f t="shared" si="21"/>
        <v>15749.106287627819</v>
      </c>
      <c r="Y130" s="836"/>
      <c r="Z130" s="836">
        <f t="shared" si="20"/>
        <v>981516.62809458689</v>
      </c>
      <c r="AA130" s="836"/>
      <c r="AC130" s="484"/>
      <c r="AD130" s="66"/>
      <c r="AE130" s="66"/>
      <c r="AI130" s="137">
        <f t="shared" si="22"/>
        <v>15635.004360556619</v>
      </c>
      <c r="AJ130" s="63">
        <f>IF(OR(Z130="",Z130&lt;=0.01),"",IF(SUM($E$61:F130)=$I$26+$I$27,1,0))</f>
        <v>1</v>
      </c>
      <c r="AK130" s="63">
        <f t="shared" si="25"/>
        <v>65</v>
      </c>
      <c r="AL130" s="269">
        <f t="shared" si="27"/>
        <v>64</v>
      </c>
      <c r="AN130" s="63" t="str">
        <f t="shared" si="19"/>
        <v>Obra Concluida</v>
      </c>
      <c r="AQ130" s="63">
        <f>IF(SUM($E$61:F129)&gt;=$I$26+$I$27,1,0)</f>
        <v>1</v>
      </c>
      <c r="AR130" s="137">
        <f t="shared" si="26"/>
        <v>14490</v>
      </c>
    </row>
    <row r="131" spans="2:44" ht="21" customHeight="1" x14ac:dyDescent="0.3">
      <c r="B131" s="282">
        <f t="shared" si="23"/>
        <v>71</v>
      </c>
      <c r="C131" s="282"/>
      <c r="D131" s="267">
        <f>IF(B131="","",IF(AND($I$10="Remodelación",$I$22="No"),1,IF($I$29&gt;=0.8,1,IF(AN131="Ministración",Simul_ConstruRemo!BM131,1))))</f>
        <v>1</v>
      </c>
      <c r="E131" s="836">
        <f t="shared" si="17"/>
        <v>0</v>
      </c>
      <c r="F131" s="836"/>
      <c r="G131" s="836">
        <f t="shared" si="24"/>
        <v>981516.62809458689</v>
      </c>
      <c r="H131" s="836"/>
      <c r="I131" s="836">
        <f t="shared" si="14"/>
        <v>6965.0391846081675</v>
      </c>
      <c r="J131" s="836"/>
      <c r="K131" s="836">
        <f t="shared" si="16"/>
        <v>7524.9608153918325</v>
      </c>
      <c r="L131" s="836"/>
      <c r="M131" s="836">
        <f t="shared" si="18"/>
        <v>2606295</v>
      </c>
      <c r="N131" s="836"/>
      <c r="O131" s="836">
        <f>IFERROR(Z131*Simul_ConstruRemo!$BP$30/1000,"")</f>
        <v>428.80269912039063</v>
      </c>
      <c r="P131" s="836"/>
      <c r="Q131" s="836">
        <f>IFERROR(IF($I$10="Remodelación",M131*Simul_ConstruRemo!$BS$29,
IF(D131=1,MAX(M131,Z131)*$BS$29,M131*$BQ$29)),"")</f>
        <v>827.2389712662</v>
      </c>
      <c r="R131" s="836"/>
      <c r="S131" s="268">
        <f>IF(B131="","",'Tabla_Puntual&amp;Relacionamiento'!$B$42)</f>
        <v>9.1999999999999998E-2</v>
      </c>
      <c r="T131" s="837"/>
      <c r="U131" s="837"/>
      <c r="V131" s="734"/>
      <c r="W131" s="734"/>
      <c r="X131" s="836">
        <f t="shared" si="21"/>
        <v>15746.041670386592</v>
      </c>
      <c r="Y131" s="836"/>
      <c r="Z131" s="836">
        <f t="shared" si="20"/>
        <v>974551.58890997875</v>
      </c>
      <c r="AA131" s="836"/>
      <c r="AC131" s="484"/>
      <c r="AD131" s="66"/>
      <c r="AE131" s="66"/>
      <c r="AI131" s="137">
        <f t="shared" si="22"/>
        <v>15631.939743315392</v>
      </c>
      <c r="AJ131" s="63">
        <f>IF(OR(Z131="",Z131&lt;=0.01),"",IF(SUM($E$61:F131)=$I$26+$I$27,1,0))</f>
        <v>1</v>
      </c>
      <c r="AK131" s="63">
        <f t="shared" si="25"/>
        <v>66</v>
      </c>
      <c r="AL131" s="269">
        <f t="shared" si="27"/>
        <v>65</v>
      </c>
      <c r="AN131" s="63" t="str">
        <f t="shared" si="19"/>
        <v>Obra Concluida</v>
      </c>
      <c r="AQ131" s="63">
        <f>IF(SUM($E$61:F130)&gt;=$I$26+$I$27,1,0)</f>
        <v>1</v>
      </c>
      <c r="AR131" s="137">
        <f t="shared" si="26"/>
        <v>14490</v>
      </c>
    </row>
    <row r="132" spans="2:44" ht="21" customHeight="1" x14ac:dyDescent="0.3">
      <c r="B132" s="282">
        <f t="shared" si="23"/>
        <v>72</v>
      </c>
      <c r="C132" s="282"/>
      <c r="D132" s="267">
        <f>IF(B132="","",IF(AND($I$10="Remodelación",$I$22="No"),1,IF($I$29&gt;=0.8,1,IF(AN132="Ministración",Simul_ConstruRemo!BM132,1))))</f>
        <v>1</v>
      </c>
      <c r="E132" s="836">
        <f t="shared" si="17"/>
        <v>0</v>
      </c>
      <c r="F132" s="836"/>
      <c r="G132" s="836">
        <f t="shared" si="24"/>
        <v>974551.58890997875</v>
      </c>
      <c r="H132" s="836"/>
      <c r="I132" s="836">
        <f t="shared" si="14"/>
        <v>7018.4378183568297</v>
      </c>
      <c r="J132" s="836"/>
      <c r="K132" s="836">
        <f t="shared" si="16"/>
        <v>7471.5621816431703</v>
      </c>
      <c r="L132" s="836"/>
      <c r="M132" s="836">
        <f t="shared" si="18"/>
        <v>2606295</v>
      </c>
      <c r="N132" s="836"/>
      <c r="O132" s="836">
        <f>IFERROR(Z132*Simul_ConstruRemo!$BP$30/1000,"")</f>
        <v>421.79174448031364</v>
      </c>
      <c r="P132" s="836"/>
      <c r="Q132" s="836">
        <f>IFERROR(IF($I$10="Remodelación",M132*Simul_ConstruRemo!$BS$29,
IF(D132=1,MAX(M132,Z132)*$BS$29,M132*$BQ$29)),"")</f>
        <v>827.2389712662</v>
      </c>
      <c r="R132" s="836"/>
      <c r="S132" s="268">
        <f>IF(B132="","",'Tabla_Puntual&amp;Relacionamiento'!$B$42)</f>
        <v>9.1999999999999998E-2</v>
      </c>
      <c r="T132" s="837"/>
      <c r="U132" s="837"/>
      <c r="V132" s="735">
        <f>IF(OR(Z131=0,Z131=""),"",IF(I132&gt;=G132,0,IF(OR($Y$52="NO",$Y$52=""),0,MIN(IF($Y$54="",0,$Y$54),$AV$16*25)*10%)))</f>
        <v>8915.5500000000011</v>
      </c>
      <c r="W132" s="735"/>
      <c r="X132" s="836">
        <f t="shared" si="21"/>
        <v>15739.030715746514</v>
      </c>
      <c r="Y132" s="836"/>
      <c r="Z132" s="836">
        <f t="shared" si="20"/>
        <v>958617.60109162191</v>
      </c>
      <c r="AA132" s="836"/>
      <c r="AC132" s="484"/>
      <c r="AD132" s="66"/>
      <c r="AE132" s="66"/>
      <c r="AI132" s="137">
        <f t="shared" si="22"/>
        <v>15624.928788675314</v>
      </c>
      <c r="AJ132" s="63">
        <f>IF(OR(Z132="",Z132&lt;=0.01),"",IF(SUM($E$61:F132)=$I$26+$I$27,1,0))</f>
        <v>1</v>
      </c>
      <c r="AK132" s="63">
        <f t="shared" si="25"/>
        <v>67</v>
      </c>
      <c r="AL132" s="269">
        <f t="shared" si="27"/>
        <v>66</v>
      </c>
      <c r="AN132" s="63" t="str">
        <f t="shared" si="19"/>
        <v>Obra Concluida</v>
      </c>
      <c r="AQ132" s="63">
        <f>IF(SUM($E$61:F131)&gt;=$I$26+$I$27,1,0)</f>
        <v>1</v>
      </c>
      <c r="AR132" s="137">
        <f t="shared" si="26"/>
        <v>14490</v>
      </c>
    </row>
    <row r="133" spans="2:44" ht="21" customHeight="1" x14ac:dyDescent="0.3">
      <c r="B133" s="282">
        <f t="shared" si="23"/>
        <v>73</v>
      </c>
      <c r="C133" s="282"/>
      <c r="D133" s="267">
        <f>IF(B133="","",IF(AND($I$10="Remodelación",$I$22="No"),1,IF($I$29&gt;=0.8,1,IF(AN133="Ministración",Simul_ConstruRemo!BM133,1))))</f>
        <v>1</v>
      </c>
      <c r="E133" s="836">
        <f t="shared" si="17"/>
        <v>0</v>
      </c>
      <c r="F133" s="836"/>
      <c r="G133" s="836">
        <f t="shared" si="24"/>
        <v>958617.60109162191</v>
      </c>
      <c r="H133" s="836"/>
      <c r="I133" s="836">
        <f t="shared" si="14"/>
        <v>7140.5983916308987</v>
      </c>
      <c r="J133" s="836"/>
      <c r="K133" s="836">
        <f t="shared" si="16"/>
        <v>7349.4016083691013</v>
      </c>
      <c r="L133" s="836"/>
      <c r="M133" s="836">
        <f t="shared" si="18"/>
        <v>2606295</v>
      </c>
      <c r="N133" s="836"/>
      <c r="O133" s="836">
        <f>IFERROR(Z133*Simul_ConstruRemo!$BP$30/1000,"")</f>
        <v>418.64988118799602</v>
      </c>
      <c r="P133" s="836"/>
      <c r="Q133" s="836">
        <f>IFERROR(IF($I$10="Remodelación",M133*Simul_ConstruRemo!$BS$29,
IF(D133=1,MAX(M133,Z133)*$BS$29,M133*$BQ$29)),"")</f>
        <v>827.2389712662</v>
      </c>
      <c r="R133" s="836"/>
      <c r="S133" s="268">
        <f>IF(B133="","",'Tabla_Puntual&amp;Relacionamiento'!$B$43)</f>
        <v>9.1999999999999998E-2</v>
      </c>
      <c r="T133" s="837"/>
      <c r="U133" s="837"/>
      <c r="V133" s="734"/>
      <c r="W133" s="734"/>
      <c r="X133" s="836">
        <f t="shared" si="21"/>
        <v>15735.888852454196</v>
      </c>
      <c r="Y133" s="836"/>
      <c r="Z133" s="836">
        <f t="shared" si="20"/>
        <v>951477.00269999099</v>
      </c>
      <c r="AA133" s="836"/>
      <c r="AC133" s="484"/>
      <c r="AD133" s="66"/>
      <c r="AE133" s="66"/>
      <c r="AI133" s="137">
        <f t="shared" si="22"/>
        <v>15621.786925382996</v>
      </c>
      <c r="AJ133" s="63">
        <f>IF(OR(Z133="",Z133&lt;=0.01),"",IF(SUM($E$61:F133)=$I$26+$I$27,1,0))</f>
        <v>1</v>
      </c>
      <c r="AK133" s="63">
        <f t="shared" si="25"/>
        <v>68</v>
      </c>
      <c r="AL133" s="269">
        <f t="shared" si="27"/>
        <v>67</v>
      </c>
      <c r="AN133" s="63" t="str">
        <f t="shared" si="19"/>
        <v>Obra Concluida</v>
      </c>
      <c r="AQ133" s="63">
        <f>IF(SUM($E$61:F132)&gt;=$I$26+$I$27,1,0)</f>
        <v>1</v>
      </c>
      <c r="AR133" s="137">
        <f t="shared" si="26"/>
        <v>14490</v>
      </c>
    </row>
    <row r="134" spans="2:44" ht="21" customHeight="1" x14ac:dyDescent="0.3">
      <c r="B134" s="282">
        <f t="shared" si="23"/>
        <v>74</v>
      </c>
      <c r="C134" s="282"/>
      <c r="D134" s="267">
        <f>IF(B134="","",IF(AND($I$10="Remodelación",$I$22="No"),1,IF($I$29&gt;=0.8,1,IF(AN134="Ministración",Simul_ConstruRemo!BM134,1))))</f>
        <v>1</v>
      </c>
      <c r="E134" s="836">
        <f t="shared" si="17"/>
        <v>0</v>
      </c>
      <c r="F134" s="836"/>
      <c r="G134" s="836">
        <f t="shared" si="24"/>
        <v>951477.00269999099</v>
      </c>
      <c r="H134" s="836"/>
      <c r="I134" s="836">
        <f t="shared" si="14"/>
        <v>7195.3429793000696</v>
      </c>
      <c r="J134" s="836"/>
      <c r="K134" s="836">
        <f t="shared" si="16"/>
        <v>7294.6570206999304</v>
      </c>
      <c r="L134" s="836"/>
      <c r="M134" s="836">
        <f t="shared" si="18"/>
        <v>2606295</v>
      </c>
      <c r="N134" s="836"/>
      <c r="O134" s="836">
        <f>IFERROR(Z134*Simul_ConstruRemo!$BP$30/1000,"")</f>
        <v>411.56108827710398</v>
      </c>
      <c r="P134" s="836"/>
      <c r="Q134" s="836">
        <f>IFERROR(IF($I$10="Remodelación",M134*Simul_ConstruRemo!$BS$29,
IF(D134=1,MAX(M134,Z134)*$BS$29,M134*$BQ$29)),"")</f>
        <v>827.2389712662</v>
      </c>
      <c r="R134" s="836"/>
      <c r="S134" s="268">
        <f>IF(B134="","",'Tabla_Puntual&amp;Relacionamiento'!$B$43)</f>
        <v>9.1999999999999998E-2</v>
      </c>
      <c r="T134" s="837"/>
      <c r="U134" s="837"/>
      <c r="V134" s="735">
        <f>IF(OR(Z133=0,Z133=""),"",IF(I134&gt;=G134,0,IF(OR($Y$52="NO",$Y$52=""),0,MIN(IF($Y$54="",0,$Y$54),$AV$16*25)*10%)))</f>
        <v>8915.5500000000011</v>
      </c>
      <c r="W134" s="735"/>
      <c r="X134" s="836">
        <f t="shared" si="21"/>
        <v>15728.800059543304</v>
      </c>
      <c r="Y134" s="836"/>
      <c r="Z134" s="836">
        <f t="shared" si="20"/>
        <v>935366.10972069087</v>
      </c>
      <c r="AA134" s="836"/>
      <c r="AC134" s="484"/>
      <c r="AD134" s="66"/>
      <c r="AE134" s="66"/>
      <c r="AI134" s="137">
        <f t="shared" si="22"/>
        <v>15614.698132472104</v>
      </c>
      <c r="AJ134" s="63">
        <f>IF(OR(Z134="",Z134&lt;=0.01),"",IF(SUM($E$61:F134)=$I$26+$I$27,1,0))</f>
        <v>1</v>
      </c>
      <c r="AK134" s="63">
        <f t="shared" si="25"/>
        <v>69</v>
      </c>
      <c r="AL134" s="269">
        <f t="shared" si="27"/>
        <v>68</v>
      </c>
      <c r="AN134" s="63" t="str">
        <f t="shared" si="19"/>
        <v>Obra Concluida</v>
      </c>
      <c r="AQ134" s="63">
        <f>IF(SUM($E$61:F133)&gt;=$I$26+$I$27,1,0)</f>
        <v>1</v>
      </c>
      <c r="AR134" s="137">
        <f t="shared" si="26"/>
        <v>14490</v>
      </c>
    </row>
    <row r="135" spans="2:44" ht="21" customHeight="1" x14ac:dyDescent="0.3">
      <c r="B135" s="282">
        <f t="shared" si="23"/>
        <v>75</v>
      </c>
      <c r="C135" s="282"/>
      <c r="D135" s="267">
        <f>IF(B135="","",IF(AND($I$10="Remodelación",$I$22="No"),1,IF($I$29&gt;=0.8,1,IF(AN135="Ministración",Simul_ConstruRemo!BM135,1))))</f>
        <v>1</v>
      </c>
      <c r="E135" s="836">
        <f t="shared" si="17"/>
        <v>0</v>
      </c>
      <c r="F135" s="836"/>
      <c r="G135" s="836">
        <f t="shared" si="24"/>
        <v>935366.10972069087</v>
      </c>
      <c r="H135" s="836"/>
      <c r="I135" s="836">
        <f t="shared" si="14"/>
        <v>7318.8598254747039</v>
      </c>
      <c r="J135" s="836"/>
      <c r="K135" s="836">
        <f t="shared" si="16"/>
        <v>7171.1401745252961</v>
      </c>
      <c r="L135" s="836"/>
      <c r="M135" s="836">
        <f t="shared" si="18"/>
        <v>2606295</v>
      </c>
      <c r="N135" s="836"/>
      <c r="O135" s="836">
        <f>IFERROR(Z135*Simul_ConstruRemo!$BP$30/1000,"")</f>
        <v>408.34078995389513</v>
      </c>
      <c r="P135" s="836"/>
      <c r="Q135" s="836">
        <f>IFERROR(IF($I$10="Remodelación",M135*Simul_ConstruRemo!$BS$29,
IF(D135=1,MAX(M135,Z135)*$BS$29,M135*$BQ$29)),"")</f>
        <v>827.2389712662</v>
      </c>
      <c r="R135" s="836"/>
      <c r="S135" s="268">
        <f>IF(B135="","",'Tabla_Puntual&amp;Relacionamiento'!$B$43)</f>
        <v>9.1999999999999998E-2</v>
      </c>
      <c r="T135" s="837"/>
      <c r="U135" s="837"/>
      <c r="V135" s="734"/>
      <c r="W135" s="734"/>
      <c r="X135" s="836">
        <f t="shared" si="21"/>
        <v>15725.579761220095</v>
      </c>
      <c r="Y135" s="836"/>
      <c r="Z135" s="836">
        <f t="shared" si="20"/>
        <v>928047.2498952162</v>
      </c>
      <c r="AA135" s="836"/>
      <c r="AC135" s="484"/>
      <c r="AD135" s="66"/>
      <c r="AE135" s="66"/>
      <c r="AI135" s="137">
        <f t="shared" si="22"/>
        <v>15611.477834148895</v>
      </c>
      <c r="AJ135" s="63">
        <f>IF(OR(Z135="",Z135&lt;=0.01),"",IF(SUM($E$61:F135)=$I$26+$I$27,1,0))</f>
        <v>1</v>
      </c>
      <c r="AK135" s="63">
        <f t="shared" si="25"/>
        <v>70</v>
      </c>
      <c r="AL135" s="269">
        <f t="shared" si="27"/>
        <v>69</v>
      </c>
      <c r="AN135" s="63" t="str">
        <f t="shared" si="19"/>
        <v>Obra Concluida</v>
      </c>
      <c r="AQ135" s="63">
        <f>IF(SUM($E$61:F134)&gt;=$I$26+$I$27,1,0)</f>
        <v>1</v>
      </c>
      <c r="AR135" s="137">
        <f t="shared" si="26"/>
        <v>14490</v>
      </c>
    </row>
    <row r="136" spans="2:44" ht="21" customHeight="1" x14ac:dyDescent="0.3">
      <c r="B136" s="282">
        <f t="shared" si="23"/>
        <v>76</v>
      </c>
      <c r="C136" s="282"/>
      <c r="D136" s="267">
        <f>IF(B136="","",IF(AND($I$10="Remodelación",$I$22="No"),1,IF($I$29&gt;=0.8,1,IF(AN136="Ministración",Simul_ConstruRemo!BM136,1))))</f>
        <v>1</v>
      </c>
      <c r="E136" s="836">
        <f t="shared" si="17"/>
        <v>0</v>
      </c>
      <c r="F136" s="836"/>
      <c r="G136" s="836">
        <f t="shared" si="24"/>
        <v>928047.2498952162</v>
      </c>
      <c r="H136" s="836"/>
      <c r="I136" s="836">
        <f t="shared" si="14"/>
        <v>7374.9710841366759</v>
      </c>
      <c r="J136" s="836"/>
      <c r="K136" s="836">
        <f t="shared" si="16"/>
        <v>7115.0289158633241</v>
      </c>
      <c r="L136" s="836"/>
      <c r="M136" s="836">
        <f t="shared" si="18"/>
        <v>2606295</v>
      </c>
      <c r="N136" s="836"/>
      <c r="O136" s="836">
        <f>IFERROR(Z136*Simul_ConstruRemo!$BP$30/1000,"")</f>
        <v>401.17296067687499</v>
      </c>
      <c r="P136" s="836"/>
      <c r="Q136" s="836">
        <f>IFERROR(IF($I$10="Remodelación",M136*Simul_ConstruRemo!$BS$29,
IF(D136=1,MAX(M136,Z136)*$BS$29,M136*$BQ$29)),"")</f>
        <v>827.2389712662</v>
      </c>
      <c r="R136" s="836"/>
      <c r="S136" s="268">
        <f>IF(B136="","",'Tabla_Puntual&amp;Relacionamiento'!$B$43)</f>
        <v>9.1999999999999998E-2</v>
      </c>
      <c r="T136" s="837"/>
      <c r="U136" s="837"/>
      <c r="V136" s="735">
        <f>IF(OR(Z135=0,Z135=""),"",IF(I136&gt;=G136,0,IF(OR($Y$52="NO",$Y$52=""),0,MIN(IF($Y$54="",0,$Y$54),$AV$16*25)*10%)))</f>
        <v>8915.5500000000011</v>
      </c>
      <c r="W136" s="735"/>
      <c r="X136" s="836">
        <f t="shared" si="21"/>
        <v>15718.411931943076</v>
      </c>
      <c r="Y136" s="836"/>
      <c r="Z136" s="836">
        <f t="shared" si="20"/>
        <v>911756.72881107952</v>
      </c>
      <c r="AA136" s="836"/>
      <c r="AC136" s="484"/>
      <c r="AD136" s="66"/>
      <c r="AE136" s="66"/>
      <c r="AI136" s="137">
        <f t="shared" si="22"/>
        <v>15604.310004871875</v>
      </c>
      <c r="AJ136" s="63">
        <f>IF(OR(Z136="",Z136&lt;=0.01),"",IF(SUM($E$61:F136)=$I$26+$I$27,1,0))</f>
        <v>1</v>
      </c>
      <c r="AK136" s="63">
        <f t="shared" si="25"/>
        <v>71</v>
      </c>
      <c r="AL136" s="269">
        <f t="shared" si="27"/>
        <v>70</v>
      </c>
      <c r="AN136" s="63" t="str">
        <f t="shared" si="19"/>
        <v>Obra Concluida</v>
      </c>
      <c r="AQ136" s="63">
        <f>IF(SUM($E$61:F135)&gt;=$I$26+$I$27,1,0)</f>
        <v>1</v>
      </c>
      <c r="AR136" s="137">
        <f t="shared" si="26"/>
        <v>14490</v>
      </c>
    </row>
    <row r="137" spans="2:44" ht="21" customHeight="1" x14ac:dyDescent="0.3">
      <c r="B137" s="282">
        <f t="shared" si="23"/>
        <v>77</v>
      </c>
      <c r="C137" s="282"/>
      <c r="D137" s="267">
        <f>IF(B137="","",IF(AND($I$10="Remodelación",$I$22="No"),1,IF($I$29&gt;=0.8,1,IF(AN137="Ministración",Simul_ConstruRemo!BM137,1))))</f>
        <v>1</v>
      </c>
      <c r="E137" s="836">
        <f t="shared" si="17"/>
        <v>0</v>
      </c>
      <c r="F137" s="836"/>
      <c r="G137" s="836">
        <f t="shared" si="24"/>
        <v>911756.72881107952</v>
      </c>
      <c r="H137" s="836"/>
      <c r="I137" s="836">
        <f t="shared" si="14"/>
        <v>7499.8650791150576</v>
      </c>
      <c r="J137" s="836"/>
      <c r="K137" s="836">
        <f t="shared" si="16"/>
        <v>6990.1349208849424</v>
      </c>
      <c r="L137" s="836"/>
      <c r="M137" s="836">
        <f t="shared" si="18"/>
        <v>2606295</v>
      </c>
      <c r="N137" s="836"/>
      <c r="O137" s="836">
        <f>IFERROR(Z137*Simul_ConstruRemo!$BP$30/1000,"")</f>
        <v>397.87302004206435</v>
      </c>
      <c r="P137" s="836"/>
      <c r="Q137" s="836">
        <f>IFERROR(IF($I$10="Remodelación",M137*Simul_ConstruRemo!$BS$29,
IF(D137=1,MAX(M137,Z137)*$BS$29,M137*$BQ$29)),"")</f>
        <v>827.2389712662</v>
      </c>
      <c r="R137" s="836"/>
      <c r="S137" s="268">
        <f>IF(B137="","",'Tabla_Puntual&amp;Relacionamiento'!$B$43)</f>
        <v>9.1999999999999998E-2</v>
      </c>
      <c r="T137" s="837"/>
      <c r="U137" s="837"/>
      <c r="V137" s="734"/>
      <c r="W137" s="734"/>
      <c r="X137" s="836">
        <f t="shared" si="21"/>
        <v>15715.111991308266</v>
      </c>
      <c r="Y137" s="836"/>
      <c r="Z137" s="836">
        <f t="shared" si="20"/>
        <v>904256.86373196449</v>
      </c>
      <c r="AA137" s="836"/>
      <c r="AC137" s="484"/>
      <c r="AD137" s="66"/>
      <c r="AE137" s="66"/>
      <c r="AI137" s="137">
        <f t="shared" si="22"/>
        <v>15601.010064237065</v>
      </c>
      <c r="AJ137" s="63">
        <f>IF(OR(Z137="",Z137&lt;=0.01),"",IF(SUM($E$61:F137)=$I$26+$I$27,1,0))</f>
        <v>1</v>
      </c>
      <c r="AK137" s="63">
        <f t="shared" si="25"/>
        <v>72</v>
      </c>
      <c r="AL137" s="269">
        <f t="shared" si="27"/>
        <v>71</v>
      </c>
      <c r="AN137" s="63" t="str">
        <f t="shared" si="19"/>
        <v>Obra Concluida</v>
      </c>
      <c r="AQ137" s="63">
        <f>IF(SUM($E$61:F136)&gt;=$I$26+$I$27,1,0)</f>
        <v>1</v>
      </c>
      <c r="AR137" s="137">
        <f t="shared" si="26"/>
        <v>14490</v>
      </c>
    </row>
    <row r="138" spans="2:44" ht="21" customHeight="1" x14ac:dyDescent="0.3">
      <c r="B138" s="282">
        <f t="shared" si="23"/>
        <v>78</v>
      </c>
      <c r="C138" s="282"/>
      <c r="D138" s="267">
        <f>IF(B138="","",IF(AND($I$10="Remodelación",$I$22="No"),1,IF($I$29&gt;=0.8,1,IF(AN138="Ministración",Simul_ConstruRemo!BM138,1))))</f>
        <v>1</v>
      </c>
      <c r="E138" s="836">
        <f t="shared" si="17"/>
        <v>0</v>
      </c>
      <c r="F138" s="836"/>
      <c r="G138" s="836">
        <f t="shared" si="24"/>
        <v>904256.86373196449</v>
      </c>
      <c r="H138" s="836"/>
      <c r="I138" s="836">
        <f t="shared" ref="I138:I201" si="28">IF(B138="","",IF(G138&lt;AR138-K138,G138,AR138-K138))</f>
        <v>7557.3640447216058</v>
      </c>
      <c r="J138" s="836"/>
      <c r="K138" s="836">
        <f t="shared" si="16"/>
        <v>6932.6359552783942</v>
      </c>
      <c r="L138" s="836"/>
      <c r="M138" s="836">
        <f t="shared" si="18"/>
        <v>2606295</v>
      </c>
      <c r="N138" s="836"/>
      <c r="O138" s="836">
        <f>IFERROR(Z138*Simul_ConstruRemo!$BP$30/1000,"")</f>
        <v>390.62493786238684</v>
      </c>
      <c r="P138" s="836"/>
      <c r="Q138" s="836">
        <f>IFERROR(IF($I$10="Remodelación",M138*Simul_ConstruRemo!$BS$29,
IF(D138=1,MAX(M138,Z138)*$BS$29,M138*$BQ$29)),"")</f>
        <v>827.2389712662</v>
      </c>
      <c r="R138" s="836"/>
      <c r="S138" s="268">
        <f>IF(B138="","",'Tabla_Puntual&amp;Relacionamiento'!$B$43)</f>
        <v>9.1999999999999998E-2</v>
      </c>
      <c r="T138" s="837"/>
      <c r="U138" s="837"/>
      <c r="V138" s="735">
        <f>IF(OR(Z137=0,Z137=""),"",IF(I138&gt;=G138,0,IF(OR($Y$52="NO",$Y$52=""),0,MIN(IF($Y$54="",0,$Y$54),$AV$16*25)*10%)))</f>
        <v>8915.5500000000011</v>
      </c>
      <c r="W138" s="735"/>
      <c r="X138" s="836">
        <f t="shared" si="21"/>
        <v>15707.863909128588</v>
      </c>
      <c r="Y138" s="836"/>
      <c r="Z138" s="836">
        <f t="shared" si="20"/>
        <v>887783.94968724286</v>
      </c>
      <c r="AA138" s="836"/>
      <c r="AC138" s="484"/>
      <c r="AD138" s="66"/>
      <c r="AE138" s="66"/>
      <c r="AI138" s="137">
        <f t="shared" si="22"/>
        <v>15593.761982057387</v>
      </c>
      <c r="AJ138" s="63">
        <f>IF(OR(Z138="",Z138&lt;=0.01),"",IF(SUM($E$61:F138)=$I$26+$I$27,1,0))</f>
        <v>1</v>
      </c>
      <c r="AK138" s="63">
        <f t="shared" si="25"/>
        <v>73</v>
      </c>
      <c r="AL138" s="269">
        <f t="shared" si="27"/>
        <v>72</v>
      </c>
      <c r="AN138" s="63" t="str">
        <f t="shared" si="19"/>
        <v>Obra Concluida</v>
      </c>
      <c r="AQ138" s="63">
        <f>IF(SUM($E$61:F137)&gt;=$I$26+$I$27,1,0)</f>
        <v>1</v>
      </c>
      <c r="AR138" s="137">
        <f t="shared" si="26"/>
        <v>14490</v>
      </c>
    </row>
    <row r="139" spans="2:44" ht="21" customHeight="1" x14ac:dyDescent="0.3">
      <c r="B139" s="282">
        <f t="shared" si="23"/>
        <v>79</v>
      </c>
      <c r="C139" s="282"/>
      <c r="D139" s="267">
        <f>IF(B139="","",IF(AND($I$10="Remodelación",$I$22="No"),1,IF($I$29&gt;=0.8,1,IF(AN139="Ministración",Simul_ConstruRemo!BM139,1))))</f>
        <v>1</v>
      </c>
      <c r="E139" s="836">
        <f t="shared" si="17"/>
        <v>0</v>
      </c>
      <c r="F139" s="836"/>
      <c r="G139" s="836">
        <f t="shared" si="24"/>
        <v>887783.94968724286</v>
      </c>
      <c r="H139" s="836"/>
      <c r="I139" s="836">
        <f t="shared" si="28"/>
        <v>7683.6563857311385</v>
      </c>
      <c r="J139" s="836"/>
      <c r="K139" s="836">
        <f t="shared" si="16"/>
        <v>6806.3436142688615</v>
      </c>
      <c r="L139" s="836"/>
      <c r="M139" s="836">
        <f t="shared" si="18"/>
        <v>2606295</v>
      </c>
      <c r="N139" s="836"/>
      <c r="O139" s="836">
        <f>IFERROR(Z139*Simul_ConstruRemo!$BP$30/1000,"")</f>
        <v>387.24412905266513</v>
      </c>
      <c r="P139" s="836"/>
      <c r="Q139" s="836">
        <f>IFERROR(IF($I$10="Remodelación",M139*Simul_ConstruRemo!$BS$29,
IF(D139=1,MAX(M139,Z139)*$BS$29,M139*$BQ$29)),"")</f>
        <v>827.2389712662</v>
      </c>
      <c r="R139" s="836"/>
      <c r="S139" s="268">
        <f>IF(B139="","",'Tabla_Puntual&amp;Relacionamiento'!$B$43)</f>
        <v>9.1999999999999998E-2</v>
      </c>
      <c r="T139" s="837"/>
      <c r="U139" s="837"/>
      <c r="V139" s="734"/>
      <c r="W139" s="734"/>
      <c r="X139" s="836">
        <f t="shared" si="21"/>
        <v>15704.483100318866</v>
      </c>
      <c r="Y139" s="836"/>
      <c r="Z139" s="836">
        <f t="shared" si="20"/>
        <v>880100.29330151167</v>
      </c>
      <c r="AA139" s="836"/>
      <c r="AC139" s="484"/>
      <c r="AD139" s="66"/>
      <c r="AE139" s="66"/>
      <c r="AI139" s="137">
        <f t="shared" si="22"/>
        <v>15590.381173247666</v>
      </c>
      <c r="AJ139" s="63">
        <f>IF(OR(Z139="",Z139&lt;=0.01),"",IF(SUM($E$61:F139)=$I$26+$I$27,1,0))</f>
        <v>1</v>
      </c>
      <c r="AK139" s="63">
        <f t="shared" si="25"/>
        <v>74</v>
      </c>
      <c r="AL139" s="269">
        <f t="shared" si="27"/>
        <v>73</v>
      </c>
      <c r="AN139" s="63" t="str">
        <f t="shared" si="19"/>
        <v>Obra Concluida</v>
      </c>
      <c r="AQ139" s="63">
        <f>IF(SUM($E$61:F138)&gt;=$I$26+$I$27,1,0)</f>
        <v>1</v>
      </c>
      <c r="AR139" s="137">
        <f t="shared" si="26"/>
        <v>14490</v>
      </c>
    </row>
    <row r="140" spans="2:44" ht="21" customHeight="1" x14ac:dyDescent="0.3">
      <c r="B140" s="282">
        <f t="shared" si="23"/>
        <v>80</v>
      </c>
      <c r="C140" s="282"/>
      <c r="D140" s="267">
        <f>IF(B140="","",IF(AND($I$10="Remodelación",$I$22="No"),1,IF($I$29&gt;=0.8,1,IF(AN140="Ministración",Simul_ConstruRemo!BM140,1))))</f>
        <v>1</v>
      </c>
      <c r="E140" s="836">
        <f t="shared" si="17"/>
        <v>0</v>
      </c>
      <c r="F140" s="836"/>
      <c r="G140" s="836">
        <f t="shared" si="24"/>
        <v>880100.29330151167</v>
      </c>
      <c r="H140" s="836"/>
      <c r="I140" s="836">
        <f t="shared" si="28"/>
        <v>7742.5644180217441</v>
      </c>
      <c r="J140" s="836"/>
      <c r="K140" s="836">
        <f t="shared" si="16"/>
        <v>6747.4355819782559</v>
      </c>
      <c r="L140" s="836"/>
      <c r="M140" s="836">
        <f t="shared" si="18"/>
        <v>2606295</v>
      </c>
      <c r="N140" s="836"/>
      <c r="O140" s="836">
        <f>IFERROR(Z140*Simul_ConstruRemo!$BP$30/1000,"")</f>
        <v>379.91455870873557</v>
      </c>
      <c r="P140" s="836"/>
      <c r="Q140" s="836">
        <f>IFERROR(IF($I$10="Remodelación",M140*Simul_ConstruRemo!$BS$29,
IF(D140=1,MAX(M140,Z140)*$BS$29,M140*$BQ$29)),"")</f>
        <v>827.2389712662</v>
      </c>
      <c r="R140" s="836"/>
      <c r="S140" s="268">
        <f>IF(B140="","",'Tabla_Puntual&amp;Relacionamiento'!$B$43)</f>
        <v>9.1999999999999998E-2</v>
      </c>
      <c r="T140" s="837"/>
      <c r="U140" s="837"/>
      <c r="V140" s="735">
        <f>IF(OR(Z139=0,Z139=""),"",IF(I140&gt;=G140,0,IF(OR($Y$52="NO",$Y$52=""),0,MIN(IF($Y$54="",0,$Y$54),$AV$16*25)*10%)))</f>
        <v>8915.5500000000011</v>
      </c>
      <c r="W140" s="735"/>
      <c r="X140" s="836">
        <f t="shared" si="21"/>
        <v>15697.153529974936</v>
      </c>
      <c r="Y140" s="836"/>
      <c r="Z140" s="836">
        <f t="shared" si="20"/>
        <v>863442.17888348992</v>
      </c>
      <c r="AA140" s="836"/>
      <c r="AC140" s="484"/>
      <c r="AD140" s="66"/>
      <c r="AE140" s="66"/>
      <c r="AI140" s="137">
        <f t="shared" si="22"/>
        <v>15583.051602903735</v>
      </c>
      <c r="AJ140" s="63">
        <f>IF(OR(Z140="",Z140&lt;=0.01),"",IF(SUM($E$61:F140)=$I$26+$I$27,1,0))</f>
        <v>1</v>
      </c>
      <c r="AK140" s="63">
        <f t="shared" si="25"/>
        <v>75</v>
      </c>
      <c r="AL140" s="269">
        <f t="shared" si="27"/>
        <v>74</v>
      </c>
      <c r="AN140" s="63" t="str">
        <f t="shared" si="19"/>
        <v>Obra Concluida</v>
      </c>
      <c r="AQ140" s="63">
        <f>IF(SUM($E$61:F139)&gt;=$I$26+$I$27,1,0)</f>
        <v>1</v>
      </c>
      <c r="AR140" s="137">
        <f t="shared" si="26"/>
        <v>14490</v>
      </c>
    </row>
    <row r="141" spans="2:44" ht="21" customHeight="1" x14ac:dyDescent="0.3">
      <c r="B141" s="282">
        <f t="shared" si="23"/>
        <v>81</v>
      </c>
      <c r="C141" s="282"/>
      <c r="D141" s="267">
        <f>IF(B141="","",IF(AND($I$10="Remodelación",$I$22="No"),1,IF($I$29&gt;=0.8,1,IF(AN141="Ministración",Simul_ConstruRemo!BM141,1))))</f>
        <v>1</v>
      </c>
      <c r="E141" s="836">
        <f t="shared" si="17"/>
        <v>0</v>
      </c>
      <c r="F141" s="836"/>
      <c r="G141" s="836">
        <f t="shared" si="24"/>
        <v>863442.17888348992</v>
      </c>
      <c r="H141" s="836"/>
      <c r="I141" s="836">
        <f t="shared" si="28"/>
        <v>7870.2766285599109</v>
      </c>
      <c r="J141" s="836"/>
      <c r="K141" s="836">
        <f t="shared" si="16"/>
        <v>6619.7233714400891</v>
      </c>
      <c r="L141" s="836"/>
      <c r="M141" s="836">
        <f t="shared" si="18"/>
        <v>2606295</v>
      </c>
      <c r="N141" s="836"/>
      <c r="O141" s="836">
        <f>IFERROR(Z141*Simul_ConstruRemo!$BP$30/1000,"")</f>
        <v>376.4516369921692</v>
      </c>
      <c r="P141" s="836"/>
      <c r="Q141" s="836">
        <f>IFERROR(IF($I$10="Remodelación",M141*Simul_ConstruRemo!$BS$29,
IF(D141=1,MAX(M141,Z141)*$BS$29,M141*$BQ$29)),"")</f>
        <v>827.2389712662</v>
      </c>
      <c r="R141" s="836"/>
      <c r="S141" s="268">
        <f>IF(B141="","",'Tabla_Puntual&amp;Relacionamiento'!$B$43)</f>
        <v>9.1999999999999998E-2</v>
      </c>
      <c r="T141" s="837"/>
      <c r="U141" s="837"/>
      <c r="V141" s="734"/>
      <c r="W141" s="734"/>
      <c r="X141" s="836">
        <f t="shared" si="21"/>
        <v>15693.69060825837</v>
      </c>
      <c r="Y141" s="836"/>
      <c r="Z141" s="836">
        <f t="shared" si="20"/>
        <v>855571.90225493</v>
      </c>
      <c r="AA141" s="836"/>
      <c r="AC141" s="484"/>
      <c r="AD141" s="66"/>
      <c r="AE141" s="66"/>
      <c r="AI141" s="137">
        <f t="shared" si="22"/>
        <v>15579.58868118717</v>
      </c>
      <c r="AJ141" s="63">
        <f>IF(OR(Z141="",Z141&lt;=0.01),"",IF(SUM($E$61:F141)=$I$26+$I$27,1,0))</f>
        <v>1</v>
      </c>
      <c r="AK141" s="63">
        <f t="shared" si="25"/>
        <v>76</v>
      </c>
      <c r="AL141" s="269">
        <f t="shared" si="27"/>
        <v>75</v>
      </c>
      <c r="AN141" s="63" t="str">
        <f t="shared" si="19"/>
        <v>Obra Concluida</v>
      </c>
      <c r="AQ141" s="63">
        <f>IF(SUM($E$61:F140)&gt;=$I$26+$I$27,1,0)</f>
        <v>1</v>
      </c>
      <c r="AR141" s="137">
        <f t="shared" si="26"/>
        <v>14490</v>
      </c>
    </row>
    <row r="142" spans="2:44" ht="21" customHeight="1" x14ac:dyDescent="0.3">
      <c r="B142" s="282">
        <f t="shared" si="23"/>
        <v>82</v>
      </c>
      <c r="C142" s="282"/>
      <c r="D142" s="267">
        <f>IF(B142="","",IF(AND($I$10="Remodelación",$I$22="No"),1,IF($I$29&gt;=0.8,1,IF(AN142="Ministración",Simul_ConstruRemo!BM142,1))))</f>
        <v>1</v>
      </c>
      <c r="E142" s="836">
        <f t="shared" si="17"/>
        <v>0</v>
      </c>
      <c r="F142" s="836"/>
      <c r="G142" s="836">
        <f t="shared" si="24"/>
        <v>855571.90225493</v>
      </c>
      <c r="H142" s="836"/>
      <c r="I142" s="836">
        <f t="shared" si="28"/>
        <v>7930.6154160455371</v>
      </c>
      <c r="J142" s="836"/>
      <c r="K142" s="836">
        <f t="shared" si="16"/>
        <v>6559.3845839544629</v>
      </c>
      <c r="L142" s="836"/>
      <c r="M142" s="836">
        <f t="shared" si="18"/>
        <v>2606295</v>
      </c>
      <c r="N142" s="836"/>
      <c r="O142" s="836">
        <f>IFERROR(Z142*Simul_ConstruRemo!$BP$30/1000,"")</f>
        <v>369.03932420910911</v>
      </c>
      <c r="P142" s="836"/>
      <c r="Q142" s="836">
        <f>IFERROR(IF($I$10="Remodelación",M142*Simul_ConstruRemo!$BS$29,
IF(D142=1,MAX(M142,Z142)*$BS$29,M142*$BQ$29)),"")</f>
        <v>827.2389712662</v>
      </c>
      <c r="R142" s="836"/>
      <c r="S142" s="268">
        <f>IF(B142="","",'Tabla_Puntual&amp;Relacionamiento'!$B$43)</f>
        <v>9.1999999999999998E-2</v>
      </c>
      <c r="T142" s="837"/>
      <c r="U142" s="837"/>
      <c r="V142" s="735">
        <f>IF(OR(Z141=0,Z141=""),"",IF(I142&gt;=G142,0,IF(OR($Y$52="NO",$Y$52=""),0,MIN(IF($Y$54="",0,$Y$54),$AV$16*25)*10%)))</f>
        <v>8915.5500000000011</v>
      </c>
      <c r="W142" s="735"/>
      <c r="X142" s="836">
        <f t="shared" si="21"/>
        <v>15686.278295475309</v>
      </c>
      <c r="Y142" s="836"/>
      <c r="Z142" s="836">
        <f t="shared" si="20"/>
        <v>838725.73683888442</v>
      </c>
      <c r="AA142" s="836"/>
      <c r="AC142" s="484"/>
      <c r="AD142" s="66"/>
      <c r="AE142" s="66"/>
      <c r="AI142" s="137">
        <f t="shared" si="22"/>
        <v>15572.176368404109</v>
      </c>
      <c r="AJ142" s="63">
        <f>IF(OR(Z142="",Z142&lt;=0.01),"",IF(SUM($E$61:F142)=$I$26+$I$27,1,0))</f>
        <v>1</v>
      </c>
      <c r="AK142" s="63">
        <f t="shared" si="25"/>
        <v>77</v>
      </c>
      <c r="AL142" s="269">
        <f t="shared" si="27"/>
        <v>76</v>
      </c>
      <c r="AN142" s="63" t="str">
        <f t="shared" si="19"/>
        <v>Obra Concluida</v>
      </c>
      <c r="AQ142" s="63">
        <f>IF(SUM($E$61:F141)&gt;=$I$26+$I$27,1,0)</f>
        <v>1</v>
      </c>
      <c r="AR142" s="137">
        <f t="shared" si="26"/>
        <v>14490</v>
      </c>
    </row>
    <row r="143" spans="2:44" ht="21" customHeight="1" x14ac:dyDescent="0.3">
      <c r="B143" s="282">
        <f t="shared" si="23"/>
        <v>83</v>
      </c>
      <c r="C143" s="282"/>
      <c r="D143" s="267">
        <f>IF(B143="","",IF(AND($I$10="Remodelación",$I$22="No"),1,IF($I$29&gt;=0.8,1,IF(AN143="Ministración",Simul_ConstruRemo!BM143,1))))</f>
        <v>1</v>
      </c>
      <c r="E143" s="836">
        <f t="shared" si="17"/>
        <v>0</v>
      </c>
      <c r="F143" s="836"/>
      <c r="G143" s="836">
        <f t="shared" si="24"/>
        <v>838725.73683888442</v>
      </c>
      <c r="H143" s="836"/>
      <c r="I143" s="836">
        <f t="shared" si="28"/>
        <v>8059.7693509018864</v>
      </c>
      <c r="J143" s="836"/>
      <c r="K143" s="836">
        <f t="shared" ref="K143:K206" si="29">IF(B143="","",IF(AN143="Ministración",G143*S143/12,
IF(G143*(S143/12)&lt;0,"",G143*(S143/12))))</f>
        <v>6430.2306490981136</v>
      </c>
      <c r="L143" s="836"/>
      <c r="M143" s="836">
        <f t="shared" si="18"/>
        <v>2606295</v>
      </c>
      <c r="N143" s="836"/>
      <c r="O143" s="836">
        <f>IFERROR(Z143*Simul_ConstruRemo!$BP$30/1000,"")</f>
        <v>365.49302569471229</v>
      </c>
      <c r="P143" s="836"/>
      <c r="Q143" s="836">
        <f>IFERROR(IF($I$10="Remodelación",M143*Simul_ConstruRemo!$BS$29,
IF(D143=1,MAX(M143,Z143)*$BS$29,M143*$BQ$29)),"")</f>
        <v>827.2389712662</v>
      </c>
      <c r="R143" s="836"/>
      <c r="S143" s="268">
        <f>IF(B143="","",'Tabla_Puntual&amp;Relacionamiento'!$B$43)</f>
        <v>9.1999999999999998E-2</v>
      </c>
      <c r="T143" s="837"/>
      <c r="U143" s="837"/>
      <c r="V143" s="734"/>
      <c r="W143" s="734"/>
      <c r="X143" s="836">
        <f t="shared" si="21"/>
        <v>15682.731996960913</v>
      </c>
      <c r="Y143" s="836"/>
      <c r="Z143" s="836">
        <f t="shared" si="20"/>
        <v>830665.96748798247</v>
      </c>
      <c r="AA143" s="836"/>
      <c r="AC143" s="484"/>
      <c r="AD143" s="66"/>
      <c r="AE143" s="66"/>
      <c r="AI143" s="137">
        <f t="shared" si="22"/>
        <v>15568.630069889712</v>
      </c>
      <c r="AJ143" s="63">
        <f>IF(OR(Z143="",Z143&lt;=0.01),"",IF(SUM($E$61:F143)=$I$26+$I$27,1,0))</f>
        <v>1</v>
      </c>
      <c r="AK143" s="63">
        <f t="shared" si="25"/>
        <v>78</v>
      </c>
      <c r="AL143" s="269">
        <f t="shared" si="27"/>
        <v>77</v>
      </c>
      <c r="AN143" s="63" t="str">
        <f t="shared" si="19"/>
        <v>Obra Concluida</v>
      </c>
      <c r="AQ143" s="63">
        <f>IF(SUM($E$61:F142)&gt;=$I$26+$I$27,1,0)</f>
        <v>1</v>
      </c>
      <c r="AR143" s="137">
        <f t="shared" si="26"/>
        <v>14490</v>
      </c>
    </row>
    <row r="144" spans="2:44" ht="21" customHeight="1" x14ac:dyDescent="0.3">
      <c r="B144" s="282">
        <f t="shared" si="23"/>
        <v>84</v>
      </c>
      <c r="C144" s="282"/>
      <c r="D144" s="267">
        <f>IF(B144="","",IF(AND($I$10="Remodelación",$I$22="No"),1,IF($I$29&gt;=0.8,1,IF(AN144="Ministración",Simul_ConstruRemo!BM144,1))))</f>
        <v>1</v>
      </c>
      <c r="E144" s="836">
        <f t="shared" ref="E144:E207" si="30">IFERROR(IF(B144="","",
IF(AND($I$10="Remodelación",$I$22="No"),0,
IF(AND($I$10&lt;&gt;"Remodelación",$I$29&gt;=0.8),0,
IF(AN144="Obra Concluida",0,VLOOKUP(B144,$AX$61:$AZ$72,3,0))))),0)</f>
        <v>0</v>
      </c>
      <c r="F144" s="836"/>
      <c r="G144" s="836">
        <f t="shared" si="24"/>
        <v>830665.96748798247</v>
      </c>
      <c r="H144" s="836"/>
      <c r="I144" s="836">
        <f t="shared" si="28"/>
        <v>8121.5609159254682</v>
      </c>
      <c r="J144" s="836"/>
      <c r="K144" s="836">
        <f t="shared" si="29"/>
        <v>6368.4390840745318</v>
      </c>
      <c r="L144" s="836"/>
      <c r="M144" s="836">
        <f t="shared" ref="M144:M207" si="31">IF(B144="","",IF($I$10="Remodelación",($I$16*0.7+$I$17*0.5),$CO$27))</f>
        <v>2606295</v>
      </c>
      <c r="N144" s="836"/>
      <c r="O144" s="836">
        <f>IFERROR(Z144*Simul_ConstruRemo!$BP$30/1000,"")</f>
        <v>357.99669689170508</v>
      </c>
      <c r="P144" s="836"/>
      <c r="Q144" s="836">
        <f>IFERROR(IF($I$10="Remodelación",M144*Simul_ConstruRemo!$BS$29,
IF(D144=1,MAX(M144,Z144)*$BS$29,M144*$BQ$29)),"")</f>
        <v>827.2389712662</v>
      </c>
      <c r="R144" s="836"/>
      <c r="S144" s="268">
        <f>IF(B144="","",'Tabla_Puntual&amp;Relacionamiento'!$B$43)</f>
        <v>9.1999999999999998E-2</v>
      </c>
      <c r="T144" s="837"/>
      <c r="U144" s="837"/>
      <c r="V144" s="735">
        <f>IF(OR(Z143=0,Z143=""),"",IF(I144&gt;=G144,0,IF(OR($Y$52="NO",$Y$52=""),0,MIN(IF($Y$54="",0,$Y$54),$AV$16*25)*10%)))</f>
        <v>8915.5500000000011</v>
      </c>
      <c r="W144" s="735"/>
      <c r="X144" s="836">
        <f t="shared" si="21"/>
        <v>15675.235668157906</v>
      </c>
      <c r="Y144" s="836"/>
      <c r="Z144" s="836">
        <f t="shared" si="20"/>
        <v>813628.856572057</v>
      </c>
      <c r="AA144" s="836"/>
      <c r="AC144" s="484"/>
      <c r="AD144" s="66"/>
      <c r="AE144" s="66"/>
      <c r="AI144" s="137">
        <f t="shared" si="22"/>
        <v>15561.133741086705</v>
      </c>
      <c r="AJ144" s="63">
        <f>IF(OR(Z144="",Z144&lt;=0.01),"",IF(SUM($E$61:F144)=$I$26+$I$27,1,0))</f>
        <v>1</v>
      </c>
      <c r="AK144" s="63">
        <f t="shared" si="25"/>
        <v>79</v>
      </c>
      <c r="AL144" s="269">
        <f t="shared" si="27"/>
        <v>78</v>
      </c>
      <c r="AN144" s="63" t="str">
        <f t="shared" ref="AN144:AN207" si="32">IF(B144="","","Obra Concluida")</f>
        <v>Obra Concluida</v>
      </c>
      <c r="AQ144" s="63">
        <f>IF(SUM($E$61:F143)&gt;=$I$26+$I$27,1,0)</f>
        <v>1</v>
      </c>
      <c r="AR144" s="137">
        <f t="shared" si="26"/>
        <v>14490</v>
      </c>
    </row>
    <row r="145" spans="2:44" ht="21" customHeight="1" x14ac:dyDescent="0.3">
      <c r="B145" s="282">
        <f t="shared" si="23"/>
        <v>85</v>
      </c>
      <c r="C145" s="282"/>
      <c r="D145" s="267">
        <f>IF(B145="","",IF(AND($I$10="Remodelación",$I$22="No"),1,IF($I$29&gt;=0.8,1,IF(AN145="Ministración",Simul_ConstruRemo!BM145,1))))</f>
        <v>1</v>
      </c>
      <c r="E145" s="836">
        <f t="shared" si="30"/>
        <v>0</v>
      </c>
      <c r="F145" s="836"/>
      <c r="G145" s="836">
        <f t="shared" si="24"/>
        <v>813628.856572057</v>
      </c>
      <c r="H145" s="836"/>
      <c r="I145" s="836">
        <f t="shared" si="28"/>
        <v>8252.1787662808965</v>
      </c>
      <c r="J145" s="836"/>
      <c r="K145" s="836">
        <f t="shared" si="29"/>
        <v>6237.8212337191035</v>
      </c>
      <c r="L145" s="836"/>
      <c r="M145" s="836">
        <f t="shared" si="31"/>
        <v>2606295</v>
      </c>
      <c r="N145" s="836"/>
      <c r="O145" s="836">
        <f>IFERROR(Z145*Simul_ConstruRemo!$BP$30/1000,"")</f>
        <v>354.36573823454148</v>
      </c>
      <c r="P145" s="836"/>
      <c r="Q145" s="836">
        <f>IFERROR(IF($I$10="Remodelación",M145*Simul_ConstruRemo!$BS$29,
IF(D145=1,MAX(M145,Z145)*$BS$29,M145*$BQ$29)),"")</f>
        <v>827.2389712662</v>
      </c>
      <c r="R145" s="836"/>
      <c r="S145" s="268">
        <f>IF(B145="","",'Tabla_Puntual&amp;Relacionamiento'!$B$44)</f>
        <v>9.1999999999999998E-2</v>
      </c>
      <c r="T145" s="837"/>
      <c r="U145" s="837"/>
      <c r="V145" s="734"/>
      <c r="W145" s="734"/>
      <c r="X145" s="836">
        <f t="shared" si="21"/>
        <v>15671.604709500742</v>
      </c>
      <c r="Y145" s="836"/>
      <c r="Z145" s="836">
        <f t="shared" si="20"/>
        <v>805376.67780577613</v>
      </c>
      <c r="AA145" s="836"/>
      <c r="AC145" s="484"/>
      <c r="AD145" s="66"/>
      <c r="AE145" s="66"/>
      <c r="AI145" s="137">
        <f t="shared" si="22"/>
        <v>15557.502782429541</v>
      </c>
      <c r="AJ145" s="63">
        <f>IF(OR(Z145="",Z145&lt;=0.01),"",IF(SUM($E$61:F145)=$I$26+$I$27,1,0))</f>
        <v>1</v>
      </c>
      <c r="AK145" s="63">
        <f t="shared" si="25"/>
        <v>80</v>
      </c>
      <c r="AL145" s="269">
        <f t="shared" si="27"/>
        <v>79</v>
      </c>
      <c r="AN145" s="63" t="str">
        <f t="shared" si="32"/>
        <v>Obra Concluida</v>
      </c>
      <c r="AQ145" s="63">
        <f>IF(SUM($E$61:F144)&gt;=$I$26+$I$27,1,0)</f>
        <v>1</v>
      </c>
      <c r="AR145" s="137">
        <f t="shared" si="26"/>
        <v>14490</v>
      </c>
    </row>
    <row r="146" spans="2:44" ht="21" customHeight="1" x14ac:dyDescent="0.3">
      <c r="B146" s="282">
        <f t="shared" si="23"/>
        <v>86</v>
      </c>
      <c r="C146" s="282"/>
      <c r="D146" s="267">
        <f>IF(B146="","",IF(AND($I$10="Remodelación",$I$22="No"),1,IF($I$29&gt;=0.8,1,IF(AN146="Ministración",Simul_ConstruRemo!BM146,1))))</f>
        <v>1</v>
      </c>
      <c r="E146" s="836">
        <f t="shared" si="30"/>
        <v>0</v>
      </c>
      <c r="F146" s="836"/>
      <c r="G146" s="836">
        <f t="shared" si="24"/>
        <v>805376.67780577613</v>
      </c>
      <c r="H146" s="836"/>
      <c r="I146" s="836">
        <f t="shared" si="28"/>
        <v>8315.445470155717</v>
      </c>
      <c r="J146" s="836"/>
      <c r="K146" s="836">
        <f t="shared" si="29"/>
        <v>6174.554529844283</v>
      </c>
      <c r="L146" s="836"/>
      <c r="M146" s="836">
        <f t="shared" si="31"/>
        <v>2606295</v>
      </c>
      <c r="N146" s="836"/>
      <c r="O146" s="836">
        <f>IFERROR(Z146*Simul_ConstruRemo!$BP$30/1000,"")</f>
        <v>346.78410022767298</v>
      </c>
      <c r="P146" s="836"/>
      <c r="Q146" s="836">
        <f>IFERROR(IF($I$10="Remodelación",M146*Simul_ConstruRemo!$BS$29,
IF(D146=1,MAX(M146,Z146)*$BS$29,M146*$BQ$29)),"")</f>
        <v>827.2389712662</v>
      </c>
      <c r="R146" s="836"/>
      <c r="S146" s="268">
        <f>IF(B146="","",'Tabla_Puntual&amp;Relacionamiento'!$B$44)</f>
        <v>9.1999999999999998E-2</v>
      </c>
      <c r="T146" s="837"/>
      <c r="U146" s="837"/>
      <c r="V146" s="735">
        <f>IF(OR(Z145=0,Z145=""),"",IF(I146&gt;=G146,0,IF(OR($Y$52="NO",$Y$52=""),0,MIN(IF($Y$54="",0,$Y$54),$AV$16*25)*10%)))</f>
        <v>8915.5500000000011</v>
      </c>
      <c r="W146" s="735"/>
      <c r="X146" s="836">
        <f t="shared" si="21"/>
        <v>15664.023071493873</v>
      </c>
      <c r="Y146" s="836"/>
      <c r="Z146" s="836">
        <f t="shared" ref="Z146:Z209" si="33">IF(B146="","",IF((G146-I146+T146-V146)&lt;1,0,G146-I146-T146-V146))</f>
        <v>788145.6823356204</v>
      </c>
      <c r="AA146" s="836"/>
      <c r="AC146" s="484"/>
      <c r="AD146" s="66"/>
      <c r="AE146" s="66"/>
      <c r="AI146" s="137">
        <f t="shared" si="22"/>
        <v>15549.921144422673</v>
      </c>
      <c r="AJ146" s="63">
        <f>IF(OR(Z146="",Z146&lt;=0.01),"",IF(SUM($E$61:F146)=$I$26+$I$27,1,0))</f>
        <v>1</v>
      </c>
      <c r="AK146" s="63">
        <f t="shared" si="25"/>
        <v>81</v>
      </c>
      <c r="AL146" s="269">
        <f t="shared" si="27"/>
        <v>80</v>
      </c>
      <c r="AN146" s="63" t="str">
        <f t="shared" si="32"/>
        <v>Obra Concluida</v>
      </c>
      <c r="AQ146" s="63">
        <f>IF(SUM($E$61:F145)&gt;=$I$26+$I$27,1,0)</f>
        <v>1</v>
      </c>
      <c r="AR146" s="137">
        <f t="shared" si="26"/>
        <v>14490</v>
      </c>
    </row>
    <row r="147" spans="2:44" ht="21" customHeight="1" x14ac:dyDescent="0.3">
      <c r="B147" s="282">
        <f t="shared" si="23"/>
        <v>87</v>
      </c>
      <c r="C147" s="282"/>
      <c r="D147" s="267">
        <f>IF(B147="","",IF(AND($I$10="Remodelación",$I$22="No"),1,IF($I$29&gt;=0.8,1,IF(AN147="Ministración",Simul_ConstruRemo!BM147,1))))</f>
        <v>1</v>
      </c>
      <c r="E147" s="836">
        <f t="shared" si="30"/>
        <v>0</v>
      </c>
      <c r="F147" s="836"/>
      <c r="G147" s="836">
        <f t="shared" si="24"/>
        <v>788145.6823356204</v>
      </c>
      <c r="H147" s="836"/>
      <c r="I147" s="836">
        <f t="shared" si="28"/>
        <v>8447.5497687602438</v>
      </c>
      <c r="J147" s="836"/>
      <c r="K147" s="836">
        <f t="shared" si="29"/>
        <v>6042.4502312397562</v>
      </c>
      <c r="L147" s="836"/>
      <c r="M147" s="836">
        <f t="shared" si="31"/>
        <v>2606295</v>
      </c>
      <c r="N147" s="836"/>
      <c r="O147" s="836">
        <f>IFERROR(Z147*Simul_ConstruRemo!$BP$30/1000,"")</f>
        <v>343.06717832941848</v>
      </c>
      <c r="P147" s="836"/>
      <c r="Q147" s="836">
        <f>IFERROR(IF($I$10="Remodelación",M147*Simul_ConstruRemo!$BS$29,
IF(D147=1,MAX(M147,Z147)*$BS$29,M147*$BQ$29)),"")</f>
        <v>827.2389712662</v>
      </c>
      <c r="R147" s="836"/>
      <c r="S147" s="268">
        <f>IF(B147="","",'Tabla_Puntual&amp;Relacionamiento'!$B$44)</f>
        <v>9.1999999999999998E-2</v>
      </c>
      <c r="T147" s="837"/>
      <c r="U147" s="837"/>
      <c r="V147" s="734"/>
      <c r="W147" s="734"/>
      <c r="X147" s="836">
        <f t="shared" si="21"/>
        <v>15660.306149595619</v>
      </c>
      <c r="Y147" s="836"/>
      <c r="Z147" s="836">
        <f t="shared" si="33"/>
        <v>779698.13256686018</v>
      </c>
      <c r="AA147" s="836"/>
      <c r="AC147" s="484"/>
      <c r="AD147" s="66"/>
      <c r="AE147" s="66"/>
      <c r="AI147" s="137">
        <f t="shared" si="22"/>
        <v>15546.204222524419</v>
      </c>
      <c r="AJ147" s="63">
        <f>IF(OR(Z147="",Z147&lt;=0.01),"",IF(SUM($E$61:F147)=$I$26+$I$27,1,0))</f>
        <v>1</v>
      </c>
      <c r="AK147" s="63">
        <f t="shared" si="25"/>
        <v>82</v>
      </c>
      <c r="AL147" s="269">
        <f t="shared" si="27"/>
        <v>81</v>
      </c>
      <c r="AN147" s="63" t="str">
        <f t="shared" si="32"/>
        <v>Obra Concluida</v>
      </c>
      <c r="AQ147" s="63">
        <f>IF(SUM($E$61:F146)&gt;=$I$26+$I$27,1,0)</f>
        <v>1</v>
      </c>
      <c r="AR147" s="137">
        <f t="shared" si="26"/>
        <v>14490</v>
      </c>
    </row>
    <row r="148" spans="2:44" ht="21" customHeight="1" x14ac:dyDescent="0.3">
      <c r="B148" s="282">
        <f t="shared" si="23"/>
        <v>88</v>
      </c>
      <c r="C148" s="282"/>
      <c r="D148" s="267">
        <f>IF(B148="","",IF(AND($I$10="Remodelación",$I$22="No"),1,IF($I$29&gt;=0.8,1,IF(AN148="Ministración",Simul_ConstruRemo!BM148,1))))</f>
        <v>1</v>
      </c>
      <c r="E148" s="836">
        <f t="shared" si="30"/>
        <v>0</v>
      </c>
      <c r="F148" s="836"/>
      <c r="G148" s="836">
        <f t="shared" si="24"/>
        <v>779698.13256686018</v>
      </c>
      <c r="H148" s="836"/>
      <c r="I148" s="836">
        <f t="shared" si="28"/>
        <v>8512.3143169874056</v>
      </c>
      <c r="J148" s="836"/>
      <c r="K148" s="836">
        <f t="shared" si="29"/>
        <v>5977.6856830125944</v>
      </c>
      <c r="L148" s="836"/>
      <c r="M148" s="836">
        <f t="shared" si="31"/>
        <v>2606295</v>
      </c>
      <c r="N148" s="836"/>
      <c r="O148" s="836">
        <f>IFERROR(Z148*Simul_ConstruRemo!$BP$30/1000,"")</f>
        <v>335.39891802994401</v>
      </c>
      <c r="P148" s="836"/>
      <c r="Q148" s="836">
        <f>IFERROR(IF($I$10="Remodelación",M148*Simul_ConstruRemo!$BS$29,
IF(D148=1,MAX(M148,Z148)*$BS$29,M148*$BQ$29)),"")</f>
        <v>827.2389712662</v>
      </c>
      <c r="R148" s="836"/>
      <c r="S148" s="268">
        <f>IF(B148="","",'Tabla_Puntual&amp;Relacionamiento'!$B$44)</f>
        <v>9.1999999999999998E-2</v>
      </c>
      <c r="T148" s="837"/>
      <c r="U148" s="837"/>
      <c r="V148" s="735">
        <f>IF(OR(Z147=0,Z147=""),"",IF(I148&gt;=G148,0,IF(OR($Y$52="NO",$Y$52=""),0,MIN(IF($Y$54="",0,$Y$54),$AV$16*25)*10%)))</f>
        <v>8915.5500000000011</v>
      </c>
      <c r="W148" s="735"/>
      <c r="X148" s="836">
        <f t="shared" si="21"/>
        <v>15652.637889296144</v>
      </c>
      <c r="Y148" s="836"/>
      <c r="Z148" s="836">
        <f t="shared" si="33"/>
        <v>762270.26824987272</v>
      </c>
      <c r="AA148" s="836"/>
      <c r="AC148" s="484"/>
      <c r="AD148" s="66"/>
      <c r="AE148" s="66"/>
      <c r="AI148" s="137">
        <f t="shared" si="22"/>
        <v>15538.535962224943</v>
      </c>
      <c r="AJ148" s="63">
        <f>IF(OR(Z148="",Z148&lt;=0.01),"",IF(SUM($E$61:F148)=$I$26+$I$27,1,0))</f>
        <v>1</v>
      </c>
      <c r="AK148" s="63">
        <f t="shared" si="25"/>
        <v>83</v>
      </c>
      <c r="AL148" s="269">
        <f t="shared" si="27"/>
        <v>82</v>
      </c>
      <c r="AN148" s="63" t="str">
        <f t="shared" si="32"/>
        <v>Obra Concluida</v>
      </c>
      <c r="AQ148" s="63">
        <f>IF(SUM($E$61:F147)&gt;=$I$26+$I$27,1,0)</f>
        <v>1</v>
      </c>
      <c r="AR148" s="137">
        <f t="shared" si="26"/>
        <v>14490</v>
      </c>
    </row>
    <row r="149" spans="2:44" ht="21" customHeight="1" x14ac:dyDescent="0.3">
      <c r="B149" s="282">
        <f t="shared" si="23"/>
        <v>89</v>
      </c>
      <c r="C149" s="282"/>
      <c r="D149" s="267">
        <f>IF(B149="","",IF(AND($I$10="Remodelación",$I$22="No"),1,IF($I$29&gt;=0.8,1,IF(AN149="Ministración",Simul_ConstruRemo!BM149,1))))</f>
        <v>1</v>
      </c>
      <c r="E149" s="836">
        <f t="shared" si="30"/>
        <v>0</v>
      </c>
      <c r="F149" s="836"/>
      <c r="G149" s="836">
        <f t="shared" si="24"/>
        <v>762270.26824987272</v>
      </c>
      <c r="H149" s="836"/>
      <c r="I149" s="836">
        <f t="shared" si="28"/>
        <v>8645.9279434176424</v>
      </c>
      <c r="J149" s="836"/>
      <c r="K149" s="836">
        <f t="shared" si="29"/>
        <v>5844.0720565823576</v>
      </c>
      <c r="L149" s="836"/>
      <c r="M149" s="836">
        <f t="shared" si="31"/>
        <v>2606295</v>
      </c>
      <c r="N149" s="836"/>
      <c r="O149" s="836">
        <f>IFERROR(Z149*Simul_ConstruRemo!$BP$30/1000,"")</f>
        <v>331.59470973484019</v>
      </c>
      <c r="P149" s="836"/>
      <c r="Q149" s="836">
        <f>IFERROR(IF($I$10="Remodelación",M149*Simul_ConstruRemo!$BS$29,
IF(D149=1,MAX(M149,Z149)*$BS$29,M149*$BQ$29)),"")</f>
        <v>827.2389712662</v>
      </c>
      <c r="R149" s="836"/>
      <c r="S149" s="268">
        <f>IF(B149="","",'Tabla_Puntual&amp;Relacionamiento'!$B$44)</f>
        <v>9.1999999999999998E-2</v>
      </c>
      <c r="T149" s="837"/>
      <c r="U149" s="837"/>
      <c r="V149" s="734"/>
      <c r="W149" s="734"/>
      <c r="X149" s="836">
        <f t="shared" si="21"/>
        <v>15648.833681001041</v>
      </c>
      <c r="Y149" s="836"/>
      <c r="Z149" s="836">
        <f t="shared" si="33"/>
        <v>753624.34030645504</v>
      </c>
      <c r="AA149" s="836"/>
      <c r="AC149" s="484"/>
      <c r="AD149" s="66"/>
      <c r="AE149" s="66"/>
      <c r="AI149" s="137">
        <f t="shared" si="22"/>
        <v>15534.73175392984</v>
      </c>
      <c r="AJ149" s="63">
        <f>IF(OR(Z149="",Z149&lt;=0.01),"",IF(SUM($E$61:F149)=$I$26+$I$27,1,0))</f>
        <v>1</v>
      </c>
      <c r="AK149" s="63">
        <f t="shared" si="25"/>
        <v>84</v>
      </c>
      <c r="AL149" s="269">
        <f t="shared" si="27"/>
        <v>83</v>
      </c>
      <c r="AN149" s="63" t="str">
        <f t="shared" si="32"/>
        <v>Obra Concluida</v>
      </c>
      <c r="AQ149" s="63">
        <f>IF(SUM($E$61:F148)&gt;=$I$26+$I$27,1,0)</f>
        <v>1</v>
      </c>
      <c r="AR149" s="137">
        <f t="shared" si="26"/>
        <v>14490</v>
      </c>
    </row>
    <row r="150" spans="2:44" ht="21" customHeight="1" x14ac:dyDescent="0.3">
      <c r="B150" s="282">
        <f t="shared" si="23"/>
        <v>90</v>
      </c>
      <c r="C150" s="282"/>
      <c r="D150" s="267">
        <f>IF(B150="","",IF(AND($I$10="Remodelación",$I$22="No"),1,IF($I$29&gt;=0.8,1,IF(AN150="Ministración",Simul_ConstruRemo!BM150,1))))</f>
        <v>1</v>
      </c>
      <c r="E150" s="836">
        <f t="shared" si="30"/>
        <v>0</v>
      </c>
      <c r="F150" s="836"/>
      <c r="G150" s="836">
        <f t="shared" si="24"/>
        <v>753624.34030645504</v>
      </c>
      <c r="H150" s="836"/>
      <c r="I150" s="836">
        <f t="shared" si="28"/>
        <v>8712.2133909838449</v>
      </c>
      <c r="J150" s="836"/>
      <c r="K150" s="836">
        <f t="shared" si="29"/>
        <v>5777.7866090161551</v>
      </c>
      <c r="L150" s="836"/>
      <c r="M150" s="836">
        <f t="shared" si="31"/>
        <v>2606295</v>
      </c>
      <c r="N150" s="836"/>
      <c r="O150" s="836">
        <f>IFERROR(Z150*Simul_ConstruRemo!$BP$30/1000,"")</f>
        <v>323.83849384280728</v>
      </c>
      <c r="P150" s="836"/>
      <c r="Q150" s="836">
        <f>IFERROR(IF($I$10="Remodelación",M150*Simul_ConstruRemo!$BS$29,
IF(D150=1,MAX(M150,Z150)*$BS$29,M150*$BQ$29)),"")</f>
        <v>827.2389712662</v>
      </c>
      <c r="R150" s="836"/>
      <c r="S150" s="268">
        <f>IF(B150="","",'Tabla_Puntual&amp;Relacionamiento'!$B$44)</f>
        <v>9.1999999999999998E-2</v>
      </c>
      <c r="T150" s="837"/>
      <c r="U150" s="837"/>
      <c r="V150" s="735">
        <f>IF(OR(Z149=0,Z149=""),"",IF(I150&gt;=G150,0,IF(OR($Y$52="NO",$Y$52=""),0,MIN(IF($Y$54="",0,$Y$54),$AV$16*25)*10%)))</f>
        <v>8915.5500000000011</v>
      </c>
      <c r="W150" s="735"/>
      <c r="X150" s="836">
        <f t="shared" si="21"/>
        <v>15641.077465109009</v>
      </c>
      <c r="Y150" s="836"/>
      <c r="Z150" s="836">
        <f t="shared" si="33"/>
        <v>735996.57691547112</v>
      </c>
      <c r="AA150" s="836"/>
      <c r="AC150" s="484"/>
      <c r="AD150" s="66"/>
      <c r="AE150" s="66"/>
      <c r="AI150" s="137">
        <f t="shared" si="22"/>
        <v>15526.975538037808</v>
      </c>
      <c r="AJ150" s="63">
        <f>IF(OR(Z150="",Z150&lt;=0.01),"",IF(SUM($E$61:F150)=$I$26+$I$27,1,0))</f>
        <v>1</v>
      </c>
      <c r="AK150" s="63">
        <f t="shared" si="25"/>
        <v>85</v>
      </c>
      <c r="AL150" s="269">
        <f t="shared" si="27"/>
        <v>84</v>
      </c>
      <c r="AN150" s="63" t="str">
        <f t="shared" si="32"/>
        <v>Obra Concluida</v>
      </c>
      <c r="AQ150" s="63">
        <f>IF(SUM($E$61:F149)&gt;=$I$26+$I$27,1,0)</f>
        <v>1</v>
      </c>
      <c r="AR150" s="137">
        <f t="shared" si="26"/>
        <v>14490</v>
      </c>
    </row>
    <row r="151" spans="2:44" ht="21" customHeight="1" x14ac:dyDescent="0.3">
      <c r="B151" s="282">
        <f t="shared" si="23"/>
        <v>91</v>
      </c>
      <c r="C151" s="282"/>
      <c r="D151" s="267">
        <f>IF(B151="","",IF(AND($I$10="Remodelación",$I$22="No"),1,IF($I$29&gt;=0.8,1,IF(AN151="Ministración",Simul_ConstruRemo!BM151,1))))</f>
        <v>1</v>
      </c>
      <c r="E151" s="836">
        <f t="shared" si="30"/>
        <v>0</v>
      </c>
      <c r="F151" s="836"/>
      <c r="G151" s="836">
        <f t="shared" si="24"/>
        <v>735996.57691547112</v>
      </c>
      <c r="H151" s="836"/>
      <c r="I151" s="836">
        <f t="shared" si="28"/>
        <v>8847.3595769813874</v>
      </c>
      <c r="J151" s="836"/>
      <c r="K151" s="836">
        <f t="shared" si="29"/>
        <v>5642.6404230186117</v>
      </c>
      <c r="L151" s="836"/>
      <c r="M151" s="836">
        <f t="shared" si="31"/>
        <v>2606295</v>
      </c>
      <c r="N151" s="836"/>
      <c r="O151" s="836">
        <f>IFERROR(Z151*Simul_ConstruRemo!$BP$30/1000,"")</f>
        <v>319.94565562893547</v>
      </c>
      <c r="P151" s="836"/>
      <c r="Q151" s="836">
        <f>IFERROR(IF($I$10="Remodelación",M151*Simul_ConstruRemo!$BS$29,
IF(D151=1,MAX(M151,Z151)*$BS$29,M151*$BQ$29)),"")</f>
        <v>827.2389712662</v>
      </c>
      <c r="R151" s="836"/>
      <c r="S151" s="268">
        <f>IF(B151="","",'Tabla_Puntual&amp;Relacionamiento'!$B$44)</f>
        <v>9.1999999999999998E-2</v>
      </c>
      <c r="T151" s="837"/>
      <c r="U151" s="837"/>
      <c r="V151" s="734"/>
      <c r="W151" s="734"/>
      <c r="X151" s="836">
        <f t="shared" si="21"/>
        <v>15637.184626895136</v>
      </c>
      <c r="Y151" s="836"/>
      <c r="Z151" s="836">
        <f t="shared" si="33"/>
        <v>727149.21733848972</v>
      </c>
      <c r="AA151" s="836"/>
      <c r="AC151" s="484"/>
      <c r="AD151" s="66"/>
      <c r="AE151" s="66"/>
      <c r="AI151" s="137">
        <f t="shared" si="22"/>
        <v>15523.082699823935</v>
      </c>
      <c r="AJ151" s="63">
        <f>IF(OR(Z151="",Z151&lt;=0.01),"",IF(SUM($E$61:F151)=$I$26+$I$27,1,0))</f>
        <v>1</v>
      </c>
      <c r="AK151" s="63">
        <f t="shared" si="25"/>
        <v>86</v>
      </c>
      <c r="AL151" s="269">
        <f t="shared" si="27"/>
        <v>85</v>
      </c>
      <c r="AN151" s="63" t="str">
        <f t="shared" si="32"/>
        <v>Obra Concluida</v>
      </c>
      <c r="AQ151" s="63">
        <f>IF(SUM($E$61:F150)&gt;=$I$26+$I$27,1,0)</f>
        <v>1</v>
      </c>
      <c r="AR151" s="137">
        <f t="shared" si="26"/>
        <v>14490</v>
      </c>
    </row>
    <row r="152" spans="2:44" ht="21" customHeight="1" x14ac:dyDescent="0.3">
      <c r="B152" s="282">
        <f t="shared" si="23"/>
        <v>92</v>
      </c>
      <c r="C152" s="282"/>
      <c r="D152" s="267">
        <f>IF(B152="","",IF(AND($I$10="Remodelación",$I$22="No"),1,IF($I$29&gt;=0.8,1,IF(AN152="Ministración",Simul_ConstruRemo!BM152,1))))</f>
        <v>1</v>
      </c>
      <c r="E152" s="836">
        <f t="shared" si="30"/>
        <v>0</v>
      </c>
      <c r="F152" s="836"/>
      <c r="G152" s="836">
        <f t="shared" si="24"/>
        <v>727149.21733848972</v>
      </c>
      <c r="H152" s="836"/>
      <c r="I152" s="836">
        <f t="shared" si="28"/>
        <v>8915.1893337382462</v>
      </c>
      <c r="J152" s="836"/>
      <c r="K152" s="836">
        <f t="shared" si="29"/>
        <v>5574.8106662617538</v>
      </c>
      <c r="L152" s="836"/>
      <c r="M152" s="836">
        <f t="shared" si="31"/>
        <v>2606295</v>
      </c>
      <c r="N152" s="836"/>
      <c r="O152" s="836">
        <f>IFERROR(Z152*Simul_ConstruRemo!$BP$30/1000,"")</f>
        <v>312.10013032209059</v>
      </c>
      <c r="P152" s="836"/>
      <c r="Q152" s="836">
        <f>IFERROR(IF($I$10="Remodelación",M152*Simul_ConstruRemo!$BS$29,
IF(D152=1,MAX(M152,Z152)*$BS$29,M152*$BQ$29)),"")</f>
        <v>827.2389712662</v>
      </c>
      <c r="R152" s="836"/>
      <c r="S152" s="268">
        <f>IF(B152="","",'Tabla_Puntual&amp;Relacionamiento'!$B$44)</f>
        <v>9.1999999999999998E-2</v>
      </c>
      <c r="T152" s="837"/>
      <c r="U152" s="837"/>
      <c r="V152" s="735">
        <f>IF(OR(Z151=0,Z151=""),"",IF(I152&gt;=G152,0,IF(OR($Y$52="NO",$Y$52=""),0,MIN(IF($Y$54="",0,$Y$54),$AV$16*25)*10%)))</f>
        <v>8915.5500000000011</v>
      </c>
      <c r="W152" s="735"/>
      <c r="X152" s="836">
        <f t="shared" si="21"/>
        <v>15629.339101588292</v>
      </c>
      <c r="Y152" s="836"/>
      <c r="Z152" s="836">
        <f t="shared" si="33"/>
        <v>709318.47800475138</v>
      </c>
      <c r="AA152" s="836"/>
      <c r="AC152" s="484"/>
      <c r="AD152" s="66"/>
      <c r="AE152" s="66"/>
      <c r="AI152" s="137">
        <f t="shared" si="22"/>
        <v>15515.237174517091</v>
      </c>
      <c r="AJ152" s="63">
        <f>IF(OR(Z152="",Z152&lt;=0.01),"",IF(SUM($E$61:F152)=$I$26+$I$27,1,0))</f>
        <v>1</v>
      </c>
      <c r="AK152" s="63">
        <f t="shared" si="25"/>
        <v>87</v>
      </c>
      <c r="AL152" s="269">
        <f t="shared" si="27"/>
        <v>86</v>
      </c>
      <c r="AN152" s="63" t="str">
        <f t="shared" si="32"/>
        <v>Obra Concluida</v>
      </c>
      <c r="AQ152" s="63">
        <f>IF(SUM($E$61:F151)&gt;=$I$26+$I$27,1,0)</f>
        <v>1</v>
      </c>
      <c r="AR152" s="137">
        <f t="shared" si="26"/>
        <v>14490</v>
      </c>
    </row>
    <row r="153" spans="2:44" ht="21" customHeight="1" x14ac:dyDescent="0.3">
      <c r="B153" s="282">
        <f t="shared" si="23"/>
        <v>93</v>
      </c>
      <c r="C153" s="282"/>
      <c r="D153" s="267">
        <f>IF(B153="","",IF(AND($I$10="Remodelación",$I$22="No"),1,IF($I$29&gt;=0.8,1,IF(AN153="Ministración",Simul_ConstruRemo!BM153,1))))</f>
        <v>1</v>
      </c>
      <c r="E153" s="836">
        <f t="shared" si="30"/>
        <v>0</v>
      </c>
      <c r="F153" s="836"/>
      <c r="G153" s="836">
        <f t="shared" si="24"/>
        <v>709318.47800475138</v>
      </c>
      <c r="H153" s="836"/>
      <c r="I153" s="836">
        <f t="shared" si="28"/>
        <v>9051.89166863024</v>
      </c>
      <c r="J153" s="836"/>
      <c r="K153" s="836">
        <f t="shared" si="29"/>
        <v>5438.10833136976</v>
      </c>
      <c r="L153" s="836"/>
      <c r="M153" s="836">
        <f t="shared" si="31"/>
        <v>2606295</v>
      </c>
      <c r="N153" s="836"/>
      <c r="O153" s="836">
        <f>IFERROR(Z153*Simul_ConstruRemo!$BP$30/1000,"")</f>
        <v>308.11729798789332</v>
      </c>
      <c r="P153" s="836"/>
      <c r="Q153" s="836">
        <f>IFERROR(IF($I$10="Remodelación",M153*Simul_ConstruRemo!$BS$29,
IF(D153=1,MAX(M153,Z153)*$BS$29,M153*$BQ$29)),"")</f>
        <v>827.2389712662</v>
      </c>
      <c r="R153" s="836"/>
      <c r="S153" s="268">
        <f>IF(B153="","",'Tabla_Puntual&amp;Relacionamiento'!$B$44)</f>
        <v>9.1999999999999998E-2</v>
      </c>
      <c r="T153" s="837"/>
      <c r="U153" s="837"/>
      <c r="V153" s="734"/>
      <c r="W153" s="734"/>
      <c r="X153" s="836">
        <f t="shared" ref="X153:X216" si="34">IFERROR(IF(G153&lt;AR153-K153,I153+K153+O153+Q153,AR153+O153+Q153),"")</f>
        <v>15625.356269254095</v>
      </c>
      <c r="Y153" s="836"/>
      <c r="Z153" s="836">
        <f t="shared" si="33"/>
        <v>700266.5863361212</v>
      </c>
      <c r="AA153" s="836"/>
      <c r="AC153" s="484"/>
      <c r="AD153" s="66"/>
      <c r="AE153" s="66"/>
      <c r="AI153" s="137">
        <f t="shared" si="22"/>
        <v>15511.254342182894</v>
      </c>
      <c r="AJ153" s="63">
        <f>IF(OR(Z153="",Z153&lt;=0.01),"",IF(SUM($E$61:F153)=$I$26+$I$27,1,0))</f>
        <v>1</v>
      </c>
      <c r="AK153" s="63">
        <f t="shared" si="25"/>
        <v>88</v>
      </c>
      <c r="AL153" s="269">
        <f t="shared" si="27"/>
        <v>87</v>
      </c>
      <c r="AN153" s="63" t="str">
        <f t="shared" si="32"/>
        <v>Obra Concluida</v>
      </c>
      <c r="AQ153" s="63">
        <f>IF(SUM($E$61:F152)&gt;=$I$26+$I$27,1,0)</f>
        <v>1</v>
      </c>
      <c r="AR153" s="137">
        <f t="shared" si="26"/>
        <v>14490</v>
      </c>
    </row>
    <row r="154" spans="2:44" ht="21" customHeight="1" x14ac:dyDescent="0.3">
      <c r="B154" s="282">
        <f t="shared" si="23"/>
        <v>94</v>
      </c>
      <c r="C154" s="282"/>
      <c r="D154" s="267">
        <f>IF(B154="","",IF(AND($I$10="Remodelación",$I$22="No"),1,IF($I$29&gt;=0.8,1,IF(AN154="Ministración",Simul_ConstruRemo!BM154,1))))</f>
        <v>1</v>
      </c>
      <c r="E154" s="836">
        <f t="shared" si="30"/>
        <v>0</v>
      </c>
      <c r="F154" s="836"/>
      <c r="G154" s="836">
        <f t="shared" si="24"/>
        <v>700266.5863361212</v>
      </c>
      <c r="H154" s="836"/>
      <c r="I154" s="836">
        <f t="shared" si="28"/>
        <v>9121.2895047564052</v>
      </c>
      <c r="J154" s="836"/>
      <c r="K154" s="836">
        <f t="shared" si="29"/>
        <v>5368.7104952435957</v>
      </c>
      <c r="L154" s="836"/>
      <c r="M154" s="836">
        <f t="shared" si="31"/>
        <v>2606295</v>
      </c>
      <c r="N154" s="836"/>
      <c r="O154" s="836">
        <f>IFERROR(Z154*Simul_ConstruRemo!$BP$30/1000,"")</f>
        <v>300.18108860580048</v>
      </c>
      <c r="P154" s="836"/>
      <c r="Q154" s="836">
        <f>IFERROR(IF($I$10="Remodelación",M154*Simul_ConstruRemo!$BS$29,
IF(D154=1,MAX(M154,Z154)*$BS$29,M154*$BQ$29)),"")</f>
        <v>827.2389712662</v>
      </c>
      <c r="R154" s="836"/>
      <c r="S154" s="268">
        <f>IF(B154="","",'Tabla_Puntual&amp;Relacionamiento'!$B$44)</f>
        <v>9.1999999999999998E-2</v>
      </c>
      <c r="T154" s="837"/>
      <c r="U154" s="837"/>
      <c r="V154" s="735">
        <f>IF(OR(Z153=0,Z153=""),"",IF(I154&gt;=G154,0,IF(OR($Y$52="NO",$Y$52=""),0,MIN(IF($Y$54="",0,$Y$54),$AV$16*25)*10%)))</f>
        <v>8915.5500000000011</v>
      </c>
      <c r="W154" s="735"/>
      <c r="X154" s="836">
        <f t="shared" si="34"/>
        <v>15617.420059872002</v>
      </c>
      <c r="Y154" s="836"/>
      <c r="Z154" s="836">
        <f t="shared" si="33"/>
        <v>682229.7468313647</v>
      </c>
      <c r="AA154" s="836"/>
      <c r="AC154" s="484"/>
      <c r="AD154" s="66"/>
      <c r="AE154" s="66"/>
      <c r="AI154" s="137">
        <f t="shared" si="22"/>
        <v>15503.318132800801</v>
      </c>
      <c r="AJ154" s="63">
        <f>IF(OR(Z154="",Z154&lt;=0.01),"",IF(SUM($E$61:F154)=$I$26+$I$27,1,0))</f>
        <v>1</v>
      </c>
      <c r="AK154" s="63">
        <f t="shared" si="25"/>
        <v>89</v>
      </c>
      <c r="AL154" s="269">
        <f t="shared" si="27"/>
        <v>88</v>
      </c>
      <c r="AN154" s="63" t="str">
        <f t="shared" si="32"/>
        <v>Obra Concluida</v>
      </c>
      <c r="AQ154" s="63">
        <f>IF(SUM($E$61:F153)&gt;=$I$26+$I$27,1,0)</f>
        <v>1</v>
      </c>
      <c r="AR154" s="137">
        <f t="shared" si="26"/>
        <v>14490</v>
      </c>
    </row>
    <row r="155" spans="2:44" ht="21" customHeight="1" x14ac:dyDescent="0.3">
      <c r="B155" s="282">
        <f t="shared" si="23"/>
        <v>95</v>
      </c>
      <c r="C155" s="282"/>
      <c r="D155" s="267">
        <f>IF(B155="","",IF(AND($I$10="Remodelación",$I$22="No"),1,IF($I$29&gt;=0.8,1,IF(AN155="Ministración",Simul_ConstruRemo!BM155,1))))</f>
        <v>1</v>
      </c>
      <c r="E155" s="836">
        <f t="shared" si="30"/>
        <v>0</v>
      </c>
      <c r="F155" s="836"/>
      <c r="G155" s="836">
        <f t="shared" si="24"/>
        <v>682229.7468313647</v>
      </c>
      <c r="H155" s="836"/>
      <c r="I155" s="836">
        <f t="shared" si="28"/>
        <v>9259.5719409595367</v>
      </c>
      <c r="J155" s="836"/>
      <c r="K155" s="836">
        <f t="shared" si="29"/>
        <v>5230.4280590404624</v>
      </c>
      <c r="L155" s="836"/>
      <c r="M155" s="836">
        <f t="shared" si="31"/>
        <v>2606295</v>
      </c>
      <c r="N155" s="836"/>
      <c r="O155" s="836">
        <f>IFERROR(Z155*Simul_ConstruRemo!$BP$30/1000,"")</f>
        <v>296.10687695177825</v>
      </c>
      <c r="P155" s="836"/>
      <c r="Q155" s="836">
        <f>IFERROR(IF($I$10="Remodelación",M155*Simul_ConstruRemo!$BS$29,
IF(D155=1,MAX(M155,Z155)*$BS$29,M155*$BQ$29)),"")</f>
        <v>827.2389712662</v>
      </c>
      <c r="R155" s="836"/>
      <c r="S155" s="268">
        <f>IF(B155="","",'Tabla_Puntual&amp;Relacionamiento'!$B$44)</f>
        <v>9.1999999999999998E-2</v>
      </c>
      <c r="T155" s="837"/>
      <c r="U155" s="837"/>
      <c r="V155" s="734"/>
      <c r="W155" s="734"/>
      <c r="X155" s="836">
        <f t="shared" si="34"/>
        <v>15613.345848217979</v>
      </c>
      <c r="Y155" s="836"/>
      <c r="Z155" s="836">
        <f t="shared" si="33"/>
        <v>672970.17489040515</v>
      </c>
      <c r="AA155" s="836"/>
      <c r="AC155" s="484"/>
      <c r="AD155" s="66"/>
      <c r="AE155" s="66"/>
      <c r="AI155" s="137">
        <f t="shared" si="22"/>
        <v>15499.243921146779</v>
      </c>
      <c r="AJ155" s="63">
        <f>IF(OR(Z155="",Z155&lt;=0.01),"",IF(SUM($E$61:F155)=$I$26+$I$27,1,0))</f>
        <v>1</v>
      </c>
      <c r="AK155" s="63">
        <f t="shared" si="25"/>
        <v>90</v>
      </c>
      <c r="AL155" s="269">
        <f t="shared" si="27"/>
        <v>89</v>
      </c>
      <c r="AN155" s="63" t="str">
        <f t="shared" si="32"/>
        <v>Obra Concluida</v>
      </c>
      <c r="AQ155" s="63">
        <f>IF(SUM($E$61:F154)&gt;=$I$26+$I$27,1,0)</f>
        <v>1</v>
      </c>
      <c r="AR155" s="137">
        <f t="shared" si="26"/>
        <v>14490</v>
      </c>
    </row>
    <row r="156" spans="2:44" ht="21" customHeight="1" x14ac:dyDescent="0.3">
      <c r="B156" s="282">
        <f t="shared" si="23"/>
        <v>96</v>
      </c>
      <c r="C156" s="282"/>
      <c r="D156" s="267">
        <f>IF(B156="","",IF(AND($I$10="Remodelación",$I$22="No"),1,IF($I$29&gt;=0.8,1,IF(AN156="Ministración",Simul_ConstruRemo!BM156,1))))</f>
        <v>1</v>
      </c>
      <c r="E156" s="836">
        <f t="shared" si="30"/>
        <v>0</v>
      </c>
      <c r="F156" s="836"/>
      <c r="G156" s="836">
        <f t="shared" si="24"/>
        <v>672970.17489040515</v>
      </c>
      <c r="H156" s="836"/>
      <c r="I156" s="836">
        <f t="shared" si="28"/>
        <v>9330.5619925068931</v>
      </c>
      <c r="J156" s="836"/>
      <c r="K156" s="836">
        <f t="shared" si="29"/>
        <v>5159.4380074931059</v>
      </c>
      <c r="L156" s="836"/>
      <c r="M156" s="836">
        <f t="shared" si="31"/>
        <v>2606295</v>
      </c>
      <c r="N156" s="836"/>
      <c r="O156" s="836">
        <f>IFERROR(Z156*Simul_ConstruRemo!$BP$30/1000,"")</f>
        <v>288.0785876750752</v>
      </c>
      <c r="P156" s="836"/>
      <c r="Q156" s="836">
        <f>IFERROR(IF($I$10="Remodelación",M156*Simul_ConstruRemo!$BS$29,
IF(D156=1,MAX(M156,Z156)*$BS$29,M156*$BQ$29)),"")</f>
        <v>827.2389712662</v>
      </c>
      <c r="R156" s="836"/>
      <c r="S156" s="268">
        <f>IF(B156="","",'Tabla_Puntual&amp;Relacionamiento'!$B$44)</f>
        <v>9.1999999999999998E-2</v>
      </c>
      <c r="T156" s="837"/>
      <c r="U156" s="837"/>
      <c r="V156" s="735">
        <f>IF(OR(Z155=0,Z155=""),"",IF(I156&gt;=G156,0,IF(OR($Y$52="NO",$Y$52=""),0,MIN(IF($Y$54="",0,$Y$54),$AV$16*25)*10%)))</f>
        <v>8915.5500000000011</v>
      </c>
      <c r="W156" s="735"/>
      <c r="X156" s="836">
        <f t="shared" si="34"/>
        <v>15605.317558941277</v>
      </c>
      <c r="Y156" s="836"/>
      <c r="Z156" s="836">
        <f t="shared" si="33"/>
        <v>654724.06289789826</v>
      </c>
      <c r="AA156" s="836"/>
      <c r="AC156" s="484"/>
      <c r="AD156" s="66"/>
      <c r="AE156" s="66"/>
      <c r="AI156" s="137">
        <f t="shared" si="22"/>
        <v>15491.215631870076</v>
      </c>
      <c r="AJ156" s="63">
        <f>IF(OR(Z156="",Z156&lt;=0.01),"",IF(SUM($E$61:F156)=$I$26+$I$27,1,0))</f>
        <v>1</v>
      </c>
      <c r="AK156" s="63">
        <f t="shared" si="25"/>
        <v>91</v>
      </c>
      <c r="AL156" s="269">
        <f t="shared" si="27"/>
        <v>90</v>
      </c>
      <c r="AN156" s="63" t="str">
        <f t="shared" si="32"/>
        <v>Obra Concluida</v>
      </c>
      <c r="AQ156" s="63">
        <f>IF(SUM($E$61:F155)&gt;=$I$26+$I$27,1,0)</f>
        <v>1</v>
      </c>
      <c r="AR156" s="137">
        <f t="shared" si="26"/>
        <v>14490</v>
      </c>
    </row>
    <row r="157" spans="2:44" ht="21" customHeight="1" x14ac:dyDescent="0.3">
      <c r="B157" s="282">
        <f t="shared" si="23"/>
        <v>97</v>
      </c>
      <c r="C157" s="282"/>
      <c r="D157" s="267">
        <f>IF(B157="","",IF(AND($I$10="Remodelación",$I$22="No"),1,IF($I$29&gt;=0.8,1,IF(AN157="Ministración",Simul_ConstruRemo!BM157,1))))</f>
        <v>1</v>
      </c>
      <c r="E157" s="836">
        <f t="shared" si="30"/>
        <v>0</v>
      </c>
      <c r="F157" s="836"/>
      <c r="G157" s="836">
        <f t="shared" si="24"/>
        <v>654724.06289789826</v>
      </c>
      <c r="H157" s="836"/>
      <c r="I157" s="836">
        <f t="shared" si="28"/>
        <v>9470.4488511161144</v>
      </c>
      <c r="J157" s="836"/>
      <c r="K157" s="836">
        <f t="shared" si="29"/>
        <v>5019.5511488838865</v>
      </c>
      <c r="L157" s="836"/>
      <c r="M157" s="836">
        <f t="shared" si="31"/>
        <v>2606295</v>
      </c>
      <c r="N157" s="836"/>
      <c r="O157" s="836">
        <f>IFERROR(Z157*Simul_ConstruRemo!$BP$30/1000,"")</f>
        <v>283.9115901805842</v>
      </c>
      <c r="P157" s="836"/>
      <c r="Q157" s="836">
        <f>IFERROR(IF($I$10="Remodelación",M157*Simul_ConstruRemo!$BS$29,
IF(D157=1,MAX(M157,Z157)*$BS$29,M157*$BQ$29)),"")</f>
        <v>827.2389712662</v>
      </c>
      <c r="R157" s="836"/>
      <c r="S157" s="268">
        <f>IF(B157="","",'Tabla_Puntual&amp;Relacionamiento'!$B$45)</f>
        <v>9.1999999999999998E-2</v>
      </c>
      <c r="T157" s="837"/>
      <c r="U157" s="837"/>
      <c r="V157" s="734"/>
      <c r="W157" s="734"/>
      <c r="X157" s="836">
        <f t="shared" si="34"/>
        <v>15601.150561446784</v>
      </c>
      <c r="Y157" s="836"/>
      <c r="Z157" s="836">
        <f t="shared" si="33"/>
        <v>645253.61404678214</v>
      </c>
      <c r="AA157" s="836"/>
      <c r="AC157" s="484"/>
      <c r="AD157" s="66"/>
      <c r="AE157" s="66"/>
      <c r="AI157" s="137">
        <f t="shared" si="22"/>
        <v>15487.048634375584</v>
      </c>
      <c r="AJ157" s="63">
        <f>IF(OR(Z157="",Z157&lt;=0.01),"",IF(SUM($E$61:F157)=$I$26+$I$27,1,0))</f>
        <v>1</v>
      </c>
      <c r="AK157" s="63">
        <f t="shared" si="25"/>
        <v>92</v>
      </c>
      <c r="AL157" s="269">
        <f t="shared" si="27"/>
        <v>91</v>
      </c>
      <c r="AN157" s="63" t="str">
        <f t="shared" si="32"/>
        <v>Obra Concluida</v>
      </c>
      <c r="AQ157" s="63">
        <f>IF(SUM($E$61:F156)&gt;=$I$26+$I$27,1,0)</f>
        <v>1</v>
      </c>
      <c r="AR157" s="137">
        <f t="shared" si="26"/>
        <v>14490</v>
      </c>
    </row>
    <row r="158" spans="2:44" ht="21" customHeight="1" x14ac:dyDescent="0.3">
      <c r="B158" s="282">
        <f t="shared" si="23"/>
        <v>98</v>
      </c>
      <c r="C158" s="282"/>
      <c r="D158" s="267">
        <f>IF(B158="","",IF(AND($I$10="Remodelación",$I$22="No"),1,IF($I$29&gt;=0.8,1,IF(AN158="Ministración",Simul_ConstruRemo!BM158,1))))</f>
        <v>1</v>
      </c>
      <c r="E158" s="836">
        <f t="shared" si="30"/>
        <v>0</v>
      </c>
      <c r="F158" s="836"/>
      <c r="G158" s="836">
        <f t="shared" si="24"/>
        <v>645253.61404678214</v>
      </c>
      <c r="H158" s="836"/>
      <c r="I158" s="836">
        <f t="shared" si="28"/>
        <v>9543.0556256413365</v>
      </c>
      <c r="J158" s="836"/>
      <c r="K158" s="836">
        <f t="shared" si="29"/>
        <v>4946.9443743586626</v>
      </c>
      <c r="L158" s="836"/>
      <c r="M158" s="836">
        <f t="shared" si="31"/>
        <v>2606295</v>
      </c>
      <c r="N158" s="836"/>
      <c r="O158" s="836">
        <f>IFERROR(Z158*Simul_ConstruRemo!$BP$30/1000,"")</f>
        <v>275.78980370530189</v>
      </c>
      <c r="P158" s="836"/>
      <c r="Q158" s="836">
        <f>IFERROR(IF($I$10="Remodelación",M158*Simul_ConstruRemo!$BS$29,
IF(D158=1,MAX(M158,Z158)*$BS$29,M158*$BQ$29)),"")</f>
        <v>827.2389712662</v>
      </c>
      <c r="R158" s="836"/>
      <c r="S158" s="268">
        <f>IF(B158="","",'Tabla_Puntual&amp;Relacionamiento'!$B$45)</f>
        <v>9.1999999999999998E-2</v>
      </c>
      <c r="T158" s="837"/>
      <c r="U158" s="837"/>
      <c r="V158" s="735">
        <f>IF(OR(Z157=0,Z157=""),"",IF(I158&gt;=G158,0,IF(OR($Y$52="NO",$Y$52=""),0,MIN(IF($Y$54="",0,$Y$54),$AV$16*25)*10%)))</f>
        <v>8915.5500000000011</v>
      </c>
      <c r="W158" s="735"/>
      <c r="X158" s="836">
        <f t="shared" si="34"/>
        <v>15593.028774971503</v>
      </c>
      <c r="Y158" s="836"/>
      <c r="Z158" s="836">
        <f t="shared" si="33"/>
        <v>626795.00842114072</v>
      </c>
      <c r="AA158" s="836"/>
      <c r="AC158" s="484"/>
      <c r="AD158" s="66"/>
      <c r="AE158" s="66"/>
      <c r="AI158" s="137">
        <f t="shared" si="22"/>
        <v>15478.926847900302</v>
      </c>
      <c r="AJ158" s="63">
        <f>IF(OR(Z158="",Z158&lt;=0.01),"",IF(SUM($E$61:F158)=$I$26+$I$27,1,0))</f>
        <v>1</v>
      </c>
      <c r="AK158" s="63">
        <f t="shared" si="25"/>
        <v>93</v>
      </c>
      <c r="AL158" s="269">
        <f t="shared" si="27"/>
        <v>92</v>
      </c>
      <c r="AN158" s="63" t="str">
        <f t="shared" si="32"/>
        <v>Obra Concluida</v>
      </c>
      <c r="AQ158" s="63">
        <f>IF(SUM($E$61:F157)&gt;=$I$26+$I$27,1,0)</f>
        <v>1</v>
      </c>
      <c r="AR158" s="137">
        <f t="shared" si="26"/>
        <v>14490</v>
      </c>
    </row>
    <row r="159" spans="2:44" ht="21" customHeight="1" x14ac:dyDescent="0.3">
      <c r="B159" s="282">
        <f t="shared" si="23"/>
        <v>99</v>
      </c>
      <c r="C159" s="282"/>
      <c r="D159" s="267">
        <f>IF(B159="","",IF(AND($I$10="Remodelación",$I$22="No"),1,IF($I$29&gt;=0.8,1,IF(AN159="Ministración",Simul_ConstruRemo!BM159,1))))</f>
        <v>1</v>
      </c>
      <c r="E159" s="836">
        <f t="shared" si="30"/>
        <v>0</v>
      </c>
      <c r="F159" s="836"/>
      <c r="G159" s="836">
        <f t="shared" si="24"/>
        <v>626795.00842114072</v>
      </c>
      <c r="H159" s="836"/>
      <c r="I159" s="836">
        <f t="shared" si="28"/>
        <v>9684.5716021045882</v>
      </c>
      <c r="J159" s="836"/>
      <c r="K159" s="836">
        <f t="shared" si="29"/>
        <v>4805.4283978954118</v>
      </c>
      <c r="L159" s="836"/>
      <c r="M159" s="836">
        <f t="shared" si="31"/>
        <v>2606295</v>
      </c>
      <c r="N159" s="836"/>
      <c r="O159" s="836">
        <f>IFERROR(Z159*Simul_ConstruRemo!$BP$30/1000,"")</f>
        <v>271.5285922003759</v>
      </c>
      <c r="P159" s="836"/>
      <c r="Q159" s="836">
        <f>IFERROR(IF($I$10="Remodelación",M159*Simul_ConstruRemo!$BS$29,
IF(D159=1,MAX(M159,Z159)*$BS$29,M159*$BQ$29)),"")</f>
        <v>827.2389712662</v>
      </c>
      <c r="R159" s="836"/>
      <c r="S159" s="268">
        <f>IF(B159="","",'Tabla_Puntual&amp;Relacionamiento'!$B$45)</f>
        <v>9.1999999999999998E-2</v>
      </c>
      <c r="T159" s="837"/>
      <c r="U159" s="837"/>
      <c r="V159" s="734"/>
      <c r="W159" s="734"/>
      <c r="X159" s="836">
        <f t="shared" si="34"/>
        <v>15588.767563466576</v>
      </c>
      <c r="Y159" s="836"/>
      <c r="Z159" s="836">
        <f t="shared" si="33"/>
        <v>617110.43681903614</v>
      </c>
      <c r="AA159" s="836"/>
      <c r="AC159" s="484"/>
      <c r="AD159" s="66"/>
      <c r="AE159" s="66"/>
      <c r="AI159" s="137">
        <f t="shared" si="22"/>
        <v>15474.665636395375</v>
      </c>
      <c r="AJ159" s="63">
        <f>IF(OR(Z159="",Z159&lt;=0.01),"",IF(SUM($E$61:F159)=$I$26+$I$27,1,0))</f>
        <v>1</v>
      </c>
      <c r="AK159" s="63">
        <f t="shared" si="25"/>
        <v>94</v>
      </c>
      <c r="AL159" s="269">
        <f t="shared" si="27"/>
        <v>93</v>
      </c>
      <c r="AN159" s="63" t="str">
        <f t="shared" si="32"/>
        <v>Obra Concluida</v>
      </c>
      <c r="AQ159" s="63">
        <f>IF(SUM($E$61:F158)&gt;=$I$26+$I$27,1,0)</f>
        <v>1</v>
      </c>
      <c r="AR159" s="137">
        <f t="shared" si="26"/>
        <v>14490</v>
      </c>
    </row>
    <row r="160" spans="2:44" ht="21" customHeight="1" x14ac:dyDescent="0.3">
      <c r="B160" s="282">
        <f t="shared" si="23"/>
        <v>100</v>
      </c>
      <c r="C160" s="282"/>
      <c r="D160" s="267">
        <f>IF(B160="","",IF(AND($I$10="Remodelación",$I$22="No"),1,IF($I$29&gt;=0.8,1,IF(AN160="Ministración",Simul_ConstruRemo!BM160,1))))</f>
        <v>1</v>
      </c>
      <c r="E160" s="836">
        <f t="shared" si="30"/>
        <v>0</v>
      </c>
      <c r="F160" s="836"/>
      <c r="G160" s="836">
        <f t="shared" si="24"/>
        <v>617110.43681903614</v>
      </c>
      <c r="H160" s="836"/>
      <c r="I160" s="836">
        <f t="shared" si="28"/>
        <v>9758.8199843873899</v>
      </c>
      <c r="J160" s="836"/>
      <c r="K160" s="836">
        <f t="shared" si="29"/>
        <v>4731.1800156126101</v>
      </c>
      <c r="L160" s="836"/>
      <c r="M160" s="836">
        <f t="shared" si="31"/>
        <v>2606295</v>
      </c>
      <c r="N160" s="836"/>
      <c r="O160" s="836">
        <f>IFERROR(Z160*Simul_ConstruRemo!$BP$30/1000,"")</f>
        <v>263.31186940724541</v>
      </c>
      <c r="P160" s="836"/>
      <c r="Q160" s="836">
        <f>IFERROR(IF($I$10="Remodelación",M160*Simul_ConstruRemo!$BS$29,
IF(D160=1,MAX(M160,Z160)*$BS$29,M160*$BQ$29)),"")</f>
        <v>827.2389712662</v>
      </c>
      <c r="R160" s="836"/>
      <c r="S160" s="268">
        <f>IF(B160="","",'Tabla_Puntual&amp;Relacionamiento'!$B$45)</f>
        <v>9.1999999999999998E-2</v>
      </c>
      <c r="T160" s="837"/>
      <c r="U160" s="837"/>
      <c r="V160" s="735">
        <f>IF(OR(Z159=0,Z159=""),"",IF(I160&gt;=G160,0,IF(OR($Y$52="NO",$Y$52=""),0,MIN(IF($Y$54="",0,$Y$54),$AV$16*25)*10%)))</f>
        <v>8915.5500000000011</v>
      </c>
      <c r="W160" s="735"/>
      <c r="X160" s="836">
        <f t="shared" si="34"/>
        <v>15580.550840673446</v>
      </c>
      <c r="Y160" s="836"/>
      <c r="Z160" s="836">
        <f t="shared" si="33"/>
        <v>598436.06683464872</v>
      </c>
      <c r="AA160" s="836"/>
      <c r="AC160" s="484"/>
      <c r="AD160" s="66"/>
      <c r="AE160" s="66"/>
      <c r="AI160" s="137">
        <f t="shared" si="22"/>
        <v>15466.448913602246</v>
      </c>
      <c r="AJ160" s="63">
        <f>IF(OR(Z160="",Z160&lt;=0.01),"",IF(SUM($E$61:F160)=$I$26+$I$27,1,0))</f>
        <v>1</v>
      </c>
      <c r="AK160" s="63">
        <f t="shared" si="25"/>
        <v>95</v>
      </c>
      <c r="AL160" s="269">
        <f t="shared" si="27"/>
        <v>94</v>
      </c>
      <c r="AN160" s="63" t="str">
        <f t="shared" si="32"/>
        <v>Obra Concluida</v>
      </c>
      <c r="AQ160" s="63">
        <f>IF(SUM($E$61:F159)&gt;=$I$26+$I$27,1,0)</f>
        <v>1</v>
      </c>
      <c r="AR160" s="137">
        <f t="shared" si="26"/>
        <v>14490</v>
      </c>
    </row>
    <row r="161" spans="2:44" ht="21" customHeight="1" x14ac:dyDescent="0.3">
      <c r="B161" s="282">
        <f t="shared" si="23"/>
        <v>101</v>
      </c>
      <c r="C161" s="282"/>
      <c r="D161" s="267">
        <f>IF(B161="","",IF(AND($I$10="Remodelación",$I$22="No"),1,IF($I$29&gt;=0.8,1,IF(AN161="Ministración",Simul_ConstruRemo!BM161,1))))</f>
        <v>1</v>
      </c>
      <c r="E161" s="836">
        <f t="shared" si="30"/>
        <v>0</v>
      </c>
      <c r="F161" s="836"/>
      <c r="G161" s="836">
        <f t="shared" si="24"/>
        <v>598436.06683464872</v>
      </c>
      <c r="H161" s="836"/>
      <c r="I161" s="836">
        <f t="shared" si="28"/>
        <v>9901.9901542676926</v>
      </c>
      <c r="J161" s="836"/>
      <c r="K161" s="836">
        <f t="shared" si="29"/>
        <v>4588.0098457323065</v>
      </c>
      <c r="L161" s="836"/>
      <c r="M161" s="836">
        <f t="shared" si="31"/>
        <v>2606295</v>
      </c>
      <c r="N161" s="836"/>
      <c r="O161" s="836">
        <f>IFERROR(Z161*Simul_ConstruRemo!$BP$30/1000,"")</f>
        <v>258.95499373936769</v>
      </c>
      <c r="P161" s="836"/>
      <c r="Q161" s="836">
        <f>IFERROR(IF($I$10="Remodelación",M161*Simul_ConstruRemo!$BS$29,
IF(D161=1,MAX(M161,Z161)*$BS$29,M161*$BQ$29)),"")</f>
        <v>827.2389712662</v>
      </c>
      <c r="R161" s="836"/>
      <c r="S161" s="268">
        <f>IF(B161="","",'Tabla_Puntual&amp;Relacionamiento'!$B$45)</f>
        <v>9.1999999999999998E-2</v>
      </c>
      <c r="T161" s="837"/>
      <c r="U161" s="837"/>
      <c r="V161" s="734"/>
      <c r="W161" s="734"/>
      <c r="X161" s="836">
        <f t="shared" si="34"/>
        <v>15576.193965005568</v>
      </c>
      <c r="Y161" s="836"/>
      <c r="Z161" s="836">
        <f t="shared" si="33"/>
        <v>588534.07668038108</v>
      </c>
      <c r="AA161" s="836"/>
      <c r="AC161" s="484"/>
      <c r="AD161" s="66"/>
      <c r="AE161" s="66"/>
      <c r="AI161" s="137">
        <f t="shared" si="22"/>
        <v>15462.092037934368</v>
      </c>
      <c r="AJ161" s="63">
        <f>IF(OR(Z161="",Z161&lt;=0.01),"",IF(SUM($E$61:F161)=$I$26+$I$27,1,0))</f>
        <v>1</v>
      </c>
      <c r="AK161" s="63">
        <f t="shared" si="25"/>
        <v>96</v>
      </c>
      <c r="AL161" s="269">
        <f t="shared" si="27"/>
        <v>95</v>
      </c>
      <c r="AN161" s="63" t="str">
        <f t="shared" si="32"/>
        <v>Obra Concluida</v>
      </c>
      <c r="AQ161" s="63">
        <f>IF(SUM($E$61:F160)&gt;=$I$26+$I$27,1,0)</f>
        <v>1</v>
      </c>
      <c r="AR161" s="137">
        <f t="shared" si="26"/>
        <v>14490</v>
      </c>
    </row>
    <row r="162" spans="2:44" ht="21" customHeight="1" x14ac:dyDescent="0.3">
      <c r="B162" s="282">
        <f t="shared" si="23"/>
        <v>102</v>
      </c>
      <c r="C162" s="282"/>
      <c r="D162" s="267">
        <f>IF(B162="","",IF(AND($I$10="Remodelación",$I$22="No"),1,IF($I$29&gt;=0.8,1,IF(AN162="Ministración",Simul_ConstruRemo!BM162,1))))</f>
        <v>1</v>
      </c>
      <c r="E162" s="836">
        <f t="shared" si="30"/>
        <v>0</v>
      </c>
      <c r="F162" s="836"/>
      <c r="G162" s="836">
        <f t="shared" si="24"/>
        <v>588534.07668038108</v>
      </c>
      <c r="H162" s="836"/>
      <c r="I162" s="836">
        <f t="shared" si="28"/>
        <v>9977.9054121170775</v>
      </c>
      <c r="J162" s="836"/>
      <c r="K162" s="836">
        <f t="shared" si="29"/>
        <v>4512.0945878829216</v>
      </c>
      <c r="L162" s="836"/>
      <c r="M162" s="836">
        <f t="shared" si="31"/>
        <v>2606295</v>
      </c>
      <c r="N162" s="836"/>
      <c r="O162" s="836">
        <f>IFERROR(Z162*Simul_ConstruRemo!$BP$30/1000,"")</f>
        <v>250.64187335803615</v>
      </c>
      <c r="P162" s="836"/>
      <c r="Q162" s="836">
        <f>IFERROR(IF($I$10="Remodelación",M162*Simul_ConstruRemo!$BS$29,
IF(D162=1,MAX(M162,Z162)*$BS$29,M162*$BQ$29)),"")</f>
        <v>827.2389712662</v>
      </c>
      <c r="R162" s="836"/>
      <c r="S162" s="268">
        <f>IF(B162="","",'Tabla_Puntual&amp;Relacionamiento'!$B$45)</f>
        <v>9.1999999999999998E-2</v>
      </c>
      <c r="T162" s="837"/>
      <c r="U162" s="837"/>
      <c r="V162" s="735">
        <f>IF(OR(Z161=0,Z161=""),"",IF(I162&gt;=G162,0,IF(OR($Y$52="NO",$Y$52=""),0,MIN(IF($Y$54="",0,$Y$54),$AV$16*25)*10%)))</f>
        <v>8915.5500000000011</v>
      </c>
      <c r="W162" s="735"/>
      <c r="X162" s="836">
        <f t="shared" si="34"/>
        <v>15567.880844624236</v>
      </c>
      <c r="Y162" s="836"/>
      <c r="Z162" s="836">
        <f t="shared" si="33"/>
        <v>569640.62126826402</v>
      </c>
      <c r="AA162" s="836"/>
      <c r="AC162" s="484"/>
      <c r="AD162" s="66"/>
      <c r="AE162" s="66"/>
      <c r="AI162" s="137">
        <f t="shared" si="22"/>
        <v>15453.778917553036</v>
      </c>
      <c r="AJ162" s="63">
        <f>IF(OR(Z162="",Z162&lt;=0.01),"",IF(SUM($E$61:F162)=$I$26+$I$27,1,0))</f>
        <v>1</v>
      </c>
      <c r="AK162" s="63">
        <f t="shared" si="25"/>
        <v>97</v>
      </c>
      <c r="AL162" s="269">
        <f t="shared" si="27"/>
        <v>96</v>
      </c>
      <c r="AN162" s="63" t="str">
        <f t="shared" si="32"/>
        <v>Obra Concluida</v>
      </c>
      <c r="AQ162" s="63">
        <f>IF(SUM($E$61:F161)&gt;=$I$26+$I$27,1,0)</f>
        <v>1</v>
      </c>
      <c r="AR162" s="137">
        <f t="shared" si="26"/>
        <v>14490</v>
      </c>
    </row>
    <row r="163" spans="2:44" ht="21" customHeight="1" x14ac:dyDescent="0.3">
      <c r="B163" s="282">
        <f t="shared" si="23"/>
        <v>103</v>
      </c>
      <c r="C163" s="282"/>
      <c r="D163" s="267">
        <f>IF(B163="","",IF(AND($I$10="Remodelación",$I$22="No"),1,IF($I$29&gt;=0.8,1,IF(AN163="Ministración",Simul_ConstruRemo!BM163,1))))</f>
        <v>1</v>
      </c>
      <c r="E163" s="836">
        <f t="shared" si="30"/>
        <v>0</v>
      </c>
      <c r="F163" s="836"/>
      <c r="G163" s="836">
        <f t="shared" si="24"/>
        <v>569640.62126826402</v>
      </c>
      <c r="H163" s="836"/>
      <c r="I163" s="836">
        <f t="shared" si="28"/>
        <v>10122.755236943311</v>
      </c>
      <c r="J163" s="836"/>
      <c r="K163" s="836">
        <f t="shared" si="29"/>
        <v>4367.2447630566903</v>
      </c>
      <c r="L163" s="836"/>
      <c r="M163" s="836">
        <f t="shared" si="31"/>
        <v>2606295</v>
      </c>
      <c r="N163" s="836"/>
      <c r="O163" s="836">
        <f>IFERROR(Z163*Simul_ConstruRemo!$BP$30/1000,"")</f>
        <v>246.18786105378115</v>
      </c>
      <c r="P163" s="836"/>
      <c r="Q163" s="836">
        <f>IFERROR(IF($I$10="Remodelación",M163*Simul_ConstruRemo!$BS$29,
IF(D163=1,MAX(M163,Z163)*$BS$29,M163*$BQ$29)),"")</f>
        <v>827.2389712662</v>
      </c>
      <c r="R163" s="836"/>
      <c r="S163" s="268">
        <f>IF(B163="","",'Tabla_Puntual&amp;Relacionamiento'!$B$45)</f>
        <v>9.1999999999999998E-2</v>
      </c>
      <c r="T163" s="837"/>
      <c r="U163" s="837"/>
      <c r="V163" s="734"/>
      <c r="W163" s="734"/>
      <c r="X163" s="836">
        <f t="shared" si="34"/>
        <v>15563.426832319981</v>
      </c>
      <c r="Y163" s="836"/>
      <c r="Z163" s="836">
        <f t="shared" si="33"/>
        <v>559517.86603132077</v>
      </c>
      <c r="AA163" s="836"/>
      <c r="AC163" s="484"/>
      <c r="AD163" s="66"/>
      <c r="AE163" s="66"/>
      <c r="AI163" s="137">
        <f t="shared" si="22"/>
        <v>15449.324905248781</v>
      </c>
      <c r="AJ163" s="63">
        <f>IF(OR(Z163="",Z163&lt;=0.01),"",IF(SUM($E$61:F163)=$I$26+$I$27,1,0))</f>
        <v>1</v>
      </c>
      <c r="AK163" s="63">
        <f t="shared" si="25"/>
        <v>98</v>
      </c>
      <c r="AL163" s="269">
        <f t="shared" si="27"/>
        <v>97</v>
      </c>
      <c r="AN163" s="63" t="str">
        <f t="shared" si="32"/>
        <v>Obra Concluida</v>
      </c>
      <c r="AQ163" s="63">
        <f>IF(SUM($E$61:F162)&gt;=$I$26+$I$27,1,0)</f>
        <v>1</v>
      </c>
      <c r="AR163" s="137">
        <f t="shared" si="26"/>
        <v>14490</v>
      </c>
    </row>
    <row r="164" spans="2:44" ht="21" customHeight="1" x14ac:dyDescent="0.3">
      <c r="B164" s="282">
        <f t="shared" si="23"/>
        <v>104</v>
      </c>
      <c r="C164" s="282"/>
      <c r="D164" s="267">
        <f>IF(B164="","",IF(AND($I$10="Remodelación",$I$22="No"),1,IF($I$29&gt;=0.8,1,IF(AN164="Ministración",Simul_ConstruRemo!BM164,1))))</f>
        <v>1</v>
      </c>
      <c r="E164" s="836">
        <f t="shared" si="30"/>
        <v>0</v>
      </c>
      <c r="F164" s="836"/>
      <c r="G164" s="836">
        <f t="shared" si="24"/>
        <v>559517.86603132077</v>
      </c>
      <c r="H164" s="836"/>
      <c r="I164" s="836">
        <f t="shared" si="28"/>
        <v>10200.363027093208</v>
      </c>
      <c r="J164" s="836"/>
      <c r="K164" s="836">
        <f t="shared" si="29"/>
        <v>4289.6369729067919</v>
      </c>
      <c r="L164" s="836"/>
      <c r="M164" s="836">
        <f t="shared" si="31"/>
        <v>2606295</v>
      </c>
      <c r="N164" s="836"/>
      <c r="O164" s="836">
        <f>IFERROR(Z164*Simul_ConstruRemo!$BP$30/1000,"")</f>
        <v>237.77685932186012</v>
      </c>
      <c r="P164" s="836"/>
      <c r="Q164" s="836">
        <f>IFERROR(IF($I$10="Remodelación",M164*Simul_ConstruRemo!$BS$29,
IF(D164=1,MAX(M164,Z164)*$BS$29,M164*$BQ$29)),"")</f>
        <v>827.2389712662</v>
      </c>
      <c r="R164" s="836"/>
      <c r="S164" s="268">
        <f>IF(B164="","",'Tabla_Puntual&amp;Relacionamiento'!$B$45)</f>
        <v>9.1999999999999998E-2</v>
      </c>
      <c r="T164" s="837"/>
      <c r="U164" s="837"/>
      <c r="V164" s="735">
        <f>IF(OR(Z163=0,Z163=""),"",IF(I164&gt;=G164,0,IF(OR($Y$52="NO",$Y$52=""),0,MIN(IF($Y$54="",0,$Y$54),$AV$16*25)*10%)))</f>
        <v>8915.5500000000011</v>
      </c>
      <c r="W164" s="735"/>
      <c r="X164" s="836">
        <f t="shared" si="34"/>
        <v>15555.015830588061</v>
      </c>
      <c r="Y164" s="836"/>
      <c r="Z164" s="836">
        <f t="shared" si="33"/>
        <v>540401.95300422749</v>
      </c>
      <c r="AA164" s="836"/>
      <c r="AC164" s="484"/>
      <c r="AD164" s="66"/>
      <c r="AE164" s="66"/>
      <c r="AI164" s="137">
        <f t="shared" si="22"/>
        <v>15440.913903516861</v>
      </c>
      <c r="AJ164" s="63">
        <f>IF(OR(Z164="",Z164&lt;=0.01),"",IF(SUM($E$61:F164)=$I$26+$I$27,1,0))</f>
        <v>1</v>
      </c>
      <c r="AK164" s="63">
        <f t="shared" si="25"/>
        <v>99</v>
      </c>
      <c r="AL164" s="269">
        <f t="shared" si="27"/>
        <v>98</v>
      </c>
      <c r="AN164" s="63" t="str">
        <f t="shared" si="32"/>
        <v>Obra Concluida</v>
      </c>
      <c r="AQ164" s="63">
        <f>IF(SUM($E$61:F163)&gt;=$I$26+$I$27,1,0)</f>
        <v>1</v>
      </c>
      <c r="AR164" s="137">
        <f t="shared" si="26"/>
        <v>14490</v>
      </c>
    </row>
    <row r="165" spans="2:44" ht="21" customHeight="1" x14ac:dyDescent="0.3">
      <c r="B165" s="282">
        <f t="shared" si="23"/>
        <v>105</v>
      </c>
      <c r="C165" s="282"/>
      <c r="D165" s="267">
        <f>IF(B165="","",IF(AND($I$10="Remodelación",$I$22="No"),1,IF($I$29&gt;=0.8,1,IF(AN165="Ministración",Simul_ConstruRemo!BM165,1))))</f>
        <v>1</v>
      </c>
      <c r="E165" s="836">
        <f t="shared" si="30"/>
        <v>0</v>
      </c>
      <c r="F165" s="836"/>
      <c r="G165" s="836">
        <f t="shared" si="24"/>
        <v>540401.95300422749</v>
      </c>
      <c r="H165" s="836"/>
      <c r="I165" s="836">
        <f t="shared" si="28"/>
        <v>10346.918360300922</v>
      </c>
      <c r="J165" s="836"/>
      <c r="K165" s="836">
        <f t="shared" si="29"/>
        <v>4143.0816396990767</v>
      </c>
      <c r="L165" s="836"/>
      <c r="M165" s="836">
        <f t="shared" si="31"/>
        <v>2606295</v>
      </c>
      <c r="N165" s="836"/>
      <c r="O165" s="836">
        <f>IFERROR(Z165*Simul_ConstruRemo!$BP$30/1000,"")</f>
        <v>233.22421524332771</v>
      </c>
      <c r="P165" s="836"/>
      <c r="Q165" s="836">
        <f>IFERROR(IF($I$10="Remodelación",M165*Simul_ConstruRemo!$BS$29,
IF(D165=1,MAX(M165,Z165)*$BS$29,M165*$BQ$29)),"")</f>
        <v>827.2389712662</v>
      </c>
      <c r="R165" s="836"/>
      <c r="S165" s="268">
        <f>IF(B165="","",'Tabla_Puntual&amp;Relacionamiento'!$B$45)</f>
        <v>9.1999999999999998E-2</v>
      </c>
      <c r="T165" s="837"/>
      <c r="U165" s="837"/>
      <c r="V165" s="734"/>
      <c r="W165" s="734"/>
      <c r="X165" s="836">
        <f t="shared" si="34"/>
        <v>15550.463186509529</v>
      </c>
      <c r="Y165" s="836"/>
      <c r="Z165" s="836">
        <f t="shared" si="33"/>
        <v>530055.03464392654</v>
      </c>
      <c r="AA165" s="836"/>
      <c r="AC165" s="484"/>
      <c r="AD165" s="66"/>
      <c r="AE165" s="66"/>
      <c r="AI165" s="137">
        <f t="shared" si="22"/>
        <v>15436.361259438328</v>
      </c>
      <c r="AJ165" s="63">
        <f>IF(OR(Z165="",Z165&lt;=0.01),"",IF(SUM($E$61:F165)=$I$26+$I$27,1,0))</f>
        <v>1</v>
      </c>
      <c r="AK165" s="63">
        <f t="shared" si="25"/>
        <v>100</v>
      </c>
      <c r="AL165" s="269">
        <f t="shared" si="27"/>
        <v>99</v>
      </c>
      <c r="AN165" s="63" t="str">
        <f t="shared" si="32"/>
        <v>Obra Concluida</v>
      </c>
      <c r="AQ165" s="63">
        <f>IF(SUM($E$61:F164)&gt;=$I$26+$I$27,1,0)</f>
        <v>1</v>
      </c>
      <c r="AR165" s="137">
        <f t="shared" si="26"/>
        <v>14490</v>
      </c>
    </row>
    <row r="166" spans="2:44" ht="21" customHeight="1" x14ac:dyDescent="0.3">
      <c r="B166" s="282">
        <f t="shared" si="23"/>
        <v>106</v>
      </c>
      <c r="C166" s="282"/>
      <c r="D166" s="267">
        <f>IF(B166="","",IF(AND($I$10="Remodelación",$I$22="No"),1,IF($I$29&gt;=0.8,1,IF(AN166="Ministración",Simul_ConstruRemo!BM166,1))))</f>
        <v>1</v>
      </c>
      <c r="E166" s="836">
        <f t="shared" si="30"/>
        <v>0</v>
      </c>
      <c r="F166" s="836"/>
      <c r="G166" s="836">
        <f t="shared" si="24"/>
        <v>530055.03464392654</v>
      </c>
      <c r="H166" s="836"/>
      <c r="I166" s="836">
        <f t="shared" si="28"/>
        <v>10426.244734396563</v>
      </c>
      <c r="J166" s="836"/>
      <c r="K166" s="836">
        <f t="shared" si="29"/>
        <v>4063.7552656034368</v>
      </c>
      <c r="L166" s="836"/>
      <c r="M166" s="836">
        <f t="shared" si="31"/>
        <v>2606295</v>
      </c>
      <c r="N166" s="836"/>
      <c r="O166" s="836">
        <f>IFERROR(Z166*Simul_ConstruRemo!$BP$30/1000,"")</f>
        <v>224.71382556019319</v>
      </c>
      <c r="P166" s="836"/>
      <c r="Q166" s="836">
        <f>IFERROR(IF($I$10="Remodelación",M166*Simul_ConstruRemo!$BS$29,
IF(D166=1,MAX(M166,Z166)*$BS$29,M166*$BQ$29)),"")</f>
        <v>827.2389712662</v>
      </c>
      <c r="R166" s="836"/>
      <c r="S166" s="268">
        <f>IF(B166="","",'Tabla_Puntual&amp;Relacionamiento'!$B$45)</f>
        <v>9.1999999999999998E-2</v>
      </c>
      <c r="T166" s="837"/>
      <c r="U166" s="837"/>
      <c r="V166" s="735">
        <f>IF(OR(Z165=0,Z165=""),"",IF(I166&gt;=G166,0,IF(OR($Y$52="NO",$Y$52=""),0,MIN(IF($Y$54="",0,$Y$54),$AV$16*25)*10%)))</f>
        <v>8915.5500000000011</v>
      </c>
      <c r="W166" s="735"/>
      <c r="X166" s="836">
        <f t="shared" si="34"/>
        <v>15541.952796826394</v>
      </c>
      <c r="Y166" s="836"/>
      <c r="Z166" s="836">
        <f t="shared" si="33"/>
        <v>510713.23990952998</v>
      </c>
      <c r="AA166" s="836"/>
      <c r="AC166" s="484"/>
      <c r="AD166" s="66"/>
      <c r="AE166" s="66"/>
      <c r="AI166" s="137">
        <f t="shared" si="22"/>
        <v>15427.850869755193</v>
      </c>
      <c r="AJ166" s="63">
        <f>IF(OR(Z166="",Z166&lt;=0.01),"",IF(SUM($E$61:F166)=$I$26+$I$27,1,0))</f>
        <v>1</v>
      </c>
      <c r="AK166" s="63">
        <f t="shared" si="25"/>
        <v>101</v>
      </c>
      <c r="AL166" s="269">
        <f t="shared" si="27"/>
        <v>100</v>
      </c>
      <c r="AN166" s="63" t="str">
        <f t="shared" si="32"/>
        <v>Obra Concluida</v>
      </c>
      <c r="AQ166" s="63">
        <f>IF(SUM($E$61:F165)&gt;=$I$26+$I$27,1,0)</f>
        <v>1</v>
      </c>
      <c r="AR166" s="137">
        <f t="shared" si="26"/>
        <v>14490</v>
      </c>
    </row>
    <row r="167" spans="2:44" ht="21" customHeight="1" x14ac:dyDescent="0.3">
      <c r="B167" s="282">
        <f t="shared" si="23"/>
        <v>107</v>
      </c>
      <c r="C167" s="282"/>
      <c r="D167" s="267">
        <f>IF(B167="","",IF(AND($I$10="Remodelación",$I$22="No"),1,IF($I$29&gt;=0.8,1,IF(AN167="Ministración",Simul_ConstruRemo!BM167,1))))</f>
        <v>1</v>
      </c>
      <c r="E167" s="836">
        <f t="shared" si="30"/>
        <v>0</v>
      </c>
      <c r="F167" s="836"/>
      <c r="G167" s="836">
        <f t="shared" si="24"/>
        <v>510713.23990952998</v>
      </c>
      <c r="H167" s="836"/>
      <c r="I167" s="836">
        <f t="shared" si="28"/>
        <v>10574.53182736027</v>
      </c>
      <c r="J167" s="836"/>
      <c r="K167" s="836">
        <f t="shared" si="29"/>
        <v>3915.4681726397298</v>
      </c>
      <c r="L167" s="836"/>
      <c r="M167" s="836">
        <f t="shared" si="31"/>
        <v>2606295</v>
      </c>
      <c r="N167" s="836"/>
      <c r="O167" s="836">
        <f>IFERROR(Z167*Simul_ConstruRemo!$BP$30/1000,"")</f>
        <v>220.06103155615466</v>
      </c>
      <c r="P167" s="836"/>
      <c r="Q167" s="836">
        <f>IFERROR(IF($I$10="Remodelación",M167*Simul_ConstruRemo!$BS$29,
IF(D167=1,MAX(M167,Z167)*$BS$29,M167*$BQ$29)),"")</f>
        <v>827.2389712662</v>
      </c>
      <c r="R167" s="836"/>
      <c r="S167" s="268">
        <f>IF(B167="","",'Tabla_Puntual&amp;Relacionamiento'!$B$45)</f>
        <v>9.1999999999999998E-2</v>
      </c>
      <c r="T167" s="837"/>
      <c r="U167" s="837"/>
      <c r="V167" s="734"/>
      <c r="W167" s="734"/>
      <c r="X167" s="836">
        <f t="shared" si="34"/>
        <v>15537.300002822356</v>
      </c>
      <c r="Y167" s="836"/>
      <c r="Z167" s="836">
        <f t="shared" si="33"/>
        <v>500138.7080821697</v>
      </c>
      <c r="AA167" s="836"/>
      <c r="AC167" s="484"/>
      <c r="AD167" s="66"/>
      <c r="AE167" s="66"/>
      <c r="AI167" s="137">
        <f t="shared" si="22"/>
        <v>15423.198075751156</v>
      </c>
      <c r="AJ167" s="63">
        <f>IF(OR(Z167="",Z167&lt;=0.01),"",IF(SUM($E$61:F167)=$I$26+$I$27,1,0))</f>
        <v>1</v>
      </c>
      <c r="AK167" s="63">
        <f t="shared" si="25"/>
        <v>102</v>
      </c>
      <c r="AL167" s="269">
        <f t="shared" si="27"/>
        <v>101</v>
      </c>
      <c r="AN167" s="63" t="str">
        <f t="shared" si="32"/>
        <v>Obra Concluida</v>
      </c>
      <c r="AQ167" s="63">
        <f>IF(SUM($E$61:F166)&gt;=$I$26+$I$27,1,0)</f>
        <v>1</v>
      </c>
      <c r="AR167" s="137">
        <f t="shared" si="26"/>
        <v>14490</v>
      </c>
    </row>
    <row r="168" spans="2:44" ht="21" customHeight="1" x14ac:dyDescent="0.3">
      <c r="B168" s="282">
        <f t="shared" si="23"/>
        <v>108</v>
      </c>
      <c r="C168" s="282"/>
      <c r="D168" s="267">
        <f>IF(B168="","",IF(AND($I$10="Remodelación",$I$22="No"),1,IF($I$29&gt;=0.8,1,IF(AN168="Ministración",Simul_ConstruRemo!BM168,1))))</f>
        <v>1</v>
      </c>
      <c r="E168" s="836">
        <f t="shared" si="30"/>
        <v>0</v>
      </c>
      <c r="F168" s="836"/>
      <c r="G168" s="836">
        <f t="shared" si="24"/>
        <v>500138.7080821697</v>
      </c>
      <c r="H168" s="836"/>
      <c r="I168" s="836">
        <f t="shared" si="28"/>
        <v>10655.6032380367</v>
      </c>
      <c r="J168" s="836"/>
      <c r="K168" s="836">
        <f t="shared" si="29"/>
        <v>3834.3967619633008</v>
      </c>
      <c r="L168" s="836"/>
      <c r="M168" s="836">
        <f t="shared" si="31"/>
        <v>2606295</v>
      </c>
      <c r="N168" s="836"/>
      <c r="O168" s="836">
        <f>IFERROR(Z168*Simul_ConstruRemo!$BP$30/1000,"")</f>
        <v>211.44972413141855</v>
      </c>
      <c r="P168" s="836"/>
      <c r="Q168" s="836">
        <f>IFERROR(IF($I$10="Remodelación",M168*Simul_ConstruRemo!$BS$29,
IF(D168=1,MAX(M168,Z168)*$BS$29,M168*$BQ$29)),"")</f>
        <v>827.2389712662</v>
      </c>
      <c r="R168" s="836"/>
      <c r="S168" s="268">
        <f>IF(B168="","",'Tabla_Puntual&amp;Relacionamiento'!$B$45)</f>
        <v>9.1999999999999998E-2</v>
      </c>
      <c r="T168" s="837"/>
      <c r="U168" s="837"/>
      <c r="V168" s="735">
        <f>IF(OR(Z167=0,Z167=""),"",IF(I168&gt;=G168,0,IF(OR($Y$52="NO",$Y$52=""),0,MIN(IF($Y$54="",0,$Y$54),$AV$16*25)*10%)))</f>
        <v>8915.5500000000011</v>
      </c>
      <c r="W168" s="735"/>
      <c r="X168" s="836">
        <f t="shared" si="34"/>
        <v>15528.688695397619</v>
      </c>
      <c r="Y168" s="836"/>
      <c r="Z168" s="836">
        <f t="shared" si="33"/>
        <v>480567.55484413303</v>
      </c>
      <c r="AA168" s="836"/>
      <c r="AC168" s="484"/>
      <c r="AD168" s="66"/>
      <c r="AE168" s="66"/>
      <c r="AI168" s="137">
        <f t="shared" si="22"/>
        <v>15414.586768326419</v>
      </c>
      <c r="AJ168" s="63">
        <f>IF(OR(Z168="",Z168&lt;=0.01),"",IF(SUM($E$61:F168)=$I$26+$I$27,1,0))</f>
        <v>1</v>
      </c>
      <c r="AK168" s="63">
        <f t="shared" si="25"/>
        <v>103</v>
      </c>
      <c r="AL168" s="269">
        <f t="shared" si="27"/>
        <v>102</v>
      </c>
      <c r="AN168" s="63" t="str">
        <f t="shared" si="32"/>
        <v>Obra Concluida</v>
      </c>
      <c r="AQ168" s="63">
        <f>IF(SUM($E$61:F167)&gt;=$I$26+$I$27,1,0)</f>
        <v>1</v>
      </c>
      <c r="AR168" s="137">
        <f t="shared" si="26"/>
        <v>14490</v>
      </c>
    </row>
    <row r="169" spans="2:44" ht="21" customHeight="1" x14ac:dyDescent="0.3">
      <c r="B169" s="282">
        <f t="shared" si="23"/>
        <v>109</v>
      </c>
      <c r="C169" s="282"/>
      <c r="D169" s="267">
        <f>IF(B169="","",IF(AND($I$10="Remodelación",$I$22="No"),1,IF($I$29&gt;=0.8,1,IF(AN169="Ministración",Simul_ConstruRemo!BM169,1))))</f>
        <v>1</v>
      </c>
      <c r="E169" s="836">
        <f t="shared" si="30"/>
        <v>0</v>
      </c>
      <c r="F169" s="836"/>
      <c r="G169" s="836">
        <f t="shared" si="24"/>
        <v>480567.55484413303</v>
      </c>
      <c r="H169" s="836"/>
      <c r="I169" s="836">
        <f t="shared" si="28"/>
        <v>10805.64874619498</v>
      </c>
      <c r="J169" s="836"/>
      <c r="K169" s="836">
        <f t="shared" si="29"/>
        <v>3684.3512538050195</v>
      </c>
      <c r="L169" s="836"/>
      <c r="M169" s="836">
        <f t="shared" si="31"/>
        <v>2606295</v>
      </c>
      <c r="N169" s="836"/>
      <c r="O169" s="836">
        <f>IFERROR(Z169*Simul_ConstruRemo!$BP$30/1000,"")</f>
        <v>206.69523868309275</v>
      </c>
      <c r="P169" s="836"/>
      <c r="Q169" s="836">
        <f>IFERROR(IF($I$10="Remodelación",M169*Simul_ConstruRemo!$BS$29,
IF(D169=1,MAX(M169,Z169)*$BS$29,M169*$BQ$29)),"")</f>
        <v>827.2389712662</v>
      </c>
      <c r="R169" s="836"/>
      <c r="S169" s="268">
        <f>IF(B169="","",'Tabla_Puntual&amp;Relacionamiento'!$B$46)</f>
        <v>9.1999999999999998E-2</v>
      </c>
      <c r="T169" s="837"/>
      <c r="U169" s="837"/>
      <c r="V169" s="734"/>
      <c r="W169" s="734"/>
      <c r="X169" s="836">
        <f t="shared" si="34"/>
        <v>15523.934209949293</v>
      </c>
      <c r="Y169" s="836"/>
      <c r="Z169" s="836">
        <f t="shared" si="33"/>
        <v>469761.90609793807</v>
      </c>
      <c r="AA169" s="836"/>
      <c r="AC169" s="484"/>
      <c r="AD169" s="66"/>
      <c r="AE169" s="66"/>
      <c r="AI169" s="137">
        <f t="shared" si="22"/>
        <v>15409.832282878093</v>
      </c>
      <c r="AJ169" s="63">
        <f>IF(OR(Z169="",Z169&lt;=0.01),"",IF(SUM($E$61:F169)=$I$26+$I$27,1,0))</f>
        <v>1</v>
      </c>
      <c r="AK169" s="63">
        <f t="shared" si="25"/>
        <v>104</v>
      </c>
      <c r="AL169" s="269">
        <f t="shared" si="27"/>
        <v>103</v>
      </c>
      <c r="AN169" s="63" t="str">
        <f t="shared" si="32"/>
        <v>Obra Concluida</v>
      </c>
      <c r="AQ169" s="63">
        <f>IF(SUM($E$61:F168)&gt;=$I$26+$I$27,1,0)</f>
        <v>1</v>
      </c>
      <c r="AR169" s="137">
        <f t="shared" si="26"/>
        <v>14490</v>
      </c>
    </row>
    <row r="170" spans="2:44" ht="21" customHeight="1" x14ac:dyDescent="0.3">
      <c r="B170" s="282">
        <f t="shared" si="23"/>
        <v>110</v>
      </c>
      <c r="C170" s="282"/>
      <c r="D170" s="267">
        <f>IF(B170="","",IF(AND($I$10="Remodelación",$I$22="No"),1,IF($I$29&gt;=0.8,1,IF(AN170="Ministración",Simul_ConstruRemo!BM170,1))))</f>
        <v>1</v>
      </c>
      <c r="E170" s="836">
        <f t="shared" si="30"/>
        <v>0</v>
      </c>
      <c r="F170" s="836"/>
      <c r="G170" s="836">
        <f t="shared" si="24"/>
        <v>469761.90609793807</v>
      </c>
      <c r="H170" s="836"/>
      <c r="I170" s="836">
        <f t="shared" si="28"/>
        <v>10888.492053249141</v>
      </c>
      <c r="J170" s="836"/>
      <c r="K170" s="836">
        <f t="shared" si="29"/>
        <v>3601.5079467508585</v>
      </c>
      <c r="L170" s="836"/>
      <c r="M170" s="836">
        <f t="shared" si="31"/>
        <v>2606295</v>
      </c>
      <c r="N170" s="836"/>
      <c r="O170" s="836">
        <f>IFERROR(Z170*Simul_ConstruRemo!$BP$30/1000,"")</f>
        <v>197.98146017966312</v>
      </c>
      <c r="P170" s="836"/>
      <c r="Q170" s="836">
        <f>IFERROR(IF($I$10="Remodelación",M170*Simul_ConstruRemo!$BS$29,
IF(D170=1,MAX(M170,Z170)*$BS$29,M170*$BQ$29)),"")</f>
        <v>827.2389712662</v>
      </c>
      <c r="R170" s="836"/>
      <c r="S170" s="268">
        <f>IF(B170="","",'Tabla_Puntual&amp;Relacionamiento'!$B$46)</f>
        <v>9.1999999999999998E-2</v>
      </c>
      <c r="T170" s="837"/>
      <c r="U170" s="837"/>
      <c r="V170" s="735">
        <f>IF(OR(Z169=0,Z169=""),"",IF(I170&gt;=G170,0,IF(OR($Y$52="NO",$Y$52=""),0,MIN(IF($Y$54="",0,$Y$54),$AV$16*25)*10%)))</f>
        <v>8915.5500000000011</v>
      </c>
      <c r="W170" s="735"/>
      <c r="X170" s="836">
        <f t="shared" si="34"/>
        <v>15515.220431445863</v>
      </c>
      <c r="Y170" s="836"/>
      <c r="Z170" s="836">
        <f t="shared" si="33"/>
        <v>449957.86404468893</v>
      </c>
      <c r="AA170" s="836"/>
      <c r="AC170" s="484"/>
      <c r="AD170" s="66"/>
      <c r="AE170" s="66"/>
      <c r="AI170" s="137">
        <f t="shared" si="22"/>
        <v>15401.118504374663</v>
      </c>
      <c r="AJ170" s="63">
        <f>IF(OR(Z170="",Z170&lt;=0.01),"",IF(SUM($E$61:F170)=$I$26+$I$27,1,0))</f>
        <v>1</v>
      </c>
      <c r="AK170" s="63">
        <f t="shared" si="25"/>
        <v>105</v>
      </c>
      <c r="AL170" s="269">
        <f t="shared" si="27"/>
        <v>104</v>
      </c>
      <c r="AN170" s="63" t="str">
        <f t="shared" si="32"/>
        <v>Obra Concluida</v>
      </c>
      <c r="AQ170" s="63">
        <f>IF(SUM($E$61:F169)&gt;=$I$26+$I$27,1,0)</f>
        <v>1</v>
      </c>
      <c r="AR170" s="137">
        <f t="shared" si="26"/>
        <v>14490</v>
      </c>
    </row>
    <row r="171" spans="2:44" ht="21" customHeight="1" x14ac:dyDescent="0.3">
      <c r="B171" s="282">
        <f t="shared" si="23"/>
        <v>111</v>
      </c>
      <c r="C171" s="282"/>
      <c r="D171" s="267">
        <f>IF(B171="","",IF(AND($I$10="Remodelación",$I$22="No"),1,IF($I$29&gt;=0.8,1,IF(AN171="Ministración",Simul_ConstruRemo!BM171,1))))</f>
        <v>1</v>
      </c>
      <c r="E171" s="836">
        <f t="shared" si="30"/>
        <v>0</v>
      </c>
      <c r="F171" s="836"/>
      <c r="G171" s="836">
        <f t="shared" si="24"/>
        <v>449957.86404468893</v>
      </c>
      <c r="H171" s="836"/>
      <c r="I171" s="836">
        <f t="shared" si="28"/>
        <v>11040.323042324051</v>
      </c>
      <c r="J171" s="836"/>
      <c r="K171" s="836">
        <f t="shared" si="29"/>
        <v>3449.6769576759484</v>
      </c>
      <c r="L171" s="836"/>
      <c r="M171" s="836">
        <f t="shared" si="31"/>
        <v>2606295</v>
      </c>
      <c r="N171" s="836"/>
      <c r="O171" s="836">
        <f>IFERROR(Z171*Simul_ConstruRemo!$BP$30/1000,"")</f>
        <v>193.12371804104055</v>
      </c>
      <c r="P171" s="836"/>
      <c r="Q171" s="836">
        <f>IFERROR(IF($I$10="Remodelación",M171*Simul_ConstruRemo!$BS$29,
IF(D171=1,MAX(M171,Z171)*$BS$29,M171*$BQ$29)),"")</f>
        <v>827.2389712662</v>
      </c>
      <c r="R171" s="836"/>
      <c r="S171" s="268">
        <f>IF(B171="","",'Tabla_Puntual&amp;Relacionamiento'!$B$46)</f>
        <v>9.1999999999999998E-2</v>
      </c>
      <c r="T171" s="837"/>
      <c r="U171" s="837"/>
      <c r="V171" s="734"/>
      <c r="W171" s="734"/>
      <c r="X171" s="836">
        <f t="shared" si="34"/>
        <v>15510.362689307241</v>
      </c>
      <c r="Y171" s="836"/>
      <c r="Z171" s="836">
        <f t="shared" si="33"/>
        <v>438917.54100236489</v>
      </c>
      <c r="AA171" s="836"/>
      <c r="AC171" s="484"/>
      <c r="AD171" s="66"/>
      <c r="AE171" s="66"/>
      <c r="AI171" s="137">
        <f t="shared" si="22"/>
        <v>15396.260762236041</v>
      </c>
      <c r="AJ171" s="63">
        <f>IF(OR(Z171="",Z171&lt;=0.01),"",IF(SUM($E$61:F171)=$I$26+$I$27,1,0))</f>
        <v>1</v>
      </c>
      <c r="AK171" s="63">
        <f t="shared" si="25"/>
        <v>106</v>
      </c>
      <c r="AL171" s="269">
        <f t="shared" si="27"/>
        <v>105</v>
      </c>
      <c r="AN171" s="63" t="str">
        <f t="shared" si="32"/>
        <v>Obra Concluida</v>
      </c>
      <c r="AQ171" s="63">
        <f>IF(SUM($E$61:F170)&gt;=$I$26+$I$27,1,0)</f>
        <v>1</v>
      </c>
      <c r="AR171" s="137">
        <f t="shared" si="26"/>
        <v>14490</v>
      </c>
    </row>
    <row r="172" spans="2:44" ht="21" customHeight="1" x14ac:dyDescent="0.3">
      <c r="B172" s="282">
        <f t="shared" si="23"/>
        <v>112</v>
      </c>
      <c r="C172" s="282"/>
      <c r="D172" s="267">
        <f>IF(B172="","",IF(AND($I$10="Remodelación",$I$22="No"),1,IF($I$29&gt;=0.8,1,IF(AN172="Ministración",Simul_ConstruRemo!BM172,1))))</f>
        <v>1</v>
      </c>
      <c r="E172" s="836">
        <f t="shared" si="30"/>
        <v>0</v>
      </c>
      <c r="F172" s="836"/>
      <c r="G172" s="836">
        <f t="shared" si="24"/>
        <v>438917.54100236489</v>
      </c>
      <c r="H172" s="836"/>
      <c r="I172" s="836">
        <f t="shared" si="28"/>
        <v>11124.96551898187</v>
      </c>
      <c r="J172" s="836"/>
      <c r="K172" s="836">
        <f t="shared" si="29"/>
        <v>3365.0344810181305</v>
      </c>
      <c r="L172" s="836"/>
      <c r="M172" s="836">
        <f t="shared" si="31"/>
        <v>2606295</v>
      </c>
      <c r="N172" s="836"/>
      <c r="O172" s="836">
        <f>IFERROR(Z172*Simul_ConstruRemo!$BP$30/1000,"")</f>
        <v>184.30589121268852</v>
      </c>
      <c r="P172" s="836"/>
      <c r="Q172" s="836">
        <f>IFERROR(IF($I$10="Remodelación",M172*Simul_ConstruRemo!$BS$29,
IF(D172=1,MAX(M172,Z172)*$BS$29,M172*$BQ$29)),"")</f>
        <v>827.2389712662</v>
      </c>
      <c r="R172" s="836"/>
      <c r="S172" s="268">
        <f>IF(B172="","",'Tabla_Puntual&amp;Relacionamiento'!$B$46)</f>
        <v>9.1999999999999998E-2</v>
      </c>
      <c r="T172" s="837"/>
      <c r="U172" s="837"/>
      <c r="V172" s="735">
        <f>IF(OR(Z171=0,Z171=""),"",IF(I172&gt;=G172,0,IF(OR($Y$52="NO",$Y$52=""),0,MIN(IF($Y$54="",0,$Y$54),$AV$16*25)*10%)))</f>
        <v>8915.5500000000011</v>
      </c>
      <c r="W172" s="735"/>
      <c r="X172" s="836">
        <f t="shared" si="34"/>
        <v>15501.54486247889</v>
      </c>
      <c r="Y172" s="836"/>
      <c r="Z172" s="836">
        <f t="shared" si="33"/>
        <v>418877.02548338304</v>
      </c>
      <c r="AA172" s="836"/>
      <c r="AC172" s="484"/>
      <c r="AD172" s="66"/>
      <c r="AE172" s="66"/>
      <c r="AI172" s="137">
        <f t="shared" si="22"/>
        <v>15387.442935407689</v>
      </c>
      <c r="AJ172" s="63">
        <f>IF(OR(Z172="",Z172&lt;=0.01),"",IF(SUM($E$61:F172)=$I$26+$I$27,1,0))</f>
        <v>1</v>
      </c>
      <c r="AK172" s="63">
        <f t="shared" si="25"/>
        <v>107</v>
      </c>
      <c r="AL172" s="269">
        <f t="shared" si="27"/>
        <v>106</v>
      </c>
      <c r="AN172" s="63" t="str">
        <f t="shared" si="32"/>
        <v>Obra Concluida</v>
      </c>
      <c r="AQ172" s="63">
        <f>IF(SUM($E$61:F171)&gt;=$I$26+$I$27,1,0)</f>
        <v>1</v>
      </c>
      <c r="AR172" s="137">
        <f t="shared" si="26"/>
        <v>14490</v>
      </c>
    </row>
    <row r="173" spans="2:44" ht="21" customHeight="1" x14ac:dyDescent="0.3">
      <c r="B173" s="282">
        <f t="shared" si="23"/>
        <v>113</v>
      </c>
      <c r="C173" s="282"/>
      <c r="D173" s="267">
        <f>IF(B173="","",IF(AND($I$10="Remodelación",$I$22="No"),1,IF($I$29&gt;=0.8,1,IF(AN173="Ministración",Simul_ConstruRemo!BM173,1))))</f>
        <v>1</v>
      </c>
      <c r="E173" s="836">
        <f t="shared" si="30"/>
        <v>0</v>
      </c>
      <c r="F173" s="836"/>
      <c r="G173" s="836">
        <f t="shared" si="24"/>
        <v>418877.02548338304</v>
      </c>
      <c r="H173" s="836"/>
      <c r="I173" s="836">
        <f t="shared" si="28"/>
        <v>11278.609471294063</v>
      </c>
      <c r="J173" s="836"/>
      <c r="K173" s="836">
        <f t="shared" si="29"/>
        <v>3211.3905287059365</v>
      </c>
      <c r="L173" s="836"/>
      <c r="M173" s="836">
        <f t="shared" si="31"/>
        <v>2606295</v>
      </c>
      <c r="N173" s="836"/>
      <c r="O173" s="836">
        <f>IFERROR(Z173*Simul_ConstruRemo!$BP$30/1000,"")</f>
        <v>179.34330304531915</v>
      </c>
      <c r="P173" s="836"/>
      <c r="Q173" s="836">
        <f>IFERROR(IF($I$10="Remodelación",M173*Simul_ConstruRemo!$BS$29,
IF(D173=1,MAX(M173,Z173)*$BS$29,M173*$BQ$29)),"")</f>
        <v>827.2389712662</v>
      </c>
      <c r="R173" s="836"/>
      <c r="S173" s="268">
        <f>IF(B173="","",'Tabla_Puntual&amp;Relacionamiento'!$B$46)</f>
        <v>9.1999999999999998E-2</v>
      </c>
      <c r="T173" s="837"/>
      <c r="U173" s="837"/>
      <c r="V173" s="734"/>
      <c r="W173" s="734"/>
      <c r="X173" s="836">
        <f t="shared" si="34"/>
        <v>15496.58227431152</v>
      </c>
      <c r="Y173" s="836"/>
      <c r="Z173" s="836">
        <f t="shared" si="33"/>
        <v>407598.416012089</v>
      </c>
      <c r="AA173" s="836"/>
      <c r="AC173" s="484"/>
      <c r="AD173" s="66"/>
      <c r="AE173" s="66"/>
      <c r="AI173" s="137">
        <f t="shared" si="22"/>
        <v>15382.48034724032</v>
      </c>
      <c r="AJ173" s="63">
        <f>IF(OR(Z173="",Z173&lt;=0.01),"",IF(SUM($E$61:F173)=$I$26+$I$27,1,0))</f>
        <v>1</v>
      </c>
      <c r="AK173" s="63">
        <f t="shared" si="25"/>
        <v>108</v>
      </c>
      <c r="AL173" s="269">
        <f t="shared" si="27"/>
        <v>107</v>
      </c>
      <c r="AN173" s="63" t="str">
        <f t="shared" si="32"/>
        <v>Obra Concluida</v>
      </c>
      <c r="AQ173" s="63">
        <f>IF(SUM($E$61:F172)&gt;=$I$26+$I$27,1,0)</f>
        <v>1</v>
      </c>
      <c r="AR173" s="137">
        <f t="shared" si="26"/>
        <v>14490</v>
      </c>
    </row>
    <row r="174" spans="2:44" ht="21" customHeight="1" x14ac:dyDescent="0.3">
      <c r="B174" s="282">
        <f t="shared" si="23"/>
        <v>114</v>
      </c>
      <c r="C174" s="282"/>
      <c r="D174" s="267">
        <f>IF(B174="","",IF(AND($I$10="Remodelación",$I$22="No"),1,IF($I$29&gt;=0.8,1,IF(AN174="Ministración",Simul_ConstruRemo!BM174,1))))</f>
        <v>1</v>
      </c>
      <c r="E174" s="836">
        <f t="shared" si="30"/>
        <v>0</v>
      </c>
      <c r="F174" s="836"/>
      <c r="G174" s="836">
        <f t="shared" si="24"/>
        <v>407598.416012089</v>
      </c>
      <c r="H174" s="836"/>
      <c r="I174" s="836">
        <f t="shared" si="28"/>
        <v>11365.078810573985</v>
      </c>
      <c r="J174" s="836"/>
      <c r="K174" s="836">
        <f t="shared" si="29"/>
        <v>3124.9211894260156</v>
      </c>
      <c r="L174" s="836"/>
      <c r="M174" s="836">
        <f t="shared" si="31"/>
        <v>2606295</v>
      </c>
      <c r="N174" s="836"/>
      <c r="O174" s="836">
        <f>IFERROR(Z174*Simul_ConstruRemo!$BP$30/1000,"")</f>
        <v>170.41982636866663</v>
      </c>
      <c r="P174" s="836"/>
      <c r="Q174" s="836">
        <f>IFERROR(IF($I$10="Remodelación",M174*Simul_ConstruRemo!$BS$29,
IF(D174=1,MAX(M174,Z174)*$BS$29,M174*$BQ$29)),"")</f>
        <v>827.2389712662</v>
      </c>
      <c r="R174" s="836"/>
      <c r="S174" s="268">
        <f>IF(B174="","",'Tabla_Puntual&amp;Relacionamiento'!$B$46)</f>
        <v>9.1999999999999998E-2</v>
      </c>
      <c r="T174" s="837"/>
      <c r="U174" s="837"/>
      <c r="V174" s="735">
        <f>IF(OR(Z173=0,Z173=""),"",IF(I174&gt;=G174,0,IF(OR($Y$52="NO",$Y$52=""),0,MIN(IF($Y$54="",0,$Y$54),$AV$16*25)*10%)))</f>
        <v>8915.5500000000011</v>
      </c>
      <c r="W174" s="735"/>
      <c r="X174" s="836">
        <f t="shared" si="34"/>
        <v>15487.658797634867</v>
      </c>
      <c r="Y174" s="836"/>
      <c r="Z174" s="836">
        <f t="shared" si="33"/>
        <v>387317.78720151505</v>
      </c>
      <c r="AA174" s="836"/>
      <c r="AC174" s="484"/>
      <c r="AD174" s="66"/>
      <c r="AE174" s="66"/>
      <c r="AI174" s="137">
        <f t="shared" si="22"/>
        <v>15373.556870563667</v>
      </c>
      <c r="AJ174" s="63">
        <f>IF(OR(Z174="",Z174&lt;=0.01),"",IF(SUM($E$61:F174)=$I$26+$I$27,1,0))</f>
        <v>1</v>
      </c>
      <c r="AK174" s="63">
        <f t="shared" si="25"/>
        <v>109</v>
      </c>
      <c r="AL174" s="269">
        <f t="shared" si="27"/>
        <v>108</v>
      </c>
      <c r="AN174" s="63" t="str">
        <f t="shared" si="32"/>
        <v>Obra Concluida</v>
      </c>
      <c r="AQ174" s="63">
        <f>IF(SUM($E$61:F173)&gt;=$I$26+$I$27,1,0)</f>
        <v>1</v>
      </c>
      <c r="AR174" s="137">
        <f t="shared" si="26"/>
        <v>14490</v>
      </c>
    </row>
    <row r="175" spans="2:44" ht="21" customHeight="1" x14ac:dyDescent="0.3">
      <c r="B175" s="282">
        <f t="shared" si="23"/>
        <v>115</v>
      </c>
      <c r="C175" s="282"/>
      <c r="D175" s="267">
        <f>IF(B175="","",IF(AND($I$10="Remodelación",$I$22="No"),1,IF($I$29&gt;=0.8,1,IF(AN175="Ministración",Simul_ConstruRemo!BM175,1))))</f>
        <v>1</v>
      </c>
      <c r="E175" s="836">
        <f t="shared" si="30"/>
        <v>0</v>
      </c>
      <c r="F175" s="836"/>
      <c r="G175" s="836">
        <f t="shared" si="24"/>
        <v>387317.78720151505</v>
      </c>
      <c r="H175" s="836"/>
      <c r="I175" s="836">
        <f t="shared" si="28"/>
        <v>11520.563631455052</v>
      </c>
      <c r="J175" s="836"/>
      <c r="K175" s="836">
        <f t="shared" si="29"/>
        <v>2969.4363685449484</v>
      </c>
      <c r="L175" s="836"/>
      <c r="M175" s="836">
        <f t="shared" si="31"/>
        <v>2606295</v>
      </c>
      <c r="N175" s="836"/>
      <c r="O175" s="836">
        <f>IFERROR(Z175*Simul_ConstruRemo!$BP$30/1000,"")</f>
        <v>165.35077837082639</v>
      </c>
      <c r="P175" s="836"/>
      <c r="Q175" s="836">
        <f>IFERROR(IF($I$10="Remodelación",M175*Simul_ConstruRemo!$BS$29,
IF(D175=1,MAX(M175,Z175)*$BS$29,M175*$BQ$29)),"")</f>
        <v>827.2389712662</v>
      </c>
      <c r="R175" s="836"/>
      <c r="S175" s="268">
        <f>IF(B175="","",'Tabla_Puntual&amp;Relacionamiento'!$B$46)</f>
        <v>9.1999999999999998E-2</v>
      </c>
      <c r="T175" s="837"/>
      <c r="U175" s="837"/>
      <c r="V175" s="734"/>
      <c r="W175" s="734"/>
      <c r="X175" s="836">
        <f t="shared" si="34"/>
        <v>15482.589749637027</v>
      </c>
      <c r="Y175" s="836"/>
      <c r="Z175" s="836">
        <f t="shared" si="33"/>
        <v>375797.22357005998</v>
      </c>
      <c r="AA175" s="836"/>
      <c r="AC175" s="484"/>
      <c r="AD175" s="66"/>
      <c r="AE175" s="66"/>
      <c r="AI175" s="137">
        <f t="shared" si="22"/>
        <v>15368.487822565827</v>
      </c>
      <c r="AJ175" s="63">
        <f>IF(OR(Z175="",Z175&lt;=0.01),"",IF(SUM($E$61:F175)=$I$26+$I$27,1,0))</f>
        <v>1</v>
      </c>
      <c r="AK175" s="63">
        <f t="shared" si="25"/>
        <v>110</v>
      </c>
      <c r="AL175" s="269">
        <f t="shared" si="27"/>
        <v>109</v>
      </c>
      <c r="AN175" s="63" t="str">
        <f t="shared" si="32"/>
        <v>Obra Concluida</v>
      </c>
      <c r="AQ175" s="63">
        <f>IF(SUM($E$61:F174)&gt;=$I$26+$I$27,1,0)</f>
        <v>1</v>
      </c>
      <c r="AR175" s="137">
        <f t="shared" si="26"/>
        <v>14490</v>
      </c>
    </row>
    <row r="176" spans="2:44" ht="21" customHeight="1" x14ac:dyDescent="0.3">
      <c r="B176" s="282">
        <f t="shared" si="23"/>
        <v>116</v>
      </c>
      <c r="C176" s="282"/>
      <c r="D176" s="267">
        <f>IF(B176="","",IF(AND($I$10="Remodelación",$I$22="No"),1,IF($I$29&gt;=0.8,1,IF(AN176="Ministración",Simul_ConstruRemo!BM176,1))))</f>
        <v>1</v>
      </c>
      <c r="E176" s="836">
        <f t="shared" si="30"/>
        <v>0</v>
      </c>
      <c r="F176" s="836"/>
      <c r="G176" s="836">
        <f t="shared" si="24"/>
        <v>375797.22357005998</v>
      </c>
      <c r="H176" s="836"/>
      <c r="I176" s="836">
        <f t="shared" si="28"/>
        <v>11608.88795262954</v>
      </c>
      <c r="J176" s="836"/>
      <c r="K176" s="836">
        <f t="shared" si="29"/>
        <v>2881.1120473704595</v>
      </c>
      <c r="L176" s="836"/>
      <c r="M176" s="836">
        <f t="shared" si="31"/>
        <v>2606295</v>
      </c>
      <c r="N176" s="836"/>
      <c r="O176" s="836">
        <f>IFERROR(Z176*Simul_ConstruRemo!$BP$30/1000,"")</f>
        <v>156.32002567166938</v>
      </c>
      <c r="P176" s="836"/>
      <c r="Q176" s="836">
        <f>IFERROR(IF($I$10="Remodelación",M176*Simul_ConstruRemo!$BS$29,
IF(D176=1,MAX(M176,Z176)*$BS$29,M176*$BQ$29)),"")</f>
        <v>827.2389712662</v>
      </c>
      <c r="R176" s="836"/>
      <c r="S176" s="268">
        <f>IF(B176="","",'Tabla_Puntual&amp;Relacionamiento'!$B$46)</f>
        <v>9.1999999999999998E-2</v>
      </c>
      <c r="T176" s="837"/>
      <c r="U176" s="837"/>
      <c r="V176" s="735">
        <f>IF(OR(Z175=0,Z175=""),"",IF(I176&gt;=G176,0,IF(OR($Y$52="NO",$Y$52=""),0,MIN(IF($Y$54="",0,$Y$54),$AV$16*25)*10%)))</f>
        <v>8915.5500000000011</v>
      </c>
      <c r="W176" s="735"/>
      <c r="X176" s="836">
        <f t="shared" si="34"/>
        <v>15473.558996937871</v>
      </c>
      <c r="Y176" s="836"/>
      <c r="Z176" s="836">
        <f t="shared" si="33"/>
        <v>355272.78561743046</v>
      </c>
      <c r="AA176" s="836"/>
      <c r="AC176" s="484"/>
      <c r="AD176" s="66"/>
      <c r="AE176" s="66"/>
      <c r="AI176" s="137">
        <f t="shared" si="22"/>
        <v>15359.45706986667</v>
      </c>
      <c r="AJ176" s="63">
        <f>IF(OR(Z176="",Z176&lt;=0.01),"",IF(SUM($E$61:F176)=$I$26+$I$27,1,0))</f>
        <v>1</v>
      </c>
      <c r="AK176" s="63">
        <f t="shared" si="25"/>
        <v>111</v>
      </c>
      <c r="AL176" s="269">
        <f t="shared" si="27"/>
        <v>110</v>
      </c>
      <c r="AN176" s="63" t="str">
        <f t="shared" si="32"/>
        <v>Obra Concluida</v>
      </c>
      <c r="AQ176" s="63">
        <f>IF(SUM($E$61:F175)&gt;=$I$26+$I$27,1,0)</f>
        <v>1</v>
      </c>
      <c r="AR176" s="137">
        <f t="shared" si="26"/>
        <v>14490</v>
      </c>
    </row>
    <row r="177" spans="2:44" ht="21" customHeight="1" x14ac:dyDescent="0.3">
      <c r="B177" s="282">
        <f t="shared" si="23"/>
        <v>117</v>
      </c>
      <c r="C177" s="282"/>
      <c r="D177" s="267">
        <f>IF(B177="","",IF(AND($I$10="Remodelación",$I$22="No"),1,IF($I$29&gt;=0.8,1,IF(AN177="Ministración",Simul_ConstruRemo!BM177,1))))</f>
        <v>1</v>
      </c>
      <c r="E177" s="836">
        <f t="shared" si="30"/>
        <v>0</v>
      </c>
      <c r="F177" s="836"/>
      <c r="G177" s="836">
        <f t="shared" si="24"/>
        <v>355272.78561743046</v>
      </c>
      <c r="H177" s="836"/>
      <c r="I177" s="836">
        <f t="shared" si="28"/>
        <v>11766.241976933034</v>
      </c>
      <c r="J177" s="836"/>
      <c r="K177" s="836">
        <f t="shared" si="29"/>
        <v>2723.7580230669669</v>
      </c>
      <c r="L177" s="836"/>
      <c r="M177" s="836">
        <f t="shared" si="31"/>
        <v>2606295</v>
      </c>
      <c r="N177" s="836"/>
      <c r="O177" s="836">
        <f>IFERROR(Z177*Simul_ConstruRemo!$BP$30/1000,"")</f>
        <v>151.14287920181886</v>
      </c>
      <c r="P177" s="836"/>
      <c r="Q177" s="836">
        <f>IFERROR(IF($I$10="Remodelación",M177*Simul_ConstruRemo!$BS$29,
IF(D177=1,MAX(M177,Z177)*$BS$29,M177*$BQ$29)),"")</f>
        <v>827.2389712662</v>
      </c>
      <c r="R177" s="836"/>
      <c r="S177" s="268">
        <f>IF(B177="","",'Tabla_Puntual&amp;Relacionamiento'!$B$46)</f>
        <v>9.1999999999999998E-2</v>
      </c>
      <c r="T177" s="837"/>
      <c r="U177" s="837"/>
      <c r="V177" s="734"/>
      <c r="W177" s="734"/>
      <c r="X177" s="836">
        <f t="shared" si="34"/>
        <v>15468.38185046802</v>
      </c>
      <c r="Y177" s="836"/>
      <c r="Z177" s="836">
        <f t="shared" si="33"/>
        <v>343506.54364049743</v>
      </c>
      <c r="AA177" s="836"/>
      <c r="AC177" s="484"/>
      <c r="AD177" s="66"/>
      <c r="AE177" s="66"/>
      <c r="AI177" s="137">
        <f t="shared" si="22"/>
        <v>15354.27992339682</v>
      </c>
      <c r="AJ177" s="63">
        <f>IF(OR(Z177="",Z177&lt;=0.01),"",IF(SUM($E$61:F177)=$I$26+$I$27,1,0))</f>
        <v>1</v>
      </c>
      <c r="AK177" s="63">
        <f t="shared" si="25"/>
        <v>112</v>
      </c>
      <c r="AL177" s="269">
        <f t="shared" si="27"/>
        <v>111</v>
      </c>
      <c r="AN177" s="63" t="str">
        <f t="shared" si="32"/>
        <v>Obra Concluida</v>
      </c>
      <c r="AQ177" s="63">
        <f>IF(SUM($E$61:F176)&gt;=$I$26+$I$27,1,0)</f>
        <v>1</v>
      </c>
      <c r="AR177" s="137">
        <f t="shared" si="26"/>
        <v>14490</v>
      </c>
    </row>
    <row r="178" spans="2:44" ht="21" customHeight="1" x14ac:dyDescent="0.3">
      <c r="B178" s="282">
        <f t="shared" si="23"/>
        <v>118</v>
      </c>
      <c r="C178" s="282"/>
      <c r="D178" s="267">
        <f>IF(B178="","",IF(AND($I$10="Remodelación",$I$22="No"),1,IF($I$29&gt;=0.8,1,IF(AN178="Ministración",Simul_ConstruRemo!BM178,1))))</f>
        <v>1</v>
      </c>
      <c r="E178" s="836">
        <f t="shared" si="30"/>
        <v>0</v>
      </c>
      <c r="F178" s="836"/>
      <c r="G178" s="836">
        <f t="shared" si="24"/>
        <v>343506.54364049743</v>
      </c>
      <c r="H178" s="836"/>
      <c r="I178" s="836">
        <f t="shared" si="28"/>
        <v>11856.44983208952</v>
      </c>
      <c r="J178" s="836"/>
      <c r="K178" s="836">
        <f t="shared" si="29"/>
        <v>2633.55016791048</v>
      </c>
      <c r="L178" s="836"/>
      <c r="M178" s="836">
        <f t="shared" si="31"/>
        <v>2606295</v>
      </c>
      <c r="N178" s="836"/>
      <c r="O178" s="836">
        <f>IFERROR(Z178*Simul_ConstruRemo!$BP$30/1000,"")</f>
        <v>142.00319927569947</v>
      </c>
      <c r="P178" s="836"/>
      <c r="Q178" s="836">
        <f>IFERROR(IF($I$10="Remodelación",M178*Simul_ConstruRemo!$BS$29,
IF(D178=1,MAX(M178,Z178)*$BS$29,M178*$BQ$29)),"")</f>
        <v>827.2389712662</v>
      </c>
      <c r="R178" s="836"/>
      <c r="S178" s="268">
        <f>IF(B178="","",'Tabla_Puntual&amp;Relacionamiento'!$B$46)</f>
        <v>9.1999999999999998E-2</v>
      </c>
      <c r="T178" s="837"/>
      <c r="U178" s="837"/>
      <c r="V178" s="735">
        <f>IF(OR(Z177=0,Z177=""),"",IF(I178&gt;=G178,0,IF(OR($Y$52="NO",$Y$52=""),0,MIN(IF($Y$54="",0,$Y$54),$AV$16*25)*10%)))</f>
        <v>8915.5500000000011</v>
      </c>
      <c r="W178" s="735"/>
      <c r="X178" s="836">
        <f t="shared" si="34"/>
        <v>15459.2421705419</v>
      </c>
      <c r="Y178" s="836"/>
      <c r="Z178" s="836">
        <f t="shared" si="33"/>
        <v>322734.54380840791</v>
      </c>
      <c r="AA178" s="836"/>
      <c r="AC178" s="484"/>
      <c r="AD178" s="66"/>
      <c r="AE178" s="66"/>
      <c r="AI178" s="137">
        <f t="shared" si="22"/>
        <v>15345.1402434707</v>
      </c>
      <c r="AJ178" s="63">
        <f>IF(OR(Z178="",Z178&lt;=0.01),"",IF(SUM($E$61:F178)=$I$26+$I$27,1,0))</f>
        <v>1</v>
      </c>
      <c r="AK178" s="63">
        <f t="shared" si="25"/>
        <v>113</v>
      </c>
      <c r="AL178" s="269">
        <f t="shared" si="27"/>
        <v>112</v>
      </c>
      <c r="AN178" s="63" t="str">
        <f t="shared" si="32"/>
        <v>Obra Concluida</v>
      </c>
      <c r="AQ178" s="63">
        <f>IF(SUM($E$61:F177)&gt;=$I$26+$I$27,1,0)</f>
        <v>1</v>
      </c>
      <c r="AR178" s="137">
        <f t="shared" si="26"/>
        <v>14490</v>
      </c>
    </row>
    <row r="179" spans="2:44" ht="21" customHeight="1" x14ac:dyDescent="0.3">
      <c r="B179" s="282">
        <f t="shared" si="23"/>
        <v>119</v>
      </c>
      <c r="C179" s="282"/>
      <c r="D179" s="267">
        <f>IF(B179="","",IF(AND($I$10="Remodelación",$I$22="No"),1,IF($I$29&gt;=0.8,1,IF(AN179="Ministración",Simul_ConstruRemo!BM179,1))))</f>
        <v>1</v>
      </c>
      <c r="E179" s="836">
        <f t="shared" si="30"/>
        <v>0</v>
      </c>
      <c r="F179" s="836"/>
      <c r="G179" s="836">
        <f t="shared" si="24"/>
        <v>322734.54380840791</v>
      </c>
      <c r="H179" s="836"/>
      <c r="I179" s="836">
        <f t="shared" si="28"/>
        <v>12015.701830802205</v>
      </c>
      <c r="J179" s="836"/>
      <c r="K179" s="836">
        <f t="shared" si="29"/>
        <v>2474.2981691977939</v>
      </c>
      <c r="L179" s="836"/>
      <c r="M179" s="836">
        <f t="shared" si="31"/>
        <v>2606295</v>
      </c>
      <c r="N179" s="836"/>
      <c r="O179" s="836">
        <f>IFERROR(Z179*Simul_ConstruRemo!$BP$30/1000,"")</f>
        <v>136.7162904701465</v>
      </c>
      <c r="P179" s="836"/>
      <c r="Q179" s="836">
        <f>IFERROR(IF($I$10="Remodelación",M179*Simul_ConstruRemo!$BS$29,
IF(D179=1,MAX(M179,Z179)*$BS$29,M179*$BQ$29)),"")</f>
        <v>827.2389712662</v>
      </c>
      <c r="R179" s="836"/>
      <c r="S179" s="268">
        <f>IF(B179="","",'Tabla_Puntual&amp;Relacionamiento'!$B$46)</f>
        <v>9.1999999999999998E-2</v>
      </c>
      <c r="T179" s="837"/>
      <c r="U179" s="837"/>
      <c r="V179" s="734"/>
      <c r="W179" s="734"/>
      <c r="X179" s="836">
        <f t="shared" si="34"/>
        <v>15453.955261736348</v>
      </c>
      <c r="Y179" s="836"/>
      <c r="Z179" s="836">
        <f t="shared" si="33"/>
        <v>310718.84197760571</v>
      </c>
      <c r="AA179" s="836"/>
      <c r="AC179" s="484"/>
      <c r="AD179" s="66"/>
      <c r="AE179" s="66"/>
      <c r="AI179" s="137">
        <f t="shared" si="22"/>
        <v>15339.853334665147</v>
      </c>
      <c r="AJ179" s="63">
        <f>IF(OR(Z179="",Z179&lt;=0.01),"",IF(SUM($E$61:F179)=$I$26+$I$27,1,0))</f>
        <v>1</v>
      </c>
      <c r="AK179" s="63">
        <f t="shared" si="25"/>
        <v>114</v>
      </c>
      <c r="AL179" s="269">
        <f t="shared" si="27"/>
        <v>113</v>
      </c>
      <c r="AN179" s="63" t="str">
        <f t="shared" si="32"/>
        <v>Obra Concluida</v>
      </c>
      <c r="AQ179" s="63">
        <f>IF(SUM($E$61:F178)&gt;=$I$26+$I$27,1,0)</f>
        <v>1</v>
      </c>
      <c r="AR179" s="137">
        <f t="shared" si="26"/>
        <v>14490</v>
      </c>
    </row>
    <row r="180" spans="2:44" ht="21" customHeight="1" x14ac:dyDescent="0.3">
      <c r="B180" s="282">
        <f t="shared" si="23"/>
        <v>120</v>
      </c>
      <c r="C180" s="282"/>
      <c r="D180" s="267">
        <f>IF(B180="","",IF(AND($I$10="Remodelación",$I$22="No"),1,IF($I$29&gt;=0.8,1,IF(AN180="Ministración",Simul_ConstruRemo!BM180,1))))</f>
        <v>1</v>
      </c>
      <c r="E180" s="836">
        <f t="shared" si="30"/>
        <v>0</v>
      </c>
      <c r="F180" s="836"/>
      <c r="G180" s="836">
        <f t="shared" si="24"/>
        <v>310718.84197760571</v>
      </c>
      <c r="H180" s="836"/>
      <c r="I180" s="836">
        <f t="shared" si="28"/>
        <v>12107.822211505023</v>
      </c>
      <c r="J180" s="836"/>
      <c r="K180" s="836">
        <f t="shared" si="29"/>
        <v>2382.177788494977</v>
      </c>
      <c r="L180" s="836"/>
      <c r="M180" s="836">
        <f t="shared" si="31"/>
        <v>2606295</v>
      </c>
      <c r="N180" s="836"/>
      <c r="O180" s="836">
        <f>IFERROR(Z180*Simul_ConstruRemo!$BP$30/1000,"")</f>
        <v>127.46600669708431</v>
      </c>
      <c r="P180" s="836"/>
      <c r="Q180" s="836">
        <f>IFERROR(IF($I$10="Remodelación",M180*Simul_ConstruRemo!$BS$29,
IF(D180=1,MAX(M180,Z180)*$BS$29,M180*$BQ$29)),"")</f>
        <v>827.2389712662</v>
      </c>
      <c r="R180" s="836"/>
      <c r="S180" s="268">
        <f>IF(B180="","",'Tabla_Puntual&amp;Relacionamiento'!$B$46)</f>
        <v>9.1999999999999998E-2</v>
      </c>
      <c r="T180" s="837"/>
      <c r="U180" s="837"/>
      <c r="V180" s="735">
        <f>IF(OR(Z179=0,Z179=""),"",IF(I180&gt;=G180,0,IF(OR($Y$52="NO",$Y$52=""),0,MIN(IF($Y$54="",0,$Y$54),$AV$16*25)*10%)))</f>
        <v>8915.5500000000011</v>
      </c>
      <c r="W180" s="735"/>
      <c r="X180" s="836">
        <f t="shared" si="34"/>
        <v>15444.704977963285</v>
      </c>
      <c r="Y180" s="836"/>
      <c r="Z180" s="836">
        <f t="shared" si="33"/>
        <v>289695.46976610069</v>
      </c>
      <c r="AA180" s="836"/>
      <c r="AC180" s="484"/>
      <c r="AD180" s="66"/>
      <c r="AE180" s="66"/>
      <c r="AI180" s="137">
        <f t="shared" si="22"/>
        <v>15330.603050892085</v>
      </c>
      <c r="AJ180" s="63">
        <f>IF(OR(Z180="",Z180&lt;=0.01),"",IF(SUM($E$61:F180)=$I$26+$I$27,1,0))</f>
        <v>1</v>
      </c>
      <c r="AK180" s="63">
        <f t="shared" si="25"/>
        <v>115</v>
      </c>
      <c r="AL180" s="269">
        <f t="shared" si="27"/>
        <v>114</v>
      </c>
      <c r="AN180" s="63" t="str">
        <f t="shared" si="32"/>
        <v>Obra Concluida</v>
      </c>
      <c r="AQ180" s="63">
        <f>IF(SUM($E$61:F179)&gt;=$I$26+$I$27,1,0)</f>
        <v>1</v>
      </c>
      <c r="AR180" s="137">
        <f t="shared" si="26"/>
        <v>14490</v>
      </c>
    </row>
    <row r="181" spans="2:44" ht="21" customHeight="1" x14ac:dyDescent="0.3">
      <c r="B181" s="282">
        <f t="shared" si="23"/>
        <v>121</v>
      </c>
      <c r="C181" s="282"/>
      <c r="D181" s="267">
        <f>IF(B181="","",IF(AND($I$10="Remodelación",$I$22="No"),1,IF($I$29&gt;=0.8,1,IF(AN181="Ministración",Simul_ConstruRemo!BM181,1))))</f>
        <v>1</v>
      </c>
      <c r="E181" s="836">
        <f t="shared" si="30"/>
        <v>0</v>
      </c>
      <c r="F181" s="836"/>
      <c r="G181" s="836">
        <f t="shared" si="24"/>
        <v>289695.46976610069</v>
      </c>
      <c r="H181" s="836"/>
      <c r="I181" s="836">
        <f t="shared" si="28"/>
        <v>12269.001398459895</v>
      </c>
      <c r="J181" s="836"/>
      <c r="K181" s="836">
        <f t="shared" si="29"/>
        <v>2220.998601540105</v>
      </c>
      <c r="L181" s="836"/>
      <c r="M181" s="836">
        <f t="shared" si="31"/>
        <v>2606295</v>
      </c>
      <c r="N181" s="836"/>
      <c r="O181" s="836">
        <f>IFERROR(Z181*Simul_ConstruRemo!$BP$30/1000,"")</f>
        <v>122.06764608176195</v>
      </c>
      <c r="P181" s="836"/>
      <c r="Q181" s="836">
        <f>IFERROR(IF($I$10="Remodelación",M181*Simul_ConstruRemo!$BS$29,
IF(D181=1,MAX(M181,Z181)*$BS$29,M181*$BQ$29)),"")</f>
        <v>827.2389712662</v>
      </c>
      <c r="R181" s="836"/>
      <c r="S181" s="268">
        <f>IF(B181="","",'Tabla_Puntual&amp;Relacionamiento'!$B$47)</f>
        <v>9.1999999999999998E-2</v>
      </c>
      <c r="T181" s="837"/>
      <c r="U181" s="837"/>
      <c r="V181" s="734"/>
      <c r="W181" s="734"/>
      <c r="X181" s="836">
        <f t="shared" si="34"/>
        <v>15439.306617347962</v>
      </c>
      <c r="Y181" s="836"/>
      <c r="Z181" s="836">
        <f t="shared" si="33"/>
        <v>277426.4683676408</v>
      </c>
      <c r="AA181" s="836"/>
      <c r="AC181" s="484"/>
      <c r="AD181" s="66"/>
      <c r="AE181" s="66"/>
      <c r="AI181" s="137">
        <f t="shared" si="22"/>
        <v>15325.204690276762</v>
      </c>
      <c r="AJ181" s="63">
        <f>IF(OR(Z181="",Z181&lt;=0.01),"",IF(SUM($E$61:F181)=$I$26+$I$27,1,0))</f>
        <v>1</v>
      </c>
      <c r="AK181" s="63">
        <f t="shared" si="25"/>
        <v>116</v>
      </c>
      <c r="AL181" s="269">
        <f t="shared" si="27"/>
        <v>115</v>
      </c>
      <c r="AN181" s="63" t="str">
        <f t="shared" si="32"/>
        <v>Obra Concluida</v>
      </c>
      <c r="AQ181" s="63">
        <f>IF(SUM($E$61:F180)&gt;=$I$26+$I$27,1,0)</f>
        <v>1</v>
      </c>
      <c r="AR181" s="137">
        <f t="shared" si="26"/>
        <v>14490</v>
      </c>
    </row>
    <row r="182" spans="2:44" ht="21" customHeight="1" x14ac:dyDescent="0.3">
      <c r="B182" s="282">
        <f t="shared" si="23"/>
        <v>122</v>
      </c>
      <c r="C182" s="282"/>
      <c r="D182" s="267">
        <f>IF(B182="","",IF(AND($I$10="Remodelación",$I$22="No"),1,IF($I$29&gt;=0.8,1,IF(AN182="Ministración",Simul_ConstruRemo!BM182,1))))</f>
        <v>1</v>
      </c>
      <c r="E182" s="836">
        <f t="shared" si="30"/>
        <v>0</v>
      </c>
      <c r="F182" s="836"/>
      <c r="G182" s="836">
        <f t="shared" si="24"/>
        <v>277426.4683676408</v>
      </c>
      <c r="H182" s="836"/>
      <c r="I182" s="836">
        <f t="shared" si="28"/>
        <v>12363.063742514754</v>
      </c>
      <c r="J182" s="836"/>
      <c r="K182" s="836">
        <f t="shared" si="29"/>
        <v>2126.9362574852462</v>
      </c>
      <c r="L182" s="836"/>
      <c r="M182" s="836">
        <f t="shared" si="31"/>
        <v>2606295</v>
      </c>
      <c r="N182" s="836"/>
      <c r="O182" s="836">
        <f>IFERROR(Z182*Simul_ConstruRemo!$BP$30/1000,"")</f>
        <v>112.70505603505546</v>
      </c>
      <c r="P182" s="836"/>
      <c r="Q182" s="836">
        <f>IFERROR(IF($I$10="Remodelación",M182*Simul_ConstruRemo!$BS$29,
IF(D182=1,MAX(M182,Z182)*$BS$29,M182*$BQ$29)),"")</f>
        <v>827.2389712662</v>
      </c>
      <c r="R182" s="836"/>
      <c r="S182" s="268">
        <f>IF(B182="","",'Tabla_Puntual&amp;Relacionamiento'!$B$47)</f>
        <v>9.1999999999999998E-2</v>
      </c>
      <c r="T182" s="837"/>
      <c r="U182" s="837"/>
      <c r="V182" s="735">
        <f>IF(OR(Z181=0,Z181=""),"",IF(I182&gt;=G182,0,IF(OR($Y$52="NO",$Y$52=""),0,MIN(IF($Y$54="",0,$Y$54),$AV$16*25)*10%)))</f>
        <v>8915.5500000000011</v>
      </c>
      <c r="W182" s="735"/>
      <c r="X182" s="836">
        <f t="shared" si="34"/>
        <v>15429.944027301257</v>
      </c>
      <c r="Y182" s="836"/>
      <c r="Z182" s="836">
        <f t="shared" si="33"/>
        <v>256147.85462512606</v>
      </c>
      <c r="AA182" s="836"/>
      <c r="AC182" s="484"/>
      <c r="AD182" s="66"/>
      <c r="AE182" s="66"/>
      <c r="AI182" s="137">
        <f t="shared" si="22"/>
        <v>15315.842100230057</v>
      </c>
      <c r="AJ182" s="63">
        <f>IF(OR(Z182="",Z182&lt;=0.01),"",IF(SUM($E$61:F182)=$I$26+$I$27,1,0))</f>
        <v>1</v>
      </c>
      <c r="AK182" s="63">
        <f t="shared" si="25"/>
        <v>117</v>
      </c>
      <c r="AL182" s="269">
        <f t="shared" si="27"/>
        <v>116</v>
      </c>
      <c r="AN182" s="63" t="str">
        <f t="shared" si="32"/>
        <v>Obra Concluida</v>
      </c>
      <c r="AQ182" s="63">
        <f>IF(SUM($E$61:F181)&gt;=$I$26+$I$27,1,0)</f>
        <v>1</v>
      </c>
      <c r="AR182" s="137">
        <f t="shared" si="26"/>
        <v>14490</v>
      </c>
    </row>
    <row r="183" spans="2:44" ht="21" customHeight="1" x14ac:dyDescent="0.3">
      <c r="B183" s="282">
        <f t="shared" si="23"/>
        <v>123</v>
      </c>
      <c r="C183" s="282"/>
      <c r="D183" s="267">
        <f>IF(B183="","",IF(AND($I$10="Remodelación",$I$22="No"),1,IF($I$29&gt;=0.8,1,IF(AN183="Ministración",Simul_ConstruRemo!BM183,1))))</f>
        <v>1</v>
      </c>
      <c r="E183" s="836">
        <f t="shared" si="30"/>
        <v>0</v>
      </c>
      <c r="F183" s="836"/>
      <c r="G183" s="836">
        <f t="shared" si="24"/>
        <v>256147.85462512606</v>
      </c>
      <c r="H183" s="836"/>
      <c r="I183" s="836">
        <f t="shared" si="28"/>
        <v>12526.199781207368</v>
      </c>
      <c r="J183" s="836"/>
      <c r="K183" s="836">
        <f t="shared" si="29"/>
        <v>1963.8002187926329</v>
      </c>
      <c r="L183" s="836"/>
      <c r="M183" s="836">
        <f t="shared" si="31"/>
        <v>2606295</v>
      </c>
      <c r="N183" s="836"/>
      <c r="O183" s="836">
        <f>IFERROR(Z183*Simul_ConstruRemo!$BP$30/1000,"")</f>
        <v>107.19352813132423</v>
      </c>
      <c r="P183" s="836"/>
      <c r="Q183" s="836">
        <f>IFERROR(IF($I$10="Remodelación",M183*Simul_ConstruRemo!$BS$29,
IF(D183=1,MAX(M183,Z183)*$BS$29,M183*$BQ$29)),"")</f>
        <v>827.2389712662</v>
      </c>
      <c r="R183" s="836"/>
      <c r="S183" s="268">
        <f>IF(B183="","",'Tabla_Puntual&amp;Relacionamiento'!$B$47)</f>
        <v>9.1999999999999998E-2</v>
      </c>
      <c r="T183" s="837"/>
      <c r="U183" s="837"/>
      <c r="V183" s="734"/>
      <c r="W183" s="734"/>
      <c r="X183" s="836">
        <f t="shared" si="34"/>
        <v>15424.432499397524</v>
      </c>
      <c r="Y183" s="836"/>
      <c r="Z183" s="836">
        <f t="shared" si="33"/>
        <v>243621.65484391869</v>
      </c>
      <c r="AA183" s="836"/>
      <c r="AC183" s="484"/>
      <c r="AD183" s="66"/>
      <c r="AE183" s="66"/>
      <c r="AI183" s="137">
        <f t="shared" si="22"/>
        <v>15310.330572326324</v>
      </c>
      <c r="AJ183" s="63">
        <f>IF(OR(Z183="",Z183&lt;=0.01),"",IF(SUM($E$61:F183)=$I$26+$I$27,1,0))</f>
        <v>1</v>
      </c>
      <c r="AK183" s="63">
        <f t="shared" si="25"/>
        <v>118</v>
      </c>
      <c r="AL183" s="269">
        <f t="shared" si="27"/>
        <v>117</v>
      </c>
      <c r="AN183" s="63" t="str">
        <f t="shared" si="32"/>
        <v>Obra Concluida</v>
      </c>
      <c r="AQ183" s="63">
        <f>IF(SUM($E$61:F182)&gt;=$I$26+$I$27,1,0)</f>
        <v>1</v>
      </c>
      <c r="AR183" s="137">
        <f t="shared" si="26"/>
        <v>14490</v>
      </c>
    </row>
    <row r="184" spans="2:44" ht="21" customHeight="1" x14ac:dyDescent="0.3">
      <c r="B184" s="282">
        <f t="shared" si="23"/>
        <v>124</v>
      </c>
      <c r="C184" s="282"/>
      <c r="D184" s="267">
        <f>IF(B184="","",IF(AND($I$10="Remodelación",$I$22="No"),1,IF($I$29&gt;=0.8,1,IF(AN184="Ministración",Simul_ConstruRemo!BM184,1))))</f>
        <v>1</v>
      </c>
      <c r="E184" s="836">
        <f t="shared" si="30"/>
        <v>0</v>
      </c>
      <c r="F184" s="836"/>
      <c r="G184" s="836">
        <f t="shared" si="24"/>
        <v>243621.65484391869</v>
      </c>
      <c r="H184" s="836"/>
      <c r="I184" s="836">
        <f t="shared" si="28"/>
        <v>12622.233979529956</v>
      </c>
      <c r="J184" s="836"/>
      <c r="K184" s="836">
        <f t="shared" si="29"/>
        <v>1867.7660204700433</v>
      </c>
      <c r="L184" s="836"/>
      <c r="M184" s="836">
        <f t="shared" si="31"/>
        <v>2606295</v>
      </c>
      <c r="N184" s="836"/>
      <c r="O184" s="836">
        <f>IFERROR(Z184*Simul_ConstruRemo!$BP$30/1000,"")</f>
        <v>97.716903180331045</v>
      </c>
      <c r="P184" s="836"/>
      <c r="Q184" s="836">
        <f>IFERROR(IF($I$10="Remodelación",M184*Simul_ConstruRemo!$BS$29,
IF(D184=1,MAX(M184,Z184)*$BS$29,M184*$BQ$29)),"")</f>
        <v>827.2389712662</v>
      </c>
      <c r="R184" s="836"/>
      <c r="S184" s="268">
        <f>IF(B184="","",'Tabla_Puntual&amp;Relacionamiento'!$B$47)</f>
        <v>9.1999999999999998E-2</v>
      </c>
      <c r="T184" s="837"/>
      <c r="U184" s="837"/>
      <c r="V184" s="735">
        <f>IF(OR(Z183=0,Z183=""),"",IF(I184&gt;=G184,0,IF(OR($Y$52="NO",$Y$52=""),0,MIN(IF($Y$54="",0,$Y$54),$AV$16*25)*10%)))</f>
        <v>8915.5500000000011</v>
      </c>
      <c r="W184" s="735"/>
      <c r="X184" s="836">
        <f t="shared" si="34"/>
        <v>15414.955874446532</v>
      </c>
      <c r="Y184" s="836"/>
      <c r="Z184" s="836">
        <f t="shared" si="33"/>
        <v>222083.87086438874</v>
      </c>
      <c r="AA184" s="836"/>
      <c r="AC184" s="484"/>
      <c r="AD184" s="66"/>
      <c r="AE184" s="66"/>
      <c r="AI184" s="137">
        <f t="shared" si="22"/>
        <v>15300.853947375332</v>
      </c>
      <c r="AJ184" s="63">
        <f>IF(OR(Z184="",Z184&lt;=0.01),"",IF(SUM($E$61:F184)=$I$26+$I$27,1,0))</f>
        <v>1</v>
      </c>
      <c r="AK184" s="63">
        <f t="shared" si="25"/>
        <v>119</v>
      </c>
      <c r="AL184" s="269">
        <f t="shared" si="27"/>
        <v>118</v>
      </c>
      <c r="AN184" s="63" t="str">
        <f t="shared" si="32"/>
        <v>Obra Concluida</v>
      </c>
      <c r="AQ184" s="63">
        <f>IF(SUM($E$61:F183)&gt;=$I$26+$I$27,1,0)</f>
        <v>1</v>
      </c>
      <c r="AR184" s="137">
        <f t="shared" si="26"/>
        <v>14490</v>
      </c>
    </row>
    <row r="185" spans="2:44" ht="21" customHeight="1" x14ac:dyDescent="0.3">
      <c r="B185" s="282">
        <f t="shared" si="23"/>
        <v>125</v>
      </c>
      <c r="C185" s="282"/>
      <c r="D185" s="267">
        <f>IF(B185="","",IF(AND($I$10="Remodelación",$I$22="No"),1,IF($I$29&gt;=0.8,1,IF(AN185="Ministración",Simul_ConstruRemo!BM185,1))))</f>
        <v>1</v>
      </c>
      <c r="E185" s="836">
        <f t="shared" si="30"/>
        <v>0</v>
      </c>
      <c r="F185" s="836"/>
      <c r="G185" s="836">
        <f t="shared" si="24"/>
        <v>222083.87086438874</v>
      </c>
      <c r="H185" s="836"/>
      <c r="I185" s="836">
        <f t="shared" si="28"/>
        <v>12787.356990039687</v>
      </c>
      <c r="J185" s="836"/>
      <c r="K185" s="836">
        <f t="shared" si="29"/>
        <v>1702.6430099603135</v>
      </c>
      <c r="L185" s="836"/>
      <c r="M185" s="836">
        <f t="shared" si="31"/>
        <v>2606295</v>
      </c>
      <c r="N185" s="836"/>
      <c r="O185" s="836">
        <f>IFERROR(Z185*Simul_ConstruRemo!$BP$30/1000,"")</f>
        <v>92.09046610471357</v>
      </c>
      <c r="P185" s="836"/>
      <c r="Q185" s="836">
        <f>IFERROR(IF($I$10="Remodelación",M185*Simul_ConstruRemo!$BS$29,
IF(D185=1,MAX(M185,Z185)*$BS$29,M185*$BQ$29)),"")</f>
        <v>827.2389712662</v>
      </c>
      <c r="R185" s="836"/>
      <c r="S185" s="268">
        <f>IF(B185="","",'Tabla_Puntual&amp;Relacionamiento'!$B$47)</f>
        <v>9.1999999999999998E-2</v>
      </c>
      <c r="T185" s="837"/>
      <c r="U185" s="837"/>
      <c r="V185" s="734"/>
      <c r="W185" s="734"/>
      <c r="X185" s="836">
        <f t="shared" si="34"/>
        <v>15409.329437370914</v>
      </c>
      <c r="Y185" s="836"/>
      <c r="Z185" s="836">
        <f t="shared" si="33"/>
        <v>209296.51387434904</v>
      </c>
      <c r="AA185" s="836"/>
      <c r="AC185" s="484"/>
      <c r="AD185" s="66"/>
      <c r="AE185" s="66"/>
      <c r="AI185" s="137">
        <f t="shared" si="22"/>
        <v>15295.227510299714</v>
      </c>
      <c r="AJ185" s="63">
        <f>IF(OR(Z185="",Z185&lt;=0.01),"",IF(SUM($E$61:F185)=$I$26+$I$27,1,0))</f>
        <v>1</v>
      </c>
      <c r="AK185" s="63">
        <f t="shared" si="25"/>
        <v>120</v>
      </c>
      <c r="AL185" s="269">
        <f t="shared" si="27"/>
        <v>119</v>
      </c>
      <c r="AN185" s="63" t="str">
        <f t="shared" si="32"/>
        <v>Obra Concluida</v>
      </c>
      <c r="AQ185" s="63">
        <f>IF(SUM($E$61:F184)&gt;=$I$26+$I$27,1,0)</f>
        <v>1</v>
      </c>
      <c r="AR185" s="137">
        <f t="shared" si="26"/>
        <v>14490</v>
      </c>
    </row>
    <row r="186" spans="2:44" ht="21" customHeight="1" x14ac:dyDescent="0.3">
      <c r="B186" s="282">
        <f t="shared" si="23"/>
        <v>126</v>
      </c>
      <c r="C186" s="282"/>
      <c r="D186" s="267">
        <f>IF(B186="","",IF(AND($I$10="Remodelación",$I$22="No"),1,IF($I$29&gt;=0.8,1,IF(AN186="Ministración",Simul_ConstruRemo!BM186,1))))</f>
        <v>1</v>
      </c>
      <c r="E186" s="836">
        <f t="shared" si="30"/>
        <v>0</v>
      </c>
      <c r="F186" s="836"/>
      <c r="G186" s="836">
        <f t="shared" si="24"/>
        <v>209296.51387434904</v>
      </c>
      <c r="H186" s="836"/>
      <c r="I186" s="836">
        <f t="shared" si="28"/>
        <v>12885.393393629991</v>
      </c>
      <c r="J186" s="836"/>
      <c r="K186" s="836">
        <f t="shared" si="29"/>
        <v>1604.6066063700091</v>
      </c>
      <c r="L186" s="836"/>
      <c r="M186" s="836">
        <f t="shared" si="31"/>
        <v>2606295</v>
      </c>
      <c r="N186" s="836"/>
      <c r="O186" s="836">
        <f>IFERROR(Z186*Simul_ConstruRemo!$BP$30/1000,"")</f>
        <v>82.498051011516395</v>
      </c>
      <c r="P186" s="836"/>
      <c r="Q186" s="836">
        <f>IFERROR(IF($I$10="Remodelación",M186*Simul_ConstruRemo!$BS$29,
IF(D186=1,MAX(M186,Z186)*$BS$29,M186*$BQ$29)),"")</f>
        <v>827.2389712662</v>
      </c>
      <c r="R186" s="836"/>
      <c r="S186" s="268">
        <f>IF(B186="","",'Tabla_Puntual&amp;Relacionamiento'!$B$47)</f>
        <v>9.1999999999999998E-2</v>
      </c>
      <c r="T186" s="837"/>
      <c r="U186" s="837"/>
      <c r="V186" s="735">
        <f>IF(OR(Z185=0,Z185=""),"",IF(I186&gt;=G186,0,IF(OR($Y$52="NO",$Y$52=""),0,MIN(IF($Y$54="",0,$Y$54),$AV$16*25)*10%)))</f>
        <v>8915.5500000000011</v>
      </c>
      <c r="W186" s="735"/>
      <c r="X186" s="836">
        <f t="shared" si="34"/>
        <v>15399.737022277717</v>
      </c>
      <c r="Y186" s="836"/>
      <c r="Z186" s="836">
        <f t="shared" si="33"/>
        <v>187495.57048071906</v>
      </c>
      <c r="AA186" s="836"/>
      <c r="AC186" s="484"/>
      <c r="AD186" s="66"/>
      <c r="AE186" s="66"/>
      <c r="AI186" s="137">
        <f t="shared" si="22"/>
        <v>15285.635095206517</v>
      </c>
      <c r="AJ186" s="63">
        <f>IF(OR(Z186="",Z186&lt;=0.01),"",IF(SUM($E$61:F186)=$I$26+$I$27,1,0))</f>
        <v>1</v>
      </c>
      <c r="AK186" s="63">
        <f t="shared" si="25"/>
        <v>121</v>
      </c>
      <c r="AL186" s="269">
        <f t="shared" si="27"/>
        <v>120</v>
      </c>
      <c r="AN186" s="63" t="str">
        <f t="shared" si="32"/>
        <v>Obra Concluida</v>
      </c>
      <c r="AQ186" s="63">
        <f>IF(SUM($E$61:F185)&gt;=$I$26+$I$27,1,0)</f>
        <v>1</v>
      </c>
      <c r="AR186" s="137">
        <f t="shared" si="26"/>
        <v>14490</v>
      </c>
    </row>
    <row r="187" spans="2:44" ht="21" customHeight="1" x14ac:dyDescent="0.3">
      <c r="B187" s="282">
        <f t="shared" si="23"/>
        <v>127</v>
      </c>
      <c r="C187" s="282"/>
      <c r="D187" s="267">
        <f>IF(B187="","",IF(AND($I$10="Remodelación",$I$22="No"),1,IF($I$29&gt;=0.8,1,IF(AN187="Ministración",Simul_ConstruRemo!BM187,1))))</f>
        <v>1</v>
      </c>
      <c r="E187" s="836">
        <f t="shared" si="30"/>
        <v>0</v>
      </c>
      <c r="F187" s="836"/>
      <c r="G187" s="836">
        <f t="shared" si="24"/>
        <v>187495.57048071906</v>
      </c>
      <c r="H187" s="836"/>
      <c r="I187" s="836">
        <f t="shared" si="28"/>
        <v>13052.533959647821</v>
      </c>
      <c r="J187" s="836"/>
      <c r="K187" s="836">
        <f t="shared" si="29"/>
        <v>1437.4660403521793</v>
      </c>
      <c r="L187" s="836"/>
      <c r="M187" s="836">
        <f t="shared" si="31"/>
        <v>2606295</v>
      </c>
      <c r="N187" s="836"/>
      <c r="O187" s="836">
        <f>IFERROR(Z187*Simul_ConstruRemo!$BP$30/1000,"")</f>
        <v>76.754936069271352</v>
      </c>
      <c r="P187" s="836"/>
      <c r="Q187" s="836">
        <f>IFERROR(IF($I$10="Remodelación",M187*Simul_ConstruRemo!$BS$29,
IF(D187=1,MAX(M187,Z187)*$BS$29,M187*$BQ$29)),"")</f>
        <v>827.2389712662</v>
      </c>
      <c r="R187" s="836"/>
      <c r="S187" s="268">
        <f>IF(B187="","",'Tabla_Puntual&amp;Relacionamiento'!$B$47)</f>
        <v>9.1999999999999998E-2</v>
      </c>
      <c r="T187" s="837"/>
      <c r="U187" s="837"/>
      <c r="V187" s="734"/>
      <c r="W187" s="734"/>
      <c r="X187" s="836">
        <f t="shared" si="34"/>
        <v>15393.993907335473</v>
      </c>
      <c r="Y187" s="836"/>
      <c r="Z187" s="836">
        <f t="shared" si="33"/>
        <v>174443.03652107125</v>
      </c>
      <c r="AA187" s="836"/>
      <c r="AC187" s="484"/>
      <c r="AD187" s="66"/>
      <c r="AE187" s="66"/>
      <c r="AI187" s="137">
        <f t="shared" si="22"/>
        <v>15279.891980264272</v>
      </c>
      <c r="AJ187" s="63">
        <f>IF(OR(Z187="",Z187&lt;=0.01),"",IF(SUM($E$61:F187)=$I$26+$I$27,1,0))</f>
        <v>1</v>
      </c>
      <c r="AK187" s="63">
        <f t="shared" si="25"/>
        <v>122</v>
      </c>
      <c r="AL187" s="269">
        <f t="shared" si="27"/>
        <v>121</v>
      </c>
      <c r="AN187" s="63" t="str">
        <f t="shared" si="32"/>
        <v>Obra Concluida</v>
      </c>
      <c r="AQ187" s="63">
        <f>IF(SUM($E$61:F186)&gt;=$I$26+$I$27,1,0)</f>
        <v>1</v>
      </c>
      <c r="AR187" s="137">
        <f t="shared" si="26"/>
        <v>14490</v>
      </c>
    </row>
    <row r="188" spans="2:44" ht="21" customHeight="1" x14ac:dyDescent="0.3">
      <c r="B188" s="282">
        <f t="shared" si="23"/>
        <v>128</v>
      </c>
      <c r="C188" s="282"/>
      <c r="D188" s="267">
        <f>IF(B188="","",IF(AND($I$10="Remodelación",$I$22="No"),1,IF($I$29&gt;=0.8,1,IF(AN188="Ministración",Simul_ConstruRemo!BM188,1))))</f>
        <v>1</v>
      </c>
      <c r="E188" s="836">
        <f t="shared" si="30"/>
        <v>0</v>
      </c>
      <c r="F188" s="836"/>
      <c r="G188" s="836">
        <f t="shared" si="24"/>
        <v>174443.03652107125</v>
      </c>
      <c r="H188" s="836"/>
      <c r="I188" s="836">
        <f t="shared" si="28"/>
        <v>13152.603386671788</v>
      </c>
      <c r="J188" s="836"/>
      <c r="K188" s="836">
        <f t="shared" si="29"/>
        <v>1337.3966133282129</v>
      </c>
      <c r="L188" s="836"/>
      <c r="M188" s="836">
        <f t="shared" si="31"/>
        <v>2606295</v>
      </c>
      <c r="N188" s="836"/>
      <c r="O188" s="836">
        <f>IFERROR(Z188*Simul_ConstruRemo!$BP$30/1000,"")</f>
        <v>67.044948579135777</v>
      </c>
      <c r="P188" s="836"/>
      <c r="Q188" s="836">
        <f>IFERROR(IF($I$10="Remodelación",M188*Simul_ConstruRemo!$BS$29,
IF(D188=1,MAX(M188,Z188)*$BS$29,M188*$BQ$29)),"")</f>
        <v>827.2389712662</v>
      </c>
      <c r="R188" s="836"/>
      <c r="S188" s="268">
        <f>IF(B188="","",'Tabla_Puntual&amp;Relacionamiento'!$B$47)</f>
        <v>9.1999999999999998E-2</v>
      </c>
      <c r="T188" s="837"/>
      <c r="U188" s="837"/>
      <c r="V188" s="735">
        <f>IF(OR(Z187=0,Z187=""),"",IF(I188&gt;=G188,0,IF(OR($Y$52="NO",$Y$52=""),0,MIN(IF($Y$54="",0,$Y$54),$AV$16*25)*10%)))</f>
        <v>8915.5500000000011</v>
      </c>
      <c r="W188" s="735"/>
      <c r="X188" s="836">
        <f t="shared" si="34"/>
        <v>15384.283919845337</v>
      </c>
      <c r="Y188" s="836"/>
      <c r="Z188" s="836">
        <f t="shared" si="33"/>
        <v>152374.88313439948</v>
      </c>
      <c r="AA188" s="836"/>
      <c r="AC188" s="484"/>
      <c r="AD188" s="66"/>
      <c r="AE188" s="66"/>
      <c r="AI188" s="137">
        <f t="shared" si="22"/>
        <v>15270.181992774136</v>
      </c>
      <c r="AJ188" s="63">
        <f>IF(OR(Z188="",Z188&lt;=0.01),"",IF(SUM($E$61:F188)=$I$26+$I$27,1,0))</f>
        <v>1</v>
      </c>
      <c r="AK188" s="63">
        <f t="shared" si="25"/>
        <v>123</v>
      </c>
      <c r="AL188" s="269">
        <f t="shared" si="27"/>
        <v>122</v>
      </c>
      <c r="AN188" s="63" t="str">
        <f t="shared" si="32"/>
        <v>Obra Concluida</v>
      </c>
      <c r="AQ188" s="63">
        <f>IF(SUM($E$61:F187)&gt;=$I$26+$I$27,1,0)</f>
        <v>1</v>
      </c>
      <c r="AR188" s="137">
        <f t="shared" si="26"/>
        <v>14490</v>
      </c>
    </row>
    <row r="189" spans="2:44" ht="21" customHeight="1" x14ac:dyDescent="0.3">
      <c r="B189" s="282">
        <f t="shared" si="23"/>
        <v>129</v>
      </c>
      <c r="C189" s="282"/>
      <c r="D189" s="267">
        <f>IF(B189="","",IF(AND($I$10="Remodelación",$I$22="No"),1,IF($I$29&gt;=0.8,1,IF(AN189="Ministración",Simul_ConstruRemo!BM189,1))))</f>
        <v>1</v>
      </c>
      <c r="E189" s="836">
        <f t="shared" si="30"/>
        <v>0</v>
      </c>
      <c r="F189" s="836"/>
      <c r="G189" s="836">
        <f t="shared" si="24"/>
        <v>152374.88313439948</v>
      </c>
      <c r="H189" s="836"/>
      <c r="I189" s="836">
        <f t="shared" si="28"/>
        <v>13321.79256263627</v>
      </c>
      <c r="J189" s="836"/>
      <c r="K189" s="836">
        <f t="shared" si="29"/>
        <v>1168.2074373637292</v>
      </c>
      <c r="L189" s="836"/>
      <c r="M189" s="836">
        <f t="shared" si="31"/>
        <v>2606295</v>
      </c>
      <c r="N189" s="836"/>
      <c r="O189" s="836">
        <f>IFERROR(Z189*Simul_ConstruRemo!$BP$30/1000,"")</f>
        <v>61.183359851575823</v>
      </c>
      <c r="P189" s="836"/>
      <c r="Q189" s="836">
        <f>IFERROR(IF($I$10="Remodelación",M189*Simul_ConstruRemo!$BS$29,
IF(D189=1,MAX(M189,Z189)*$BS$29,M189*$BQ$29)),"")</f>
        <v>827.2389712662</v>
      </c>
      <c r="R189" s="836"/>
      <c r="S189" s="268">
        <f>IF(B189="","",'Tabla_Puntual&amp;Relacionamiento'!$B$47)</f>
        <v>9.1999999999999998E-2</v>
      </c>
      <c r="T189" s="837"/>
      <c r="U189" s="837"/>
      <c r="V189" s="734"/>
      <c r="W189" s="734"/>
      <c r="X189" s="836">
        <f t="shared" si="34"/>
        <v>15378.422331117776</v>
      </c>
      <c r="Y189" s="836"/>
      <c r="Z189" s="836">
        <f t="shared" si="33"/>
        <v>139053.09057176323</v>
      </c>
      <c r="AA189" s="836"/>
      <c r="AC189" s="484"/>
      <c r="AD189" s="66"/>
      <c r="AE189" s="66"/>
      <c r="AI189" s="137">
        <f t="shared" ref="AI189:AI252" si="35">IF(X189="","",X189-(Q189-(Q189/1.16)))</f>
        <v>15264.320404046575</v>
      </c>
      <c r="AJ189" s="63">
        <f>IF(OR(Z189="",Z189&lt;=0.01),"",IF(SUM($E$61:F189)=$I$26+$I$27,1,0))</f>
        <v>1</v>
      </c>
      <c r="AK189" s="63">
        <f t="shared" si="25"/>
        <v>124</v>
      </c>
      <c r="AL189" s="269">
        <f t="shared" si="27"/>
        <v>123</v>
      </c>
      <c r="AN189" s="63" t="str">
        <f t="shared" si="32"/>
        <v>Obra Concluida</v>
      </c>
      <c r="AQ189" s="63">
        <f>IF(SUM($E$61:F188)&gt;=$I$26+$I$27,1,0)</f>
        <v>1</v>
      </c>
      <c r="AR189" s="137">
        <f t="shared" si="26"/>
        <v>14490</v>
      </c>
    </row>
    <row r="190" spans="2:44" ht="21" customHeight="1" x14ac:dyDescent="0.3">
      <c r="B190" s="282">
        <f t="shared" ref="B190:B253" si="36">IFERROR(IF(Z189&lt;=0.01,"",IF(B189+1&gt;$BN$11,"",B189+1)),"")</f>
        <v>130</v>
      </c>
      <c r="C190" s="282"/>
      <c r="D190" s="267">
        <f>IF(B190="","",IF(AND($I$10="Remodelación",$I$22="No"),1,IF($I$29&gt;=0.8,1,IF(AN190="Ministración",Simul_ConstruRemo!BM190,1))))</f>
        <v>1</v>
      </c>
      <c r="E190" s="836">
        <f t="shared" si="30"/>
        <v>0</v>
      </c>
      <c r="F190" s="836"/>
      <c r="G190" s="836">
        <f t="shared" ref="G190:G253" si="37">IF(B190="","",Z189)</f>
        <v>139053.09057176323</v>
      </c>
      <c r="H190" s="836"/>
      <c r="I190" s="836">
        <f t="shared" si="28"/>
        <v>13423.926305616482</v>
      </c>
      <c r="J190" s="836"/>
      <c r="K190" s="836">
        <f t="shared" si="29"/>
        <v>1066.0736943835179</v>
      </c>
      <c r="L190" s="836"/>
      <c r="M190" s="836">
        <f t="shared" si="31"/>
        <v>2606295</v>
      </c>
      <c r="N190" s="836"/>
      <c r="O190" s="836">
        <f>IFERROR(Z190*Simul_ConstruRemo!$BP$30/1000,"")</f>
        <v>51.353990277104565</v>
      </c>
      <c r="P190" s="836"/>
      <c r="Q190" s="836">
        <f>IFERROR(IF($I$10="Remodelación",M190*Simul_ConstruRemo!$BS$29,
IF(D190=1,MAX(M190,Z190)*$BS$29,M190*$BQ$29)),"")</f>
        <v>827.2389712662</v>
      </c>
      <c r="R190" s="836"/>
      <c r="S190" s="268">
        <f>IF(B190="","",'Tabla_Puntual&amp;Relacionamiento'!$B$47)</f>
        <v>9.1999999999999998E-2</v>
      </c>
      <c r="T190" s="837"/>
      <c r="U190" s="837"/>
      <c r="V190" s="735">
        <f>IF(OR(Z189=0,Z189=""),"",IF(I190&gt;=G190,0,IF(OR($Y$52="NO",$Y$52=""),0,MIN(IF($Y$54="",0,$Y$54),$AV$16*25)*10%)))</f>
        <v>8915.5500000000011</v>
      </c>
      <c r="W190" s="735"/>
      <c r="X190" s="836">
        <f t="shared" si="34"/>
        <v>15368.592961543305</v>
      </c>
      <c r="Y190" s="836"/>
      <c r="Z190" s="836">
        <f t="shared" si="33"/>
        <v>116713.61426614675</v>
      </c>
      <c r="AA190" s="836"/>
      <c r="AC190" s="484"/>
      <c r="AD190" s="66"/>
      <c r="AE190" s="66"/>
      <c r="AI190" s="137">
        <f t="shared" si="35"/>
        <v>15254.491034472105</v>
      </c>
      <c r="AJ190" s="63">
        <f>IF(OR(Z190="",Z190&lt;=0.01),"",IF(SUM($E$61:F190)=$I$26+$I$27,1,0))</f>
        <v>1</v>
      </c>
      <c r="AK190" s="63">
        <f t="shared" si="25"/>
        <v>125</v>
      </c>
      <c r="AL190" s="269">
        <f t="shared" si="27"/>
        <v>124</v>
      </c>
      <c r="AN190" s="63" t="str">
        <f t="shared" si="32"/>
        <v>Obra Concluida</v>
      </c>
      <c r="AQ190" s="63">
        <f>IF(SUM($E$61:F189)&gt;=$I$26+$I$27,1,0)</f>
        <v>1</v>
      </c>
      <c r="AR190" s="137">
        <f t="shared" si="26"/>
        <v>14490</v>
      </c>
    </row>
    <row r="191" spans="2:44" ht="21" customHeight="1" x14ac:dyDescent="0.3">
      <c r="B191" s="282">
        <f t="shared" si="36"/>
        <v>131</v>
      </c>
      <c r="C191" s="282"/>
      <c r="D191" s="267">
        <f>IF(B191="","",IF(AND($I$10="Remodelación",$I$22="No"),1,IF($I$29&gt;=0.8,1,IF(AN191="Ministración",Simul_ConstruRemo!BM191,1))))</f>
        <v>1</v>
      </c>
      <c r="E191" s="836">
        <f t="shared" si="30"/>
        <v>0</v>
      </c>
      <c r="F191" s="836"/>
      <c r="G191" s="836">
        <f t="shared" si="37"/>
        <v>116713.61426614675</v>
      </c>
      <c r="H191" s="836"/>
      <c r="I191" s="836">
        <f t="shared" si="28"/>
        <v>13595.195623959542</v>
      </c>
      <c r="J191" s="836"/>
      <c r="K191" s="836">
        <f t="shared" si="29"/>
        <v>894.80437604045835</v>
      </c>
      <c r="L191" s="836"/>
      <c r="M191" s="836">
        <f t="shared" si="31"/>
        <v>2606295</v>
      </c>
      <c r="N191" s="836"/>
      <c r="O191" s="836">
        <f>IFERROR(Z191*Simul_ConstruRemo!$BP$30/1000,"")</f>
        <v>45.372104202562369</v>
      </c>
      <c r="P191" s="836"/>
      <c r="Q191" s="836">
        <f>IFERROR(IF($I$10="Remodelación",M191*Simul_ConstruRemo!$BS$29,
IF(D191=1,MAX(M191,Z191)*$BS$29,M191*$BQ$29)),"")</f>
        <v>827.2389712662</v>
      </c>
      <c r="R191" s="836"/>
      <c r="S191" s="268">
        <f>IF(B191="","",'Tabla_Puntual&amp;Relacionamiento'!$B$47)</f>
        <v>9.1999999999999998E-2</v>
      </c>
      <c r="T191" s="837"/>
      <c r="U191" s="837"/>
      <c r="V191" s="734"/>
      <c r="W191" s="734"/>
      <c r="X191" s="836">
        <f t="shared" si="34"/>
        <v>15362.611075468763</v>
      </c>
      <c r="Y191" s="836"/>
      <c r="Z191" s="836">
        <f t="shared" si="33"/>
        <v>103118.4186421872</v>
      </c>
      <c r="AA191" s="836"/>
      <c r="AC191" s="484"/>
      <c r="AD191" s="66"/>
      <c r="AE191" s="66"/>
      <c r="AI191" s="137">
        <f t="shared" si="35"/>
        <v>15248.509148397563</v>
      </c>
      <c r="AJ191" s="63">
        <f>IF(OR(Z191="",Z191&lt;=0.01),"",IF(SUM($E$61:F191)=$I$26+$I$27,1,0))</f>
        <v>1</v>
      </c>
      <c r="AK191" s="63">
        <f t="shared" ref="AK191:AK254" si="38">IFERROR(AK190+AJ191,0)</f>
        <v>126</v>
      </c>
      <c r="AL191" s="269">
        <f t="shared" si="27"/>
        <v>125</v>
      </c>
      <c r="AN191" s="63" t="str">
        <f t="shared" si="32"/>
        <v>Obra Concluida</v>
      </c>
      <c r="AQ191" s="63">
        <f>IF(SUM($E$61:F190)&gt;=$I$26+$I$27,1,0)</f>
        <v>1</v>
      </c>
      <c r="AR191" s="137">
        <f t="shared" ref="AR191:AR254" si="39">IF(B191="","",IF(AQ191=0,K191,($I$26+$I$27)*$BP$31/1000))</f>
        <v>14490</v>
      </c>
    </row>
    <row r="192" spans="2:44" ht="21" customHeight="1" x14ac:dyDescent="0.3">
      <c r="B192" s="282">
        <f t="shared" si="36"/>
        <v>132</v>
      </c>
      <c r="C192" s="282"/>
      <c r="D192" s="267">
        <f>IF(B192="","",IF(AND($I$10="Remodelación",$I$22="No"),1,IF($I$29&gt;=0.8,1,IF(AN192="Ministración",Simul_ConstruRemo!BM192,1))))</f>
        <v>1</v>
      </c>
      <c r="E192" s="836">
        <f t="shared" si="30"/>
        <v>0</v>
      </c>
      <c r="F192" s="836"/>
      <c r="G192" s="836">
        <f t="shared" si="37"/>
        <v>103118.4186421872</v>
      </c>
      <c r="H192" s="836"/>
      <c r="I192" s="836">
        <f t="shared" si="28"/>
        <v>13699.425457076564</v>
      </c>
      <c r="J192" s="836"/>
      <c r="K192" s="836">
        <f t="shared" si="29"/>
        <v>790.57454292343516</v>
      </c>
      <c r="L192" s="836"/>
      <c r="M192" s="836">
        <f t="shared" si="31"/>
        <v>2606295</v>
      </c>
      <c r="N192" s="836"/>
      <c r="O192" s="836">
        <f>IFERROR(Z192*Simul_ConstruRemo!$BP$30/1000,"")</f>
        <v>35.421515001448682</v>
      </c>
      <c r="P192" s="836"/>
      <c r="Q192" s="836">
        <f>IFERROR(IF($I$10="Remodelación",M192*Simul_ConstruRemo!$BS$29,
IF(D192=1,MAX(M192,Z192)*$BS$29,M192*$BQ$29)),"")</f>
        <v>827.2389712662</v>
      </c>
      <c r="R192" s="836"/>
      <c r="S192" s="268">
        <f>IF(B192="","",'Tabla_Puntual&amp;Relacionamiento'!$B$47)</f>
        <v>9.1999999999999998E-2</v>
      </c>
      <c r="T192" s="837"/>
      <c r="U192" s="837"/>
      <c r="V192" s="735">
        <f>IF(OR(Z191=0,Z191=""),"",IF(I192&gt;=G192,0,IF(OR($Y$52="NO",$Y$52=""),0,MIN(IF($Y$54="",0,$Y$54),$AV$16*25)*10%)))</f>
        <v>8915.5500000000011</v>
      </c>
      <c r="W192" s="735"/>
      <c r="X192" s="836">
        <f t="shared" si="34"/>
        <v>15352.660486267649</v>
      </c>
      <c r="Y192" s="836"/>
      <c r="Z192" s="836">
        <f t="shared" si="33"/>
        <v>80503.443185110635</v>
      </c>
      <c r="AA192" s="836"/>
      <c r="AC192" s="484"/>
      <c r="AD192" s="66"/>
      <c r="AE192" s="66"/>
      <c r="AI192" s="137">
        <f t="shared" si="35"/>
        <v>15238.558559196448</v>
      </c>
      <c r="AJ192" s="63">
        <f>IF(OR(Z192="",Z192&lt;=0.01),"",IF(SUM($E$61:F192)=$I$26+$I$27,1,0))</f>
        <v>1</v>
      </c>
      <c r="AK192" s="63">
        <f t="shared" si="38"/>
        <v>127</v>
      </c>
      <c r="AL192" s="269">
        <f t="shared" ref="AL192:AL255" si="40">IF(AK192&gt;0,AK192-1,AK192)</f>
        <v>126</v>
      </c>
      <c r="AN192" s="63" t="str">
        <f t="shared" si="32"/>
        <v>Obra Concluida</v>
      </c>
      <c r="AQ192" s="63">
        <f>IF(SUM($E$61:F191)&gt;=$I$26+$I$27,1,0)</f>
        <v>1</v>
      </c>
      <c r="AR192" s="137">
        <f t="shared" si="39"/>
        <v>14490</v>
      </c>
    </row>
    <row r="193" spans="2:44" ht="21" customHeight="1" x14ac:dyDescent="0.3">
      <c r="B193" s="282">
        <f t="shared" si="36"/>
        <v>133</v>
      </c>
      <c r="C193" s="282"/>
      <c r="D193" s="267">
        <f>IF(B193="","",IF(AND($I$10="Remodelación",$I$22="No"),1,IF($I$29&gt;=0.8,1,IF(AN193="Ministración",Simul_ConstruRemo!BM193,1))))</f>
        <v>1</v>
      </c>
      <c r="E193" s="836">
        <f t="shared" si="30"/>
        <v>0</v>
      </c>
      <c r="F193" s="836"/>
      <c r="G193" s="836">
        <f t="shared" si="37"/>
        <v>80503.443185110635</v>
      </c>
      <c r="H193" s="836"/>
      <c r="I193" s="836">
        <f t="shared" si="28"/>
        <v>13872.806935580818</v>
      </c>
      <c r="J193" s="836"/>
      <c r="K193" s="836">
        <f t="shared" si="29"/>
        <v>617.1930644191815</v>
      </c>
      <c r="L193" s="836"/>
      <c r="M193" s="836">
        <f t="shared" si="31"/>
        <v>2606295</v>
      </c>
      <c r="N193" s="836"/>
      <c r="O193" s="836">
        <f>IFERROR(Z193*Simul_ConstruRemo!$BP$30/1000,"")</f>
        <v>29.317479949793118</v>
      </c>
      <c r="P193" s="836"/>
      <c r="Q193" s="836">
        <f>IFERROR(IF($I$10="Remodelación",M193*Simul_ConstruRemo!$BS$29,
IF(D193=1,MAX(M193,Z193)*$BS$29,M193*$BQ$29)),"")</f>
        <v>827.2389712662</v>
      </c>
      <c r="R193" s="836"/>
      <c r="S193" s="268">
        <f>IF(B193="","",'Tabla_Puntual&amp;Relacionamiento'!$B$48)</f>
        <v>9.1999999999999998E-2</v>
      </c>
      <c r="T193" s="837"/>
      <c r="U193" s="837"/>
      <c r="V193" s="734"/>
      <c r="W193" s="734"/>
      <c r="X193" s="836">
        <f t="shared" si="34"/>
        <v>15346.556451215994</v>
      </c>
      <c r="Y193" s="836"/>
      <c r="Z193" s="836">
        <f t="shared" si="33"/>
        <v>66630.636249529809</v>
      </c>
      <c r="AA193" s="836"/>
      <c r="AC193" s="484"/>
      <c r="AD193" s="66"/>
      <c r="AE193" s="66"/>
      <c r="AI193" s="137">
        <f t="shared" si="35"/>
        <v>15232.454524144794</v>
      </c>
      <c r="AJ193" s="63">
        <f>IF(OR(Z193="",Z193&lt;=0.01),"",IF(SUM($E$61:F193)=$I$26+$I$27,1,0))</f>
        <v>1</v>
      </c>
      <c r="AK193" s="63">
        <f t="shared" si="38"/>
        <v>128</v>
      </c>
      <c r="AL193" s="269">
        <f t="shared" si="40"/>
        <v>127</v>
      </c>
      <c r="AN193" s="63" t="str">
        <f t="shared" si="32"/>
        <v>Obra Concluida</v>
      </c>
      <c r="AQ193" s="63">
        <f>IF(SUM($E$61:F192)&gt;=$I$26+$I$27,1,0)</f>
        <v>1</v>
      </c>
      <c r="AR193" s="137">
        <f t="shared" si="39"/>
        <v>14490</v>
      </c>
    </row>
    <row r="194" spans="2:44" ht="21" customHeight="1" x14ac:dyDescent="0.3">
      <c r="B194" s="282">
        <f t="shared" si="36"/>
        <v>134</v>
      </c>
      <c r="C194" s="282"/>
      <c r="D194" s="267">
        <f>IF(B194="","",IF(AND($I$10="Remodelación",$I$22="No"),1,IF($I$29&gt;=0.8,1,IF(AN194="Ministración",Simul_ConstruRemo!BM194,1))))</f>
        <v>1</v>
      </c>
      <c r="E194" s="836">
        <f t="shared" si="30"/>
        <v>0</v>
      </c>
      <c r="F194" s="836"/>
      <c r="G194" s="836">
        <f t="shared" si="37"/>
        <v>66630.636249529809</v>
      </c>
      <c r="H194" s="836"/>
      <c r="I194" s="836">
        <f t="shared" si="28"/>
        <v>13979.165122086939</v>
      </c>
      <c r="J194" s="836"/>
      <c r="K194" s="836">
        <f t="shared" si="29"/>
        <v>510.83487791306186</v>
      </c>
      <c r="L194" s="836"/>
      <c r="M194" s="836">
        <f t="shared" si="31"/>
        <v>2606295</v>
      </c>
      <c r="N194" s="836"/>
      <c r="O194" s="836">
        <f>IFERROR(Z194*Simul_ConstruRemo!$BP$30/1000,"")</f>
        <v>19.243805296074861</v>
      </c>
      <c r="P194" s="836"/>
      <c r="Q194" s="836">
        <f>IFERROR(IF($I$10="Remodelación",M194*Simul_ConstruRemo!$BS$29,
IF(D194=1,MAX(M194,Z194)*$BS$29,M194*$BQ$29)),"")</f>
        <v>827.2389712662</v>
      </c>
      <c r="R194" s="836"/>
      <c r="S194" s="268">
        <f>IF(B194="","",'Tabla_Puntual&amp;Relacionamiento'!$B$48)</f>
        <v>9.1999999999999998E-2</v>
      </c>
      <c r="T194" s="837"/>
      <c r="U194" s="837"/>
      <c r="V194" s="735">
        <f>IF(OR(Z193=0,Z193=""),"",IF(I194&gt;=G194,0,IF(OR($Y$52="NO",$Y$52=""),0,MIN(IF($Y$54="",0,$Y$54),$AV$16*25)*10%)))</f>
        <v>8915.5500000000011</v>
      </c>
      <c r="W194" s="735"/>
      <c r="X194" s="836">
        <f t="shared" si="34"/>
        <v>15336.482776562276</v>
      </c>
      <c r="Y194" s="836"/>
      <c r="Z194" s="836">
        <f t="shared" si="33"/>
        <v>43735.921127442867</v>
      </c>
      <c r="AA194" s="836"/>
      <c r="AC194" s="484"/>
      <c r="AD194" s="66"/>
      <c r="AE194" s="66"/>
      <c r="AI194" s="137">
        <f t="shared" si="35"/>
        <v>15222.380849491075</v>
      </c>
      <c r="AJ194" s="63">
        <f>IF(OR(Z194="",Z194&lt;=0.01),"",IF(SUM($E$61:F194)=$I$26+$I$27,1,0))</f>
        <v>1</v>
      </c>
      <c r="AK194" s="63">
        <f t="shared" si="38"/>
        <v>129</v>
      </c>
      <c r="AL194" s="269">
        <f t="shared" si="40"/>
        <v>128</v>
      </c>
      <c r="AN194" s="63" t="str">
        <f t="shared" si="32"/>
        <v>Obra Concluida</v>
      </c>
      <c r="AQ194" s="63">
        <f>IF(SUM($E$61:F193)&gt;=$I$26+$I$27,1,0)</f>
        <v>1</v>
      </c>
      <c r="AR194" s="137">
        <f t="shared" si="39"/>
        <v>14490</v>
      </c>
    </row>
    <row r="195" spans="2:44" ht="21" customHeight="1" x14ac:dyDescent="0.3">
      <c r="B195" s="282">
        <f t="shared" si="36"/>
        <v>135</v>
      </c>
      <c r="C195" s="282"/>
      <c r="D195" s="267">
        <f>IF(B195="","",IF(AND($I$10="Remodelación",$I$22="No"),1,IF($I$29&gt;=0.8,1,IF(AN195="Ministración",Simul_ConstruRemo!BM195,1))))</f>
        <v>1</v>
      </c>
      <c r="E195" s="836">
        <f t="shared" si="30"/>
        <v>0</v>
      </c>
      <c r="F195" s="836"/>
      <c r="G195" s="836">
        <f t="shared" si="37"/>
        <v>43735.921127442867</v>
      </c>
      <c r="H195" s="836"/>
      <c r="I195" s="836">
        <f t="shared" si="28"/>
        <v>14154.691271356271</v>
      </c>
      <c r="J195" s="836"/>
      <c r="K195" s="836">
        <f t="shared" si="29"/>
        <v>335.30872864372861</v>
      </c>
      <c r="L195" s="836"/>
      <c r="M195" s="836">
        <f t="shared" si="31"/>
        <v>2606295</v>
      </c>
      <c r="N195" s="836"/>
      <c r="O195" s="836">
        <f>IFERROR(Z195*Simul_ConstruRemo!$BP$30/1000,"")</f>
        <v>13.015741136678104</v>
      </c>
      <c r="P195" s="836"/>
      <c r="Q195" s="836">
        <f>IFERROR(IF($I$10="Remodelación",M195*Simul_ConstruRemo!$BS$29,
IF(D195=1,MAX(M195,Z195)*$BS$29,M195*$BQ$29)),"")</f>
        <v>827.2389712662</v>
      </c>
      <c r="R195" s="836"/>
      <c r="S195" s="268">
        <f>IF(B195="","",'Tabla_Puntual&amp;Relacionamiento'!$B$48)</f>
        <v>9.1999999999999998E-2</v>
      </c>
      <c r="T195" s="837"/>
      <c r="U195" s="837"/>
      <c r="V195" s="734"/>
      <c r="W195" s="734"/>
      <c r="X195" s="836">
        <f t="shared" si="34"/>
        <v>15330.254712402879</v>
      </c>
      <c r="Y195" s="836"/>
      <c r="Z195" s="836">
        <f t="shared" si="33"/>
        <v>29581.229856086597</v>
      </c>
      <c r="AA195" s="836"/>
      <c r="AC195" s="484"/>
      <c r="AD195" s="66"/>
      <c r="AE195" s="66"/>
      <c r="AI195" s="137">
        <f t="shared" si="35"/>
        <v>15216.152785331678</v>
      </c>
      <c r="AJ195" s="63">
        <f>IF(OR(Z195="",Z195&lt;=0.01),"",IF(SUM($E$61:F195)=$I$26+$I$27,1,0))</f>
        <v>1</v>
      </c>
      <c r="AK195" s="63">
        <f t="shared" si="38"/>
        <v>130</v>
      </c>
      <c r="AL195" s="269">
        <f t="shared" si="40"/>
        <v>129</v>
      </c>
      <c r="AN195" s="63" t="str">
        <f t="shared" si="32"/>
        <v>Obra Concluida</v>
      </c>
      <c r="AQ195" s="63">
        <f>IF(SUM($E$61:F194)&gt;=$I$26+$I$27,1,0)</f>
        <v>1</v>
      </c>
      <c r="AR195" s="137">
        <f t="shared" si="39"/>
        <v>14490</v>
      </c>
    </row>
    <row r="196" spans="2:44" ht="21" customHeight="1" x14ac:dyDescent="0.3">
      <c r="B196" s="282">
        <f t="shared" si="36"/>
        <v>136</v>
      </c>
      <c r="C196" s="282"/>
      <c r="D196" s="267">
        <f>IF(B196="","",IF(AND($I$10="Remodelación",$I$22="No"),1,IF($I$29&gt;=0.8,1,IF(AN196="Ministración",Simul_ConstruRemo!BM196,1))))</f>
        <v>1</v>
      </c>
      <c r="E196" s="836">
        <f t="shared" si="30"/>
        <v>0</v>
      </c>
      <c r="F196" s="836"/>
      <c r="G196" s="836">
        <f t="shared" si="37"/>
        <v>29581.229856086597</v>
      </c>
      <c r="H196" s="836"/>
      <c r="I196" s="836">
        <f t="shared" si="28"/>
        <v>14263.210571103336</v>
      </c>
      <c r="J196" s="836"/>
      <c r="K196" s="836">
        <f t="shared" si="29"/>
        <v>226.78942889666391</v>
      </c>
      <c r="L196" s="836"/>
      <c r="M196" s="836">
        <f t="shared" si="31"/>
        <v>2606295</v>
      </c>
      <c r="N196" s="836"/>
      <c r="O196" s="836">
        <f>IFERROR(Z196*Simul_ConstruRemo!$BP$30/1000,"")</f>
        <v>2.8170864853926343</v>
      </c>
      <c r="P196" s="836"/>
      <c r="Q196" s="836">
        <f>IFERROR(IF($I$10="Remodelación",M196*Simul_ConstruRemo!$BS$29,
IF(D196=1,MAX(M196,Z196)*$BS$29,M196*$BQ$29)),"")</f>
        <v>827.2389712662</v>
      </c>
      <c r="R196" s="836"/>
      <c r="S196" s="268">
        <f>IF(B196="","",'Tabla_Puntual&amp;Relacionamiento'!$B$48)</f>
        <v>9.1999999999999998E-2</v>
      </c>
      <c r="T196" s="837"/>
      <c r="U196" s="837"/>
      <c r="V196" s="735">
        <f>IF(OR(Z195=0,Z195=""),"",IF(I196&gt;=G196,0,IF(OR($Y$52="NO",$Y$52=""),0,MIN(IF($Y$54="",0,$Y$54),$AV$16*25)*10%)))</f>
        <v>8915.5500000000011</v>
      </c>
      <c r="W196" s="735"/>
      <c r="X196" s="836">
        <f t="shared" si="34"/>
        <v>15320.056057751593</v>
      </c>
      <c r="Y196" s="836"/>
      <c r="Z196" s="836">
        <f t="shared" si="33"/>
        <v>6402.4692849832591</v>
      </c>
      <c r="AA196" s="836"/>
      <c r="AC196" s="484"/>
      <c r="AD196" s="66"/>
      <c r="AE196" s="66"/>
      <c r="AI196" s="137">
        <f t="shared" si="35"/>
        <v>15205.954130680393</v>
      </c>
      <c r="AJ196" s="63">
        <f>IF(OR(Z196="",Z196&lt;=0.01),"",IF(SUM($E$61:F196)=$I$26+$I$27,1,0))</f>
        <v>1</v>
      </c>
      <c r="AK196" s="63">
        <f t="shared" si="38"/>
        <v>131</v>
      </c>
      <c r="AL196" s="269">
        <f t="shared" si="40"/>
        <v>130</v>
      </c>
      <c r="AN196" s="63" t="str">
        <f t="shared" si="32"/>
        <v>Obra Concluida</v>
      </c>
      <c r="AQ196" s="63">
        <f>IF(SUM($E$61:F195)&gt;=$I$26+$I$27,1,0)</f>
        <v>1</v>
      </c>
      <c r="AR196" s="137">
        <f t="shared" si="39"/>
        <v>14490</v>
      </c>
    </row>
    <row r="197" spans="2:44" ht="21" customHeight="1" x14ac:dyDescent="0.3">
      <c r="B197" s="282">
        <f t="shared" si="36"/>
        <v>137</v>
      </c>
      <c r="C197" s="282"/>
      <c r="D197" s="267">
        <f>IF(B197="","",IF(AND($I$10="Remodelación",$I$22="No"),1,IF($I$29&gt;=0.8,1,IF(AN197="Ministración",Simul_ConstruRemo!BM197,1))))</f>
        <v>1</v>
      </c>
      <c r="E197" s="836">
        <f t="shared" si="30"/>
        <v>0</v>
      </c>
      <c r="F197" s="836"/>
      <c r="G197" s="836">
        <f t="shared" si="37"/>
        <v>6402.4692849832591</v>
      </c>
      <c r="H197" s="836"/>
      <c r="I197" s="836">
        <f t="shared" si="28"/>
        <v>6402.4692849832591</v>
      </c>
      <c r="J197" s="836"/>
      <c r="K197" s="836">
        <f t="shared" si="29"/>
        <v>49.085597851538317</v>
      </c>
      <c r="L197" s="836"/>
      <c r="M197" s="836">
        <f t="shared" si="31"/>
        <v>2606295</v>
      </c>
      <c r="N197" s="836"/>
      <c r="O197" s="836">
        <f>IFERROR(Z197*Simul_ConstruRemo!$BP$30/1000,"")</f>
        <v>0</v>
      </c>
      <c r="P197" s="836"/>
      <c r="Q197" s="836">
        <f>IFERROR(IF($I$10="Remodelación",M197*Simul_ConstruRemo!$BS$29,
IF(D197=1,MAX(M197,Z197)*$BS$29,M197*$BQ$29)),"")</f>
        <v>827.2389712662</v>
      </c>
      <c r="R197" s="836"/>
      <c r="S197" s="268">
        <f>IF(B197="","",'Tabla_Puntual&amp;Relacionamiento'!$B$48)</f>
        <v>9.1999999999999998E-2</v>
      </c>
      <c r="T197" s="837"/>
      <c r="U197" s="837"/>
      <c r="V197" s="734"/>
      <c r="W197" s="734"/>
      <c r="X197" s="836">
        <f t="shared" si="34"/>
        <v>7278.7938541009971</v>
      </c>
      <c r="Y197" s="836"/>
      <c r="Z197" s="836">
        <f t="shared" si="33"/>
        <v>0</v>
      </c>
      <c r="AA197" s="836"/>
      <c r="AC197" s="484"/>
      <c r="AD197" s="66"/>
      <c r="AE197" s="66"/>
      <c r="AI197" s="137">
        <f t="shared" si="35"/>
        <v>7164.6919270297967</v>
      </c>
      <c r="AJ197" s="63" t="str">
        <f>IF(OR(Z197="",Z197&lt;=0.01),"",IF(SUM($E$61:F197)=$I$26+$I$27,1,0))</f>
        <v/>
      </c>
      <c r="AK197" s="63">
        <f t="shared" si="38"/>
        <v>0</v>
      </c>
      <c r="AL197" s="269">
        <f t="shared" si="40"/>
        <v>0</v>
      </c>
      <c r="AN197" s="63" t="str">
        <f t="shared" si="32"/>
        <v>Obra Concluida</v>
      </c>
      <c r="AQ197" s="63">
        <f>IF(SUM($E$61:F196)&gt;=$I$26+$I$27,1,0)</f>
        <v>1</v>
      </c>
      <c r="AR197" s="137">
        <f t="shared" si="39"/>
        <v>14490</v>
      </c>
    </row>
    <row r="198" spans="2:44" ht="21" customHeight="1" x14ac:dyDescent="0.3">
      <c r="B198" s="282" t="str">
        <f t="shared" si="36"/>
        <v/>
      </c>
      <c r="C198" s="282"/>
      <c r="D198" s="267" t="str">
        <f>IF(B198="","",IF(AND($I$10="Remodelación",$I$22="No"),1,IF($I$29&gt;=0.8,1,IF(AN198="Ministración",Simul_ConstruRemo!BM198,1))))</f>
        <v/>
      </c>
      <c r="E198" s="836" t="str">
        <f t="shared" si="30"/>
        <v/>
      </c>
      <c r="F198" s="836"/>
      <c r="G198" s="836" t="str">
        <f t="shared" si="37"/>
        <v/>
      </c>
      <c r="H198" s="836"/>
      <c r="I198" s="836" t="str">
        <f t="shared" si="28"/>
        <v/>
      </c>
      <c r="J198" s="836"/>
      <c r="K198" s="836" t="str">
        <f t="shared" si="29"/>
        <v/>
      </c>
      <c r="L198" s="836"/>
      <c r="M198" s="836" t="str">
        <f t="shared" si="31"/>
        <v/>
      </c>
      <c r="N198" s="836"/>
      <c r="O198" s="836" t="str">
        <f>IFERROR(Z198*Simul_ConstruRemo!$BP$30/1000,"")</f>
        <v/>
      </c>
      <c r="P198" s="836"/>
      <c r="Q198" s="836" t="str">
        <f>IFERROR(IF($I$10="Remodelación",M198*Simul_ConstruRemo!$BS$29,
IF(D198=1,MAX(M198,Z198)*$BS$29,M198*$BQ$29)),"")</f>
        <v/>
      </c>
      <c r="R198" s="836"/>
      <c r="S198" s="268" t="str">
        <f>IF(B198="","",'Tabla_Puntual&amp;Relacionamiento'!$B$48)</f>
        <v/>
      </c>
      <c r="T198" s="837"/>
      <c r="U198" s="837"/>
      <c r="V198" s="735" t="str">
        <f>IF(OR(Z197=0,Z197=""),"",IF(I198&gt;=G198,0,IF(OR($Y$52="NO",$Y$52=""),0,MIN(IF($Y$54="",0,$Y$54),$AV$16*25)*10%)))</f>
        <v/>
      </c>
      <c r="W198" s="735"/>
      <c r="X198" s="836" t="str">
        <f t="shared" si="34"/>
        <v/>
      </c>
      <c r="Y198" s="836"/>
      <c r="Z198" s="836" t="str">
        <f t="shared" si="33"/>
        <v/>
      </c>
      <c r="AA198" s="836"/>
      <c r="AC198" s="484"/>
      <c r="AD198" s="66"/>
      <c r="AE198" s="66"/>
      <c r="AI198" s="137" t="str">
        <f t="shared" si="35"/>
        <v/>
      </c>
      <c r="AJ198" s="63" t="str">
        <f>IF(OR(Z198="",Z198&lt;=0.01),"",IF(SUM($E$61:F198)=$I$26+$I$27,1,0))</f>
        <v/>
      </c>
      <c r="AK198" s="63">
        <f t="shared" si="38"/>
        <v>0</v>
      </c>
      <c r="AL198" s="269">
        <f t="shared" si="40"/>
        <v>0</v>
      </c>
      <c r="AN198" s="63" t="str">
        <f t="shared" si="32"/>
        <v/>
      </c>
      <c r="AQ198" s="63">
        <f>IF(SUM($E$61:F197)&gt;=$I$26+$I$27,1,0)</f>
        <v>1</v>
      </c>
      <c r="AR198" s="137" t="str">
        <f t="shared" si="39"/>
        <v/>
      </c>
    </row>
    <row r="199" spans="2:44" ht="21" customHeight="1" x14ac:dyDescent="0.3">
      <c r="B199" s="282" t="str">
        <f t="shared" si="36"/>
        <v/>
      </c>
      <c r="C199" s="282"/>
      <c r="D199" s="267" t="str">
        <f>IF(B199="","",IF(AND($I$10="Remodelación",$I$22="No"),1,IF($I$29&gt;=0.8,1,IF(AN199="Ministración",Simul_ConstruRemo!BM199,1))))</f>
        <v/>
      </c>
      <c r="E199" s="836" t="str">
        <f t="shared" si="30"/>
        <v/>
      </c>
      <c r="F199" s="836"/>
      <c r="G199" s="836" t="str">
        <f t="shared" si="37"/>
        <v/>
      </c>
      <c r="H199" s="836"/>
      <c r="I199" s="836" t="str">
        <f t="shared" si="28"/>
        <v/>
      </c>
      <c r="J199" s="836"/>
      <c r="K199" s="836" t="str">
        <f t="shared" si="29"/>
        <v/>
      </c>
      <c r="L199" s="836"/>
      <c r="M199" s="836" t="str">
        <f t="shared" si="31"/>
        <v/>
      </c>
      <c r="N199" s="836"/>
      <c r="O199" s="836" t="str">
        <f>IFERROR(Z199*Simul_ConstruRemo!$BP$30/1000,"")</f>
        <v/>
      </c>
      <c r="P199" s="836"/>
      <c r="Q199" s="836" t="str">
        <f>IFERROR(IF($I$10="Remodelación",M199*Simul_ConstruRemo!$BS$29,
IF(D199=1,MAX(M199,Z199)*$BS$29,M199*$BQ$29)),"")</f>
        <v/>
      </c>
      <c r="R199" s="836"/>
      <c r="S199" s="268" t="str">
        <f>IF(B199="","",'Tabla_Puntual&amp;Relacionamiento'!$B$48)</f>
        <v/>
      </c>
      <c r="T199" s="837"/>
      <c r="U199" s="837"/>
      <c r="V199" s="734"/>
      <c r="W199" s="734"/>
      <c r="X199" s="836" t="str">
        <f t="shared" si="34"/>
        <v/>
      </c>
      <c r="Y199" s="836"/>
      <c r="Z199" s="836" t="str">
        <f t="shared" si="33"/>
        <v/>
      </c>
      <c r="AA199" s="836"/>
      <c r="AC199" s="484"/>
      <c r="AD199" s="66"/>
      <c r="AE199" s="66"/>
      <c r="AI199" s="137" t="str">
        <f t="shared" si="35"/>
        <v/>
      </c>
      <c r="AJ199" s="63" t="str">
        <f>IF(OR(Z199="",Z199&lt;=0.01),"",IF(SUM($E$61:F199)=$I$26+$I$27,1,0))</f>
        <v/>
      </c>
      <c r="AK199" s="63">
        <f t="shared" si="38"/>
        <v>0</v>
      </c>
      <c r="AL199" s="269">
        <f t="shared" si="40"/>
        <v>0</v>
      </c>
      <c r="AN199" s="63" t="str">
        <f t="shared" si="32"/>
        <v/>
      </c>
      <c r="AQ199" s="63">
        <f>IF(SUM($E$61:F198)&gt;=$I$26+$I$27,1,0)</f>
        <v>1</v>
      </c>
      <c r="AR199" s="137" t="str">
        <f t="shared" si="39"/>
        <v/>
      </c>
    </row>
    <row r="200" spans="2:44" ht="21" customHeight="1" x14ac:dyDescent="0.3">
      <c r="B200" s="282" t="str">
        <f t="shared" si="36"/>
        <v/>
      </c>
      <c r="C200" s="282"/>
      <c r="D200" s="267" t="str">
        <f>IF(B200="","",IF(AND($I$10="Remodelación",$I$22="No"),1,IF($I$29&gt;=0.8,1,IF(AN200="Ministración",Simul_ConstruRemo!BM200,1))))</f>
        <v/>
      </c>
      <c r="E200" s="836" t="str">
        <f t="shared" si="30"/>
        <v/>
      </c>
      <c r="F200" s="836"/>
      <c r="G200" s="836" t="str">
        <f t="shared" si="37"/>
        <v/>
      </c>
      <c r="H200" s="836"/>
      <c r="I200" s="836" t="str">
        <f t="shared" si="28"/>
        <v/>
      </c>
      <c r="J200" s="836"/>
      <c r="K200" s="836" t="str">
        <f t="shared" si="29"/>
        <v/>
      </c>
      <c r="L200" s="836"/>
      <c r="M200" s="836" t="str">
        <f t="shared" si="31"/>
        <v/>
      </c>
      <c r="N200" s="836"/>
      <c r="O200" s="836" t="str">
        <f>IFERROR(Z200*Simul_ConstruRemo!$BP$30/1000,"")</f>
        <v/>
      </c>
      <c r="P200" s="836"/>
      <c r="Q200" s="836" t="str">
        <f>IFERROR(IF($I$10="Remodelación",M200*Simul_ConstruRemo!$BS$29,
IF(D200=1,MAX(M200,Z200)*$BS$29,M200*$BQ$29)),"")</f>
        <v/>
      </c>
      <c r="R200" s="836"/>
      <c r="S200" s="268" t="str">
        <f>IF(B200="","",'Tabla_Puntual&amp;Relacionamiento'!$B$48)</f>
        <v/>
      </c>
      <c r="T200" s="837"/>
      <c r="U200" s="837"/>
      <c r="V200" s="735" t="str">
        <f>IF(OR(Z199=0,Z199=""),"",IF(I200&gt;=G200,0,IF(OR($Y$52="NO",$Y$52=""),0,MIN(IF($Y$54="",0,$Y$54),$AV$16*25)*10%)))</f>
        <v/>
      </c>
      <c r="W200" s="735"/>
      <c r="X200" s="836" t="str">
        <f t="shared" si="34"/>
        <v/>
      </c>
      <c r="Y200" s="836"/>
      <c r="Z200" s="836" t="str">
        <f t="shared" si="33"/>
        <v/>
      </c>
      <c r="AA200" s="836"/>
      <c r="AC200" s="484"/>
      <c r="AD200" s="66"/>
      <c r="AE200" s="66"/>
      <c r="AI200" s="137" t="str">
        <f t="shared" si="35"/>
        <v/>
      </c>
      <c r="AJ200" s="63" t="str">
        <f>IF(OR(Z200="",Z200&lt;=0.01),"",IF(SUM($E$61:F200)=$I$26+$I$27,1,0))</f>
        <v/>
      </c>
      <c r="AK200" s="63">
        <f t="shared" si="38"/>
        <v>0</v>
      </c>
      <c r="AL200" s="269">
        <f t="shared" si="40"/>
        <v>0</v>
      </c>
      <c r="AN200" s="63" t="str">
        <f t="shared" si="32"/>
        <v/>
      </c>
      <c r="AQ200" s="63">
        <f>IF(SUM($E$61:F199)&gt;=$I$26+$I$27,1,0)</f>
        <v>1</v>
      </c>
      <c r="AR200" s="137" t="str">
        <f t="shared" si="39"/>
        <v/>
      </c>
    </row>
    <row r="201" spans="2:44" ht="21" customHeight="1" x14ac:dyDescent="0.3">
      <c r="B201" s="282" t="str">
        <f t="shared" si="36"/>
        <v/>
      </c>
      <c r="C201" s="282"/>
      <c r="D201" s="267" t="str">
        <f>IF(B201="","",IF(AND($I$10="Remodelación",$I$22="No"),1,IF($I$29&gt;=0.8,1,IF(AN201="Ministración",Simul_ConstruRemo!BM201,1))))</f>
        <v/>
      </c>
      <c r="E201" s="836" t="str">
        <f t="shared" si="30"/>
        <v/>
      </c>
      <c r="F201" s="836"/>
      <c r="G201" s="836" t="str">
        <f t="shared" si="37"/>
        <v/>
      </c>
      <c r="H201" s="836"/>
      <c r="I201" s="836" t="str">
        <f t="shared" si="28"/>
        <v/>
      </c>
      <c r="J201" s="836"/>
      <c r="K201" s="836" t="str">
        <f t="shared" si="29"/>
        <v/>
      </c>
      <c r="L201" s="836"/>
      <c r="M201" s="836" t="str">
        <f t="shared" si="31"/>
        <v/>
      </c>
      <c r="N201" s="836"/>
      <c r="O201" s="836" t="str">
        <f>IFERROR(Z201*Simul_ConstruRemo!$BP$30/1000,"")</f>
        <v/>
      </c>
      <c r="P201" s="836"/>
      <c r="Q201" s="836" t="str">
        <f>IFERROR(IF($I$10="Remodelación",M201*Simul_ConstruRemo!$BS$29,
IF(D201=1,MAX(M201,Z201)*$BS$29,M201*$BQ$29)),"")</f>
        <v/>
      </c>
      <c r="R201" s="836"/>
      <c r="S201" s="268" t="str">
        <f>IF(B201="","",'Tabla_Puntual&amp;Relacionamiento'!$B$48)</f>
        <v/>
      </c>
      <c r="T201" s="837"/>
      <c r="U201" s="837"/>
      <c r="V201" s="734"/>
      <c r="W201" s="734"/>
      <c r="X201" s="836" t="str">
        <f t="shared" si="34"/>
        <v/>
      </c>
      <c r="Y201" s="836"/>
      <c r="Z201" s="836" t="str">
        <f t="shared" si="33"/>
        <v/>
      </c>
      <c r="AA201" s="836"/>
      <c r="AC201" s="484"/>
      <c r="AD201" s="66"/>
      <c r="AE201" s="66"/>
      <c r="AI201" s="137" t="str">
        <f t="shared" si="35"/>
        <v/>
      </c>
      <c r="AJ201" s="63" t="str">
        <f>IF(OR(Z201="",Z201&lt;=0.01),"",IF(SUM($E$61:F201)=$I$26+$I$27,1,0))</f>
        <v/>
      </c>
      <c r="AK201" s="63">
        <f t="shared" si="38"/>
        <v>0</v>
      </c>
      <c r="AL201" s="269">
        <f t="shared" si="40"/>
        <v>0</v>
      </c>
      <c r="AN201" s="63" t="str">
        <f t="shared" si="32"/>
        <v/>
      </c>
      <c r="AQ201" s="63">
        <f>IF(SUM($E$61:F200)&gt;=$I$26+$I$27,1,0)</f>
        <v>1</v>
      </c>
      <c r="AR201" s="137" t="str">
        <f t="shared" si="39"/>
        <v/>
      </c>
    </row>
    <row r="202" spans="2:44" ht="21" customHeight="1" x14ac:dyDescent="0.3">
      <c r="B202" s="282" t="str">
        <f t="shared" si="36"/>
        <v/>
      </c>
      <c r="C202" s="282"/>
      <c r="D202" s="267" t="str">
        <f>IF(B202="","",IF(AND($I$10="Remodelación",$I$22="No"),1,IF($I$29&gt;=0.8,1,IF(AN202="Ministración",Simul_ConstruRemo!BM202,1))))</f>
        <v/>
      </c>
      <c r="E202" s="836" t="str">
        <f t="shared" si="30"/>
        <v/>
      </c>
      <c r="F202" s="836"/>
      <c r="G202" s="836" t="str">
        <f t="shared" si="37"/>
        <v/>
      </c>
      <c r="H202" s="836"/>
      <c r="I202" s="836" t="str">
        <f t="shared" ref="I202:I265" si="41">IF(B202="","",IF(G202&lt;AR202-K202,G202,AR202-K202))</f>
        <v/>
      </c>
      <c r="J202" s="836"/>
      <c r="K202" s="836" t="str">
        <f t="shared" si="29"/>
        <v/>
      </c>
      <c r="L202" s="836"/>
      <c r="M202" s="836" t="str">
        <f t="shared" si="31"/>
        <v/>
      </c>
      <c r="N202" s="836"/>
      <c r="O202" s="836" t="str">
        <f>IFERROR(Z202*Simul_ConstruRemo!$BP$30/1000,"")</f>
        <v/>
      </c>
      <c r="P202" s="836"/>
      <c r="Q202" s="836" t="str">
        <f>IFERROR(IF($I$10="Remodelación",M202*Simul_ConstruRemo!$BS$29,
IF(D202=1,MAX(M202,Z202)*$BS$29,M202*$BQ$29)),"")</f>
        <v/>
      </c>
      <c r="R202" s="836"/>
      <c r="S202" s="268" t="str">
        <f>IF(B202="","",'Tabla_Puntual&amp;Relacionamiento'!$B$48)</f>
        <v/>
      </c>
      <c r="T202" s="837"/>
      <c r="U202" s="837"/>
      <c r="V202" s="735" t="str">
        <f>IF(OR(Z201=0,Z201=""),"",IF(I202&gt;=G202,0,IF(OR($Y$52="NO",$Y$52=""),0,MIN(IF($Y$54="",0,$Y$54),$AV$16*25)*10%)))</f>
        <v/>
      </c>
      <c r="W202" s="735"/>
      <c r="X202" s="836" t="str">
        <f t="shared" si="34"/>
        <v/>
      </c>
      <c r="Y202" s="836"/>
      <c r="Z202" s="836" t="str">
        <f t="shared" si="33"/>
        <v/>
      </c>
      <c r="AA202" s="836"/>
      <c r="AC202" s="484"/>
      <c r="AD202" s="66"/>
      <c r="AE202" s="66"/>
      <c r="AI202" s="137" t="str">
        <f t="shared" si="35"/>
        <v/>
      </c>
      <c r="AJ202" s="63" t="str">
        <f>IF(OR(Z202="",Z202&lt;=0.01),"",IF(SUM($E$61:F202)=$I$26+$I$27,1,0))</f>
        <v/>
      </c>
      <c r="AK202" s="63">
        <f t="shared" si="38"/>
        <v>0</v>
      </c>
      <c r="AL202" s="269">
        <f t="shared" si="40"/>
        <v>0</v>
      </c>
      <c r="AN202" s="63" t="str">
        <f t="shared" si="32"/>
        <v/>
      </c>
      <c r="AQ202" s="63">
        <f>IF(SUM($E$61:F201)&gt;=$I$26+$I$27,1,0)</f>
        <v>1</v>
      </c>
      <c r="AR202" s="137" t="str">
        <f t="shared" si="39"/>
        <v/>
      </c>
    </row>
    <row r="203" spans="2:44" ht="21" customHeight="1" x14ac:dyDescent="0.3">
      <c r="B203" s="282" t="str">
        <f t="shared" si="36"/>
        <v/>
      </c>
      <c r="C203" s="282"/>
      <c r="D203" s="267" t="str">
        <f>IF(B203="","",IF(AND($I$10="Remodelación",$I$22="No"),1,IF($I$29&gt;=0.8,1,IF(AN203="Ministración",Simul_ConstruRemo!BM203,1))))</f>
        <v/>
      </c>
      <c r="E203" s="836" t="str">
        <f t="shared" si="30"/>
        <v/>
      </c>
      <c r="F203" s="836"/>
      <c r="G203" s="836" t="str">
        <f t="shared" si="37"/>
        <v/>
      </c>
      <c r="H203" s="836"/>
      <c r="I203" s="836" t="str">
        <f t="shared" si="41"/>
        <v/>
      </c>
      <c r="J203" s="836"/>
      <c r="K203" s="836" t="str">
        <f t="shared" si="29"/>
        <v/>
      </c>
      <c r="L203" s="836"/>
      <c r="M203" s="836" t="str">
        <f t="shared" si="31"/>
        <v/>
      </c>
      <c r="N203" s="836"/>
      <c r="O203" s="836" t="str">
        <f>IFERROR(Z203*Simul_ConstruRemo!$BP$30/1000,"")</f>
        <v/>
      </c>
      <c r="P203" s="836"/>
      <c r="Q203" s="836" t="str">
        <f>IFERROR(IF($I$10="Remodelación",M203*Simul_ConstruRemo!$BS$29,
IF(D203=1,MAX(M203,Z203)*$BS$29,M203*$BQ$29)),"")</f>
        <v/>
      </c>
      <c r="R203" s="836"/>
      <c r="S203" s="268" t="str">
        <f>IF(B203="","",'Tabla_Puntual&amp;Relacionamiento'!$B$48)</f>
        <v/>
      </c>
      <c r="T203" s="837"/>
      <c r="U203" s="837"/>
      <c r="V203" s="734"/>
      <c r="W203" s="734"/>
      <c r="X203" s="836" t="str">
        <f t="shared" si="34"/>
        <v/>
      </c>
      <c r="Y203" s="836"/>
      <c r="Z203" s="836" t="str">
        <f t="shared" si="33"/>
        <v/>
      </c>
      <c r="AA203" s="836"/>
      <c r="AC203" s="484"/>
      <c r="AD203" s="66"/>
      <c r="AE203" s="66"/>
      <c r="AI203" s="137" t="str">
        <f t="shared" si="35"/>
        <v/>
      </c>
      <c r="AJ203" s="63" t="str">
        <f>IF(OR(Z203="",Z203&lt;=0.01),"",IF(SUM($E$61:F203)=$I$26+$I$27,1,0))</f>
        <v/>
      </c>
      <c r="AK203" s="63">
        <f t="shared" si="38"/>
        <v>0</v>
      </c>
      <c r="AL203" s="269">
        <f t="shared" si="40"/>
        <v>0</v>
      </c>
      <c r="AN203" s="63" t="str">
        <f t="shared" si="32"/>
        <v/>
      </c>
      <c r="AQ203" s="63">
        <f>IF(SUM($E$61:F202)&gt;=$I$26+$I$27,1,0)</f>
        <v>1</v>
      </c>
      <c r="AR203" s="137" t="str">
        <f t="shared" si="39"/>
        <v/>
      </c>
    </row>
    <row r="204" spans="2:44" ht="21" customHeight="1" x14ac:dyDescent="0.3">
      <c r="B204" s="282" t="str">
        <f t="shared" si="36"/>
        <v/>
      </c>
      <c r="C204" s="282"/>
      <c r="D204" s="267" t="str">
        <f>IF(B204="","",IF(AND($I$10="Remodelación",$I$22="No"),1,IF($I$29&gt;=0.8,1,IF(AN204="Ministración",Simul_ConstruRemo!BM204,1))))</f>
        <v/>
      </c>
      <c r="E204" s="836" t="str">
        <f t="shared" si="30"/>
        <v/>
      </c>
      <c r="F204" s="836"/>
      <c r="G204" s="836" t="str">
        <f t="shared" si="37"/>
        <v/>
      </c>
      <c r="H204" s="836"/>
      <c r="I204" s="836" t="str">
        <f t="shared" si="41"/>
        <v/>
      </c>
      <c r="J204" s="836"/>
      <c r="K204" s="836" t="str">
        <f t="shared" si="29"/>
        <v/>
      </c>
      <c r="L204" s="836"/>
      <c r="M204" s="836" t="str">
        <f t="shared" si="31"/>
        <v/>
      </c>
      <c r="N204" s="836"/>
      <c r="O204" s="836" t="str">
        <f>IFERROR(Z204*Simul_ConstruRemo!$BP$30/1000,"")</f>
        <v/>
      </c>
      <c r="P204" s="836"/>
      <c r="Q204" s="836" t="str">
        <f>IFERROR(IF($I$10="Remodelación",M204*Simul_ConstruRemo!$BS$29,
IF(D204=1,MAX(M204,Z204)*$BS$29,M204*$BQ$29)),"")</f>
        <v/>
      </c>
      <c r="R204" s="836"/>
      <c r="S204" s="268" t="str">
        <f>IF(B204="","",'Tabla_Puntual&amp;Relacionamiento'!$B$48)</f>
        <v/>
      </c>
      <c r="T204" s="837"/>
      <c r="U204" s="837"/>
      <c r="V204" s="735" t="str">
        <f>IF(OR(Z203=0,Z203=""),"",IF(I204&gt;=G204,0,IF(OR($Y$52="NO",$Y$52=""),0,MIN(IF($Y$54="",0,$Y$54),$AV$16*25)*10%)))</f>
        <v/>
      </c>
      <c r="W204" s="735"/>
      <c r="X204" s="836" t="str">
        <f t="shared" si="34"/>
        <v/>
      </c>
      <c r="Y204" s="836"/>
      <c r="Z204" s="836" t="str">
        <f t="shared" si="33"/>
        <v/>
      </c>
      <c r="AA204" s="836"/>
      <c r="AC204" s="484"/>
      <c r="AD204" s="66"/>
      <c r="AE204" s="66"/>
      <c r="AI204" s="137" t="str">
        <f t="shared" si="35"/>
        <v/>
      </c>
      <c r="AJ204" s="63" t="str">
        <f>IF(OR(Z204="",Z204&lt;=0.01),"",IF(SUM($E$61:F204)=$I$26+$I$27,1,0))</f>
        <v/>
      </c>
      <c r="AK204" s="63">
        <f t="shared" si="38"/>
        <v>0</v>
      </c>
      <c r="AL204" s="269">
        <f t="shared" si="40"/>
        <v>0</v>
      </c>
      <c r="AN204" s="63" t="str">
        <f t="shared" si="32"/>
        <v/>
      </c>
      <c r="AQ204" s="63">
        <f>IF(SUM($E$61:F203)&gt;=$I$26+$I$27,1,0)</f>
        <v>1</v>
      </c>
      <c r="AR204" s="137" t="str">
        <f t="shared" si="39"/>
        <v/>
      </c>
    </row>
    <row r="205" spans="2:44" ht="21" customHeight="1" x14ac:dyDescent="0.3">
      <c r="B205" s="282" t="str">
        <f t="shared" si="36"/>
        <v/>
      </c>
      <c r="C205" s="282"/>
      <c r="D205" s="267" t="str">
        <f>IF(B205="","",IF(AND($I$10="Remodelación",$I$22="No"),1,IF($I$29&gt;=0.8,1,IF(AN205="Ministración",Simul_ConstruRemo!BM205,1))))</f>
        <v/>
      </c>
      <c r="E205" s="836" t="str">
        <f t="shared" si="30"/>
        <v/>
      </c>
      <c r="F205" s="836"/>
      <c r="G205" s="836" t="str">
        <f t="shared" si="37"/>
        <v/>
      </c>
      <c r="H205" s="836"/>
      <c r="I205" s="836" t="str">
        <f t="shared" si="41"/>
        <v/>
      </c>
      <c r="J205" s="836"/>
      <c r="K205" s="836" t="str">
        <f t="shared" si="29"/>
        <v/>
      </c>
      <c r="L205" s="836"/>
      <c r="M205" s="836" t="str">
        <f t="shared" si="31"/>
        <v/>
      </c>
      <c r="N205" s="836"/>
      <c r="O205" s="836" t="str">
        <f>IFERROR(Z205*Simul_ConstruRemo!$BP$30/1000,"")</f>
        <v/>
      </c>
      <c r="P205" s="836"/>
      <c r="Q205" s="836" t="str">
        <f>IFERROR(IF($I$10="Remodelación",M205*Simul_ConstruRemo!$BS$29,
IF(D205=1,MAX(M205,Z205)*$BS$29,M205*$BQ$29)),"")</f>
        <v/>
      </c>
      <c r="R205" s="836"/>
      <c r="S205" s="268" t="str">
        <f>IF(B205="","",'Tabla_Puntual&amp;Relacionamiento'!$B$49)</f>
        <v/>
      </c>
      <c r="T205" s="837"/>
      <c r="U205" s="837"/>
      <c r="V205" s="734"/>
      <c r="W205" s="734"/>
      <c r="X205" s="836" t="str">
        <f t="shared" si="34"/>
        <v/>
      </c>
      <c r="Y205" s="836"/>
      <c r="Z205" s="836" t="str">
        <f t="shared" si="33"/>
        <v/>
      </c>
      <c r="AA205" s="836"/>
      <c r="AC205" s="484"/>
      <c r="AD205" s="66"/>
      <c r="AE205" s="66"/>
      <c r="AI205" s="137" t="str">
        <f t="shared" si="35"/>
        <v/>
      </c>
      <c r="AJ205" s="63" t="str">
        <f>IF(OR(Z205="",Z205&lt;=0.01),"",IF(SUM($E$61:F205)=$I$26+$I$27,1,0))</f>
        <v/>
      </c>
      <c r="AK205" s="63">
        <f t="shared" si="38"/>
        <v>0</v>
      </c>
      <c r="AL205" s="269">
        <f t="shared" si="40"/>
        <v>0</v>
      </c>
      <c r="AN205" s="63" t="str">
        <f t="shared" si="32"/>
        <v/>
      </c>
      <c r="AQ205" s="63">
        <f>IF(SUM($E$61:F204)&gt;=$I$26+$I$27,1,0)</f>
        <v>1</v>
      </c>
      <c r="AR205" s="137" t="str">
        <f t="shared" si="39"/>
        <v/>
      </c>
    </row>
    <row r="206" spans="2:44" ht="21" customHeight="1" x14ac:dyDescent="0.3">
      <c r="B206" s="282" t="str">
        <f t="shared" si="36"/>
        <v/>
      </c>
      <c r="C206" s="282"/>
      <c r="D206" s="267" t="str">
        <f>IF(B206="","",IF(AND($I$10="Remodelación",$I$22="No"),1,IF($I$29&gt;=0.8,1,IF(AN206="Ministración",Simul_ConstruRemo!BM206,1))))</f>
        <v/>
      </c>
      <c r="E206" s="836" t="str">
        <f t="shared" si="30"/>
        <v/>
      </c>
      <c r="F206" s="836"/>
      <c r="G206" s="836" t="str">
        <f t="shared" si="37"/>
        <v/>
      </c>
      <c r="H206" s="836"/>
      <c r="I206" s="836" t="str">
        <f t="shared" si="41"/>
        <v/>
      </c>
      <c r="J206" s="836"/>
      <c r="K206" s="836" t="str">
        <f t="shared" si="29"/>
        <v/>
      </c>
      <c r="L206" s="836"/>
      <c r="M206" s="836" t="str">
        <f t="shared" si="31"/>
        <v/>
      </c>
      <c r="N206" s="836"/>
      <c r="O206" s="836" t="str">
        <f>IFERROR(Z206*Simul_ConstruRemo!$BP$30/1000,"")</f>
        <v/>
      </c>
      <c r="P206" s="836"/>
      <c r="Q206" s="836" t="str">
        <f>IFERROR(IF($I$10="Remodelación",M206*Simul_ConstruRemo!$BS$29,
IF(D206=1,MAX(M206,Z206)*$BS$29,M206*$BQ$29)),"")</f>
        <v/>
      </c>
      <c r="R206" s="836"/>
      <c r="S206" s="268" t="str">
        <f>IF(B206="","",'Tabla_Puntual&amp;Relacionamiento'!$B$49)</f>
        <v/>
      </c>
      <c r="T206" s="837"/>
      <c r="U206" s="837"/>
      <c r="V206" s="735" t="str">
        <f>IF(OR(Z205=0,Z205=""),"",IF(I206&gt;=G206,0,IF(OR($Y$52="NO",$Y$52=""),0,MIN(IF($Y$54="",0,$Y$54),$AV$16*25)*10%)))</f>
        <v/>
      </c>
      <c r="W206" s="735"/>
      <c r="X206" s="836" t="str">
        <f t="shared" si="34"/>
        <v/>
      </c>
      <c r="Y206" s="836"/>
      <c r="Z206" s="836" t="str">
        <f t="shared" si="33"/>
        <v/>
      </c>
      <c r="AA206" s="836"/>
      <c r="AC206" s="484"/>
      <c r="AD206" s="66"/>
      <c r="AE206" s="66"/>
      <c r="AI206" s="137" t="str">
        <f t="shared" si="35"/>
        <v/>
      </c>
      <c r="AJ206" s="63" t="str">
        <f>IF(OR(Z206="",Z206&lt;=0.01),"",IF(SUM($E$61:F206)=$I$26+$I$27,1,0))</f>
        <v/>
      </c>
      <c r="AK206" s="63">
        <f t="shared" si="38"/>
        <v>0</v>
      </c>
      <c r="AL206" s="269">
        <f t="shared" si="40"/>
        <v>0</v>
      </c>
      <c r="AN206" s="63" t="str">
        <f t="shared" si="32"/>
        <v/>
      </c>
      <c r="AQ206" s="63">
        <f>IF(SUM($E$61:F205)&gt;=$I$26+$I$27,1,0)</f>
        <v>1</v>
      </c>
      <c r="AR206" s="137" t="str">
        <f t="shared" si="39"/>
        <v/>
      </c>
    </row>
    <row r="207" spans="2:44" ht="21" customHeight="1" x14ac:dyDescent="0.3">
      <c r="B207" s="282" t="str">
        <f t="shared" si="36"/>
        <v/>
      </c>
      <c r="C207" s="282"/>
      <c r="D207" s="267" t="str">
        <f>IF(B207="","",IF(AND($I$10="Remodelación",$I$22="No"),1,IF($I$29&gt;=0.8,1,IF(AN207="Ministración",Simul_ConstruRemo!BM207,1))))</f>
        <v/>
      </c>
      <c r="E207" s="836" t="str">
        <f t="shared" si="30"/>
        <v/>
      </c>
      <c r="F207" s="836"/>
      <c r="G207" s="836" t="str">
        <f t="shared" si="37"/>
        <v/>
      </c>
      <c r="H207" s="836"/>
      <c r="I207" s="836" t="str">
        <f t="shared" si="41"/>
        <v/>
      </c>
      <c r="J207" s="836"/>
      <c r="K207" s="836" t="str">
        <f t="shared" ref="K207:K270" si="42">IF(B207="","",IF(AN207="Ministración",G207*S207/12,
IF(G207*(S207/12)&lt;0,"",G207*(S207/12))))</f>
        <v/>
      </c>
      <c r="L207" s="836"/>
      <c r="M207" s="836" t="str">
        <f t="shared" si="31"/>
        <v/>
      </c>
      <c r="N207" s="836"/>
      <c r="O207" s="836" t="str">
        <f>IFERROR(Z207*Simul_ConstruRemo!$BP$30/1000,"")</f>
        <v/>
      </c>
      <c r="P207" s="836"/>
      <c r="Q207" s="836" t="str">
        <f>IFERROR(IF($I$10="Remodelación",M207*Simul_ConstruRemo!$BS$29,
IF(D207=1,MAX(M207,Z207)*$BS$29,M207*$BQ$29)),"")</f>
        <v/>
      </c>
      <c r="R207" s="836"/>
      <c r="S207" s="268" t="str">
        <f>IF(B207="","",'Tabla_Puntual&amp;Relacionamiento'!$B$49)</f>
        <v/>
      </c>
      <c r="T207" s="837"/>
      <c r="U207" s="837"/>
      <c r="V207" s="734"/>
      <c r="W207" s="734"/>
      <c r="X207" s="836" t="str">
        <f t="shared" si="34"/>
        <v/>
      </c>
      <c r="Y207" s="836"/>
      <c r="Z207" s="836" t="str">
        <f t="shared" si="33"/>
        <v/>
      </c>
      <c r="AA207" s="836"/>
      <c r="AC207" s="484"/>
      <c r="AD207" s="66"/>
      <c r="AE207" s="66"/>
      <c r="AI207" s="137" t="str">
        <f t="shared" si="35"/>
        <v/>
      </c>
      <c r="AJ207" s="63" t="str">
        <f>IF(OR(Z207="",Z207&lt;=0.01),"",IF(SUM($E$61:F207)=$I$26+$I$27,1,0))</f>
        <v/>
      </c>
      <c r="AK207" s="63">
        <f t="shared" si="38"/>
        <v>0</v>
      </c>
      <c r="AL207" s="269">
        <f t="shared" si="40"/>
        <v>0</v>
      </c>
      <c r="AN207" s="63" t="str">
        <f t="shared" si="32"/>
        <v/>
      </c>
      <c r="AQ207" s="63">
        <f>IF(SUM($E$61:F206)&gt;=$I$26+$I$27,1,0)</f>
        <v>1</v>
      </c>
      <c r="AR207" s="137" t="str">
        <f t="shared" si="39"/>
        <v/>
      </c>
    </row>
    <row r="208" spans="2:44" ht="21" customHeight="1" x14ac:dyDescent="0.3">
      <c r="B208" s="282" t="str">
        <f t="shared" si="36"/>
        <v/>
      </c>
      <c r="C208" s="282"/>
      <c r="D208" s="267" t="str">
        <f>IF(B208="","",IF(AND($I$10="Remodelación",$I$22="No"),1,IF($I$29&gt;=0.8,1,IF(AN208="Ministración",Simul_ConstruRemo!BM208,1))))</f>
        <v/>
      </c>
      <c r="E208" s="836" t="str">
        <f t="shared" ref="E208:E271" si="43">IFERROR(IF(B208="","",
IF(AND($I$10="Remodelación",$I$22="No"),0,
IF(AND($I$10&lt;&gt;"Remodelación",$I$29&gt;=0.8),0,
IF(AN208="Obra Concluida",0,VLOOKUP(B208,$AX$61:$AZ$72,3,0))))),0)</f>
        <v/>
      </c>
      <c r="F208" s="836"/>
      <c r="G208" s="836" t="str">
        <f t="shared" si="37"/>
        <v/>
      </c>
      <c r="H208" s="836"/>
      <c r="I208" s="836" t="str">
        <f t="shared" si="41"/>
        <v/>
      </c>
      <c r="J208" s="836"/>
      <c r="K208" s="836" t="str">
        <f t="shared" si="42"/>
        <v/>
      </c>
      <c r="L208" s="836"/>
      <c r="M208" s="836" t="str">
        <f t="shared" ref="M208:M271" si="44">IF(B208="","",IF($I$10="Remodelación",($I$16*0.7+$I$17*0.5),$CO$27))</f>
        <v/>
      </c>
      <c r="N208" s="836"/>
      <c r="O208" s="836" t="str">
        <f>IFERROR(Z208*Simul_ConstruRemo!$BP$30/1000,"")</f>
        <v/>
      </c>
      <c r="P208" s="836"/>
      <c r="Q208" s="836" t="str">
        <f>IFERROR(IF($I$10="Remodelación",M208*Simul_ConstruRemo!$BS$29,
IF(D208=1,MAX(M208,Z208)*$BS$29,M208*$BQ$29)),"")</f>
        <v/>
      </c>
      <c r="R208" s="836"/>
      <c r="S208" s="268" t="str">
        <f>IF(B208="","",'Tabla_Puntual&amp;Relacionamiento'!$B$49)</f>
        <v/>
      </c>
      <c r="T208" s="837"/>
      <c r="U208" s="837"/>
      <c r="V208" s="735" t="str">
        <f>IF(OR(Z207=0,Z207=""),"",IF(I208&gt;=G208,0,IF(OR($Y$52="NO",$Y$52=""),0,MIN(IF($Y$54="",0,$Y$54),$AV$16*25)*10%)))</f>
        <v/>
      </c>
      <c r="W208" s="735"/>
      <c r="X208" s="836" t="str">
        <f t="shared" si="34"/>
        <v/>
      </c>
      <c r="Y208" s="836"/>
      <c r="Z208" s="836" t="str">
        <f t="shared" si="33"/>
        <v/>
      </c>
      <c r="AA208" s="836"/>
      <c r="AC208" s="484"/>
      <c r="AD208" s="66"/>
      <c r="AE208" s="66"/>
      <c r="AI208" s="137" t="str">
        <f t="shared" si="35"/>
        <v/>
      </c>
      <c r="AJ208" s="63" t="str">
        <f>IF(OR(Z208="",Z208&lt;=0.01),"",IF(SUM($E$61:F208)=$I$26+$I$27,1,0))</f>
        <v/>
      </c>
      <c r="AK208" s="63">
        <f t="shared" si="38"/>
        <v>0</v>
      </c>
      <c r="AL208" s="269">
        <f t="shared" si="40"/>
        <v>0</v>
      </c>
      <c r="AN208" s="63" t="str">
        <f t="shared" ref="AN208:AN271" si="45">IF(B208="","","Obra Concluida")</f>
        <v/>
      </c>
      <c r="AQ208" s="63">
        <f>IF(SUM($E$61:F207)&gt;=$I$26+$I$27,1,0)</f>
        <v>1</v>
      </c>
      <c r="AR208" s="137" t="str">
        <f t="shared" si="39"/>
        <v/>
      </c>
    </row>
    <row r="209" spans="2:44" ht="21" customHeight="1" x14ac:dyDescent="0.3">
      <c r="B209" s="282" t="str">
        <f t="shared" si="36"/>
        <v/>
      </c>
      <c r="C209" s="282"/>
      <c r="D209" s="267" t="str">
        <f>IF(B209="","",IF(AND($I$10="Remodelación",$I$22="No"),1,IF($I$29&gt;=0.8,1,IF(AN209="Ministración",Simul_ConstruRemo!BM209,1))))</f>
        <v/>
      </c>
      <c r="E209" s="836" t="str">
        <f t="shared" si="43"/>
        <v/>
      </c>
      <c r="F209" s="836"/>
      <c r="G209" s="836" t="str">
        <f t="shared" si="37"/>
        <v/>
      </c>
      <c r="H209" s="836"/>
      <c r="I209" s="836" t="str">
        <f t="shared" si="41"/>
        <v/>
      </c>
      <c r="J209" s="836"/>
      <c r="K209" s="836" t="str">
        <f t="shared" si="42"/>
        <v/>
      </c>
      <c r="L209" s="836"/>
      <c r="M209" s="836" t="str">
        <f t="shared" si="44"/>
        <v/>
      </c>
      <c r="N209" s="836"/>
      <c r="O209" s="836" t="str">
        <f>IFERROR(Z209*Simul_ConstruRemo!$BP$30/1000,"")</f>
        <v/>
      </c>
      <c r="P209" s="836"/>
      <c r="Q209" s="836" t="str">
        <f>IFERROR(IF($I$10="Remodelación",M209*Simul_ConstruRemo!$BS$29,
IF(D209=1,MAX(M209,Z209)*$BS$29,M209*$BQ$29)),"")</f>
        <v/>
      </c>
      <c r="R209" s="836"/>
      <c r="S209" s="268" t="str">
        <f>IF(B209="","",'Tabla_Puntual&amp;Relacionamiento'!$B$49)</f>
        <v/>
      </c>
      <c r="T209" s="837"/>
      <c r="U209" s="837"/>
      <c r="V209" s="734"/>
      <c r="W209" s="734"/>
      <c r="X209" s="836" t="str">
        <f t="shared" si="34"/>
        <v/>
      </c>
      <c r="Y209" s="836"/>
      <c r="Z209" s="836" t="str">
        <f t="shared" si="33"/>
        <v/>
      </c>
      <c r="AA209" s="836"/>
      <c r="AC209" s="484"/>
      <c r="AD209" s="66"/>
      <c r="AE209" s="66"/>
      <c r="AI209" s="137" t="str">
        <f t="shared" si="35"/>
        <v/>
      </c>
      <c r="AJ209" s="63" t="str">
        <f>IF(OR(Z209="",Z209&lt;=0.01),"",IF(SUM($E$61:F209)=$I$26+$I$27,1,0))</f>
        <v/>
      </c>
      <c r="AK209" s="63">
        <f t="shared" si="38"/>
        <v>0</v>
      </c>
      <c r="AL209" s="269">
        <f t="shared" si="40"/>
        <v>0</v>
      </c>
      <c r="AN209" s="63" t="str">
        <f t="shared" si="45"/>
        <v/>
      </c>
      <c r="AQ209" s="63">
        <f>IF(SUM($E$61:F208)&gt;=$I$26+$I$27,1,0)</f>
        <v>1</v>
      </c>
      <c r="AR209" s="137" t="str">
        <f t="shared" si="39"/>
        <v/>
      </c>
    </row>
    <row r="210" spans="2:44" ht="21" customHeight="1" x14ac:dyDescent="0.3">
      <c r="B210" s="282" t="str">
        <f t="shared" si="36"/>
        <v/>
      </c>
      <c r="C210" s="282"/>
      <c r="D210" s="267" t="str">
        <f>IF(B210="","",IF(AND($I$10="Remodelación",$I$22="No"),1,IF($I$29&gt;=0.8,1,IF(AN210="Ministración",Simul_ConstruRemo!BM210,1))))</f>
        <v/>
      </c>
      <c r="E210" s="836" t="str">
        <f t="shared" si="43"/>
        <v/>
      </c>
      <c r="F210" s="836"/>
      <c r="G210" s="836" t="str">
        <f t="shared" si="37"/>
        <v/>
      </c>
      <c r="H210" s="836"/>
      <c r="I210" s="836" t="str">
        <f t="shared" si="41"/>
        <v/>
      </c>
      <c r="J210" s="836"/>
      <c r="K210" s="836" t="str">
        <f t="shared" si="42"/>
        <v/>
      </c>
      <c r="L210" s="836"/>
      <c r="M210" s="836" t="str">
        <f t="shared" si="44"/>
        <v/>
      </c>
      <c r="N210" s="836"/>
      <c r="O210" s="836" t="str">
        <f>IFERROR(Z210*Simul_ConstruRemo!$BP$30/1000,"")</f>
        <v/>
      </c>
      <c r="P210" s="836"/>
      <c r="Q210" s="836" t="str">
        <f>IFERROR(IF($I$10="Remodelación",M210*Simul_ConstruRemo!$BS$29,
IF(D210=1,MAX(M210,Z210)*$BS$29,M210*$BQ$29)),"")</f>
        <v/>
      </c>
      <c r="R210" s="836"/>
      <c r="S210" s="268" t="str">
        <f>IF(B210="","",'Tabla_Puntual&amp;Relacionamiento'!$B$49)</f>
        <v/>
      </c>
      <c r="T210" s="837"/>
      <c r="U210" s="837"/>
      <c r="V210" s="735" t="str">
        <f>IF(OR(Z209=0,Z209=""),"",IF(I210&gt;=G210,0,IF(OR($Y$52="NO",$Y$52=""),0,MIN(IF($Y$54="",0,$Y$54),$AV$16*25)*10%)))</f>
        <v/>
      </c>
      <c r="W210" s="735"/>
      <c r="X210" s="836" t="str">
        <f t="shared" si="34"/>
        <v/>
      </c>
      <c r="Y210" s="836"/>
      <c r="Z210" s="836" t="str">
        <f t="shared" ref="Z210:Z273" si="46">IF(B210="","",IF((G210-I210+T210-V210)&lt;1,0,G210-I210-T210-V210))</f>
        <v/>
      </c>
      <c r="AA210" s="836"/>
      <c r="AC210" s="484"/>
      <c r="AD210" s="66"/>
      <c r="AE210" s="66"/>
      <c r="AI210" s="137" t="str">
        <f t="shared" si="35"/>
        <v/>
      </c>
      <c r="AJ210" s="63" t="str">
        <f>IF(OR(Z210="",Z210&lt;=0.01),"",IF(SUM($E$61:F210)=$I$26+$I$27,1,0))</f>
        <v/>
      </c>
      <c r="AK210" s="63">
        <f t="shared" si="38"/>
        <v>0</v>
      </c>
      <c r="AL210" s="269">
        <f t="shared" si="40"/>
        <v>0</v>
      </c>
      <c r="AN210" s="63" t="str">
        <f t="shared" si="45"/>
        <v/>
      </c>
      <c r="AQ210" s="63">
        <f>IF(SUM($E$61:F209)&gt;=$I$26+$I$27,1,0)</f>
        <v>1</v>
      </c>
      <c r="AR210" s="137" t="str">
        <f t="shared" si="39"/>
        <v/>
      </c>
    </row>
    <row r="211" spans="2:44" ht="21" customHeight="1" x14ac:dyDescent="0.3">
      <c r="B211" s="282" t="str">
        <f t="shared" si="36"/>
        <v/>
      </c>
      <c r="C211" s="282"/>
      <c r="D211" s="267" t="str">
        <f>IF(B211="","",IF(AND($I$10="Remodelación",$I$22="No"),1,IF($I$29&gt;=0.8,1,IF(AN211="Ministración",Simul_ConstruRemo!BM211,1))))</f>
        <v/>
      </c>
      <c r="E211" s="836" t="str">
        <f t="shared" si="43"/>
        <v/>
      </c>
      <c r="F211" s="836"/>
      <c r="G211" s="836" t="str">
        <f t="shared" si="37"/>
        <v/>
      </c>
      <c r="H211" s="836"/>
      <c r="I211" s="836" t="str">
        <f t="shared" si="41"/>
        <v/>
      </c>
      <c r="J211" s="836"/>
      <c r="K211" s="836" t="str">
        <f t="shared" si="42"/>
        <v/>
      </c>
      <c r="L211" s="836"/>
      <c r="M211" s="836" t="str">
        <f t="shared" si="44"/>
        <v/>
      </c>
      <c r="N211" s="836"/>
      <c r="O211" s="836" t="str">
        <f>IFERROR(Z211*Simul_ConstruRemo!$BP$30/1000,"")</f>
        <v/>
      </c>
      <c r="P211" s="836"/>
      <c r="Q211" s="836" t="str">
        <f>IFERROR(IF($I$10="Remodelación",M211*Simul_ConstruRemo!$BS$29,
IF(D211=1,MAX(M211,Z211)*$BS$29,M211*$BQ$29)),"")</f>
        <v/>
      </c>
      <c r="R211" s="836"/>
      <c r="S211" s="268" t="str">
        <f>IF(B211="","",'Tabla_Puntual&amp;Relacionamiento'!$B$49)</f>
        <v/>
      </c>
      <c r="T211" s="837"/>
      <c r="U211" s="837"/>
      <c r="V211" s="734"/>
      <c r="W211" s="734"/>
      <c r="X211" s="836" t="str">
        <f t="shared" si="34"/>
        <v/>
      </c>
      <c r="Y211" s="836"/>
      <c r="Z211" s="836" t="str">
        <f t="shared" si="46"/>
        <v/>
      </c>
      <c r="AA211" s="836"/>
      <c r="AC211" s="484"/>
      <c r="AD211" s="66"/>
      <c r="AE211" s="66"/>
      <c r="AI211" s="137" t="str">
        <f t="shared" si="35"/>
        <v/>
      </c>
      <c r="AJ211" s="63" t="str">
        <f>IF(OR(Z211="",Z211&lt;=0.01),"",IF(SUM($E$61:F211)=$I$26+$I$27,1,0))</f>
        <v/>
      </c>
      <c r="AK211" s="63">
        <f t="shared" si="38"/>
        <v>0</v>
      </c>
      <c r="AL211" s="269">
        <f t="shared" si="40"/>
        <v>0</v>
      </c>
      <c r="AN211" s="63" t="str">
        <f t="shared" si="45"/>
        <v/>
      </c>
      <c r="AQ211" s="63">
        <f>IF(SUM($E$61:F210)&gt;=$I$26+$I$27,1,0)</f>
        <v>1</v>
      </c>
      <c r="AR211" s="137" t="str">
        <f t="shared" si="39"/>
        <v/>
      </c>
    </row>
    <row r="212" spans="2:44" ht="21" customHeight="1" x14ac:dyDescent="0.3">
      <c r="B212" s="282" t="str">
        <f t="shared" si="36"/>
        <v/>
      </c>
      <c r="C212" s="282"/>
      <c r="D212" s="267" t="str">
        <f>IF(B212="","",IF(AND($I$10="Remodelación",$I$22="No"),1,IF($I$29&gt;=0.8,1,IF(AN212="Ministración",Simul_ConstruRemo!BM212,1))))</f>
        <v/>
      </c>
      <c r="E212" s="836" t="str">
        <f t="shared" si="43"/>
        <v/>
      </c>
      <c r="F212" s="836"/>
      <c r="G212" s="836" t="str">
        <f t="shared" si="37"/>
        <v/>
      </c>
      <c r="H212" s="836"/>
      <c r="I212" s="836" t="str">
        <f t="shared" si="41"/>
        <v/>
      </c>
      <c r="J212" s="836"/>
      <c r="K212" s="836" t="str">
        <f t="shared" si="42"/>
        <v/>
      </c>
      <c r="L212" s="836"/>
      <c r="M212" s="836" t="str">
        <f t="shared" si="44"/>
        <v/>
      </c>
      <c r="N212" s="836"/>
      <c r="O212" s="836" t="str">
        <f>IFERROR(Z212*Simul_ConstruRemo!$BP$30/1000,"")</f>
        <v/>
      </c>
      <c r="P212" s="836"/>
      <c r="Q212" s="836" t="str">
        <f>IFERROR(IF($I$10="Remodelación",M212*Simul_ConstruRemo!$BS$29,
IF(D212=1,MAX(M212,Z212)*$BS$29,M212*$BQ$29)),"")</f>
        <v/>
      </c>
      <c r="R212" s="836"/>
      <c r="S212" s="268" t="str">
        <f>IF(B212="","",'Tabla_Puntual&amp;Relacionamiento'!$B$49)</f>
        <v/>
      </c>
      <c r="T212" s="837"/>
      <c r="U212" s="837"/>
      <c r="V212" s="735" t="str">
        <f>IF(OR(Z211=0,Z211=""),"",IF(I212&gt;=G212,0,IF(OR($Y$52="NO",$Y$52=""),0,MIN(IF($Y$54="",0,$Y$54),$AV$16*25)*10%)))</f>
        <v/>
      </c>
      <c r="W212" s="735"/>
      <c r="X212" s="836" t="str">
        <f t="shared" si="34"/>
        <v/>
      </c>
      <c r="Y212" s="836"/>
      <c r="Z212" s="836" t="str">
        <f t="shared" si="46"/>
        <v/>
      </c>
      <c r="AA212" s="836"/>
      <c r="AC212" s="484"/>
      <c r="AD212" s="66"/>
      <c r="AE212" s="66"/>
      <c r="AI212" s="137" t="str">
        <f t="shared" si="35"/>
        <v/>
      </c>
      <c r="AJ212" s="63" t="str">
        <f>IF(OR(Z212="",Z212&lt;=0.01),"",IF(SUM($E$61:F212)=$I$26+$I$27,1,0))</f>
        <v/>
      </c>
      <c r="AK212" s="63">
        <f t="shared" si="38"/>
        <v>0</v>
      </c>
      <c r="AL212" s="269">
        <f t="shared" si="40"/>
        <v>0</v>
      </c>
      <c r="AN212" s="63" t="str">
        <f t="shared" si="45"/>
        <v/>
      </c>
      <c r="AQ212" s="63">
        <f>IF(SUM($E$61:F211)&gt;=$I$26+$I$27,1,0)</f>
        <v>1</v>
      </c>
      <c r="AR212" s="137" t="str">
        <f t="shared" si="39"/>
        <v/>
      </c>
    </row>
    <row r="213" spans="2:44" ht="21" customHeight="1" x14ac:dyDescent="0.3">
      <c r="B213" s="282" t="str">
        <f t="shared" si="36"/>
        <v/>
      </c>
      <c r="C213" s="282"/>
      <c r="D213" s="267" t="str">
        <f>IF(B213="","",IF(AND($I$10="Remodelación",$I$22="No"),1,IF($I$29&gt;=0.8,1,IF(AN213="Ministración",Simul_ConstruRemo!BM213,1))))</f>
        <v/>
      </c>
      <c r="E213" s="836" t="str">
        <f t="shared" si="43"/>
        <v/>
      </c>
      <c r="F213" s="836"/>
      <c r="G213" s="836" t="str">
        <f t="shared" si="37"/>
        <v/>
      </c>
      <c r="H213" s="836"/>
      <c r="I213" s="836" t="str">
        <f t="shared" si="41"/>
        <v/>
      </c>
      <c r="J213" s="836"/>
      <c r="K213" s="836" t="str">
        <f t="shared" si="42"/>
        <v/>
      </c>
      <c r="L213" s="836"/>
      <c r="M213" s="836" t="str">
        <f t="shared" si="44"/>
        <v/>
      </c>
      <c r="N213" s="836"/>
      <c r="O213" s="836" t="str">
        <f>IFERROR(Z213*Simul_ConstruRemo!$BP$30/1000,"")</f>
        <v/>
      </c>
      <c r="P213" s="836"/>
      <c r="Q213" s="836" t="str">
        <f>IFERROR(IF($I$10="Remodelación",M213*Simul_ConstruRemo!$BS$29,
IF(D213=1,MAX(M213,Z213)*$BS$29,M213*$BQ$29)),"")</f>
        <v/>
      </c>
      <c r="R213" s="836"/>
      <c r="S213" s="268" t="str">
        <f>IF(B213="","",'Tabla_Puntual&amp;Relacionamiento'!$B$49)</f>
        <v/>
      </c>
      <c r="T213" s="837"/>
      <c r="U213" s="837"/>
      <c r="V213" s="734"/>
      <c r="W213" s="734"/>
      <c r="X213" s="836" t="str">
        <f t="shared" si="34"/>
        <v/>
      </c>
      <c r="Y213" s="836"/>
      <c r="Z213" s="836" t="str">
        <f t="shared" si="46"/>
        <v/>
      </c>
      <c r="AA213" s="836"/>
      <c r="AC213" s="484"/>
      <c r="AD213" s="66"/>
      <c r="AE213" s="66"/>
      <c r="AI213" s="137" t="str">
        <f t="shared" si="35"/>
        <v/>
      </c>
      <c r="AJ213" s="63" t="str">
        <f>IF(OR(Z213="",Z213&lt;=0.01),"",IF(SUM($E$61:F213)=$I$26+$I$27,1,0))</f>
        <v/>
      </c>
      <c r="AK213" s="63">
        <f t="shared" si="38"/>
        <v>0</v>
      </c>
      <c r="AL213" s="269">
        <f t="shared" si="40"/>
        <v>0</v>
      </c>
      <c r="AN213" s="63" t="str">
        <f t="shared" si="45"/>
        <v/>
      </c>
      <c r="AQ213" s="63">
        <f>IF(SUM($E$61:F212)&gt;=$I$26+$I$27,1,0)</f>
        <v>1</v>
      </c>
      <c r="AR213" s="137" t="str">
        <f t="shared" si="39"/>
        <v/>
      </c>
    </row>
    <row r="214" spans="2:44" ht="21" customHeight="1" x14ac:dyDescent="0.3">
      <c r="B214" s="282" t="str">
        <f t="shared" si="36"/>
        <v/>
      </c>
      <c r="C214" s="282"/>
      <c r="D214" s="267" t="str">
        <f>IF(B214="","",IF(AND($I$10="Remodelación",$I$22="No"),1,IF($I$29&gt;=0.8,1,IF(AN214="Ministración",Simul_ConstruRemo!BM214,1))))</f>
        <v/>
      </c>
      <c r="E214" s="836" t="str">
        <f t="shared" si="43"/>
        <v/>
      </c>
      <c r="F214" s="836"/>
      <c r="G214" s="836" t="str">
        <f t="shared" si="37"/>
        <v/>
      </c>
      <c r="H214" s="836"/>
      <c r="I214" s="836" t="str">
        <f t="shared" si="41"/>
        <v/>
      </c>
      <c r="J214" s="836"/>
      <c r="K214" s="836" t="str">
        <f t="shared" si="42"/>
        <v/>
      </c>
      <c r="L214" s="836"/>
      <c r="M214" s="836" t="str">
        <f t="shared" si="44"/>
        <v/>
      </c>
      <c r="N214" s="836"/>
      <c r="O214" s="836" t="str">
        <f>IFERROR(Z214*Simul_ConstruRemo!$BP$30/1000,"")</f>
        <v/>
      </c>
      <c r="P214" s="836"/>
      <c r="Q214" s="836" t="str">
        <f>IFERROR(IF($I$10="Remodelación",M214*Simul_ConstruRemo!$BS$29,
IF(D214=1,MAX(M214,Z214)*$BS$29,M214*$BQ$29)),"")</f>
        <v/>
      </c>
      <c r="R214" s="836"/>
      <c r="S214" s="268" t="str">
        <f>IF(B214="","",'Tabla_Puntual&amp;Relacionamiento'!$B$49)</f>
        <v/>
      </c>
      <c r="T214" s="837"/>
      <c r="U214" s="837"/>
      <c r="V214" s="735" t="str">
        <f>IF(OR(Z213=0,Z213=""),"",IF(I214&gt;=G214,0,IF(OR($Y$52="NO",$Y$52=""),0,MIN(IF($Y$54="",0,$Y$54),$AV$16*25)*10%)))</f>
        <v/>
      </c>
      <c r="W214" s="735"/>
      <c r="X214" s="836" t="str">
        <f t="shared" si="34"/>
        <v/>
      </c>
      <c r="Y214" s="836"/>
      <c r="Z214" s="836" t="str">
        <f t="shared" si="46"/>
        <v/>
      </c>
      <c r="AA214" s="836"/>
      <c r="AC214" s="484"/>
      <c r="AD214" s="66"/>
      <c r="AE214" s="66"/>
      <c r="AI214" s="137" t="str">
        <f t="shared" si="35"/>
        <v/>
      </c>
      <c r="AJ214" s="63" t="str">
        <f>IF(OR(Z214="",Z214&lt;=0.01),"",IF(SUM($E$61:F214)=$I$26+$I$27,1,0))</f>
        <v/>
      </c>
      <c r="AK214" s="63">
        <f t="shared" si="38"/>
        <v>0</v>
      </c>
      <c r="AL214" s="269">
        <f t="shared" si="40"/>
        <v>0</v>
      </c>
      <c r="AN214" s="63" t="str">
        <f t="shared" si="45"/>
        <v/>
      </c>
      <c r="AQ214" s="63">
        <f>IF(SUM($E$61:F213)&gt;=$I$26+$I$27,1,0)</f>
        <v>1</v>
      </c>
      <c r="AR214" s="137" t="str">
        <f t="shared" si="39"/>
        <v/>
      </c>
    </row>
    <row r="215" spans="2:44" ht="21" customHeight="1" x14ac:dyDescent="0.3">
      <c r="B215" s="282" t="str">
        <f t="shared" si="36"/>
        <v/>
      </c>
      <c r="C215" s="282"/>
      <c r="D215" s="267" t="str">
        <f>IF(B215="","",IF(AND($I$10="Remodelación",$I$22="No"),1,IF($I$29&gt;=0.8,1,IF(AN215="Ministración",Simul_ConstruRemo!BM215,1))))</f>
        <v/>
      </c>
      <c r="E215" s="836" t="str">
        <f t="shared" si="43"/>
        <v/>
      </c>
      <c r="F215" s="836"/>
      <c r="G215" s="836" t="str">
        <f t="shared" si="37"/>
        <v/>
      </c>
      <c r="H215" s="836"/>
      <c r="I215" s="836" t="str">
        <f t="shared" si="41"/>
        <v/>
      </c>
      <c r="J215" s="836"/>
      <c r="K215" s="836" t="str">
        <f t="shared" si="42"/>
        <v/>
      </c>
      <c r="L215" s="836"/>
      <c r="M215" s="836" t="str">
        <f t="shared" si="44"/>
        <v/>
      </c>
      <c r="N215" s="836"/>
      <c r="O215" s="836" t="str">
        <f>IFERROR(Z215*Simul_ConstruRemo!$BP$30/1000,"")</f>
        <v/>
      </c>
      <c r="P215" s="836"/>
      <c r="Q215" s="836" t="str">
        <f>IFERROR(IF($I$10="Remodelación",M215*Simul_ConstruRemo!$BS$29,
IF(D215=1,MAX(M215,Z215)*$BS$29,M215*$BQ$29)),"")</f>
        <v/>
      </c>
      <c r="R215" s="836"/>
      <c r="S215" s="268" t="str">
        <f>IF(B215="","",'Tabla_Puntual&amp;Relacionamiento'!$B$49)</f>
        <v/>
      </c>
      <c r="T215" s="837"/>
      <c r="U215" s="837"/>
      <c r="V215" s="734"/>
      <c r="W215" s="734"/>
      <c r="X215" s="836" t="str">
        <f t="shared" si="34"/>
        <v/>
      </c>
      <c r="Y215" s="836"/>
      <c r="Z215" s="836" t="str">
        <f t="shared" si="46"/>
        <v/>
      </c>
      <c r="AA215" s="836"/>
      <c r="AC215" s="484"/>
      <c r="AD215" s="66"/>
      <c r="AE215" s="66"/>
      <c r="AI215" s="137" t="str">
        <f t="shared" si="35"/>
        <v/>
      </c>
      <c r="AJ215" s="63" t="str">
        <f>IF(OR(Z215="",Z215&lt;=0.01),"",IF(SUM($E$61:F215)=$I$26+$I$27,1,0))</f>
        <v/>
      </c>
      <c r="AK215" s="63">
        <f t="shared" si="38"/>
        <v>0</v>
      </c>
      <c r="AL215" s="269">
        <f t="shared" si="40"/>
        <v>0</v>
      </c>
      <c r="AN215" s="63" t="str">
        <f t="shared" si="45"/>
        <v/>
      </c>
      <c r="AQ215" s="63">
        <f>IF(SUM($E$61:F214)&gt;=$I$26+$I$27,1,0)</f>
        <v>1</v>
      </c>
      <c r="AR215" s="137" t="str">
        <f t="shared" si="39"/>
        <v/>
      </c>
    </row>
    <row r="216" spans="2:44" ht="21" customHeight="1" x14ac:dyDescent="0.3">
      <c r="B216" s="282" t="str">
        <f t="shared" si="36"/>
        <v/>
      </c>
      <c r="C216" s="282"/>
      <c r="D216" s="267" t="str">
        <f>IF(B216="","",IF(AND($I$10="Remodelación",$I$22="No"),1,IF($I$29&gt;=0.8,1,IF(AN216="Ministración",Simul_ConstruRemo!BM216,1))))</f>
        <v/>
      </c>
      <c r="E216" s="836" t="str">
        <f t="shared" si="43"/>
        <v/>
      </c>
      <c r="F216" s="836"/>
      <c r="G216" s="836" t="str">
        <f t="shared" si="37"/>
        <v/>
      </c>
      <c r="H216" s="836"/>
      <c r="I216" s="836" t="str">
        <f t="shared" si="41"/>
        <v/>
      </c>
      <c r="J216" s="836"/>
      <c r="K216" s="836" t="str">
        <f t="shared" si="42"/>
        <v/>
      </c>
      <c r="L216" s="836"/>
      <c r="M216" s="836" t="str">
        <f t="shared" si="44"/>
        <v/>
      </c>
      <c r="N216" s="836"/>
      <c r="O216" s="836" t="str">
        <f>IFERROR(Z216*Simul_ConstruRemo!$BP$30/1000,"")</f>
        <v/>
      </c>
      <c r="P216" s="836"/>
      <c r="Q216" s="836" t="str">
        <f>IFERROR(IF($I$10="Remodelación",M216*Simul_ConstruRemo!$BS$29,
IF(D216=1,MAX(M216,Z216)*$BS$29,M216*$BQ$29)),"")</f>
        <v/>
      </c>
      <c r="R216" s="836"/>
      <c r="S216" s="268" t="str">
        <f>IF(B216="","",'Tabla_Puntual&amp;Relacionamiento'!$B$49)</f>
        <v/>
      </c>
      <c r="T216" s="837"/>
      <c r="U216" s="837"/>
      <c r="V216" s="735" t="str">
        <f>IF(OR(Z215=0,Z215=""),"",IF(I216&gt;=G216,0,IF(OR($Y$52="NO",$Y$52=""),0,MIN(IF($Y$54="",0,$Y$54),$AV$16*25)*10%)))</f>
        <v/>
      </c>
      <c r="W216" s="735"/>
      <c r="X216" s="836" t="str">
        <f t="shared" si="34"/>
        <v/>
      </c>
      <c r="Y216" s="836"/>
      <c r="Z216" s="836" t="str">
        <f t="shared" si="46"/>
        <v/>
      </c>
      <c r="AA216" s="836"/>
      <c r="AC216" s="484"/>
      <c r="AD216" s="66"/>
      <c r="AE216" s="66"/>
      <c r="AI216" s="137" t="str">
        <f t="shared" si="35"/>
        <v/>
      </c>
      <c r="AJ216" s="63" t="str">
        <f>IF(OR(Z216="",Z216&lt;=0.01),"",IF(SUM($E$61:F216)=$I$26+$I$27,1,0))</f>
        <v/>
      </c>
      <c r="AK216" s="63">
        <f t="shared" si="38"/>
        <v>0</v>
      </c>
      <c r="AL216" s="269">
        <f t="shared" si="40"/>
        <v>0</v>
      </c>
      <c r="AN216" s="63" t="str">
        <f t="shared" si="45"/>
        <v/>
      </c>
      <c r="AQ216" s="63">
        <f>IF(SUM($E$61:F215)&gt;=$I$26+$I$27,1,0)</f>
        <v>1</v>
      </c>
      <c r="AR216" s="137" t="str">
        <f t="shared" si="39"/>
        <v/>
      </c>
    </row>
    <row r="217" spans="2:44" ht="21" customHeight="1" x14ac:dyDescent="0.3">
      <c r="B217" s="282" t="str">
        <f t="shared" si="36"/>
        <v/>
      </c>
      <c r="C217" s="282"/>
      <c r="D217" s="267" t="str">
        <f>IF(B217="","",IF(AND($I$10="Remodelación",$I$22="No"),1,IF($I$29&gt;=0.8,1,IF(AN217="Ministración",Simul_ConstruRemo!BM217,1))))</f>
        <v/>
      </c>
      <c r="E217" s="836" t="str">
        <f t="shared" si="43"/>
        <v/>
      </c>
      <c r="F217" s="836"/>
      <c r="G217" s="836" t="str">
        <f t="shared" si="37"/>
        <v/>
      </c>
      <c r="H217" s="836"/>
      <c r="I217" s="836" t="str">
        <f t="shared" si="41"/>
        <v/>
      </c>
      <c r="J217" s="836"/>
      <c r="K217" s="836" t="str">
        <f t="shared" si="42"/>
        <v/>
      </c>
      <c r="L217" s="836"/>
      <c r="M217" s="836" t="str">
        <f t="shared" si="44"/>
        <v/>
      </c>
      <c r="N217" s="836"/>
      <c r="O217" s="836" t="str">
        <f>IFERROR(Z217*Simul_ConstruRemo!$BP$30/1000,"")</f>
        <v/>
      </c>
      <c r="P217" s="836"/>
      <c r="Q217" s="836" t="str">
        <f>IFERROR(IF($I$10="Remodelación",M217*Simul_ConstruRemo!$BS$29,
IF(D217=1,MAX(M217,Z217)*$BS$29,M217*$BQ$29)),"")</f>
        <v/>
      </c>
      <c r="R217" s="836"/>
      <c r="S217" s="268" t="str">
        <f>IF(B217="","",'Tabla_Puntual&amp;Relacionamiento'!$B$50)</f>
        <v/>
      </c>
      <c r="T217" s="837"/>
      <c r="U217" s="837"/>
      <c r="V217" s="734"/>
      <c r="W217" s="734"/>
      <c r="X217" s="836" t="str">
        <f t="shared" ref="X217:X280" si="47">IFERROR(IF(G217&lt;AR217-K217,I217+K217+O217+Q217,AR217+O217+Q217),"")</f>
        <v/>
      </c>
      <c r="Y217" s="836"/>
      <c r="Z217" s="836" t="str">
        <f t="shared" si="46"/>
        <v/>
      </c>
      <c r="AA217" s="836"/>
      <c r="AC217" s="484"/>
      <c r="AD217" s="66"/>
      <c r="AE217" s="66"/>
      <c r="AI217" s="137" t="str">
        <f t="shared" si="35"/>
        <v/>
      </c>
      <c r="AJ217" s="63" t="str">
        <f>IF(OR(Z217="",Z217&lt;=0.01),"",IF(SUM($E$61:F217)=$I$26+$I$27,1,0))</f>
        <v/>
      </c>
      <c r="AK217" s="63">
        <f t="shared" si="38"/>
        <v>0</v>
      </c>
      <c r="AL217" s="269">
        <f t="shared" si="40"/>
        <v>0</v>
      </c>
      <c r="AN217" s="63" t="str">
        <f t="shared" si="45"/>
        <v/>
      </c>
      <c r="AQ217" s="63">
        <f>IF(SUM($E$61:F216)&gt;=$I$26+$I$27,1,0)</f>
        <v>1</v>
      </c>
      <c r="AR217" s="137" t="str">
        <f t="shared" si="39"/>
        <v/>
      </c>
    </row>
    <row r="218" spans="2:44" ht="21" customHeight="1" x14ac:dyDescent="0.3">
      <c r="B218" s="282" t="str">
        <f t="shared" si="36"/>
        <v/>
      </c>
      <c r="C218" s="282"/>
      <c r="D218" s="267" t="str">
        <f>IF(B218="","",IF(AND($I$10="Remodelación",$I$22="No"),1,IF($I$29&gt;=0.8,1,IF(AN218="Ministración",Simul_ConstruRemo!BM218,1))))</f>
        <v/>
      </c>
      <c r="E218" s="836" t="str">
        <f t="shared" si="43"/>
        <v/>
      </c>
      <c r="F218" s="836"/>
      <c r="G218" s="836" t="str">
        <f t="shared" si="37"/>
        <v/>
      </c>
      <c r="H218" s="836"/>
      <c r="I218" s="836" t="str">
        <f t="shared" si="41"/>
        <v/>
      </c>
      <c r="J218" s="836"/>
      <c r="K218" s="836" t="str">
        <f t="shared" si="42"/>
        <v/>
      </c>
      <c r="L218" s="836"/>
      <c r="M218" s="836" t="str">
        <f t="shared" si="44"/>
        <v/>
      </c>
      <c r="N218" s="836"/>
      <c r="O218" s="836" t="str">
        <f>IFERROR(Z218*Simul_ConstruRemo!$BP$30/1000,"")</f>
        <v/>
      </c>
      <c r="P218" s="836"/>
      <c r="Q218" s="836" t="str">
        <f>IFERROR(IF($I$10="Remodelación",M218*Simul_ConstruRemo!$BS$29,
IF(D218=1,MAX(M218,Z218)*$BS$29,M218*$BQ$29)),"")</f>
        <v/>
      </c>
      <c r="R218" s="836"/>
      <c r="S218" s="268" t="str">
        <f>IF(B218="","",'Tabla_Puntual&amp;Relacionamiento'!$B$50)</f>
        <v/>
      </c>
      <c r="T218" s="837"/>
      <c r="U218" s="837"/>
      <c r="V218" s="735" t="str">
        <f>IF(OR(Z217=0,Z217=""),"",IF(I218&gt;=G218,0,IF(OR($Y$52="NO",$Y$52=""),0,MIN(IF($Y$54="",0,$Y$54),$AV$16*25)*10%)))</f>
        <v/>
      </c>
      <c r="W218" s="735"/>
      <c r="X218" s="836" t="str">
        <f t="shared" si="47"/>
        <v/>
      </c>
      <c r="Y218" s="836"/>
      <c r="Z218" s="836" t="str">
        <f t="shared" si="46"/>
        <v/>
      </c>
      <c r="AA218" s="836"/>
      <c r="AC218" s="484"/>
      <c r="AD218" s="66"/>
      <c r="AE218" s="66"/>
      <c r="AI218" s="137" t="str">
        <f t="shared" si="35"/>
        <v/>
      </c>
      <c r="AJ218" s="63" t="str">
        <f>IF(OR(Z218="",Z218&lt;=0.01),"",IF(SUM($E$61:F218)=$I$26+$I$27,1,0))</f>
        <v/>
      </c>
      <c r="AK218" s="63">
        <f t="shared" si="38"/>
        <v>0</v>
      </c>
      <c r="AL218" s="269">
        <f t="shared" si="40"/>
        <v>0</v>
      </c>
      <c r="AN218" s="63" t="str">
        <f t="shared" si="45"/>
        <v/>
      </c>
      <c r="AQ218" s="63">
        <f>IF(SUM($E$61:F217)&gt;=$I$26+$I$27,1,0)</f>
        <v>1</v>
      </c>
      <c r="AR218" s="137" t="str">
        <f t="shared" si="39"/>
        <v/>
      </c>
    </row>
    <row r="219" spans="2:44" ht="21" customHeight="1" x14ac:dyDescent="0.3">
      <c r="B219" s="282" t="str">
        <f t="shared" si="36"/>
        <v/>
      </c>
      <c r="C219" s="282"/>
      <c r="D219" s="267" t="str">
        <f>IF(B219="","",IF(AND($I$10="Remodelación",$I$22="No"),1,IF($I$29&gt;=0.8,1,IF(AN219="Ministración",Simul_ConstruRemo!BM219,1))))</f>
        <v/>
      </c>
      <c r="E219" s="836" t="str">
        <f t="shared" si="43"/>
        <v/>
      </c>
      <c r="F219" s="836"/>
      <c r="G219" s="836" t="str">
        <f t="shared" si="37"/>
        <v/>
      </c>
      <c r="H219" s="836"/>
      <c r="I219" s="836" t="str">
        <f t="shared" si="41"/>
        <v/>
      </c>
      <c r="J219" s="836"/>
      <c r="K219" s="836" t="str">
        <f t="shared" si="42"/>
        <v/>
      </c>
      <c r="L219" s="836"/>
      <c r="M219" s="836" t="str">
        <f t="shared" si="44"/>
        <v/>
      </c>
      <c r="N219" s="836"/>
      <c r="O219" s="836" t="str">
        <f>IFERROR(Z219*Simul_ConstruRemo!$BP$30/1000,"")</f>
        <v/>
      </c>
      <c r="P219" s="836"/>
      <c r="Q219" s="836" t="str">
        <f>IFERROR(IF($I$10="Remodelación",M219*Simul_ConstruRemo!$BS$29,
IF(D219=1,MAX(M219,Z219)*$BS$29,M219*$BQ$29)),"")</f>
        <v/>
      </c>
      <c r="R219" s="836"/>
      <c r="S219" s="268" t="str">
        <f>IF(B219="","",'Tabla_Puntual&amp;Relacionamiento'!$B$50)</f>
        <v/>
      </c>
      <c r="T219" s="837"/>
      <c r="U219" s="837"/>
      <c r="V219" s="734"/>
      <c r="W219" s="734"/>
      <c r="X219" s="836" t="str">
        <f t="shared" si="47"/>
        <v/>
      </c>
      <c r="Y219" s="836"/>
      <c r="Z219" s="836" t="str">
        <f t="shared" si="46"/>
        <v/>
      </c>
      <c r="AA219" s="836"/>
      <c r="AC219" s="484"/>
      <c r="AD219" s="66"/>
      <c r="AE219" s="66"/>
      <c r="AI219" s="137" t="str">
        <f t="shared" si="35"/>
        <v/>
      </c>
      <c r="AJ219" s="63" t="str">
        <f>IF(OR(Z219="",Z219&lt;=0.01),"",IF(SUM($E$61:F219)=$I$26+$I$27,1,0))</f>
        <v/>
      </c>
      <c r="AK219" s="63">
        <f t="shared" si="38"/>
        <v>0</v>
      </c>
      <c r="AL219" s="269">
        <f t="shared" si="40"/>
        <v>0</v>
      </c>
      <c r="AN219" s="63" t="str">
        <f t="shared" si="45"/>
        <v/>
      </c>
      <c r="AQ219" s="63">
        <f>IF(SUM($E$61:F218)&gt;=$I$26+$I$27,1,0)</f>
        <v>1</v>
      </c>
      <c r="AR219" s="137" t="str">
        <f t="shared" si="39"/>
        <v/>
      </c>
    </row>
    <row r="220" spans="2:44" ht="21" customHeight="1" x14ac:dyDescent="0.3">
      <c r="B220" s="282" t="str">
        <f t="shared" si="36"/>
        <v/>
      </c>
      <c r="C220" s="282"/>
      <c r="D220" s="267" t="str">
        <f>IF(B220="","",IF(AND($I$10="Remodelación",$I$22="No"),1,IF($I$29&gt;=0.8,1,IF(AN220="Ministración",Simul_ConstruRemo!BM220,1))))</f>
        <v/>
      </c>
      <c r="E220" s="836" t="str">
        <f t="shared" si="43"/>
        <v/>
      </c>
      <c r="F220" s="836"/>
      <c r="G220" s="836" t="str">
        <f t="shared" si="37"/>
        <v/>
      </c>
      <c r="H220" s="836"/>
      <c r="I220" s="836" t="str">
        <f t="shared" si="41"/>
        <v/>
      </c>
      <c r="J220" s="836"/>
      <c r="K220" s="836" t="str">
        <f t="shared" si="42"/>
        <v/>
      </c>
      <c r="L220" s="836"/>
      <c r="M220" s="836" t="str">
        <f t="shared" si="44"/>
        <v/>
      </c>
      <c r="N220" s="836"/>
      <c r="O220" s="836" t="str">
        <f>IFERROR(Z220*Simul_ConstruRemo!$BP$30/1000,"")</f>
        <v/>
      </c>
      <c r="P220" s="836"/>
      <c r="Q220" s="836" t="str">
        <f>IFERROR(IF($I$10="Remodelación",M220*Simul_ConstruRemo!$BS$29,
IF(D220=1,MAX(M220,Z220)*$BS$29,M220*$BQ$29)),"")</f>
        <v/>
      </c>
      <c r="R220" s="836"/>
      <c r="S220" s="268" t="str">
        <f>IF(B220="","",'Tabla_Puntual&amp;Relacionamiento'!$B$50)</f>
        <v/>
      </c>
      <c r="T220" s="837"/>
      <c r="U220" s="837"/>
      <c r="V220" s="735" t="str">
        <f>IF(OR(Z219=0,Z219=""),"",IF(I220&gt;=G220,0,IF(OR($Y$52="NO",$Y$52=""),0,MIN(IF($Y$54="",0,$Y$54),$AV$16*25)*10%)))</f>
        <v/>
      </c>
      <c r="W220" s="735"/>
      <c r="X220" s="836" t="str">
        <f t="shared" si="47"/>
        <v/>
      </c>
      <c r="Y220" s="836"/>
      <c r="Z220" s="836" t="str">
        <f t="shared" si="46"/>
        <v/>
      </c>
      <c r="AA220" s="836"/>
      <c r="AC220" s="484"/>
      <c r="AD220" s="66"/>
      <c r="AE220" s="66"/>
      <c r="AI220" s="137" t="str">
        <f t="shared" si="35"/>
        <v/>
      </c>
      <c r="AJ220" s="63" t="str">
        <f>IF(OR(Z220="",Z220&lt;=0.01),"",IF(SUM($E$61:F220)=$I$26+$I$27,1,0))</f>
        <v/>
      </c>
      <c r="AK220" s="63">
        <f t="shared" si="38"/>
        <v>0</v>
      </c>
      <c r="AL220" s="269">
        <f t="shared" si="40"/>
        <v>0</v>
      </c>
      <c r="AN220" s="63" t="str">
        <f t="shared" si="45"/>
        <v/>
      </c>
      <c r="AQ220" s="63">
        <f>IF(SUM($E$61:F219)&gt;=$I$26+$I$27,1,0)</f>
        <v>1</v>
      </c>
      <c r="AR220" s="137" t="str">
        <f t="shared" si="39"/>
        <v/>
      </c>
    </row>
    <row r="221" spans="2:44" ht="21" customHeight="1" x14ac:dyDescent="0.3">
      <c r="B221" s="282" t="str">
        <f t="shared" si="36"/>
        <v/>
      </c>
      <c r="C221" s="282"/>
      <c r="D221" s="267" t="str">
        <f>IF(B221="","",IF(AND($I$10="Remodelación",$I$22="No"),1,IF($I$29&gt;=0.8,1,IF(AN221="Ministración",Simul_ConstruRemo!BM221,1))))</f>
        <v/>
      </c>
      <c r="E221" s="836" t="str">
        <f t="shared" si="43"/>
        <v/>
      </c>
      <c r="F221" s="836"/>
      <c r="G221" s="836" t="str">
        <f t="shared" si="37"/>
        <v/>
      </c>
      <c r="H221" s="836"/>
      <c r="I221" s="836" t="str">
        <f t="shared" si="41"/>
        <v/>
      </c>
      <c r="J221" s="836"/>
      <c r="K221" s="836" t="str">
        <f t="shared" si="42"/>
        <v/>
      </c>
      <c r="L221" s="836"/>
      <c r="M221" s="836" t="str">
        <f t="shared" si="44"/>
        <v/>
      </c>
      <c r="N221" s="836"/>
      <c r="O221" s="836" t="str">
        <f>IFERROR(Z221*Simul_ConstruRemo!$BP$30/1000,"")</f>
        <v/>
      </c>
      <c r="P221" s="836"/>
      <c r="Q221" s="836" t="str">
        <f>IFERROR(IF($I$10="Remodelación",M221*Simul_ConstruRemo!$BS$29,
IF(D221=1,MAX(M221,Z221)*$BS$29,M221*$BQ$29)),"")</f>
        <v/>
      </c>
      <c r="R221" s="836"/>
      <c r="S221" s="268" t="str">
        <f>IF(B221="","",'Tabla_Puntual&amp;Relacionamiento'!$B$50)</f>
        <v/>
      </c>
      <c r="T221" s="837"/>
      <c r="U221" s="837"/>
      <c r="V221" s="734"/>
      <c r="W221" s="734"/>
      <c r="X221" s="836" t="str">
        <f t="shared" si="47"/>
        <v/>
      </c>
      <c r="Y221" s="836"/>
      <c r="Z221" s="836" t="str">
        <f t="shared" si="46"/>
        <v/>
      </c>
      <c r="AA221" s="836"/>
      <c r="AC221" s="484"/>
      <c r="AD221" s="66"/>
      <c r="AE221" s="66"/>
      <c r="AI221" s="137" t="str">
        <f t="shared" si="35"/>
        <v/>
      </c>
      <c r="AJ221" s="63" t="str">
        <f>IF(OR(Z221="",Z221&lt;=0.01),"",IF(SUM($E$61:F221)=$I$26+$I$27,1,0))</f>
        <v/>
      </c>
      <c r="AK221" s="63">
        <f t="shared" si="38"/>
        <v>0</v>
      </c>
      <c r="AL221" s="269">
        <f t="shared" si="40"/>
        <v>0</v>
      </c>
      <c r="AN221" s="63" t="str">
        <f t="shared" si="45"/>
        <v/>
      </c>
      <c r="AQ221" s="63">
        <f>IF(SUM($E$61:F220)&gt;=$I$26+$I$27,1,0)</f>
        <v>1</v>
      </c>
      <c r="AR221" s="137" t="str">
        <f t="shared" si="39"/>
        <v/>
      </c>
    </row>
    <row r="222" spans="2:44" ht="21" customHeight="1" x14ac:dyDescent="0.3">
      <c r="B222" s="282" t="str">
        <f t="shared" si="36"/>
        <v/>
      </c>
      <c r="C222" s="282"/>
      <c r="D222" s="267" t="str">
        <f>IF(B222="","",IF(AND($I$10="Remodelación",$I$22="No"),1,IF($I$29&gt;=0.8,1,IF(AN222="Ministración",Simul_ConstruRemo!BM222,1))))</f>
        <v/>
      </c>
      <c r="E222" s="836" t="str">
        <f t="shared" si="43"/>
        <v/>
      </c>
      <c r="F222" s="836"/>
      <c r="G222" s="836" t="str">
        <f t="shared" si="37"/>
        <v/>
      </c>
      <c r="H222" s="836"/>
      <c r="I222" s="836" t="str">
        <f t="shared" si="41"/>
        <v/>
      </c>
      <c r="J222" s="836"/>
      <c r="K222" s="836" t="str">
        <f t="shared" si="42"/>
        <v/>
      </c>
      <c r="L222" s="836"/>
      <c r="M222" s="836" t="str">
        <f t="shared" si="44"/>
        <v/>
      </c>
      <c r="N222" s="836"/>
      <c r="O222" s="836" t="str">
        <f>IFERROR(Z222*Simul_ConstruRemo!$BP$30/1000,"")</f>
        <v/>
      </c>
      <c r="P222" s="836"/>
      <c r="Q222" s="836" t="str">
        <f>IFERROR(IF($I$10="Remodelación",M222*Simul_ConstruRemo!$BS$29,
IF(D222=1,MAX(M222,Z222)*$BS$29,M222*$BQ$29)),"")</f>
        <v/>
      </c>
      <c r="R222" s="836"/>
      <c r="S222" s="268" t="str">
        <f>IF(B222="","",'Tabla_Puntual&amp;Relacionamiento'!$B$50)</f>
        <v/>
      </c>
      <c r="T222" s="837"/>
      <c r="U222" s="837"/>
      <c r="V222" s="735" t="str">
        <f>IF(OR(Z221=0,Z221=""),"",IF(I222&gt;=G222,0,IF(OR($Y$52="NO",$Y$52=""),0,MIN(IF($Y$54="",0,$Y$54),$AV$16*25)*10%)))</f>
        <v/>
      </c>
      <c r="W222" s="735"/>
      <c r="X222" s="836" t="str">
        <f t="shared" si="47"/>
        <v/>
      </c>
      <c r="Y222" s="836"/>
      <c r="Z222" s="836" t="str">
        <f t="shared" si="46"/>
        <v/>
      </c>
      <c r="AA222" s="836"/>
      <c r="AC222" s="484"/>
      <c r="AD222" s="66"/>
      <c r="AE222" s="66"/>
      <c r="AI222" s="137" t="str">
        <f t="shared" si="35"/>
        <v/>
      </c>
      <c r="AJ222" s="63" t="str">
        <f>IF(OR(Z222="",Z222&lt;=0.01),"",IF(SUM($E$61:F222)=$I$26+$I$27,1,0))</f>
        <v/>
      </c>
      <c r="AK222" s="63">
        <f t="shared" si="38"/>
        <v>0</v>
      </c>
      <c r="AL222" s="269">
        <f t="shared" si="40"/>
        <v>0</v>
      </c>
      <c r="AN222" s="63" t="str">
        <f t="shared" si="45"/>
        <v/>
      </c>
      <c r="AQ222" s="63">
        <f>IF(SUM($E$61:F221)&gt;=$I$26+$I$27,1,0)</f>
        <v>1</v>
      </c>
      <c r="AR222" s="137" t="str">
        <f t="shared" si="39"/>
        <v/>
      </c>
    </row>
    <row r="223" spans="2:44" ht="21" customHeight="1" x14ac:dyDescent="0.3">
      <c r="B223" s="282" t="str">
        <f t="shared" si="36"/>
        <v/>
      </c>
      <c r="C223" s="282"/>
      <c r="D223" s="267" t="str">
        <f>IF(B223="","",IF(AND($I$10="Remodelación",$I$22="No"),1,IF($I$29&gt;=0.8,1,IF(AN223="Ministración",Simul_ConstruRemo!BM223,1))))</f>
        <v/>
      </c>
      <c r="E223" s="836" t="str">
        <f t="shared" si="43"/>
        <v/>
      </c>
      <c r="F223" s="836"/>
      <c r="G223" s="836" t="str">
        <f t="shared" si="37"/>
        <v/>
      </c>
      <c r="H223" s="836"/>
      <c r="I223" s="836" t="str">
        <f t="shared" si="41"/>
        <v/>
      </c>
      <c r="J223" s="836"/>
      <c r="K223" s="836" t="str">
        <f t="shared" si="42"/>
        <v/>
      </c>
      <c r="L223" s="836"/>
      <c r="M223" s="836" t="str">
        <f t="shared" si="44"/>
        <v/>
      </c>
      <c r="N223" s="836"/>
      <c r="O223" s="836" t="str">
        <f>IFERROR(Z223*Simul_ConstruRemo!$BP$30/1000,"")</f>
        <v/>
      </c>
      <c r="P223" s="836"/>
      <c r="Q223" s="836" t="str">
        <f>IFERROR(IF($I$10="Remodelación",M223*Simul_ConstruRemo!$BS$29,
IF(D223=1,MAX(M223,Z223)*$BS$29,M223*$BQ$29)),"")</f>
        <v/>
      </c>
      <c r="R223" s="836"/>
      <c r="S223" s="268" t="str">
        <f>IF(B223="","",'Tabla_Puntual&amp;Relacionamiento'!$B$50)</f>
        <v/>
      </c>
      <c r="T223" s="837"/>
      <c r="U223" s="837"/>
      <c r="V223" s="734"/>
      <c r="W223" s="734"/>
      <c r="X223" s="836" t="str">
        <f t="shared" si="47"/>
        <v/>
      </c>
      <c r="Y223" s="836"/>
      <c r="Z223" s="836" t="str">
        <f t="shared" si="46"/>
        <v/>
      </c>
      <c r="AA223" s="836"/>
      <c r="AC223" s="484"/>
      <c r="AD223" s="66"/>
      <c r="AE223" s="66"/>
      <c r="AI223" s="137" t="str">
        <f t="shared" si="35"/>
        <v/>
      </c>
      <c r="AJ223" s="63" t="str">
        <f>IF(OR(Z223="",Z223&lt;=0.01),"",IF(SUM($E$61:F223)=$I$26+$I$27,1,0))</f>
        <v/>
      </c>
      <c r="AK223" s="63">
        <f t="shared" si="38"/>
        <v>0</v>
      </c>
      <c r="AL223" s="269">
        <f t="shared" si="40"/>
        <v>0</v>
      </c>
      <c r="AN223" s="63" t="str">
        <f t="shared" si="45"/>
        <v/>
      </c>
      <c r="AQ223" s="63">
        <f>IF(SUM($E$61:F222)&gt;=$I$26+$I$27,1,0)</f>
        <v>1</v>
      </c>
      <c r="AR223" s="137" t="str">
        <f t="shared" si="39"/>
        <v/>
      </c>
    </row>
    <row r="224" spans="2:44" ht="21" customHeight="1" x14ac:dyDescent="0.3">
      <c r="B224" s="282" t="str">
        <f t="shared" si="36"/>
        <v/>
      </c>
      <c r="C224" s="282"/>
      <c r="D224" s="267" t="str">
        <f>IF(B224="","",IF(AND($I$10="Remodelación",$I$22="No"),1,IF($I$29&gt;=0.8,1,IF(AN224="Ministración",Simul_ConstruRemo!BM224,1))))</f>
        <v/>
      </c>
      <c r="E224" s="836" t="str">
        <f t="shared" si="43"/>
        <v/>
      </c>
      <c r="F224" s="836"/>
      <c r="G224" s="836" t="str">
        <f t="shared" si="37"/>
        <v/>
      </c>
      <c r="H224" s="836"/>
      <c r="I224" s="836" t="str">
        <f t="shared" si="41"/>
        <v/>
      </c>
      <c r="J224" s="836"/>
      <c r="K224" s="836" t="str">
        <f t="shared" si="42"/>
        <v/>
      </c>
      <c r="L224" s="836"/>
      <c r="M224" s="836" t="str">
        <f t="shared" si="44"/>
        <v/>
      </c>
      <c r="N224" s="836"/>
      <c r="O224" s="836" t="str">
        <f>IFERROR(Z224*Simul_ConstruRemo!$BP$30/1000,"")</f>
        <v/>
      </c>
      <c r="P224" s="836"/>
      <c r="Q224" s="836" t="str">
        <f>IFERROR(IF($I$10="Remodelación",M224*Simul_ConstruRemo!$BS$29,
IF(D224=1,MAX(M224,Z224)*$BS$29,M224*$BQ$29)),"")</f>
        <v/>
      </c>
      <c r="R224" s="836"/>
      <c r="S224" s="268" t="str">
        <f>IF(B224="","",'Tabla_Puntual&amp;Relacionamiento'!$B$50)</f>
        <v/>
      </c>
      <c r="T224" s="837"/>
      <c r="U224" s="837"/>
      <c r="V224" s="735" t="str">
        <f>IF(OR(Z223=0,Z223=""),"",IF(I224&gt;=G224,0,IF(OR($Y$52="NO",$Y$52=""),0,MIN(IF($Y$54="",0,$Y$54),$AV$16*25)*10%)))</f>
        <v/>
      </c>
      <c r="W224" s="735"/>
      <c r="X224" s="836" t="str">
        <f t="shared" si="47"/>
        <v/>
      </c>
      <c r="Y224" s="836"/>
      <c r="Z224" s="836" t="str">
        <f t="shared" si="46"/>
        <v/>
      </c>
      <c r="AA224" s="836"/>
      <c r="AC224" s="484"/>
      <c r="AD224" s="66"/>
      <c r="AE224" s="66"/>
      <c r="AI224" s="137" t="str">
        <f t="shared" si="35"/>
        <v/>
      </c>
      <c r="AJ224" s="63" t="str">
        <f>IF(OR(Z224="",Z224&lt;=0.01),"",IF(SUM($E$61:F224)=$I$26+$I$27,1,0))</f>
        <v/>
      </c>
      <c r="AK224" s="63">
        <f t="shared" si="38"/>
        <v>0</v>
      </c>
      <c r="AL224" s="269">
        <f t="shared" si="40"/>
        <v>0</v>
      </c>
      <c r="AN224" s="63" t="str">
        <f t="shared" si="45"/>
        <v/>
      </c>
      <c r="AQ224" s="63">
        <f>IF(SUM($E$61:F223)&gt;=$I$26+$I$27,1,0)</f>
        <v>1</v>
      </c>
      <c r="AR224" s="137" t="str">
        <f t="shared" si="39"/>
        <v/>
      </c>
    </row>
    <row r="225" spans="2:44" ht="21" customHeight="1" x14ac:dyDescent="0.3">
      <c r="B225" s="282" t="str">
        <f t="shared" si="36"/>
        <v/>
      </c>
      <c r="C225" s="282"/>
      <c r="D225" s="267" t="str">
        <f>IF(B225="","",IF(AND($I$10="Remodelación",$I$22="No"),1,IF($I$29&gt;=0.8,1,IF(AN225="Ministración",Simul_ConstruRemo!BM225,1))))</f>
        <v/>
      </c>
      <c r="E225" s="836" t="str">
        <f t="shared" si="43"/>
        <v/>
      </c>
      <c r="F225" s="836"/>
      <c r="G225" s="836" t="str">
        <f t="shared" si="37"/>
        <v/>
      </c>
      <c r="H225" s="836"/>
      <c r="I225" s="836" t="str">
        <f t="shared" si="41"/>
        <v/>
      </c>
      <c r="J225" s="836"/>
      <c r="K225" s="836" t="str">
        <f t="shared" si="42"/>
        <v/>
      </c>
      <c r="L225" s="836"/>
      <c r="M225" s="836" t="str">
        <f t="shared" si="44"/>
        <v/>
      </c>
      <c r="N225" s="836"/>
      <c r="O225" s="836" t="str">
        <f>IFERROR(Z225*Simul_ConstruRemo!$BP$30/1000,"")</f>
        <v/>
      </c>
      <c r="P225" s="836"/>
      <c r="Q225" s="836" t="str">
        <f>IFERROR(IF($I$10="Remodelación",M225*Simul_ConstruRemo!$BS$29,
IF(D225=1,MAX(M225,Z225)*$BS$29,M225*$BQ$29)),"")</f>
        <v/>
      </c>
      <c r="R225" s="836"/>
      <c r="S225" s="268" t="str">
        <f>IF(B225="","",'Tabla_Puntual&amp;Relacionamiento'!$B$50)</f>
        <v/>
      </c>
      <c r="T225" s="837"/>
      <c r="U225" s="837"/>
      <c r="V225" s="734"/>
      <c r="W225" s="734"/>
      <c r="X225" s="836" t="str">
        <f t="shared" si="47"/>
        <v/>
      </c>
      <c r="Y225" s="836"/>
      <c r="Z225" s="836" t="str">
        <f t="shared" si="46"/>
        <v/>
      </c>
      <c r="AA225" s="836"/>
      <c r="AC225" s="484"/>
      <c r="AD225" s="66"/>
      <c r="AE225" s="66"/>
      <c r="AI225" s="137" t="str">
        <f t="shared" si="35"/>
        <v/>
      </c>
      <c r="AJ225" s="63" t="str">
        <f>IF(OR(Z225="",Z225&lt;=0.01),"",IF(SUM($E$61:F225)=$I$26+$I$27,1,0))</f>
        <v/>
      </c>
      <c r="AK225" s="63">
        <f t="shared" si="38"/>
        <v>0</v>
      </c>
      <c r="AL225" s="269">
        <f t="shared" si="40"/>
        <v>0</v>
      </c>
      <c r="AN225" s="63" t="str">
        <f t="shared" si="45"/>
        <v/>
      </c>
      <c r="AQ225" s="63">
        <f>IF(SUM($E$61:F224)&gt;=$I$26+$I$27,1,0)</f>
        <v>1</v>
      </c>
      <c r="AR225" s="137" t="str">
        <f t="shared" si="39"/>
        <v/>
      </c>
    </row>
    <row r="226" spans="2:44" ht="21" customHeight="1" x14ac:dyDescent="0.3">
      <c r="B226" s="282" t="str">
        <f t="shared" si="36"/>
        <v/>
      </c>
      <c r="C226" s="282"/>
      <c r="D226" s="267" t="str">
        <f>IF(B226="","",IF(AND($I$10="Remodelación",$I$22="No"),1,IF($I$29&gt;=0.8,1,IF(AN226="Ministración",Simul_ConstruRemo!BM226,1))))</f>
        <v/>
      </c>
      <c r="E226" s="836" t="str">
        <f t="shared" si="43"/>
        <v/>
      </c>
      <c r="F226" s="836"/>
      <c r="G226" s="836" t="str">
        <f t="shared" si="37"/>
        <v/>
      </c>
      <c r="H226" s="836"/>
      <c r="I226" s="836" t="str">
        <f t="shared" si="41"/>
        <v/>
      </c>
      <c r="J226" s="836"/>
      <c r="K226" s="836" t="str">
        <f t="shared" si="42"/>
        <v/>
      </c>
      <c r="L226" s="836"/>
      <c r="M226" s="836" t="str">
        <f t="shared" si="44"/>
        <v/>
      </c>
      <c r="N226" s="836"/>
      <c r="O226" s="836" t="str">
        <f>IFERROR(Z226*Simul_ConstruRemo!$BP$30/1000,"")</f>
        <v/>
      </c>
      <c r="P226" s="836"/>
      <c r="Q226" s="836" t="str">
        <f>IFERROR(IF($I$10="Remodelación",M226*Simul_ConstruRemo!$BS$29,
IF(D226=1,MAX(M226,Z226)*$BS$29,M226*$BQ$29)),"")</f>
        <v/>
      </c>
      <c r="R226" s="836"/>
      <c r="S226" s="268" t="str">
        <f>IF(B226="","",'Tabla_Puntual&amp;Relacionamiento'!$B$50)</f>
        <v/>
      </c>
      <c r="T226" s="837"/>
      <c r="U226" s="837"/>
      <c r="V226" s="735" t="str">
        <f>IF(OR(Z225=0,Z225=""),"",IF(I226&gt;=G226,0,IF(OR($Y$52="NO",$Y$52=""),0,MIN(IF($Y$54="",0,$Y$54),$AV$16*25)*10%)))</f>
        <v/>
      </c>
      <c r="W226" s="735"/>
      <c r="X226" s="836" t="str">
        <f t="shared" si="47"/>
        <v/>
      </c>
      <c r="Y226" s="836"/>
      <c r="Z226" s="836" t="str">
        <f t="shared" si="46"/>
        <v/>
      </c>
      <c r="AA226" s="836"/>
      <c r="AC226" s="484"/>
      <c r="AD226" s="66"/>
      <c r="AE226" s="66"/>
      <c r="AI226" s="137" t="str">
        <f t="shared" si="35"/>
        <v/>
      </c>
      <c r="AJ226" s="63" t="str">
        <f>IF(OR(Z226="",Z226&lt;=0.01),"",IF(SUM($E$61:F226)=$I$26+$I$27,1,0))</f>
        <v/>
      </c>
      <c r="AK226" s="63">
        <f t="shared" si="38"/>
        <v>0</v>
      </c>
      <c r="AL226" s="269">
        <f t="shared" si="40"/>
        <v>0</v>
      </c>
      <c r="AN226" s="63" t="str">
        <f t="shared" si="45"/>
        <v/>
      </c>
      <c r="AQ226" s="63">
        <f>IF(SUM($E$61:F225)&gt;=$I$26+$I$27,1,0)</f>
        <v>1</v>
      </c>
      <c r="AR226" s="137" t="str">
        <f t="shared" si="39"/>
        <v/>
      </c>
    </row>
    <row r="227" spans="2:44" ht="21" customHeight="1" x14ac:dyDescent="0.3">
      <c r="B227" s="282" t="str">
        <f t="shared" si="36"/>
        <v/>
      </c>
      <c r="C227" s="282"/>
      <c r="D227" s="267" t="str">
        <f>IF(B227="","",IF(AND($I$10="Remodelación",$I$22="No"),1,IF($I$29&gt;=0.8,1,IF(AN227="Ministración",Simul_ConstruRemo!BM227,1))))</f>
        <v/>
      </c>
      <c r="E227" s="836" t="str">
        <f t="shared" si="43"/>
        <v/>
      </c>
      <c r="F227" s="836"/>
      <c r="G227" s="836" t="str">
        <f t="shared" si="37"/>
        <v/>
      </c>
      <c r="H227" s="836"/>
      <c r="I227" s="836" t="str">
        <f t="shared" si="41"/>
        <v/>
      </c>
      <c r="J227" s="836"/>
      <c r="K227" s="836" t="str">
        <f t="shared" si="42"/>
        <v/>
      </c>
      <c r="L227" s="836"/>
      <c r="M227" s="836" t="str">
        <f t="shared" si="44"/>
        <v/>
      </c>
      <c r="N227" s="836"/>
      <c r="O227" s="836" t="str">
        <f>IFERROR(Z227*Simul_ConstruRemo!$BP$30/1000,"")</f>
        <v/>
      </c>
      <c r="P227" s="836"/>
      <c r="Q227" s="836" t="str">
        <f>IFERROR(IF($I$10="Remodelación",M227*Simul_ConstruRemo!$BS$29,
IF(D227=1,MAX(M227,Z227)*$BS$29,M227*$BQ$29)),"")</f>
        <v/>
      </c>
      <c r="R227" s="836"/>
      <c r="S227" s="268" t="str">
        <f>IF(B227="","",'Tabla_Puntual&amp;Relacionamiento'!$B$50)</f>
        <v/>
      </c>
      <c r="T227" s="837"/>
      <c r="U227" s="837"/>
      <c r="V227" s="734"/>
      <c r="W227" s="734"/>
      <c r="X227" s="836" t="str">
        <f t="shared" si="47"/>
        <v/>
      </c>
      <c r="Y227" s="836"/>
      <c r="Z227" s="836" t="str">
        <f t="shared" si="46"/>
        <v/>
      </c>
      <c r="AA227" s="836"/>
      <c r="AC227" s="484"/>
      <c r="AD227" s="66"/>
      <c r="AE227" s="66"/>
      <c r="AI227" s="137" t="str">
        <f t="shared" si="35"/>
        <v/>
      </c>
      <c r="AJ227" s="63" t="str">
        <f>IF(OR(Z227="",Z227&lt;=0.01),"",IF(SUM($E$61:F227)=$I$26+$I$27,1,0))</f>
        <v/>
      </c>
      <c r="AK227" s="63">
        <f t="shared" si="38"/>
        <v>0</v>
      </c>
      <c r="AL227" s="269">
        <f t="shared" si="40"/>
        <v>0</v>
      </c>
      <c r="AN227" s="63" t="str">
        <f t="shared" si="45"/>
        <v/>
      </c>
      <c r="AQ227" s="63">
        <f>IF(SUM($E$61:F226)&gt;=$I$26+$I$27,1,0)</f>
        <v>1</v>
      </c>
      <c r="AR227" s="137" t="str">
        <f t="shared" si="39"/>
        <v/>
      </c>
    </row>
    <row r="228" spans="2:44" ht="21" customHeight="1" x14ac:dyDescent="0.3">
      <c r="B228" s="282" t="str">
        <f t="shared" si="36"/>
        <v/>
      </c>
      <c r="C228" s="282"/>
      <c r="D228" s="267" t="str">
        <f>IF(B228="","",IF(AND($I$10="Remodelación",$I$22="No"),1,IF($I$29&gt;=0.8,1,IF(AN228="Ministración",Simul_ConstruRemo!BM228,1))))</f>
        <v/>
      </c>
      <c r="E228" s="836" t="str">
        <f t="shared" si="43"/>
        <v/>
      </c>
      <c r="F228" s="836"/>
      <c r="G228" s="836" t="str">
        <f t="shared" si="37"/>
        <v/>
      </c>
      <c r="H228" s="836"/>
      <c r="I228" s="836" t="str">
        <f t="shared" si="41"/>
        <v/>
      </c>
      <c r="J228" s="836"/>
      <c r="K228" s="836" t="str">
        <f t="shared" si="42"/>
        <v/>
      </c>
      <c r="L228" s="836"/>
      <c r="M228" s="836" t="str">
        <f t="shared" si="44"/>
        <v/>
      </c>
      <c r="N228" s="836"/>
      <c r="O228" s="836" t="str">
        <f>IFERROR(Z228*Simul_ConstruRemo!$BP$30/1000,"")</f>
        <v/>
      </c>
      <c r="P228" s="836"/>
      <c r="Q228" s="836" t="str">
        <f>IFERROR(IF($I$10="Remodelación",M228*Simul_ConstruRemo!$BS$29,
IF(D228=1,MAX(M228,Z228)*$BS$29,M228*$BQ$29)),"")</f>
        <v/>
      </c>
      <c r="R228" s="836"/>
      <c r="S228" s="268" t="str">
        <f>IF(B228="","",'Tabla_Puntual&amp;Relacionamiento'!$B$50)</f>
        <v/>
      </c>
      <c r="T228" s="837"/>
      <c r="U228" s="837"/>
      <c r="V228" s="735" t="str">
        <f>IF(OR(Z227=0,Z227=""),"",IF(I228&gt;=G228,0,IF(OR($Y$52="NO",$Y$52=""),0,MIN(IF($Y$54="",0,$Y$54),$AV$16*25)*10%)))</f>
        <v/>
      </c>
      <c r="W228" s="735"/>
      <c r="X228" s="836" t="str">
        <f t="shared" si="47"/>
        <v/>
      </c>
      <c r="Y228" s="836"/>
      <c r="Z228" s="836" t="str">
        <f t="shared" si="46"/>
        <v/>
      </c>
      <c r="AA228" s="836"/>
      <c r="AC228" s="484"/>
      <c r="AD228" s="66"/>
      <c r="AE228" s="66"/>
      <c r="AI228" s="137" t="str">
        <f t="shared" si="35"/>
        <v/>
      </c>
      <c r="AJ228" s="63" t="str">
        <f>IF(OR(Z228="",Z228&lt;=0.01),"",IF(SUM($E$61:F228)=$I$26+$I$27,1,0))</f>
        <v/>
      </c>
      <c r="AK228" s="63">
        <f t="shared" si="38"/>
        <v>0</v>
      </c>
      <c r="AL228" s="269">
        <f t="shared" si="40"/>
        <v>0</v>
      </c>
      <c r="AN228" s="63" t="str">
        <f t="shared" si="45"/>
        <v/>
      </c>
      <c r="AQ228" s="63">
        <f>IF(SUM($E$61:F227)&gt;=$I$26+$I$27,1,0)</f>
        <v>1</v>
      </c>
      <c r="AR228" s="137" t="str">
        <f t="shared" si="39"/>
        <v/>
      </c>
    </row>
    <row r="229" spans="2:44" ht="21" customHeight="1" x14ac:dyDescent="0.3">
      <c r="B229" s="282" t="str">
        <f t="shared" si="36"/>
        <v/>
      </c>
      <c r="C229" s="282"/>
      <c r="D229" s="267" t="str">
        <f>IF(B229="","",IF(AND($I$10="Remodelación",$I$22="No"),1,IF($I$29&gt;=0.8,1,IF(AN229="Ministración",Simul_ConstruRemo!BM229,1))))</f>
        <v/>
      </c>
      <c r="E229" s="836" t="str">
        <f t="shared" si="43"/>
        <v/>
      </c>
      <c r="F229" s="836"/>
      <c r="G229" s="836" t="str">
        <f t="shared" si="37"/>
        <v/>
      </c>
      <c r="H229" s="836"/>
      <c r="I229" s="836" t="str">
        <f t="shared" si="41"/>
        <v/>
      </c>
      <c r="J229" s="836"/>
      <c r="K229" s="836" t="str">
        <f t="shared" si="42"/>
        <v/>
      </c>
      <c r="L229" s="836"/>
      <c r="M229" s="836" t="str">
        <f t="shared" si="44"/>
        <v/>
      </c>
      <c r="N229" s="836"/>
      <c r="O229" s="836" t="str">
        <f>IFERROR(Z229*Simul_ConstruRemo!$BP$30/1000,"")</f>
        <v/>
      </c>
      <c r="P229" s="836"/>
      <c r="Q229" s="836" t="str">
        <f>IFERROR(IF($I$10="Remodelación",M229*Simul_ConstruRemo!$BS$29,
IF(D229=1,MAX(M229,Z229)*$BS$29,M229*$BQ$29)),"")</f>
        <v/>
      </c>
      <c r="R229" s="836"/>
      <c r="S229" s="268" t="str">
        <f>IF(B229="","",'Tabla_Puntual&amp;Relacionamiento'!$B$51)</f>
        <v/>
      </c>
      <c r="T229" s="837"/>
      <c r="U229" s="837"/>
      <c r="V229" s="734"/>
      <c r="W229" s="734"/>
      <c r="X229" s="836" t="str">
        <f t="shared" si="47"/>
        <v/>
      </c>
      <c r="Y229" s="836"/>
      <c r="Z229" s="836" t="str">
        <f t="shared" si="46"/>
        <v/>
      </c>
      <c r="AA229" s="836"/>
      <c r="AC229" s="484"/>
      <c r="AD229" s="66"/>
      <c r="AE229" s="66"/>
      <c r="AI229" s="137" t="str">
        <f t="shared" si="35"/>
        <v/>
      </c>
      <c r="AJ229" s="63" t="str">
        <f>IF(OR(Z229="",Z229&lt;=0.01),"",IF(SUM($E$61:F229)=$I$26+$I$27,1,0))</f>
        <v/>
      </c>
      <c r="AK229" s="63">
        <f t="shared" si="38"/>
        <v>0</v>
      </c>
      <c r="AL229" s="269">
        <f t="shared" si="40"/>
        <v>0</v>
      </c>
      <c r="AN229" s="63" t="str">
        <f t="shared" si="45"/>
        <v/>
      </c>
      <c r="AQ229" s="63">
        <f>IF(SUM($E$61:F228)&gt;=$I$26+$I$27,1,0)</f>
        <v>1</v>
      </c>
      <c r="AR229" s="137" t="str">
        <f t="shared" si="39"/>
        <v/>
      </c>
    </row>
    <row r="230" spans="2:44" ht="21" customHeight="1" x14ac:dyDescent="0.3">
      <c r="B230" s="282" t="str">
        <f t="shared" si="36"/>
        <v/>
      </c>
      <c r="C230" s="282"/>
      <c r="D230" s="267" t="str">
        <f>IF(B230="","",IF(AND($I$10="Remodelación",$I$22="No"),1,IF($I$29&gt;=0.8,1,IF(AN230="Ministración",Simul_ConstruRemo!BM230,1))))</f>
        <v/>
      </c>
      <c r="E230" s="836" t="str">
        <f t="shared" si="43"/>
        <v/>
      </c>
      <c r="F230" s="836"/>
      <c r="G230" s="836" t="str">
        <f t="shared" si="37"/>
        <v/>
      </c>
      <c r="H230" s="836"/>
      <c r="I230" s="836" t="str">
        <f t="shared" si="41"/>
        <v/>
      </c>
      <c r="J230" s="836"/>
      <c r="K230" s="836" t="str">
        <f t="shared" si="42"/>
        <v/>
      </c>
      <c r="L230" s="836"/>
      <c r="M230" s="836" t="str">
        <f t="shared" si="44"/>
        <v/>
      </c>
      <c r="N230" s="836"/>
      <c r="O230" s="836" t="str">
        <f>IFERROR(Z230*Simul_ConstruRemo!$BP$30/1000,"")</f>
        <v/>
      </c>
      <c r="P230" s="836"/>
      <c r="Q230" s="836" t="str">
        <f>IFERROR(IF($I$10="Remodelación",M230*Simul_ConstruRemo!$BS$29,
IF(D230=1,MAX(M230,Z230)*$BS$29,M230*$BQ$29)),"")</f>
        <v/>
      </c>
      <c r="R230" s="836"/>
      <c r="S230" s="268" t="str">
        <f>IF(B230="","",'Tabla_Puntual&amp;Relacionamiento'!$B$51)</f>
        <v/>
      </c>
      <c r="T230" s="837"/>
      <c r="U230" s="837"/>
      <c r="V230" s="735" t="str">
        <f>IF(OR(Z229=0,Z229=""),"",IF(I230&gt;=G230,0,IF(OR($Y$52="NO",$Y$52=""),0,MIN(IF($Y$54="",0,$Y$54),$AV$16*25)*10%)))</f>
        <v/>
      </c>
      <c r="W230" s="735"/>
      <c r="X230" s="836" t="str">
        <f t="shared" si="47"/>
        <v/>
      </c>
      <c r="Y230" s="836"/>
      <c r="Z230" s="836" t="str">
        <f t="shared" si="46"/>
        <v/>
      </c>
      <c r="AA230" s="836"/>
      <c r="AC230" s="484"/>
      <c r="AD230" s="66"/>
      <c r="AE230" s="66"/>
      <c r="AI230" s="137" t="str">
        <f t="shared" si="35"/>
        <v/>
      </c>
      <c r="AJ230" s="63" t="str">
        <f>IF(OR(Z230="",Z230&lt;=0.01),"",IF(SUM($E$61:F230)=$I$26+$I$27,1,0))</f>
        <v/>
      </c>
      <c r="AK230" s="63">
        <f t="shared" si="38"/>
        <v>0</v>
      </c>
      <c r="AL230" s="269">
        <f t="shared" si="40"/>
        <v>0</v>
      </c>
      <c r="AN230" s="63" t="str">
        <f t="shared" si="45"/>
        <v/>
      </c>
      <c r="AQ230" s="63">
        <f>IF(SUM($E$61:F229)&gt;=$I$26+$I$27,1,0)</f>
        <v>1</v>
      </c>
      <c r="AR230" s="137" t="str">
        <f t="shared" si="39"/>
        <v/>
      </c>
    </row>
    <row r="231" spans="2:44" ht="21" customHeight="1" x14ac:dyDescent="0.3">
      <c r="B231" s="282" t="str">
        <f t="shared" si="36"/>
        <v/>
      </c>
      <c r="C231" s="282"/>
      <c r="D231" s="267" t="str">
        <f>IF(B231="","",IF(AND($I$10="Remodelación",$I$22="No"),1,IF($I$29&gt;=0.8,1,IF(AN231="Ministración",Simul_ConstruRemo!BM231,1))))</f>
        <v/>
      </c>
      <c r="E231" s="836" t="str">
        <f t="shared" si="43"/>
        <v/>
      </c>
      <c r="F231" s="836"/>
      <c r="G231" s="836" t="str">
        <f t="shared" si="37"/>
        <v/>
      </c>
      <c r="H231" s="836"/>
      <c r="I231" s="836" t="str">
        <f t="shared" si="41"/>
        <v/>
      </c>
      <c r="J231" s="836"/>
      <c r="K231" s="836" t="str">
        <f t="shared" si="42"/>
        <v/>
      </c>
      <c r="L231" s="836"/>
      <c r="M231" s="836" t="str">
        <f t="shared" si="44"/>
        <v/>
      </c>
      <c r="N231" s="836"/>
      <c r="O231" s="836" t="str">
        <f>IFERROR(Z231*Simul_ConstruRemo!$BP$30/1000,"")</f>
        <v/>
      </c>
      <c r="P231" s="836"/>
      <c r="Q231" s="836" t="str">
        <f>IFERROR(IF($I$10="Remodelación",M231*Simul_ConstruRemo!$BS$29,
IF(D231=1,MAX(M231,Z231)*$BS$29,M231*$BQ$29)),"")</f>
        <v/>
      </c>
      <c r="R231" s="836"/>
      <c r="S231" s="268" t="str">
        <f>IF(B231="","",'Tabla_Puntual&amp;Relacionamiento'!$B$51)</f>
        <v/>
      </c>
      <c r="T231" s="837"/>
      <c r="U231" s="837"/>
      <c r="V231" s="734"/>
      <c r="W231" s="734"/>
      <c r="X231" s="836" t="str">
        <f t="shared" si="47"/>
        <v/>
      </c>
      <c r="Y231" s="836"/>
      <c r="Z231" s="836" t="str">
        <f t="shared" si="46"/>
        <v/>
      </c>
      <c r="AA231" s="836"/>
      <c r="AC231" s="484"/>
      <c r="AD231" s="66"/>
      <c r="AE231" s="66"/>
      <c r="AI231" s="137" t="str">
        <f t="shared" si="35"/>
        <v/>
      </c>
      <c r="AJ231" s="63" t="str">
        <f>IF(OR(Z231="",Z231&lt;=0.01),"",IF(SUM($E$61:F231)=$I$26+$I$27,1,0))</f>
        <v/>
      </c>
      <c r="AK231" s="63">
        <f t="shared" si="38"/>
        <v>0</v>
      </c>
      <c r="AL231" s="269">
        <f t="shared" si="40"/>
        <v>0</v>
      </c>
      <c r="AN231" s="63" t="str">
        <f t="shared" si="45"/>
        <v/>
      </c>
      <c r="AQ231" s="63">
        <f>IF(SUM($E$61:F230)&gt;=$I$26+$I$27,1,0)</f>
        <v>1</v>
      </c>
      <c r="AR231" s="137" t="str">
        <f t="shared" si="39"/>
        <v/>
      </c>
    </row>
    <row r="232" spans="2:44" ht="21" customHeight="1" x14ac:dyDescent="0.3">
      <c r="B232" s="282" t="str">
        <f t="shared" si="36"/>
        <v/>
      </c>
      <c r="C232" s="282"/>
      <c r="D232" s="267" t="str">
        <f>IF(B232="","",IF(AND($I$10="Remodelación",$I$22="No"),1,IF($I$29&gt;=0.8,1,IF(AN232="Ministración",Simul_ConstruRemo!BM232,1))))</f>
        <v/>
      </c>
      <c r="E232" s="836" t="str">
        <f t="shared" si="43"/>
        <v/>
      </c>
      <c r="F232" s="836"/>
      <c r="G232" s="836" t="str">
        <f t="shared" si="37"/>
        <v/>
      </c>
      <c r="H232" s="836"/>
      <c r="I232" s="836" t="str">
        <f t="shared" si="41"/>
        <v/>
      </c>
      <c r="J232" s="836"/>
      <c r="K232" s="836" t="str">
        <f t="shared" si="42"/>
        <v/>
      </c>
      <c r="L232" s="836"/>
      <c r="M232" s="836" t="str">
        <f t="shared" si="44"/>
        <v/>
      </c>
      <c r="N232" s="836"/>
      <c r="O232" s="836" t="str">
        <f>IFERROR(Z232*Simul_ConstruRemo!$BP$30/1000,"")</f>
        <v/>
      </c>
      <c r="P232" s="836"/>
      <c r="Q232" s="836" t="str">
        <f>IFERROR(IF($I$10="Remodelación",M232*Simul_ConstruRemo!$BS$29,
IF(D232=1,MAX(M232,Z232)*$BS$29,M232*$BQ$29)),"")</f>
        <v/>
      </c>
      <c r="R232" s="836"/>
      <c r="S232" s="268" t="str">
        <f>IF(B232="","",'Tabla_Puntual&amp;Relacionamiento'!$B$51)</f>
        <v/>
      </c>
      <c r="T232" s="837"/>
      <c r="U232" s="837"/>
      <c r="V232" s="735" t="str">
        <f>IF(OR(Z231=0,Z231=""),"",IF(I232&gt;=G232,0,IF(OR($Y$52="NO",$Y$52=""),0,MIN(IF($Y$54="",0,$Y$54),$AV$16*25)*10%)))</f>
        <v/>
      </c>
      <c r="W232" s="735"/>
      <c r="X232" s="836" t="str">
        <f t="shared" si="47"/>
        <v/>
      </c>
      <c r="Y232" s="836"/>
      <c r="Z232" s="836" t="str">
        <f t="shared" si="46"/>
        <v/>
      </c>
      <c r="AA232" s="836"/>
      <c r="AC232" s="484"/>
      <c r="AD232" s="66"/>
      <c r="AE232" s="66"/>
      <c r="AI232" s="137" t="str">
        <f t="shared" si="35"/>
        <v/>
      </c>
      <c r="AJ232" s="63" t="str">
        <f>IF(OR(Z232="",Z232&lt;=0.01),"",IF(SUM($E$61:F232)=$I$26+$I$27,1,0))</f>
        <v/>
      </c>
      <c r="AK232" s="63">
        <f t="shared" si="38"/>
        <v>0</v>
      </c>
      <c r="AL232" s="269">
        <f t="shared" si="40"/>
        <v>0</v>
      </c>
      <c r="AN232" s="63" t="str">
        <f t="shared" si="45"/>
        <v/>
      </c>
      <c r="AQ232" s="63">
        <f>IF(SUM($E$61:F231)&gt;=$I$26+$I$27,1,0)</f>
        <v>1</v>
      </c>
      <c r="AR232" s="137" t="str">
        <f t="shared" si="39"/>
        <v/>
      </c>
    </row>
    <row r="233" spans="2:44" ht="21" customHeight="1" x14ac:dyDescent="0.3">
      <c r="B233" s="282" t="str">
        <f t="shared" si="36"/>
        <v/>
      </c>
      <c r="C233" s="282"/>
      <c r="D233" s="267" t="str">
        <f>IF(B233="","",IF(AND($I$10="Remodelación",$I$22="No"),1,IF($I$29&gt;=0.8,1,IF(AN233="Ministración",Simul_ConstruRemo!BM233,1))))</f>
        <v/>
      </c>
      <c r="E233" s="836" t="str">
        <f t="shared" si="43"/>
        <v/>
      </c>
      <c r="F233" s="836"/>
      <c r="G233" s="836" t="str">
        <f t="shared" si="37"/>
        <v/>
      </c>
      <c r="H233" s="836"/>
      <c r="I233" s="836" t="str">
        <f t="shared" si="41"/>
        <v/>
      </c>
      <c r="J233" s="836"/>
      <c r="K233" s="836" t="str">
        <f t="shared" si="42"/>
        <v/>
      </c>
      <c r="L233" s="836"/>
      <c r="M233" s="836" t="str">
        <f t="shared" si="44"/>
        <v/>
      </c>
      <c r="N233" s="836"/>
      <c r="O233" s="836" t="str">
        <f>IFERROR(Z233*Simul_ConstruRemo!$BP$30/1000,"")</f>
        <v/>
      </c>
      <c r="P233" s="836"/>
      <c r="Q233" s="836" t="str">
        <f>IFERROR(IF($I$10="Remodelación",M233*Simul_ConstruRemo!$BS$29,
IF(D233=1,MAX(M233,Z233)*$BS$29,M233*$BQ$29)),"")</f>
        <v/>
      </c>
      <c r="R233" s="836"/>
      <c r="S233" s="268" t="str">
        <f>IF(B233="","",'Tabla_Puntual&amp;Relacionamiento'!$B$51)</f>
        <v/>
      </c>
      <c r="T233" s="837"/>
      <c r="U233" s="837"/>
      <c r="V233" s="734"/>
      <c r="W233" s="734"/>
      <c r="X233" s="836" t="str">
        <f t="shared" si="47"/>
        <v/>
      </c>
      <c r="Y233" s="836"/>
      <c r="Z233" s="836" t="str">
        <f t="shared" si="46"/>
        <v/>
      </c>
      <c r="AA233" s="836"/>
      <c r="AC233" s="484"/>
      <c r="AD233" s="66"/>
      <c r="AE233" s="66"/>
      <c r="AI233" s="137" t="str">
        <f t="shared" si="35"/>
        <v/>
      </c>
      <c r="AJ233" s="63" t="str">
        <f>IF(OR(Z233="",Z233&lt;=0.01),"",IF(SUM($E$61:F233)=$I$26+$I$27,1,0))</f>
        <v/>
      </c>
      <c r="AK233" s="63">
        <f t="shared" si="38"/>
        <v>0</v>
      </c>
      <c r="AL233" s="269">
        <f t="shared" si="40"/>
        <v>0</v>
      </c>
      <c r="AN233" s="63" t="str">
        <f t="shared" si="45"/>
        <v/>
      </c>
      <c r="AQ233" s="63">
        <f>IF(SUM($E$61:F232)&gt;=$I$26+$I$27,1,0)</f>
        <v>1</v>
      </c>
      <c r="AR233" s="137" t="str">
        <f t="shared" si="39"/>
        <v/>
      </c>
    </row>
    <row r="234" spans="2:44" ht="21" customHeight="1" x14ac:dyDescent="0.3">
      <c r="B234" s="282" t="str">
        <f t="shared" si="36"/>
        <v/>
      </c>
      <c r="C234" s="282"/>
      <c r="D234" s="267" t="str">
        <f>IF(B234="","",IF(AND($I$10="Remodelación",$I$22="No"),1,IF($I$29&gt;=0.8,1,IF(AN234="Ministración",Simul_ConstruRemo!BM234,1))))</f>
        <v/>
      </c>
      <c r="E234" s="836" t="str">
        <f t="shared" si="43"/>
        <v/>
      </c>
      <c r="F234" s="836"/>
      <c r="G234" s="836" t="str">
        <f t="shared" si="37"/>
        <v/>
      </c>
      <c r="H234" s="836"/>
      <c r="I234" s="836" t="str">
        <f t="shared" si="41"/>
        <v/>
      </c>
      <c r="J234" s="836"/>
      <c r="K234" s="836" t="str">
        <f t="shared" si="42"/>
        <v/>
      </c>
      <c r="L234" s="836"/>
      <c r="M234" s="836" t="str">
        <f t="shared" si="44"/>
        <v/>
      </c>
      <c r="N234" s="836"/>
      <c r="O234" s="836" t="str">
        <f>IFERROR(Z234*Simul_ConstruRemo!$BP$30/1000,"")</f>
        <v/>
      </c>
      <c r="P234" s="836"/>
      <c r="Q234" s="836" t="str">
        <f>IFERROR(IF($I$10="Remodelación",M234*Simul_ConstruRemo!$BS$29,
IF(D234=1,MAX(M234,Z234)*$BS$29,M234*$BQ$29)),"")</f>
        <v/>
      </c>
      <c r="R234" s="836"/>
      <c r="S234" s="268" t="str">
        <f>IF(B234="","",'Tabla_Puntual&amp;Relacionamiento'!$B$51)</f>
        <v/>
      </c>
      <c r="T234" s="837"/>
      <c r="U234" s="837"/>
      <c r="V234" s="735" t="str">
        <f>IF(OR(Z233=0,Z233=""),"",IF(I234&gt;=G234,0,IF(OR($Y$52="NO",$Y$52=""),0,MIN(IF($Y$54="",0,$Y$54),$AV$16*25)*10%)))</f>
        <v/>
      </c>
      <c r="W234" s="735"/>
      <c r="X234" s="836" t="str">
        <f t="shared" si="47"/>
        <v/>
      </c>
      <c r="Y234" s="836"/>
      <c r="Z234" s="836" t="str">
        <f t="shared" si="46"/>
        <v/>
      </c>
      <c r="AA234" s="836"/>
      <c r="AC234" s="484"/>
      <c r="AD234" s="66"/>
      <c r="AE234" s="66"/>
      <c r="AI234" s="137" t="str">
        <f t="shared" si="35"/>
        <v/>
      </c>
      <c r="AJ234" s="63" t="str">
        <f>IF(OR(Z234="",Z234&lt;=0.01),"",IF(SUM($E$61:F234)=$I$26+$I$27,1,0))</f>
        <v/>
      </c>
      <c r="AK234" s="63">
        <f t="shared" si="38"/>
        <v>0</v>
      </c>
      <c r="AL234" s="269">
        <f t="shared" si="40"/>
        <v>0</v>
      </c>
      <c r="AN234" s="63" t="str">
        <f t="shared" si="45"/>
        <v/>
      </c>
      <c r="AQ234" s="63">
        <f>IF(SUM($E$61:F233)&gt;=$I$26+$I$27,1,0)</f>
        <v>1</v>
      </c>
      <c r="AR234" s="137" t="str">
        <f t="shared" si="39"/>
        <v/>
      </c>
    </row>
    <row r="235" spans="2:44" ht="21" customHeight="1" x14ac:dyDescent="0.3">
      <c r="B235" s="282" t="str">
        <f t="shared" si="36"/>
        <v/>
      </c>
      <c r="C235" s="282"/>
      <c r="D235" s="267" t="str">
        <f>IF(B235="","",IF(AND($I$10="Remodelación",$I$22="No"),1,IF($I$29&gt;=0.8,1,IF(AN235="Ministración",Simul_ConstruRemo!BM235,1))))</f>
        <v/>
      </c>
      <c r="E235" s="836" t="str">
        <f t="shared" si="43"/>
        <v/>
      </c>
      <c r="F235" s="836"/>
      <c r="G235" s="836" t="str">
        <f t="shared" si="37"/>
        <v/>
      </c>
      <c r="H235" s="836"/>
      <c r="I235" s="836" t="str">
        <f t="shared" si="41"/>
        <v/>
      </c>
      <c r="J235" s="836"/>
      <c r="K235" s="836" t="str">
        <f t="shared" si="42"/>
        <v/>
      </c>
      <c r="L235" s="836"/>
      <c r="M235" s="836" t="str">
        <f t="shared" si="44"/>
        <v/>
      </c>
      <c r="N235" s="836"/>
      <c r="O235" s="836" t="str">
        <f>IFERROR(Z235*Simul_ConstruRemo!$BP$30/1000,"")</f>
        <v/>
      </c>
      <c r="P235" s="836"/>
      <c r="Q235" s="836" t="str">
        <f>IFERROR(IF($I$10="Remodelación",M235*Simul_ConstruRemo!$BS$29,
IF(D235=1,MAX(M235,Z235)*$BS$29,M235*$BQ$29)),"")</f>
        <v/>
      </c>
      <c r="R235" s="836"/>
      <c r="S235" s="268" t="str">
        <f>IF(B235="","",'Tabla_Puntual&amp;Relacionamiento'!$B$51)</f>
        <v/>
      </c>
      <c r="T235" s="837"/>
      <c r="U235" s="837"/>
      <c r="V235" s="734"/>
      <c r="W235" s="734"/>
      <c r="X235" s="836" t="str">
        <f t="shared" si="47"/>
        <v/>
      </c>
      <c r="Y235" s="836"/>
      <c r="Z235" s="836" t="str">
        <f t="shared" si="46"/>
        <v/>
      </c>
      <c r="AA235" s="836"/>
      <c r="AC235" s="484"/>
      <c r="AD235" s="66"/>
      <c r="AE235" s="66"/>
      <c r="AI235" s="137" t="str">
        <f t="shared" si="35"/>
        <v/>
      </c>
      <c r="AJ235" s="63" t="str">
        <f>IF(OR(Z235="",Z235&lt;=0.01),"",IF(SUM($E$61:F235)=$I$26+$I$27,1,0))</f>
        <v/>
      </c>
      <c r="AK235" s="63">
        <f t="shared" si="38"/>
        <v>0</v>
      </c>
      <c r="AL235" s="269">
        <f t="shared" si="40"/>
        <v>0</v>
      </c>
      <c r="AN235" s="63" t="str">
        <f t="shared" si="45"/>
        <v/>
      </c>
      <c r="AQ235" s="63">
        <f>IF(SUM($E$61:F234)&gt;=$I$26+$I$27,1,0)</f>
        <v>1</v>
      </c>
      <c r="AR235" s="137" t="str">
        <f t="shared" si="39"/>
        <v/>
      </c>
    </row>
    <row r="236" spans="2:44" ht="21" customHeight="1" x14ac:dyDescent="0.3">
      <c r="B236" s="282" t="str">
        <f t="shared" si="36"/>
        <v/>
      </c>
      <c r="C236" s="282"/>
      <c r="D236" s="267" t="str">
        <f>IF(B236="","",IF(AND($I$10="Remodelación",$I$22="No"),1,IF($I$29&gt;=0.8,1,IF(AN236="Ministración",Simul_ConstruRemo!BM236,1))))</f>
        <v/>
      </c>
      <c r="E236" s="836" t="str">
        <f t="shared" si="43"/>
        <v/>
      </c>
      <c r="F236" s="836"/>
      <c r="G236" s="836" t="str">
        <f t="shared" si="37"/>
        <v/>
      </c>
      <c r="H236" s="836"/>
      <c r="I236" s="836" t="str">
        <f t="shared" si="41"/>
        <v/>
      </c>
      <c r="J236" s="836"/>
      <c r="K236" s="836" t="str">
        <f t="shared" si="42"/>
        <v/>
      </c>
      <c r="L236" s="836"/>
      <c r="M236" s="836" t="str">
        <f t="shared" si="44"/>
        <v/>
      </c>
      <c r="N236" s="836"/>
      <c r="O236" s="836" t="str">
        <f>IFERROR(Z236*Simul_ConstruRemo!$BP$30/1000,"")</f>
        <v/>
      </c>
      <c r="P236" s="836"/>
      <c r="Q236" s="836" t="str">
        <f>IFERROR(IF($I$10="Remodelación",M236*Simul_ConstruRemo!$BS$29,
IF(D236=1,MAX(M236,Z236)*$BS$29,M236*$BQ$29)),"")</f>
        <v/>
      </c>
      <c r="R236" s="836"/>
      <c r="S236" s="268" t="str">
        <f>IF(B236="","",'Tabla_Puntual&amp;Relacionamiento'!$B$51)</f>
        <v/>
      </c>
      <c r="T236" s="837"/>
      <c r="U236" s="837"/>
      <c r="V236" s="735" t="str">
        <f>IF(OR(Z235=0,Z235=""),"",IF(I236&gt;=G236,0,IF(OR($Y$52="NO",$Y$52=""),0,MIN(IF($Y$54="",0,$Y$54),$AV$16*25)*10%)))</f>
        <v/>
      </c>
      <c r="W236" s="735"/>
      <c r="X236" s="836" t="str">
        <f t="shared" si="47"/>
        <v/>
      </c>
      <c r="Y236" s="836"/>
      <c r="Z236" s="836" t="str">
        <f t="shared" si="46"/>
        <v/>
      </c>
      <c r="AA236" s="836"/>
      <c r="AC236" s="484"/>
      <c r="AD236" s="66"/>
      <c r="AE236" s="66"/>
      <c r="AI236" s="137" t="str">
        <f t="shared" si="35"/>
        <v/>
      </c>
      <c r="AJ236" s="63" t="str">
        <f>IF(OR(Z236="",Z236&lt;=0.01),"",IF(SUM($E$61:F236)=$I$26+$I$27,1,0))</f>
        <v/>
      </c>
      <c r="AK236" s="63">
        <f t="shared" si="38"/>
        <v>0</v>
      </c>
      <c r="AL236" s="269">
        <f t="shared" si="40"/>
        <v>0</v>
      </c>
      <c r="AN236" s="63" t="str">
        <f t="shared" si="45"/>
        <v/>
      </c>
      <c r="AQ236" s="63">
        <f>IF(SUM($E$61:F235)&gt;=$I$26+$I$27,1,0)</f>
        <v>1</v>
      </c>
      <c r="AR236" s="137" t="str">
        <f t="shared" si="39"/>
        <v/>
      </c>
    </row>
    <row r="237" spans="2:44" ht="21" customHeight="1" x14ac:dyDescent="0.3">
      <c r="B237" s="282" t="str">
        <f t="shared" si="36"/>
        <v/>
      </c>
      <c r="C237" s="282"/>
      <c r="D237" s="267" t="str">
        <f>IF(B237="","",IF(AND($I$10="Remodelación",$I$22="No"),1,IF($I$29&gt;=0.8,1,IF(AN237="Ministración",Simul_ConstruRemo!BM237,1))))</f>
        <v/>
      </c>
      <c r="E237" s="836" t="str">
        <f t="shared" si="43"/>
        <v/>
      </c>
      <c r="F237" s="836"/>
      <c r="G237" s="836" t="str">
        <f t="shared" si="37"/>
        <v/>
      </c>
      <c r="H237" s="836"/>
      <c r="I237" s="836" t="str">
        <f t="shared" si="41"/>
        <v/>
      </c>
      <c r="J237" s="836"/>
      <c r="K237" s="836" t="str">
        <f t="shared" si="42"/>
        <v/>
      </c>
      <c r="L237" s="836"/>
      <c r="M237" s="836" t="str">
        <f t="shared" si="44"/>
        <v/>
      </c>
      <c r="N237" s="836"/>
      <c r="O237" s="836" t="str">
        <f>IFERROR(Z237*Simul_ConstruRemo!$BP$30/1000,"")</f>
        <v/>
      </c>
      <c r="P237" s="836"/>
      <c r="Q237" s="836" t="str">
        <f>IFERROR(IF($I$10="Remodelación",M237*Simul_ConstruRemo!$BS$29,
IF(D237=1,MAX(M237,Z237)*$BS$29,M237*$BQ$29)),"")</f>
        <v/>
      </c>
      <c r="R237" s="836"/>
      <c r="S237" s="268" t="str">
        <f>IF(B237="","",'Tabla_Puntual&amp;Relacionamiento'!$B$51)</f>
        <v/>
      </c>
      <c r="T237" s="837"/>
      <c r="U237" s="837"/>
      <c r="V237" s="734"/>
      <c r="W237" s="734"/>
      <c r="X237" s="836" t="str">
        <f t="shared" si="47"/>
        <v/>
      </c>
      <c r="Y237" s="836"/>
      <c r="Z237" s="836" t="str">
        <f t="shared" si="46"/>
        <v/>
      </c>
      <c r="AA237" s="836"/>
      <c r="AC237" s="484"/>
      <c r="AD237" s="66"/>
      <c r="AE237" s="66"/>
      <c r="AI237" s="137" t="str">
        <f t="shared" si="35"/>
        <v/>
      </c>
      <c r="AJ237" s="63" t="str">
        <f>IF(OR(Z237="",Z237&lt;=0.01),"",IF(SUM($E$61:F237)=$I$26+$I$27,1,0))</f>
        <v/>
      </c>
      <c r="AK237" s="63">
        <f t="shared" si="38"/>
        <v>0</v>
      </c>
      <c r="AL237" s="269">
        <f t="shared" si="40"/>
        <v>0</v>
      </c>
      <c r="AN237" s="63" t="str">
        <f t="shared" si="45"/>
        <v/>
      </c>
      <c r="AQ237" s="63">
        <f>IF(SUM($E$61:F236)&gt;=$I$26+$I$27,1,0)</f>
        <v>1</v>
      </c>
      <c r="AR237" s="137" t="str">
        <f t="shared" si="39"/>
        <v/>
      </c>
    </row>
    <row r="238" spans="2:44" ht="21" customHeight="1" x14ac:dyDescent="0.3">
      <c r="B238" s="282" t="str">
        <f t="shared" si="36"/>
        <v/>
      </c>
      <c r="C238" s="282"/>
      <c r="D238" s="267" t="str">
        <f>IF(B238="","",IF(AND($I$10="Remodelación",$I$22="No"),1,IF($I$29&gt;=0.8,1,IF(AN238="Ministración",Simul_ConstruRemo!BM238,1))))</f>
        <v/>
      </c>
      <c r="E238" s="836" t="str">
        <f t="shared" si="43"/>
        <v/>
      </c>
      <c r="F238" s="836"/>
      <c r="G238" s="836" t="str">
        <f t="shared" si="37"/>
        <v/>
      </c>
      <c r="H238" s="836"/>
      <c r="I238" s="836" t="str">
        <f t="shared" si="41"/>
        <v/>
      </c>
      <c r="J238" s="836"/>
      <c r="K238" s="836" t="str">
        <f t="shared" si="42"/>
        <v/>
      </c>
      <c r="L238" s="836"/>
      <c r="M238" s="836" t="str">
        <f t="shared" si="44"/>
        <v/>
      </c>
      <c r="N238" s="836"/>
      <c r="O238" s="836" t="str">
        <f>IFERROR(Z238*Simul_ConstruRemo!$BP$30/1000,"")</f>
        <v/>
      </c>
      <c r="P238" s="836"/>
      <c r="Q238" s="836" t="str">
        <f>IFERROR(IF($I$10="Remodelación",M238*Simul_ConstruRemo!$BS$29,
IF(D238=1,MAX(M238,Z238)*$BS$29,M238*$BQ$29)),"")</f>
        <v/>
      </c>
      <c r="R238" s="836"/>
      <c r="S238" s="268" t="str">
        <f>IF(B238="","",'Tabla_Puntual&amp;Relacionamiento'!$B$51)</f>
        <v/>
      </c>
      <c r="T238" s="837"/>
      <c r="U238" s="837"/>
      <c r="V238" s="735" t="str">
        <f>IF(OR(Z237=0,Z237=""),"",IF(I238&gt;=G238,0,IF(OR($Y$52="NO",$Y$52=""),0,MIN(IF($Y$54="",0,$Y$54),$AV$16*25)*10%)))</f>
        <v/>
      </c>
      <c r="W238" s="735"/>
      <c r="X238" s="836" t="str">
        <f t="shared" si="47"/>
        <v/>
      </c>
      <c r="Y238" s="836"/>
      <c r="Z238" s="836" t="str">
        <f t="shared" si="46"/>
        <v/>
      </c>
      <c r="AA238" s="836"/>
      <c r="AC238" s="484"/>
      <c r="AD238" s="66"/>
      <c r="AE238" s="66"/>
      <c r="AI238" s="137" t="str">
        <f t="shared" si="35"/>
        <v/>
      </c>
      <c r="AJ238" s="63" t="str">
        <f>IF(OR(Z238="",Z238&lt;=0.01),"",IF(SUM($E$61:F238)=$I$26+$I$27,1,0))</f>
        <v/>
      </c>
      <c r="AK238" s="63">
        <f t="shared" si="38"/>
        <v>0</v>
      </c>
      <c r="AL238" s="269">
        <f t="shared" si="40"/>
        <v>0</v>
      </c>
      <c r="AN238" s="63" t="str">
        <f t="shared" si="45"/>
        <v/>
      </c>
      <c r="AQ238" s="63">
        <f>IF(SUM($E$61:F237)&gt;=$I$26+$I$27,1,0)</f>
        <v>1</v>
      </c>
      <c r="AR238" s="137" t="str">
        <f t="shared" si="39"/>
        <v/>
      </c>
    </row>
    <row r="239" spans="2:44" ht="21" customHeight="1" x14ac:dyDescent="0.3">
      <c r="B239" s="282" t="str">
        <f t="shared" si="36"/>
        <v/>
      </c>
      <c r="C239" s="282"/>
      <c r="D239" s="267" t="str">
        <f>IF(B239="","",IF(AND($I$10="Remodelación",$I$22="No"),1,IF($I$29&gt;=0.8,1,IF(AN239="Ministración",Simul_ConstruRemo!BM239,1))))</f>
        <v/>
      </c>
      <c r="E239" s="836" t="str">
        <f t="shared" si="43"/>
        <v/>
      </c>
      <c r="F239" s="836"/>
      <c r="G239" s="836" t="str">
        <f t="shared" si="37"/>
        <v/>
      </c>
      <c r="H239" s="836"/>
      <c r="I239" s="836" t="str">
        <f t="shared" si="41"/>
        <v/>
      </c>
      <c r="J239" s="836"/>
      <c r="K239" s="836" t="str">
        <f t="shared" si="42"/>
        <v/>
      </c>
      <c r="L239" s="836"/>
      <c r="M239" s="836" t="str">
        <f t="shared" si="44"/>
        <v/>
      </c>
      <c r="N239" s="836"/>
      <c r="O239" s="836" t="str">
        <f>IFERROR(Z239*Simul_ConstruRemo!$BP$30/1000,"")</f>
        <v/>
      </c>
      <c r="P239" s="836"/>
      <c r="Q239" s="836" t="str">
        <f>IFERROR(IF($I$10="Remodelación",M239*Simul_ConstruRemo!$BS$29,
IF(D239=1,MAX(M239,Z239)*$BS$29,M239*$BQ$29)),"")</f>
        <v/>
      </c>
      <c r="R239" s="836"/>
      <c r="S239" s="268" t="str">
        <f>IF(B239="","",'Tabla_Puntual&amp;Relacionamiento'!$B$51)</f>
        <v/>
      </c>
      <c r="T239" s="837"/>
      <c r="U239" s="837"/>
      <c r="V239" s="734"/>
      <c r="W239" s="734"/>
      <c r="X239" s="836" t="str">
        <f t="shared" si="47"/>
        <v/>
      </c>
      <c r="Y239" s="836"/>
      <c r="Z239" s="836" t="str">
        <f t="shared" si="46"/>
        <v/>
      </c>
      <c r="AA239" s="836"/>
      <c r="AC239" s="484"/>
      <c r="AD239" s="66"/>
      <c r="AE239" s="66"/>
      <c r="AI239" s="137" t="str">
        <f t="shared" si="35"/>
        <v/>
      </c>
      <c r="AJ239" s="63" t="str">
        <f>IF(OR(Z239="",Z239&lt;=0.01),"",IF(SUM($E$61:F239)=$I$26+$I$27,1,0))</f>
        <v/>
      </c>
      <c r="AK239" s="63">
        <f t="shared" si="38"/>
        <v>0</v>
      </c>
      <c r="AL239" s="269">
        <f t="shared" si="40"/>
        <v>0</v>
      </c>
      <c r="AN239" s="63" t="str">
        <f t="shared" si="45"/>
        <v/>
      </c>
      <c r="AQ239" s="63">
        <f>IF(SUM($E$61:F238)&gt;=$I$26+$I$27,1,0)</f>
        <v>1</v>
      </c>
      <c r="AR239" s="137" t="str">
        <f t="shared" si="39"/>
        <v/>
      </c>
    </row>
    <row r="240" spans="2:44" ht="21" customHeight="1" x14ac:dyDescent="0.3">
      <c r="B240" s="282" t="str">
        <f t="shared" si="36"/>
        <v/>
      </c>
      <c r="C240" s="282"/>
      <c r="D240" s="267" t="str">
        <f>IF(B240="","",IF(AND($I$10="Remodelación",$I$22="No"),1,IF($I$29&gt;=0.8,1,IF(AN240="Ministración",Simul_ConstruRemo!BM240,1))))</f>
        <v/>
      </c>
      <c r="E240" s="836" t="str">
        <f t="shared" si="43"/>
        <v/>
      </c>
      <c r="F240" s="836"/>
      <c r="G240" s="836" t="str">
        <f t="shared" si="37"/>
        <v/>
      </c>
      <c r="H240" s="836"/>
      <c r="I240" s="836" t="str">
        <f t="shared" si="41"/>
        <v/>
      </c>
      <c r="J240" s="836"/>
      <c r="K240" s="836" t="str">
        <f t="shared" si="42"/>
        <v/>
      </c>
      <c r="L240" s="836"/>
      <c r="M240" s="836" t="str">
        <f t="shared" si="44"/>
        <v/>
      </c>
      <c r="N240" s="836"/>
      <c r="O240" s="836" t="str">
        <f>IFERROR(Z240*Simul_ConstruRemo!$BP$30/1000,"")</f>
        <v/>
      </c>
      <c r="P240" s="836"/>
      <c r="Q240" s="836" t="str">
        <f>IFERROR(IF($I$10="Remodelación",M240*Simul_ConstruRemo!$BS$29,
IF(D240=1,MAX(M240,Z240)*$BS$29,M240*$BQ$29)),"")</f>
        <v/>
      </c>
      <c r="R240" s="836"/>
      <c r="S240" s="268" t="str">
        <f>IF(B240="","",'Tabla_Puntual&amp;Relacionamiento'!$B$51)</f>
        <v/>
      </c>
      <c r="T240" s="837"/>
      <c r="U240" s="837"/>
      <c r="V240" s="735" t="str">
        <f>IF(OR(Z239=0,Z239=""),"",IF(I240&gt;=G240,0,IF(OR($Y$52="NO",$Y$52=""),0,MIN(IF($Y$54="",0,$Y$54),$AV$16*25)*10%)))</f>
        <v/>
      </c>
      <c r="W240" s="735"/>
      <c r="X240" s="836" t="str">
        <f t="shared" si="47"/>
        <v/>
      </c>
      <c r="Y240" s="836"/>
      <c r="Z240" s="836" t="str">
        <f t="shared" si="46"/>
        <v/>
      </c>
      <c r="AA240" s="836"/>
      <c r="AC240" s="484"/>
      <c r="AD240" s="66"/>
      <c r="AE240" s="66"/>
      <c r="AI240" s="137" t="str">
        <f t="shared" si="35"/>
        <v/>
      </c>
      <c r="AJ240" s="63" t="str">
        <f>IF(OR(Z240="",Z240&lt;=0.01),"",IF(SUM($E$61:F240)=$I$26+$I$27,1,0))</f>
        <v/>
      </c>
      <c r="AK240" s="63">
        <f t="shared" si="38"/>
        <v>0</v>
      </c>
      <c r="AL240" s="269">
        <f t="shared" si="40"/>
        <v>0</v>
      </c>
      <c r="AN240" s="63" t="str">
        <f t="shared" si="45"/>
        <v/>
      </c>
      <c r="AQ240" s="63">
        <f>IF(SUM($E$61:F239)&gt;=$I$26+$I$27,1,0)</f>
        <v>1</v>
      </c>
      <c r="AR240" s="137" t="str">
        <f t="shared" si="39"/>
        <v/>
      </c>
    </row>
    <row r="241" spans="2:44" ht="21" customHeight="1" x14ac:dyDescent="0.3">
      <c r="B241" s="282" t="str">
        <f t="shared" si="36"/>
        <v/>
      </c>
      <c r="C241" s="282"/>
      <c r="D241" s="267" t="str">
        <f>IF(B241="","",IF(AND($I$10="Remodelación",$I$22="No"),1,IF($I$29&gt;=0.8,1,IF(AN241="Ministración",Simul_ConstruRemo!BM241,1))))</f>
        <v/>
      </c>
      <c r="E241" s="836" t="str">
        <f t="shared" si="43"/>
        <v/>
      </c>
      <c r="F241" s="836"/>
      <c r="G241" s="836" t="str">
        <f t="shared" si="37"/>
        <v/>
      </c>
      <c r="H241" s="836"/>
      <c r="I241" s="836" t="str">
        <f t="shared" si="41"/>
        <v/>
      </c>
      <c r="J241" s="836"/>
      <c r="K241" s="836" t="str">
        <f t="shared" si="42"/>
        <v/>
      </c>
      <c r="L241" s="836"/>
      <c r="M241" s="836" t="str">
        <f t="shared" si="44"/>
        <v/>
      </c>
      <c r="N241" s="836"/>
      <c r="O241" s="836" t="str">
        <f>IFERROR(Z241*Simul_ConstruRemo!$BP$30/1000,"")</f>
        <v/>
      </c>
      <c r="P241" s="836"/>
      <c r="Q241" s="836" t="str">
        <f>IFERROR(IF($I$10="Remodelación",M241*Simul_ConstruRemo!$BS$29,
IF(D241=1,MAX(M241,Z241)*$BS$29,M241*$BQ$29)),"")</f>
        <v/>
      </c>
      <c r="R241" s="836"/>
      <c r="S241" s="268" t="str">
        <f>IF(B241="","",'Tabla_Puntual&amp;Relacionamiento'!$B$52)</f>
        <v/>
      </c>
      <c r="T241" s="837"/>
      <c r="U241" s="837"/>
      <c r="V241" s="734"/>
      <c r="W241" s="734"/>
      <c r="X241" s="836" t="str">
        <f t="shared" si="47"/>
        <v/>
      </c>
      <c r="Y241" s="836"/>
      <c r="Z241" s="836" t="str">
        <f t="shared" si="46"/>
        <v/>
      </c>
      <c r="AA241" s="836"/>
      <c r="AC241" s="484"/>
      <c r="AD241" s="66"/>
      <c r="AE241" s="66"/>
      <c r="AI241" s="137" t="str">
        <f t="shared" si="35"/>
        <v/>
      </c>
      <c r="AJ241" s="63" t="str">
        <f>IF(OR(Z241="",Z241&lt;=0.01),"",IF(SUM($E$61:F241)=$I$26+$I$27,1,0))</f>
        <v/>
      </c>
      <c r="AK241" s="63">
        <f t="shared" si="38"/>
        <v>0</v>
      </c>
      <c r="AL241" s="269">
        <f t="shared" si="40"/>
        <v>0</v>
      </c>
      <c r="AN241" s="63" t="str">
        <f t="shared" si="45"/>
        <v/>
      </c>
      <c r="AQ241" s="63">
        <f>IF(SUM($E$61:F240)&gt;=$I$26+$I$27,1,0)</f>
        <v>1</v>
      </c>
      <c r="AR241" s="137" t="str">
        <f t="shared" si="39"/>
        <v/>
      </c>
    </row>
    <row r="242" spans="2:44" ht="21" customHeight="1" x14ac:dyDescent="0.3">
      <c r="B242" s="282" t="str">
        <f t="shared" si="36"/>
        <v/>
      </c>
      <c r="C242" s="282"/>
      <c r="D242" s="267" t="str">
        <f>IF(B242="","",IF(AND($I$10="Remodelación",$I$22="No"),1,IF($I$29&gt;=0.8,1,IF(AN242="Ministración",Simul_ConstruRemo!BM242,1))))</f>
        <v/>
      </c>
      <c r="E242" s="836" t="str">
        <f t="shared" si="43"/>
        <v/>
      </c>
      <c r="F242" s="836"/>
      <c r="G242" s="836" t="str">
        <f t="shared" si="37"/>
        <v/>
      </c>
      <c r="H242" s="836"/>
      <c r="I242" s="836" t="str">
        <f t="shared" si="41"/>
        <v/>
      </c>
      <c r="J242" s="836"/>
      <c r="K242" s="836" t="str">
        <f t="shared" si="42"/>
        <v/>
      </c>
      <c r="L242" s="836"/>
      <c r="M242" s="836" t="str">
        <f t="shared" si="44"/>
        <v/>
      </c>
      <c r="N242" s="836"/>
      <c r="O242" s="836" t="str">
        <f>IFERROR(Z242*Simul_ConstruRemo!$BP$30/1000,"")</f>
        <v/>
      </c>
      <c r="P242" s="836"/>
      <c r="Q242" s="836" t="str">
        <f>IFERROR(IF($I$10="Remodelación",M242*Simul_ConstruRemo!$BS$29,
IF(D242=1,MAX(M242,Z242)*$BS$29,M242*$BQ$29)),"")</f>
        <v/>
      </c>
      <c r="R242" s="836"/>
      <c r="S242" s="268" t="str">
        <f>IF(B242="","",'Tabla_Puntual&amp;Relacionamiento'!$B$52)</f>
        <v/>
      </c>
      <c r="T242" s="837"/>
      <c r="U242" s="837"/>
      <c r="V242" s="735" t="str">
        <f>IF(OR(Z241=0,Z241=""),"",IF(I242&gt;=G242,0,IF(OR($Y$52="NO",$Y$52=""),0,MIN(IF($Y$54="",0,$Y$54),$AV$16*25)*10%)))</f>
        <v/>
      </c>
      <c r="W242" s="735"/>
      <c r="X242" s="836" t="str">
        <f t="shared" si="47"/>
        <v/>
      </c>
      <c r="Y242" s="836"/>
      <c r="Z242" s="836" t="str">
        <f t="shared" si="46"/>
        <v/>
      </c>
      <c r="AA242" s="836"/>
      <c r="AC242" s="484"/>
      <c r="AD242" s="66"/>
      <c r="AE242" s="66"/>
      <c r="AI242" s="137" t="str">
        <f t="shared" si="35"/>
        <v/>
      </c>
      <c r="AJ242" s="63" t="str">
        <f>IF(OR(Z242="",Z242&lt;=0.01),"",IF(SUM($E$61:F242)=$I$26+$I$27,1,0))</f>
        <v/>
      </c>
      <c r="AK242" s="63">
        <f t="shared" si="38"/>
        <v>0</v>
      </c>
      <c r="AL242" s="269">
        <f t="shared" si="40"/>
        <v>0</v>
      </c>
      <c r="AN242" s="63" t="str">
        <f t="shared" si="45"/>
        <v/>
      </c>
      <c r="AQ242" s="63">
        <f>IF(SUM($E$61:F241)&gt;=$I$26+$I$27,1,0)</f>
        <v>1</v>
      </c>
      <c r="AR242" s="137" t="str">
        <f t="shared" si="39"/>
        <v/>
      </c>
    </row>
    <row r="243" spans="2:44" ht="21" customHeight="1" x14ac:dyDescent="0.3">
      <c r="B243" s="282" t="str">
        <f t="shared" si="36"/>
        <v/>
      </c>
      <c r="C243" s="282"/>
      <c r="D243" s="267" t="str">
        <f>IF(B243="","",IF(AND($I$10="Remodelación",$I$22="No"),1,IF($I$29&gt;=0.8,1,IF(AN243="Ministración",Simul_ConstruRemo!BM243,1))))</f>
        <v/>
      </c>
      <c r="E243" s="836" t="str">
        <f t="shared" si="43"/>
        <v/>
      </c>
      <c r="F243" s="836"/>
      <c r="G243" s="836" t="str">
        <f t="shared" si="37"/>
        <v/>
      </c>
      <c r="H243" s="836"/>
      <c r="I243" s="836" t="str">
        <f t="shared" si="41"/>
        <v/>
      </c>
      <c r="J243" s="836"/>
      <c r="K243" s="836" t="str">
        <f t="shared" si="42"/>
        <v/>
      </c>
      <c r="L243" s="836"/>
      <c r="M243" s="836" t="str">
        <f t="shared" si="44"/>
        <v/>
      </c>
      <c r="N243" s="836"/>
      <c r="O243" s="836" t="str">
        <f>IFERROR(Z243*Simul_ConstruRemo!$BP$30/1000,"")</f>
        <v/>
      </c>
      <c r="P243" s="836"/>
      <c r="Q243" s="836" t="str">
        <f>IFERROR(IF($I$10="Remodelación",M243*Simul_ConstruRemo!$BS$29,
IF(D243=1,MAX(M243,Z243)*$BS$29,M243*$BQ$29)),"")</f>
        <v/>
      </c>
      <c r="R243" s="836"/>
      <c r="S243" s="268" t="str">
        <f>IF(B243="","",'Tabla_Puntual&amp;Relacionamiento'!$B$52)</f>
        <v/>
      </c>
      <c r="T243" s="837"/>
      <c r="U243" s="837"/>
      <c r="V243" s="734"/>
      <c r="W243" s="734"/>
      <c r="X243" s="836" t="str">
        <f t="shared" si="47"/>
        <v/>
      </c>
      <c r="Y243" s="836"/>
      <c r="Z243" s="836" t="str">
        <f t="shared" si="46"/>
        <v/>
      </c>
      <c r="AA243" s="836"/>
      <c r="AC243" s="484"/>
      <c r="AD243" s="66"/>
      <c r="AE243" s="66"/>
      <c r="AI243" s="137" t="str">
        <f t="shared" si="35"/>
        <v/>
      </c>
      <c r="AJ243" s="63" t="str">
        <f>IF(OR(Z243="",Z243&lt;=0.01),"",IF(SUM($E$61:F243)=$I$26+$I$27,1,0))</f>
        <v/>
      </c>
      <c r="AK243" s="63">
        <f t="shared" si="38"/>
        <v>0</v>
      </c>
      <c r="AL243" s="269">
        <f t="shared" si="40"/>
        <v>0</v>
      </c>
      <c r="AN243" s="63" t="str">
        <f t="shared" si="45"/>
        <v/>
      </c>
      <c r="AQ243" s="63">
        <f>IF(SUM($E$61:F242)&gt;=$I$26+$I$27,1,0)</f>
        <v>1</v>
      </c>
      <c r="AR243" s="137" t="str">
        <f t="shared" si="39"/>
        <v/>
      </c>
    </row>
    <row r="244" spans="2:44" ht="21" customHeight="1" x14ac:dyDescent="0.3">
      <c r="B244" s="282" t="str">
        <f t="shared" si="36"/>
        <v/>
      </c>
      <c r="C244" s="282"/>
      <c r="D244" s="267" t="str">
        <f>IF(B244="","",IF(AND($I$10="Remodelación",$I$22="No"),1,IF($I$29&gt;=0.8,1,IF(AN244="Ministración",Simul_ConstruRemo!BM244,1))))</f>
        <v/>
      </c>
      <c r="E244" s="836" t="str">
        <f t="shared" si="43"/>
        <v/>
      </c>
      <c r="F244" s="836"/>
      <c r="G244" s="836" t="str">
        <f t="shared" si="37"/>
        <v/>
      </c>
      <c r="H244" s="836"/>
      <c r="I244" s="836" t="str">
        <f t="shared" si="41"/>
        <v/>
      </c>
      <c r="J244" s="836"/>
      <c r="K244" s="836" t="str">
        <f t="shared" si="42"/>
        <v/>
      </c>
      <c r="L244" s="836"/>
      <c r="M244" s="836" t="str">
        <f t="shared" si="44"/>
        <v/>
      </c>
      <c r="N244" s="836"/>
      <c r="O244" s="836" t="str">
        <f>IFERROR(Z244*Simul_ConstruRemo!$BP$30/1000,"")</f>
        <v/>
      </c>
      <c r="P244" s="836"/>
      <c r="Q244" s="836" t="str">
        <f>IFERROR(IF($I$10="Remodelación",M244*Simul_ConstruRemo!$BS$29,
IF(D244=1,MAX(M244,Z244)*$BS$29,M244*$BQ$29)),"")</f>
        <v/>
      </c>
      <c r="R244" s="836"/>
      <c r="S244" s="268" t="str">
        <f>IF(B244="","",'Tabla_Puntual&amp;Relacionamiento'!$B$52)</f>
        <v/>
      </c>
      <c r="T244" s="837"/>
      <c r="U244" s="837"/>
      <c r="V244" s="735" t="str">
        <f>IF(OR(Z243=0,Z243=""),"",IF(I244&gt;=G244,0,IF(OR($Y$52="NO",$Y$52=""),0,MIN(IF($Y$54="",0,$Y$54),$AV$16*25)*10%)))</f>
        <v/>
      </c>
      <c r="W244" s="735"/>
      <c r="X244" s="836" t="str">
        <f t="shared" si="47"/>
        <v/>
      </c>
      <c r="Y244" s="836"/>
      <c r="Z244" s="836" t="str">
        <f t="shared" si="46"/>
        <v/>
      </c>
      <c r="AA244" s="836"/>
      <c r="AC244" s="484"/>
      <c r="AD244" s="66"/>
      <c r="AE244" s="66"/>
      <c r="AI244" s="137" t="str">
        <f t="shared" si="35"/>
        <v/>
      </c>
      <c r="AJ244" s="63" t="str">
        <f>IF(OR(Z244="",Z244&lt;=0.01),"",IF(SUM($E$61:F244)=$I$26+$I$27,1,0))</f>
        <v/>
      </c>
      <c r="AK244" s="63">
        <f t="shared" si="38"/>
        <v>0</v>
      </c>
      <c r="AL244" s="269">
        <f t="shared" si="40"/>
        <v>0</v>
      </c>
      <c r="AN244" s="63" t="str">
        <f t="shared" si="45"/>
        <v/>
      </c>
      <c r="AQ244" s="63">
        <f>IF(SUM($E$61:F243)&gt;=$I$26+$I$27,1,0)</f>
        <v>1</v>
      </c>
      <c r="AR244" s="137" t="str">
        <f t="shared" si="39"/>
        <v/>
      </c>
    </row>
    <row r="245" spans="2:44" ht="21" customHeight="1" x14ac:dyDescent="0.3">
      <c r="B245" s="282" t="str">
        <f t="shared" si="36"/>
        <v/>
      </c>
      <c r="C245" s="282"/>
      <c r="D245" s="267" t="str">
        <f>IF(B245="","",IF(AND($I$10="Remodelación",$I$22="No"),1,IF($I$29&gt;=0.8,1,IF(AN245="Ministración",Simul_ConstruRemo!BM245,1))))</f>
        <v/>
      </c>
      <c r="E245" s="836" t="str">
        <f t="shared" si="43"/>
        <v/>
      </c>
      <c r="F245" s="836"/>
      <c r="G245" s="836" t="str">
        <f t="shared" si="37"/>
        <v/>
      </c>
      <c r="H245" s="836"/>
      <c r="I245" s="836" t="str">
        <f t="shared" si="41"/>
        <v/>
      </c>
      <c r="J245" s="836"/>
      <c r="K245" s="836" t="str">
        <f t="shared" si="42"/>
        <v/>
      </c>
      <c r="L245" s="836"/>
      <c r="M245" s="836" t="str">
        <f t="shared" si="44"/>
        <v/>
      </c>
      <c r="N245" s="836"/>
      <c r="O245" s="836" t="str">
        <f>IFERROR(Z245*Simul_ConstruRemo!$BP$30/1000,"")</f>
        <v/>
      </c>
      <c r="P245" s="836"/>
      <c r="Q245" s="836" t="str">
        <f>IFERROR(IF($I$10="Remodelación",M245*Simul_ConstruRemo!$BS$29,
IF(D245=1,MAX(M245,Z245)*$BS$29,M245*$BQ$29)),"")</f>
        <v/>
      </c>
      <c r="R245" s="836"/>
      <c r="S245" s="268" t="str">
        <f>IF(B245="","",'Tabla_Puntual&amp;Relacionamiento'!$B$52)</f>
        <v/>
      </c>
      <c r="T245" s="837"/>
      <c r="U245" s="837"/>
      <c r="V245" s="734"/>
      <c r="W245" s="734"/>
      <c r="X245" s="836" t="str">
        <f t="shared" si="47"/>
        <v/>
      </c>
      <c r="Y245" s="836"/>
      <c r="Z245" s="836" t="str">
        <f t="shared" si="46"/>
        <v/>
      </c>
      <c r="AA245" s="836"/>
      <c r="AC245" s="484"/>
      <c r="AD245" s="66"/>
      <c r="AE245" s="66"/>
      <c r="AI245" s="137" t="str">
        <f t="shared" si="35"/>
        <v/>
      </c>
      <c r="AJ245" s="63" t="str">
        <f>IF(OR(Z245="",Z245&lt;=0.01),"",IF(SUM($E$61:F245)=$I$26+$I$27,1,0))</f>
        <v/>
      </c>
      <c r="AK245" s="63">
        <f t="shared" si="38"/>
        <v>0</v>
      </c>
      <c r="AL245" s="269">
        <f t="shared" si="40"/>
        <v>0</v>
      </c>
      <c r="AN245" s="63" t="str">
        <f t="shared" si="45"/>
        <v/>
      </c>
      <c r="AQ245" s="63">
        <f>IF(SUM($E$61:F244)&gt;=$I$26+$I$27,1,0)</f>
        <v>1</v>
      </c>
      <c r="AR245" s="137" t="str">
        <f t="shared" si="39"/>
        <v/>
      </c>
    </row>
    <row r="246" spans="2:44" ht="21" customHeight="1" x14ac:dyDescent="0.3">
      <c r="B246" s="282" t="str">
        <f t="shared" si="36"/>
        <v/>
      </c>
      <c r="C246" s="282"/>
      <c r="D246" s="267" t="str">
        <f>IF(B246="","",IF(AND($I$10="Remodelación",$I$22="No"),1,IF($I$29&gt;=0.8,1,IF(AN246="Ministración",Simul_ConstruRemo!BM246,1))))</f>
        <v/>
      </c>
      <c r="E246" s="836" t="str">
        <f t="shared" si="43"/>
        <v/>
      </c>
      <c r="F246" s="836"/>
      <c r="G246" s="836" t="str">
        <f t="shared" si="37"/>
        <v/>
      </c>
      <c r="H246" s="836"/>
      <c r="I246" s="836" t="str">
        <f t="shared" si="41"/>
        <v/>
      </c>
      <c r="J246" s="836"/>
      <c r="K246" s="836" t="str">
        <f t="shared" si="42"/>
        <v/>
      </c>
      <c r="L246" s="836"/>
      <c r="M246" s="836" t="str">
        <f t="shared" si="44"/>
        <v/>
      </c>
      <c r="N246" s="836"/>
      <c r="O246" s="836" t="str">
        <f>IFERROR(Z246*Simul_ConstruRemo!$BP$30/1000,"")</f>
        <v/>
      </c>
      <c r="P246" s="836"/>
      <c r="Q246" s="836" t="str">
        <f>IFERROR(IF($I$10="Remodelación",M246*Simul_ConstruRemo!$BS$29,
IF(D246=1,MAX(M246,Z246)*$BS$29,M246*$BQ$29)),"")</f>
        <v/>
      </c>
      <c r="R246" s="836"/>
      <c r="S246" s="268" t="str">
        <f>IF(B246="","",'Tabla_Puntual&amp;Relacionamiento'!$B$52)</f>
        <v/>
      </c>
      <c r="T246" s="837"/>
      <c r="U246" s="837"/>
      <c r="V246" s="735" t="str">
        <f>IF(OR(Z245=0,Z245=""),"",IF(I246&gt;=G246,0,IF(OR($Y$52="NO",$Y$52=""),0,MIN(IF($Y$54="",0,$Y$54),$AV$16*25)*10%)))</f>
        <v/>
      </c>
      <c r="W246" s="735"/>
      <c r="X246" s="836" t="str">
        <f t="shared" si="47"/>
        <v/>
      </c>
      <c r="Y246" s="836"/>
      <c r="Z246" s="836" t="str">
        <f t="shared" si="46"/>
        <v/>
      </c>
      <c r="AA246" s="836"/>
      <c r="AC246" s="484"/>
      <c r="AD246" s="66"/>
      <c r="AE246" s="66"/>
      <c r="AI246" s="137" t="str">
        <f t="shared" si="35"/>
        <v/>
      </c>
      <c r="AJ246" s="63" t="str">
        <f>IF(OR(Z246="",Z246&lt;=0.01),"",IF(SUM($E$61:F246)=$I$26+$I$27,1,0))</f>
        <v/>
      </c>
      <c r="AK246" s="63">
        <f t="shared" si="38"/>
        <v>0</v>
      </c>
      <c r="AL246" s="269">
        <f t="shared" si="40"/>
        <v>0</v>
      </c>
      <c r="AN246" s="63" t="str">
        <f t="shared" si="45"/>
        <v/>
      </c>
      <c r="AQ246" s="63">
        <f>IF(SUM($E$61:F245)&gt;=$I$26+$I$27,1,0)</f>
        <v>1</v>
      </c>
      <c r="AR246" s="137" t="str">
        <f t="shared" si="39"/>
        <v/>
      </c>
    </row>
    <row r="247" spans="2:44" ht="21" customHeight="1" x14ac:dyDescent="0.3">
      <c r="B247" s="282" t="str">
        <f t="shared" si="36"/>
        <v/>
      </c>
      <c r="C247" s="282"/>
      <c r="D247" s="267" t="str">
        <f>IF(B247="","",IF(AND($I$10="Remodelación",$I$22="No"),1,IF($I$29&gt;=0.8,1,IF(AN247="Ministración",Simul_ConstruRemo!BM247,1))))</f>
        <v/>
      </c>
      <c r="E247" s="836" t="str">
        <f t="shared" si="43"/>
        <v/>
      </c>
      <c r="F247" s="836"/>
      <c r="G247" s="836" t="str">
        <f t="shared" si="37"/>
        <v/>
      </c>
      <c r="H247" s="836"/>
      <c r="I247" s="836" t="str">
        <f t="shared" si="41"/>
        <v/>
      </c>
      <c r="J247" s="836"/>
      <c r="K247" s="836" t="str">
        <f t="shared" si="42"/>
        <v/>
      </c>
      <c r="L247" s="836"/>
      <c r="M247" s="836" t="str">
        <f t="shared" si="44"/>
        <v/>
      </c>
      <c r="N247" s="836"/>
      <c r="O247" s="836" t="str">
        <f>IFERROR(Z247*Simul_ConstruRemo!$BP$30/1000,"")</f>
        <v/>
      </c>
      <c r="P247" s="836"/>
      <c r="Q247" s="836" t="str">
        <f>IFERROR(IF($I$10="Remodelación",M247*Simul_ConstruRemo!$BS$29,
IF(D247=1,MAX(M247,Z247)*$BS$29,M247*$BQ$29)),"")</f>
        <v/>
      </c>
      <c r="R247" s="836"/>
      <c r="S247" s="268" t="str">
        <f>IF(B247="","",'Tabla_Puntual&amp;Relacionamiento'!$B$52)</f>
        <v/>
      </c>
      <c r="T247" s="837"/>
      <c r="U247" s="837"/>
      <c r="V247" s="734"/>
      <c r="W247" s="734"/>
      <c r="X247" s="836" t="str">
        <f t="shared" si="47"/>
        <v/>
      </c>
      <c r="Y247" s="836"/>
      <c r="Z247" s="836" t="str">
        <f t="shared" si="46"/>
        <v/>
      </c>
      <c r="AA247" s="836"/>
      <c r="AC247" s="484"/>
      <c r="AD247" s="66"/>
      <c r="AE247" s="66"/>
      <c r="AI247" s="137" t="str">
        <f t="shared" si="35"/>
        <v/>
      </c>
      <c r="AJ247" s="63" t="str">
        <f>IF(OR(Z247="",Z247&lt;=0.01),"",IF(SUM($E$61:F247)=$I$26+$I$27,1,0))</f>
        <v/>
      </c>
      <c r="AK247" s="63">
        <f t="shared" si="38"/>
        <v>0</v>
      </c>
      <c r="AL247" s="269">
        <f t="shared" si="40"/>
        <v>0</v>
      </c>
      <c r="AN247" s="63" t="str">
        <f t="shared" si="45"/>
        <v/>
      </c>
      <c r="AQ247" s="63">
        <f>IF(SUM($E$61:F246)&gt;=$I$26+$I$27,1,0)</f>
        <v>1</v>
      </c>
      <c r="AR247" s="137" t="str">
        <f t="shared" si="39"/>
        <v/>
      </c>
    </row>
    <row r="248" spans="2:44" ht="21" customHeight="1" x14ac:dyDescent="0.3">
      <c r="B248" s="282" t="str">
        <f t="shared" si="36"/>
        <v/>
      </c>
      <c r="C248" s="282"/>
      <c r="D248" s="267" t="str">
        <f>IF(B248="","",IF(AND($I$10="Remodelación",$I$22="No"),1,IF($I$29&gt;=0.8,1,IF(AN248="Ministración",Simul_ConstruRemo!BM248,1))))</f>
        <v/>
      </c>
      <c r="E248" s="836" t="str">
        <f t="shared" si="43"/>
        <v/>
      </c>
      <c r="F248" s="836"/>
      <c r="G248" s="836" t="str">
        <f t="shared" si="37"/>
        <v/>
      </c>
      <c r="H248" s="836"/>
      <c r="I248" s="836" t="str">
        <f t="shared" si="41"/>
        <v/>
      </c>
      <c r="J248" s="836"/>
      <c r="K248" s="836" t="str">
        <f t="shared" si="42"/>
        <v/>
      </c>
      <c r="L248" s="836"/>
      <c r="M248" s="836" t="str">
        <f t="shared" si="44"/>
        <v/>
      </c>
      <c r="N248" s="836"/>
      <c r="O248" s="836" t="str">
        <f>IFERROR(Z248*Simul_ConstruRemo!$BP$30/1000,"")</f>
        <v/>
      </c>
      <c r="P248" s="836"/>
      <c r="Q248" s="836" t="str">
        <f>IFERROR(IF($I$10="Remodelación",M248*Simul_ConstruRemo!$BS$29,
IF(D248=1,MAX(M248,Z248)*$BS$29,M248*$BQ$29)),"")</f>
        <v/>
      </c>
      <c r="R248" s="836"/>
      <c r="S248" s="268" t="str">
        <f>IF(B248="","",'Tabla_Puntual&amp;Relacionamiento'!$B$52)</f>
        <v/>
      </c>
      <c r="T248" s="837"/>
      <c r="U248" s="837"/>
      <c r="V248" s="735" t="str">
        <f>IF(OR(Z247=0,Z247=""),"",IF(I248&gt;=G248,0,IF(OR($Y$52="NO",$Y$52=""),0,MIN(IF($Y$54="",0,$Y$54),$AV$16*25)*10%)))</f>
        <v/>
      </c>
      <c r="W248" s="735"/>
      <c r="X248" s="836" t="str">
        <f t="shared" si="47"/>
        <v/>
      </c>
      <c r="Y248" s="836"/>
      <c r="Z248" s="836" t="str">
        <f t="shared" si="46"/>
        <v/>
      </c>
      <c r="AA248" s="836"/>
      <c r="AC248" s="484"/>
      <c r="AD248" s="66"/>
      <c r="AE248" s="66"/>
      <c r="AI248" s="137" t="str">
        <f t="shared" si="35"/>
        <v/>
      </c>
      <c r="AJ248" s="63" t="str">
        <f>IF(OR(Z248="",Z248&lt;=0.01),"",IF(SUM($E$61:F248)=$I$26+$I$27,1,0))</f>
        <v/>
      </c>
      <c r="AK248" s="63">
        <f t="shared" si="38"/>
        <v>0</v>
      </c>
      <c r="AL248" s="269">
        <f t="shared" si="40"/>
        <v>0</v>
      </c>
      <c r="AN248" s="63" t="str">
        <f t="shared" si="45"/>
        <v/>
      </c>
      <c r="AQ248" s="63">
        <f>IF(SUM($E$61:F247)&gt;=$I$26+$I$27,1,0)</f>
        <v>1</v>
      </c>
      <c r="AR248" s="137" t="str">
        <f t="shared" si="39"/>
        <v/>
      </c>
    </row>
    <row r="249" spans="2:44" ht="21" customHeight="1" x14ac:dyDescent="0.3">
      <c r="B249" s="282" t="str">
        <f t="shared" si="36"/>
        <v/>
      </c>
      <c r="C249" s="282"/>
      <c r="D249" s="267" t="str">
        <f>IF(B249="","",IF(AND($I$10="Remodelación",$I$22="No"),1,IF($I$29&gt;=0.8,1,IF(AN249="Ministración",Simul_ConstruRemo!BM249,1))))</f>
        <v/>
      </c>
      <c r="E249" s="836" t="str">
        <f t="shared" si="43"/>
        <v/>
      </c>
      <c r="F249" s="836"/>
      <c r="G249" s="836" t="str">
        <f t="shared" si="37"/>
        <v/>
      </c>
      <c r="H249" s="836"/>
      <c r="I249" s="836" t="str">
        <f t="shared" si="41"/>
        <v/>
      </c>
      <c r="J249" s="836"/>
      <c r="K249" s="836" t="str">
        <f t="shared" si="42"/>
        <v/>
      </c>
      <c r="L249" s="836"/>
      <c r="M249" s="836" t="str">
        <f t="shared" si="44"/>
        <v/>
      </c>
      <c r="N249" s="836"/>
      <c r="O249" s="836" t="str">
        <f>IFERROR(Z249*Simul_ConstruRemo!$BP$30/1000,"")</f>
        <v/>
      </c>
      <c r="P249" s="836"/>
      <c r="Q249" s="836" t="str">
        <f>IFERROR(IF($I$10="Remodelación",M249*Simul_ConstruRemo!$BS$29,
IF(D249=1,MAX(M249,Z249)*$BS$29,M249*$BQ$29)),"")</f>
        <v/>
      </c>
      <c r="R249" s="836"/>
      <c r="S249" s="268" t="str">
        <f>IF(B249="","",'Tabla_Puntual&amp;Relacionamiento'!$B$52)</f>
        <v/>
      </c>
      <c r="T249" s="837"/>
      <c r="U249" s="837"/>
      <c r="V249" s="734"/>
      <c r="W249" s="734"/>
      <c r="X249" s="836" t="str">
        <f t="shared" si="47"/>
        <v/>
      </c>
      <c r="Y249" s="836"/>
      <c r="Z249" s="836" t="str">
        <f t="shared" si="46"/>
        <v/>
      </c>
      <c r="AA249" s="836"/>
      <c r="AC249" s="484"/>
      <c r="AD249" s="66"/>
      <c r="AE249" s="66"/>
      <c r="AI249" s="137" t="str">
        <f t="shared" si="35"/>
        <v/>
      </c>
      <c r="AJ249" s="63" t="str">
        <f>IF(OR(Z249="",Z249&lt;=0.01),"",IF(SUM($E$61:F249)=$I$26+$I$27,1,0))</f>
        <v/>
      </c>
      <c r="AK249" s="63">
        <f t="shared" si="38"/>
        <v>0</v>
      </c>
      <c r="AL249" s="269">
        <f t="shared" si="40"/>
        <v>0</v>
      </c>
      <c r="AN249" s="63" t="str">
        <f t="shared" si="45"/>
        <v/>
      </c>
      <c r="AQ249" s="63">
        <f>IF(SUM($E$61:F248)&gt;=$I$26+$I$27,1,0)</f>
        <v>1</v>
      </c>
      <c r="AR249" s="137" t="str">
        <f t="shared" si="39"/>
        <v/>
      </c>
    </row>
    <row r="250" spans="2:44" ht="21" customHeight="1" x14ac:dyDescent="0.3">
      <c r="B250" s="282" t="str">
        <f t="shared" si="36"/>
        <v/>
      </c>
      <c r="C250" s="282"/>
      <c r="D250" s="267" t="str">
        <f>IF(B250="","",IF(AND($I$10="Remodelación",$I$22="No"),1,IF($I$29&gt;=0.8,1,IF(AN250="Ministración",Simul_ConstruRemo!BM250,1))))</f>
        <v/>
      </c>
      <c r="E250" s="836" t="str">
        <f t="shared" si="43"/>
        <v/>
      </c>
      <c r="F250" s="836"/>
      <c r="G250" s="836" t="str">
        <f t="shared" si="37"/>
        <v/>
      </c>
      <c r="H250" s="836"/>
      <c r="I250" s="836" t="str">
        <f t="shared" si="41"/>
        <v/>
      </c>
      <c r="J250" s="836"/>
      <c r="K250" s="836" t="str">
        <f t="shared" si="42"/>
        <v/>
      </c>
      <c r="L250" s="836"/>
      <c r="M250" s="836" t="str">
        <f t="shared" si="44"/>
        <v/>
      </c>
      <c r="N250" s="836"/>
      <c r="O250" s="836" t="str">
        <f>IFERROR(Z250*Simul_ConstruRemo!$BP$30/1000,"")</f>
        <v/>
      </c>
      <c r="P250" s="836"/>
      <c r="Q250" s="836" t="str">
        <f>IFERROR(IF($I$10="Remodelación",M250*Simul_ConstruRemo!$BS$29,
IF(D250=1,MAX(M250,Z250)*$BS$29,M250*$BQ$29)),"")</f>
        <v/>
      </c>
      <c r="R250" s="836"/>
      <c r="S250" s="268" t="str">
        <f>IF(B250="","",'Tabla_Puntual&amp;Relacionamiento'!$B$52)</f>
        <v/>
      </c>
      <c r="T250" s="837"/>
      <c r="U250" s="837"/>
      <c r="V250" s="735" t="str">
        <f>IF(OR(Z249=0,Z249=""),"",IF(I250&gt;=G250,0,IF(OR($Y$52="NO",$Y$52=""),0,MIN(IF($Y$54="",0,$Y$54),$AV$16*25)*10%)))</f>
        <v/>
      </c>
      <c r="W250" s="735"/>
      <c r="X250" s="836" t="str">
        <f t="shared" si="47"/>
        <v/>
      </c>
      <c r="Y250" s="836"/>
      <c r="Z250" s="836" t="str">
        <f t="shared" si="46"/>
        <v/>
      </c>
      <c r="AA250" s="836"/>
      <c r="AC250" s="484"/>
      <c r="AD250" s="66"/>
      <c r="AE250" s="66"/>
      <c r="AI250" s="137" t="str">
        <f t="shared" si="35"/>
        <v/>
      </c>
      <c r="AJ250" s="63" t="str">
        <f>IF(OR(Z250="",Z250&lt;=0.01),"",IF(SUM($E$61:F250)=$I$26+$I$27,1,0))</f>
        <v/>
      </c>
      <c r="AK250" s="63">
        <f t="shared" si="38"/>
        <v>0</v>
      </c>
      <c r="AL250" s="269">
        <f t="shared" si="40"/>
        <v>0</v>
      </c>
      <c r="AN250" s="63" t="str">
        <f t="shared" si="45"/>
        <v/>
      </c>
      <c r="AQ250" s="63">
        <f>IF(SUM($E$61:F249)&gt;=$I$26+$I$27,1,0)</f>
        <v>1</v>
      </c>
      <c r="AR250" s="137" t="str">
        <f t="shared" si="39"/>
        <v/>
      </c>
    </row>
    <row r="251" spans="2:44" ht="21" customHeight="1" x14ac:dyDescent="0.3">
      <c r="B251" s="282" t="str">
        <f t="shared" si="36"/>
        <v/>
      </c>
      <c r="C251" s="282"/>
      <c r="D251" s="267" t="str">
        <f>IF(B251="","",IF(AND($I$10="Remodelación",$I$22="No"),1,IF($I$29&gt;=0.8,1,IF(AN251="Ministración",Simul_ConstruRemo!BM251,1))))</f>
        <v/>
      </c>
      <c r="E251" s="836" t="str">
        <f t="shared" si="43"/>
        <v/>
      </c>
      <c r="F251" s="836"/>
      <c r="G251" s="836" t="str">
        <f t="shared" si="37"/>
        <v/>
      </c>
      <c r="H251" s="836"/>
      <c r="I251" s="836" t="str">
        <f t="shared" si="41"/>
        <v/>
      </c>
      <c r="J251" s="836"/>
      <c r="K251" s="836" t="str">
        <f t="shared" si="42"/>
        <v/>
      </c>
      <c r="L251" s="836"/>
      <c r="M251" s="836" t="str">
        <f t="shared" si="44"/>
        <v/>
      </c>
      <c r="N251" s="836"/>
      <c r="O251" s="836" t="str">
        <f>IFERROR(Z251*Simul_ConstruRemo!$BP$30/1000,"")</f>
        <v/>
      </c>
      <c r="P251" s="836"/>
      <c r="Q251" s="836" t="str">
        <f>IFERROR(IF($I$10="Remodelación",M251*Simul_ConstruRemo!$BS$29,
IF(D251=1,MAX(M251,Z251)*$BS$29,M251*$BQ$29)),"")</f>
        <v/>
      </c>
      <c r="R251" s="836"/>
      <c r="S251" s="268" t="str">
        <f>IF(B251="","",'Tabla_Puntual&amp;Relacionamiento'!$B$52)</f>
        <v/>
      </c>
      <c r="T251" s="837"/>
      <c r="U251" s="837"/>
      <c r="V251" s="734"/>
      <c r="W251" s="734"/>
      <c r="X251" s="836" t="str">
        <f t="shared" si="47"/>
        <v/>
      </c>
      <c r="Y251" s="836"/>
      <c r="Z251" s="836" t="str">
        <f t="shared" si="46"/>
        <v/>
      </c>
      <c r="AA251" s="836"/>
      <c r="AC251" s="484"/>
      <c r="AD251" s="66"/>
      <c r="AE251" s="66"/>
      <c r="AI251" s="137" t="str">
        <f t="shared" si="35"/>
        <v/>
      </c>
      <c r="AJ251" s="63" t="str">
        <f>IF(OR(Z251="",Z251&lt;=0.01),"",IF(SUM($E$61:F251)=$I$26+$I$27,1,0))</f>
        <v/>
      </c>
      <c r="AK251" s="63">
        <f t="shared" si="38"/>
        <v>0</v>
      </c>
      <c r="AL251" s="269">
        <f t="shared" si="40"/>
        <v>0</v>
      </c>
      <c r="AN251" s="63" t="str">
        <f t="shared" si="45"/>
        <v/>
      </c>
      <c r="AQ251" s="63">
        <f>IF(SUM($E$61:F250)&gt;=$I$26+$I$27,1,0)</f>
        <v>1</v>
      </c>
      <c r="AR251" s="137" t="str">
        <f t="shared" si="39"/>
        <v/>
      </c>
    </row>
    <row r="252" spans="2:44" ht="21" customHeight="1" x14ac:dyDescent="0.3">
      <c r="B252" s="282" t="str">
        <f t="shared" si="36"/>
        <v/>
      </c>
      <c r="C252" s="282"/>
      <c r="D252" s="267" t="str">
        <f>IF(B252="","",IF(AND($I$10="Remodelación",$I$22="No"),1,IF($I$29&gt;=0.8,1,IF(AN252="Ministración",Simul_ConstruRemo!BM252,1))))</f>
        <v/>
      </c>
      <c r="E252" s="836" t="str">
        <f t="shared" si="43"/>
        <v/>
      </c>
      <c r="F252" s="836"/>
      <c r="G252" s="836" t="str">
        <f t="shared" si="37"/>
        <v/>
      </c>
      <c r="H252" s="836"/>
      <c r="I252" s="836" t="str">
        <f t="shared" si="41"/>
        <v/>
      </c>
      <c r="J252" s="836"/>
      <c r="K252" s="836" t="str">
        <f t="shared" si="42"/>
        <v/>
      </c>
      <c r="L252" s="836"/>
      <c r="M252" s="836" t="str">
        <f t="shared" si="44"/>
        <v/>
      </c>
      <c r="N252" s="836"/>
      <c r="O252" s="836" t="str">
        <f>IFERROR(Z252*Simul_ConstruRemo!$BP$30/1000,"")</f>
        <v/>
      </c>
      <c r="P252" s="836"/>
      <c r="Q252" s="836" t="str">
        <f>IFERROR(IF($I$10="Remodelación",M252*Simul_ConstruRemo!$BS$29,
IF(D252=1,MAX(M252,Z252)*$BS$29,M252*$BQ$29)),"")</f>
        <v/>
      </c>
      <c r="R252" s="836"/>
      <c r="S252" s="268" t="str">
        <f>IF(B252="","",'Tabla_Puntual&amp;Relacionamiento'!$B$52)</f>
        <v/>
      </c>
      <c r="T252" s="837"/>
      <c r="U252" s="837"/>
      <c r="V252" s="735" t="str">
        <f>IF(OR(Z251=0,Z251=""),"",IF(I252&gt;=G252,0,IF(OR($Y$52="NO",$Y$52=""),0,MIN(IF($Y$54="",0,$Y$54),$AV$16*25)*10%)))</f>
        <v/>
      </c>
      <c r="W252" s="735"/>
      <c r="X252" s="836" t="str">
        <f t="shared" si="47"/>
        <v/>
      </c>
      <c r="Y252" s="836"/>
      <c r="Z252" s="836" t="str">
        <f t="shared" si="46"/>
        <v/>
      </c>
      <c r="AA252" s="836"/>
      <c r="AC252" s="484"/>
      <c r="AD252" s="66"/>
      <c r="AE252" s="66"/>
      <c r="AI252" s="137" t="str">
        <f t="shared" si="35"/>
        <v/>
      </c>
      <c r="AJ252" s="63" t="str">
        <f>IF(OR(Z252="",Z252&lt;=0.01),"",IF(SUM($E$61:F252)=$I$26+$I$27,1,0))</f>
        <v/>
      </c>
      <c r="AK252" s="63">
        <f t="shared" si="38"/>
        <v>0</v>
      </c>
      <c r="AL252" s="269">
        <f t="shared" si="40"/>
        <v>0</v>
      </c>
      <c r="AN252" s="63" t="str">
        <f t="shared" si="45"/>
        <v/>
      </c>
      <c r="AQ252" s="63">
        <f>IF(SUM($E$61:F251)&gt;=$I$26+$I$27,1,0)</f>
        <v>1</v>
      </c>
      <c r="AR252" s="137" t="str">
        <f t="shared" si="39"/>
        <v/>
      </c>
    </row>
    <row r="253" spans="2:44" ht="21" customHeight="1" x14ac:dyDescent="0.3">
      <c r="B253" s="282" t="str">
        <f t="shared" si="36"/>
        <v/>
      </c>
      <c r="C253" s="282"/>
      <c r="D253" s="267" t="str">
        <f>IF(B253="","",IF(AND($I$10="Remodelación",$I$22="No"),1,IF($I$29&gt;=0.8,1,IF(AN253="Ministración",Simul_ConstruRemo!BM253,1))))</f>
        <v/>
      </c>
      <c r="E253" s="836" t="str">
        <f t="shared" si="43"/>
        <v/>
      </c>
      <c r="F253" s="836"/>
      <c r="G253" s="836" t="str">
        <f t="shared" si="37"/>
        <v/>
      </c>
      <c r="H253" s="836"/>
      <c r="I253" s="836" t="str">
        <f t="shared" si="41"/>
        <v/>
      </c>
      <c r="J253" s="836"/>
      <c r="K253" s="836" t="str">
        <f t="shared" si="42"/>
        <v/>
      </c>
      <c r="L253" s="836"/>
      <c r="M253" s="836" t="str">
        <f t="shared" si="44"/>
        <v/>
      </c>
      <c r="N253" s="836"/>
      <c r="O253" s="836" t="str">
        <f>IFERROR(Z253*Simul_ConstruRemo!$BP$30/1000,"")</f>
        <v/>
      </c>
      <c r="P253" s="836"/>
      <c r="Q253" s="836" t="str">
        <f>IFERROR(IF($I$10="Remodelación",M253*Simul_ConstruRemo!$BS$29,
IF(D253=1,MAX(M253,Z253)*$BS$29,M253*$BQ$29)),"")</f>
        <v/>
      </c>
      <c r="R253" s="836"/>
      <c r="S253" s="268" t="str">
        <f>IF(B253="","",'Tabla_Puntual&amp;Relacionamiento'!$B$53)</f>
        <v/>
      </c>
      <c r="T253" s="837"/>
      <c r="U253" s="837"/>
      <c r="V253" s="734"/>
      <c r="W253" s="734"/>
      <c r="X253" s="836" t="str">
        <f t="shared" si="47"/>
        <v/>
      </c>
      <c r="Y253" s="836"/>
      <c r="Z253" s="836" t="str">
        <f t="shared" si="46"/>
        <v/>
      </c>
      <c r="AA253" s="836"/>
      <c r="AC253" s="484"/>
      <c r="AD253" s="66"/>
      <c r="AE253" s="66"/>
      <c r="AI253" s="137" t="str">
        <f t="shared" ref="AI253:AI318" si="48">IF(X253="","",X253-(Q253-(Q253/1.16)))</f>
        <v/>
      </c>
      <c r="AJ253" s="63" t="str">
        <f>IF(OR(Z253="",Z253&lt;=0.01),"",IF(SUM($E$61:F253)=$I$26+$I$27,1,0))</f>
        <v/>
      </c>
      <c r="AK253" s="63">
        <f t="shared" si="38"/>
        <v>0</v>
      </c>
      <c r="AL253" s="269">
        <f t="shared" si="40"/>
        <v>0</v>
      </c>
      <c r="AN253" s="63" t="str">
        <f t="shared" si="45"/>
        <v/>
      </c>
      <c r="AQ253" s="63">
        <f>IF(SUM($E$61:F252)&gt;=$I$26+$I$27,1,0)</f>
        <v>1</v>
      </c>
      <c r="AR253" s="137" t="str">
        <f t="shared" si="39"/>
        <v/>
      </c>
    </row>
    <row r="254" spans="2:44" ht="21" customHeight="1" x14ac:dyDescent="0.3">
      <c r="B254" s="282" t="str">
        <f t="shared" ref="B254:B318" si="49">IFERROR(IF(Z253&lt;=0.01,"",IF(B253+1&gt;$BN$11,"",B253+1)),"")</f>
        <v/>
      </c>
      <c r="C254" s="282"/>
      <c r="D254" s="267" t="str">
        <f>IF(B254="","",IF(AND($I$10="Remodelación",$I$22="No"),1,IF($I$29&gt;=0.8,1,IF(AN254="Ministración",Simul_ConstruRemo!BM254,1))))</f>
        <v/>
      </c>
      <c r="E254" s="836" t="str">
        <f t="shared" si="43"/>
        <v/>
      </c>
      <c r="F254" s="836"/>
      <c r="G254" s="836" t="str">
        <f t="shared" ref="G254:G318" si="50">IF(B254="","",Z253)</f>
        <v/>
      </c>
      <c r="H254" s="836"/>
      <c r="I254" s="836" t="str">
        <f t="shared" si="41"/>
        <v/>
      </c>
      <c r="J254" s="836"/>
      <c r="K254" s="836" t="str">
        <f t="shared" si="42"/>
        <v/>
      </c>
      <c r="L254" s="836"/>
      <c r="M254" s="836" t="str">
        <f t="shared" si="44"/>
        <v/>
      </c>
      <c r="N254" s="836"/>
      <c r="O254" s="836" t="str">
        <f>IFERROR(Z254*Simul_ConstruRemo!$BP$30/1000,"")</f>
        <v/>
      </c>
      <c r="P254" s="836"/>
      <c r="Q254" s="836" t="str">
        <f>IFERROR(IF($I$10="Remodelación",M254*Simul_ConstruRemo!$BS$29,
IF(D254=1,MAX(M254,Z254)*$BS$29,M254*$BQ$29)),"")</f>
        <v/>
      </c>
      <c r="R254" s="836"/>
      <c r="S254" s="268" t="str">
        <f>IF(B254="","",'Tabla_Puntual&amp;Relacionamiento'!$B$53)</f>
        <v/>
      </c>
      <c r="T254" s="837"/>
      <c r="U254" s="837"/>
      <c r="V254" s="735" t="str">
        <f>IF(OR(Z253=0,Z253=""),"",IF(I254&gt;=G254,0,IF(OR($Y$52="NO",$Y$52=""),0,MIN(IF($Y$54="",0,$Y$54),$AV$16*25)*10%)))</f>
        <v/>
      </c>
      <c r="W254" s="735"/>
      <c r="X254" s="836" t="str">
        <f t="shared" si="47"/>
        <v/>
      </c>
      <c r="Y254" s="836"/>
      <c r="Z254" s="836" t="str">
        <f t="shared" si="46"/>
        <v/>
      </c>
      <c r="AA254" s="836"/>
      <c r="AC254" s="484"/>
      <c r="AD254" s="66"/>
      <c r="AE254" s="66"/>
      <c r="AI254" s="137" t="str">
        <f t="shared" si="48"/>
        <v/>
      </c>
      <c r="AJ254" s="63" t="str">
        <f>IF(OR(Z254="",Z254&lt;=0.01),"",IF(SUM($E$61:F254)=$I$26+$I$27,1,0))</f>
        <v/>
      </c>
      <c r="AK254" s="63">
        <f t="shared" si="38"/>
        <v>0</v>
      </c>
      <c r="AL254" s="269">
        <f t="shared" si="40"/>
        <v>0</v>
      </c>
      <c r="AN254" s="63" t="str">
        <f t="shared" si="45"/>
        <v/>
      </c>
      <c r="AQ254" s="63">
        <f>IF(SUM($E$61:F253)&gt;=$I$26+$I$27,1,0)</f>
        <v>1</v>
      </c>
      <c r="AR254" s="137" t="str">
        <f t="shared" si="39"/>
        <v/>
      </c>
    </row>
    <row r="255" spans="2:44" ht="21" customHeight="1" x14ac:dyDescent="0.3">
      <c r="B255" s="282" t="str">
        <f t="shared" si="49"/>
        <v/>
      </c>
      <c r="C255" s="282"/>
      <c r="D255" s="267" t="str">
        <f>IF(B255="","",IF(AND($I$10="Remodelación",$I$22="No"),1,IF($I$29&gt;=0.8,1,IF(AN255="Ministración",Simul_ConstruRemo!BM255,1))))</f>
        <v/>
      </c>
      <c r="E255" s="836" t="str">
        <f t="shared" si="43"/>
        <v/>
      </c>
      <c r="F255" s="836"/>
      <c r="G255" s="836" t="str">
        <f t="shared" si="50"/>
        <v/>
      </c>
      <c r="H255" s="836"/>
      <c r="I255" s="836" t="str">
        <f t="shared" si="41"/>
        <v/>
      </c>
      <c r="J255" s="836"/>
      <c r="K255" s="836" t="str">
        <f t="shared" si="42"/>
        <v/>
      </c>
      <c r="L255" s="836"/>
      <c r="M255" s="836" t="str">
        <f t="shared" si="44"/>
        <v/>
      </c>
      <c r="N255" s="836"/>
      <c r="O255" s="836" t="str">
        <f>IFERROR(Z255*Simul_ConstruRemo!$BP$30/1000,"")</f>
        <v/>
      </c>
      <c r="P255" s="836"/>
      <c r="Q255" s="836" t="str">
        <f>IFERROR(IF($I$10="Remodelación",M255*Simul_ConstruRemo!$BS$29,
IF(D255=1,MAX(M255,Z255)*$BS$29,M255*$BQ$29)),"")</f>
        <v/>
      </c>
      <c r="R255" s="836"/>
      <c r="S255" s="268" t="str">
        <f>IF(B255="","",'Tabla_Puntual&amp;Relacionamiento'!$B$53)</f>
        <v/>
      </c>
      <c r="T255" s="837"/>
      <c r="U255" s="837"/>
      <c r="V255" s="734"/>
      <c r="W255" s="734"/>
      <c r="X255" s="836" t="str">
        <f t="shared" si="47"/>
        <v/>
      </c>
      <c r="Y255" s="836"/>
      <c r="Z255" s="836" t="str">
        <f t="shared" si="46"/>
        <v/>
      </c>
      <c r="AA255" s="836"/>
      <c r="AC255" s="484"/>
      <c r="AD255" s="66"/>
      <c r="AE255" s="66"/>
      <c r="AI255" s="137" t="str">
        <f t="shared" si="48"/>
        <v/>
      </c>
      <c r="AJ255" s="63" t="str">
        <f>IF(OR(Z255="",Z255&lt;=0.01),"",IF(SUM($E$61:F255)=$I$26+$I$27,1,0))</f>
        <v/>
      </c>
      <c r="AK255" s="63">
        <f t="shared" ref="AK255:AK318" si="51">IFERROR(AK254+AJ255,0)</f>
        <v>0</v>
      </c>
      <c r="AL255" s="269">
        <f t="shared" si="40"/>
        <v>0</v>
      </c>
      <c r="AN255" s="63" t="str">
        <f t="shared" si="45"/>
        <v/>
      </c>
      <c r="AQ255" s="63">
        <f>IF(SUM($E$61:F254)&gt;=$I$26+$I$27,1,0)</f>
        <v>1</v>
      </c>
      <c r="AR255" s="137" t="str">
        <f t="shared" ref="AR255:AR318" si="52">IF(B255="","",IF(AQ255=0,K255,($I$26+$I$27)*$BP$31/1000))</f>
        <v/>
      </c>
    </row>
    <row r="256" spans="2:44" ht="21" customHeight="1" x14ac:dyDescent="0.3">
      <c r="B256" s="282" t="str">
        <f t="shared" si="49"/>
        <v/>
      </c>
      <c r="C256" s="282"/>
      <c r="D256" s="267" t="str">
        <f>IF(B256="","",IF(AND($I$10="Remodelación",$I$22="No"),1,IF($I$29&gt;=0.8,1,IF(AN256="Ministración",Simul_ConstruRemo!BM256,1))))</f>
        <v/>
      </c>
      <c r="E256" s="836" t="str">
        <f t="shared" si="43"/>
        <v/>
      </c>
      <c r="F256" s="836"/>
      <c r="G256" s="836" t="str">
        <f t="shared" si="50"/>
        <v/>
      </c>
      <c r="H256" s="836"/>
      <c r="I256" s="836" t="str">
        <f t="shared" si="41"/>
        <v/>
      </c>
      <c r="J256" s="836"/>
      <c r="K256" s="836" t="str">
        <f t="shared" si="42"/>
        <v/>
      </c>
      <c r="L256" s="836"/>
      <c r="M256" s="836" t="str">
        <f t="shared" si="44"/>
        <v/>
      </c>
      <c r="N256" s="836"/>
      <c r="O256" s="836" t="str">
        <f>IFERROR(Z256*Simul_ConstruRemo!$BP$30/1000,"")</f>
        <v/>
      </c>
      <c r="P256" s="836"/>
      <c r="Q256" s="836" t="str">
        <f>IFERROR(IF($I$10="Remodelación",M256*Simul_ConstruRemo!$BS$29,
IF(D256=1,MAX(M256,Z256)*$BS$29,M256*$BQ$29)),"")</f>
        <v/>
      </c>
      <c r="R256" s="836"/>
      <c r="S256" s="268" t="str">
        <f>IF(B256="","",'Tabla_Puntual&amp;Relacionamiento'!$B$53)</f>
        <v/>
      </c>
      <c r="T256" s="837"/>
      <c r="U256" s="837"/>
      <c r="V256" s="735" t="str">
        <f>IF(OR(Z255=0,Z255=""),"",IF(I256&gt;=G256,0,IF(OR($Y$52="NO",$Y$52=""),0,MIN(IF($Y$54="",0,$Y$54),$AV$16*25)*10%)))</f>
        <v/>
      </c>
      <c r="W256" s="735"/>
      <c r="X256" s="836" t="str">
        <f t="shared" si="47"/>
        <v/>
      </c>
      <c r="Y256" s="836"/>
      <c r="Z256" s="836" t="str">
        <f t="shared" si="46"/>
        <v/>
      </c>
      <c r="AA256" s="836"/>
      <c r="AC256" s="484"/>
      <c r="AD256" s="66"/>
      <c r="AE256" s="66"/>
      <c r="AI256" s="137" t="str">
        <f t="shared" si="48"/>
        <v/>
      </c>
      <c r="AJ256" s="63" t="str">
        <f>IF(OR(Z256="",Z256&lt;=0.01),"",IF(SUM($E$61:F256)=$I$26+$I$27,1,0))</f>
        <v/>
      </c>
      <c r="AK256" s="63">
        <f t="shared" si="51"/>
        <v>0</v>
      </c>
      <c r="AL256" s="269">
        <f t="shared" ref="AL256:AL316" si="53">IF(AK256&gt;0,AK256-1,AK256)</f>
        <v>0</v>
      </c>
      <c r="AN256" s="63" t="str">
        <f t="shared" si="45"/>
        <v/>
      </c>
      <c r="AQ256" s="63">
        <f>IF(SUM($E$61:F255)&gt;=$I$26+$I$27,1,0)</f>
        <v>1</v>
      </c>
      <c r="AR256" s="137" t="str">
        <f t="shared" si="52"/>
        <v/>
      </c>
    </row>
    <row r="257" spans="2:44" ht="21" customHeight="1" x14ac:dyDescent="0.3">
      <c r="B257" s="282" t="str">
        <f t="shared" si="49"/>
        <v/>
      </c>
      <c r="C257" s="282"/>
      <c r="D257" s="267" t="str">
        <f>IF(B257="","",IF(AND($I$10="Remodelación",$I$22="No"),1,IF($I$29&gt;=0.8,1,IF(AN257="Ministración",Simul_ConstruRemo!BM257,1))))</f>
        <v/>
      </c>
      <c r="E257" s="836" t="str">
        <f t="shared" si="43"/>
        <v/>
      </c>
      <c r="F257" s="836"/>
      <c r="G257" s="836" t="str">
        <f t="shared" si="50"/>
        <v/>
      </c>
      <c r="H257" s="836"/>
      <c r="I257" s="836" t="str">
        <f t="shared" si="41"/>
        <v/>
      </c>
      <c r="J257" s="836"/>
      <c r="K257" s="836" t="str">
        <f t="shared" si="42"/>
        <v/>
      </c>
      <c r="L257" s="836"/>
      <c r="M257" s="836" t="str">
        <f t="shared" si="44"/>
        <v/>
      </c>
      <c r="N257" s="836"/>
      <c r="O257" s="836" t="str">
        <f>IFERROR(Z257*Simul_ConstruRemo!$BP$30/1000,"")</f>
        <v/>
      </c>
      <c r="P257" s="836"/>
      <c r="Q257" s="836" t="str">
        <f>IFERROR(IF($I$10="Remodelación",M257*Simul_ConstruRemo!$BS$29,
IF(D257=1,MAX(M257,Z257)*$BS$29,M257*$BQ$29)),"")</f>
        <v/>
      </c>
      <c r="R257" s="836"/>
      <c r="S257" s="268" t="str">
        <f>IF(B257="","",'Tabla_Puntual&amp;Relacionamiento'!$B$53)</f>
        <v/>
      </c>
      <c r="T257" s="837"/>
      <c r="U257" s="837"/>
      <c r="V257" s="734"/>
      <c r="W257" s="734"/>
      <c r="X257" s="836" t="str">
        <f t="shared" si="47"/>
        <v/>
      </c>
      <c r="Y257" s="836"/>
      <c r="Z257" s="836" t="str">
        <f t="shared" si="46"/>
        <v/>
      </c>
      <c r="AA257" s="836"/>
      <c r="AC257" s="484"/>
      <c r="AD257" s="66"/>
      <c r="AE257" s="66"/>
      <c r="AI257" s="137" t="str">
        <f t="shared" si="48"/>
        <v/>
      </c>
      <c r="AJ257" s="63" t="str">
        <f>IF(OR(Z257="",Z257&lt;=0.01),"",IF(SUM($E$61:F257)=$I$26+$I$27,1,0))</f>
        <v/>
      </c>
      <c r="AK257" s="63">
        <f t="shared" si="51"/>
        <v>0</v>
      </c>
      <c r="AL257" s="269">
        <f t="shared" si="53"/>
        <v>0</v>
      </c>
      <c r="AN257" s="63" t="str">
        <f t="shared" si="45"/>
        <v/>
      </c>
      <c r="AQ257" s="63">
        <f>IF(SUM($E$61:F256)&gt;=$I$26+$I$27,1,0)</f>
        <v>1</v>
      </c>
      <c r="AR257" s="137" t="str">
        <f t="shared" si="52"/>
        <v/>
      </c>
    </row>
    <row r="258" spans="2:44" ht="21" customHeight="1" x14ac:dyDescent="0.3">
      <c r="B258" s="282" t="str">
        <f t="shared" si="49"/>
        <v/>
      </c>
      <c r="C258" s="282"/>
      <c r="D258" s="267" t="str">
        <f>IF(B258="","",IF(AND($I$10="Remodelación",$I$22="No"),1,IF($I$29&gt;=0.8,1,IF(AN258="Ministración",Simul_ConstruRemo!BM258,1))))</f>
        <v/>
      </c>
      <c r="E258" s="836" t="str">
        <f t="shared" si="43"/>
        <v/>
      </c>
      <c r="F258" s="836"/>
      <c r="G258" s="836" t="str">
        <f t="shared" si="50"/>
        <v/>
      </c>
      <c r="H258" s="836"/>
      <c r="I258" s="836" t="str">
        <f t="shared" si="41"/>
        <v/>
      </c>
      <c r="J258" s="836"/>
      <c r="K258" s="836" t="str">
        <f t="shared" si="42"/>
        <v/>
      </c>
      <c r="L258" s="836"/>
      <c r="M258" s="836" t="str">
        <f t="shared" si="44"/>
        <v/>
      </c>
      <c r="N258" s="836"/>
      <c r="O258" s="836" t="str">
        <f>IFERROR(Z258*Simul_ConstruRemo!$BP$30/1000,"")</f>
        <v/>
      </c>
      <c r="P258" s="836"/>
      <c r="Q258" s="836" t="str">
        <f>IFERROR(IF($I$10="Remodelación",M258*Simul_ConstruRemo!$BS$29,
IF(D258=1,MAX(M258,Z258)*$BS$29,M258*$BQ$29)),"")</f>
        <v/>
      </c>
      <c r="R258" s="836"/>
      <c r="S258" s="268" t="str">
        <f>IF(B258="","",'Tabla_Puntual&amp;Relacionamiento'!$B$53)</f>
        <v/>
      </c>
      <c r="T258" s="837"/>
      <c r="U258" s="837"/>
      <c r="V258" s="735" t="str">
        <f>IF(OR(Z257=0,Z257=""),"",IF(I258&gt;=G258,0,IF(OR($Y$52="NO",$Y$52=""),0,MIN(IF($Y$54="",0,$Y$54),$AV$16*25)*10%)))</f>
        <v/>
      </c>
      <c r="W258" s="735"/>
      <c r="X258" s="836" t="str">
        <f t="shared" si="47"/>
        <v/>
      </c>
      <c r="Y258" s="836"/>
      <c r="Z258" s="836" t="str">
        <f t="shared" si="46"/>
        <v/>
      </c>
      <c r="AA258" s="836"/>
      <c r="AC258" s="484"/>
      <c r="AD258" s="66"/>
      <c r="AE258" s="66"/>
      <c r="AI258" s="137" t="str">
        <f t="shared" si="48"/>
        <v/>
      </c>
      <c r="AJ258" s="63" t="str">
        <f>IF(OR(Z258="",Z258&lt;=0.01),"",IF(SUM($E$61:F258)=$I$26+$I$27,1,0))</f>
        <v/>
      </c>
      <c r="AK258" s="63">
        <f t="shared" si="51"/>
        <v>0</v>
      </c>
      <c r="AL258" s="269">
        <f t="shared" si="53"/>
        <v>0</v>
      </c>
      <c r="AN258" s="63" t="str">
        <f t="shared" si="45"/>
        <v/>
      </c>
      <c r="AQ258" s="63">
        <f>IF(SUM($E$61:F257)&gt;=$I$26+$I$27,1,0)</f>
        <v>1</v>
      </c>
      <c r="AR258" s="137" t="str">
        <f t="shared" si="52"/>
        <v/>
      </c>
    </row>
    <row r="259" spans="2:44" ht="21" customHeight="1" x14ac:dyDescent="0.3">
      <c r="B259" s="282" t="str">
        <f t="shared" si="49"/>
        <v/>
      </c>
      <c r="C259" s="282"/>
      <c r="D259" s="267" t="str">
        <f>IF(B259="","",IF(AND($I$10="Remodelación",$I$22="No"),1,IF($I$29&gt;=0.8,1,IF(AN259="Ministración",Simul_ConstruRemo!BM259,1))))</f>
        <v/>
      </c>
      <c r="E259" s="836" t="str">
        <f t="shared" si="43"/>
        <v/>
      </c>
      <c r="F259" s="836"/>
      <c r="G259" s="836" t="str">
        <f t="shared" si="50"/>
        <v/>
      </c>
      <c r="H259" s="836"/>
      <c r="I259" s="836" t="str">
        <f t="shared" si="41"/>
        <v/>
      </c>
      <c r="J259" s="836"/>
      <c r="K259" s="836" t="str">
        <f t="shared" si="42"/>
        <v/>
      </c>
      <c r="L259" s="836"/>
      <c r="M259" s="836" t="str">
        <f t="shared" si="44"/>
        <v/>
      </c>
      <c r="N259" s="836"/>
      <c r="O259" s="836" t="str">
        <f>IFERROR(Z259*Simul_ConstruRemo!$BP$30/1000,"")</f>
        <v/>
      </c>
      <c r="P259" s="836"/>
      <c r="Q259" s="836" t="str">
        <f>IFERROR(IF($I$10="Remodelación",M259*Simul_ConstruRemo!$BS$29,
IF(D259=1,MAX(M259,Z259)*$BS$29,M259*$BQ$29)),"")</f>
        <v/>
      </c>
      <c r="R259" s="836"/>
      <c r="S259" s="268" t="str">
        <f>IF(B259="","",'Tabla_Puntual&amp;Relacionamiento'!$B$53)</f>
        <v/>
      </c>
      <c r="T259" s="837"/>
      <c r="U259" s="837"/>
      <c r="V259" s="734"/>
      <c r="W259" s="734"/>
      <c r="X259" s="836" t="str">
        <f t="shared" si="47"/>
        <v/>
      </c>
      <c r="Y259" s="836"/>
      <c r="Z259" s="836" t="str">
        <f t="shared" si="46"/>
        <v/>
      </c>
      <c r="AA259" s="836"/>
      <c r="AC259" s="484"/>
      <c r="AD259" s="66"/>
      <c r="AE259" s="66"/>
      <c r="AI259" s="137" t="str">
        <f t="shared" si="48"/>
        <v/>
      </c>
      <c r="AJ259" s="63" t="str">
        <f>IF(OR(Z259="",Z259&lt;=0.01),"",IF(SUM($E$61:F259)=$I$26+$I$27,1,0))</f>
        <v/>
      </c>
      <c r="AK259" s="63">
        <f t="shared" si="51"/>
        <v>0</v>
      </c>
      <c r="AL259" s="269">
        <f t="shared" si="53"/>
        <v>0</v>
      </c>
      <c r="AN259" s="63" t="str">
        <f t="shared" si="45"/>
        <v/>
      </c>
      <c r="AQ259" s="63">
        <f>IF(SUM($E$61:F258)&gt;=$I$26+$I$27,1,0)</f>
        <v>1</v>
      </c>
      <c r="AR259" s="137" t="str">
        <f t="shared" si="52"/>
        <v/>
      </c>
    </row>
    <row r="260" spans="2:44" ht="21" customHeight="1" x14ac:dyDescent="0.3">
      <c r="B260" s="282" t="str">
        <f t="shared" si="49"/>
        <v/>
      </c>
      <c r="C260" s="282"/>
      <c r="D260" s="267" t="str">
        <f>IF(B260="","",IF(AND($I$10="Remodelación",$I$22="No"),1,IF($I$29&gt;=0.8,1,IF(AN260="Ministración",Simul_ConstruRemo!BM260,1))))</f>
        <v/>
      </c>
      <c r="E260" s="836" t="str">
        <f t="shared" si="43"/>
        <v/>
      </c>
      <c r="F260" s="836"/>
      <c r="G260" s="836" t="str">
        <f t="shared" si="50"/>
        <v/>
      </c>
      <c r="H260" s="836"/>
      <c r="I260" s="836" t="str">
        <f t="shared" si="41"/>
        <v/>
      </c>
      <c r="J260" s="836"/>
      <c r="K260" s="836" t="str">
        <f t="shared" si="42"/>
        <v/>
      </c>
      <c r="L260" s="836"/>
      <c r="M260" s="836" t="str">
        <f t="shared" si="44"/>
        <v/>
      </c>
      <c r="N260" s="836"/>
      <c r="O260" s="836" t="str">
        <f>IFERROR(Z260*Simul_ConstruRemo!$BP$30/1000,"")</f>
        <v/>
      </c>
      <c r="P260" s="836"/>
      <c r="Q260" s="836" t="str">
        <f>IFERROR(IF($I$10="Remodelación",M260*Simul_ConstruRemo!$BS$29,
IF(D260=1,MAX(M260,Z260)*$BS$29,M260*$BQ$29)),"")</f>
        <v/>
      </c>
      <c r="R260" s="836"/>
      <c r="S260" s="268" t="str">
        <f>IF(B260="","",'Tabla_Puntual&amp;Relacionamiento'!$B$53)</f>
        <v/>
      </c>
      <c r="T260" s="837"/>
      <c r="U260" s="837"/>
      <c r="V260" s="735" t="str">
        <f>IF(OR(Z259=0,Z259=""),"",IF(I260&gt;=G260,0,IF(OR($Y$52="NO",$Y$52=""),0,MIN(IF($Y$54="",0,$Y$54),$AV$16*25)*10%)))</f>
        <v/>
      </c>
      <c r="W260" s="735"/>
      <c r="X260" s="836" t="str">
        <f t="shared" si="47"/>
        <v/>
      </c>
      <c r="Y260" s="836"/>
      <c r="Z260" s="836" t="str">
        <f t="shared" si="46"/>
        <v/>
      </c>
      <c r="AA260" s="836"/>
      <c r="AC260" s="484"/>
      <c r="AD260" s="66"/>
      <c r="AE260" s="66"/>
      <c r="AI260" s="137" t="str">
        <f t="shared" si="48"/>
        <v/>
      </c>
      <c r="AJ260" s="63" t="str">
        <f>IF(OR(Z260="",Z260&lt;=0.01),"",IF(SUM($E$61:F260)=$I$26+$I$27,1,0))</f>
        <v/>
      </c>
      <c r="AK260" s="63">
        <f t="shared" si="51"/>
        <v>0</v>
      </c>
      <c r="AL260" s="269">
        <f t="shared" si="53"/>
        <v>0</v>
      </c>
      <c r="AN260" s="63" t="str">
        <f t="shared" si="45"/>
        <v/>
      </c>
      <c r="AQ260" s="63">
        <f>IF(SUM($E$61:F259)&gt;=$I$26+$I$27,1,0)</f>
        <v>1</v>
      </c>
      <c r="AR260" s="137" t="str">
        <f t="shared" si="52"/>
        <v/>
      </c>
    </row>
    <row r="261" spans="2:44" ht="21" customHeight="1" x14ac:dyDescent="0.3">
      <c r="B261" s="282" t="str">
        <f t="shared" si="49"/>
        <v/>
      </c>
      <c r="C261" s="282"/>
      <c r="D261" s="267" t="str">
        <f>IF(B261="","",IF(AND($I$10="Remodelación",$I$22="No"),1,IF($I$29&gt;=0.8,1,IF(AN261="Ministración",Simul_ConstruRemo!BM261,1))))</f>
        <v/>
      </c>
      <c r="E261" s="836" t="str">
        <f t="shared" si="43"/>
        <v/>
      </c>
      <c r="F261" s="836"/>
      <c r="G261" s="836" t="str">
        <f t="shared" si="50"/>
        <v/>
      </c>
      <c r="H261" s="836"/>
      <c r="I261" s="836" t="str">
        <f t="shared" si="41"/>
        <v/>
      </c>
      <c r="J261" s="836"/>
      <c r="K261" s="836" t="str">
        <f t="shared" si="42"/>
        <v/>
      </c>
      <c r="L261" s="836"/>
      <c r="M261" s="836" t="str">
        <f t="shared" si="44"/>
        <v/>
      </c>
      <c r="N261" s="836"/>
      <c r="O261" s="836" t="str">
        <f>IFERROR(Z261*Simul_ConstruRemo!$BP$30/1000,"")</f>
        <v/>
      </c>
      <c r="P261" s="836"/>
      <c r="Q261" s="836" t="str">
        <f>IFERROR(IF($I$10="Remodelación",M261*Simul_ConstruRemo!$BS$29,
IF(D261=1,MAX(M261,Z261)*$BS$29,M261*$BQ$29)),"")</f>
        <v/>
      </c>
      <c r="R261" s="836"/>
      <c r="S261" s="268" t="str">
        <f>IF(B261="","",'Tabla_Puntual&amp;Relacionamiento'!$B$53)</f>
        <v/>
      </c>
      <c r="T261" s="837"/>
      <c r="U261" s="837"/>
      <c r="V261" s="734"/>
      <c r="W261" s="734"/>
      <c r="X261" s="836" t="str">
        <f t="shared" si="47"/>
        <v/>
      </c>
      <c r="Y261" s="836"/>
      <c r="Z261" s="836" t="str">
        <f t="shared" si="46"/>
        <v/>
      </c>
      <c r="AA261" s="836"/>
      <c r="AC261" s="484"/>
      <c r="AD261" s="66"/>
      <c r="AE261" s="66"/>
      <c r="AI261" s="137" t="str">
        <f t="shared" si="48"/>
        <v/>
      </c>
      <c r="AJ261" s="63" t="str">
        <f>IF(OR(Z261="",Z261&lt;=0.01),"",IF(SUM($E$61:F261)=$I$26+$I$27,1,0))</f>
        <v/>
      </c>
      <c r="AK261" s="63">
        <f t="shared" si="51"/>
        <v>0</v>
      </c>
      <c r="AL261" s="269">
        <f t="shared" si="53"/>
        <v>0</v>
      </c>
      <c r="AN261" s="63" t="str">
        <f t="shared" si="45"/>
        <v/>
      </c>
      <c r="AQ261" s="63">
        <f>IF(SUM($E$61:F260)&gt;=$I$26+$I$27,1,0)</f>
        <v>1</v>
      </c>
      <c r="AR261" s="137" t="str">
        <f t="shared" si="52"/>
        <v/>
      </c>
    </row>
    <row r="262" spans="2:44" ht="21" customHeight="1" x14ac:dyDescent="0.3">
      <c r="B262" s="282" t="str">
        <f t="shared" si="49"/>
        <v/>
      </c>
      <c r="C262" s="282"/>
      <c r="D262" s="267" t="str">
        <f>IF(B262="","",IF(AND($I$10="Remodelación",$I$22="No"),1,IF($I$29&gt;=0.8,1,IF(AN262="Ministración",Simul_ConstruRemo!BM262,1))))</f>
        <v/>
      </c>
      <c r="E262" s="836" t="str">
        <f t="shared" si="43"/>
        <v/>
      </c>
      <c r="F262" s="836"/>
      <c r="G262" s="836" t="str">
        <f t="shared" si="50"/>
        <v/>
      </c>
      <c r="H262" s="836"/>
      <c r="I262" s="836" t="str">
        <f t="shared" si="41"/>
        <v/>
      </c>
      <c r="J262" s="836"/>
      <c r="K262" s="836" t="str">
        <f t="shared" si="42"/>
        <v/>
      </c>
      <c r="L262" s="836"/>
      <c r="M262" s="836" t="str">
        <f t="shared" si="44"/>
        <v/>
      </c>
      <c r="N262" s="836"/>
      <c r="O262" s="836" t="str">
        <f>IFERROR(Z262*Simul_ConstruRemo!$BP$30/1000,"")</f>
        <v/>
      </c>
      <c r="P262" s="836"/>
      <c r="Q262" s="836" t="str">
        <f>IFERROR(IF($I$10="Remodelación",M262*Simul_ConstruRemo!$BS$29,
IF(D262=1,MAX(M262,Z262)*$BS$29,M262*$BQ$29)),"")</f>
        <v/>
      </c>
      <c r="R262" s="836"/>
      <c r="S262" s="268" t="str">
        <f>IF(B262="","",'Tabla_Puntual&amp;Relacionamiento'!$B$53)</f>
        <v/>
      </c>
      <c r="T262" s="837"/>
      <c r="U262" s="837"/>
      <c r="V262" s="735" t="str">
        <f>IF(OR(Z261=0,Z261=""),"",IF(I262&gt;=G262,0,IF(OR($Y$52="NO",$Y$52=""),0,MIN(IF($Y$54="",0,$Y$54),$AV$16*25)*10%)))</f>
        <v/>
      </c>
      <c r="W262" s="735"/>
      <c r="X262" s="836" t="str">
        <f t="shared" si="47"/>
        <v/>
      </c>
      <c r="Y262" s="836"/>
      <c r="Z262" s="836" t="str">
        <f t="shared" si="46"/>
        <v/>
      </c>
      <c r="AA262" s="836"/>
      <c r="AC262" s="484"/>
      <c r="AD262" s="66"/>
      <c r="AE262" s="66"/>
      <c r="AI262" s="137" t="str">
        <f t="shared" si="48"/>
        <v/>
      </c>
      <c r="AJ262" s="63" t="str">
        <f>IF(OR(Z262="",Z262&lt;=0.01),"",IF(SUM($E$61:F262)=$I$26+$I$27,1,0))</f>
        <v/>
      </c>
      <c r="AK262" s="63">
        <f t="shared" si="51"/>
        <v>0</v>
      </c>
      <c r="AL262" s="269">
        <f t="shared" si="53"/>
        <v>0</v>
      </c>
      <c r="AN262" s="63" t="str">
        <f t="shared" si="45"/>
        <v/>
      </c>
      <c r="AQ262" s="63">
        <f>IF(SUM($E$61:F261)&gt;=$I$26+$I$27,1,0)</f>
        <v>1</v>
      </c>
      <c r="AR262" s="137" t="str">
        <f t="shared" si="52"/>
        <v/>
      </c>
    </row>
    <row r="263" spans="2:44" ht="21" customHeight="1" x14ac:dyDescent="0.3">
      <c r="B263" s="282" t="str">
        <f t="shared" si="49"/>
        <v/>
      </c>
      <c r="C263" s="282"/>
      <c r="D263" s="267" t="str">
        <f>IF(B263="","",IF(AND($I$10="Remodelación",$I$22="No"),1,IF($I$29&gt;=0.8,1,IF(AN263="Ministración",Simul_ConstruRemo!BM263,1))))</f>
        <v/>
      </c>
      <c r="E263" s="836" t="str">
        <f t="shared" si="43"/>
        <v/>
      </c>
      <c r="F263" s="836"/>
      <c r="G263" s="836" t="str">
        <f t="shared" si="50"/>
        <v/>
      </c>
      <c r="H263" s="836"/>
      <c r="I263" s="836" t="str">
        <f t="shared" si="41"/>
        <v/>
      </c>
      <c r="J263" s="836"/>
      <c r="K263" s="836" t="str">
        <f t="shared" si="42"/>
        <v/>
      </c>
      <c r="L263" s="836"/>
      <c r="M263" s="836" t="str">
        <f t="shared" si="44"/>
        <v/>
      </c>
      <c r="N263" s="836"/>
      <c r="O263" s="836" t="str">
        <f>IFERROR(Z263*Simul_ConstruRemo!$BP$30/1000,"")</f>
        <v/>
      </c>
      <c r="P263" s="836"/>
      <c r="Q263" s="836" t="str">
        <f>IFERROR(IF($I$10="Remodelación",M263*Simul_ConstruRemo!$BS$29,
IF(D263=1,MAX(M263,Z263)*$BS$29,M263*$BQ$29)),"")</f>
        <v/>
      </c>
      <c r="R263" s="836"/>
      <c r="S263" s="268" t="str">
        <f>IF(B263="","",'Tabla_Puntual&amp;Relacionamiento'!$B$53)</f>
        <v/>
      </c>
      <c r="T263" s="837"/>
      <c r="U263" s="837"/>
      <c r="V263" s="734"/>
      <c r="W263" s="734"/>
      <c r="X263" s="836" t="str">
        <f t="shared" si="47"/>
        <v/>
      </c>
      <c r="Y263" s="836"/>
      <c r="Z263" s="836" t="str">
        <f t="shared" si="46"/>
        <v/>
      </c>
      <c r="AA263" s="836"/>
      <c r="AC263" s="484"/>
      <c r="AD263" s="66"/>
      <c r="AE263" s="66"/>
      <c r="AI263" s="137" t="str">
        <f t="shared" si="48"/>
        <v/>
      </c>
      <c r="AJ263" s="63" t="str">
        <f>IF(OR(Z263="",Z263&lt;=0.01),"",IF(SUM($E$61:F263)=$I$26+$I$27,1,0))</f>
        <v/>
      </c>
      <c r="AK263" s="63">
        <f t="shared" si="51"/>
        <v>0</v>
      </c>
      <c r="AL263" s="269">
        <f t="shared" si="53"/>
        <v>0</v>
      </c>
      <c r="AN263" s="63" t="str">
        <f t="shared" si="45"/>
        <v/>
      </c>
      <c r="AQ263" s="63">
        <f>IF(SUM($E$61:F262)&gt;=$I$26+$I$27,1,0)</f>
        <v>1</v>
      </c>
      <c r="AR263" s="137" t="str">
        <f t="shared" si="52"/>
        <v/>
      </c>
    </row>
    <row r="264" spans="2:44" ht="21" customHeight="1" x14ac:dyDescent="0.3">
      <c r="B264" s="282" t="str">
        <f t="shared" si="49"/>
        <v/>
      </c>
      <c r="C264" s="282"/>
      <c r="D264" s="267" t="str">
        <f>IF(B264="","",IF(AND($I$10="Remodelación",$I$22="No"),1,IF($I$29&gt;=0.8,1,IF(AN264="Ministración",Simul_ConstruRemo!BM264,1))))</f>
        <v/>
      </c>
      <c r="E264" s="836" t="str">
        <f t="shared" si="43"/>
        <v/>
      </c>
      <c r="F264" s="836"/>
      <c r="G264" s="836" t="str">
        <f t="shared" si="50"/>
        <v/>
      </c>
      <c r="H264" s="836"/>
      <c r="I264" s="836" t="str">
        <f t="shared" si="41"/>
        <v/>
      </c>
      <c r="J264" s="836"/>
      <c r="K264" s="836" t="str">
        <f t="shared" si="42"/>
        <v/>
      </c>
      <c r="L264" s="836"/>
      <c r="M264" s="836" t="str">
        <f t="shared" si="44"/>
        <v/>
      </c>
      <c r="N264" s="836"/>
      <c r="O264" s="836" t="str">
        <f>IFERROR(Z264*Simul_ConstruRemo!$BP$30/1000,"")</f>
        <v/>
      </c>
      <c r="P264" s="836"/>
      <c r="Q264" s="836" t="str">
        <f>IFERROR(IF($I$10="Remodelación",M264*Simul_ConstruRemo!$BS$29,
IF(D264=1,MAX(M264,Z264)*$BS$29,M264*$BQ$29)),"")</f>
        <v/>
      </c>
      <c r="R264" s="836"/>
      <c r="S264" s="268" t="str">
        <f>IF(B264="","",'Tabla_Puntual&amp;Relacionamiento'!$B$53)</f>
        <v/>
      </c>
      <c r="T264" s="837"/>
      <c r="U264" s="837"/>
      <c r="V264" s="735" t="str">
        <f>IF(OR(Z263=0,Z263=""),"",IF(I264&gt;=G264,0,IF(OR($Y$52="NO",$Y$52=""),0,MIN(IF($Y$54="",0,$Y$54),$AV$16*25)*10%)))</f>
        <v/>
      </c>
      <c r="W264" s="735"/>
      <c r="X264" s="836" t="str">
        <f t="shared" si="47"/>
        <v/>
      </c>
      <c r="Y264" s="836"/>
      <c r="Z264" s="836" t="str">
        <f t="shared" si="46"/>
        <v/>
      </c>
      <c r="AA264" s="836"/>
      <c r="AC264" s="484"/>
      <c r="AD264" s="66"/>
      <c r="AE264" s="66"/>
      <c r="AI264" s="137" t="str">
        <f t="shared" si="48"/>
        <v/>
      </c>
      <c r="AJ264" s="63" t="str">
        <f>IF(OR(Z264="",Z264&lt;=0.01),"",IF(SUM($E$61:F264)=$I$26+$I$27,1,0))</f>
        <v/>
      </c>
      <c r="AK264" s="63">
        <f t="shared" si="51"/>
        <v>0</v>
      </c>
      <c r="AL264" s="269">
        <f t="shared" si="53"/>
        <v>0</v>
      </c>
      <c r="AN264" s="63" t="str">
        <f t="shared" si="45"/>
        <v/>
      </c>
      <c r="AQ264" s="63">
        <f>IF(SUM($E$61:F263)&gt;=$I$26+$I$27,1,0)</f>
        <v>1</v>
      </c>
      <c r="AR264" s="137" t="str">
        <f t="shared" si="52"/>
        <v/>
      </c>
    </row>
    <row r="265" spans="2:44" ht="21" customHeight="1" x14ac:dyDescent="0.3">
      <c r="B265" s="282" t="str">
        <f t="shared" si="49"/>
        <v/>
      </c>
      <c r="C265" s="282"/>
      <c r="D265" s="267" t="str">
        <f>IF(B265="","",IF(AND($I$10="Remodelación",$I$22="No"),1,IF($I$29&gt;=0.8,1,IF(AN265="Ministración",Simul_ConstruRemo!BM265,1))))</f>
        <v/>
      </c>
      <c r="E265" s="836" t="str">
        <f t="shared" si="43"/>
        <v/>
      </c>
      <c r="F265" s="836"/>
      <c r="G265" s="836" t="str">
        <f t="shared" si="50"/>
        <v/>
      </c>
      <c r="H265" s="836"/>
      <c r="I265" s="836" t="str">
        <f t="shared" si="41"/>
        <v/>
      </c>
      <c r="J265" s="836"/>
      <c r="K265" s="836" t="str">
        <f t="shared" si="42"/>
        <v/>
      </c>
      <c r="L265" s="836"/>
      <c r="M265" s="836" t="str">
        <f t="shared" si="44"/>
        <v/>
      </c>
      <c r="N265" s="836"/>
      <c r="O265" s="836" t="str">
        <f>IFERROR(Z265*Simul_ConstruRemo!$BP$30/1000,"")</f>
        <v/>
      </c>
      <c r="P265" s="836"/>
      <c r="Q265" s="836" t="str">
        <f>IFERROR(IF($I$10="Remodelación",M265*Simul_ConstruRemo!$BS$29,
IF(D265=1,MAX(M265,Z265)*$BS$29,M265*$BQ$29)),"")</f>
        <v/>
      </c>
      <c r="R265" s="836"/>
      <c r="S265" s="268" t="str">
        <f>IF(B265="","",'Tabla_Puntual&amp;Relacionamiento'!$B$54)</f>
        <v/>
      </c>
      <c r="T265" s="837"/>
      <c r="U265" s="837"/>
      <c r="V265" s="734"/>
      <c r="W265" s="734"/>
      <c r="X265" s="836" t="str">
        <f t="shared" si="47"/>
        <v/>
      </c>
      <c r="Y265" s="836"/>
      <c r="Z265" s="836" t="str">
        <f t="shared" si="46"/>
        <v/>
      </c>
      <c r="AA265" s="836"/>
      <c r="AC265" s="484"/>
      <c r="AD265" s="66"/>
      <c r="AE265" s="66"/>
      <c r="AI265" s="137" t="str">
        <f t="shared" si="48"/>
        <v/>
      </c>
      <c r="AJ265" s="63" t="str">
        <f>IF(OR(Z265="",Z265&lt;=0.01),"",IF(SUM($E$61:F265)=$I$26+$I$27,1,0))</f>
        <v/>
      </c>
      <c r="AK265" s="63">
        <f t="shared" si="51"/>
        <v>0</v>
      </c>
      <c r="AL265" s="269">
        <f t="shared" si="53"/>
        <v>0</v>
      </c>
      <c r="AN265" s="63" t="str">
        <f t="shared" si="45"/>
        <v/>
      </c>
      <c r="AQ265" s="63">
        <f>IF(SUM($E$61:F264)&gt;=$I$26+$I$27,1,0)</f>
        <v>1</v>
      </c>
      <c r="AR265" s="137" t="str">
        <f t="shared" si="52"/>
        <v/>
      </c>
    </row>
    <row r="266" spans="2:44" ht="21" customHeight="1" x14ac:dyDescent="0.3">
      <c r="B266" s="282" t="str">
        <f t="shared" si="49"/>
        <v/>
      </c>
      <c r="C266" s="282"/>
      <c r="D266" s="267" t="str">
        <f>IF(B266="","",IF(AND($I$10="Remodelación",$I$22="No"),1,IF($I$29&gt;=0.8,1,IF(AN266="Ministración",Simul_ConstruRemo!BM266,1))))</f>
        <v/>
      </c>
      <c r="E266" s="836" t="str">
        <f t="shared" si="43"/>
        <v/>
      </c>
      <c r="F266" s="836"/>
      <c r="G266" s="836" t="str">
        <f t="shared" si="50"/>
        <v/>
      </c>
      <c r="H266" s="836"/>
      <c r="I266" s="836" t="str">
        <f t="shared" ref="I266:I318" si="54">IF(B266="","",IF(G266&lt;AR266-K266,G266,AR266-K266))</f>
        <v/>
      </c>
      <c r="J266" s="836"/>
      <c r="K266" s="836" t="str">
        <f t="shared" si="42"/>
        <v/>
      </c>
      <c r="L266" s="836"/>
      <c r="M266" s="836" t="str">
        <f t="shared" si="44"/>
        <v/>
      </c>
      <c r="N266" s="836"/>
      <c r="O266" s="836" t="str">
        <f>IFERROR(Z266*Simul_ConstruRemo!$BP$30/1000,"")</f>
        <v/>
      </c>
      <c r="P266" s="836"/>
      <c r="Q266" s="836" t="str">
        <f>IFERROR(IF($I$10="Remodelación",M266*Simul_ConstruRemo!$BS$29,
IF(D266=1,MAX(M266,Z266)*$BS$29,M266*$BQ$29)),"")</f>
        <v/>
      </c>
      <c r="R266" s="836"/>
      <c r="S266" s="268" t="str">
        <f>IF(B266="","",'Tabla_Puntual&amp;Relacionamiento'!$B$54)</f>
        <v/>
      </c>
      <c r="T266" s="837"/>
      <c r="U266" s="837"/>
      <c r="V266" s="735" t="str">
        <f>IF(OR(Z265=0,Z265=""),"",IF(I266&gt;=G266,0,IF(OR($Y$52="NO",$Y$52=""),0,MIN(IF($Y$54="",0,$Y$54),$AV$16*25)*10%)))</f>
        <v/>
      </c>
      <c r="W266" s="735"/>
      <c r="X266" s="836" t="str">
        <f t="shared" si="47"/>
        <v/>
      </c>
      <c r="Y266" s="836"/>
      <c r="Z266" s="836" t="str">
        <f t="shared" si="46"/>
        <v/>
      </c>
      <c r="AA266" s="836"/>
      <c r="AC266" s="484"/>
      <c r="AD266" s="66"/>
      <c r="AE266" s="66"/>
      <c r="AI266" s="137" t="str">
        <f t="shared" si="48"/>
        <v/>
      </c>
      <c r="AJ266" s="63" t="str">
        <f>IF(OR(Z266="",Z266&lt;=0.01),"",IF(SUM($E$61:F266)=$I$26+$I$27,1,0))</f>
        <v/>
      </c>
      <c r="AK266" s="63">
        <f t="shared" si="51"/>
        <v>0</v>
      </c>
      <c r="AL266" s="269">
        <f t="shared" si="53"/>
        <v>0</v>
      </c>
      <c r="AN266" s="63" t="str">
        <f t="shared" si="45"/>
        <v/>
      </c>
      <c r="AQ266" s="63">
        <f>IF(SUM($E$61:F265)&gt;=$I$26+$I$27,1,0)</f>
        <v>1</v>
      </c>
      <c r="AR266" s="137" t="str">
        <f t="shared" si="52"/>
        <v/>
      </c>
    </row>
    <row r="267" spans="2:44" ht="21" customHeight="1" x14ac:dyDescent="0.3">
      <c r="B267" s="282" t="str">
        <f t="shared" si="49"/>
        <v/>
      </c>
      <c r="C267" s="282"/>
      <c r="D267" s="267" t="str">
        <f>IF(B267="","",IF(AND($I$10="Remodelación",$I$22="No"),1,IF($I$29&gt;=0.8,1,IF(AN267="Ministración",Simul_ConstruRemo!BM267,1))))</f>
        <v/>
      </c>
      <c r="E267" s="836" t="str">
        <f t="shared" si="43"/>
        <v/>
      </c>
      <c r="F267" s="836"/>
      <c r="G267" s="836" t="str">
        <f t="shared" si="50"/>
        <v/>
      </c>
      <c r="H267" s="836"/>
      <c r="I267" s="836" t="str">
        <f t="shared" si="54"/>
        <v/>
      </c>
      <c r="J267" s="836"/>
      <c r="K267" s="836" t="str">
        <f t="shared" si="42"/>
        <v/>
      </c>
      <c r="L267" s="836"/>
      <c r="M267" s="836" t="str">
        <f t="shared" si="44"/>
        <v/>
      </c>
      <c r="N267" s="836"/>
      <c r="O267" s="836" t="str">
        <f>IFERROR(Z267*Simul_ConstruRemo!$BP$30/1000,"")</f>
        <v/>
      </c>
      <c r="P267" s="836"/>
      <c r="Q267" s="836" t="str">
        <f>IFERROR(IF($I$10="Remodelación",M267*Simul_ConstruRemo!$BS$29,
IF(D267=1,MAX(M267,Z267)*$BS$29,M267*$BQ$29)),"")</f>
        <v/>
      </c>
      <c r="R267" s="836"/>
      <c r="S267" s="268" t="str">
        <f>IF(B267="","",'Tabla_Puntual&amp;Relacionamiento'!$B$54)</f>
        <v/>
      </c>
      <c r="T267" s="837"/>
      <c r="U267" s="837"/>
      <c r="V267" s="734"/>
      <c r="W267" s="734"/>
      <c r="X267" s="836" t="str">
        <f t="shared" si="47"/>
        <v/>
      </c>
      <c r="Y267" s="836"/>
      <c r="Z267" s="836" t="str">
        <f t="shared" si="46"/>
        <v/>
      </c>
      <c r="AA267" s="836"/>
      <c r="AC267" s="484"/>
      <c r="AD267" s="66"/>
      <c r="AE267" s="66"/>
      <c r="AI267" s="137" t="str">
        <f t="shared" si="48"/>
        <v/>
      </c>
      <c r="AJ267" s="63" t="str">
        <f>IF(OR(Z267="",Z267&lt;=0.01),"",IF(SUM($E$61:F267)=$I$26+$I$27,1,0))</f>
        <v/>
      </c>
      <c r="AK267" s="63">
        <f t="shared" si="51"/>
        <v>0</v>
      </c>
      <c r="AL267" s="269">
        <f t="shared" si="53"/>
        <v>0</v>
      </c>
      <c r="AN267" s="63" t="str">
        <f t="shared" si="45"/>
        <v/>
      </c>
      <c r="AQ267" s="63">
        <f>IF(SUM($E$61:F266)&gt;=$I$26+$I$27,1,0)</f>
        <v>1</v>
      </c>
      <c r="AR267" s="137" t="str">
        <f t="shared" si="52"/>
        <v/>
      </c>
    </row>
    <row r="268" spans="2:44" ht="21" customHeight="1" x14ac:dyDescent="0.3">
      <c r="B268" s="282" t="str">
        <f t="shared" si="49"/>
        <v/>
      </c>
      <c r="C268" s="282"/>
      <c r="D268" s="267" t="str">
        <f>IF(B268="","",IF(AND($I$10="Remodelación",$I$22="No"),1,IF($I$29&gt;=0.8,1,IF(AN268="Ministración",Simul_ConstruRemo!BM268,1))))</f>
        <v/>
      </c>
      <c r="E268" s="836" t="str">
        <f t="shared" si="43"/>
        <v/>
      </c>
      <c r="F268" s="836"/>
      <c r="G268" s="836" t="str">
        <f t="shared" si="50"/>
        <v/>
      </c>
      <c r="H268" s="836"/>
      <c r="I268" s="836" t="str">
        <f t="shared" si="54"/>
        <v/>
      </c>
      <c r="J268" s="836"/>
      <c r="K268" s="836" t="str">
        <f t="shared" si="42"/>
        <v/>
      </c>
      <c r="L268" s="836"/>
      <c r="M268" s="836" t="str">
        <f t="shared" si="44"/>
        <v/>
      </c>
      <c r="N268" s="836"/>
      <c r="O268" s="836" t="str">
        <f>IFERROR(Z268*Simul_ConstruRemo!$BP$30/1000,"")</f>
        <v/>
      </c>
      <c r="P268" s="836"/>
      <c r="Q268" s="836" t="str">
        <f>IFERROR(IF($I$10="Remodelación",M268*Simul_ConstruRemo!$BS$29,
IF(D268=1,MAX(M268,Z268)*$BS$29,M268*$BQ$29)),"")</f>
        <v/>
      </c>
      <c r="R268" s="836"/>
      <c r="S268" s="268" t="str">
        <f>IF(B268="","",'Tabla_Puntual&amp;Relacionamiento'!$B$54)</f>
        <v/>
      </c>
      <c r="T268" s="837"/>
      <c r="U268" s="837"/>
      <c r="V268" s="735" t="str">
        <f>IF(OR(Z267=0,Z267=""),"",IF(I268&gt;=G268,0,IF(OR($Y$52="NO",$Y$52=""),0,MIN(IF($Y$54="",0,$Y$54),$AV$16*25)*10%)))</f>
        <v/>
      </c>
      <c r="W268" s="735"/>
      <c r="X268" s="836" t="str">
        <f t="shared" si="47"/>
        <v/>
      </c>
      <c r="Y268" s="836"/>
      <c r="Z268" s="836" t="str">
        <f t="shared" si="46"/>
        <v/>
      </c>
      <c r="AA268" s="836"/>
      <c r="AC268" s="484"/>
      <c r="AD268" s="66"/>
      <c r="AE268" s="66"/>
      <c r="AI268" s="137" t="str">
        <f t="shared" si="48"/>
        <v/>
      </c>
      <c r="AJ268" s="63" t="str">
        <f>IF(OR(Z268="",Z268&lt;=0.01),"",IF(SUM($E$61:F268)=$I$26+$I$27,1,0))</f>
        <v/>
      </c>
      <c r="AK268" s="63">
        <f t="shared" si="51"/>
        <v>0</v>
      </c>
      <c r="AL268" s="269">
        <f t="shared" si="53"/>
        <v>0</v>
      </c>
      <c r="AN268" s="63" t="str">
        <f t="shared" si="45"/>
        <v/>
      </c>
      <c r="AQ268" s="63">
        <f>IF(SUM($E$61:F267)&gt;=$I$26+$I$27,1,0)</f>
        <v>1</v>
      </c>
      <c r="AR268" s="137" t="str">
        <f t="shared" si="52"/>
        <v/>
      </c>
    </row>
    <row r="269" spans="2:44" ht="21" customHeight="1" x14ac:dyDescent="0.3">
      <c r="B269" s="282" t="str">
        <f t="shared" si="49"/>
        <v/>
      </c>
      <c r="C269" s="282"/>
      <c r="D269" s="267" t="str">
        <f>IF(B269="","",IF(AND($I$10="Remodelación",$I$22="No"),1,IF($I$29&gt;=0.8,1,IF(AN269="Ministración",Simul_ConstruRemo!BM269,1))))</f>
        <v/>
      </c>
      <c r="E269" s="836" t="str">
        <f t="shared" si="43"/>
        <v/>
      </c>
      <c r="F269" s="836"/>
      <c r="G269" s="836" t="str">
        <f t="shared" si="50"/>
        <v/>
      </c>
      <c r="H269" s="836"/>
      <c r="I269" s="836" t="str">
        <f t="shared" si="54"/>
        <v/>
      </c>
      <c r="J269" s="836"/>
      <c r="K269" s="836" t="str">
        <f t="shared" si="42"/>
        <v/>
      </c>
      <c r="L269" s="836"/>
      <c r="M269" s="836" t="str">
        <f t="shared" si="44"/>
        <v/>
      </c>
      <c r="N269" s="836"/>
      <c r="O269" s="836" t="str">
        <f>IFERROR(Z269*Simul_ConstruRemo!$BP$30/1000,"")</f>
        <v/>
      </c>
      <c r="P269" s="836"/>
      <c r="Q269" s="836" t="str">
        <f>IFERROR(IF($I$10="Remodelación",M269*Simul_ConstruRemo!$BS$29,
IF(D269=1,MAX(M269,Z269)*$BS$29,M269*$BQ$29)),"")</f>
        <v/>
      </c>
      <c r="R269" s="836"/>
      <c r="S269" s="268" t="str">
        <f>IF(B269="","",'Tabla_Puntual&amp;Relacionamiento'!$B$54)</f>
        <v/>
      </c>
      <c r="T269" s="837"/>
      <c r="U269" s="837"/>
      <c r="V269" s="734"/>
      <c r="W269" s="734"/>
      <c r="X269" s="836" t="str">
        <f t="shared" si="47"/>
        <v/>
      </c>
      <c r="Y269" s="836"/>
      <c r="Z269" s="836" t="str">
        <f t="shared" si="46"/>
        <v/>
      </c>
      <c r="AA269" s="836"/>
      <c r="AC269" s="484"/>
      <c r="AD269" s="66"/>
      <c r="AE269" s="66"/>
      <c r="AI269" s="137" t="str">
        <f t="shared" si="48"/>
        <v/>
      </c>
      <c r="AJ269" s="63" t="str">
        <f>IF(OR(Z269="",Z269&lt;=0.01),"",IF(SUM($E$61:F269)=$I$26+$I$27,1,0))</f>
        <v/>
      </c>
      <c r="AK269" s="63">
        <f t="shared" si="51"/>
        <v>0</v>
      </c>
      <c r="AL269" s="269">
        <f t="shared" si="53"/>
        <v>0</v>
      </c>
      <c r="AN269" s="63" t="str">
        <f t="shared" si="45"/>
        <v/>
      </c>
      <c r="AQ269" s="63">
        <f>IF(SUM($E$61:F268)&gt;=$I$26+$I$27,1,0)</f>
        <v>1</v>
      </c>
      <c r="AR269" s="137" t="str">
        <f t="shared" si="52"/>
        <v/>
      </c>
    </row>
    <row r="270" spans="2:44" ht="21" customHeight="1" x14ac:dyDescent="0.3">
      <c r="B270" s="282" t="str">
        <f t="shared" si="49"/>
        <v/>
      </c>
      <c r="C270" s="282"/>
      <c r="D270" s="267" t="str">
        <f>IF(B270="","",IF(AND($I$10="Remodelación",$I$22="No"),1,IF($I$29&gt;=0.8,1,IF(AN270="Ministración",Simul_ConstruRemo!BM270,1))))</f>
        <v/>
      </c>
      <c r="E270" s="836" t="str">
        <f t="shared" si="43"/>
        <v/>
      </c>
      <c r="F270" s="836"/>
      <c r="G270" s="836" t="str">
        <f t="shared" si="50"/>
        <v/>
      </c>
      <c r="H270" s="836"/>
      <c r="I270" s="836" t="str">
        <f t="shared" si="54"/>
        <v/>
      </c>
      <c r="J270" s="836"/>
      <c r="K270" s="836" t="str">
        <f t="shared" si="42"/>
        <v/>
      </c>
      <c r="L270" s="836"/>
      <c r="M270" s="836" t="str">
        <f t="shared" si="44"/>
        <v/>
      </c>
      <c r="N270" s="836"/>
      <c r="O270" s="836" t="str">
        <f>IFERROR(Z270*Simul_ConstruRemo!$BP$30/1000,"")</f>
        <v/>
      </c>
      <c r="P270" s="836"/>
      <c r="Q270" s="836" t="str">
        <f>IFERROR(IF($I$10="Remodelación",M270*Simul_ConstruRemo!$BS$29,
IF(D270=1,MAX(M270,Z270)*$BS$29,M270*$BQ$29)),"")</f>
        <v/>
      </c>
      <c r="R270" s="836"/>
      <c r="S270" s="268" t="str">
        <f>IF(B270="","",'Tabla_Puntual&amp;Relacionamiento'!$B$54)</f>
        <v/>
      </c>
      <c r="T270" s="837"/>
      <c r="U270" s="837"/>
      <c r="V270" s="735" t="str">
        <f>IF(OR(Z269=0,Z269=""),"",IF(I270&gt;=G270,0,IF(OR($Y$52="NO",$Y$52=""),0,MIN(IF($Y$54="",0,$Y$54),$AV$16*25)*10%)))</f>
        <v/>
      </c>
      <c r="W270" s="735"/>
      <c r="X270" s="836" t="str">
        <f t="shared" si="47"/>
        <v/>
      </c>
      <c r="Y270" s="836"/>
      <c r="Z270" s="836" t="str">
        <f t="shared" si="46"/>
        <v/>
      </c>
      <c r="AA270" s="836"/>
      <c r="AC270" s="484"/>
      <c r="AD270" s="66"/>
      <c r="AE270" s="66"/>
      <c r="AI270" s="137" t="str">
        <f t="shared" si="48"/>
        <v/>
      </c>
      <c r="AJ270" s="63" t="str">
        <f>IF(OR(Z270="",Z270&lt;=0.01),"",IF(SUM($E$61:F270)=$I$26+$I$27,1,0))</f>
        <v/>
      </c>
      <c r="AK270" s="63">
        <f t="shared" si="51"/>
        <v>0</v>
      </c>
      <c r="AL270" s="269">
        <f t="shared" si="53"/>
        <v>0</v>
      </c>
      <c r="AN270" s="63" t="str">
        <f t="shared" si="45"/>
        <v/>
      </c>
      <c r="AQ270" s="63">
        <f>IF(SUM($E$61:F269)&gt;=$I$26+$I$27,1,0)</f>
        <v>1</v>
      </c>
      <c r="AR270" s="137" t="str">
        <f t="shared" si="52"/>
        <v/>
      </c>
    </row>
    <row r="271" spans="2:44" ht="21" customHeight="1" x14ac:dyDescent="0.3">
      <c r="B271" s="282" t="str">
        <f t="shared" si="49"/>
        <v/>
      </c>
      <c r="C271" s="282"/>
      <c r="D271" s="267" t="str">
        <f>IF(B271="","",IF(AND($I$10="Remodelación",$I$22="No"),1,IF($I$29&gt;=0.8,1,IF(AN271="Ministración",Simul_ConstruRemo!BM271,1))))</f>
        <v/>
      </c>
      <c r="E271" s="836" t="str">
        <f t="shared" si="43"/>
        <v/>
      </c>
      <c r="F271" s="836"/>
      <c r="G271" s="836" t="str">
        <f t="shared" si="50"/>
        <v/>
      </c>
      <c r="H271" s="836"/>
      <c r="I271" s="836" t="str">
        <f t="shared" si="54"/>
        <v/>
      </c>
      <c r="J271" s="836"/>
      <c r="K271" s="836" t="str">
        <f t="shared" ref="K271:K318" si="55">IF(B271="","",IF(AN271="Ministración",G271*S271/12,
IF(G271*(S271/12)&lt;0,"",G271*(S271/12))))</f>
        <v/>
      </c>
      <c r="L271" s="836"/>
      <c r="M271" s="836" t="str">
        <f t="shared" si="44"/>
        <v/>
      </c>
      <c r="N271" s="836"/>
      <c r="O271" s="836" t="str">
        <f>IFERROR(Z271*Simul_ConstruRemo!$BP$30/1000,"")</f>
        <v/>
      </c>
      <c r="P271" s="836"/>
      <c r="Q271" s="836" t="str">
        <f>IFERROR(IF($I$10="Remodelación",M271*Simul_ConstruRemo!$BS$29,
IF(D271=1,MAX(M271,Z271)*$BS$29,M271*$BQ$29)),"")</f>
        <v/>
      </c>
      <c r="R271" s="836"/>
      <c r="S271" s="268" t="str">
        <f>IF(B271="","",'Tabla_Puntual&amp;Relacionamiento'!$B$54)</f>
        <v/>
      </c>
      <c r="T271" s="837"/>
      <c r="U271" s="837"/>
      <c r="V271" s="734"/>
      <c r="W271" s="734"/>
      <c r="X271" s="836" t="str">
        <f t="shared" si="47"/>
        <v/>
      </c>
      <c r="Y271" s="836"/>
      <c r="Z271" s="836" t="str">
        <f t="shared" si="46"/>
        <v/>
      </c>
      <c r="AA271" s="836"/>
      <c r="AC271" s="484"/>
      <c r="AD271" s="66"/>
      <c r="AE271" s="66"/>
      <c r="AI271" s="137" t="str">
        <f t="shared" si="48"/>
        <v/>
      </c>
      <c r="AJ271" s="63" t="str">
        <f>IF(OR(Z271="",Z271&lt;=0.01),"",IF(SUM($E$61:F271)=$I$26+$I$27,1,0))</f>
        <v/>
      </c>
      <c r="AK271" s="63">
        <f t="shared" si="51"/>
        <v>0</v>
      </c>
      <c r="AL271" s="269">
        <f t="shared" si="53"/>
        <v>0</v>
      </c>
      <c r="AN271" s="63" t="str">
        <f t="shared" si="45"/>
        <v/>
      </c>
      <c r="AQ271" s="63">
        <f>IF(SUM($E$61:F270)&gt;=$I$26+$I$27,1,0)</f>
        <v>1</v>
      </c>
      <c r="AR271" s="137" t="str">
        <f t="shared" si="52"/>
        <v/>
      </c>
    </row>
    <row r="272" spans="2:44" ht="21" customHeight="1" x14ac:dyDescent="0.3">
      <c r="B272" s="282" t="str">
        <f t="shared" si="49"/>
        <v/>
      </c>
      <c r="C272" s="282"/>
      <c r="D272" s="267" t="str">
        <f>IF(B272="","",IF(AND($I$10="Remodelación",$I$22="No"),1,IF($I$29&gt;=0.8,1,IF(AN272="Ministración",Simul_ConstruRemo!BM272,1))))</f>
        <v/>
      </c>
      <c r="E272" s="836" t="str">
        <f t="shared" ref="E272:E318" si="56">IFERROR(IF(B272="","",
IF(AND($I$10="Remodelación",$I$22="No"),0,
IF(AND($I$10&lt;&gt;"Remodelación",$I$29&gt;=0.8),0,
IF(AN272="Obra Concluida",0,VLOOKUP(B272,$AX$61:$AZ$72,3,0))))),0)</f>
        <v/>
      </c>
      <c r="F272" s="836"/>
      <c r="G272" s="836" t="str">
        <f t="shared" si="50"/>
        <v/>
      </c>
      <c r="H272" s="836"/>
      <c r="I272" s="836" t="str">
        <f t="shared" si="54"/>
        <v/>
      </c>
      <c r="J272" s="836"/>
      <c r="K272" s="836" t="str">
        <f t="shared" si="55"/>
        <v/>
      </c>
      <c r="L272" s="836"/>
      <c r="M272" s="836" t="str">
        <f t="shared" ref="M272:M318" si="57">IF(B272="","",IF($I$10="Remodelación",($I$16*0.7+$I$17*0.5),$CO$27))</f>
        <v/>
      </c>
      <c r="N272" s="836"/>
      <c r="O272" s="836" t="str">
        <f>IFERROR(Z272*Simul_ConstruRemo!$BP$30/1000,"")</f>
        <v/>
      </c>
      <c r="P272" s="836"/>
      <c r="Q272" s="836" t="str">
        <f>IFERROR(IF($I$10="Remodelación",M272*Simul_ConstruRemo!$BS$29,
IF(D272=1,MAX(M272,Z272)*$BS$29,M272*$BQ$29)),"")</f>
        <v/>
      </c>
      <c r="R272" s="836"/>
      <c r="S272" s="268" t="str">
        <f>IF(B272="","",'Tabla_Puntual&amp;Relacionamiento'!$B$54)</f>
        <v/>
      </c>
      <c r="T272" s="837"/>
      <c r="U272" s="837"/>
      <c r="V272" s="735" t="str">
        <f>IF(OR(Z271=0,Z271=""),"",IF(I272&gt;=G272,0,IF(OR($Y$52="NO",$Y$52=""),0,MIN(IF($Y$54="",0,$Y$54),$AV$16*25)*10%)))</f>
        <v/>
      </c>
      <c r="W272" s="735"/>
      <c r="X272" s="836" t="str">
        <f t="shared" si="47"/>
        <v/>
      </c>
      <c r="Y272" s="836"/>
      <c r="Z272" s="836" t="str">
        <f t="shared" si="46"/>
        <v/>
      </c>
      <c r="AA272" s="836"/>
      <c r="AC272" s="484"/>
      <c r="AD272" s="66"/>
      <c r="AE272" s="66"/>
      <c r="AI272" s="137" t="str">
        <f t="shared" si="48"/>
        <v/>
      </c>
      <c r="AJ272" s="63" t="str">
        <f>IF(OR(Z272="",Z272&lt;=0.01),"",IF(SUM($E$61:F272)=$I$26+$I$27,1,0))</f>
        <v/>
      </c>
      <c r="AK272" s="63">
        <f t="shared" si="51"/>
        <v>0</v>
      </c>
      <c r="AL272" s="269">
        <f t="shared" si="53"/>
        <v>0</v>
      </c>
      <c r="AN272" s="63" t="str">
        <f t="shared" ref="AN272:AN318" si="58">IF(B272="","","Obra Concluida")</f>
        <v/>
      </c>
      <c r="AQ272" s="63">
        <f>IF(SUM($E$61:F271)&gt;=$I$26+$I$27,1,0)</f>
        <v>1</v>
      </c>
      <c r="AR272" s="137" t="str">
        <f t="shared" si="52"/>
        <v/>
      </c>
    </row>
    <row r="273" spans="2:45" ht="21" customHeight="1" x14ac:dyDescent="0.3">
      <c r="B273" s="282" t="str">
        <f t="shared" si="49"/>
        <v/>
      </c>
      <c r="C273" s="282"/>
      <c r="D273" s="267" t="str">
        <f>IF(B273="","",IF(AND($I$10="Remodelación",$I$22="No"),1,IF($I$29&gt;=0.8,1,IF(AN273="Ministración",Simul_ConstruRemo!BM273,1))))</f>
        <v/>
      </c>
      <c r="E273" s="836" t="str">
        <f t="shared" si="56"/>
        <v/>
      </c>
      <c r="F273" s="836"/>
      <c r="G273" s="836" t="str">
        <f t="shared" si="50"/>
        <v/>
      </c>
      <c r="H273" s="836"/>
      <c r="I273" s="836" t="str">
        <f t="shared" si="54"/>
        <v/>
      </c>
      <c r="J273" s="836"/>
      <c r="K273" s="836" t="str">
        <f t="shared" si="55"/>
        <v/>
      </c>
      <c r="L273" s="836"/>
      <c r="M273" s="836" t="str">
        <f t="shared" si="57"/>
        <v/>
      </c>
      <c r="N273" s="836"/>
      <c r="O273" s="836" t="str">
        <f>IFERROR(Z273*Simul_ConstruRemo!$BP$30/1000,"")</f>
        <v/>
      </c>
      <c r="P273" s="836"/>
      <c r="Q273" s="836" t="str">
        <f>IFERROR(IF($I$10="Remodelación",M273*Simul_ConstruRemo!$BS$29,
IF(D273=1,MAX(M273,Z273)*$BS$29,M273*$BQ$29)),"")</f>
        <v/>
      </c>
      <c r="R273" s="836"/>
      <c r="S273" s="268" t="str">
        <f>IF(B273="","",'Tabla_Puntual&amp;Relacionamiento'!$B$54)</f>
        <v/>
      </c>
      <c r="T273" s="837"/>
      <c r="U273" s="837"/>
      <c r="V273" s="734"/>
      <c r="W273" s="734"/>
      <c r="X273" s="836" t="str">
        <f t="shared" si="47"/>
        <v/>
      </c>
      <c r="Y273" s="836"/>
      <c r="Z273" s="836" t="str">
        <f t="shared" si="46"/>
        <v/>
      </c>
      <c r="AA273" s="836"/>
      <c r="AC273" s="484"/>
      <c r="AD273" s="66"/>
      <c r="AE273" s="66"/>
      <c r="AI273" s="137" t="str">
        <f t="shared" si="48"/>
        <v/>
      </c>
      <c r="AJ273" s="63" t="str">
        <f>IF(OR(Z273="",Z273&lt;=0.01),"",IF(SUM($E$61:F273)=$I$26+$I$27,1,0))</f>
        <v/>
      </c>
      <c r="AK273" s="63">
        <f t="shared" si="51"/>
        <v>0</v>
      </c>
      <c r="AL273" s="269">
        <f t="shared" si="53"/>
        <v>0</v>
      </c>
      <c r="AN273" s="63" t="str">
        <f t="shared" si="58"/>
        <v/>
      </c>
      <c r="AQ273" s="63">
        <f>IF(SUM($E$61:F272)&gt;=$I$26+$I$27,1,0)</f>
        <v>1</v>
      </c>
      <c r="AR273" s="137" t="str">
        <f>IF(B273="","",IF(AQ273=0,K273,($I$26+$I$27)*$BP$31/1000))</f>
        <v/>
      </c>
      <c r="AS273" s="234"/>
    </row>
    <row r="274" spans="2:45" ht="21" customHeight="1" x14ac:dyDescent="0.3">
      <c r="B274" s="282" t="str">
        <f t="shared" si="49"/>
        <v/>
      </c>
      <c r="C274" s="282"/>
      <c r="D274" s="267" t="str">
        <f>IF(B274="","",IF(AND($I$10="Remodelación",$I$22="No"),1,IF($I$29&gt;=0.8,1,IF(AN274="Ministración",Simul_ConstruRemo!BM274,1))))</f>
        <v/>
      </c>
      <c r="E274" s="836" t="str">
        <f t="shared" si="56"/>
        <v/>
      </c>
      <c r="F274" s="836"/>
      <c r="G274" s="836" t="str">
        <f t="shared" si="50"/>
        <v/>
      </c>
      <c r="H274" s="836"/>
      <c r="I274" s="836" t="str">
        <f t="shared" si="54"/>
        <v/>
      </c>
      <c r="J274" s="836"/>
      <c r="K274" s="836" t="str">
        <f t="shared" si="55"/>
        <v/>
      </c>
      <c r="L274" s="836"/>
      <c r="M274" s="836" t="str">
        <f t="shared" si="57"/>
        <v/>
      </c>
      <c r="N274" s="836"/>
      <c r="O274" s="836" t="str">
        <f>IFERROR(Z274*Simul_ConstruRemo!$BP$30/1000,"")</f>
        <v/>
      </c>
      <c r="P274" s="836"/>
      <c r="Q274" s="836" t="str">
        <f>IFERROR(IF($I$10="Remodelación",M274*Simul_ConstruRemo!$BS$29,
IF(D274=1,MAX(M274,Z274)*$BS$29,M274*$BQ$29)),"")</f>
        <v/>
      </c>
      <c r="R274" s="836"/>
      <c r="S274" s="268" t="str">
        <f>IF(B274="","",'Tabla_Puntual&amp;Relacionamiento'!$B$54)</f>
        <v/>
      </c>
      <c r="T274" s="837"/>
      <c r="U274" s="837"/>
      <c r="V274" s="735" t="str">
        <f>IF(OR(Z273=0,Z273=""),"",IF(I274&gt;=G274,0,IF(OR($Y$52="NO",$Y$52=""),0,MIN(IF($Y$54="",0,$Y$54),$AV$16*25)*10%)))</f>
        <v/>
      </c>
      <c r="W274" s="735"/>
      <c r="X274" s="836" t="str">
        <f t="shared" si="47"/>
        <v/>
      </c>
      <c r="Y274" s="836"/>
      <c r="Z274" s="836" t="str">
        <f t="shared" ref="Z274:Z318" si="59">IF(B274="","",IF((G274-I274+T274-V274)&lt;1,0,G274-I274-T274-V274))</f>
        <v/>
      </c>
      <c r="AA274" s="836"/>
      <c r="AI274" s="137" t="str">
        <f t="shared" si="48"/>
        <v/>
      </c>
      <c r="AJ274" s="63" t="str">
        <f>IF(OR(Z274="",Z274&lt;=0.01),"",IF(SUM($E$61:F274)=$I$26+$I$27,1,0))</f>
        <v/>
      </c>
      <c r="AK274" s="63">
        <f t="shared" si="51"/>
        <v>0</v>
      </c>
      <c r="AL274" s="269">
        <f t="shared" si="53"/>
        <v>0</v>
      </c>
      <c r="AN274" s="63" t="str">
        <f t="shared" si="58"/>
        <v/>
      </c>
      <c r="AQ274" s="63">
        <f>IF(SUM($E$61:F273)&gt;=$I$26+$I$27,1,0)</f>
        <v>1</v>
      </c>
      <c r="AR274" s="137" t="str">
        <f t="shared" si="52"/>
        <v/>
      </c>
    </row>
    <row r="275" spans="2:45" ht="21" customHeight="1" x14ac:dyDescent="0.3">
      <c r="B275" s="282" t="str">
        <f t="shared" si="49"/>
        <v/>
      </c>
      <c r="C275" s="282"/>
      <c r="D275" s="267" t="str">
        <f>IF(B275="","",IF(AND($I$10="Remodelación",$I$22="No"),1,IF($I$29&gt;=0.8,1,IF(AN275="Ministración",Simul_ConstruRemo!BM275,1))))</f>
        <v/>
      </c>
      <c r="E275" s="836" t="str">
        <f t="shared" si="56"/>
        <v/>
      </c>
      <c r="F275" s="836"/>
      <c r="G275" s="836" t="str">
        <f t="shared" si="50"/>
        <v/>
      </c>
      <c r="H275" s="836"/>
      <c r="I275" s="836" t="str">
        <f t="shared" si="54"/>
        <v/>
      </c>
      <c r="J275" s="836"/>
      <c r="K275" s="836" t="str">
        <f t="shared" si="55"/>
        <v/>
      </c>
      <c r="L275" s="836"/>
      <c r="M275" s="836" t="str">
        <f t="shared" si="57"/>
        <v/>
      </c>
      <c r="N275" s="836"/>
      <c r="O275" s="836" t="str">
        <f>IFERROR(Z275*Simul_ConstruRemo!$BP$30/1000,"")</f>
        <v/>
      </c>
      <c r="P275" s="836"/>
      <c r="Q275" s="836" t="str">
        <f>IFERROR(IF($I$10="Remodelación",M275*Simul_ConstruRemo!$BS$29,
IF(D275=1,MAX(M275,Z275)*$BS$29,M275*$BQ$29)),"")</f>
        <v/>
      </c>
      <c r="R275" s="836"/>
      <c r="S275" s="268" t="str">
        <f>IF(B275="","",'Tabla_Puntual&amp;Relacionamiento'!$B$54)</f>
        <v/>
      </c>
      <c r="T275" s="837"/>
      <c r="U275" s="837"/>
      <c r="V275" s="734"/>
      <c r="W275" s="734"/>
      <c r="X275" s="836" t="str">
        <f t="shared" si="47"/>
        <v/>
      </c>
      <c r="Y275" s="836"/>
      <c r="Z275" s="836" t="str">
        <f t="shared" si="59"/>
        <v/>
      </c>
      <c r="AA275" s="836"/>
      <c r="AI275" s="137" t="str">
        <f t="shared" si="48"/>
        <v/>
      </c>
      <c r="AJ275" s="63" t="str">
        <f>IF(OR(Z275="",Z275&lt;=0.01),"",IF(SUM($E$61:F275)=$I$26+$I$27,1,0))</f>
        <v/>
      </c>
      <c r="AK275" s="63">
        <f t="shared" si="51"/>
        <v>0</v>
      </c>
      <c r="AL275" s="269">
        <f t="shared" si="53"/>
        <v>0</v>
      </c>
      <c r="AN275" s="63" t="str">
        <f t="shared" si="58"/>
        <v/>
      </c>
      <c r="AQ275" s="63">
        <f>IF(SUM($E$61:F274)&gt;=$I$26+$I$27,1,0)</f>
        <v>1</v>
      </c>
      <c r="AR275" s="137" t="str">
        <f t="shared" si="52"/>
        <v/>
      </c>
    </row>
    <row r="276" spans="2:45" ht="21" customHeight="1" x14ac:dyDescent="0.3">
      <c r="B276" s="282" t="str">
        <f t="shared" si="49"/>
        <v/>
      </c>
      <c r="C276" s="282"/>
      <c r="D276" s="267" t="str">
        <f>IF(B276="","",IF(AND($I$10="Remodelación",$I$22="No"),1,IF($I$29&gt;=0.8,1,IF(AN276="Ministración",Simul_ConstruRemo!BM276,1))))</f>
        <v/>
      </c>
      <c r="E276" s="836" t="str">
        <f t="shared" si="56"/>
        <v/>
      </c>
      <c r="F276" s="836"/>
      <c r="G276" s="836" t="str">
        <f t="shared" si="50"/>
        <v/>
      </c>
      <c r="H276" s="836"/>
      <c r="I276" s="836" t="str">
        <f t="shared" si="54"/>
        <v/>
      </c>
      <c r="J276" s="836"/>
      <c r="K276" s="836" t="str">
        <f t="shared" si="55"/>
        <v/>
      </c>
      <c r="L276" s="836"/>
      <c r="M276" s="836" t="str">
        <f t="shared" si="57"/>
        <v/>
      </c>
      <c r="N276" s="836"/>
      <c r="O276" s="836" t="str">
        <f>IFERROR(Z276*Simul_ConstruRemo!$BP$30/1000,"")</f>
        <v/>
      </c>
      <c r="P276" s="836"/>
      <c r="Q276" s="836" t="str">
        <f>IFERROR(IF($I$10="Remodelación",M276*Simul_ConstruRemo!$BS$29,
IF(D276=1,MAX(M276,Z276)*$BS$29,M276*$BQ$29)),"")</f>
        <v/>
      </c>
      <c r="R276" s="836"/>
      <c r="S276" s="268" t="str">
        <f>IF(B276="","",'Tabla_Puntual&amp;Relacionamiento'!$B$54)</f>
        <v/>
      </c>
      <c r="T276" s="837"/>
      <c r="U276" s="837"/>
      <c r="V276" s="735" t="str">
        <f>IF(OR(Z275=0,Z275=""),"",IF(I276&gt;=G276,0,IF(OR($Y$52="NO",$Y$52=""),0,MIN(IF($Y$54="",0,$Y$54),$AV$16*25)*10%)))</f>
        <v/>
      </c>
      <c r="W276" s="735"/>
      <c r="X276" s="836" t="str">
        <f t="shared" si="47"/>
        <v/>
      </c>
      <c r="Y276" s="836"/>
      <c r="Z276" s="836" t="str">
        <f t="shared" si="59"/>
        <v/>
      </c>
      <c r="AA276" s="836"/>
      <c r="AI276" s="137" t="str">
        <f t="shared" si="48"/>
        <v/>
      </c>
      <c r="AJ276" s="63" t="str">
        <f>IF(OR(Z276="",Z276&lt;=0.01),"",IF(SUM($E$61:F276)=$I$26+$I$27,1,0))</f>
        <v/>
      </c>
      <c r="AK276" s="63">
        <f t="shared" si="51"/>
        <v>0</v>
      </c>
      <c r="AL276" s="269">
        <f t="shared" si="53"/>
        <v>0</v>
      </c>
      <c r="AN276" s="63" t="str">
        <f t="shared" si="58"/>
        <v/>
      </c>
      <c r="AQ276" s="63">
        <f>IF(SUM($E$61:F275)&gt;=$I$26+$I$27,1,0)</f>
        <v>1</v>
      </c>
      <c r="AR276" s="137" t="str">
        <f t="shared" si="52"/>
        <v/>
      </c>
    </row>
    <row r="277" spans="2:45" ht="21" customHeight="1" x14ac:dyDescent="0.3">
      <c r="B277" s="282" t="str">
        <f t="shared" si="49"/>
        <v/>
      </c>
      <c r="C277" s="282"/>
      <c r="D277" s="267" t="str">
        <f>IF(B277="","",IF(AND($I$10="Remodelación",$I$22="No"),1,IF($I$29&gt;=0.8,1,IF(AN277="Ministración",Simul_ConstruRemo!BM277,1))))</f>
        <v/>
      </c>
      <c r="E277" s="836" t="str">
        <f t="shared" si="56"/>
        <v/>
      </c>
      <c r="F277" s="836"/>
      <c r="G277" s="836" t="str">
        <f t="shared" si="50"/>
        <v/>
      </c>
      <c r="H277" s="836"/>
      <c r="I277" s="836" t="str">
        <f t="shared" si="54"/>
        <v/>
      </c>
      <c r="J277" s="836"/>
      <c r="K277" s="836" t="str">
        <f t="shared" si="55"/>
        <v/>
      </c>
      <c r="L277" s="836"/>
      <c r="M277" s="836" t="str">
        <f t="shared" si="57"/>
        <v/>
      </c>
      <c r="N277" s="836"/>
      <c r="O277" s="836" t="str">
        <f>IFERROR(Z277*Simul_ConstruRemo!$BP$30/1000,"")</f>
        <v/>
      </c>
      <c r="P277" s="836"/>
      <c r="Q277" s="836" t="str">
        <f>IFERROR(IF($I$10="Remodelación",M277*Simul_ConstruRemo!$BS$29,
IF(D277=1,MAX(M277,Z277)*$BS$29,M277*$BQ$29)),"")</f>
        <v/>
      </c>
      <c r="R277" s="836"/>
      <c r="S277" s="268" t="str">
        <f>IF(B277="","",'Tabla_Puntual&amp;Relacionamiento'!$B$55)</f>
        <v/>
      </c>
      <c r="T277" s="837"/>
      <c r="U277" s="837"/>
      <c r="V277" s="734"/>
      <c r="W277" s="734"/>
      <c r="X277" s="836" t="str">
        <f t="shared" si="47"/>
        <v/>
      </c>
      <c r="Y277" s="836"/>
      <c r="Z277" s="836" t="str">
        <f t="shared" si="59"/>
        <v/>
      </c>
      <c r="AA277" s="836"/>
      <c r="AI277" s="137" t="str">
        <f t="shared" si="48"/>
        <v/>
      </c>
      <c r="AJ277" s="63" t="str">
        <f>IF(OR(Z277="",Z277&lt;=0.01),"",IF(SUM($E$61:F277)=$I$26+$I$27,1,0))</f>
        <v/>
      </c>
      <c r="AK277" s="63">
        <f t="shared" si="51"/>
        <v>0</v>
      </c>
      <c r="AL277" s="269">
        <f t="shared" si="53"/>
        <v>0</v>
      </c>
      <c r="AN277" s="63" t="str">
        <f t="shared" si="58"/>
        <v/>
      </c>
      <c r="AQ277" s="63">
        <f>IF(SUM($E$61:F276)&gt;=$I$26+$I$27,1,0)</f>
        <v>1</v>
      </c>
      <c r="AR277" s="137" t="str">
        <f t="shared" si="52"/>
        <v/>
      </c>
    </row>
    <row r="278" spans="2:45" ht="21" customHeight="1" x14ac:dyDescent="0.3">
      <c r="B278" s="282" t="str">
        <f t="shared" si="49"/>
        <v/>
      </c>
      <c r="C278" s="282"/>
      <c r="D278" s="267" t="str">
        <f>IF(B278="","",IF(AND($I$10="Remodelación",$I$22="No"),1,IF($I$29&gt;=0.8,1,IF(AN278="Ministración",Simul_ConstruRemo!BM278,1))))</f>
        <v/>
      </c>
      <c r="E278" s="836" t="str">
        <f t="shared" si="56"/>
        <v/>
      </c>
      <c r="F278" s="836"/>
      <c r="G278" s="836" t="str">
        <f t="shared" si="50"/>
        <v/>
      </c>
      <c r="H278" s="836"/>
      <c r="I278" s="836" t="str">
        <f t="shared" si="54"/>
        <v/>
      </c>
      <c r="J278" s="836"/>
      <c r="K278" s="836" t="str">
        <f t="shared" si="55"/>
        <v/>
      </c>
      <c r="L278" s="836"/>
      <c r="M278" s="836" t="str">
        <f t="shared" si="57"/>
        <v/>
      </c>
      <c r="N278" s="836"/>
      <c r="O278" s="836" t="str">
        <f>IFERROR(Z278*Simul_ConstruRemo!$BP$30/1000,"")</f>
        <v/>
      </c>
      <c r="P278" s="836"/>
      <c r="Q278" s="836" t="str">
        <f>IFERROR(IF($I$10="Remodelación",M278*Simul_ConstruRemo!$BS$29,
IF(D278=1,MAX(M278,Z278)*$BS$29,M278*$BQ$29)),"")</f>
        <v/>
      </c>
      <c r="R278" s="836"/>
      <c r="S278" s="268" t="str">
        <f>IF(B278="","",'Tabla_Puntual&amp;Relacionamiento'!$B$55)</f>
        <v/>
      </c>
      <c r="T278" s="837"/>
      <c r="U278" s="837"/>
      <c r="V278" s="735" t="str">
        <f>IF(OR(Z277=0,Z277=""),"",IF(I278&gt;=G278,0,IF(OR($Y$52="NO",$Y$52=""),0,MIN(IF($Y$54="",0,$Y$54),$AV$16*25)*10%)))</f>
        <v/>
      </c>
      <c r="W278" s="735"/>
      <c r="X278" s="836" t="str">
        <f t="shared" si="47"/>
        <v/>
      </c>
      <c r="Y278" s="836"/>
      <c r="Z278" s="836" t="str">
        <f t="shared" si="59"/>
        <v/>
      </c>
      <c r="AA278" s="836"/>
      <c r="AI278" s="137" t="str">
        <f t="shared" si="48"/>
        <v/>
      </c>
      <c r="AJ278" s="63" t="str">
        <f>IF(OR(Z278="",Z278&lt;=0.01),"",IF(SUM($E$61:F278)=$I$26+$I$27,1,0))</f>
        <v/>
      </c>
      <c r="AK278" s="63">
        <f t="shared" si="51"/>
        <v>0</v>
      </c>
      <c r="AL278" s="269">
        <f t="shared" si="53"/>
        <v>0</v>
      </c>
      <c r="AN278" s="63" t="str">
        <f t="shared" si="58"/>
        <v/>
      </c>
      <c r="AQ278" s="63">
        <f>IF(SUM($E$61:F277)&gt;=$I$26+$I$27,1,0)</f>
        <v>1</v>
      </c>
      <c r="AR278" s="137" t="str">
        <f t="shared" si="52"/>
        <v/>
      </c>
    </row>
    <row r="279" spans="2:45" ht="21" customHeight="1" x14ac:dyDescent="0.3">
      <c r="B279" s="282" t="str">
        <f t="shared" si="49"/>
        <v/>
      </c>
      <c r="C279" s="282"/>
      <c r="D279" s="267" t="str">
        <f>IF(B279="","",IF(AND($I$10="Remodelación",$I$22="No"),1,IF($I$29&gt;=0.8,1,IF(AN279="Ministración",Simul_ConstruRemo!BM279,1))))</f>
        <v/>
      </c>
      <c r="E279" s="836" t="str">
        <f t="shared" si="56"/>
        <v/>
      </c>
      <c r="F279" s="836"/>
      <c r="G279" s="836" t="str">
        <f t="shared" si="50"/>
        <v/>
      </c>
      <c r="H279" s="836"/>
      <c r="I279" s="836" t="str">
        <f t="shared" si="54"/>
        <v/>
      </c>
      <c r="J279" s="836"/>
      <c r="K279" s="836" t="str">
        <f t="shared" si="55"/>
        <v/>
      </c>
      <c r="L279" s="836"/>
      <c r="M279" s="836" t="str">
        <f t="shared" si="57"/>
        <v/>
      </c>
      <c r="N279" s="836"/>
      <c r="O279" s="836" t="str">
        <f>IFERROR(Z279*Simul_ConstruRemo!$BP$30/1000,"")</f>
        <v/>
      </c>
      <c r="P279" s="836"/>
      <c r="Q279" s="836" t="str">
        <f>IFERROR(IF($I$10="Remodelación",M279*Simul_ConstruRemo!$BS$29,
IF(D279=1,MAX(M279,Z279)*$BS$29,M279*$BQ$29)),"")</f>
        <v/>
      </c>
      <c r="R279" s="836"/>
      <c r="S279" s="268" t="str">
        <f>IF(B279="","",'Tabla_Puntual&amp;Relacionamiento'!$B$55)</f>
        <v/>
      </c>
      <c r="T279" s="837"/>
      <c r="U279" s="837"/>
      <c r="V279" s="734"/>
      <c r="W279" s="734"/>
      <c r="X279" s="836" t="str">
        <f t="shared" si="47"/>
        <v/>
      </c>
      <c r="Y279" s="836"/>
      <c r="Z279" s="836" t="str">
        <f t="shared" si="59"/>
        <v/>
      </c>
      <c r="AA279" s="836"/>
      <c r="AI279" s="137" t="str">
        <f t="shared" si="48"/>
        <v/>
      </c>
      <c r="AJ279" s="63" t="str">
        <f>IF(OR(Z279="",Z279&lt;=0.01),"",IF(SUM($E$61:F279)=$I$26+$I$27,1,0))</f>
        <v/>
      </c>
      <c r="AK279" s="63">
        <f t="shared" si="51"/>
        <v>0</v>
      </c>
      <c r="AL279" s="269">
        <f t="shared" si="53"/>
        <v>0</v>
      </c>
      <c r="AN279" s="63" t="str">
        <f t="shared" si="58"/>
        <v/>
      </c>
      <c r="AQ279" s="63">
        <f>IF(SUM($E$61:F278)&gt;=$I$26+$I$27,1,0)</f>
        <v>1</v>
      </c>
      <c r="AR279" s="137" t="str">
        <f t="shared" si="52"/>
        <v/>
      </c>
    </row>
    <row r="280" spans="2:45" ht="21" customHeight="1" x14ac:dyDescent="0.3">
      <c r="B280" s="282" t="str">
        <f t="shared" si="49"/>
        <v/>
      </c>
      <c r="C280" s="282"/>
      <c r="D280" s="267" t="str">
        <f>IF(B280="","",IF(AND($I$10="Remodelación",$I$22="No"),1,IF($I$29&gt;=0.8,1,IF(AN280="Ministración",Simul_ConstruRemo!BM280,1))))</f>
        <v/>
      </c>
      <c r="E280" s="836" t="str">
        <f t="shared" si="56"/>
        <v/>
      </c>
      <c r="F280" s="836"/>
      <c r="G280" s="836" t="str">
        <f t="shared" si="50"/>
        <v/>
      </c>
      <c r="H280" s="836"/>
      <c r="I280" s="836" t="str">
        <f t="shared" si="54"/>
        <v/>
      </c>
      <c r="J280" s="836"/>
      <c r="K280" s="836" t="str">
        <f t="shared" si="55"/>
        <v/>
      </c>
      <c r="L280" s="836"/>
      <c r="M280" s="836" t="str">
        <f t="shared" si="57"/>
        <v/>
      </c>
      <c r="N280" s="836"/>
      <c r="O280" s="836" t="str">
        <f>IFERROR(Z280*Simul_ConstruRemo!$BP$30/1000,"")</f>
        <v/>
      </c>
      <c r="P280" s="836"/>
      <c r="Q280" s="836" t="str">
        <f>IFERROR(IF($I$10="Remodelación",M280*Simul_ConstruRemo!$BS$29,
IF(D280=1,MAX(M280,Z280)*$BS$29,M280*$BQ$29)),"")</f>
        <v/>
      </c>
      <c r="R280" s="836"/>
      <c r="S280" s="268" t="str">
        <f>IF(B280="","",'Tabla_Puntual&amp;Relacionamiento'!$B$55)</f>
        <v/>
      </c>
      <c r="T280" s="837"/>
      <c r="U280" s="837"/>
      <c r="V280" s="735" t="str">
        <f>IF(OR(Z279=0,Z279=""),"",IF(I280&gt;=G280,0,IF(OR($Y$52="NO",$Y$52=""),0,MIN(IF($Y$54="",0,$Y$54),$AV$16*25)*10%)))</f>
        <v/>
      </c>
      <c r="W280" s="735"/>
      <c r="X280" s="836" t="str">
        <f t="shared" si="47"/>
        <v/>
      </c>
      <c r="Y280" s="836"/>
      <c r="Z280" s="836" t="str">
        <f t="shared" si="59"/>
        <v/>
      </c>
      <c r="AA280" s="836"/>
      <c r="AI280" s="137" t="str">
        <f t="shared" si="48"/>
        <v/>
      </c>
      <c r="AJ280" s="63" t="str">
        <f>IF(OR(Z280="",Z280&lt;=0.01),"",IF(SUM($E$61:F280)=$I$26+$I$27,1,0))</f>
        <v/>
      </c>
      <c r="AK280" s="63">
        <f t="shared" si="51"/>
        <v>0</v>
      </c>
      <c r="AL280" s="269">
        <f t="shared" si="53"/>
        <v>0</v>
      </c>
      <c r="AN280" s="63" t="str">
        <f t="shared" si="58"/>
        <v/>
      </c>
      <c r="AQ280" s="63">
        <f>IF(SUM($E$61:F279)&gt;=$I$26+$I$27,1,0)</f>
        <v>1</v>
      </c>
      <c r="AR280" s="137" t="str">
        <f t="shared" si="52"/>
        <v/>
      </c>
    </row>
    <row r="281" spans="2:45" ht="21" customHeight="1" x14ac:dyDescent="0.3">
      <c r="B281" s="282" t="str">
        <f t="shared" si="49"/>
        <v/>
      </c>
      <c r="C281" s="282"/>
      <c r="D281" s="267" t="str">
        <f>IF(B281="","",IF(AND($I$10="Remodelación",$I$22="No"),1,IF($I$29&gt;=0.8,1,IF(AN281="Ministración",Simul_ConstruRemo!BM281,1))))</f>
        <v/>
      </c>
      <c r="E281" s="836" t="str">
        <f t="shared" si="56"/>
        <v/>
      </c>
      <c r="F281" s="836"/>
      <c r="G281" s="836" t="str">
        <f t="shared" si="50"/>
        <v/>
      </c>
      <c r="H281" s="836"/>
      <c r="I281" s="836" t="str">
        <f t="shared" si="54"/>
        <v/>
      </c>
      <c r="J281" s="836"/>
      <c r="K281" s="836" t="str">
        <f t="shared" si="55"/>
        <v/>
      </c>
      <c r="L281" s="836"/>
      <c r="M281" s="836" t="str">
        <f t="shared" si="57"/>
        <v/>
      </c>
      <c r="N281" s="836"/>
      <c r="O281" s="836" t="str">
        <f>IFERROR(Z281*Simul_ConstruRemo!$BP$30/1000,"")</f>
        <v/>
      </c>
      <c r="P281" s="836"/>
      <c r="Q281" s="836" t="str">
        <f>IFERROR(IF($I$10="Remodelación",M281*Simul_ConstruRemo!$BS$29,
IF(D281=1,MAX(M281,Z281)*$BS$29,M281*$BQ$29)),"")</f>
        <v/>
      </c>
      <c r="R281" s="836"/>
      <c r="S281" s="268" t="str">
        <f>IF(B281="","",'Tabla_Puntual&amp;Relacionamiento'!$B$55)</f>
        <v/>
      </c>
      <c r="T281" s="837"/>
      <c r="U281" s="837"/>
      <c r="V281" s="734"/>
      <c r="W281" s="734"/>
      <c r="X281" s="836" t="str">
        <f t="shared" ref="X281:X318" si="60">IFERROR(IF(G281&lt;AR281-K281,I281+K281+O281+Q281,AR281+O281+Q281),"")</f>
        <v/>
      </c>
      <c r="Y281" s="836"/>
      <c r="Z281" s="836" t="str">
        <f t="shared" si="59"/>
        <v/>
      </c>
      <c r="AA281" s="836"/>
      <c r="AI281" s="137" t="str">
        <f t="shared" si="48"/>
        <v/>
      </c>
      <c r="AJ281" s="63" t="str">
        <f>IF(OR(Z281="",Z281&lt;=0.01),"",IF(SUM($E$61:F281)=$I$26+$I$27,1,0))</f>
        <v/>
      </c>
      <c r="AK281" s="63">
        <f t="shared" si="51"/>
        <v>0</v>
      </c>
      <c r="AL281" s="269">
        <f t="shared" si="53"/>
        <v>0</v>
      </c>
      <c r="AN281" s="63" t="str">
        <f t="shared" si="58"/>
        <v/>
      </c>
      <c r="AQ281" s="63">
        <f>IF(SUM($E$61:F280)&gt;=$I$26+$I$27,1,0)</f>
        <v>1</v>
      </c>
      <c r="AR281" s="137" t="str">
        <f t="shared" si="52"/>
        <v/>
      </c>
    </row>
    <row r="282" spans="2:45" ht="21" customHeight="1" x14ac:dyDescent="0.3">
      <c r="B282" s="282" t="str">
        <f t="shared" si="49"/>
        <v/>
      </c>
      <c r="C282" s="282"/>
      <c r="D282" s="267" t="str">
        <f>IF(B282="","",IF(AND($I$10="Remodelación",$I$22="No"),1,IF($I$29&gt;=0.8,1,IF(AN282="Ministración",Simul_ConstruRemo!BM282,1))))</f>
        <v/>
      </c>
      <c r="E282" s="836" t="str">
        <f t="shared" si="56"/>
        <v/>
      </c>
      <c r="F282" s="836"/>
      <c r="G282" s="836" t="str">
        <f t="shared" si="50"/>
        <v/>
      </c>
      <c r="H282" s="836"/>
      <c r="I282" s="836" t="str">
        <f t="shared" si="54"/>
        <v/>
      </c>
      <c r="J282" s="836"/>
      <c r="K282" s="836" t="str">
        <f t="shared" si="55"/>
        <v/>
      </c>
      <c r="L282" s="836"/>
      <c r="M282" s="836" t="str">
        <f t="shared" si="57"/>
        <v/>
      </c>
      <c r="N282" s="836"/>
      <c r="O282" s="836" t="str">
        <f>IFERROR(Z282*Simul_ConstruRemo!$BP$30/1000,"")</f>
        <v/>
      </c>
      <c r="P282" s="836"/>
      <c r="Q282" s="836" t="str">
        <f>IFERROR(IF($I$10="Remodelación",M282*Simul_ConstruRemo!$BS$29,
IF(D282=1,MAX(M282,Z282)*$BS$29,M282*$BQ$29)),"")</f>
        <v/>
      </c>
      <c r="R282" s="836"/>
      <c r="S282" s="268" t="str">
        <f>IF(B282="","",'Tabla_Puntual&amp;Relacionamiento'!$B$55)</f>
        <v/>
      </c>
      <c r="T282" s="837"/>
      <c r="U282" s="837"/>
      <c r="V282" s="735" t="str">
        <f>IF(OR(Z281=0,Z281=""),"",IF(I282&gt;=G282,0,IF(OR($Y$52="NO",$Y$52=""),0,MIN(IF($Y$54="",0,$Y$54),$AV$16*25)*10%)))</f>
        <v/>
      </c>
      <c r="W282" s="735"/>
      <c r="X282" s="836" t="str">
        <f t="shared" si="60"/>
        <v/>
      </c>
      <c r="Y282" s="836"/>
      <c r="Z282" s="836" t="str">
        <f t="shared" si="59"/>
        <v/>
      </c>
      <c r="AA282" s="836"/>
      <c r="AI282" s="137" t="str">
        <f t="shared" si="48"/>
        <v/>
      </c>
      <c r="AJ282" s="63" t="str">
        <f>IF(OR(Z282="",Z282&lt;=0.01),"",IF(SUM($E$61:F282)=$I$26+$I$27,1,0))</f>
        <v/>
      </c>
      <c r="AK282" s="63">
        <f t="shared" si="51"/>
        <v>0</v>
      </c>
      <c r="AL282" s="269">
        <f t="shared" si="53"/>
        <v>0</v>
      </c>
      <c r="AN282" s="63" t="str">
        <f t="shared" si="58"/>
        <v/>
      </c>
      <c r="AQ282" s="63">
        <f>IF(SUM($E$61:F281)&gt;=$I$26+$I$27,1,0)</f>
        <v>1</v>
      </c>
      <c r="AR282" s="137" t="str">
        <f t="shared" si="52"/>
        <v/>
      </c>
    </row>
    <row r="283" spans="2:45" ht="21" customHeight="1" x14ac:dyDescent="0.3">
      <c r="B283" s="282" t="str">
        <f t="shared" si="49"/>
        <v/>
      </c>
      <c r="C283" s="282"/>
      <c r="D283" s="267" t="str">
        <f>IF(B283="","",IF(AND($I$10="Remodelación",$I$22="No"),1,IF($I$29&gt;=0.8,1,IF(AN283="Ministración",Simul_ConstruRemo!BM283,1))))</f>
        <v/>
      </c>
      <c r="E283" s="836" t="str">
        <f t="shared" si="56"/>
        <v/>
      </c>
      <c r="F283" s="836"/>
      <c r="G283" s="836" t="str">
        <f t="shared" si="50"/>
        <v/>
      </c>
      <c r="H283" s="836"/>
      <c r="I283" s="836" t="str">
        <f t="shared" si="54"/>
        <v/>
      </c>
      <c r="J283" s="836"/>
      <c r="K283" s="836" t="str">
        <f t="shared" si="55"/>
        <v/>
      </c>
      <c r="L283" s="836"/>
      <c r="M283" s="836" t="str">
        <f t="shared" si="57"/>
        <v/>
      </c>
      <c r="N283" s="836"/>
      <c r="O283" s="836" t="str">
        <f>IFERROR(Z283*Simul_ConstruRemo!$BP$30/1000,"")</f>
        <v/>
      </c>
      <c r="P283" s="836"/>
      <c r="Q283" s="836" t="str">
        <f>IFERROR(IF($I$10="Remodelación",M283*Simul_ConstruRemo!$BS$29,
IF(D283=1,MAX(M283,Z283)*$BS$29,M283*$BQ$29)),"")</f>
        <v/>
      </c>
      <c r="R283" s="836"/>
      <c r="S283" s="268" t="str">
        <f>IF(B283="","",'Tabla_Puntual&amp;Relacionamiento'!$B$55)</f>
        <v/>
      </c>
      <c r="T283" s="837"/>
      <c r="U283" s="837"/>
      <c r="V283" s="734"/>
      <c r="W283" s="734"/>
      <c r="X283" s="836" t="str">
        <f t="shared" si="60"/>
        <v/>
      </c>
      <c r="Y283" s="836"/>
      <c r="Z283" s="836" t="str">
        <f t="shared" si="59"/>
        <v/>
      </c>
      <c r="AA283" s="836"/>
      <c r="AI283" s="137" t="str">
        <f t="shared" si="48"/>
        <v/>
      </c>
      <c r="AJ283" s="63" t="str">
        <f>IF(OR(Z283="",Z283&lt;=0.01),"",IF(SUM($E$61:F283)=$I$26+$I$27,1,0))</f>
        <v/>
      </c>
      <c r="AK283" s="63">
        <f t="shared" si="51"/>
        <v>0</v>
      </c>
      <c r="AL283" s="269">
        <f t="shared" si="53"/>
        <v>0</v>
      </c>
      <c r="AN283" s="63" t="str">
        <f t="shared" si="58"/>
        <v/>
      </c>
      <c r="AQ283" s="63">
        <f>IF(SUM($E$61:F282)&gt;=$I$26+$I$27,1,0)</f>
        <v>1</v>
      </c>
      <c r="AR283" s="137" t="str">
        <f t="shared" si="52"/>
        <v/>
      </c>
    </row>
    <row r="284" spans="2:45" ht="21" customHeight="1" x14ac:dyDescent="0.3">
      <c r="B284" s="282" t="str">
        <f t="shared" si="49"/>
        <v/>
      </c>
      <c r="C284" s="282"/>
      <c r="D284" s="267" t="str">
        <f>IF(B284="","",IF(AND($I$10="Remodelación",$I$22="No"),1,IF($I$29&gt;=0.8,1,IF(AN284="Ministración",Simul_ConstruRemo!BM284,1))))</f>
        <v/>
      </c>
      <c r="E284" s="836" t="str">
        <f t="shared" si="56"/>
        <v/>
      </c>
      <c r="F284" s="836"/>
      <c r="G284" s="836" t="str">
        <f t="shared" si="50"/>
        <v/>
      </c>
      <c r="H284" s="836"/>
      <c r="I284" s="836" t="str">
        <f t="shared" si="54"/>
        <v/>
      </c>
      <c r="J284" s="836"/>
      <c r="K284" s="836" t="str">
        <f t="shared" si="55"/>
        <v/>
      </c>
      <c r="L284" s="836"/>
      <c r="M284" s="836" t="str">
        <f t="shared" si="57"/>
        <v/>
      </c>
      <c r="N284" s="836"/>
      <c r="O284" s="836" t="str">
        <f>IFERROR(Z284*Simul_ConstruRemo!$BP$30/1000,"")</f>
        <v/>
      </c>
      <c r="P284" s="836"/>
      <c r="Q284" s="836" t="str">
        <f>IFERROR(IF($I$10="Remodelación",M284*Simul_ConstruRemo!$BS$29,
IF(D284=1,MAX(M284,Z284)*$BS$29,M284*$BQ$29)),"")</f>
        <v/>
      </c>
      <c r="R284" s="836"/>
      <c r="S284" s="268" t="str">
        <f>IF(B284="","",'Tabla_Puntual&amp;Relacionamiento'!$B$55)</f>
        <v/>
      </c>
      <c r="T284" s="837"/>
      <c r="U284" s="837"/>
      <c r="V284" s="735" t="str">
        <f>IF(OR(Z283=0,Z283=""),"",IF(I284&gt;=G284,0,IF(OR($Y$52="NO",$Y$52=""),0,MIN(IF($Y$54="",0,$Y$54),$AV$16*25)*10%)))</f>
        <v/>
      </c>
      <c r="W284" s="735"/>
      <c r="X284" s="836" t="str">
        <f t="shared" si="60"/>
        <v/>
      </c>
      <c r="Y284" s="836"/>
      <c r="Z284" s="836" t="str">
        <f t="shared" si="59"/>
        <v/>
      </c>
      <c r="AA284" s="836"/>
      <c r="AI284" s="137" t="str">
        <f t="shared" si="48"/>
        <v/>
      </c>
      <c r="AJ284" s="63" t="str">
        <f>IF(OR(Z284="",Z284&lt;=0.01),"",IF(SUM($E$61:F284)=$I$26+$I$27,1,0))</f>
        <v/>
      </c>
      <c r="AK284" s="63">
        <f t="shared" si="51"/>
        <v>0</v>
      </c>
      <c r="AL284" s="269">
        <f t="shared" si="53"/>
        <v>0</v>
      </c>
      <c r="AN284" s="63" t="str">
        <f t="shared" si="58"/>
        <v/>
      </c>
      <c r="AQ284" s="63">
        <f>IF(SUM($E$61:F283)&gt;=$I$26+$I$27,1,0)</f>
        <v>1</v>
      </c>
      <c r="AR284" s="137" t="str">
        <f t="shared" si="52"/>
        <v/>
      </c>
    </row>
    <row r="285" spans="2:45" ht="21" customHeight="1" x14ac:dyDescent="0.3">
      <c r="B285" s="282" t="str">
        <f t="shared" si="49"/>
        <v/>
      </c>
      <c r="C285" s="282"/>
      <c r="D285" s="267" t="str">
        <f>IF(B285="","",IF(AND($I$10="Remodelación",$I$22="No"),1,IF($I$29&gt;=0.8,1,IF(AN285="Ministración",Simul_ConstruRemo!BM285,1))))</f>
        <v/>
      </c>
      <c r="E285" s="836" t="str">
        <f t="shared" si="56"/>
        <v/>
      </c>
      <c r="F285" s="836"/>
      <c r="G285" s="836" t="str">
        <f t="shared" si="50"/>
        <v/>
      </c>
      <c r="H285" s="836"/>
      <c r="I285" s="836" t="str">
        <f t="shared" si="54"/>
        <v/>
      </c>
      <c r="J285" s="836"/>
      <c r="K285" s="836" t="str">
        <f t="shared" si="55"/>
        <v/>
      </c>
      <c r="L285" s="836"/>
      <c r="M285" s="836" t="str">
        <f t="shared" si="57"/>
        <v/>
      </c>
      <c r="N285" s="836"/>
      <c r="O285" s="836" t="str">
        <f>IFERROR(Z285*Simul_ConstruRemo!$BP$30/1000,"")</f>
        <v/>
      </c>
      <c r="P285" s="836"/>
      <c r="Q285" s="836" t="str">
        <f>IFERROR(IF($I$10="Remodelación",M285*Simul_ConstruRemo!$BS$29,
IF(D285=1,MAX(M285,Z285)*$BS$29,M285*$BQ$29)),"")</f>
        <v/>
      </c>
      <c r="R285" s="836"/>
      <c r="S285" s="268" t="str">
        <f>IF(B285="","",'Tabla_Puntual&amp;Relacionamiento'!$B$55)</f>
        <v/>
      </c>
      <c r="T285" s="837"/>
      <c r="U285" s="837"/>
      <c r="V285" s="734"/>
      <c r="W285" s="734"/>
      <c r="X285" s="836" t="str">
        <f t="shared" si="60"/>
        <v/>
      </c>
      <c r="Y285" s="836"/>
      <c r="Z285" s="836" t="str">
        <f t="shared" si="59"/>
        <v/>
      </c>
      <c r="AA285" s="836"/>
      <c r="AI285" s="137" t="str">
        <f t="shared" si="48"/>
        <v/>
      </c>
      <c r="AJ285" s="63" t="str">
        <f>IF(OR(Z285="",Z285&lt;=0.01),"",IF(SUM($E$61:F285)=$I$26+$I$27,1,0))</f>
        <v/>
      </c>
      <c r="AK285" s="63">
        <f t="shared" si="51"/>
        <v>0</v>
      </c>
      <c r="AL285" s="269">
        <f t="shared" si="53"/>
        <v>0</v>
      </c>
      <c r="AN285" s="63" t="str">
        <f t="shared" si="58"/>
        <v/>
      </c>
      <c r="AQ285" s="63">
        <f>IF(SUM($E$61:F284)&gt;=$I$26+$I$27,1,0)</f>
        <v>1</v>
      </c>
      <c r="AR285" s="137" t="str">
        <f t="shared" si="52"/>
        <v/>
      </c>
    </row>
    <row r="286" spans="2:45" ht="21" customHeight="1" x14ac:dyDescent="0.3">
      <c r="B286" s="282" t="str">
        <f t="shared" si="49"/>
        <v/>
      </c>
      <c r="C286" s="282"/>
      <c r="D286" s="267" t="str">
        <f>IF(B286="","",IF(AND($I$10="Remodelación",$I$22="No"),1,IF($I$29&gt;=0.8,1,IF(AN286="Ministración",Simul_ConstruRemo!BM286,1))))</f>
        <v/>
      </c>
      <c r="E286" s="836" t="str">
        <f t="shared" si="56"/>
        <v/>
      </c>
      <c r="F286" s="836"/>
      <c r="G286" s="836" t="str">
        <f t="shared" si="50"/>
        <v/>
      </c>
      <c r="H286" s="836"/>
      <c r="I286" s="836" t="str">
        <f t="shared" si="54"/>
        <v/>
      </c>
      <c r="J286" s="836"/>
      <c r="K286" s="836" t="str">
        <f t="shared" si="55"/>
        <v/>
      </c>
      <c r="L286" s="836"/>
      <c r="M286" s="836" t="str">
        <f t="shared" si="57"/>
        <v/>
      </c>
      <c r="N286" s="836"/>
      <c r="O286" s="836" t="str">
        <f>IFERROR(Z286*Simul_ConstruRemo!$BP$30/1000,"")</f>
        <v/>
      </c>
      <c r="P286" s="836"/>
      <c r="Q286" s="836" t="str">
        <f>IFERROR(IF($I$10="Remodelación",M286*Simul_ConstruRemo!$BS$29,
IF(D286=1,MAX(M286,Z286)*$BS$29,M286*$BQ$29)),"")</f>
        <v/>
      </c>
      <c r="R286" s="836"/>
      <c r="S286" s="268" t="str">
        <f>IF(B286="","",'Tabla_Puntual&amp;Relacionamiento'!$B$55)</f>
        <v/>
      </c>
      <c r="T286" s="837"/>
      <c r="U286" s="837"/>
      <c r="V286" s="735" t="str">
        <f>IF(OR(Z285=0,Z285=""),"",IF(I286&gt;=G286,0,IF(OR($Y$52="NO",$Y$52=""),0,MIN(IF($Y$54="",0,$Y$54),$AV$16*25)*10%)))</f>
        <v/>
      </c>
      <c r="W286" s="735"/>
      <c r="X286" s="836" t="str">
        <f t="shared" si="60"/>
        <v/>
      </c>
      <c r="Y286" s="836"/>
      <c r="Z286" s="836" t="str">
        <f t="shared" si="59"/>
        <v/>
      </c>
      <c r="AA286" s="836"/>
      <c r="AI286" s="137" t="str">
        <f t="shared" si="48"/>
        <v/>
      </c>
      <c r="AJ286" s="63" t="str">
        <f>IF(OR(Z286="",Z286&lt;=0.01),"",IF(SUM($E$61:F286)=$I$26+$I$27,1,0))</f>
        <v/>
      </c>
      <c r="AK286" s="63">
        <f t="shared" si="51"/>
        <v>0</v>
      </c>
      <c r="AL286" s="269">
        <f t="shared" si="53"/>
        <v>0</v>
      </c>
      <c r="AN286" s="63" t="str">
        <f t="shared" si="58"/>
        <v/>
      </c>
      <c r="AQ286" s="63">
        <f>IF(SUM($E$61:F285)&gt;=$I$26+$I$27,1,0)</f>
        <v>1</v>
      </c>
      <c r="AR286" s="137" t="str">
        <f t="shared" si="52"/>
        <v/>
      </c>
    </row>
    <row r="287" spans="2:45" ht="21" customHeight="1" x14ac:dyDescent="0.3">
      <c r="B287" s="282" t="str">
        <f t="shared" si="49"/>
        <v/>
      </c>
      <c r="C287" s="282"/>
      <c r="D287" s="267" t="str">
        <f>IF(B287="","",IF(AND($I$10="Remodelación",$I$22="No"),1,IF($I$29&gt;=0.8,1,IF(AN287="Ministración",Simul_ConstruRemo!BM287,1))))</f>
        <v/>
      </c>
      <c r="E287" s="836" t="str">
        <f t="shared" si="56"/>
        <v/>
      </c>
      <c r="F287" s="836"/>
      <c r="G287" s="836" t="str">
        <f t="shared" si="50"/>
        <v/>
      </c>
      <c r="H287" s="836"/>
      <c r="I287" s="836" t="str">
        <f t="shared" si="54"/>
        <v/>
      </c>
      <c r="J287" s="836"/>
      <c r="K287" s="836" t="str">
        <f t="shared" si="55"/>
        <v/>
      </c>
      <c r="L287" s="836"/>
      <c r="M287" s="836" t="str">
        <f t="shared" si="57"/>
        <v/>
      </c>
      <c r="N287" s="836"/>
      <c r="O287" s="836" t="str">
        <f>IFERROR(Z287*Simul_ConstruRemo!$BP$30/1000,"")</f>
        <v/>
      </c>
      <c r="P287" s="836"/>
      <c r="Q287" s="836" t="str">
        <f>IFERROR(IF($I$10="Remodelación",M287*Simul_ConstruRemo!$BS$29,
IF(D287=1,MAX(M287,Z287)*$BS$29,M287*$BQ$29)),"")</f>
        <v/>
      </c>
      <c r="R287" s="836"/>
      <c r="S287" s="268" t="str">
        <f>IF(B287="","",'Tabla_Puntual&amp;Relacionamiento'!$B$55)</f>
        <v/>
      </c>
      <c r="T287" s="837"/>
      <c r="U287" s="837"/>
      <c r="V287" s="734"/>
      <c r="W287" s="734"/>
      <c r="X287" s="836" t="str">
        <f t="shared" si="60"/>
        <v/>
      </c>
      <c r="Y287" s="836"/>
      <c r="Z287" s="836" t="str">
        <f t="shared" si="59"/>
        <v/>
      </c>
      <c r="AA287" s="836"/>
      <c r="AI287" s="137" t="str">
        <f t="shared" si="48"/>
        <v/>
      </c>
      <c r="AJ287" s="63" t="str">
        <f>IF(OR(Z287="",Z287&lt;=0.01),"",IF(SUM($E$61:F287)=$I$26+$I$27,1,0))</f>
        <v/>
      </c>
      <c r="AK287" s="63">
        <f t="shared" si="51"/>
        <v>0</v>
      </c>
      <c r="AL287" s="269">
        <f t="shared" si="53"/>
        <v>0</v>
      </c>
      <c r="AN287" s="63" t="str">
        <f t="shared" si="58"/>
        <v/>
      </c>
      <c r="AQ287" s="63">
        <f>IF(SUM($E$61:F286)&gt;=$I$26+$I$27,1,0)</f>
        <v>1</v>
      </c>
      <c r="AR287" s="137" t="str">
        <f t="shared" si="52"/>
        <v/>
      </c>
    </row>
    <row r="288" spans="2:45" ht="21" customHeight="1" x14ac:dyDescent="0.3">
      <c r="B288" s="282" t="str">
        <f t="shared" si="49"/>
        <v/>
      </c>
      <c r="C288" s="282"/>
      <c r="D288" s="267" t="str">
        <f>IF(B288="","",IF(AND($I$10="Remodelación",$I$22="No"),1,IF($I$29&gt;=0.8,1,IF(AN288="Ministración",Simul_ConstruRemo!BM288,1))))</f>
        <v/>
      </c>
      <c r="E288" s="836" t="str">
        <f t="shared" si="56"/>
        <v/>
      </c>
      <c r="F288" s="836"/>
      <c r="G288" s="836" t="str">
        <f t="shared" si="50"/>
        <v/>
      </c>
      <c r="H288" s="836"/>
      <c r="I288" s="836" t="str">
        <f t="shared" si="54"/>
        <v/>
      </c>
      <c r="J288" s="836"/>
      <c r="K288" s="836" t="str">
        <f t="shared" si="55"/>
        <v/>
      </c>
      <c r="L288" s="836"/>
      <c r="M288" s="836" t="str">
        <f t="shared" si="57"/>
        <v/>
      </c>
      <c r="N288" s="836"/>
      <c r="O288" s="836" t="str">
        <f>IFERROR(Z288*Simul_ConstruRemo!$BP$30/1000,"")</f>
        <v/>
      </c>
      <c r="P288" s="836"/>
      <c r="Q288" s="836" t="str">
        <f>IFERROR(IF($I$10="Remodelación",M288*Simul_ConstruRemo!$BS$29,
IF(D288=1,MAX(M288,Z288)*$BS$29,M288*$BQ$29)),"")</f>
        <v/>
      </c>
      <c r="R288" s="836"/>
      <c r="S288" s="268" t="str">
        <f>IF(B288="","",'Tabla_Puntual&amp;Relacionamiento'!$B$55)</f>
        <v/>
      </c>
      <c r="T288" s="837"/>
      <c r="U288" s="837"/>
      <c r="V288" s="735" t="str">
        <f>IF(OR(Z287=0,Z287=""),"",IF(I288&gt;=G288,0,IF(OR($Y$52="NO",$Y$52=""),0,MIN(IF($Y$54="",0,$Y$54),$AV$16*25)*10%)))</f>
        <v/>
      </c>
      <c r="W288" s="735"/>
      <c r="X288" s="836" t="str">
        <f t="shared" si="60"/>
        <v/>
      </c>
      <c r="Y288" s="836"/>
      <c r="Z288" s="836" t="str">
        <f t="shared" si="59"/>
        <v/>
      </c>
      <c r="AA288" s="836"/>
      <c r="AI288" s="137" t="str">
        <f t="shared" si="48"/>
        <v/>
      </c>
      <c r="AJ288" s="63" t="str">
        <f>IF(OR(Z288="",Z288&lt;=0.01),"",IF(SUM($E$61:F288)=$I$26+$I$27,1,0))</f>
        <v/>
      </c>
      <c r="AK288" s="63">
        <f t="shared" si="51"/>
        <v>0</v>
      </c>
      <c r="AL288" s="269">
        <f t="shared" si="53"/>
        <v>0</v>
      </c>
      <c r="AN288" s="63" t="str">
        <f t="shared" si="58"/>
        <v/>
      </c>
      <c r="AQ288" s="63">
        <f>IF(SUM($E$61:F287)&gt;=$I$26+$I$27,1,0)</f>
        <v>1</v>
      </c>
      <c r="AR288" s="137" t="str">
        <f t="shared" si="52"/>
        <v/>
      </c>
    </row>
    <row r="289" spans="2:44" ht="21" customHeight="1" x14ac:dyDescent="0.3">
      <c r="B289" s="282" t="str">
        <f t="shared" si="49"/>
        <v/>
      </c>
      <c r="C289" s="282"/>
      <c r="D289" s="267" t="str">
        <f>IF(B289="","",IF(AND($I$10="Remodelación",$I$22="No"),1,IF($I$29&gt;=0.8,1,IF(AN289="Ministración",Simul_ConstruRemo!BM289,1))))</f>
        <v/>
      </c>
      <c r="E289" s="836" t="str">
        <f t="shared" si="56"/>
        <v/>
      </c>
      <c r="F289" s="836"/>
      <c r="G289" s="836" t="str">
        <f t="shared" si="50"/>
        <v/>
      </c>
      <c r="H289" s="836"/>
      <c r="I289" s="836" t="str">
        <f t="shared" si="54"/>
        <v/>
      </c>
      <c r="J289" s="836"/>
      <c r="K289" s="836" t="str">
        <f t="shared" si="55"/>
        <v/>
      </c>
      <c r="L289" s="836"/>
      <c r="M289" s="836" t="str">
        <f t="shared" si="57"/>
        <v/>
      </c>
      <c r="N289" s="836"/>
      <c r="O289" s="836" t="str">
        <f>IFERROR(Z289*Simul_ConstruRemo!$BP$30/1000,"")</f>
        <v/>
      </c>
      <c r="P289" s="836"/>
      <c r="Q289" s="836" t="str">
        <f>IFERROR(IF($I$10="Remodelación",M289*Simul_ConstruRemo!$BS$29,
IF(D289=1,MAX(M289,Z289)*$BS$29,M289*$BQ$29)),"")</f>
        <v/>
      </c>
      <c r="R289" s="836"/>
      <c r="S289" s="268" t="str">
        <f>IF(B289="","",'Tabla_Puntual&amp;Relacionamiento'!$B$56)</f>
        <v/>
      </c>
      <c r="T289" s="837"/>
      <c r="U289" s="837"/>
      <c r="V289" s="734"/>
      <c r="W289" s="734"/>
      <c r="X289" s="836" t="str">
        <f t="shared" si="60"/>
        <v/>
      </c>
      <c r="Y289" s="836"/>
      <c r="Z289" s="836" t="str">
        <f t="shared" si="59"/>
        <v/>
      </c>
      <c r="AA289" s="836"/>
      <c r="AI289" s="137" t="str">
        <f t="shared" si="48"/>
        <v/>
      </c>
      <c r="AJ289" s="63" t="str">
        <f>IF(OR(Z289="",Z289&lt;=0.01),"",IF(SUM($E$61:F289)=$I$26+$I$27,1,0))</f>
        <v/>
      </c>
      <c r="AK289" s="63">
        <f t="shared" si="51"/>
        <v>0</v>
      </c>
      <c r="AL289" s="269">
        <f t="shared" si="53"/>
        <v>0</v>
      </c>
      <c r="AN289" s="63" t="str">
        <f t="shared" si="58"/>
        <v/>
      </c>
      <c r="AQ289" s="63">
        <f>IF(SUM($E$61:F288)&gt;=$I$26+$I$27,1,0)</f>
        <v>1</v>
      </c>
      <c r="AR289" s="137" t="str">
        <f t="shared" si="52"/>
        <v/>
      </c>
    </row>
    <row r="290" spans="2:44" ht="21" customHeight="1" x14ac:dyDescent="0.3">
      <c r="B290" s="282" t="str">
        <f t="shared" si="49"/>
        <v/>
      </c>
      <c r="C290" s="282"/>
      <c r="D290" s="267" t="str">
        <f>IF(B290="","",IF(AND($I$10="Remodelación",$I$22="No"),1,IF($I$29&gt;=0.8,1,IF(AN290="Ministración",Simul_ConstruRemo!BM290,1))))</f>
        <v/>
      </c>
      <c r="E290" s="836" t="str">
        <f t="shared" si="56"/>
        <v/>
      </c>
      <c r="F290" s="836"/>
      <c r="G290" s="836" t="str">
        <f t="shared" si="50"/>
        <v/>
      </c>
      <c r="H290" s="836"/>
      <c r="I290" s="836" t="str">
        <f t="shared" si="54"/>
        <v/>
      </c>
      <c r="J290" s="836"/>
      <c r="K290" s="836" t="str">
        <f t="shared" si="55"/>
        <v/>
      </c>
      <c r="L290" s="836"/>
      <c r="M290" s="836" t="str">
        <f t="shared" si="57"/>
        <v/>
      </c>
      <c r="N290" s="836"/>
      <c r="O290" s="836" t="str">
        <f>IFERROR(Z290*Simul_ConstruRemo!$BP$30/1000,"")</f>
        <v/>
      </c>
      <c r="P290" s="836"/>
      <c r="Q290" s="836" t="str">
        <f>IFERROR(IF($I$10="Remodelación",M290*Simul_ConstruRemo!$BS$29,
IF(D290=1,MAX(M290,Z290)*$BS$29,M290*$BQ$29)),"")</f>
        <v/>
      </c>
      <c r="R290" s="836"/>
      <c r="S290" s="268" t="str">
        <f>IF(B290="","",'Tabla_Puntual&amp;Relacionamiento'!$B$56)</f>
        <v/>
      </c>
      <c r="T290" s="837"/>
      <c r="U290" s="837"/>
      <c r="V290" s="735" t="str">
        <f>IF(OR(Z289=0,Z289=""),"",IF(I290&gt;=G290,0,IF(OR($Y$52="NO",$Y$52=""),0,MIN(IF($Y$54="",0,$Y$54),$AV$16*25)*10%)))</f>
        <v/>
      </c>
      <c r="W290" s="735"/>
      <c r="X290" s="836" t="str">
        <f t="shared" si="60"/>
        <v/>
      </c>
      <c r="Y290" s="836"/>
      <c r="Z290" s="836" t="str">
        <f t="shared" si="59"/>
        <v/>
      </c>
      <c r="AA290" s="836"/>
      <c r="AI290" s="137" t="str">
        <f t="shared" si="48"/>
        <v/>
      </c>
      <c r="AJ290" s="63" t="str">
        <f>IF(OR(Z290="",Z290&lt;=0.01),"",IF(SUM($E$61:F290)=$I$26+$I$27,1,0))</f>
        <v/>
      </c>
      <c r="AK290" s="63">
        <f t="shared" si="51"/>
        <v>0</v>
      </c>
      <c r="AL290" s="269">
        <f t="shared" si="53"/>
        <v>0</v>
      </c>
      <c r="AN290" s="63" t="str">
        <f t="shared" si="58"/>
        <v/>
      </c>
      <c r="AQ290" s="63">
        <f>IF(SUM($E$61:F289)&gt;=$I$26+$I$27,1,0)</f>
        <v>1</v>
      </c>
      <c r="AR290" s="137" t="str">
        <f t="shared" si="52"/>
        <v/>
      </c>
    </row>
    <row r="291" spans="2:44" ht="21" customHeight="1" x14ac:dyDescent="0.3">
      <c r="B291" s="282" t="str">
        <f t="shared" si="49"/>
        <v/>
      </c>
      <c r="C291" s="282"/>
      <c r="D291" s="267" t="str">
        <f>IF(B291="","",IF(AND($I$10="Remodelación",$I$22="No"),1,IF($I$29&gt;=0.8,1,IF(AN291="Ministración",Simul_ConstruRemo!BM291,1))))</f>
        <v/>
      </c>
      <c r="E291" s="836" t="str">
        <f t="shared" si="56"/>
        <v/>
      </c>
      <c r="F291" s="836"/>
      <c r="G291" s="836" t="str">
        <f t="shared" si="50"/>
        <v/>
      </c>
      <c r="H291" s="836"/>
      <c r="I291" s="836" t="str">
        <f t="shared" si="54"/>
        <v/>
      </c>
      <c r="J291" s="836"/>
      <c r="K291" s="836" t="str">
        <f t="shared" si="55"/>
        <v/>
      </c>
      <c r="L291" s="836"/>
      <c r="M291" s="836" t="str">
        <f t="shared" si="57"/>
        <v/>
      </c>
      <c r="N291" s="836"/>
      <c r="O291" s="836" t="str">
        <f>IFERROR(Z291*Simul_ConstruRemo!$BP$30/1000,"")</f>
        <v/>
      </c>
      <c r="P291" s="836"/>
      <c r="Q291" s="836" t="str">
        <f>IFERROR(IF($I$10="Remodelación",M291*Simul_ConstruRemo!$BS$29,
IF(D291=1,MAX(M291,Z291)*$BS$29,M291*$BQ$29)),"")</f>
        <v/>
      </c>
      <c r="R291" s="836"/>
      <c r="S291" s="268" t="str">
        <f>IF(B291="","",'Tabla_Puntual&amp;Relacionamiento'!$B$56)</f>
        <v/>
      </c>
      <c r="T291" s="837"/>
      <c r="U291" s="837"/>
      <c r="V291" s="734"/>
      <c r="W291" s="734"/>
      <c r="X291" s="836" t="str">
        <f t="shared" si="60"/>
        <v/>
      </c>
      <c r="Y291" s="836"/>
      <c r="Z291" s="836" t="str">
        <f t="shared" si="59"/>
        <v/>
      </c>
      <c r="AA291" s="836"/>
      <c r="AI291" s="137" t="str">
        <f t="shared" si="48"/>
        <v/>
      </c>
      <c r="AJ291" s="63" t="str">
        <f>IF(OR(Z291="",Z291&lt;=0.01),"",IF(SUM($E$61:F291)=$I$26+$I$27,1,0))</f>
        <v/>
      </c>
      <c r="AK291" s="63">
        <f t="shared" si="51"/>
        <v>0</v>
      </c>
      <c r="AL291" s="269">
        <f t="shared" si="53"/>
        <v>0</v>
      </c>
      <c r="AN291" s="63" t="str">
        <f t="shared" si="58"/>
        <v/>
      </c>
      <c r="AQ291" s="63">
        <f>IF(SUM($E$61:F290)&gt;=$I$26+$I$27,1,0)</f>
        <v>1</v>
      </c>
      <c r="AR291" s="137" t="str">
        <f t="shared" si="52"/>
        <v/>
      </c>
    </row>
    <row r="292" spans="2:44" ht="21" customHeight="1" x14ac:dyDescent="0.3">
      <c r="B292" s="282" t="str">
        <f t="shared" si="49"/>
        <v/>
      </c>
      <c r="C292" s="282"/>
      <c r="D292" s="267" t="str">
        <f>IF(B292="","",IF(AND($I$10="Remodelación",$I$22="No"),1,IF($I$29&gt;=0.8,1,IF(AN292="Ministración",Simul_ConstruRemo!BM292,1))))</f>
        <v/>
      </c>
      <c r="E292" s="836" t="str">
        <f t="shared" si="56"/>
        <v/>
      </c>
      <c r="F292" s="836"/>
      <c r="G292" s="836" t="str">
        <f t="shared" si="50"/>
        <v/>
      </c>
      <c r="H292" s="836"/>
      <c r="I292" s="836" t="str">
        <f t="shared" si="54"/>
        <v/>
      </c>
      <c r="J292" s="836"/>
      <c r="K292" s="836" t="str">
        <f t="shared" si="55"/>
        <v/>
      </c>
      <c r="L292" s="836"/>
      <c r="M292" s="836" t="str">
        <f t="shared" si="57"/>
        <v/>
      </c>
      <c r="N292" s="836"/>
      <c r="O292" s="836" t="str">
        <f>IFERROR(Z292*Simul_ConstruRemo!$BP$30/1000,"")</f>
        <v/>
      </c>
      <c r="P292" s="836"/>
      <c r="Q292" s="836" t="str">
        <f>IFERROR(IF($I$10="Remodelación",M292*Simul_ConstruRemo!$BS$29,
IF(D292=1,MAX(M292,Z292)*$BS$29,M292*$BQ$29)),"")</f>
        <v/>
      </c>
      <c r="R292" s="836"/>
      <c r="S292" s="268" t="str">
        <f>IF(B292="","",'Tabla_Puntual&amp;Relacionamiento'!$B$56)</f>
        <v/>
      </c>
      <c r="T292" s="837"/>
      <c r="U292" s="837"/>
      <c r="V292" s="735" t="str">
        <f>IF(OR(Z291=0,Z291=""),"",IF(I292&gt;=G292,0,IF(OR($Y$52="NO",$Y$52=""),0,MIN(IF($Y$54="",0,$Y$54),$AV$16*25)*10%)))</f>
        <v/>
      </c>
      <c r="W292" s="735"/>
      <c r="X292" s="836" t="str">
        <f t="shared" si="60"/>
        <v/>
      </c>
      <c r="Y292" s="836"/>
      <c r="Z292" s="836" t="str">
        <f t="shared" si="59"/>
        <v/>
      </c>
      <c r="AA292" s="836"/>
      <c r="AI292" s="137" t="str">
        <f t="shared" si="48"/>
        <v/>
      </c>
      <c r="AJ292" s="63" t="str">
        <f>IF(OR(Z292="",Z292&lt;=0.01),"",IF(SUM($E$61:F292)=$I$26+$I$27,1,0))</f>
        <v/>
      </c>
      <c r="AK292" s="63">
        <f t="shared" si="51"/>
        <v>0</v>
      </c>
      <c r="AL292" s="269">
        <f t="shared" si="53"/>
        <v>0</v>
      </c>
      <c r="AN292" s="63" t="str">
        <f t="shared" si="58"/>
        <v/>
      </c>
      <c r="AQ292" s="63">
        <f>IF(SUM($E$61:F291)&gt;=$I$26+$I$27,1,0)</f>
        <v>1</v>
      </c>
      <c r="AR292" s="137" t="str">
        <f t="shared" si="52"/>
        <v/>
      </c>
    </row>
    <row r="293" spans="2:44" ht="21" customHeight="1" x14ac:dyDescent="0.3">
      <c r="B293" s="282" t="str">
        <f t="shared" si="49"/>
        <v/>
      </c>
      <c r="C293" s="282"/>
      <c r="D293" s="267" t="str">
        <f>IF(B293="","",IF(AND($I$10="Remodelación",$I$22="No"),1,IF($I$29&gt;=0.8,1,IF(AN293="Ministración",Simul_ConstruRemo!BM293,1))))</f>
        <v/>
      </c>
      <c r="E293" s="836" t="str">
        <f t="shared" si="56"/>
        <v/>
      </c>
      <c r="F293" s="836"/>
      <c r="G293" s="836" t="str">
        <f t="shared" si="50"/>
        <v/>
      </c>
      <c r="H293" s="836"/>
      <c r="I293" s="836" t="str">
        <f t="shared" si="54"/>
        <v/>
      </c>
      <c r="J293" s="836"/>
      <c r="K293" s="836" t="str">
        <f t="shared" si="55"/>
        <v/>
      </c>
      <c r="L293" s="836"/>
      <c r="M293" s="836" t="str">
        <f t="shared" si="57"/>
        <v/>
      </c>
      <c r="N293" s="836"/>
      <c r="O293" s="836" t="str">
        <f>IFERROR(Z293*Simul_ConstruRemo!$BP$30/1000,"")</f>
        <v/>
      </c>
      <c r="P293" s="836"/>
      <c r="Q293" s="836" t="str">
        <f>IFERROR(IF($I$10="Remodelación",M293*Simul_ConstruRemo!$BS$29,
IF(D293=1,MAX(M293,Z293)*$BS$29,M293*$BQ$29)),"")</f>
        <v/>
      </c>
      <c r="R293" s="836"/>
      <c r="S293" s="268" t="str">
        <f>IF(B293="","",'Tabla_Puntual&amp;Relacionamiento'!$B$56)</f>
        <v/>
      </c>
      <c r="T293" s="837"/>
      <c r="U293" s="837"/>
      <c r="V293" s="734"/>
      <c r="W293" s="734"/>
      <c r="X293" s="836" t="str">
        <f t="shared" si="60"/>
        <v/>
      </c>
      <c r="Y293" s="836"/>
      <c r="Z293" s="836" t="str">
        <f t="shared" si="59"/>
        <v/>
      </c>
      <c r="AA293" s="836"/>
      <c r="AI293" s="137" t="str">
        <f t="shared" si="48"/>
        <v/>
      </c>
      <c r="AJ293" s="63" t="str">
        <f>IF(OR(Z293="",Z293&lt;=0.01),"",IF(SUM($E$61:F293)=$I$26+$I$27,1,0))</f>
        <v/>
      </c>
      <c r="AK293" s="63">
        <f t="shared" si="51"/>
        <v>0</v>
      </c>
      <c r="AL293" s="269">
        <f t="shared" si="53"/>
        <v>0</v>
      </c>
      <c r="AN293" s="63" t="str">
        <f t="shared" si="58"/>
        <v/>
      </c>
      <c r="AQ293" s="63">
        <f>IF(SUM($E$61:F292)&gt;=$I$26+$I$27,1,0)</f>
        <v>1</v>
      </c>
      <c r="AR293" s="137" t="str">
        <f t="shared" si="52"/>
        <v/>
      </c>
    </row>
    <row r="294" spans="2:44" ht="21" customHeight="1" x14ac:dyDescent="0.3">
      <c r="B294" s="282" t="str">
        <f t="shared" si="49"/>
        <v/>
      </c>
      <c r="C294" s="282"/>
      <c r="D294" s="267" t="str">
        <f>IF(B294="","",IF(AND($I$10="Remodelación",$I$22="No"),1,IF($I$29&gt;=0.8,1,IF(AN294="Ministración",Simul_ConstruRemo!BM294,1))))</f>
        <v/>
      </c>
      <c r="E294" s="836" t="str">
        <f t="shared" si="56"/>
        <v/>
      </c>
      <c r="F294" s="836"/>
      <c r="G294" s="836" t="str">
        <f t="shared" si="50"/>
        <v/>
      </c>
      <c r="H294" s="836"/>
      <c r="I294" s="836" t="str">
        <f t="shared" si="54"/>
        <v/>
      </c>
      <c r="J294" s="836"/>
      <c r="K294" s="836" t="str">
        <f t="shared" si="55"/>
        <v/>
      </c>
      <c r="L294" s="836"/>
      <c r="M294" s="836" t="str">
        <f t="shared" si="57"/>
        <v/>
      </c>
      <c r="N294" s="836"/>
      <c r="O294" s="836" t="str">
        <f>IFERROR(Z294*Simul_ConstruRemo!$BP$30/1000,"")</f>
        <v/>
      </c>
      <c r="P294" s="836"/>
      <c r="Q294" s="836" t="str">
        <f>IFERROR(IF($I$10="Remodelación",M294*Simul_ConstruRemo!$BS$29,
IF(D294=1,MAX(M294,Z294)*$BS$29,M294*$BQ$29)),"")</f>
        <v/>
      </c>
      <c r="R294" s="836"/>
      <c r="S294" s="268" t="str">
        <f>IF(B294="","",'Tabla_Puntual&amp;Relacionamiento'!$B$56)</f>
        <v/>
      </c>
      <c r="T294" s="837"/>
      <c r="U294" s="837"/>
      <c r="V294" s="735" t="str">
        <f>IF(OR(Z293=0,Z293=""),"",IF(I294&gt;=G294,0,IF(OR($Y$52="NO",$Y$52=""),0,MIN(IF($Y$54="",0,$Y$54),$AV$16*25)*10%)))</f>
        <v/>
      </c>
      <c r="W294" s="735"/>
      <c r="X294" s="836" t="str">
        <f t="shared" si="60"/>
        <v/>
      </c>
      <c r="Y294" s="836"/>
      <c r="Z294" s="836" t="str">
        <f t="shared" si="59"/>
        <v/>
      </c>
      <c r="AA294" s="836"/>
      <c r="AI294" s="137" t="str">
        <f t="shared" si="48"/>
        <v/>
      </c>
      <c r="AJ294" s="63" t="str">
        <f>IF(OR(Z294="",Z294&lt;=0.01),"",IF(SUM($E$61:F294)=$I$26+$I$27,1,0))</f>
        <v/>
      </c>
      <c r="AK294" s="63">
        <f t="shared" si="51"/>
        <v>0</v>
      </c>
      <c r="AL294" s="269">
        <f t="shared" si="53"/>
        <v>0</v>
      </c>
      <c r="AN294" s="63" t="str">
        <f t="shared" si="58"/>
        <v/>
      </c>
      <c r="AQ294" s="63">
        <f>IF(SUM($E$61:F293)&gt;=$I$26+$I$27,1,0)</f>
        <v>1</v>
      </c>
      <c r="AR294" s="137" t="str">
        <f t="shared" si="52"/>
        <v/>
      </c>
    </row>
    <row r="295" spans="2:44" ht="21" customHeight="1" x14ac:dyDescent="0.3">
      <c r="B295" s="282" t="str">
        <f t="shared" si="49"/>
        <v/>
      </c>
      <c r="C295" s="282"/>
      <c r="D295" s="267" t="str">
        <f>IF(B295="","",IF(AND($I$10="Remodelación",$I$22="No"),1,IF($I$29&gt;=0.8,1,IF(AN295="Ministración",Simul_ConstruRemo!BM295,1))))</f>
        <v/>
      </c>
      <c r="E295" s="836" t="str">
        <f t="shared" si="56"/>
        <v/>
      </c>
      <c r="F295" s="836"/>
      <c r="G295" s="836" t="str">
        <f t="shared" si="50"/>
        <v/>
      </c>
      <c r="H295" s="836"/>
      <c r="I295" s="836" t="str">
        <f t="shared" si="54"/>
        <v/>
      </c>
      <c r="J295" s="836"/>
      <c r="K295" s="836" t="str">
        <f t="shared" si="55"/>
        <v/>
      </c>
      <c r="L295" s="836"/>
      <c r="M295" s="836" t="str">
        <f t="shared" si="57"/>
        <v/>
      </c>
      <c r="N295" s="836"/>
      <c r="O295" s="836" t="str">
        <f>IFERROR(Z295*Simul_ConstruRemo!$BP$30/1000,"")</f>
        <v/>
      </c>
      <c r="P295" s="836"/>
      <c r="Q295" s="836" t="str">
        <f>IFERROR(IF($I$10="Remodelación",M295*Simul_ConstruRemo!$BS$29,
IF(D295=1,MAX(M295,Z295)*$BS$29,M295*$BQ$29)),"")</f>
        <v/>
      </c>
      <c r="R295" s="836"/>
      <c r="S295" s="268" t="str">
        <f>IF(B295="","",'Tabla_Puntual&amp;Relacionamiento'!$B$56)</f>
        <v/>
      </c>
      <c r="T295" s="837"/>
      <c r="U295" s="837"/>
      <c r="V295" s="734"/>
      <c r="W295" s="734"/>
      <c r="X295" s="836" t="str">
        <f t="shared" si="60"/>
        <v/>
      </c>
      <c r="Y295" s="836"/>
      <c r="Z295" s="836" t="str">
        <f t="shared" si="59"/>
        <v/>
      </c>
      <c r="AA295" s="836"/>
      <c r="AI295" s="137" t="str">
        <f t="shared" si="48"/>
        <v/>
      </c>
      <c r="AJ295" s="63" t="str">
        <f>IF(OR(Z295="",Z295&lt;=0.01),"",IF(SUM($E$61:F295)=$I$26+$I$27,1,0))</f>
        <v/>
      </c>
      <c r="AK295" s="63">
        <f t="shared" si="51"/>
        <v>0</v>
      </c>
      <c r="AL295" s="269">
        <f t="shared" si="53"/>
        <v>0</v>
      </c>
      <c r="AN295" s="63" t="str">
        <f t="shared" si="58"/>
        <v/>
      </c>
      <c r="AQ295" s="63">
        <f>IF(SUM($E$61:F294)&gt;=$I$26+$I$27,1,0)</f>
        <v>1</v>
      </c>
      <c r="AR295" s="137" t="str">
        <f t="shared" si="52"/>
        <v/>
      </c>
    </row>
    <row r="296" spans="2:44" ht="21" customHeight="1" x14ac:dyDescent="0.3">
      <c r="B296" s="282" t="str">
        <f t="shared" si="49"/>
        <v/>
      </c>
      <c r="C296" s="282"/>
      <c r="D296" s="267" t="str">
        <f>IF(B296="","",IF(AND($I$10="Remodelación",$I$22="No"),1,IF($I$29&gt;=0.8,1,IF(AN296="Ministración",Simul_ConstruRemo!BM296,1))))</f>
        <v/>
      </c>
      <c r="E296" s="836" t="str">
        <f t="shared" si="56"/>
        <v/>
      </c>
      <c r="F296" s="836"/>
      <c r="G296" s="836" t="str">
        <f t="shared" si="50"/>
        <v/>
      </c>
      <c r="H296" s="836"/>
      <c r="I296" s="836" t="str">
        <f t="shared" si="54"/>
        <v/>
      </c>
      <c r="J296" s="836"/>
      <c r="K296" s="836" t="str">
        <f t="shared" si="55"/>
        <v/>
      </c>
      <c r="L296" s="836"/>
      <c r="M296" s="836" t="str">
        <f t="shared" si="57"/>
        <v/>
      </c>
      <c r="N296" s="836"/>
      <c r="O296" s="836" t="str">
        <f>IFERROR(Z296*Simul_ConstruRemo!$BP$30/1000,"")</f>
        <v/>
      </c>
      <c r="P296" s="836"/>
      <c r="Q296" s="836" t="str">
        <f>IFERROR(IF($I$10="Remodelación",M296*Simul_ConstruRemo!$BS$29,
IF(D296=1,MAX(M296,Z296)*$BS$29,M296*$BQ$29)),"")</f>
        <v/>
      </c>
      <c r="R296" s="836"/>
      <c r="S296" s="268" t="str">
        <f>IF(B296="","",'Tabla_Puntual&amp;Relacionamiento'!$B$56)</f>
        <v/>
      </c>
      <c r="T296" s="837"/>
      <c r="U296" s="837"/>
      <c r="V296" s="735" t="str">
        <f>IF(OR(Z295=0,Z295=""),"",IF(I296&gt;=G296,0,IF(OR($Y$52="NO",$Y$52=""),0,MIN(IF($Y$54="",0,$Y$54),$AV$16*25)*10%)))</f>
        <v/>
      </c>
      <c r="W296" s="735"/>
      <c r="X296" s="836" t="str">
        <f t="shared" si="60"/>
        <v/>
      </c>
      <c r="Y296" s="836"/>
      <c r="Z296" s="836" t="str">
        <f t="shared" si="59"/>
        <v/>
      </c>
      <c r="AA296" s="836"/>
      <c r="AI296" s="137" t="str">
        <f t="shared" si="48"/>
        <v/>
      </c>
      <c r="AJ296" s="63" t="str">
        <f>IF(OR(Z296="",Z296&lt;=0.01),"",IF(SUM($E$61:F296)=$I$26+$I$27,1,0))</f>
        <v/>
      </c>
      <c r="AK296" s="63">
        <f t="shared" si="51"/>
        <v>0</v>
      </c>
      <c r="AL296" s="269">
        <f t="shared" si="53"/>
        <v>0</v>
      </c>
      <c r="AN296" s="63" t="str">
        <f t="shared" si="58"/>
        <v/>
      </c>
      <c r="AQ296" s="63">
        <f>IF(SUM($E$61:F295)&gt;=$I$26+$I$27,1,0)</f>
        <v>1</v>
      </c>
      <c r="AR296" s="137" t="str">
        <f t="shared" si="52"/>
        <v/>
      </c>
    </row>
    <row r="297" spans="2:44" ht="21" customHeight="1" x14ac:dyDescent="0.3">
      <c r="B297" s="282" t="str">
        <f t="shared" si="49"/>
        <v/>
      </c>
      <c r="C297" s="282"/>
      <c r="D297" s="267" t="str">
        <f>IF(B297="","",IF(AND($I$10="Remodelación",$I$22="No"),1,IF($I$29&gt;=0.8,1,IF(AN297="Ministración",Simul_ConstruRemo!BM297,1))))</f>
        <v/>
      </c>
      <c r="E297" s="836" t="str">
        <f t="shared" si="56"/>
        <v/>
      </c>
      <c r="F297" s="836"/>
      <c r="G297" s="836" t="str">
        <f t="shared" si="50"/>
        <v/>
      </c>
      <c r="H297" s="836"/>
      <c r="I297" s="836" t="str">
        <f t="shared" si="54"/>
        <v/>
      </c>
      <c r="J297" s="836"/>
      <c r="K297" s="836" t="str">
        <f t="shared" si="55"/>
        <v/>
      </c>
      <c r="L297" s="836"/>
      <c r="M297" s="836" t="str">
        <f t="shared" si="57"/>
        <v/>
      </c>
      <c r="N297" s="836"/>
      <c r="O297" s="836" t="str">
        <f>IFERROR(Z297*Simul_ConstruRemo!$BP$30/1000,"")</f>
        <v/>
      </c>
      <c r="P297" s="836"/>
      <c r="Q297" s="836" t="str">
        <f>IFERROR(IF($I$10="Remodelación",M297*Simul_ConstruRemo!$BS$29,
IF(D297=1,MAX(M297,Z297)*$BS$29,M297*$BQ$29)),"")</f>
        <v/>
      </c>
      <c r="R297" s="836"/>
      <c r="S297" s="268" t="str">
        <f>IF(B297="","",'Tabla_Puntual&amp;Relacionamiento'!$B$56)</f>
        <v/>
      </c>
      <c r="T297" s="837"/>
      <c r="U297" s="837"/>
      <c r="V297" s="734"/>
      <c r="W297" s="734"/>
      <c r="X297" s="836" t="str">
        <f t="shared" si="60"/>
        <v/>
      </c>
      <c r="Y297" s="836"/>
      <c r="Z297" s="836" t="str">
        <f t="shared" si="59"/>
        <v/>
      </c>
      <c r="AA297" s="836"/>
      <c r="AI297" s="137" t="str">
        <f t="shared" si="48"/>
        <v/>
      </c>
      <c r="AJ297" s="63" t="str">
        <f>IF(OR(Z297="",Z297&lt;=0.01),"",IF(SUM($E$61:F297)=$I$26+$I$27,1,0))</f>
        <v/>
      </c>
      <c r="AK297" s="63">
        <f t="shared" si="51"/>
        <v>0</v>
      </c>
      <c r="AL297" s="269">
        <f t="shared" si="53"/>
        <v>0</v>
      </c>
      <c r="AN297" s="63" t="str">
        <f t="shared" si="58"/>
        <v/>
      </c>
      <c r="AQ297" s="63">
        <f>IF(SUM($E$61:F296)&gt;=$I$26+$I$27,1,0)</f>
        <v>1</v>
      </c>
      <c r="AR297" s="137" t="str">
        <f t="shared" si="52"/>
        <v/>
      </c>
    </row>
    <row r="298" spans="2:44" ht="21" customHeight="1" x14ac:dyDescent="0.3">
      <c r="B298" s="282" t="str">
        <f t="shared" si="49"/>
        <v/>
      </c>
      <c r="C298" s="282"/>
      <c r="D298" s="267" t="str">
        <f>IF(B298="","",IF(AND($I$10="Remodelación",$I$22="No"),1,IF($I$29&gt;=0.8,1,IF(AN298="Ministración",Simul_ConstruRemo!BM298,1))))</f>
        <v/>
      </c>
      <c r="E298" s="836" t="str">
        <f t="shared" si="56"/>
        <v/>
      </c>
      <c r="F298" s="836"/>
      <c r="G298" s="836" t="str">
        <f t="shared" si="50"/>
        <v/>
      </c>
      <c r="H298" s="836"/>
      <c r="I298" s="836" t="str">
        <f t="shared" si="54"/>
        <v/>
      </c>
      <c r="J298" s="836"/>
      <c r="K298" s="836" t="str">
        <f t="shared" si="55"/>
        <v/>
      </c>
      <c r="L298" s="836"/>
      <c r="M298" s="836" t="str">
        <f t="shared" si="57"/>
        <v/>
      </c>
      <c r="N298" s="836"/>
      <c r="O298" s="836" t="str">
        <f>IFERROR(Z298*Simul_ConstruRemo!$BP$30/1000,"")</f>
        <v/>
      </c>
      <c r="P298" s="836"/>
      <c r="Q298" s="836" t="str">
        <f>IFERROR(IF($I$10="Remodelación",M298*Simul_ConstruRemo!$BS$29,
IF(D298=1,MAX(M298,Z298)*$BS$29,M298*$BQ$29)),"")</f>
        <v/>
      </c>
      <c r="R298" s="836"/>
      <c r="S298" s="268" t="str">
        <f>IF(B298="","",'Tabla_Puntual&amp;Relacionamiento'!$B$56)</f>
        <v/>
      </c>
      <c r="T298" s="837"/>
      <c r="U298" s="837"/>
      <c r="V298" s="735" t="str">
        <f>IF(OR(Z297=0,Z297=""),"",IF(I298&gt;=G298,0,IF(OR($Y$52="NO",$Y$52=""),0,MIN(IF($Y$54="",0,$Y$54),$AV$16*25)*10%)))</f>
        <v/>
      </c>
      <c r="W298" s="735"/>
      <c r="X298" s="836" t="str">
        <f t="shared" si="60"/>
        <v/>
      </c>
      <c r="Y298" s="836"/>
      <c r="Z298" s="836" t="str">
        <f t="shared" si="59"/>
        <v/>
      </c>
      <c r="AA298" s="836"/>
      <c r="AI298" s="137" t="str">
        <f t="shared" si="48"/>
        <v/>
      </c>
      <c r="AJ298" s="63" t="str">
        <f>IF(OR(Z298="",Z298&lt;=0.01),"",IF(SUM($E$61:F298)=$I$26+$I$27,1,0))</f>
        <v/>
      </c>
      <c r="AK298" s="63">
        <f t="shared" si="51"/>
        <v>0</v>
      </c>
      <c r="AL298" s="269">
        <f t="shared" si="53"/>
        <v>0</v>
      </c>
      <c r="AN298" s="63" t="str">
        <f t="shared" si="58"/>
        <v/>
      </c>
      <c r="AQ298" s="63">
        <f>IF(SUM($E$61:F297)&gt;=$I$26+$I$27,1,0)</f>
        <v>1</v>
      </c>
      <c r="AR298" s="137" t="str">
        <f t="shared" si="52"/>
        <v/>
      </c>
    </row>
    <row r="299" spans="2:44" ht="21" customHeight="1" x14ac:dyDescent="0.3">
      <c r="B299" s="282" t="str">
        <f t="shared" si="49"/>
        <v/>
      </c>
      <c r="C299" s="282"/>
      <c r="D299" s="267" t="str">
        <f>IF(B299="","",IF(AND($I$10="Remodelación",$I$22="No"),1,IF($I$29&gt;=0.8,1,IF(AN299="Ministración",Simul_ConstruRemo!BM299,1))))</f>
        <v/>
      </c>
      <c r="E299" s="836" t="str">
        <f t="shared" si="56"/>
        <v/>
      </c>
      <c r="F299" s="836"/>
      <c r="G299" s="836" t="str">
        <f t="shared" si="50"/>
        <v/>
      </c>
      <c r="H299" s="836"/>
      <c r="I299" s="836" t="str">
        <f t="shared" si="54"/>
        <v/>
      </c>
      <c r="J299" s="836"/>
      <c r="K299" s="836" t="str">
        <f t="shared" si="55"/>
        <v/>
      </c>
      <c r="L299" s="836"/>
      <c r="M299" s="836" t="str">
        <f t="shared" si="57"/>
        <v/>
      </c>
      <c r="N299" s="836"/>
      <c r="O299" s="836" t="str">
        <f>IFERROR(Z299*Simul_ConstruRemo!$BP$30/1000,"")</f>
        <v/>
      </c>
      <c r="P299" s="836"/>
      <c r="Q299" s="836" t="str">
        <f>IFERROR(IF($I$10="Remodelación",M299*Simul_ConstruRemo!$BS$29,
IF(D299=1,MAX(M299,Z299)*$BS$29,M299*$BQ$29)),"")</f>
        <v/>
      </c>
      <c r="R299" s="836"/>
      <c r="S299" s="268" t="str">
        <f>IF(B299="","",'Tabla_Puntual&amp;Relacionamiento'!$B$56)</f>
        <v/>
      </c>
      <c r="T299" s="837"/>
      <c r="U299" s="837"/>
      <c r="V299" s="734"/>
      <c r="W299" s="734"/>
      <c r="X299" s="836" t="str">
        <f t="shared" si="60"/>
        <v/>
      </c>
      <c r="Y299" s="836"/>
      <c r="Z299" s="836" t="str">
        <f t="shared" si="59"/>
        <v/>
      </c>
      <c r="AA299" s="836"/>
      <c r="AI299" s="137" t="str">
        <f t="shared" si="48"/>
        <v/>
      </c>
      <c r="AJ299" s="63" t="str">
        <f>IF(OR(Z299="",Z299&lt;=0.01),"",IF(SUM($E$61:F299)=$I$26+$I$27,1,0))</f>
        <v/>
      </c>
      <c r="AK299" s="63">
        <f t="shared" si="51"/>
        <v>0</v>
      </c>
      <c r="AL299" s="269">
        <f t="shared" si="53"/>
        <v>0</v>
      </c>
      <c r="AN299" s="63" t="str">
        <f t="shared" si="58"/>
        <v/>
      </c>
      <c r="AQ299" s="63">
        <f>IF(SUM($E$61:F298)&gt;=$I$26+$I$27,1,0)</f>
        <v>1</v>
      </c>
      <c r="AR299" s="137" t="str">
        <f t="shared" si="52"/>
        <v/>
      </c>
    </row>
    <row r="300" spans="2:44" ht="21" customHeight="1" x14ac:dyDescent="0.3">
      <c r="B300" s="282" t="str">
        <f t="shared" si="49"/>
        <v/>
      </c>
      <c r="C300" s="282"/>
      <c r="D300" s="267" t="str">
        <f>IF(B300="","",IF(AND($I$10="Remodelación",$I$22="No"),1,IF($I$29&gt;=0.8,1,IF(AN300="Ministración",Simul_ConstruRemo!BM300,1))))</f>
        <v/>
      </c>
      <c r="E300" s="836" t="str">
        <f t="shared" si="56"/>
        <v/>
      </c>
      <c r="F300" s="836"/>
      <c r="G300" s="836" t="str">
        <f t="shared" si="50"/>
        <v/>
      </c>
      <c r="H300" s="836"/>
      <c r="I300" s="836" t="str">
        <f t="shared" si="54"/>
        <v/>
      </c>
      <c r="J300" s="836"/>
      <c r="K300" s="836" t="str">
        <f t="shared" si="55"/>
        <v/>
      </c>
      <c r="L300" s="836"/>
      <c r="M300" s="836" t="str">
        <f t="shared" si="57"/>
        <v/>
      </c>
      <c r="N300" s="836"/>
      <c r="O300" s="836" t="str">
        <f>IFERROR(Z300*Simul_ConstruRemo!$BP$30/1000,"")</f>
        <v/>
      </c>
      <c r="P300" s="836"/>
      <c r="Q300" s="836" t="str">
        <f>IFERROR(IF($I$10="Remodelación",M300*Simul_ConstruRemo!$BS$29,
IF(D300=1,MAX(M300,Z300)*$BS$29,M300*$BQ$29)),"")</f>
        <v/>
      </c>
      <c r="R300" s="836"/>
      <c r="S300" s="268" t="str">
        <f>IF(B300="","",'Tabla_Puntual&amp;Relacionamiento'!$B$56)</f>
        <v/>
      </c>
      <c r="T300" s="837"/>
      <c r="U300" s="837"/>
      <c r="V300" s="735" t="str">
        <f>IF(OR(Z299=0,Z299=""),"",IF(I300&gt;=G300,0,IF(OR($Y$52="NO",$Y$52=""),0,MIN(IF($Y$54="",0,$Y$54),$AV$16*25)*10%)))</f>
        <v/>
      </c>
      <c r="W300" s="735"/>
      <c r="X300" s="836" t="str">
        <f t="shared" si="60"/>
        <v/>
      </c>
      <c r="Y300" s="836"/>
      <c r="Z300" s="836" t="str">
        <f t="shared" si="59"/>
        <v/>
      </c>
      <c r="AA300" s="836"/>
      <c r="AI300" s="137" t="str">
        <f t="shared" si="48"/>
        <v/>
      </c>
      <c r="AJ300" s="63" t="str">
        <f>IF(OR(Z300="",Z300&lt;=0.01),"",IF(SUM($E$61:F300)=$I$26+$I$27,1,0))</f>
        <v/>
      </c>
      <c r="AK300" s="63">
        <f t="shared" si="51"/>
        <v>0</v>
      </c>
      <c r="AL300" s="269">
        <f t="shared" si="53"/>
        <v>0</v>
      </c>
      <c r="AN300" s="63" t="str">
        <f t="shared" si="58"/>
        <v/>
      </c>
      <c r="AQ300" s="63">
        <f>IF(SUM($E$61:F299)&gt;=$I$26+$I$27,1,0)</f>
        <v>1</v>
      </c>
      <c r="AR300" s="137" t="str">
        <f t="shared" si="52"/>
        <v/>
      </c>
    </row>
    <row r="301" spans="2:44" ht="21" customHeight="1" x14ac:dyDescent="0.3">
      <c r="B301" s="282" t="str">
        <f t="shared" si="49"/>
        <v/>
      </c>
      <c r="C301" s="282"/>
      <c r="D301" s="267" t="str">
        <f>IF(B301="","",IF(AND($I$10="Remodelación",$I$22="No"),1,IF($I$29&gt;=0.8,1,IF(AN301="Ministración",Simul_ConstruRemo!BM301,1))))</f>
        <v/>
      </c>
      <c r="E301" s="836" t="str">
        <f t="shared" si="56"/>
        <v/>
      </c>
      <c r="F301" s="836"/>
      <c r="G301" s="836" t="str">
        <f t="shared" si="50"/>
        <v/>
      </c>
      <c r="H301" s="836"/>
      <c r="I301" s="836" t="str">
        <f t="shared" si="54"/>
        <v/>
      </c>
      <c r="J301" s="836"/>
      <c r="K301" s="836" t="str">
        <f t="shared" si="55"/>
        <v/>
      </c>
      <c r="L301" s="836"/>
      <c r="M301" s="836" t="str">
        <f t="shared" si="57"/>
        <v/>
      </c>
      <c r="N301" s="836"/>
      <c r="O301" s="836" t="str">
        <f>IFERROR(Z301*Simul_ConstruRemo!$BP$30/1000,"")</f>
        <v/>
      </c>
      <c r="P301" s="836"/>
      <c r="Q301" s="836" t="str">
        <f>IFERROR(IF($I$10="Remodelación",M301*Simul_ConstruRemo!$BS$29,
IF(D301=1,MAX(M301,Z301)*$BS$29,M301*$BQ$29)),"")</f>
        <v/>
      </c>
      <c r="R301" s="836"/>
      <c r="S301" s="268" t="str">
        <f>IF(B301="","",'Tabla_Puntual&amp;Relacionamiento'!$B$57)</f>
        <v/>
      </c>
      <c r="T301" s="837"/>
      <c r="U301" s="837"/>
      <c r="V301" s="734"/>
      <c r="W301" s="734"/>
      <c r="X301" s="836" t="str">
        <f t="shared" si="60"/>
        <v/>
      </c>
      <c r="Y301" s="836"/>
      <c r="Z301" s="836" t="str">
        <f t="shared" si="59"/>
        <v/>
      </c>
      <c r="AA301" s="836"/>
      <c r="AI301" s="137" t="str">
        <f t="shared" si="48"/>
        <v/>
      </c>
      <c r="AJ301" s="63" t="str">
        <f>IF(OR(Z301="",Z301&lt;=0.01),"",IF(SUM($E$61:F301)=$I$26+$I$27,1,0))</f>
        <v/>
      </c>
      <c r="AK301" s="63">
        <f t="shared" si="51"/>
        <v>0</v>
      </c>
      <c r="AL301" s="269">
        <f t="shared" si="53"/>
        <v>0</v>
      </c>
      <c r="AN301" s="63" t="str">
        <f t="shared" si="58"/>
        <v/>
      </c>
      <c r="AQ301" s="63">
        <f>IF(SUM($E$61:F300)&gt;=$I$26+$I$27,1,0)</f>
        <v>1</v>
      </c>
      <c r="AR301" s="137" t="str">
        <f t="shared" si="52"/>
        <v/>
      </c>
    </row>
    <row r="302" spans="2:44" ht="21" customHeight="1" x14ac:dyDescent="0.3">
      <c r="B302" s="282" t="str">
        <f t="shared" si="49"/>
        <v/>
      </c>
      <c r="C302" s="282"/>
      <c r="D302" s="267" t="str">
        <f>IF(B302="","",IF(AND($I$10="Remodelación",$I$22="No"),1,IF($I$29&gt;=0.8,1,IF(AN302="Ministración",Simul_ConstruRemo!BM302,1))))</f>
        <v/>
      </c>
      <c r="E302" s="836" t="str">
        <f t="shared" si="56"/>
        <v/>
      </c>
      <c r="F302" s="836"/>
      <c r="G302" s="836" t="str">
        <f t="shared" si="50"/>
        <v/>
      </c>
      <c r="H302" s="836"/>
      <c r="I302" s="836" t="str">
        <f t="shared" si="54"/>
        <v/>
      </c>
      <c r="J302" s="836"/>
      <c r="K302" s="836" t="str">
        <f t="shared" si="55"/>
        <v/>
      </c>
      <c r="L302" s="836"/>
      <c r="M302" s="836" t="str">
        <f t="shared" si="57"/>
        <v/>
      </c>
      <c r="N302" s="836"/>
      <c r="O302" s="836" t="str">
        <f>IFERROR(Z302*Simul_ConstruRemo!$BP$30/1000,"")</f>
        <v/>
      </c>
      <c r="P302" s="836"/>
      <c r="Q302" s="836" t="str">
        <f>IFERROR(IF($I$10="Remodelación",M302*Simul_ConstruRemo!$BS$29,
IF(D302=1,MAX(M302,Z302)*$BS$29,M302*$BQ$29)),"")</f>
        <v/>
      </c>
      <c r="R302" s="836"/>
      <c r="S302" s="268" t="str">
        <f>IF(B302="","",'Tabla_Puntual&amp;Relacionamiento'!$B$57)</f>
        <v/>
      </c>
      <c r="T302" s="837"/>
      <c r="U302" s="837"/>
      <c r="V302" s="735" t="str">
        <f>IF(OR(Z301=0,Z301=""),"",IF(I302&gt;=G302,0,IF(OR($Y$52="NO",$Y$52=""),0,MIN(IF($Y$54="",0,$Y$54),$AV$16*25)*10%)))</f>
        <v/>
      </c>
      <c r="W302" s="735"/>
      <c r="X302" s="836" t="str">
        <f t="shared" si="60"/>
        <v/>
      </c>
      <c r="Y302" s="836"/>
      <c r="Z302" s="836" t="str">
        <f t="shared" si="59"/>
        <v/>
      </c>
      <c r="AA302" s="836"/>
      <c r="AI302" s="137" t="str">
        <f t="shared" si="48"/>
        <v/>
      </c>
      <c r="AJ302" s="63" t="str">
        <f>IF(OR(Z302="",Z302&lt;=0.01),"",IF(SUM($E$61:F302)=$I$26+$I$27,1,0))</f>
        <v/>
      </c>
      <c r="AK302" s="63">
        <f t="shared" si="51"/>
        <v>0</v>
      </c>
      <c r="AL302" s="269">
        <f t="shared" si="53"/>
        <v>0</v>
      </c>
      <c r="AN302" s="63" t="str">
        <f t="shared" si="58"/>
        <v/>
      </c>
      <c r="AQ302" s="63">
        <f>IF(SUM($E$61:F301)&gt;=$I$26+$I$27,1,0)</f>
        <v>1</v>
      </c>
      <c r="AR302" s="137" t="str">
        <f t="shared" si="52"/>
        <v/>
      </c>
    </row>
    <row r="303" spans="2:44" ht="21" customHeight="1" x14ac:dyDescent="0.3">
      <c r="B303" s="282" t="str">
        <f t="shared" si="49"/>
        <v/>
      </c>
      <c r="C303" s="282"/>
      <c r="D303" s="267" t="str">
        <f>IF(B303="","",IF(AND($I$10="Remodelación",$I$22="No"),1,IF($I$29&gt;=0.8,1,IF(AN303="Ministración",Simul_ConstruRemo!BM303,1))))</f>
        <v/>
      </c>
      <c r="E303" s="836" t="str">
        <f t="shared" si="56"/>
        <v/>
      </c>
      <c r="F303" s="836"/>
      <c r="G303" s="836" t="str">
        <f t="shared" si="50"/>
        <v/>
      </c>
      <c r="H303" s="836"/>
      <c r="I303" s="836" t="str">
        <f t="shared" si="54"/>
        <v/>
      </c>
      <c r="J303" s="836"/>
      <c r="K303" s="836" t="str">
        <f t="shared" si="55"/>
        <v/>
      </c>
      <c r="L303" s="836"/>
      <c r="M303" s="836" t="str">
        <f t="shared" si="57"/>
        <v/>
      </c>
      <c r="N303" s="836"/>
      <c r="O303" s="836" t="str">
        <f>IFERROR(Z303*Simul_ConstruRemo!$BP$30/1000,"")</f>
        <v/>
      </c>
      <c r="P303" s="836"/>
      <c r="Q303" s="836" t="str">
        <f>IFERROR(IF($I$10="Remodelación",M303*Simul_ConstruRemo!$BS$29,
IF(D303=1,MAX(M303,Z303)*$BS$29,M303*$BQ$29)),"")</f>
        <v/>
      </c>
      <c r="R303" s="836"/>
      <c r="S303" s="268" t="str">
        <f>IF(B303="","",'Tabla_Puntual&amp;Relacionamiento'!$B$57)</f>
        <v/>
      </c>
      <c r="T303" s="837"/>
      <c r="U303" s="837"/>
      <c r="V303" s="734"/>
      <c r="W303" s="734"/>
      <c r="X303" s="836" t="str">
        <f t="shared" si="60"/>
        <v/>
      </c>
      <c r="Y303" s="836"/>
      <c r="Z303" s="836" t="str">
        <f t="shared" si="59"/>
        <v/>
      </c>
      <c r="AA303" s="836"/>
      <c r="AI303" s="137" t="str">
        <f t="shared" si="48"/>
        <v/>
      </c>
      <c r="AJ303" s="63" t="str">
        <f>IF(OR(Z303="",Z303&lt;=0.01),"",IF(SUM($E$61:F303)=$I$26+$I$27,1,0))</f>
        <v/>
      </c>
      <c r="AK303" s="63">
        <f t="shared" si="51"/>
        <v>0</v>
      </c>
      <c r="AL303" s="269">
        <f t="shared" si="53"/>
        <v>0</v>
      </c>
      <c r="AN303" s="63" t="str">
        <f t="shared" si="58"/>
        <v/>
      </c>
      <c r="AQ303" s="63">
        <f>IF(SUM($E$61:F302)&gt;=$I$26+$I$27,1,0)</f>
        <v>1</v>
      </c>
      <c r="AR303" s="137" t="str">
        <f t="shared" si="52"/>
        <v/>
      </c>
    </row>
    <row r="304" spans="2:44" ht="21" customHeight="1" x14ac:dyDescent="0.3">
      <c r="B304" s="282" t="str">
        <f t="shared" si="49"/>
        <v/>
      </c>
      <c r="C304" s="282"/>
      <c r="D304" s="267" t="str">
        <f>IF(B304="","",IF(AND($I$10="Remodelación",$I$22="No"),1,IF($I$29&gt;=0.8,1,IF(AN304="Ministración",Simul_ConstruRemo!BM304,1))))</f>
        <v/>
      </c>
      <c r="E304" s="836" t="str">
        <f t="shared" si="56"/>
        <v/>
      </c>
      <c r="F304" s="836"/>
      <c r="G304" s="836" t="str">
        <f t="shared" si="50"/>
        <v/>
      </c>
      <c r="H304" s="836"/>
      <c r="I304" s="836" t="str">
        <f t="shared" si="54"/>
        <v/>
      </c>
      <c r="J304" s="836"/>
      <c r="K304" s="836" t="str">
        <f t="shared" si="55"/>
        <v/>
      </c>
      <c r="L304" s="836"/>
      <c r="M304" s="836" t="str">
        <f t="shared" si="57"/>
        <v/>
      </c>
      <c r="N304" s="836"/>
      <c r="O304" s="836" t="str">
        <f>IFERROR(Z304*Simul_ConstruRemo!$BP$30/1000,"")</f>
        <v/>
      </c>
      <c r="P304" s="836"/>
      <c r="Q304" s="836" t="str">
        <f>IFERROR(IF($I$10="Remodelación",M304*Simul_ConstruRemo!$BS$29,
IF(D304=1,MAX(M304,Z304)*$BS$29,M304*$BQ$29)),"")</f>
        <v/>
      </c>
      <c r="R304" s="836"/>
      <c r="S304" s="268" t="str">
        <f>IF(B304="","",'Tabla_Puntual&amp;Relacionamiento'!$B$57)</f>
        <v/>
      </c>
      <c r="T304" s="837"/>
      <c r="U304" s="837"/>
      <c r="V304" s="735" t="str">
        <f>IF(OR(Z303=0,Z303=""),"",IF(I304&gt;=G304,0,IF(OR($Y$52="NO",$Y$52=""),0,MIN(IF($Y$54="",0,$Y$54),$AV$16*25)*10%)))</f>
        <v/>
      </c>
      <c r="W304" s="735"/>
      <c r="X304" s="836" t="str">
        <f t="shared" si="60"/>
        <v/>
      </c>
      <c r="Y304" s="836"/>
      <c r="Z304" s="836" t="str">
        <f t="shared" si="59"/>
        <v/>
      </c>
      <c r="AA304" s="836"/>
      <c r="AI304" s="137" t="str">
        <f t="shared" si="48"/>
        <v/>
      </c>
      <c r="AJ304" s="63" t="str">
        <f>IF(OR(Z304="",Z304&lt;=0.01),"",IF(SUM($E$61:F304)=$I$26+$I$27,1,0))</f>
        <v/>
      </c>
      <c r="AK304" s="63">
        <f t="shared" si="51"/>
        <v>0</v>
      </c>
      <c r="AL304" s="269">
        <f t="shared" si="53"/>
        <v>0</v>
      </c>
      <c r="AN304" s="63" t="str">
        <f t="shared" si="58"/>
        <v/>
      </c>
      <c r="AQ304" s="63">
        <f>IF(SUM($E$61:F303)&gt;=$I$26+$I$27,1,0)</f>
        <v>1</v>
      </c>
      <c r="AR304" s="137" t="str">
        <f t="shared" si="52"/>
        <v/>
      </c>
    </row>
    <row r="305" spans="2:45" ht="21" customHeight="1" x14ac:dyDescent="0.3">
      <c r="B305" s="282" t="str">
        <f t="shared" si="49"/>
        <v/>
      </c>
      <c r="C305" s="282"/>
      <c r="D305" s="267" t="str">
        <f>IF(B305="","",IF(AND($I$10="Remodelación",$I$22="No"),1,IF($I$29&gt;=0.8,1,IF(AN305="Ministración",Simul_ConstruRemo!BM305,1))))</f>
        <v/>
      </c>
      <c r="E305" s="836" t="str">
        <f t="shared" si="56"/>
        <v/>
      </c>
      <c r="F305" s="836"/>
      <c r="G305" s="836" t="str">
        <f t="shared" si="50"/>
        <v/>
      </c>
      <c r="H305" s="836"/>
      <c r="I305" s="836" t="str">
        <f t="shared" si="54"/>
        <v/>
      </c>
      <c r="J305" s="836"/>
      <c r="K305" s="836" t="str">
        <f t="shared" si="55"/>
        <v/>
      </c>
      <c r="L305" s="836"/>
      <c r="M305" s="836" t="str">
        <f t="shared" si="57"/>
        <v/>
      </c>
      <c r="N305" s="836"/>
      <c r="O305" s="836" t="str">
        <f>IFERROR(Z305*Simul_ConstruRemo!$BP$30/1000,"")</f>
        <v/>
      </c>
      <c r="P305" s="836"/>
      <c r="Q305" s="836" t="str">
        <f>IFERROR(IF($I$10="Remodelación",M305*Simul_ConstruRemo!$BS$29,
IF(D305=1,MAX(M305,Z305)*$BS$29,M305*$BQ$29)),"")</f>
        <v/>
      </c>
      <c r="R305" s="836"/>
      <c r="S305" s="268" t="str">
        <f>IF(B305="","",'Tabla_Puntual&amp;Relacionamiento'!$B$57)</f>
        <v/>
      </c>
      <c r="T305" s="837"/>
      <c r="U305" s="837"/>
      <c r="V305" s="734"/>
      <c r="W305" s="734"/>
      <c r="X305" s="836" t="str">
        <f t="shared" si="60"/>
        <v/>
      </c>
      <c r="Y305" s="836"/>
      <c r="Z305" s="836" t="str">
        <f t="shared" si="59"/>
        <v/>
      </c>
      <c r="AA305" s="836"/>
      <c r="AI305" s="137" t="str">
        <f t="shared" si="48"/>
        <v/>
      </c>
      <c r="AJ305" s="63" t="str">
        <f>IF(OR(Z305="",Z305&lt;=0.01),"",IF(SUM($E$61:F305)=$I$26+$I$27,1,0))</f>
        <v/>
      </c>
      <c r="AK305" s="63">
        <f t="shared" si="51"/>
        <v>0</v>
      </c>
      <c r="AL305" s="269">
        <f t="shared" si="53"/>
        <v>0</v>
      </c>
      <c r="AN305" s="63" t="str">
        <f t="shared" si="58"/>
        <v/>
      </c>
      <c r="AQ305" s="63">
        <f>IF(SUM($E$61:F304)&gt;=$I$26+$I$27,1,0)</f>
        <v>1</v>
      </c>
      <c r="AR305" s="137" t="str">
        <f t="shared" si="52"/>
        <v/>
      </c>
    </row>
    <row r="306" spans="2:45" ht="21" customHeight="1" x14ac:dyDescent="0.3">
      <c r="B306" s="282" t="str">
        <f t="shared" si="49"/>
        <v/>
      </c>
      <c r="C306" s="282"/>
      <c r="D306" s="267" t="str">
        <f>IF(B306="","",IF(AND($I$10="Remodelación",$I$22="No"),1,IF($I$29&gt;=0.8,1,IF(AN306="Ministración",Simul_ConstruRemo!BM306,1))))</f>
        <v/>
      </c>
      <c r="E306" s="836" t="str">
        <f t="shared" si="56"/>
        <v/>
      </c>
      <c r="F306" s="836"/>
      <c r="G306" s="836" t="str">
        <f t="shared" si="50"/>
        <v/>
      </c>
      <c r="H306" s="836"/>
      <c r="I306" s="836" t="str">
        <f t="shared" si="54"/>
        <v/>
      </c>
      <c r="J306" s="836"/>
      <c r="K306" s="836" t="str">
        <f t="shared" si="55"/>
        <v/>
      </c>
      <c r="L306" s="836"/>
      <c r="M306" s="836" t="str">
        <f t="shared" si="57"/>
        <v/>
      </c>
      <c r="N306" s="836"/>
      <c r="O306" s="836" t="str">
        <f>IFERROR(Z306*Simul_ConstruRemo!$BP$30/1000,"")</f>
        <v/>
      </c>
      <c r="P306" s="836"/>
      <c r="Q306" s="836" t="str">
        <f>IFERROR(IF($I$10="Remodelación",M306*Simul_ConstruRemo!$BS$29,
IF(D306=1,MAX(M306,Z306)*$BS$29,M306*$BQ$29)),"")</f>
        <v/>
      </c>
      <c r="R306" s="836"/>
      <c r="S306" s="268" t="str">
        <f>IF(B306="","",'Tabla_Puntual&amp;Relacionamiento'!$B$57)</f>
        <v/>
      </c>
      <c r="T306" s="837"/>
      <c r="U306" s="837"/>
      <c r="V306" s="735" t="str">
        <f>IF(OR(Z305=0,Z305=""),"",IF(I306&gt;=G306,0,IF(OR($Y$52="NO",$Y$52=""),0,MIN(IF($Y$54="",0,$Y$54),$AV$16*25)*10%)))</f>
        <v/>
      </c>
      <c r="W306" s="735"/>
      <c r="X306" s="836" t="str">
        <f t="shared" si="60"/>
        <v/>
      </c>
      <c r="Y306" s="836"/>
      <c r="Z306" s="836" t="str">
        <f t="shared" si="59"/>
        <v/>
      </c>
      <c r="AA306" s="836"/>
      <c r="AI306" s="137" t="str">
        <f t="shared" si="48"/>
        <v/>
      </c>
      <c r="AJ306" s="63" t="str">
        <f>IF(OR(Z306="",Z306&lt;=0.01),"",IF(SUM($E$61:F306)=$I$26+$I$27,1,0))</f>
        <v/>
      </c>
      <c r="AK306" s="63">
        <f t="shared" si="51"/>
        <v>0</v>
      </c>
      <c r="AL306" s="269">
        <f t="shared" si="53"/>
        <v>0</v>
      </c>
      <c r="AN306" s="63" t="str">
        <f t="shared" si="58"/>
        <v/>
      </c>
      <c r="AQ306" s="63">
        <f>IF(SUM($E$61:F305)&gt;=$I$26+$I$27,1,0)</f>
        <v>1</v>
      </c>
      <c r="AR306" s="137" t="str">
        <f t="shared" si="52"/>
        <v/>
      </c>
    </row>
    <row r="307" spans="2:45" ht="21" customHeight="1" x14ac:dyDescent="0.3">
      <c r="B307" s="282" t="str">
        <f t="shared" si="49"/>
        <v/>
      </c>
      <c r="C307" s="282"/>
      <c r="D307" s="267" t="str">
        <f>IF(B307="","",IF(AND($I$10="Remodelación",$I$22="No"),1,IF($I$29&gt;=0.8,1,IF(AN307="Ministración",Simul_ConstruRemo!BM307,1))))</f>
        <v/>
      </c>
      <c r="E307" s="836" t="str">
        <f t="shared" si="56"/>
        <v/>
      </c>
      <c r="F307" s="836"/>
      <c r="G307" s="836" t="str">
        <f t="shared" si="50"/>
        <v/>
      </c>
      <c r="H307" s="836"/>
      <c r="I307" s="836" t="str">
        <f t="shared" si="54"/>
        <v/>
      </c>
      <c r="J307" s="836"/>
      <c r="K307" s="836" t="str">
        <f t="shared" si="55"/>
        <v/>
      </c>
      <c r="L307" s="836"/>
      <c r="M307" s="836" t="str">
        <f t="shared" si="57"/>
        <v/>
      </c>
      <c r="N307" s="836"/>
      <c r="O307" s="836" t="str">
        <f>IFERROR(Z307*Simul_ConstruRemo!$BP$30/1000,"")</f>
        <v/>
      </c>
      <c r="P307" s="836"/>
      <c r="Q307" s="836" t="str">
        <f>IFERROR(IF($I$10="Remodelación",M307*Simul_ConstruRemo!$BS$29,
IF(D307=1,MAX(M307,Z307)*$BS$29,M307*$BQ$29)),"")</f>
        <v/>
      </c>
      <c r="R307" s="836"/>
      <c r="S307" s="268" t="str">
        <f>IF(B307="","",'Tabla_Puntual&amp;Relacionamiento'!$B$57)</f>
        <v/>
      </c>
      <c r="T307" s="837"/>
      <c r="U307" s="837"/>
      <c r="V307" s="734"/>
      <c r="W307" s="734"/>
      <c r="X307" s="836" t="str">
        <f t="shared" si="60"/>
        <v/>
      </c>
      <c r="Y307" s="836"/>
      <c r="Z307" s="836" t="str">
        <f t="shared" si="59"/>
        <v/>
      </c>
      <c r="AA307" s="836"/>
      <c r="AI307" s="137" t="str">
        <f t="shared" si="48"/>
        <v/>
      </c>
      <c r="AJ307" s="63" t="str">
        <f>IF(OR(Z307="",Z307&lt;=0.01),"",IF(SUM($E$61:F307)=$I$26+$I$27,1,0))</f>
        <v/>
      </c>
      <c r="AK307" s="63">
        <f t="shared" si="51"/>
        <v>0</v>
      </c>
      <c r="AL307" s="269">
        <f t="shared" si="53"/>
        <v>0</v>
      </c>
      <c r="AN307" s="63" t="str">
        <f t="shared" si="58"/>
        <v/>
      </c>
      <c r="AQ307" s="63">
        <f>IF(SUM($E$61:F306)&gt;=$I$26+$I$27,1,0)</f>
        <v>1</v>
      </c>
      <c r="AR307" s="137" t="str">
        <f t="shared" si="52"/>
        <v/>
      </c>
    </row>
    <row r="308" spans="2:45" ht="21" customHeight="1" x14ac:dyDescent="0.3">
      <c r="B308" s="282" t="str">
        <f t="shared" si="49"/>
        <v/>
      </c>
      <c r="C308" s="282"/>
      <c r="D308" s="267" t="str">
        <f>IF(B308="","",IF(AND($I$10="Remodelación",$I$22="No"),1,IF($I$29&gt;=0.8,1,IF(AN308="Ministración",Simul_ConstruRemo!BM308,1))))</f>
        <v/>
      </c>
      <c r="E308" s="836" t="str">
        <f t="shared" si="56"/>
        <v/>
      </c>
      <c r="F308" s="836"/>
      <c r="G308" s="836" t="str">
        <f t="shared" si="50"/>
        <v/>
      </c>
      <c r="H308" s="836"/>
      <c r="I308" s="836" t="str">
        <f t="shared" si="54"/>
        <v/>
      </c>
      <c r="J308" s="836"/>
      <c r="K308" s="836" t="str">
        <f t="shared" si="55"/>
        <v/>
      </c>
      <c r="L308" s="836"/>
      <c r="M308" s="836" t="str">
        <f t="shared" si="57"/>
        <v/>
      </c>
      <c r="N308" s="836"/>
      <c r="O308" s="836" t="str">
        <f>IFERROR(Z308*Simul_ConstruRemo!$BP$30/1000,"")</f>
        <v/>
      </c>
      <c r="P308" s="836"/>
      <c r="Q308" s="836" t="str">
        <f>IFERROR(IF($I$10="Remodelación",M308*Simul_ConstruRemo!$BS$29,
IF(D308=1,MAX(M308,Z308)*$BS$29,M308*$BQ$29)),"")</f>
        <v/>
      </c>
      <c r="R308" s="836"/>
      <c r="S308" s="268" t="str">
        <f>IF(B308="","",'Tabla_Puntual&amp;Relacionamiento'!$B$57)</f>
        <v/>
      </c>
      <c r="T308" s="837"/>
      <c r="U308" s="837"/>
      <c r="V308" s="735" t="str">
        <f>IF(OR(Z307=0,Z307=""),"",IF(I308&gt;=G308,0,IF(OR($Y$52="NO",$Y$52=""),0,MIN(IF($Y$54="",0,$Y$54),$AV$16*25)*10%)))</f>
        <v/>
      </c>
      <c r="W308" s="735"/>
      <c r="X308" s="836" t="str">
        <f t="shared" si="60"/>
        <v/>
      </c>
      <c r="Y308" s="836"/>
      <c r="Z308" s="836" t="str">
        <f t="shared" si="59"/>
        <v/>
      </c>
      <c r="AA308" s="836"/>
      <c r="AI308" s="137" t="str">
        <f t="shared" si="48"/>
        <v/>
      </c>
      <c r="AJ308" s="63" t="str">
        <f>IF(OR(Z308="",Z308&lt;=0.01),"",IF(SUM($E$61:F308)=$I$26+$I$27,1,0))</f>
        <v/>
      </c>
      <c r="AK308" s="63">
        <f t="shared" si="51"/>
        <v>0</v>
      </c>
      <c r="AL308" s="269">
        <f t="shared" si="53"/>
        <v>0</v>
      </c>
      <c r="AN308" s="63" t="str">
        <f t="shared" si="58"/>
        <v/>
      </c>
      <c r="AQ308" s="63">
        <f>IF(SUM($E$61:F307)&gt;=$I$26+$I$27,1,0)</f>
        <v>1</v>
      </c>
      <c r="AR308" s="137" t="str">
        <f t="shared" si="52"/>
        <v/>
      </c>
    </row>
    <row r="309" spans="2:45" ht="21" customHeight="1" x14ac:dyDescent="0.3">
      <c r="B309" s="282" t="str">
        <f t="shared" si="49"/>
        <v/>
      </c>
      <c r="C309" s="282"/>
      <c r="D309" s="267" t="str">
        <f>IF(B309="","",IF(AND($I$10="Remodelación",$I$22="No"),1,IF($I$29&gt;=0.8,1,IF(AN309="Ministración",Simul_ConstruRemo!BM309,1))))</f>
        <v/>
      </c>
      <c r="E309" s="836" t="str">
        <f t="shared" si="56"/>
        <v/>
      </c>
      <c r="F309" s="836"/>
      <c r="G309" s="836" t="str">
        <f t="shared" si="50"/>
        <v/>
      </c>
      <c r="H309" s="836"/>
      <c r="I309" s="836" t="str">
        <f t="shared" si="54"/>
        <v/>
      </c>
      <c r="J309" s="836"/>
      <c r="K309" s="836" t="str">
        <f t="shared" si="55"/>
        <v/>
      </c>
      <c r="L309" s="836"/>
      <c r="M309" s="836" t="str">
        <f t="shared" si="57"/>
        <v/>
      </c>
      <c r="N309" s="836"/>
      <c r="O309" s="836" t="str">
        <f>IFERROR(Z309*Simul_ConstruRemo!$BP$30/1000,"")</f>
        <v/>
      </c>
      <c r="P309" s="836"/>
      <c r="Q309" s="836" t="str">
        <f>IFERROR(IF($I$10="Remodelación",M309*Simul_ConstruRemo!$BS$29,
IF(D309=1,MAX(M309,Z309)*$BS$29,M309*$BQ$29)),"")</f>
        <v/>
      </c>
      <c r="R309" s="836"/>
      <c r="S309" s="268" t="str">
        <f>IF(B309="","",'Tabla_Puntual&amp;Relacionamiento'!$B$57)</f>
        <v/>
      </c>
      <c r="T309" s="837"/>
      <c r="U309" s="837"/>
      <c r="V309" s="734"/>
      <c r="W309" s="734"/>
      <c r="X309" s="836" t="str">
        <f t="shared" si="60"/>
        <v/>
      </c>
      <c r="Y309" s="836"/>
      <c r="Z309" s="836" t="str">
        <f t="shared" si="59"/>
        <v/>
      </c>
      <c r="AA309" s="836"/>
      <c r="AI309" s="137" t="str">
        <f t="shared" si="48"/>
        <v/>
      </c>
      <c r="AJ309" s="63" t="str">
        <f>IF(OR(Z309="",Z309&lt;=0.01),"",IF(SUM($E$61:F309)=$I$26+$I$27,1,0))</f>
        <v/>
      </c>
      <c r="AK309" s="63">
        <f t="shared" si="51"/>
        <v>0</v>
      </c>
      <c r="AL309" s="269">
        <f t="shared" si="53"/>
        <v>0</v>
      </c>
      <c r="AN309" s="63" t="str">
        <f t="shared" si="58"/>
        <v/>
      </c>
      <c r="AQ309" s="63">
        <f>IF(SUM($E$61:F308)&gt;=$I$26+$I$27,1,0)</f>
        <v>1</v>
      </c>
      <c r="AR309" s="137" t="str">
        <f t="shared" si="52"/>
        <v/>
      </c>
    </row>
    <row r="310" spans="2:45" ht="21" customHeight="1" x14ac:dyDescent="0.3">
      <c r="B310" s="282" t="str">
        <f t="shared" si="49"/>
        <v/>
      </c>
      <c r="C310" s="282"/>
      <c r="D310" s="267" t="str">
        <f>IF(B310="","",IF(AND($I$10="Remodelación",$I$22="No"),1,IF($I$29&gt;=0.8,1,IF(AN310="Ministración",Simul_ConstruRemo!BM310,1))))</f>
        <v/>
      </c>
      <c r="E310" s="836" t="str">
        <f t="shared" si="56"/>
        <v/>
      </c>
      <c r="F310" s="836"/>
      <c r="G310" s="836" t="str">
        <f t="shared" si="50"/>
        <v/>
      </c>
      <c r="H310" s="836"/>
      <c r="I310" s="836" t="str">
        <f t="shared" si="54"/>
        <v/>
      </c>
      <c r="J310" s="836"/>
      <c r="K310" s="836" t="str">
        <f t="shared" si="55"/>
        <v/>
      </c>
      <c r="L310" s="836"/>
      <c r="M310" s="836" t="str">
        <f t="shared" si="57"/>
        <v/>
      </c>
      <c r="N310" s="836"/>
      <c r="O310" s="836" t="str">
        <f>IFERROR(Z310*Simul_ConstruRemo!$BP$30/1000,"")</f>
        <v/>
      </c>
      <c r="P310" s="836"/>
      <c r="Q310" s="836" t="str">
        <f>IFERROR(IF($I$10="Remodelación",M310*Simul_ConstruRemo!$BS$29,
IF(D310=1,MAX(M310,Z310)*$BS$29,M310*$BQ$29)),"")</f>
        <v/>
      </c>
      <c r="R310" s="836"/>
      <c r="S310" s="268" t="str">
        <f>IF(B310="","",'Tabla_Puntual&amp;Relacionamiento'!$B$57)</f>
        <v/>
      </c>
      <c r="T310" s="837"/>
      <c r="U310" s="837"/>
      <c r="V310" s="735" t="str">
        <f>IF(OR(Z309=0,Z309=""),"",IF(I310&gt;=G310,0,IF(OR($Y$52="NO",$Y$52=""),0,MIN(IF($Y$54="",0,$Y$54),$AV$16*25)*10%)))</f>
        <v/>
      </c>
      <c r="W310" s="735"/>
      <c r="X310" s="836" t="str">
        <f t="shared" si="60"/>
        <v/>
      </c>
      <c r="Y310" s="836"/>
      <c r="Z310" s="836" t="str">
        <f t="shared" si="59"/>
        <v/>
      </c>
      <c r="AA310" s="836"/>
      <c r="AI310" s="137" t="str">
        <f t="shared" si="48"/>
        <v/>
      </c>
      <c r="AJ310" s="63" t="str">
        <f>IF(OR(Z310="",Z310&lt;=0.01),"",IF(SUM($E$61:F310)=$I$26+$I$27,1,0))</f>
        <v/>
      </c>
      <c r="AK310" s="63">
        <f t="shared" si="51"/>
        <v>0</v>
      </c>
      <c r="AL310" s="269">
        <f t="shared" si="53"/>
        <v>0</v>
      </c>
      <c r="AN310" s="63" t="str">
        <f t="shared" si="58"/>
        <v/>
      </c>
      <c r="AQ310" s="63">
        <f>IF(SUM($E$61:F309)&gt;=$I$26+$I$27,1,0)</f>
        <v>1</v>
      </c>
      <c r="AR310" s="137" t="str">
        <f t="shared" si="52"/>
        <v/>
      </c>
    </row>
    <row r="311" spans="2:45" ht="21" customHeight="1" x14ac:dyDescent="0.3">
      <c r="B311" s="282" t="str">
        <f t="shared" si="49"/>
        <v/>
      </c>
      <c r="C311" s="282"/>
      <c r="D311" s="267" t="str">
        <f>IF(B311="","",IF(AND($I$10="Remodelación",$I$22="No"),1,IF($I$29&gt;=0.8,1,IF(AN311="Ministración",Simul_ConstruRemo!BM311,1))))</f>
        <v/>
      </c>
      <c r="E311" s="836" t="str">
        <f t="shared" si="56"/>
        <v/>
      </c>
      <c r="F311" s="836"/>
      <c r="G311" s="836" t="str">
        <f t="shared" si="50"/>
        <v/>
      </c>
      <c r="H311" s="836"/>
      <c r="I311" s="836" t="str">
        <f t="shared" si="54"/>
        <v/>
      </c>
      <c r="J311" s="836"/>
      <c r="K311" s="836" t="str">
        <f t="shared" si="55"/>
        <v/>
      </c>
      <c r="L311" s="836"/>
      <c r="M311" s="836" t="str">
        <f t="shared" si="57"/>
        <v/>
      </c>
      <c r="N311" s="836"/>
      <c r="O311" s="836" t="str">
        <f>IFERROR(Z311*Simul_ConstruRemo!$BP$30/1000,"")</f>
        <v/>
      </c>
      <c r="P311" s="836"/>
      <c r="Q311" s="836" t="str">
        <f>IFERROR(IF($I$10="Remodelación",M311*Simul_ConstruRemo!$BS$29,
IF(D311=1,MAX(M311,Z311)*$BS$29,M311*$BQ$29)),"")</f>
        <v/>
      </c>
      <c r="R311" s="836"/>
      <c r="S311" s="268" t="str">
        <f>IF(B311="","",'Tabla_Puntual&amp;Relacionamiento'!$B$57)</f>
        <v/>
      </c>
      <c r="T311" s="837"/>
      <c r="U311" s="837"/>
      <c r="V311" s="734"/>
      <c r="W311" s="734"/>
      <c r="X311" s="836" t="str">
        <f t="shared" si="60"/>
        <v/>
      </c>
      <c r="Y311" s="836"/>
      <c r="Z311" s="836" t="str">
        <f t="shared" si="59"/>
        <v/>
      </c>
      <c r="AA311" s="836"/>
      <c r="AI311" s="137" t="str">
        <f t="shared" si="48"/>
        <v/>
      </c>
      <c r="AJ311" s="63" t="str">
        <f>IF(OR(Z311="",Z311&lt;=0.01),"",IF(SUM($E$61:F311)=$I$26+$I$27,1,0))</f>
        <v/>
      </c>
      <c r="AK311" s="63">
        <f t="shared" si="51"/>
        <v>0</v>
      </c>
      <c r="AL311" s="269">
        <f t="shared" si="53"/>
        <v>0</v>
      </c>
      <c r="AN311" s="63" t="str">
        <f t="shared" si="58"/>
        <v/>
      </c>
      <c r="AQ311" s="63">
        <f>IF(SUM($E$61:F310)&gt;=$I$26+$I$27,1,0)</f>
        <v>1</v>
      </c>
      <c r="AR311" s="137" t="str">
        <f t="shared" si="52"/>
        <v/>
      </c>
    </row>
    <row r="312" spans="2:45" ht="21" customHeight="1" x14ac:dyDescent="0.3">
      <c r="B312" s="282" t="str">
        <f t="shared" si="49"/>
        <v/>
      </c>
      <c r="C312" s="282"/>
      <c r="D312" s="267" t="str">
        <f>IF(B312="","",IF(AND($I$10="Remodelación",$I$22="No"),1,IF($I$29&gt;=0.8,1,IF(AN312="Ministración",Simul_ConstruRemo!BM312,1))))</f>
        <v/>
      </c>
      <c r="E312" s="836" t="str">
        <f t="shared" si="56"/>
        <v/>
      </c>
      <c r="F312" s="836"/>
      <c r="G312" s="836" t="str">
        <f t="shared" si="50"/>
        <v/>
      </c>
      <c r="H312" s="836"/>
      <c r="I312" s="836" t="str">
        <f t="shared" si="54"/>
        <v/>
      </c>
      <c r="J312" s="836"/>
      <c r="K312" s="836" t="str">
        <f t="shared" si="55"/>
        <v/>
      </c>
      <c r="L312" s="836"/>
      <c r="M312" s="836" t="str">
        <f t="shared" si="57"/>
        <v/>
      </c>
      <c r="N312" s="836"/>
      <c r="O312" s="836" t="str">
        <f>IFERROR(Z312*Simul_ConstruRemo!$BP$30/1000,"")</f>
        <v/>
      </c>
      <c r="P312" s="836"/>
      <c r="Q312" s="836" t="str">
        <f>IFERROR(IF($I$10="Remodelación",M312*Simul_ConstruRemo!$BS$29,
IF(D312=1,MAX(M312,Z312)*$BS$29,M312*$BQ$29)),"")</f>
        <v/>
      </c>
      <c r="R312" s="836"/>
      <c r="S312" s="268" t="str">
        <f>IF(B312="","",'Tabla_Puntual&amp;Relacionamiento'!$B$57)</f>
        <v/>
      </c>
      <c r="T312" s="837"/>
      <c r="U312" s="837"/>
      <c r="V312" s="735" t="str">
        <f>IF(OR(Z311=0,Z311=""),"",IF(I312&gt;=G312,0,IF(OR($Y$52="NO",$Y$52=""),0,MIN(IF($Y$54="",0,$Y$54),$AV$16*25)*10%)))</f>
        <v/>
      </c>
      <c r="W312" s="735"/>
      <c r="X312" s="836" t="str">
        <f t="shared" si="60"/>
        <v/>
      </c>
      <c r="Y312" s="836"/>
      <c r="Z312" s="836" t="str">
        <f t="shared" si="59"/>
        <v/>
      </c>
      <c r="AA312" s="836"/>
      <c r="AI312" s="137" t="str">
        <f t="shared" si="48"/>
        <v/>
      </c>
      <c r="AJ312" s="63" t="str">
        <f>IF(OR(Z312="",Z312&lt;=0.01),"",IF(SUM($E$61:F312)=$I$26+$I$27,1,0))</f>
        <v/>
      </c>
      <c r="AK312" s="63">
        <f t="shared" si="51"/>
        <v>0</v>
      </c>
      <c r="AL312" s="269">
        <f t="shared" si="53"/>
        <v>0</v>
      </c>
      <c r="AN312" s="63" t="str">
        <f t="shared" si="58"/>
        <v/>
      </c>
      <c r="AQ312" s="63">
        <f>IF(SUM($E$61:F311)&gt;=$I$26+$I$27,1,0)</f>
        <v>1</v>
      </c>
      <c r="AR312" s="137" t="str">
        <f t="shared" si="52"/>
        <v/>
      </c>
    </row>
    <row r="313" spans="2:45" ht="21" customHeight="1" x14ac:dyDescent="0.3">
      <c r="B313" s="282" t="str">
        <f t="shared" si="49"/>
        <v/>
      </c>
      <c r="C313" s="282"/>
      <c r="D313" s="267" t="str">
        <f>IF(B313="","",IF(AND($I$10="Remodelación",$I$22="No"),1,IF($I$29&gt;=0.8,1,IF(AN313="Ministración",Simul_ConstruRemo!BM313,1))))</f>
        <v/>
      </c>
      <c r="E313" s="836" t="str">
        <f t="shared" si="56"/>
        <v/>
      </c>
      <c r="F313" s="836"/>
      <c r="G313" s="836" t="str">
        <f t="shared" si="50"/>
        <v/>
      </c>
      <c r="H313" s="836"/>
      <c r="I313" s="836" t="str">
        <f t="shared" si="54"/>
        <v/>
      </c>
      <c r="J313" s="836"/>
      <c r="K313" s="836" t="str">
        <f t="shared" si="55"/>
        <v/>
      </c>
      <c r="L313" s="836"/>
      <c r="M313" s="836" t="str">
        <f t="shared" si="57"/>
        <v/>
      </c>
      <c r="N313" s="836"/>
      <c r="O313" s="836" t="str">
        <f>IFERROR(Z313*Simul_ConstruRemo!$BP$30/1000,"")</f>
        <v/>
      </c>
      <c r="P313" s="836"/>
      <c r="Q313" s="836" t="str">
        <f>IFERROR(IF($I$10="Remodelación",M313*Simul_ConstruRemo!$BS$29,
IF(D313=1,MAX(M313,Z313)*$BS$29,M313*$BQ$29)),"")</f>
        <v/>
      </c>
      <c r="R313" s="836"/>
      <c r="S313" s="268" t="str">
        <f>IF(B313="","",'Tabla_Puntual&amp;Relacionamiento'!$B$58)</f>
        <v/>
      </c>
      <c r="T313" s="837"/>
      <c r="U313" s="837"/>
      <c r="V313" s="734"/>
      <c r="W313" s="734"/>
      <c r="X313" s="836" t="str">
        <f t="shared" si="60"/>
        <v/>
      </c>
      <c r="Y313" s="836"/>
      <c r="Z313" s="836" t="str">
        <f t="shared" si="59"/>
        <v/>
      </c>
      <c r="AA313" s="836"/>
      <c r="AI313" s="137" t="str">
        <f t="shared" si="48"/>
        <v/>
      </c>
      <c r="AJ313" s="63" t="str">
        <f>IF(OR(Z313="",Z313&lt;=0.01),"",IF(SUM($E$61:F313)=$I$26+$I$27,1,0))</f>
        <v/>
      </c>
      <c r="AK313" s="63">
        <f t="shared" si="51"/>
        <v>0</v>
      </c>
      <c r="AL313" s="269">
        <f t="shared" si="53"/>
        <v>0</v>
      </c>
      <c r="AN313" s="63" t="str">
        <f t="shared" si="58"/>
        <v/>
      </c>
      <c r="AQ313" s="63">
        <f>IF(SUM($E$61:F312)&gt;=$I$26+$I$27,1,0)</f>
        <v>1</v>
      </c>
      <c r="AR313" s="137" t="str">
        <f t="shared" si="52"/>
        <v/>
      </c>
    </row>
    <row r="314" spans="2:45" ht="21" customHeight="1" x14ac:dyDescent="0.3">
      <c r="B314" s="282" t="str">
        <f t="shared" si="49"/>
        <v/>
      </c>
      <c r="C314" s="282"/>
      <c r="D314" s="267" t="str">
        <f>IF(B314="","",IF(AND($I$10="Remodelación",$I$22="No"),1,IF($I$29&gt;=0.8,1,IF(AN314="Ministración",Simul_ConstruRemo!BM314,1))))</f>
        <v/>
      </c>
      <c r="E314" s="836" t="str">
        <f t="shared" si="56"/>
        <v/>
      </c>
      <c r="F314" s="836"/>
      <c r="G314" s="836" t="str">
        <f t="shared" si="50"/>
        <v/>
      </c>
      <c r="H314" s="836"/>
      <c r="I314" s="836" t="str">
        <f t="shared" si="54"/>
        <v/>
      </c>
      <c r="J314" s="836"/>
      <c r="K314" s="836" t="str">
        <f t="shared" si="55"/>
        <v/>
      </c>
      <c r="L314" s="836"/>
      <c r="M314" s="836" t="str">
        <f t="shared" si="57"/>
        <v/>
      </c>
      <c r="N314" s="836"/>
      <c r="O314" s="836" t="str">
        <f>IFERROR(Z314*Simul_ConstruRemo!$BP$30/1000,"")</f>
        <v/>
      </c>
      <c r="P314" s="836"/>
      <c r="Q314" s="836" t="str">
        <f>IFERROR(IF($I$10="Remodelación",M314*Simul_ConstruRemo!$BS$29,
IF(D314=1,MAX(M314,Z314)*$BS$29,M314*$BQ$29)),"")</f>
        <v/>
      </c>
      <c r="R314" s="836"/>
      <c r="S314" s="268" t="str">
        <f>IF(B314="","",'Tabla_Puntual&amp;Relacionamiento'!$B$58)</f>
        <v/>
      </c>
      <c r="T314" s="837"/>
      <c r="U314" s="837"/>
      <c r="V314" s="735" t="str">
        <f>IF(OR(Z313=0,Z313=""),"",IF(I314&gt;=G314,0,IF(OR($Y$52="NO",$Y$52=""),0,MIN(IF($Y$54="",0,$Y$54),$AV$16*25)*10%)))</f>
        <v/>
      </c>
      <c r="W314" s="735"/>
      <c r="X314" s="836" t="str">
        <f t="shared" si="60"/>
        <v/>
      </c>
      <c r="Y314" s="836"/>
      <c r="Z314" s="836" t="str">
        <f t="shared" si="59"/>
        <v/>
      </c>
      <c r="AA314" s="836"/>
      <c r="AI314" s="137" t="str">
        <f t="shared" si="48"/>
        <v/>
      </c>
      <c r="AJ314" s="63" t="str">
        <f>IF(OR(Z314="",Z314&lt;=0.01),"",IF(SUM($E$61:F314)=$I$26+$I$27,1,0))</f>
        <v/>
      </c>
      <c r="AK314" s="63">
        <f t="shared" si="51"/>
        <v>0</v>
      </c>
      <c r="AL314" s="269">
        <f t="shared" si="53"/>
        <v>0</v>
      </c>
      <c r="AN314" s="63" t="str">
        <f t="shared" si="58"/>
        <v/>
      </c>
      <c r="AQ314" s="63">
        <f>IF(SUM($E$61:F313)&gt;=$I$26+$I$27,1,0)</f>
        <v>1</v>
      </c>
      <c r="AR314" s="137" t="str">
        <f t="shared" si="52"/>
        <v/>
      </c>
    </row>
    <row r="315" spans="2:45" ht="21" customHeight="1" x14ac:dyDescent="0.3">
      <c r="B315" s="282" t="str">
        <f t="shared" si="49"/>
        <v/>
      </c>
      <c r="C315" s="282"/>
      <c r="D315" s="267" t="str">
        <f>IF(B315="","",IF(AND($I$10="Remodelación",$I$22="No"),1,IF($I$29&gt;=0.8,1,IF(AN315="Ministración",Simul_ConstruRemo!BM315,1))))</f>
        <v/>
      </c>
      <c r="E315" s="836" t="str">
        <f t="shared" si="56"/>
        <v/>
      </c>
      <c r="F315" s="836"/>
      <c r="G315" s="836" t="str">
        <f t="shared" si="50"/>
        <v/>
      </c>
      <c r="H315" s="836"/>
      <c r="I315" s="836" t="str">
        <f t="shared" si="54"/>
        <v/>
      </c>
      <c r="J315" s="836"/>
      <c r="K315" s="836" t="str">
        <f t="shared" si="55"/>
        <v/>
      </c>
      <c r="L315" s="836"/>
      <c r="M315" s="836" t="str">
        <f t="shared" si="57"/>
        <v/>
      </c>
      <c r="N315" s="836"/>
      <c r="O315" s="836" t="str">
        <f>IFERROR(Z315*Simul_ConstruRemo!$BP$30/1000,"")</f>
        <v/>
      </c>
      <c r="P315" s="836"/>
      <c r="Q315" s="836" t="str">
        <f>IFERROR(IF($I$10="Remodelación",M315*Simul_ConstruRemo!$BS$29,
IF(D315=1,MAX(M315,Z315)*$BS$29,M315*$BQ$29)),"")</f>
        <v/>
      </c>
      <c r="R315" s="836"/>
      <c r="S315" s="268" t="str">
        <f>IF(B315="","",'Tabla_Puntual&amp;Relacionamiento'!$B$58)</f>
        <v/>
      </c>
      <c r="T315" s="837"/>
      <c r="U315" s="837"/>
      <c r="V315" s="734"/>
      <c r="W315" s="734"/>
      <c r="X315" s="836" t="str">
        <f t="shared" si="60"/>
        <v/>
      </c>
      <c r="Y315" s="836"/>
      <c r="Z315" s="836" t="str">
        <f t="shared" si="59"/>
        <v/>
      </c>
      <c r="AA315" s="836"/>
      <c r="AI315" s="137" t="str">
        <f t="shared" si="48"/>
        <v/>
      </c>
      <c r="AJ315" s="63" t="str">
        <f>IF(OR(Z315="",Z315&lt;=0.01),"",IF(SUM($E$61:F315)=$I$26+$I$27,1,0))</f>
        <v/>
      </c>
      <c r="AK315" s="63">
        <f t="shared" si="51"/>
        <v>0</v>
      </c>
      <c r="AL315" s="269">
        <f t="shared" si="53"/>
        <v>0</v>
      </c>
      <c r="AN315" s="63" t="str">
        <f t="shared" si="58"/>
        <v/>
      </c>
      <c r="AQ315" s="63">
        <f>IF(SUM($E$61:F314)&gt;=$I$26+$I$27,1,0)</f>
        <v>1</v>
      </c>
      <c r="AR315" s="137" t="str">
        <f t="shared" si="52"/>
        <v/>
      </c>
    </row>
    <row r="316" spans="2:45" ht="21" customHeight="1" x14ac:dyDescent="0.3">
      <c r="B316" s="282" t="str">
        <f t="shared" si="49"/>
        <v/>
      </c>
      <c r="C316" s="282"/>
      <c r="D316" s="267" t="str">
        <f>IF(B316="","",IF(AND($I$10="Remodelación",$I$22="No"),1,IF($I$29&gt;=0.8,1,IF(AN316="Ministración",Simul_ConstruRemo!BM316,1))))</f>
        <v/>
      </c>
      <c r="E316" s="836" t="str">
        <f t="shared" si="56"/>
        <v/>
      </c>
      <c r="F316" s="836"/>
      <c r="G316" s="836" t="str">
        <f t="shared" si="50"/>
        <v/>
      </c>
      <c r="H316" s="836"/>
      <c r="I316" s="836" t="str">
        <f t="shared" si="54"/>
        <v/>
      </c>
      <c r="J316" s="836"/>
      <c r="K316" s="836" t="str">
        <f t="shared" si="55"/>
        <v/>
      </c>
      <c r="L316" s="836"/>
      <c r="M316" s="836" t="str">
        <f t="shared" si="57"/>
        <v/>
      </c>
      <c r="N316" s="836"/>
      <c r="O316" s="836" t="str">
        <f>IFERROR(Z316*Simul_ConstruRemo!$BP$30/1000,"")</f>
        <v/>
      </c>
      <c r="P316" s="836"/>
      <c r="Q316" s="836" t="str">
        <f>IFERROR(IF($I$10="Remodelación",M316*Simul_ConstruRemo!$BS$29,
IF(D316=1,MAX(M316,Z316)*$BS$29,M316*$BQ$29)),"")</f>
        <v/>
      </c>
      <c r="R316" s="836"/>
      <c r="S316" s="268" t="str">
        <f>IF(B316="","",'Tabla_Puntual&amp;Relacionamiento'!$B$58)</f>
        <v/>
      </c>
      <c r="T316" s="837"/>
      <c r="U316" s="837"/>
      <c r="V316" s="735" t="str">
        <f>IF(OR(Z315=0,Z315=""),"",IF(I316&gt;=G316,0,IF(OR($Y$52="NO",$Y$52=""),0,MIN(IF($Y$54="",0,$Y$54),$AV$16*25)*10%)))</f>
        <v/>
      </c>
      <c r="W316" s="735"/>
      <c r="X316" s="836" t="str">
        <f t="shared" si="60"/>
        <v/>
      </c>
      <c r="Y316" s="836"/>
      <c r="Z316" s="836" t="str">
        <f t="shared" si="59"/>
        <v/>
      </c>
      <c r="AA316" s="836"/>
      <c r="AI316" s="137" t="str">
        <f t="shared" si="48"/>
        <v/>
      </c>
      <c r="AJ316" s="63" t="str">
        <f>IF(OR(Z316="",Z316&lt;=0.01),"",IF(SUM($E$61:F316)=$I$26+$I$27,1,0))</f>
        <v/>
      </c>
      <c r="AK316" s="63">
        <f t="shared" si="51"/>
        <v>0</v>
      </c>
      <c r="AL316" s="269">
        <f t="shared" si="53"/>
        <v>0</v>
      </c>
      <c r="AN316" s="63" t="str">
        <f t="shared" si="58"/>
        <v/>
      </c>
      <c r="AQ316" s="63">
        <f>IF(SUM($E$61:F315)&gt;=$I$26+$I$27,1,0)</f>
        <v>1</v>
      </c>
      <c r="AR316" s="137" t="str">
        <f t="shared" si="52"/>
        <v/>
      </c>
    </row>
    <row r="317" spans="2:45" ht="21" customHeight="1" x14ac:dyDescent="0.3">
      <c r="B317" s="282" t="str">
        <f t="shared" si="49"/>
        <v/>
      </c>
      <c r="C317" s="282"/>
      <c r="D317" s="267" t="str">
        <f>IF(B317="","",IF(AND($I$10="Remodelación",$I$22="No"),1,IF($I$29&gt;=0.8,1,IF(AN317="Ministración",Simul_ConstruRemo!BM317,1))))</f>
        <v/>
      </c>
      <c r="E317" s="836" t="str">
        <f t="shared" si="56"/>
        <v/>
      </c>
      <c r="F317" s="836"/>
      <c r="G317" s="836" t="str">
        <f t="shared" si="50"/>
        <v/>
      </c>
      <c r="H317" s="836"/>
      <c r="I317" s="836" t="str">
        <f t="shared" si="54"/>
        <v/>
      </c>
      <c r="J317" s="836"/>
      <c r="K317" s="836" t="str">
        <f t="shared" si="55"/>
        <v/>
      </c>
      <c r="L317" s="836"/>
      <c r="M317" s="836" t="str">
        <f t="shared" si="57"/>
        <v/>
      </c>
      <c r="N317" s="836"/>
      <c r="O317" s="836" t="str">
        <f>IFERROR(Z317*Simul_ConstruRemo!$BP$30/1000,"")</f>
        <v/>
      </c>
      <c r="P317" s="836"/>
      <c r="Q317" s="836" t="str">
        <f>IFERROR(IF($I$10="Remodelación",M317*Simul_ConstruRemo!$BS$29,
IF(D317=1,MAX(M317,Z317)*$BS$29,M317*$BQ$29)),"")</f>
        <v/>
      </c>
      <c r="R317" s="836"/>
      <c r="S317" s="268" t="str">
        <f>IF(B317="","",'Tabla_Puntual&amp;Relacionamiento'!$B$58)</f>
        <v/>
      </c>
      <c r="T317" s="837"/>
      <c r="U317" s="837"/>
      <c r="V317" s="734"/>
      <c r="W317" s="734"/>
      <c r="X317" s="836" t="str">
        <f t="shared" si="60"/>
        <v/>
      </c>
      <c r="Y317" s="836"/>
      <c r="Z317" s="836" t="str">
        <f t="shared" si="59"/>
        <v/>
      </c>
      <c r="AA317" s="836"/>
      <c r="AI317" s="137" t="str">
        <f t="shared" si="48"/>
        <v/>
      </c>
      <c r="AJ317" s="63" t="str">
        <f>IF(OR(Z317="",Z317&lt;=0.01),"",IF(SUM($E$61:F317)=$I$26+$I$27,1,0))</f>
        <v/>
      </c>
      <c r="AK317" s="63">
        <f t="shared" si="51"/>
        <v>0</v>
      </c>
      <c r="AL317" s="269">
        <f>IF(AK317&gt;0,AK317-1,AK317)</f>
        <v>0</v>
      </c>
      <c r="AN317" s="63" t="str">
        <f t="shared" si="58"/>
        <v/>
      </c>
      <c r="AQ317" s="63">
        <f>IF(SUM($E$61:F316)&gt;=$I$26+$I$27,1,0)</f>
        <v>1</v>
      </c>
      <c r="AR317" s="137" t="str">
        <f t="shared" si="52"/>
        <v/>
      </c>
    </row>
    <row r="318" spans="2:45" ht="21" customHeight="1" x14ac:dyDescent="0.3">
      <c r="B318" s="282" t="str">
        <f t="shared" si="49"/>
        <v/>
      </c>
      <c r="C318" s="282"/>
      <c r="D318" s="267" t="str">
        <f>IF(B318="","",IF(AND($I$10="Remodelación",$I$22="No"),1,IF($I$29&gt;=0.8,1,IF(AN318="Ministración",Simul_ConstruRemo!BM318,1))))</f>
        <v/>
      </c>
      <c r="E318" s="836" t="str">
        <f t="shared" si="56"/>
        <v/>
      </c>
      <c r="F318" s="836"/>
      <c r="G318" s="836" t="str">
        <f t="shared" si="50"/>
        <v/>
      </c>
      <c r="H318" s="836"/>
      <c r="I318" s="836" t="str">
        <f t="shared" si="54"/>
        <v/>
      </c>
      <c r="J318" s="836"/>
      <c r="K318" s="836" t="str">
        <f t="shared" si="55"/>
        <v/>
      </c>
      <c r="L318" s="836"/>
      <c r="M318" s="836" t="str">
        <f t="shared" si="57"/>
        <v/>
      </c>
      <c r="N318" s="836"/>
      <c r="O318" s="836" t="str">
        <f>IFERROR(Z318*Simul_ConstruRemo!$BP$30/1000,"")</f>
        <v/>
      </c>
      <c r="P318" s="836"/>
      <c r="Q318" s="836" t="str">
        <f>IFERROR(IF($I$10="Remodelación",M318*Simul_ConstruRemo!$BS$29,
IF(D318=1,MAX(M318,Z318)*$BS$29,M318*$BQ$29)),"")</f>
        <v/>
      </c>
      <c r="R318" s="836"/>
      <c r="S318" s="268" t="str">
        <f>IF(B318="","",'Tabla_Puntual&amp;Relacionamiento'!$B$58)</f>
        <v/>
      </c>
      <c r="T318" s="837"/>
      <c r="U318" s="837"/>
      <c r="V318" s="735" t="str">
        <f>IF(OR(Z317=0,Z317=""),"",IF(I318&gt;=G318,0,IF(OR($Y$52="NO",$Y$52=""),0,MIN(IF($Y$54="",0,$Y$54),$AV$16*25)*10%)))</f>
        <v/>
      </c>
      <c r="W318" s="735"/>
      <c r="X318" s="836" t="str">
        <f t="shared" si="60"/>
        <v/>
      </c>
      <c r="Y318" s="836"/>
      <c r="Z318" s="836" t="str">
        <f t="shared" si="59"/>
        <v/>
      </c>
      <c r="AA318" s="836"/>
      <c r="AI318" s="137" t="str">
        <f t="shared" si="48"/>
        <v/>
      </c>
      <c r="AJ318" s="63" t="str">
        <f>IF(OR(Z318="",Z318&lt;=0.01),"",IF(SUM($E$61:F318)=$I$26+$I$27,1,0))</f>
        <v/>
      </c>
      <c r="AK318" s="63">
        <f t="shared" si="51"/>
        <v>0</v>
      </c>
      <c r="AL318" s="269">
        <f>IF(AK318&gt;0,AK318-1,AK318)</f>
        <v>0</v>
      </c>
      <c r="AN318" s="63" t="str">
        <f t="shared" si="58"/>
        <v/>
      </c>
      <c r="AQ318" s="63">
        <f>IF(SUM($E$61:F317)&gt;=$I$26+$I$27,1,0)</f>
        <v>1</v>
      </c>
      <c r="AR318" s="137" t="str">
        <f t="shared" si="52"/>
        <v/>
      </c>
    </row>
    <row r="319" spans="2:45" ht="21" customHeight="1" thickBot="1" x14ac:dyDescent="0.35"/>
    <row r="320" spans="2:45" ht="21" customHeight="1" thickBot="1" x14ac:dyDescent="0.35">
      <c r="B320" s="432" t="s">
        <v>346</v>
      </c>
      <c r="C320" s="433"/>
      <c r="D320" s="433"/>
      <c r="E320" s="842">
        <f>SUM(E61:F318)</f>
        <v>1500000</v>
      </c>
      <c r="F320" s="842"/>
      <c r="G320" s="842">
        <f>SUM(G61:H318)</f>
        <v>124429539.22395514</v>
      </c>
      <c r="H320" s="842"/>
      <c r="I320" s="842">
        <f>SUM(I61:J318)</f>
        <v>965066.99999999837</v>
      </c>
      <c r="J320" s="842"/>
      <c r="K320" s="842">
        <f>SUM(K61:L318)</f>
        <v>972128.30488283688</v>
      </c>
      <c r="L320" s="842"/>
      <c r="M320" s="842">
        <f>SUM(M61:N318)</f>
        <v>352892343</v>
      </c>
      <c r="N320" s="842"/>
      <c r="O320" s="842">
        <f>SUM(O61:P318)</f>
        <v>54418.997258540272</v>
      </c>
      <c r="P320" s="842"/>
      <c r="Q320" s="842">
        <f>SUM(Q61:R318)</f>
        <v>115516.46188565071</v>
      </c>
      <c r="R320" s="842"/>
      <c r="S320" s="434"/>
      <c r="T320" s="736"/>
      <c r="U320" s="736"/>
      <c r="V320" s="736"/>
      <c r="W320" s="736"/>
      <c r="X320" s="840">
        <f>SUM(X61:Y318)</f>
        <v>2107130.7640270265</v>
      </c>
      <c r="Y320" s="840"/>
      <c r="AR320" s="841">
        <f>SUM(AR61:AS318)</f>
        <v>1945370.75</v>
      </c>
      <c r="AS320" s="841"/>
    </row>
    <row r="322" spans="1:63" x14ac:dyDescent="0.3">
      <c r="A322" s="91"/>
      <c r="C322" s="308"/>
      <c r="D322" s="273" t="s">
        <v>334</v>
      </c>
      <c r="E322" s="308"/>
    </row>
    <row r="323" spans="1:63" x14ac:dyDescent="0.3">
      <c r="A323" s="91"/>
      <c r="C323" s="308"/>
      <c r="D323" s="273" t="s">
        <v>335</v>
      </c>
      <c r="E323" s="318"/>
      <c r="F323" s="318"/>
      <c r="G323" s="318"/>
      <c r="H323" s="318"/>
      <c r="I323" s="318"/>
      <c r="J323" s="318"/>
      <c r="K323" s="318"/>
      <c r="L323" s="318"/>
      <c r="M323" s="318"/>
      <c r="N323" s="318"/>
      <c r="O323" s="318"/>
      <c r="P323" s="318"/>
      <c r="Q323" s="318"/>
      <c r="R323" s="318"/>
      <c r="V323" s="318"/>
      <c r="W323" s="318"/>
      <c r="X323" s="318"/>
      <c r="Y323" s="318"/>
      <c r="Z323" s="274"/>
      <c r="AA323" s="274"/>
      <c r="AB323" s="274"/>
      <c r="AC323" s="274"/>
      <c r="AD323" s="274"/>
      <c r="AE323" s="274"/>
      <c r="AF323" s="274"/>
      <c r="AG323" s="274"/>
      <c r="AH323" s="274"/>
      <c r="AI323" s="274"/>
      <c r="AJ323" s="274"/>
      <c r="AK323" s="274"/>
      <c r="AL323" s="274"/>
      <c r="AM323" s="274"/>
      <c r="AN323" s="274"/>
      <c r="AO323" s="274"/>
      <c r="AP323" s="274"/>
      <c r="AQ323" s="274"/>
      <c r="AR323" s="274"/>
      <c r="AS323" s="274"/>
      <c r="AT323" s="274"/>
      <c r="AU323" s="274"/>
      <c r="AV323" s="274"/>
      <c r="AW323" s="274"/>
      <c r="AX323" s="274"/>
      <c r="AY323" s="274"/>
      <c r="AZ323" s="274"/>
      <c r="BA323" s="274"/>
      <c r="BB323" s="274"/>
      <c r="BC323" s="274"/>
      <c r="BD323" s="274"/>
      <c r="BE323" s="274"/>
      <c r="BF323" s="274"/>
      <c r="BG323" s="274"/>
      <c r="BH323" s="274"/>
      <c r="BI323" s="274"/>
      <c r="BJ323" s="274"/>
      <c r="BK323" s="274"/>
    </row>
    <row r="324" spans="1:63" x14ac:dyDescent="0.3">
      <c r="A324" s="91"/>
      <c r="C324" s="308"/>
      <c r="D324" s="273" t="s">
        <v>336</v>
      </c>
      <c r="E324" s="308"/>
      <c r="Z324" s="274"/>
      <c r="AA324" s="274"/>
      <c r="AB324" s="274"/>
      <c r="AC324" s="274"/>
      <c r="AD324" s="274"/>
      <c r="AE324" s="274"/>
      <c r="AF324" s="274"/>
      <c r="AG324" s="274"/>
      <c r="AH324" s="274"/>
      <c r="AI324" s="274"/>
      <c r="AJ324" s="274"/>
      <c r="AK324" s="274"/>
      <c r="AL324" s="274"/>
      <c r="AM324" s="274"/>
      <c r="AN324" s="274"/>
      <c r="AO324" s="274"/>
      <c r="AP324" s="274"/>
      <c r="AQ324" s="274"/>
      <c r="AR324" s="274"/>
      <c r="AS324" s="274"/>
      <c r="AT324" s="274"/>
      <c r="AU324" s="274"/>
      <c r="AV324" s="274"/>
      <c r="AW324" s="274"/>
      <c r="AX324" s="274"/>
      <c r="AY324" s="274"/>
      <c r="AZ324" s="274"/>
      <c r="BA324" s="274"/>
      <c r="BB324" s="274"/>
      <c r="BC324" s="274"/>
      <c r="BD324" s="274"/>
      <c r="BE324" s="274"/>
      <c r="BF324" s="274"/>
      <c r="BG324" s="274"/>
      <c r="BH324" s="274"/>
      <c r="BI324" s="274"/>
      <c r="BJ324" s="274"/>
      <c r="BK324" s="274"/>
    </row>
    <row r="325" spans="1:63" x14ac:dyDescent="0.3">
      <c r="D325" s="273" t="s">
        <v>223</v>
      </c>
      <c r="Z325" s="274"/>
      <c r="AA325" s="274"/>
      <c r="AB325" s="274"/>
      <c r="AC325" s="274"/>
      <c r="AD325" s="274"/>
      <c r="AE325" s="274"/>
      <c r="AF325" s="274"/>
      <c r="AG325" s="274"/>
      <c r="AH325" s="274"/>
      <c r="AI325" s="274"/>
      <c r="AJ325" s="274"/>
      <c r="AK325" s="274"/>
      <c r="AL325" s="274"/>
      <c r="AM325" s="274"/>
      <c r="AN325" s="274"/>
      <c r="AO325" s="274"/>
      <c r="AP325" s="274"/>
      <c r="AQ325" s="274"/>
      <c r="AR325" s="274"/>
      <c r="AS325" s="274"/>
      <c r="AT325" s="274"/>
      <c r="AU325" s="274"/>
      <c r="AV325" s="274"/>
      <c r="AW325" s="274"/>
      <c r="AX325" s="274"/>
      <c r="AY325" s="274"/>
      <c r="AZ325" s="274"/>
      <c r="BA325" s="274"/>
      <c r="BB325" s="274"/>
      <c r="BC325" s="274"/>
      <c r="BD325" s="274"/>
      <c r="BE325" s="274"/>
      <c r="BF325" s="274"/>
      <c r="BG325" s="274"/>
      <c r="BH325" s="274"/>
      <c r="BI325" s="274"/>
      <c r="BJ325" s="274"/>
      <c r="BK325" s="274"/>
    </row>
    <row r="326" spans="1:63" x14ac:dyDescent="0.3">
      <c r="D326" s="273" t="s">
        <v>225</v>
      </c>
    </row>
    <row r="327" spans="1:63" x14ac:dyDescent="0.3">
      <c r="D327" s="273" t="s">
        <v>226</v>
      </c>
    </row>
    <row r="328" spans="1:63" x14ac:dyDescent="0.3">
      <c r="D328" s="273" t="s">
        <v>227</v>
      </c>
    </row>
    <row r="329" spans="1:63" x14ac:dyDescent="0.3">
      <c r="D329" s="273" t="s">
        <v>355</v>
      </c>
    </row>
  </sheetData>
  <sheetProtection algorithmName="SHA-512" hashValue="qLK4GweMoYJxStpZLVDFfM0Z/aADLeaskfcIteYxgeUGrBnue0GNRxpjkApYx6ERcRBHJmRe1CwLahOsWZ9FLw==" saltValue="xq+WyLQxcUdGybd5h9WgyQ==" spinCount="100000" sheet="1" formatCells="0"/>
  <mergeCells count="3011">
    <mergeCell ref="I52:J52"/>
    <mergeCell ref="Y52:Z52"/>
    <mergeCell ref="T320:U320"/>
    <mergeCell ref="X320:Y320"/>
    <mergeCell ref="AR320:AS320"/>
    <mergeCell ref="I317:J317"/>
    <mergeCell ref="I318:J318"/>
    <mergeCell ref="E320:F320"/>
    <mergeCell ref="G320:H320"/>
    <mergeCell ref="I320:J320"/>
    <mergeCell ref="K320:L320"/>
    <mergeCell ref="M320:N320"/>
    <mergeCell ref="O320:P320"/>
    <mergeCell ref="Q320:R320"/>
    <mergeCell ref="I308:J308"/>
    <mergeCell ref="I309:J309"/>
    <mergeCell ref="I310:J310"/>
    <mergeCell ref="I311:J311"/>
    <mergeCell ref="I312:J312"/>
    <mergeCell ref="I313:J313"/>
    <mergeCell ref="I314:J314"/>
    <mergeCell ref="I315:J315"/>
    <mergeCell ref="I316:J316"/>
    <mergeCell ref="X315:Y315"/>
    <mergeCell ref="X316:Y316"/>
    <mergeCell ref="X317:Y317"/>
    <mergeCell ref="X318:Y318"/>
    <mergeCell ref="T314:U314"/>
    <mergeCell ref="T315:U315"/>
    <mergeCell ref="T316:U316"/>
    <mergeCell ref="T317:U317"/>
    <mergeCell ref="T318:U318"/>
    <mergeCell ref="Q310:R310"/>
    <mergeCell ref="Q311:R311"/>
    <mergeCell ref="Q312:R312"/>
    <mergeCell ref="Q313:R313"/>
    <mergeCell ref="Q314:R314"/>
    <mergeCell ref="Q315:R315"/>
    <mergeCell ref="Q316:R316"/>
    <mergeCell ref="Q317:R317"/>
    <mergeCell ref="Q318:R318"/>
    <mergeCell ref="Q301:R301"/>
    <mergeCell ref="Q302:R302"/>
    <mergeCell ref="Q303:R303"/>
    <mergeCell ref="Q304:R304"/>
    <mergeCell ref="Q305:R305"/>
    <mergeCell ref="O318:P318"/>
    <mergeCell ref="M308:N308"/>
    <mergeCell ref="M309:N309"/>
    <mergeCell ref="M310:N310"/>
    <mergeCell ref="M311:N311"/>
    <mergeCell ref="M312:N312"/>
    <mergeCell ref="M313:N313"/>
    <mergeCell ref="M314:N314"/>
    <mergeCell ref="M315:N315"/>
    <mergeCell ref="M316:N316"/>
    <mergeCell ref="M317:N317"/>
    <mergeCell ref="M318:N318"/>
    <mergeCell ref="M303:N303"/>
    <mergeCell ref="M304:N304"/>
    <mergeCell ref="M305:N305"/>
    <mergeCell ref="M306:N306"/>
    <mergeCell ref="M307:N307"/>
    <mergeCell ref="O309:P309"/>
    <mergeCell ref="O282:P282"/>
    <mergeCell ref="O283:P283"/>
    <mergeCell ref="O284:P284"/>
    <mergeCell ref="O285:P285"/>
    <mergeCell ref="O286:P286"/>
    <mergeCell ref="O287:P287"/>
    <mergeCell ref="O288:P288"/>
    <mergeCell ref="I299:J299"/>
    <mergeCell ref="I300:J300"/>
    <mergeCell ref="I301:J301"/>
    <mergeCell ref="I302:J302"/>
    <mergeCell ref="I303:J303"/>
    <mergeCell ref="I304:J304"/>
    <mergeCell ref="I305:J305"/>
    <mergeCell ref="I306:J306"/>
    <mergeCell ref="I307:J307"/>
    <mergeCell ref="I290:J290"/>
    <mergeCell ref="I291:J291"/>
    <mergeCell ref="I292:J292"/>
    <mergeCell ref="I293:J293"/>
    <mergeCell ref="I294:J294"/>
    <mergeCell ref="I295:J295"/>
    <mergeCell ref="I296:J296"/>
    <mergeCell ref="I297:J297"/>
    <mergeCell ref="I298:J298"/>
    <mergeCell ref="O289:P289"/>
    <mergeCell ref="O290:P290"/>
    <mergeCell ref="M299:N299"/>
    <mergeCell ref="M300:N300"/>
    <mergeCell ref="M301:N301"/>
    <mergeCell ref="M302:N302"/>
    <mergeCell ref="M294:N294"/>
    <mergeCell ref="I281:J281"/>
    <mergeCell ref="I282:J282"/>
    <mergeCell ref="I283:J283"/>
    <mergeCell ref="I284:J284"/>
    <mergeCell ref="I285:J285"/>
    <mergeCell ref="I286:J286"/>
    <mergeCell ref="I287:J287"/>
    <mergeCell ref="I288:J288"/>
    <mergeCell ref="I289:J289"/>
    <mergeCell ref="I272:J272"/>
    <mergeCell ref="I273:J273"/>
    <mergeCell ref="I274:J274"/>
    <mergeCell ref="I275:J275"/>
    <mergeCell ref="I276:J276"/>
    <mergeCell ref="I277:J277"/>
    <mergeCell ref="I278:J278"/>
    <mergeCell ref="I279:J279"/>
    <mergeCell ref="I280:J280"/>
    <mergeCell ref="K284:L284"/>
    <mergeCell ref="K285:L285"/>
    <mergeCell ref="K286:L286"/>
    <mergeCell ref="K287:L287"/>
    <mergeCell ref="K288:L288"/>
    <mergeCell ref="I263:J263"/>
    <mergeCell ref="I264:J264"/>
    <mergeCell ref="I265:J265"/>
    <mergeCell ref="I266:J266"/>
    <mergeCell ref="I267:J267"/>
    <mergeCell ref="I268:J268"/>
    <mergeCell ref="I269:J269"/>
    <mergeCell ref="I270:J270"/>
    <mergeCell ref="I271:J271"/>
    <mergeCell ref="I254:J254"/>
    <mergeCell ref="I255:J255"/>
    <mergeCell ref="I256:J256"/>
    <mergeCell ref="I257:J257"/>
    <mergeCell ref="I258:J258"/>
    <mergeCell ref="I259:J259"/>
    <mergeCell ref="I260:J260"/>
    <mergeCell ref="I261:J261"/>
    <mergeCell ref="I262:J262"/>
    <mergeCell ref="K271:L271"/>
    <mergeCell ref="K272:L272"/>
    <mergeCell ref="K273:L273"/>
    <mergeCell ref="K274:L274"/>
    <mergeCell ref="K275:L275"/>
    <mergeCell ref="K276:L276"/>
    <mergeCell ref="K277:L277"/>
    <mergeCell ref="K278:L278"/>
    <mergeCell ref="K279:L279"/>
    <mergeCell ref="I245:J245"/>
    <mergeCell ref="I246:J246"/>
    <mergeCell ref="I247:J247"/>
    <mergeCell ref="I248:J248"/>
    <mergeCell ref="I249:J249"/>
    <mergeCell ref="I250:J250"/>
    <mergeCell ref="I251:J251"/>
    <mergeCell ref="I252:J252"/>
    <mergeCell ref="I253:J253"/>
    <mergeCell ref="I236:J236"/>
    <mergeCell ref="I237:J237"/>
    <mergeCell ref="I238:J238"/>
    <mergeCell ref="I239:J239"/>
    <mergeCell ref="I240:J240"/>
    <mergeCell ref="I241:J241"/>
    <mergeCell ref="I242:J242"/>
    <mergeCell ref="I243:J243"/>
    <mergeCell ref="I244:J244"/>
    <mergeCell ref="I227:J227"/>
    <mergeCell ref="I228:J228"/>
    <mergeCell ref="I229:J229"/>
    <mergeCell ref="I230:J230"/>
    <mergeCell ref="I231:J231"/>
    <mergeCell ref="I232:J232"/>
    <mergeCell ref="I233:J233"/>
    <mergeCell ref="I234:J234"/>
    <mergeCell ref="I235:J235"/>
    <mergeCell ref="I218:J218"/>
    <mergeCell ref="I219:J219"/>
    <mergeCell ref="I220:J220"/>
    <mergeCell ref="I221:J221"/>
    <mergeCell ref="I222:J222"/>
    <mergeCell ref="I223:J223"/>
    <mergeCell ref="I224:J224"/>
    <mergeCell ref="I225:J225"/>
    <mergeCell ref="I226:J226"/>
    <mergeCell ref="I209:J209"/>
    <mergeCell ref="I210:J210"/>
    <mergeCell ref="I211:J211"/>
    <mergeCell ref="I212:J212"/>
    <mergeCell ref="I213:J213"/>
    <mergeCell ref="I214:J214"/>
    <mergeCell ref="I215:J215"/>
    <mergeCell ref="I216:J216"/>
    <mergeCell ref="I217:J217"/>
    <mergeCell ref="I200:J200"/>
    <mergeCell ref="I201:J201"/>
    <mergeCell ref="I202:J202"/>
    <mergeCell ref="I203:J203"/>
    <mergeCell ref="I204:J204"/>
    <mergeCell ref="I205:J205"/>
    <mergeCell ref="I206:J206"/>
    <mergeCell ref="I207:J207"/>
    <mergeCell ref="I208:J208"/>
    <mergeCell ref="I191:J191"/>
    <mergeCell ref="I192:J192"/>
    <mergeCell ref="I193:J193"/>
    <mergeCell ref="I194:J194"/>
    <mergeCell ref="I195:J195"/>
    <mergeCell ref="I196:J196"/>
    <mergeCell ref="I197:J197"/>
    <mergeCell ref="I198:J198"/>
    <mergeCell ref="I199:J199"/>
    <mergeCell ref="I182:J182"/>
    <mergeCell ref="I183:J183"/>
    <mergeCell ref="I184:J184"/>
    <mergeCell ref="I185:J185"/>
    <mergeCell ref="I186:J186"/>
    <mergeCell ref="I187:J187"/>
    <mergeCell ref="I188:J188"/>
    <mergeCell ref="I189:J189"/>
    <mergeCell ref="I190:J190"/>
    <mergeCell ref="I173:J173"/>
    <mergeCell ref="I174:J174"/>
    <mergeCell ref="I175:J175"/>
    <mergeCell ref="I176:J176"/>
    <mergeCell ref="I177:J177"/>
    <mergeCell ref="I178:J178"/>
    <mergeCell ref="I179:J179"/>
    <mergeCell ref="I180:J180"/>
    <mergeCell ref="I181:J181"/>
    <mergeCell ref="I164:J164"/>
    <mergeCell ref="I165:J165"/>
    <mergeCell ref="I166:J166"/>
    <mergeCell ref="I167:J167"/>
    <mergeCell ref="I168:J168"/>
    <mergeCell ref="I169:J169"/>
    <mergeCell ref="I170:J170"/>
    <mergeCell ref="I171:J171"/>
    <mergeCell ref="I172:J172"/>
    <mergeCell ref="I155:J155"/>
    <mergeCell ref="I156:J156"/>
    <mergeCell ref="I157:J157"/>
    <mergeCell ref="I158:J158"/>
    <mergeCell ref="I159:J159"/>
    <mergeCell ref="I160:J160"/>
    <mergeCell ref="I161:J161"/>
    <mergeCell ref="I162:J162"/>
    <mergeCell ref="I163:J163"/>
    <mergeCell ref="I146:J146"/>
    <mergeCell ref="I147:J147"/>
    <mergeCell ref="I148:J148"/>
    <mergeCell ref="I149:J149"/>
    <mergeCell ref="I150:J150"/>
    <mergeCell ref="I151:J151"/>
    <mergeCell ref="I152:J152"/>
    <mergeCell ref="I153:J153"/>
    <mergeCell ref="I154:J154"/>
    <mergeCell ref="I137:J137"/>
    <mergeCell ref="I138:J138"/>
    <mergeCell ref="I139:J139"/>
    <mergeCell ref="I140:J140"/>
    <mergeCell ref="I141:J141"/>
    <mergeCell ref="I142:J142"/>
    <mergeCell ref="I143:J143"/>
    <mergeCell ref="I144:J144"/>
    <mergeCell ref="I145:J145"/>
    <mergeCell ref="I128:J128"/>
    <mergeCell ref="I129:J129"/>
    <mergeCell ref="I130:J130"/>
    <mergeCell ref="I131:J131"/>
    <mergeCell ref="I132:J132"/>
    <mergeCell ref="I133:J133"/>
    <mergeCell ref="I134:J134"/>
    <mergeCell ref="I135:J135"/>
    <mergeCell ref="I136:J136"/>
    <mergeCell ref="I120:J120"/>
    <mergeCell ref="I121:J121"/>
    <mergeCell ref="I122:J122"/>
    <mergeCell ref="I123:J123"/>
    <mergeCell ref="I124:J124"/>
    <mergeCell ref="I125:J125"/>
    <mergeCell ref="I126:J126"/>
    <mergeCell ref="I127:J127"/>
    <mergeCell ref="I110:J110"/>
    <mergeCell ref="I111:J111"/>
    <mergeCell ref="I112:J112"/>
    <mergeCell ref="I113:J113"/>
    <mergeCell ref="I114:J114"/>
    <mergeCell ref="I115:J115"/>
    <mergeCell ref="I116:J116"/>
    <mergeCell ref="I117:J117"/>
    <mergeCell ref="I118:J118"/>
    <mergeCell ref="Z316:AA316"/>
    <mergeCell ref="Z317:AA317"/>
    <mergeCell ref="Z318:AA318"/>
    <mergeCell ref="I62:J62"/>
    <mergeCell ref="I63:J63"/>
    <mergeCell ref="I64:J64"/>
    <mergeCell ref="I65:J65"/>
    <mergeCell ref="I66:J66"/>
    <mergeCell ref="I67:J67"/>
    <mergeCell ref="I68:J68"/>
    <mergeCell ref="I69:J69"/>
    <mergeCell ref="I70:J70"/>
    <mergeCell ref="I71:J71"/>
    <mergeCell ref="I72:J72"/>
    <mergeCell ref="I73:J73"/>
    <mergeCell ref="I74:J74"/>
    <mergeCell ref="I75:J75"/>
    <mergeCell ref="I76:J76"/>
    <mergeCell ref="I77:J77"/>
    <mergeCell ref="I78:J78"/>
    <mergeCell ref="I79:J79"/>
    <mergeCell ref="I80:J80"/>
    <mergeCell ref="I81:J81"/>
    <mergeCell ref="I101:J101"/>
    <mergeCell ref="I102:J102"/>
    <mergeCell ref="I103:J103"/>
    <mergeCell ref="I104:J104"/>
    <mergeCell ref="I105:J105"/>
    <mergeCell ref="I106:J106"/>
    <mergeCell ref="I107:J107"/>
    <mergeCell ref="I108:J108"/>
    <mergeCell ref="I109:J109"/>
    <mergeCell ref="Z289:AA289"/>
    <mergeCell ref="Z290:AA290"/>
    <mergeCell ref="Z291:AA291"/>
    <mergeCell ref="Z292:AA292"/>
    <mergeCell ref="Z293:AA293"/>
    <mergeCell ref="Z294:AA294"/>
    <mergeCell ref="Z295:AA295"/>
    <mergeCell ref="Z296:AA296"/>
    <mergeCell ref="Z274:AA274"/>
    <mergeCell ref="Z275:AA275"/>
    <mergeCell ref="Z276:AA276"/>
    <mergeCell ref="Z277:AA277"/>
    <mergeCell ref="Z278:AA278"/>
    <mergeCell ref="Z279:AA279"/>
    <mergeCell ref="Z262:AA262"/>
    <mergeCell ref="Z263:AA263"/>
    <mergeCell ref="Z264:AA264"/>
    <mergeCell ref="Z265:AA265"/>
    <mergeCell ref="Z266:AA266"/>
    <mergeCell ref="Z267:AA267"/>
    <mergeCell ref="Z268:AA268"/>
    <mergeCell ref="Z269:AA269"/>
    <mergeCell ref="Z270:AA270"/>
    <mergeCell ref="Z297:AA297"/>
    <mergeCell ref="Z280:AA280"/>
    <mergeCell ref="Z281:AA281"/>
    <mergeCell ref="Z282:AA282"/>
    <mergeCell ref="Z283:AA283"/>
    <mergeCell ref="I83:J83"/>
    <mergeCell ref="I84:J84"/>
    <mergeCell ref="I85:J85"/>
    <mergeCell ref="I86:J86"/>
    <mergeCell ref="I87:J87"/>
    <mergeCell ref="I88:J88"/>
    <mergeCell ref="I89:J89"/>
    <mergeCell ref="I90:J90"/>
    <mergeCell ref="I91:J91"/>
    <mergeCell ref="I92:J92"/>
    <mergeCell ref="I93:J93"/>
    <mergeCell ref="I94:J94"/>
    <mergeCell ref="I95:J95"/>
    <mergeCell ref="I96:J96"/>
    <mergeCell ref="I97:J97"/>
    <mergeCell ref="I98:J98"/>
    <mergeCell ref="I99:J99"/>
    <mergeCell ref="I100:J100"/>
    <mergeCell ref="I119:J119"/>
    <mergeCell ref="Z284:AA284"/>
    <mergeCell ref="Z285:AA285"/>
    <mergeCell ref="Z286:AA286"/>
    <mergeCell ref="Z287:AA287"/>
    <mergeCell ref="Z288:AA288"/>
    <mergeCell ref="Z271:AA271"/>
    <mergeCell ref="Z272:AA272"/>
    <mergeCell ref="Z273:AA273"/>
    <mergeCell ref="Z307:AA307"/>
    <mergeCell ref="Z308:AA308"/>
    <mergeCell ref="Z309:AA309"/>
    <mergeCell ref="Z310:AA310"/>
    <mergeCell ref="Z311:AA311"/>
    <mergeCell ref="Z312:AA312"/>
    <mergeCell ref="Z313:AA313"/>
    <mergeCell ref="Z314:AA314"/>
    <mergeCell ref="Z315:AA315"/>
    <mergeCell ref="Z298:AA298"/>
    <mergeCell ref="Z299:AA299"/>
    <mergeCell ref="Z300:AA300"/>
    <mergeCell ref="Z301:AA301"/>
    <mergeCell ref="Z302:AA302"/>
    <mergeCell ref="Z303:AA303"/>
    <mergeCell ref="Z304:AA304"/>
    <mergeCell ref="Z305:AA305"/>
    <mergeCell ref="Z306:AA306"/>
    <mergeCell ref="Z253:AA253"/>
    <mergeCell ref="Z254:AA254"/>
    <mergeCell ref="Z255:AA255"/>
    <mergeCell ref="Z256:AA256"/>
    <mergeCell ref="Z257:AA257"/>
    <mergeCell ref="Z258:AA258"/>
    <mergeCell ref="Z259:AA259"/>
    <mergeCell ref="Z260:AA260"/>
    <mergeCell ref="Z261:AA261"/>
    <mergeCell ref="Z244:AA244"/>
    <mergeCell ref="Z245:AA245"/>
    <mergeCell ref="Z246:AA246"/>
    <mergeCell ref="Z247:AA247"/>
    <mergeCell ref="Z248:AA248"/>
    <mergeCell ref="Z249:AA249"/>
    <mergeCell ref="Z250:AA250"/>
    <mergeCell ref="Z251:AA251"/>
    <mergeCell ref="Z252:AA252"/>
    <mergeCell ref="Z235:AA235"/>
    <mergeCell ref="Z236:AA236"/>
    <mergeCell ref="Z237:AA237"/>
    <mergeCell ref="Z238:AA238"/>
    <mergeCell ref="Z239:AA239"/>
    <mergeCell ref="Z240:AA240"/>
    <mergeCell ref="Z241:AA241"/>
    <mergeCell ref="Z242:AA242"/>
    <mergeCell ref="Z243:AA243"/>
    <mergeCell ref="Z226:AA226"/>
    <mergeCell ref="Z227:AA227"/>
    <mergeCell ref="Z228:AA228"/>
    <mergeCell ref="Z229:AA229"/>
    <mergeCell ref="Z230:AA230"/>
    <mergeCell ref="Z231:AA231"/>
    <mergeCell ref="Z232:AA232"/>
    <mergeCell ref="Z233:AA233"/>
    <mergeCell ref="Z234:AA234"/>
    <mergeCell ref="Z217:AA217"/>
    <mergeCell ref="Z218:AA218"/>
    <mergeCell ref="Z219:AA219"/>
    <mergeCell ref="Z220:AA220"/>
    <mergeCell ref="Z221:AA221"/>
    <mergeCell ref="Z222:AA222"/>
    <mergeCell ref="Z223:AA223"/>
    <mergeCell ref="Z224:AA224"/>
    <mergeCell ref="Z225:AA225"/>
    <mergeCell ref="Z208:AA208"/>
    <mergeCell ref="Z209:AA209"/>
    <mergeCell ref="Z210:AA210"/>
    <mergeCell ref="Z211:AA211"/>
    <mergeCell ref="Z212:AA212"/>
    <mergeCell ref="Z213:AA213"/>
    <mergeCell ref="Z214:AA214"/>
    <mergeCell ref="Z215:AA215"/>
    <mergeCell ref="Z216:AA216"/>
    <mergeCell ref="Z199:AA199"/>
    <mergeCell ref="Z200:AA200"/>
    <mergeCell ref="Z201:AA201"/>
    <mergeCell ref="Z202:AA202"/>
    <mergeCell ref="Z203:AA203"/>
    <mergeCell ref="Z204:AA204"/>
    <mergeCell ref="Z205:AA205"/>
    <mergeCell ref="Z206:AA206"/>
    <mergeCell ref="Z207:AA207"/>
    <mergeCell ref="Z190:AA190"/>
    <mergeCell ref="Z191:AA191"/>
    <mergeCell ref="Z192:AA192"/>
    <mergeCell ref="Z193:AA193"/>
    <mergeCell ref="Z194:AA194"/>
    <mergeCell ref="Z195:AA195"/>
    <mergeCell ref="Z196:AA196"/>
    <mergeCell ref="Z197:AA197"/>
    <mergeCell ref="Z198:AA198"/>
    <mergeCell ref="Z181:AA181"/>
    <mergeCell ref="Z182:AA182"/>
    <mergeCell ref="Z183:AA183"/>
    <mergeCell ref="Z184:AA184"/>
    <mergeCell ref="Z185:AA185"/>
    <mergeCell ref="Z186:AA186"/>
    <mergeCell ref="Z187:AA187"/>
    <mergeCell ref="Z188:AA188"/>
    <mergeCell ref="Z189:AA189"/>
    <mergeCell ref="Z172:AA172"/>
    <mergeCell ref="Z173:AA173"/>
    <mergeCell ref="Z174:AA174"/>
    <mergeCell ref="Z175:AA175"/>
    <mergeCell ref="Z176:AA176"/>
    <mergeCell ref="Z177:AA177"/>
    <mergeCell ref="Z178:AA178"/>
    <mergeCell ref="Z179:AA179"/>
    <mergeCell ref="Z180:AA180"/>
    <mergeCell ref="Z163:AA163"/>
    <mergeCell ref="Z164:AA164"/>
    <mergeCell ref="Z165:AA165"/>
    <mergeCell ref="Z166:AA166"/>
    <mergeCell ref="Z167:AA167"/>
    <mergeCell ref="Z168:AA168"/>
    <mergeCell ref="Z169:AA169"/>
    <mergeCell ref="Z170:AA170"/>
    <mergeCell ref="Z171:AA171"/>
    <mergeCell ref="Z154:AA154"/>
    <mergeCell ref="Z155:AA155"/>
    <mergeCell ref="Z156:AA156"/>
    <mergeCell ref="Z157:AA157"/>
    <mergeCell ref="Z158:AA158"/>
    <mergeCell ref="Z159:AA159"/>
    <mergeCell ref="Z160:AA160"/>
    <mergeCell ref="Z161:AA161"/>
    <mergeCell ref="Z162:AA162"/>
    <mergeCell ref="Z146:AA146"/>
    <mergeCell ref="Z147:AA147"/>
    <mergeCell ref="Z148:AA148"/>
    <mergeCell ref="Z149:AA149"/>
    <mergeCell ref="Z150:AA150"/>
    <mergeCell ref="Z151:AA151"/>
    <mergeCell ref="Z152:AA152"/>
    <mergeCell ref="Z153:AA153"/>
    <mergeCell ref="Z136:AA136"/>
    <mergeCell ref="Z137:AA137"/>
    <mergeCell ref="Z138:AA138"/>
    <mergeCell ref="Z139:AA139"/>
    <mergeCell ref="Z140:AA140"/>
    <mergeCell ref="Z141:AA141"/>
    <mergeCell ref="Z142:AA142"/>
    <mergeCell ref="Z143:AA143"/>
    <mergeCell ref="Z144:AA144"/>
    <mergeCell ref="Z129:AA129"/>
    <mergeCell ref="Z130:AA130"/>
    <mergeCell ref="Z131:AA131"/>
    <mergeCell ref="Z132:AA132"/>
    <mergeCell ref="Z133:AA133"/>
    <mergeCell ref="Z134:AA134"/>
    <mergeCell ref="Z135:AA135"/>
    <mergeCell ref="Z118:AA118"/>
    <mergeCell ref="Z119:AA119"/>
    <mergeCell ref="Z120:AA120"/>
    <mergeCell ref="Z121:AA121"/>
    <mergeCell ref="Z122:AA122"/>
    <mergeCell ref="Z123:AA123"/>
    <mergeCell ref="Z124:AA124"/>
    <mergeCell ref="Z125:AA125"/>
    <mergeCell ref="Z126:AA126"/>
    <mergeCell ref="Z145:AA145"/>
    <mergeCell ref="Z112:AA112"/>
    <mergeCell ref="Z113:AA113"/>
    <mergeCell ref="Z114:AA114"/>
    <mergeCell ref="Z115:AA115"/>
    <mergeCell ref="Z116:AA116"/>
    <mergeCell ref="Z117:AA117"/>
    <mergeCell ref="Z100:AA100"/>
    <mergeCell ref="Z101:AA101"/>
    <mergeCell ref="Z102:AA102"/>
    <mergeCell ref="Z103:AA103"/>
    <mergeCell ref="Z104:AA104"/>
    <mergeCell ref="Z105:AA105"/>
    <mergeCell ref="Z106:AA106"/>
    <mergeCell ref="Z107:AA107"/>
    <mergeCell ref="Z108:AA108"/>
    <mergeCell ref="Z127:AA127"/>
    <mergeCell ref="Z128:AA128"/>
    <mergeCell ref="Z95:AA95"/>
    <mergeCell ref="Z96:AA96"/>
    <mergeCell ref="Z97:AA97"/>
    <mergeCell ref="Z98:AA98"/>
    <mergeCell ref="Z99:AA99"/>
    <mergeCell ref="Z82:AA82"/>
    <mergeCell ref="Z83:AA83"/>
    <mergeCell ref="Z84:AA84"/>
    <mergeCell ref="Z85:AA85"/>
    <mergeCell ref="Z86:AA86"/>
    <mergeCell ref="Z87:AA87"/>
    <mergeCell ref="Z88:AA88"/>
    <mergeCell ref="Z89:AA89"/>
    <mergeCell ref="Z90:AA90"/>
    <mergeCell ref="Z109:AA109"/>
    <mergeCell ref="Z110:AA110"/>
    <mergeCell ref="Z111:AA111"/>
    <mergeCell ref="Z66:AA66"/>
    <mergeCell ref="Z67:AA67"/>
    <mergeCell ref="Z68:AA68"/>
    <mergeCell ref="Z69:AA69"/>
    <mergeCell ref="Z70:AA70"/>
    <mergeCell ref="Z71:AA71"/>
    <mergeCell ref="Z72:AA72"/>
    <mergeCell ref="Z73:AA73"/>
    <mergeCell ref="Z74:AA74"/>
    <mergeCell ref="Z75:AA75"/>
    <mergeCell ref="Z76:AA76"/>
    <mergeCell ref="Z77:AA77"/>
    <mergeCell ref="Z78:AA78"/>
    <mergeCell ref="Z91:AA91"/>
    <mergeCell ref="Z92:AA92"/>
    <mergeCell ref="Z93:AA93"/>
    <mergeCell ref="Z94:AA94"/>
    <mergeCell ref="Z79:AA79"/>
    <mergeCell ref="Z80:AA80"/>
    <mergeCell ref="Z81:AA81"/>
    <mergeCell ref="X306:Y306"/>
    <mergeCell ref="X307:Y307"/>
    <mergeCell ref="X308:Y308"/>
    <mergeCell ref="X309:Y309"/>
    <mergeCell ref="X310:Y310"/>
    <mergeCell ref="X311:Y311"/>
    <mergeCell ref="X312:Y312"/>
    <mergeCell ref="X313:Y313"/>
    <mergeCell ref="X314:Y314"/>
    <mergeCell ref="X297:Y297"/>
    <mergeCell ref="X298:Y298"/>
    <mergeCell ref="X299:Y299"/>
    <mergeCell ref="X300:Y300"/>
    <mergeCell ref="X301:Y301"/>
    <mergeCell ref="X302:Y302"/>
    <mergeCell ref="X303:Y303"/>
    <mergeCell ref="X304:Y304"/>
    <mergeCell ref="X305:Y305"/>
    <mergeCell ref="X288:Y288"/>
    <mergeCell ref="X289:Y289"/>
    <mergeCell ref="X290:Y290"/>
    <mergeCell ref="X291:Y291"/>
    <mergeCell ref="X292:Y292"/>
    <mergeCell ref="X293:Y293"/>
    <mergeCell ref="X294:Y294"/>
    <mergeCell ref="X295:Y295"/>
    <mergeCell ref="X296:Y296"/>
    <mergeCell ref="X279:Y279"/>
    <mergeCell ref="X280:Y280"/>
    <mergeCell ref="X281:Y281"/>
    <mergeCell ref="X282:Y282"/>
    <mergeCell ref="X283:Y283"/>
    <mergeCell ref="X284:Y284"/>
    <mergeCell ref="X285:Y285"/>
    <mergeCell ref="X286:Y286"/>
    <mergeCell ref="X287:Y287"/>
    <mergeCell ref="X270:Y270"/>
    <mergeCell ref="X271:Y271"/>
    <mergeCell ref="X272:Y272"/>
    <mergeCell ref="X273:Y273"/>
    <mergeCell ref="X274:Y274"/>
    <mergeCell ref="X275:Y275"/>
    <mergeCell ref="X276:Y276"/>
    <mergeCell ref="X277:Y277"/>
    <mergeCell ref="X278:Y278"/>
    <mergeCell ref="X261:Y261"/>
    <mergeCell ref="X262:Y262"/>
    <mergeCell ref="X263:Y263"/>
    <mergeCell ref="X264:Y264"/>
    <mergeCell ref="X265:Y265"/>
    <mergeCell ref="X266:Y266"/>
    <mergeCell ref="X267:Y267"/>
    <mergeCell ref="X268:Y268"/>
    <mergeCell ref="X269:Y269"/>
    <mergeCell ref="X252:Y252"/>
    <mergeCell ref="X253:Y253"/>
    <mergeCell ref="X254:Y254"/>
    <mergeCell ref="X255:Y255"/>
    <mergeCell ref="X256:Y256"/>
    <mergeCell ref="X257:Y257"/>
    <mergeCell ref="X258:Y258"/>
    <mergeCell ref="X259:Y259"/>
    <mergeCell ref="X260:Y260"/>
    <mergeCell ref="X243:Y243"/>
    <mergeCell ref="X244:Y244"/>
    <mergeCell ref="X245:Y245"/>
    <mergeCell ref="X246:Y246"/>
    <mergeCell ref="X247:Y247"/>
    <mergeCell ref="X248:Y248"/>
    <mergeCell ref="X249:Y249"/>
    <mergeCell ref="X250:Y250"/>
    <mergeCell ref="X251:Y251"/>
    <mergeCell ref="X234:Y234"/>
    <mergeCell ref="X235:Y235"/>
    <mergeCell ref="X236:Y236"/>
    <mergeCell ref="X237:Y237"/>
    <mergeCell ref="X238:Y238"/>
    <mergeCell ref="X239:Y239"/>
    <mergeCell ref="X240:Y240"/>
    <mergeCell ref="X241:Y241"/>
    <mergeCell ref="X242:Y242"/>
    <mergeCell ref="X225:Y225"/>
    <mergeCell ref="X226:Y226"/>
    <mergeCell ref="X227:Y227"/>
    <mergeCell ref="X228:Y228"/>
    <mergeCell ref="X229:Y229"/>
    <mergeCell ref="X230:Y230"/>
    <mergeCell ref="X231:Y231"/>
    <mergeCell ref="X232:Y232"/>
    <mergeCell ref="X233:Y233"/>
    <mergeCell ref="X216:Y216"/>
    <mergeCell ref="X217:Y217"/>
    <mergeCell ref="X218:Y218"/>
    <mergeCell ref="X219:Y219"/>
    <mergeCell ref="X220:Y220"/>
    <mergeCell ref="X221:Y221"/>
    <mergeCell ref="X222:Y222"/>
    <mergeCell ref="X223:Y223"/>
    <mergeCell ref="X224:Y224"/>
    <mergeCell ref="X207:Y207"/>
    <mergeCell ref="X208:Y208"/>
    <mergeCell ref="X209:Y209"/>
    <mergeCell ref="X210:Y210"/>
    <mergeCell ref="X211:Y211"/>
    <mergeCell ref="X212:Y212"/>
    <mergeCell ref="X213:Y213"/>
    <mergeCell ref="X214:Y214"/>
    <mergeCell ref="X215:Y215"/>
    <mergeCell ref="X198:Y198"/>
    <mergeCell ref="X199:Y199"/>
    <mergeCell ref="X200:Y200"/>
    <mergeCell ref="X201:Y201"/>
    <mergeCell ref="X202:Y202"/>
    <mergeCell ref="X203:Y203"/>
    <mergeCell ref="X204:Y204"/>
    <mergeCell ref="X205:Y205"/>
    <mergeCell ref="X206:Y206"/>
    <mergeCell ref="X189:Y189"/>
    <mergeCell ref="X190:Y190"/>
    <mergeCell ref="X191:Y191"/>
    <mergeCell ref="X192:Y192"/>
    <mergeCell ref="X193:Y193"/>
    <mergeCell ref="X194:Y194"/>
    <mergeCell ref="X195:Y195"/>
    <mergeCell ref="X196:Y196"/>
    <mergeCell ref="X197:Y197"/>
    <mergeCell ref="X180:Y180"/>
    <mergeCell ref="X181:Y181"/>
    <mergeCell ref="X182:Y182"/>
    <mergeCell ref="X183:Y183"/>
    <mergeCell ref="X184:Y184"/>
    <mergeCell ref="X185:Y185"/>
    <mergeCell ref="X186:Y186"/>
    <mergeCell ref="X187:Y187"/>
    <mergeCell ref="X188:Y188"/>
    <mergeCell ref="X171:Y171"/>
    <mergeCell ref="X172:Y172"/>
    <mergeCell ref="X173:Y173"/>
    <mergeCell ref="X174:Y174"/>
    <mergeCell ref="X175:Y175"/>
    <mergeCell ref="X176:Y176"/>
    <mergeCell ref="X177:Y177"/>
    <mergeCell ref="X178:Y178"/>
    <mergeCell ref="X179:Y179"/>
    <mergeCell ref="X162:Y162"/>
    <mergeCell ref="X163:Y163"/>
    <mergeCell ref="X164:Y164"/>
    <mergeCell ref="X165:Y165"/>
    <mergeCell ref="X166:Y166"/>
    <mergeCell ref="X167:Y167"/>
    <mergeCell ref="X168:Y168"/>
    <mergeCell ref="X169:Y169"/>
    <mergeCell ref="X170:Y170"/>
    <mergeCell ref="X153:Y153"/>
    <mergeCell ref="X154:Y154"/>
    <mergeCell ref="X155:Y155"/>
    <mergeCell ref="X156:Y156"/>
    <mergeCell ref="X157:Y157"/>
    <mergeCell ref="X158:Y158"/>
    <mergeCell ref="X159:Y159"/>
    <mergeCell ref="X160:Y160"/>
    <mergeCell ref="X161:Y161"/>
    <mergeCell ref="X144:Y144"/>
    <mergeCell ref="X145:Y145"/>
    <mergeCell ref="X146:Y146"/>
    <mergeCell ref="X147:Y147"/>
    <mergeCell ref="X148:Y148"/>
    <mergeCell ref="X149:Y149"/>
    <mergeCell ref="X150:Y150"/>
    <mergeCell ref="X151:Y151"/>
    <mergeCell ref="X152:Y152"/>
    <mergeCell ref="X135:Y135"/>
    <mergeCell ref="X136:Y136"/>
    <mergeCell ref="X137:Y137"/>
    <mergeCell ref="X138:Y138"/>
    <mergeCell ref="X139:Y139"/>
    <mergeCell ref="X140:Y140"/>
    <mergeCell ref="X141:Y141"/>
    <mergeCell ref="X142:Y142"/>
    <mergeCell ref="X143:Y143"/>
    <mergeCell ref="X126:Y126"/>
    <mergeCell ref="X127:Y127"/>
    <mergeCell ref="X128:Y128"/>
    <mergeCell ref="X129:Y129"/>
    <mergeCell ref="X130:Y130"/>
    <mergeCell ref="X131:Y131"/>
    <mergeCell ref="X132:Y132"/>
    <mergeCell ref="X133:Y133"/>
    <mergeCell ref="X134:Y134"/>
    <mergeCell ref="X117:Y117"/>
    <mergeCell ref="X118:Y118"/>
    <mergeCell ref="X119:Y119"/>
    <mergeCell ref="X120:Y120"/>
    <mergeCell ref="X121:Y121"/>
    <mergeCell ref="X122:Y122"/>
    <mergeCell ref="X123:Y123"/>
    <mergeCell ref="X124:Y124"/>
    <mergeCell ref="X125:Y125"/>
    <mergeCell ref="X108:Y108"/>
    <mergeCell ref="X109:Y109"/>
    <mergeCell ref="X110:Y110"/>
    <mergeCell ref="X111:Y111"/>
    <mergeCell ref="X112:Y112"/>
    <mergeCell ref="X113:Y113"/>
    <mergeCell ref="X114:Y114"/>
    <mergeCell ref="X115:Y115"/>
    <mergeCell ref="X116:Y116"/>
    <mergeCell ref="X99:Y99"/>
    <mergeCell ref="X100:Y100"/>
    <mergeCell ref="X101:Y101"/>
    <mergeCell ref="X102:Y102"/>
    <mergeCell ref="X103:Y103"/>
    <mergeCell ref="X104:Y104"/>
    <mergeCell ref="X105:Y105"/>
    <mergeCell ref="X106:Y106"/>
    <mergeCell ref="X107:Y107"/>
    <mergeCell ref="X71:Y71"/>
    <mergeCell ref="X72:Y72"/>
    <mergeCell ref="X73:Y73"/>
    <mergeCell ref="X74:Y74"/>
    <mergeCell ref="X75:Y75"/>
    <mergeCell ref="X76:Y76"/>
    <mergeCell ref="X77:Y77"/>
    <mergeCell ref="X78:Y78"/>
    <mergeCell ref="X90:Y90"/>
    <mergeCell ref="X91:Y91"/>
    <mergeCell ref="X92:Y92"/>
    <mergeCell ref="X93:Y93"/>
    <mergeCell ref="X94:Y94"/>
    <mergeCell ref="X95:Y95"/>
    <mergeCell ref="X96:Y96"/>
    <mergeCell ref="X97:Y97"/>
    <mergeCell ref="X98:Y98"/>
    <mergeCell ref="X81:Y81"/>
    <mergeCell ref="X82:Y82"/>
    <mergeCell ref="X83:Y83"/>
    <mergeCell ref="X84:Y84"/>
    <mergeCell ref="X85:Y85"/>
    <mergeCell ref="X86:Y86"/>
    <mergeCell ref="X87:Y87"/>
    <mergeCell ref="X88:Y88"/>
    <mergeCell ref="X89:Y89"/>
    <mergeCell ref="X79:Y79"/>
    <mergeCell ref="X80:Y80"/>
    <mergeCell ref="T311:U311"/>
    <mergeCell ref="T312:U312"/>
    <mergeCell ref="T313:U313"/>
    <mergeCell ref="T296:U296"/>
    <mergeCell ref="T297:U297"/>
    <mergeCell ref="T298:U298"/>
    <mergeCell ref="T299:U299"/>
    <mergeCell ref="T300:U300"/>
    <mergeCell ref="T301:U301"/>
    <mergeCell ref="T302:U302"/>
    <mergeCell ref="T303:U303"/>
    <mergeCell ref="T304:U304"/>
    <mergeCell ref="T287:U287"/>
    <mergeCell ref="T288:U288"/>
    <mergeCell ref="T289:U289"/>
    <mergeCell ref="T290:U290"/>
    <mergeCell ref="T291:U291"/>
    <mergeCell ref="T292:U292"/>
    <mergeCell ref="T293:U293"/>
    <mergeCell ref="T294:U294"/>
    <mergeCell ref="T295:U295"/>
    <mergeCell ref="T305:U305"/>
    <mergeCell ref="T306:U306"/>
    <mergeCell ref="T307:U307"/>
    <mergeCell ref="T308:U308"/>
    <mergeCell ref="T309:U309"/>
    <mergeCell ref="T310:U310"/>
    <mergeCell ref="T278:U278"/>
    <mergeCell ref="T279:U279"/>
    <mergeCell ref="T280:U280"/>
    <mergeCell ref="T281:U281"/>
    <mergeCell ref="T282:U282"/>
    <mergeCell ref="T283:U283"/>
    <mergeCell ref="T284:U284"/>
    <mergeCell ref="T285:U285"/>
    <mergeCell ref="T286:U286"/>
    <mergeCell ref="T269:U269"/>
    <mergeCell ref="T270:U270"/>
    <mergeCell ref="T271:U271"/>
    <mergeCell ref="T272:U272"/>
    <mergeCell ref="T273:U273"/>
    <mergeCell ref="T274:U274"/>
    <mergeCell ref="T275:U275"/>
    <mergeCell ref="T276:U276"/>
    <mergeCell ref="T277:U277"/>
    <mergeCell ref="T260:U260"/>
    <mergeCell ref="T261:U261"/>
    <mergeCell ref="T262:U262"/>
    <mergeCell ref="T263:U263"/>
    <mergeCell ref="T264:U264"/>
    <mergeCell ref="T265:U265"/>
    <mergeCell ref="T266:U266"/>
    <mergeCell ref="T267:U267"/>
    <mergeCell ref="T268:U268"/>
    <mergeCell ref="T251:U251"/>
    <mergeCell ref="T252:U252"/>
    <mergeCell ref="T253:U253"/>
    <mergeCell ref="T254:U254"/>
    <mergeCell ref="T255:U255"/>
    <mergeCell ref="T256:U256"/>
    <mergeCell ref="T257:U257"/>
    <mergeCell ref="T258:U258"/>
    <mergeCell ref="T259:U259"/>
    <mergeCell ref="T242:U242"/>
    <mergeCell ref="T243:U243"/>
    <mergeCell ref="T244:U244"/>
    <mergeCell ref="T245:U245"/>
    <mergeCell ref="T246:U246"/>
    <mergeCell ref="T247:U247"/>
    <mergeCell ref="T248:U248"/>
    <mergeCell ref="T249:U249"/>
    <mergeCell ref="T250:U250"/>
    <mergeCell ref="T233:U233"/>
    <mergeCell ref="T234:U234"/>
    <mergeCell ref="T235:U235"/>
    <mergeCell ref="T236:U236"/>
    <mergeCell ref="T237:U237"/>
    <mergeCell ref="T238:U238"/>
    <mergeCell ref="T239:U239"/>
    <mergeCell ref="T240:U240"/>
    <mergeCell ref="T241:U241"/>
    <mergeCell ref="T224:U224"/>
    <mergeCell ref="T225:U225"/>
    <mergeCell ref="T226:U226"/>
    <mergeCell ref="T227:U227"/>
    <mergeCell ref="T228:U228"/>
    <mergeCell ref="T229:U229"/>
    <mergeCell ref="T230:U230"/>
    <mergeCell ref="T231:U231"/>
    <mergeCell ref="T232:U232"/>
    <mergeCell ref="T215:U215"/>
    <mergeCell ref="T216:U216"/>
    <mergeCell ref="T217:U217"/>
    <mergeCell ref="T218:U218"/>
    <mergeCell ref="T219:U219"/>
    <mergeCell ref="T220:U220"/>
    <mergeCell ref="T221:U221"/>
    <mergeCell ref="T222:U222"/>
    <mergeCell ref="T223:U223"/>
    <mergeCell ref="T206:U206"/>
    <mergeCell ref="T207:U207"/>
    <mergeCell ref="T208:U208"/>
    <mergeCell ref="T209:U209"/>
    <mergeCell ref="T210:U210"/>
    <mergeCell ref="T211:U211"/>
    <mergeCell ref="T212:U212"/>
    <mergeCell ref="T213:U213"/>
    <mergeCell ref="T214:U214"/>
    <mergeCell ref="T197:U197"/>
    <mergeCell ref="T198:U198"/>
    <mergeCell ref="T199:U199"/>
    <mergeCell ref="T200:U200"/>
    <mergeCell ref="T201:U201"/>
    <mergeCell ref="T202:U202"/>
    <mergeCell ref="T203:U203"/>
    <mergeCell ref="T204:U204"/>
    <mergeCell ref="T205:U205"/>
    <mergeCell ref="T189:U189"/>
    <mergeCell ref="T190:U190"/>
    <mergeCell ref="T191:U191"/>
    <mergeCell ref="T192:U192"/>
    <mergeCell ref="T193:U193"/>
    <mergeCell ref="T194:U194"/>
    <mergeCell ref="T195:U195"/>
    <mergeCell ref="T196:U196"/>
    <mergeCell ref="T179:U179"/>
    <mergeCell ref="T180:U180"/>
    <mergeCell ref="T181:U181"/>
    <mergeCell ref="T182:U182"/>
    <mergeCell ref="T183:U183"/>
    <mergeCell ref="T184:U184"/>
    <mergeCell ref="T185:U185"/>
    <mergeCell ref="T186:U186"/>
    <mergeCell ref="T187:U187"/>
    <mergeCell ref="T172:U172"/>
    <mergeCell ref="T173:U173"/>
    <mergeCell ref="T174:U174"/>
    <mergeCell ref="T175:U175"/>
    <mergeCell ref="T176:U176"/>
    <mergeCell ref="T177:U177"/>
    <mergeCell ref="T178:U178"/>
    <mergeCell ref="T161:U161"/>
    <mergeCell ref="T162:U162"/>
    <mergeCell ref="T163:U163"/>
    <mergeCell ref="T164:U164"/>
    <mergeCell ref="T165:U165"/>
    <mergeCell ref="T166:U166"/>
    <mergeCell ref="T167:U167"/>
    <mergeCell ref="T168:U168"/>
    <mergeCell ref="T169:U169"/>
    <mergeCell ref="T188:U188"/>
    <mergeCell ref="T155:U155"/>
    <mergeCell ref="T156:U156"/>
    <mergeCell ref="T157:U157"/>
    <mergeCell ref="T158:U158"/>
    <mergeCell ref="T159:U159"/>
    <mergeCell ref="T160:U160"/>
    <mergeCell ref="T143:U143"/>
    <mergeCell ref="T144:U144"/>
    <mergeCell ref="T145:U145"/>
    <mergeCell ref="T146:U146"/>
    <mergeCell ref="T147:U147"/>
    <mergeCell ref="T148:U148"/>
    <mergeCell ref="T149:U149"/>
    <mergeCell ref="T150:U150"/>
    <mergeCell ref="T151:U151"/>
    <mergeCell ref="T170:U170"/>
    <mergeCell ref="T171:U171"/>
    <mergeCell ref="T138:U138"/>
    <mergeCell ref="T139:U139"/>
    <mergeCell ref="T140:U140"/>
    <mergeCell ref="T141:U141"/>
    <mergeCell ref="T142:U142"/>
    <mergeCell ref="T125:U125"/>
    <mergeCell ref="T126:U126"/>
    <mergeCell ref="T127:U127"/>
    <mergeCell ref="T128:U128"/>
    <mergeCell ref="T129:U129"/>
    <mergeCell ref="T130:U130"/>
    <mergeCell ref="T131:U131"/>
    <mergeCell ref="T132:U132"/>
    <mergeCell ref="T133:U133"/>
    <mergeCell ref="T152:U152"/>
    <mergeCell ref="T153:U153"/>
    <mergeCell ref="T154:U154"/>
    <mergeCell ref="T121:U121"/>
    <mergeCell ref="T122:U122"/>
    <mergeCell ref="T123:U123"/>
    <mergeCell ref="T124:U124"/>
    <mergeCell ref="T107:U107"/>
    <mergeCell ref="T108:U108"/>
    <mergeCell ref="T109:U109"/>
    <mergeCell ref="T110:U110"/>
    <mergeCell ref="T111:U111"/>
    <mergeCell ref="T112:U112"/>
    <mergeCell ref="T113:U113"/>
    <mergeCell ref="T114:U114"/>
    <mergeCell ref="T115:U115"/>
    <mergeCell ref="T134:U134"/>
    <mergeCell ref="T135:U135"/>
    <mergeCell ref="T136:U136"/>
    <mergeCell ref="T137:U137"/>
    <mergeCell ref="T104:U104"/>
    <mergeCell ref="T105:U105"/>
    <mergeCell ref="T106:U106"/>
    <mergeCell ref="T89:U89"/>
    <mergeCell ref="T90:U90"/>
    <mergeCell ref="T91:U91"/>
    <mergeCell ref="T92:U92"/>
    <mergeCell ref="T93:U93"/>
    <mergeCell ref="T94:U94"/>
    <mergeCell ref="T95:U95"/>
    <mergeCell ref="T96:U96"/>
    <mergeCell ref="T97:U97"/>
    <mergeCell ref="T116:U116"/>
    <mergeCell ref="T117:U117"/>
    <mergeCell ref="T118:U118"/>
    <mergeCell ref="T119:U119"/>
    <mergeCell ref="T120:U120"/>
    <mergeCell ref="T87:U87"/>
    <mergeCell ref="T88:U88"/>
    <mergeCell ref="T71:U71"/>
    <mergeCell ref="T72:U72"/>
    <mergeCell ref="T73:U73"/>
    <mergeCell ref="T74:U74"/>
    <mergeCell ref="T75:U75"/>
    <mergeCell ref="T76:U76"/>
    <mergeCell ref="T77:U77"/>
    <mergeCell ref="T78:U78"/>
    <mergeCell ref="T79:U79"/>
    <mergeCell ref="T98:U98"/>
    <mergeCell ref="T99:U99"/>
    <mergeCell ref="T100:U100"/>
    <mergeCell ref="T101:U101"/>
    <mergeCell ref="T102:U102"/>
    <mergeCell ref="T103:U103"/>
    <mergeCell ref="T69:U69"/>
    <mergeCell ref="T70:U70"/>
    <mergeCell ref="Q306:R306"/>
    <mergeCell ref="Q307:R307"/>
    <mergeCell ref="Q308:R308"/>
    <mergeCell ref="Q309:R309"/>
    <mergeCell ref="Q292:R292"/>
    <mergeCell ref="Q293:R293"/>
    <mergeCell ref="Q294:R294"/>
    <mergeCell ref="Q295:R295"/>
    <mergeCell ref="Q296:R296"/>
    <mergeCell ref="Q297:R297"/>
    <mergeCell ref="Q298:R298"/>
    <mergeCell ref="Q299:R299"/>
    <mergeCell ref="Q300:R300"/>
    <mergeCell ref="Q283:R283"/>
    <mergeCell ref="Q284:R284"/>
    <mergeCell ref="Q285:R285"/>
    <mergeCell ref="Q286:R286"/>
    <mergeCell ref="Q287:R287"/>
    <mergeCell ref="Q288:R288"/>
    <mergeCell ref="Q289:R289"/>
    <mergeCell ref="Q290:R290"/>
    <mergeCell ref="Q291:R291"/>
    <mergeCell ref="Q274:R274"/>
    <mergeCell ref="T80:U80"/>
    <mergeCell ref="T81:U81"/>
    <mergeCell ref="T82:U82"/>
    <mergeCell ref="T83:U83"/>
    <mergeCell ref="T84:U84"/>
    <mergeCell ref="T85:U85"/>
    <mergeCell ref="T86:U86"/>
    <mergeCell ref="Q275:R275"/>
    <mergeCell ref="Q276:R276"/>
    <mergeCell ref="Q277:R277"/>
    <mergeCell ref="Q278:R278"/>
    <mergeCell ref="Q279:R279"/>
    <mergeCell ref="Q280:R280"/>
    <mergeCell ref="Q281:R281"/>
    <mergeCell ref="Q282:R282"/>
    <mergeCell ref="Q265:R265"/>
    <mergeCell ref="Q266:R266"/>
    <mergeCell ref="Q267:R267"/>
    <mergeCell ref="Q268:R268"/>
    <mergeCell ref="Q269:R269"/>
    <mergeCell ref="Q270:R270"/>
    <mergeCell ref="Q271:R271"/>
    <mergeCell ref="Q272:R272"/>
    <mergeCell ref="Q273:R273"/>
    <mergeCell ref="Q256:R256"/>
    <mergeCell ref="Q257:R257"/>
    <mergeCell ref="Q258:R258"/>
    <mergeCell ref="Q259:R259"/>
    <mergeCell ref="Q260:R260"/>
    <mergeCell ref="Q261:R261"/>
    <mergeCell ref="Q262:R262"/>
    <mergeCell ref="Q263:R263"/>
    <mergeCell ref="Q264:R264"/>
    <mergeCell ref="Q247:R247"/>
    <mergeCell ref="Q248:R248"/>
    <mergeCell ref="Q249:R249"/>
    <mergeCell ref="Q250:R250"/>
    <mergeCell ref="Q251:R251"/>
    <mergeCell ref="Q252:R252"/>
    <mergeCell ref="Q253:R253"/>
    <mergeCell ref="Q254:R254"/>
    <mergeCell ref="Q255:R255"/>
    <mergeCell ref="Q238:R238"/>
    <mergeCell ref="Q239:R239"/>
    <mergeCell ref="Q240:R240"/>
    <mergeCell ref="Q241:R241"/>
    <mergeCell ref="Q242:R242"/>
    <mergeCell ref="Q243:R243"/>
    <mergeCell ref="Q244:R244"/>
    <mergeCell ref="Q245:R245"/>
    <mergeCell ref="Q246:R246"/>
    <mergeCell ref="Q229:R229"/>
    <mergeCell ref="Q230:R230"/>
    <mergeCell ref="Q231:R231"/>
    <mergeCell ref="Q232:R232"/>
    <mergeCell ref="Q233:R233"/>
    <mergeCell ref="Q234:R234"/>
    <mergeCell ref="Q235:R235"/>
    <mergeCell ref="Q236:R236"/>
    <mergeCell ref="Q237:R237"/>
    <mergeCell ref="Q221:R221"/>
    <mergeCell ref="Q222:R222"/>
    <mergeCell ref="Q223:R223"/>
    <mergeCell ref="Q224:R224"/>
    <mergeCell ref="Q225:R225"/>
    <mergeCell ref="Q226:R226"/>
    <mergeCell ref="Q227:R227"/>
    <mergeCell ref="Q228:R228"/>
    <mergeCell ref="Q211:R211"/>
    <mergeCell ref="Q212:R212"/>
    <mergeCell ref="Q213:R213"/>
    <mergeCell ref="Q214:R214"/>
    <mergeCell ref="Q215:R215"/>
    <mergeCell ref="Q216:R216"/>
    <mergeCell ref="Q217:R217"/>
    <mergeCell ref="Q218:R218"/>
    <mergeCell ref="Q219:R219"/>
    <mergeCell ref="Q204:R204"/>
    <mergeCell ref="Q205:R205"/>
    <mergeCell ref="Q206:R206"/>
    <mergeCell ref="Q207:R207"/>
    <mergeCell ref="Q208:R208"/>
    <mergeCell ref="Q209:R209"/>
    <mergeCell ref="Q210:R210"/>
    <mergeCell ref="Q193:R193"/>
    <mergeCell ref="Q194:R194"/>
    <mergeCell ref="Q195:R195"/>
    <mergeCell ref="Q196:R196"/>
    <mergeCell ref="Q197:R197"/>
    <mergeCell ref="Q198:R198"/>
    <mergeCell ref="Q199:R199"/>
    <mergeCell ref="Q200:R200"/>
    <mergeCell ref="Q201:R201"/>
    <mergeCell ref="Q220:R220"/>
    <mergeCell ref="Q187:R187"/>
    <mergeCell ref="Q188:R188"/>
    <mergeCell ref="Q189:R189"/>
    <mergeCell ref="Q190:R190"/>
    <mergeCell ref="Q191:R191"/>
    <mergeCell ref="Q192:R192"/>
    <mergeCell ref="Q175:R175"/>
    <mergeCell ref="Q176:R176"/>
    <mergeCell ref="Q177:R177"/>
    <mergeCell ref="Q178:R178"/>
    <mergeCell ref="Q179:R179"/>
    <mergeCell ref="Q180:R180"/>
    <mergeCell ref="Q181:R181"/>
    <mergeCell ref="Q182:R182"/>
    <mergeCell ref="Q183:R183"/>
    <mergeCell ref="Q202:R202"/>
    <mergeCell ref="Q203:R203"/>
    <mergeCell ref="Q170:R170"/>
    <mergeCell ref="Q171:R171"/>
    <mergeCell ref="Q172:R172"/>
    <mergeCell ref="Q173:R173"/>
    <mergeCell ref="Q174:R174"/>
    <mergeCell ref="Q157:R157"/>
    <mergeCell ref="Q158:R158"/>
    <mergeCell ref="Q159:R159"/>
    <mergeCell ref="Q160:R160"/>
    <mergeCell ref="Q161:R161"/>
    <mergeCell ref="Q162:R162"/>
    <mergeCell ref="Q163:R163"/>
    <mergeCell ref="Q164:R164"/>
    <mergeCell ref="Q165:R165"/>
    <mergeCell ref="Q184:R184"/>
    <mergeCell ref="Q185:R185"/>
    <mergeCell ref="Q186:R186"/>
    <mergeCell ref="Q153:R153"/>
    <mergeCell ref="Q154:R154"/>
    <mergeCell ref="Q155:R155"/>
    <mergeCell ref="Q156:R156"/>
    <mergeCell ref="Q139:R139"/>
    <mergeCell ref="Q140:R140"/>
    <mergeCell ref="Q141:R141"/>
    <mergeCell ref="Q142:R142"/>
    <mergeCell ref="Q143:R143"/>
    <mergeCell ref="Q144:R144"/>
    <mergeCell ref="Q145:R145"/>
    <mergeCell ref="Q146:R146"/>
    <mergeCell ref="Q147:R147"/>
    <mergeCell ref="Q166:R166"/>
    <mergeCell ref="Q167:R167"/>
    <mergeCell ref="Q168:R168"/>
    <mergeCell ref="Q169:R169"/>
    <mergeCell ref="Q136:R136"/>
    <mergeCell ref="Q137:R137"/>
    <mergeCell ref="Q138:R138"/>
    <mergeCell ref="Q121:R121"/>
    <mergeCell ref="Q122:R122"/>
    <mergeCell ref="Q123:R123"/>
    <mergeCell ref="Q124:R124"/>
    <mergeCell ref="Q125:R125"/>
    <mergeCell ref="Q126:R126"/>
    <mergeCell ref="Q127:R127"/>
    <mergeCell ref="Q128:R128"/>
    <mergeCell ref="Q129:R129"/>
    <mergeCell ref="Q148:R148"/>
    <mergeCell ref="Q149:R149"/>
    <mergeCell ref="Q150:R150"/>
    <mergeCell ref="Q151:R151"/>
    <mergeCell ref="Q152:R152"/>
    <mergeCell ref="Q119:R119"/>
    <mergeCell ref="Q120:R120"/>
    <mergeCell ref="Q103:R103"/>
    <mergeCell ref="Q104:R104"/>
    <mergeCell ref="Q105:R105"/>
    <mergeCell ref="Q106:R106"/>
    <mergeCell ref="Q107:R107"/>
    <mergeCell ref="Q108:R108"/>
    <mergeCell ref="Q109:R109"/>
    <mergeCell ref="Q110:R110"/>
    <mergeCell ref="Q111:R111"/>
    <mergeCell ref="Q130:R130"/>
    <mergeCell ref="Q131:R131"/>
    <mergeCell ref="Q132:R132"/>
    <mergeCell ref="Q133:R133"/>
    <mergeCell ref="Q134:R134"/>
    <mergeCell ref="Q135:R135"/>
    <mergeCell ref="Q102:R102"/>
    <mergeCell ref="Q85:R85"/>
    <mergeCell ref="Q86:R86"/>
    <mergeCell ref="Q87:R87"/>
    <mergeCell ref="Q88:R88"/>
    <mergeCell ref="Q89:R89"/>
    <mergeCell ref="Q90:R90"/>
    <mergeCell ref="Q91:R91"/>
    <mergeCell ref="Q92:R92"/>
    <mergeCell ref="Q93:R93"/>
    <mergeCell ref="Q112:R112"/>
    <mergeCell ref="Q113:R113"/>
    <mergeCell ref="Q114:R114"/>
    <mergeCell ref="Q115:R115"/>
    <mergeCell ref="Q116:R116"/>
    <mergeCell ref="Q117:R117"/>
    <mergeCell ref="Q118:R118"/>
    <mergeCell ref="Q70:R70"/>
    <mergeCell ref="Q71:R71"/>
    <mergeCell ref="Q72:R72"/>
    <mergeCell ref="Q73:R73"/>
    <mergeCell ref="Q74:R74"/>
    <mergeCell ref="Q75:R75"/>
    <mergeCell ref="Q76:R76"/>
    <mergeCell ref="Q77:R77"/>
    <mergeCell ref="Q78:R78"/>
    <mergeCell ref="Q94:R94"/>
    <mergeCell ref="Q95:R95"/>
    <mergeCell ref="Q96:R96"/>
    <mergeCell ref="Q97:R97"/>
    <mergeCell ref="Q98:R98"/>
    <mergeCell ref="Q99:R99"/>
    <mergeCell ref="Q100:R100"/>
    <mergeCell ref="Q101:R101"/>
    <mergeCell ref="Q79:R79"/>
    <mergeCell ref="Q80:R80"/>
    <mergeCell ref="Q81:R81"/>
    <mergeCell ref="Q82:R82"/>
    <mergeCell ref="Q83:R83"/>
    <mergeCell ref="Q84:R84"/>
    <mergeCell ref="O311:P311"/>
    <mergeCell ref="O312:P312"/>
    <mergeCell ref="O313:P313"/>
    <mergeCell ref="O314:P314"/>
    <mergeCell ref="O315:P315"/>
    <mergeCell ref="O316:P316"/>
    <mergeCell ref="O317:P317"/>
    <mergeCell ref="O300:P300"/>
    <mergeCell ref="O301:P301"/>
    <mergeCell ref="O302:P302"/>
    <mergeCell ref="O303:P303"/>
    <mergeCell ref="O304:P304"/>
    <mergeCell ref="O305:P305"/>
    <mergeCell ref="O306:P306"/>
    <mergeCell ref="O307:P307"/>
    <mergeCell ref="O308:P308"/>
    <mergeCell ref="O291:P291"/>
    <mergeCell ref="O292:P292"/>
    <mergeCell ref="O293:P293"/>
    <mergeCell ref="O294:P294"/>
    <mergeCell ref="O295:P295"/>
    <mergeCell ref="O296:P296"/>
    <mergeCell ref="O297:P297"/>
    <mergeCell ref="O298:P298"/>
    <mergeCell ref="O299:P299"/>
    <mergeCell ref="O310:P310"/>
    <mergeCell ref="O273:P273"/>
    <mergeCell ref="O274:P274"/>
    <mergeCell ref="O275:P275"/>
    <mergeCell ref="O276:P276"/>
    <mergeCell ref="O277:P277"/>
    <mergeCell ref="O278:P278"/>
    <mergeCell ref="O279:P279"/>
    <mergeCell ref="O280:P280"/>
    <mergeCell ref="O281:P281"/>
    <mergeCell ref="O264:P264"/>
    <mergeCell ref="O265:P265"/>
    <mergeCell ref="O266:P266"/>
    <mergeCell ref="O267:P267"/>
    <mergeCell ref="O268:P268"/>
    <mergeCell ref="O269:P269"/>
    <mergeCell ref="O270:P270"/>
    <mergeCell ref="O271:P271"/>
    <mergeCell ref="O272:P272"/>
    <mergeCell ref="O255:P255"/>
    <mergeCell ref="O256:P256"/>
    <mergeCell ref="O257:P257"/>
    <mergeCell ref="O258:P258"/>
    <mergeCell ref="O259:P259"/>
    <mergeCell ref="O260:P260"/>
    <mergeCell ref="O261:P261"/>
    <mergeCell ref="O262:P262"/>
    <mergeCell ref="O263:P263"/>
    <mergeCell ref="O246:P246"/>
    <mergeCell ref="O247:P247"/>
    <mergeCell ref="O248:P248"/>
    <mergeCell ref="O249:P249"/>
    <mergeCell ref="O250:P250"/>
    <mergeCell ref="O251:P251"/>
    <mergeCell ref="O252:P252"/>
    <mergeCell ref="O253:P253"/>
    <mergeCell ref="O254:P254"/>
    <mergeCell ref="O237:P237"/>
    <mergeCell ref="O238:P238"/>
    <mergeCell ref="O239:P239"/>
    <mergeCell ref="O240:P240"/>
    <mergeCell ref="O241:P241"/>
    <mergeCell ref="O242:P242"/>
    <mergeCell ref="O243:P243"/>
    <mergeCell ref="O244:P244"/>
    <mergeCell ref="O245:P245"/>
    <mergeCell ref="O228:P228"/>
    <mergeCell ref="O229:P229"/>
    <mergeCell ref="O230:P230"/>
    <mergeCell ref="O231:P231"/>
    <mergeCell ref="O232:P232"/>
    <mergeCell ref="O233:P233"/>
    <mergeCell ref="O234:P234"/>
    <mergeCell ref="O235:P235"/>
    <mergeCell ref="O236:P236"/>
    <mergeCell ref="O219:P219"/>
    <mergeCell ref="O220:P220"/>
    <mergeCell ref="O221:P221"/>
    <mergeCell ref="O222:P222"/>
    <mergeCell ref="O223:P223"/>
    <mergeCell ref="O224:P224"/>
    <mergeCell ref="O225:P225"/>
    <mergeCell ref="O226:P226"/>
    <mergeCell ref="O227:P227"/>
    <mergeCell ref="O210:P210"/>
    <mergeCell ref="O211:P211"/>
    <mergeCell ref="O212:P212"/>
    <mergeCell ref="O213:P213"/>
    <mergeCell ref="O214:P214"/>
    <mergeCell ref="O215:P215"/>
    <mergeCell ref="O216:P216"/>
    <mergeCell ref="O217:P217"/>
    <mergeCell ref="O218:P218"/>
    <mergeCell ref="O201:P201"/>
    <mergeCell ref="O202:P202"/>
    <mergeCell ref="O203:P203"/>
    <mergeCell ref="O204:P204"/>
    <mergeCell ref="O205:P205"/>
    <mergeCell ref="O206:P206"/>
    <mergeCell ref="O207:P207"/>
    <mergeCell ref="O208:P208"/>
    <mergeCell ref="O209:P209"/>
    <mergeCell ref="O192:P192"/>
    <mergeCell ref="O193:P193"/>
    <mergeCell ref="O194:P194"/>
    <mergeCell ref="O195:P195"/>
    <mergeCell ref="O196:P196"/>
    <mergeCell ref="O197:P197"/>
    <mergeCell ref="O198:P198"/>
    <mergeCell ref="O199:P199"/>
    <mergeCell ref="O200:P200"/>
    <mergeCell ref="O183:P183"/>
    <mergeCell ref="O184:P184"/>
    <mergeCell ref="O185:P185"/>
    <mergeCell ref="O186:P186"/>
    <mergeCell ref="O187:P187"/>
    <mergeCell ref="O188:P188"/>
    <mergeCell ref="O189:P189"/>
    <mergeCell ref="O190:P190"/>
    <mergeCell ref="O191:P191"/>
    <mergeCell ref="O174:P174"/>
    <mergeCell ref="O175:P175"/>
    <mergeCell ref="O176:P176"/>
    <mergeCell ref="O177:P177"/>
    <mergeCell ref="O178:P178"/>
    <mergeCell ref="O179:P179"/>
    <mergeCell ref="O180:P180"/>
    <mergeCell ref="O181:P181"/>
    <mergeCell ref="O182:P182"/>
    <mergeCell ref="O124:P124"/>
    <mergeCell ref="O125:P125"/>
    <mergeCell ref="O126:P126"/>
    <mergeCell ref="O127:P127"/>
    <mergeCell ref="O128:P128"/>
    <mergeCell ref="O147:P147"/>
    <mergeCell ref="O165:P165"/>
    <mergeCell ref="O166:P166"/>
    <mergeCell ref="O167:P167"/>
    <mergeCell ref="O168:P168"/>
    <mergeCell ref="O169:P169"/>
    <mergeCell ref="O170:P170"/>
    <mergeCell ref="O171:P171"/>
    <mergeCell ref="O172:P172"/>
    <mergeCell ref="O173:P173"/>
    <mergeCell ref="O156:P156"/>
    <mergeCell ref="O157:P157"/>
    <mergeCell ref="O158:P158"/>
    <mergeCell ref="O159:P159"/>
    <mergeCell ref="O160:P160"/>
    <mergeCell ref="O161:P161"/>
    <mergeCell ref="O162:P162"/>
    <mergeCell ref="O163:P163"/>
    <mergeCell ref="O164:P164"/>
    <mergeCell ref="O95:P95"/>
    <mergeCell ref="O96:P96"/>
    <mergeCell ref="O97:P97"/>
    <mergeCell ref="O98:P98"/>
    <mergeCell ref="O99:P99"/>
    <mergeCell ref="O100:P100"/>
    <mergeCell ref="O155:P155"/>
    <mergeCell ref="O138:P138"/>
    <mergeCell ref="O139:P139"/>
    <mergeCell ref="O140:P140"/>
    <mergeCell ref="O141:P141"/>
    <mergeCell ref="O142:P142"/>
    <mergeCell ref="O143:P143"/>
    <mergeCell ref="O144:P144"/>
    <mergeCell ref="O145:P145"/>
    <mergeCell ref="O146:P146"/>
    <mergeCell ref="O112:P112"/>
    <mergeCell ref="O113:P113"/>
    <mergeCell ref="O114:P114"/>
    <mergeCell ref="O115:P115"/>
    <mergeCell ref="O116:P116"/>
    <mergeCell ref="O117:P117"/>
    <mergeCell ref="O118:P118"/>
    <mergeCell ref="O119:P119"/>
    <mergeCell ref="O121:P121"/>
    <mergeCell ref="O122:P122"/>
    <mergeCell ref="O123:P123"/>
    <mergeCell ref="O137:P137"/>
    <mergeCell ref="O151:P151"/>
    <mergeCell ref="O152:P152"/>
    <mergeCell ref="O153:P153"/>
    <mergeCell ref="O154:P154"/>
    <mergeCell ref="O70:P70"/>
    <mergeCell ref="O71:P71"/>
    <mergeCell ref="O72:P72"/>
    <mergeCell ref="O73:P73"/>
    <mergeCell ref="O74:P74"/>
    <mergeCell ref="O75:P75"/>
    <mergeCell ref="O76:P76"/>
    <mergeCell ref="O77:P77"/>
    <mergeCell ref="O78:P78"/>
    <mergeCell ref="O84:P84"/>
    <mergeCell ref="O85:P85"/>
    <mergeCell ref="O86:P86"/>
    <mergeCell ref="O87:P87"/>
    <mergeCell ref="O88:P88"/>
    <mergeCell ref="O89:P89"/>
    <mergeCell ref="O90:P90"/>
    <mergeCell ref="O91:P91"/>
    <mergeCell ref="M261:N261"/>
    <mergeCell ref="M262:N262"/>
    <mergeCell ref="M257:N257"/>
    <mergeCell ref="M258:N258"/>
    <mergeCell ref="O148:P148"/>
    <mergeCell ref="O149:P149"/>
    <mergeCell ref="O150:P150"/>
    <mergeCell ref="O79:P79"/>
    <mergeCell ref="O80:P80"/>
    <mergeCell ref="O81:P81"/>
    <mergeCell ref="O82:P82"/>
    <mergeCell ref="O129:P129"/>
    <mergeCell ref="O130:P130"/>
    <mergeCell ref="O131:P131"/>
    <mergeCell ref="O132:P132"/>
    <mergeCell ref="O133:P133"/>
    <mergeCell ref="O134:P134"/>
    <mergeCell ref="O135:P135"/>
    <mergeCell ref="O136:P136"/>
    <mergeCell ref="O101:P101"/>
    <mergeCell ref="O120:P120"/>
    <mergeCell ref="O102:P102"/>
    <mergeCell ref="O103:P103"/>
    <mergeCell ref="O104:P104"/>
    <mergeCell ref="O105:P105"/>
    <mergeCell ref="O106:P106"/>
    <mergeCell ref="O107:P107"/>
    <mergeCell ref="O108:P108"/>
    <mergeCell ref="O109:P109"/>
    <mergeCell ref="O92:P92"/>
    <mergeCell ref="O93:P93"/>
    <mergeCell ref="O94:P94"/>
    <mergeCell ref="M242:N242"/>
    <mergeCell ref="M243:N243"/>
    <mergeCell ref="M244:N244"/>
    <mergeCell ref="M263:N263"/>
    <mergeCell ref="M218:N218"/>
    <mergeCell ref="M295:N295"/>
    <mergeCell ref="M296:N296"/>
    <mergeCell ref="M297:N297"/>
    <mergeCell ref="M271:N271"/>
    <mergeCell ref="M254:N254"/>
    <mergeCell ref="M255:N255"/>
    <mergeCell ref="M256:N256"/>
    <mergeCell ref="M264:N264"/>
    <mergeCell ref="M265:N265"/>
    <mergeCell ref="M266:N266"/>
    <mergeCell ref="M267:N267"/>
    <mergeCell ref="M268:N268"/>
    <mergeCell ref="M272:N272"/>
    <mergeCell ref="M273:N273"/>
    <mergeCell ref="M274:N274"/>
    <mergeCell ref="M275:N275"/>
    <mergeCell ref="M276:N276"/>
    <mergeCell ref="M277:N277"/>
    <mergeCell ref="M278:N278"/>
    <mergeCell ref="M279:N279"/>
    <mergeCell ref="M269:N269"/>
    <mergeCell ref="M270:N270"/>
    <mergeCell ref="M285:N285"/>
    <mergeCell ref="M286:N286"/>
    <mergeCell ref="M287:N287"/>
    <mergeCell ref="M288:N288"/>
    <mergeCell ref="M289:N289"/>
    <mergeCell ref="M213:N213"/>
    <mergeCell ref="M214:N214"/>
    <mergeCell ref="M215:N215"/>
    <mergeCell ref="M216:N216"/>
    <mergeCell ref="M217:N217"/>
    <mergeCell ref="M245:N245"/>
    <mergeCell ref="M246:N246"/>
    <mergeCell ref="M247:N247"/>
    <mergeCell ref="M248:N248"/>
    <mergeCell ref="M249:N249"/>
    <mergeCell ref="O110:P110"/>
    <mergeCell ref="O111:P111"/>
    <mergeCell ref="M280:N280"/>
    <mergeCell ref="M298:N298"/>
    <mergeCell ref="M281:N281"/>
    <mergeCell ref="M282:N282"/>
    <mergeCell ref="M283:N283"/>
    <mergeCell ref="M284:N284"/>
    <mergeCell ref="M290:N290"/>
    <mergeCell ref="M291:N291"/>
    <mergeCell ref="M292:N292"/>
    <mergeCell ref="M293:N293"/>
    <mergeCell ref="M250:N250"/>
    <mergeCell ref="M251:N251"/>
    <mergeCell ref="M252:N252"/>
    <mergeCell ref="M253:N253"/>
    <mergeCell ref="M236:N236"/>
    <mergeCell ref="M237:N237"/>
    <mergeCell ref="M238:N238"/>
    <mergeCell ref="M239:N239"/>
    <mergeCell ref="M240:N240"/>
    <mergeCell ref="M241:N241"/>
    <mergeCell ref="M227:N227"/>
    <mergeCell ref="M228:N228"/>
    <mergeCell ref="M229:N229"/>
    <mergeCell ref="M230:N230"/>
    <mergeCell ref="M231:N231"/>
    <mergeCell ref="M232:N232"/>
    <mergeCell ref="M233:N233"/>
    <mergeCell ref="M234:N234"/>
    <mergeCell ref="M235:N235"/>
    <mergeCell ref="M259:N259"/>
    <mergeCell ref="M260:N260"/>
    <mergeCell ref="M200:N200"/>
    <mergeCell ref="M201:N201"/>
    <mergeCell ref="M202:N202"/>
    <mergeCell ref="M203:N203"/>
    <mergeCell ref="M204:N204"/>
    <mergeCell ref="M205:N205"/>
    <mergeCell ref="M206:N206"/>
    <mergeCell ref="M207:N207"/>
    <mergeCell ref="M208:N208"/>
    <mergeCell ref="M219:N219"/>
    <mergeCell ref="M220:N220"/>
    <mergeCell ref="M221:N221"/>
    <mergeCell ref="M222:N222"/>
    <mergeCell ref="M223:N223"/>
    <mergeCell ref="M224:N224"/>
    <mergeCell ref="M225:N225"/>
    <mergeCell ref="M226:N226"/>
    <mergeCell ref="M209:N209"/>
    <mergeCell ref="M210:N210"/>
    <mergeCell ref="M211:N211"/>
    <mergeCell ref="M212:N212"/>
    <mergeCell ref="M191:N191"/>
    <mergeCell ref="M192:N192"/>
    <mergeCell ref="M193:N193"/>
    <mergeCell ref="M194:N194"/>
    <mergeCell ref="M195:N195"/>
    <mergeCell ref="M196:N196"/>
    <mergeCell ref="M197:N197"/>
    <mergeCell ref="M198:N198"/>
    <mergeCell ref="M199:N199"/>
    <mergeCell ref="M182:N182"/>
    <mergeCell ref="M183:N183"/>
    <mergeCell ref="M184:N184"/>
    <mergeCell ref="M185:N185"/>
    <mergeCell ref="M186:N186"/>
    <mergeCell ref="M187:N187"/>
    <mergeCell ref="M188:N188"/>
    <mergeCell ref="M189:N189"/>
    <mergeCell ref="M190:N190"/>
    <mergeCell ref="M173:N173"/>
    <mergeCell ref="M174:N174"/>
    <mergeCell ref="M175:N175"/>
    <mergeCell ref="M176:N176"/>
    <mergeCell ref="M177:N177"/>
    <mergeCell ref="M178:N178"/>
    <mergeCell ref="M179:N179"/>
    <mergeCell ref="M180:N180"/>
    <mergeCell ref="M181:N181"/>
    <mergeCell ref="M164:N164"/>
    <mergeCell ref="M165:N165"/>
    <mergeCell ref="M166:N166"/>
    <mergeCell ref="M167:N167"/>
    <mergeCell ref="M168:N168"/>
    <mergeCell ref="M169:N169"/>
    <mergeCell ref="M170:N170"/>
    <mergeCell ref="M171:N171"/>
    <mergeCell ref="M172:N172"/>
    <mergeCell ref="M155:N155"/>
    <mergeCell ref="M156:N156"/>
    <mergeCell ref="M157:N157"/>
    <mergeCell ref="M158:N158"/>
    <mergeCell ref="M159:N159"/>
    <mergeCell ref="M160:N160"/>
    <mergeCell ref="M161:N161"/>
    <mergeCell ref="M162:N162"/>
    <mergeCell ref="M163:N163"/>
    <mergeCell ref="M146:N146"/>
    <mergeCell ref="M147:N147"/>
    <mergeCell ref="M148:N148"/>
    <mergeCell ref="M149:N149"/>
    <mergeCell ref="M150:N150"/>
    <mergeCell ref="M151:N151"/>
    <mergeCell ref="M152:N152"/>
    <mergeCell ref="M153:N153"/>
    <mergeCell ref="M154:N154"/>
    <mergeCell ref="M137:N137"/>
    <mergeCell ref="M138:N138"/>
    <mergeCell ref="M139:N139"/>
    <mergeCell ref="M140:N140"/>
    <mergeCell ref="M141:N141"/>
    <mergeCell ref="M142:N142"/>
    <mergeCell ref="M143:N143"/>
    <mergeCell ref="M144:N144"/>
    <mergeCell ref="M145:N145"/>
    <mergeCell ref="M128:N128"/>
    <mergeCell ref="M129:N129"/>
    <mergeCell ref="M130:N130"/>
    <mergeCell ref="M131:N131"/>
    <mergeCell ref="M132:N132"/>
    <mergeCell ref="M133:N133"/>
    <mergeCell ref="M134:N134"/>
    <mergeCell ref="M135:N135"/>
    <mergeCell ref="M136:N136"/>
    <mergeCell ref="M119:N119"/>
    <mergeCell ref="M120:N120"/>
    <mergeCell ref="M121:N121"/>
    <mergeCell ref="M122:N122"/>
    <mergeCell ref="M123:N123"/>
    <mergeCell ref="M124:N124"/>
    <mergeCell ref="M125:N125"/>
    <mergeCell ref="M126:N126"/>
    <mergeCell ref="M127:N127"/>
    <mergeCell ref="M110:N110"/>
    <mergeCell ref="M111:N111"/>
    <mergeCell ref="M112:N112"/>
    <mergeCell ref="M113:N113"/>
    <mergeCell ref="M114:N114"/>
    <mergeCell ref="M115:N115"/>
    <mergeCell ref="M116:N116"/>
    <mergeCell ref="M117:N117"/>
    <mergeCell ref="M118:N118"/>
    <mergeCell ref="M101:N101"/>
    <mergeCell ref="M102:N102"/>
    <mergeCell ref="M103:N103"/>
    <mergeCell ref="M104:N104"/>
    <mergeCell ref="M105:N105"/>
    <mergeCell ref="M106:N106"/>
    <mergeCell ref="M107:N107"/>
    <mergeCell ref="M108:N108"/>
    <mergeCell ref="M109:N109"/>
    <mergeCell ref="M92:N92"/>
    <mergeCell ref="M93:N93"/>
    <mergeCell ref="M94:N94"/>
    <mergeCell ref="M95:N95"/>
    <mergeCell ref="M96:N96"/>
    <mergeCell ref="M97:N97"/>
    <mergeCell ref="M98:N98"/>
    <mergeCell ref="M99:N99"/>
    <mergeCell ref="M100:N100"/>
    <mergeCell ref="M83:N83"/>
    <mergeCell ref="M84:N84"/>
    <mergeCell ref="M85:N85"/>
    <mergeCell ref="M86:N86"/>
    <mergeCell ref="M87:N87"/>
    <mergeCell ref="M88:N88"/>
    <mergeCell ref="M89:N89"/>
    <mergeCell ref="M90:N90"/>
    <mergeCell ref="M91:N91"/>
    <mergeCell ref="K316:L316"/>
    <mergeCell ref="K317:L317"/>
    <mergeCell ref="K318:L318"/>
    <mergeCell ref="M62:N62"/>
    <mergeCell ref="M63:N63"/>
    <mergeCell ref="M64:N64"/>
    <mergeCell ref="M65:N65"/>
    <mergeCell ref="M66:N66"/>
    <mergeCell ref="M67:N67"/>
    <mergeCell ref="M68:N68"/>
    <mergeCell ref="M69:N69"/>
    <mergeCell ref="M70:N70"/>
    <mergeCell ref="M71:N71"/>
    <mergeCell ref="M72:N72"/>
    <mergeCell ref="M73:N73"/>
    <mergeCell ref="M74:N74"/>
    <mergeCell ref="M75:N75"/>
    <mergeCell ref="M76:N76"/>
    <mergeCell ref="M77:N77"/>
    <mergeCell ref="M78:N78"/>
    <mergeCell ref="M79:N79"/>
    <mergeCell ref="M80:N80"/>
    <mergeCell ref="M81:N81"/>
    <mergeCell ref="M82:N82"/>
    <mergeCell ref="K307:L307"/>
    <mergeCell ref="K308:L308"/>
    <mergeCell ref="K309:L309"/>
    <mergeCell ref="K310:L310"/>
    <mergeCell ref="K311:L311"/>
    <mergeCell ref="K312:L312"/>
    <mergeCell ref="K313:L313"/>
    <mergeCell ref="K314:L314"/>
    <mergeCell ref="K315:L315"/>
    <mergeCell ref="K298:L298"/>
    <mergeCell ref="K299:L299"/>
    <mergeCell ref="K300:L300"/>
    <mergeCell ref="K301:L301"/>
    <mergeCell ref="K302:L302"/>
    <mergeCell ref="K303:L303"/>
    <mergeCell ref="K304:L304"/>
    <mergeCell ref="K305:L305"/>
    <mergeCell ref="K306:L306"/>
    <mergeCell ref="K289:L289"/>
    <mergeCell ref="K290:L290"/>
    <mergeCell ref="K291:L291"/>
    <mergeCell ref="K292:L292"/>
    <mergeCell ref="K293:L293"/>
    <mergeCell ref="K294:L294"/>
    <mergeCell ref="K295:L295"/>
    <mergeCell ref="K296:L296"/>
    <mergeCell ref="K297:L297"/>
    <mergeCell ref="K280:L280"/>
    <mergeCell ref="K281:L281"/>
    <mergeCell ref="K282:L282"/>
    <mergeCell ref="K283:L283"/>
    <mergeCell ref="K262:L262"/>
    <mergeCell ref="K263:L263"/>
    <mergeCell ref="K264:L264"/>
    <mergeCell ref="K265:L265"/>
    <mergeCell ref="K266:L266"/>
    <mergeCell ref="K267:L267"/>
    <mergeCell ref="K268:L268"/>
    <mergeCell ref="K269:L269"/>
    <mergeCell ref="K270:L270"/>
    <mergeCell ref="K253:L253"/>
    <mergeCell ref="K254:L254"/>
    <mergeCell ref="K255:L255"/>
    <mergeCell ref="K256:L256"/>
    <mergeCell ref="K257:L257"/>
    <mergeCell ref="K258:L258"/>
    <mergeCell ref="K259:L259"/>
    <mergeCell ref="K260:L260"/>
    <mergeCell ref="K261:L261"/>
    <mergeCell ref="K244:L244"/>
    <mergeCell ref="K245:L245"/>
    <mergeCell ref="K246:L246"/>
    <mergeCell ref="K247:L247"/>
    <mergeCell ref="K248:L248"/>
    <mergeCell ref="K249:L249"/>
    <mergeCell ref="K250:L250"/>
    <mergeCell ref="K251:L251"/>
    <mergeCell ref="K252:L252"/>
    <mergeCell ref="K235:L235"/>
    <mergeCell ref="K236:L236"/>
    <mergeCell ref="K237:L237"/>
    <mergeCell ref="K238:L238"/>
    <mergeCell ref="K239:L239"/>
    <mergeCell ref="K240:L240"/>
    <mergeCell ref="K241:L241"/>
    <mergeCell ref="K242:L242"/>
    <mergeCell ref="K243:L243"/>
    <mergeCell ref="K226:L226"/>
    <mergeCell ref="K227:L227"/>
    <mergeCell ref="K228:L228"/>
    <mergeCell ref="K229:L229"/>
    <mergeCell ref="K230:L230"/>
    <mergeCell ref="K231:L231"/>
    <mergeCell ref="K232:L232"/>
    <mergeCell ref="K233:L233"/>
    <mergeCell ref="K234:L234"/>
    <mergeCell ref="K217:L217"/>
    <mergeCell ref="K218:L218"/>
    <mergeCell ref="K219:L219"/>
    <mergeCell ref="K220:L220"/>
    <mergeCell ref="K221:L221"/>
    <mergeCell ref="K222:L222"/>
    <mergeCell ref="K223:L223"/>
    <mergeCell ref="K224:L224"/>
    <mergeCell ref="K225:L225"/>
    <mergeCell ref="K208:L208"/>
    <mergeCell ref="K209:L209"/>
    <mergeCell ref="K210:L210"/>
    <mergeCell ref="K211:L211"/>
    <mergeCell ref="K212:L212"/>
    <mergeCell ref="K213:L213"/>
    <mergeCell ref="K214:L214"/>
    <mergeCell ref="K215:L215"/>
    <mergeCell ref="K216:L216"/>
    <mergeCell ref="K199:L199"/>
    <mergeCell ref="K200:L200"/>
    <mergeCell ref="K201:L201"/>
    <mergeCell ref="K202:L202"/>
    <mergeCell ref="K203:L203"/>
    <mergeCell ref="K204:L204"/>
    <mergeCell ref="K205:L205"/>
    <mergeCell ref="K206:L206"/>
    <mergeCell ref="K207:L207"/>
    <mergeCell ref="K190:L190"/>
    <mergeCell ref="K191:L191"/>
    <mergeCell ref="K192:L192"/>
    <mergeCell ref="K193:L193"/>
    <mergeCell ref="K194:L194"/>
    <mergeCell ref="K195:L195"/>
    <mergeCell ref="K196:L196"/>
    <mergeCell ref="K197:L197"/>
    <mergeCell ref="K198:L198"/>
    <mergeCell ref="K181:L181"/>
    <mergeCell ref="K182:L182"/>
    <mergeCell ref="K183:L183"/>
    <mergeCell ref="K184:L184"/>
    <mergeCell ref="K185:L185"/>
    <mergeCell ref="K186:L186"/>
    <mergeCell ref="K187:L187"/>
    <mergeCell ref="K188:L188"/>
    <mergeCell ref="K189:L189"/>
    <mergeCell ref="K172:L172"/>
    <mergeCell ref="K173:L173"/>
    <mergeCell ref="K174:L174"/>
    <mergeCell ref="K175:L175"/>
    <mergeCell ref="K176:L176"/>
    <mergeCell ref="K177:L177"/>
    <mergeCell ref="K178:L178"/>
    <mergeCell ref="K179:L179"/>
    <mergeCell ref="K180:L180"/>
    <mergeCell ref="K163:L163"/>
    <mergeCell ref="K164:L164"/>
    <mergeCell ref="K165:L165"/>
    <mergeCell ref="K166:L166"/>
    <mergeCell ref="K167:L167"/>
    <mergeCell ref="K168:L168"/>
    <mergeCell ref="K169:L169"/>
    <mergeCell ref="K170:L170"/>
    <mergeCell ref="K171:L171"/>
    <mergeCell ref="K154:L154"/>
    <mergeCell ref="K155:L155"/>
    <mergeCell ref="K156:L156"/>
    <mergeCell ref="K157:L157"/>
    <mergeCell ref="K158:L158"/>
    <mergeCell ref="K159:L159"/>
    <mergeCell ref="K160:L160"/>
    <mergeCell ref="K161:L161"/>
    <mergeCell ref="K162:L162"/>
    <mergeCell ref="K145:L145"/>
    <mergeCell ref="K146:L146"/>
    <mergeCell ref="K147:L147"/>
    <mergeCell ref="K148:L148"/>
    <mergeCell ref="K149:L149"/>
    <mergeCell ref="K150:L150"/>
    <mergeCell ref="K151:L151"/>
    <mergeCell ref="K152:L152"/>
    <mergeCell ref="K153:L153"/>
    <mergeCell ref="K136:L136"/>
    <mergeCell ref="K137:L137"/>
    <mergeCell ref="K138:L138"/>
    <mergeCell ref="K139:L139"/>
    <mergeCell ref="K140:L140"/>
    <mergeCell ref="K141:L141"/>
    <mergeCell ref="K142:L142"/>
    <mergeCell ref="K143:L143"/>
    <mergeCell ref="K144:L144"/>
    <mergeCell ref="K127:L127"/>
    <mergeCell ref="K128:L128"/>
    <mergeCell ref="K129:L129"/>
    <mergeCell ref="K130:L130"/>
    <mergeCell ref="K131:L131"/>
    <mergeCell ref="K132:L132"/>
    <mergeCell ref="K133:L133"/>
    <mergeCell ref="K134:L134"/>
    <mergeCell ref="K135:L135"/>
    <mergeCell ref="K119:L119"/>
    <mergeCell ref="K120:L120"/>
    <mergeCell ref="K121:L121"/>
    <mergeCell ref="K122:L122"/>
    <mergeCell ref="K123:L123"/>
    <mergeCell ref="K124:L124"/>
    <mergeCell ref="K125:L125"/>
    <mergeCell ref="K126:L126"/>
    <mergeCell ref="K109:L109"/>
    <mergeCell ref="K110:L110"/>
    <mergeCell ref="K111:L111"/>
    <mergeCell ref="K112:L112"/>
    <mergeCell ref="K113:L113"/>
    <mergeCell ref="K114:L114"/>
    <mergeCell ref="K115:L115"/>
    <mergeCell ref="K116:L116"/>
    <mergeCell ref="K117:L117"/>
    <mergeCell ref="G315:H315"/>
    <mergeCell ref="G316:H316"/>
    <mergeCell ref="G317:H317"/>
    <mergeCell ref="G318:H318"/>
    <mergeCell ref="K62:L62"/>
    <mergeCell ref="K63:L63"/>
    <mergeCell ref="K64:L64"/>
    <mergeCell ref="K65:L65"/>
    <mergeCell ref="K66:L66"/>
    <mergeCell ref="K67:L67"/>
    <mergeCell ref="K68:L68"/>
    <mergeCell ref="K69:L69"/>
    <mergeCell ref="K70:L70"/>
    <mergeCell ref="K71:L71"/>
    <mergeCell ref="K72:L72"/>
    <mergeCell ref="K73:L73"/>
    <mergeCell ref="K74:L74"/>
    <mergeCell ref="K75:L75"/>
    <mergeCell ref="K76:L76"/>
    <mergeCell ref="K77:L77"/>
    <mergeCell ref="K78:L78"/>
    <mergeCell ref="K79:L79"/>
    <mergeCell ref="K80:L80"/>
    <mergeCell ref="K100:L100"/>
    <mergeCell ref="K101:L101"/>
    <mergeCell ref="K102:L102"/>
    <mergeCell ref="K103:L103"/>
    <mergeCell ref="K104:L104"/>
    <mergeCell ref="K105:L105"/>
    <mergeCell ref="K106:L106"/>
    <mergeCell ref="K107:L107"/>
    <mergeCell ref="K108:L108"/>
    <mergeCell ref="G288:H288"/>
    <mergeCell ref="G289:H289"/>
    <mergeCell ref="G290:H290"/>
    <mergeCell ref="G291:H291"/>
    <mergeCell ref="G292:H292"/>
    <mergeCell ref="G293:H293"/>
    <mergeCell ref="G294:H294"/>
    <mergeCell ref="G295:H295"/>
    <mergeCell ref="G273:H273"/>
    <mergeCell ref="G274:H274"/>
    <mergeCell ref="G275:H275"/>
    <mergeCell ref="G276:H276"/>
    <mergeCell ref="G277:H277"/>
    <mergeCell ref="G278:H278"/>
    <mergeCell ref="G261:H261"/>
    <mergeCell ref="G262:H262"/>
    <mergeCell ref="G263:H263"/>
    <mergeCell ref="G264:H264"/>
    <mergeCell ref="G265:H265"/>
    <mergeCell ref="G266:H266"/>
    <mergeCell ref="G267:H267"/>
    <mergeCell ref="G268:H268"/>
    <mergeCell ref="G269:H269"/>
    <mergeCell ref="G296:H296"/>
    <mergeCell ref="G279:H279"/>
    <mergeCell ref="G280:H280"/>
    <mergeCell ref="G281:H281"/>
    <mergeCell ref="G282:H282"/>
    <mergeCell ref="K82:L82"/>
    <mergeCell ref="K83:L83"/>
    <mergeCell ref="K84:L84"/>
    <mergeCell ref="K85:L85"/>
    <mergeCell ref="K86:L86"/>
    <mergeCell ref="K87:L87"/>
    <mergeCell ref="K88:L88"/>
    <mergeCell ref="K89:L89"/>
    <mergeCell ref="K90:L90"/>
    <mergeCell ref="K91:L91"/>
    <mergeCell ref="K92:L92"/>
    <mergeCell ref="K93:L93"/>
    <mergeCell ref="K94:L94"/>
    <mergeCell ref="K95:L95"/>
    <mergeCell ref="K96:L96"/>
    <mergeCell ref="K97:L97"/>
    <mergeCell ref="K98:L98"/>
    <mergeCell ref="K99:L99"/>
    <mergeCell ref="K118:L118"/>
    <mergeCell ref="G283:H283"/>
    <mergeCell ref="G284:H284"/>
    <mergeCell ref="G285:H285"/>
    <mergeCell ref="G286:H286"/>
    <mergeCell ref="G287:H287"/>
    <mergeCell ref="G270:H270"/>
    <mergeCell ref="G271:H271"/>
    <mergeCell ref="G272:H272"/>
    <mergeCell ref="G306:H306"/>
    <mergeCell ref="G307:H307"/>
    <mergeCell ref="G308:H308"/>
    <mergeCell ref="G309:H309"/>
    <mergeCell ref="G310:H310"/>
    <mergeCell ref="G311:H311"/>
    <mergeCell ref="G312:H312"/>
    <mergeCell ref="G313:H313"/>
    <mergeCell ref="G314:H314"/>
    <mergeCell ref="G297:H297"/>
    <mergeCell ref="G298:H298"/>
    <mergeCell ref="G299:H299"/>
    <mergeCell ref="G300:H300"/>
    <mergeCell ref="G301:H301"/>
    <mergeCell ref="G302:H302"/>
    <mergeCell ref="G303:H303"/>
    <mergeCell ref="G304:H304"/>
    <mergeCell ref="G305:H305"/>
    <mergeCell ref="G252:H252"/>
    <mergeCell ref="G253:H253"/>
    <mergeCell ref="G254:H254"/>
    <mergeCell ref="G255:H255"/>
    <mergeCell ref="G256:H256"/>
    <mergeCell ref="G257:H257"/>
    <mergeCell ref="G258:H258"/>
    <mergeCell ref="G259:H259"/>
    <mergeCell ref="G260:H260"/>
    <mergeCell ref="G243:H243"/>
    <mergeCell ref="G244:H244"/>
    <mergeCell ref="G245:H245"/>
    <mergeCell ref="G246:H246"/>
    <mergeCell ref="G247:H247"/>
    <mergeCell ref="G248:H248"/>
    <mergeCell ref="G249:H249"/>
    <mergeCell ref="G250:H250"/>
    <mergeCell ref="G251:H251"/>
    <mergeCell ref="G234:H234"/>
    <mergeCell ref="G235:H235"/>
    <mergeCell ref="G236:H236"/>
    <mergeCell ref="G237:H237"/>
    <mergeCell ref="G238:H238"/>
    <mergeCell ref="G239:H239"/>
    <mergeCell ref="G240:H240"/>
    <mergeCell ref="G241:H241"/>
    <mergeCell ref="G242:H242"/>
    <mergeCell ref="G225:H225"/>
    <mergeCell ref="G226:H226"/>
    <mergeCell ref="G227:H227"/>
    <mergeCell ref="G228:H228"/>
    <mergeCell ref="G229:H229"/>
    <mergeCell ref="G230:H230"/>
    <mergeCell ref="G231:H231"/>
    <mergeCell ref="G232:H232"/>
    <mergeCell ref="G233:H233"/>
    <mergeCell ref="G216:H216"/>
    <mergeCell ref="G217:H217"/>
    <mergeCell ref="G218:H218"/>
    <mergeCell ref="G219:H219"/>
    <mergeCell ref="G220:H220"/>
    <mergeCell ref="G221:H221"/>
    <mergeCell ref="G222:H222"/>
    <mergeCell ref="G223:H223"/>
    <mergeCell ref="G224:H224"/>
    <mergeCell ref="G207:H207"/>
    <mergeCell ref="G208:H208"/>
    <mergeCell ref="G209:H209"/>
    <mergeCell ref="G210:H210"/>
    <mergeCell ref="G211:H211"/>
    <mergeCell ref="G212:H212"/>
    <mergeCell ref="G213:H213"/>
    <mergeCell ref="G214:H214"/>
    <mergeCell ref="G215:H215"/>
    <mergeCell ref="G198:H198"/>
    <mergeCell ref="G199:H199"/>
    <mergeCell ref="G200:H200"/>
    <mergeCell ref="G201:H201"/>
    <mergeCell ref="G202:H202"/>
    <mergeCell ref="G203:H203"/>
    <mergeCell ref="G204:H204"/>
    <mergeCell ref="G205:H205"/>
    <mergeCell ref="G206:H206"/>
    <mergeCell ref="G189:H189"/>
    <mergeCell ref="G190:H190"/>
    <mergeCell ref="G191:H191"/>
    <mergeCell ref="G192:H192"/>
    <mergeCell ref="G193:H193"/>
    <mergeCell ref="G194:H194"/>
    <mergeCell ref="G195:H195"/>
    <mergeCell ref="G196:H196"/>
    <mergeCell ref="G197:H197"/>
    <mergeCell ref="G181:H181"/>
    <mergeCell ref="G182:H182"/>
    <mergeCell ref="G183:H183"/>
    <mergeCell ref="G184:H184"/>
    <mergeCell ref="G185:H185"/>
    <mergeCell ref="G186:H186"/>
    <mergeCell ref="G187:H187"/>
    <mergeCell ref="G188:H188"/>
    <mergeCell ref="G171:H171"/>
    <mergeCell ref="G172:H172"/>
    <mergeCell ref="G173:H173"/>
    <mergeCell ref="G174:H174"/>
    <mergeCell ref="G175:H175"/>
    <mergeCell ref="G176:H176"/>
    <mergeCell ref="G177:H177"/>
    <mergeCell ref="G178:H178"/>
    <mergeCell ref="G179:H179"/>
    <mergeCell ref="G164:H164"/>
    <mergeCell ref="G165:H165"/>
    <mergeCell ref="G166:H166"/>
    <mergeCell ref="G167:H167"/>
    <mergeCell ref="G168:H168"/>
    <mergeCell ref="G169:H169"/>
    <mergeCell ref="G170:H170"/>
    <mergeCell ref="G153:H153"/>
    <mergeCell ref="G154:H154"/>
    <mergeCell ref="G155:H155"/>
    <mergeCell ref="G156:H156"/>
    <mergeCell ref="G157:H157"/>
    <mergeCell ref="G158:H158"/>
    <mergeCell ref="G159:H159"/>
    <mergeCell ref="G160:H160"/>
    <mergeCell ref="G161:H161"/>
    <mergeCell ref="G180:H180"/>
    <mergeCell ref="G147:H147"/>
    <mergeCell ref="G148:H148"/>
    <mergeCell ref="G149:H149"/>
    <mergeCell ref="G150:H150"/>
    <mergeCell ref="G151:H151"/>
    <mergeCell ref="G152:H152"/>
    <mergeCell ref="G135:H135"/>
    <mergeCell ref="G136:H136"/>
    <mergeCell ref="G137:H137"/>
    <mergeCell ref="G138:H138"/>
    <mergeCell ref="G139:H139"/>
    <mergeCell ref="G140:H140"/>
    <mergeCell ref="G141:H141"/>
    <mergeCell ref="G142:H142"/>
    <mergeCell ref="G143:H143"/>
    <mergeCell ref="G162:H162"/>
    <mergeCell ref="G163:H163"/>
    <mergeCell ref="G130:H130"/>
    <mergeCell ref="G131:H131"/>
    <mergeCell ref="G132:H132"/>
    <mergeCell ref="G133:H133"/>
    <mergeCell ref="G134:H134"/>
    <mergeCell ref="G117:H117"/>
    <mergeCell ref="G118:H118"/>
    <mergeCell ref="G119:H119"/>
    <mergeCell ref="G120:H120"/>
    <mergeCell ref="G121:H121"/>
    <mergeCell ref="G122:H122"/>
    <mergeCell ref="G123:H123"/>
    <mergeCell ref="G124:H124"/>
    <mergeCell ref="G125:H125"/>
    <mergeCell ref="G144:H144"/>
    <mergeCell ref="G145:H145"/>
    <mergeCell ref="G146:H146"/>
    <mergeCell ref="G113:H113"/>
    <mergeCell ref="G114:H114"/>
    <mergeCell ref="G115:H115"/>
    <mergeCell ref="G116:H116"/>
    <mergeCell ref="G99:H99"/>
    <mergeCell ref="G100:H100"/>
    <mergeCell ref="G101:H101"/>
    <mergeCell ref="G102:H102"/>
    <mergeCell ref="G103:H103"/>
    <mergeCell ref="G104:H104"/>
    <mergeCell ref="G105:H105"/>
    <mergeCell ref="G106:H106"/>
    <mergeCell ref="G107:H107"/>
    <mergeCell ref="G126:H126"/>
    <mergeCell ref="G127:H127"/>
    <mergeCell ref="G128:H128"/>
    <mergeCell ref="G129:H129"/>
    <mergeCell ref="G96:H96"/>
    <mergeCell ref="G97:H97"/>
    <mergeCell ref="G98:H98"/>
    <mergeCell ref="G81:H81"/>
    <mergeCell ref="G82:H82"/>
    <mergeCell ref="G83:H83"/>
    <mergeCell ref="G84:H84"/>
    <mergeCell ref="G85:H85"/>
    <mergeCell ref="G86:H86"/>
    <mergeCell ref="G87:H87"/>
    <mergeCell ref="G88:H88"/>
    <mergeCell ref="G89:H89"/>
    <mergeCell ref="G108:H108"/>
    <mergeCell ref="G109:H109"/>
    <mergeCell ref="G110:H110"/>
    <mergeCell ref="G111:H111"/>
    <mergeCell ref="G112:H112"/>
    <mergeCell ref="E314:F314"/>
    <mergeCell ref="E315:F315"/>
    <mergeCell ref="E316:F316"/>
    <mergeCell ref="E317:F317"/>
    <mergeCell ref="E318:F318"/>
    <mergeCell ref="G62:H62"/>
    <mergeCell ref="G63:H63"/>
    <mergeCell ref="G64:H64"/>
    <mergeCell ref="G65:H65"/>
    <mergeCell ref="G66:H66"/>
    <mergeCell ref="G67:H67"/>
    <mergeCell ref="G68:H68"/>
    <mergeCell ref="G69:H69"/>
    <mergeCell ref="G70:H70"/>
    <mergeCell ref="G71:H71"/>
    <mergeCell ref="G72:H72"/>
    <mergeCell ref="G73:H73"/>
    <mergeCell ref="G74:H74"/>
    <mergeCell ref="G75:H75"/>
    <mergeCell ref="G76:H76"/>
    <mergeCell ref="G77:H77"/>
    <mergeCell ref="G78:H78"/>
    <mergeCell ref="G79:H79"/>
    <mergeCell ref="G80:H80"/>
    <mergeCell ref="E305:F305"/>
    <mergeCell ref="E306:F306"/>
    <mergeCell ref="E307:F307"/>
    <mergeCell ref="E308:F308"/>
    <mergeCell ref="E309:F309"/>
    <mergeCell ref="E310:F310"/>
    <mergeCell ref="E311:F311"/>
    <mergeCell ref="E312:F312"/>
    <mergeCell ref="E313:F313"/>
    <mergeCell ref="E296:F296"/>
    <mergeCell ref="E297:F297"/>
    <mergeCell ref="E298:F298"/>
    <mergeCell ref="E299:F299"/>
    <mergeCell ref="E300:F300"/>
    <mergeCell ref="E301:F301"/>
    <mergeCell ref="E302:F302"/>
    <mergeCell ref="E303:F303"/>
    <mergeCell ref="E304:F304"/>
    <mergeCell ref="E287:F287"/>
    <mergeCell ref="E288:F288"/>
    <mergeCell ref="E289:F289"/>
    <mergeCell ref="E290:F290"/>
    <mergeCell ref="E291:F291"/>
    <mergeCell ref="E292:F292"/>
    <mergeCell ref="E293:F293"/>
    <mergeCell ref="E294:F294"/>
    <mergeCell ref="E295:F295"/>
    <mergeCell ref="E278:F278"/>
    <mergeCell ref="E279:F279"/>
    <mergeCell ref="E280:F280"/>
    <mergeCell ref="E281:F281"/>
    <mergeCell ref="E282:F282"/>
    <mergeCell ref="E283:F283"/>
    <mergeCell ref="E284:F284"/>
    <mergeCell ref="E285:F285"/>
    <mergeCell ref="E286:F286"/>
    <mergeCell ref="E269:F269"/>
    <mergeCell ref="E270:F270"/>
    <mergeCell ref="E271:F271"/>
    <mergeCell ref="E272:F272"/>
    <mergeCell ref="E273:F273"/>
    <mergeCell ref="E274:F274"/>
    <mergeCell ref="E275:F275"/>
    <mergeCell ref="E276:F276"/>
    <mergeCell ref="E277:F277"/>
    <mergeCell ref="E260:F260"/>
    <mergeCell ref="E261:F261"/>
    <mergeCell ref="E262:F262"/>
    <mergeCell ref="E263:F263"/>
    <mergeCell ref="E264:F264"/>
    <mergeCell ref="E265:F265"/>
    <mergeCell ref="E266:F266"/>
    <mergeCell ref="E267:F267"/>
    <mergeCell ref="E268:F268"/>
    <mergeCell ref="E251:F251"/>
    <mergeCell ref="E252:F252"/>
    <mergeCell ref="E253:F253"/>
    <mergeCell ref="E254:F254"/>
    <mergeCell ref="E255:F255"/>
    <mergeCell ref="E256:F256"/>
    <mergeCell ref="E257:F257"/>
    <mergeCell ref="E258:F258"/>
    <mergeCell ref="E259:F259"/>
    <mergeCell ref="E242:F242"/>
    <mergeCell ref="E243:F243"/>
    <mergeCell ref="E244:F244"/>
    <mergeCell ref="E245:F245"/>
    <mergeCell ref="E246:F246"/>
    <mergeCell ref="E247:F247"/>
    <mergeCell ref="E248:F248"/>
    <mergeCell ref="E249:F249"/>
    <mergeCell ref="E250:F250"/>
    <mergeCell ref="E233:F233"/>
    <mergeCell ref="E234:F234"/>
    <mergeCell ref="E235:F235"/>
    <mergeCell ref="E236:F236"/>
    <mergeCell ref="E237:F237"/>
    <mergeCell ref="E238:F238"/>
    <mergeCell ref="E239:F239"/>
    <mergeCell ref="E240:F240"/>
    <mergeCell ref="E241:F241"/>
    <mergeCell ref="E224:F224"/>
    <mergeCell ref="E225:F225"/>
    <mergeCell ref="E226:F226"/>
    <mergeCell ref="E227:F227"/>
    <mergeCell ref="E228:F228"/>
    <mergeCell ref="E229:F229"/>
    <mergeCell ref="E230:F230"/>
    <mergeCell ref="E231:F231"/>
    <mergeCell ref="E232:F232"/>
    <mergeCell ref="E215:F215"/>
    <mergeCell ref="E216:F216"/>
    <mergeCell ref="E217:F217"/>
    <mergeCell ref="E218:F218"/>
    <mergeCell ref="E219:F219"/>
    <mergeCell ref="E220:F220"/>
    <mergeCell ref="E221:F221"/>
    <mergeCell ref="E222:F222"/>
    <mergeCell ref="E223:F223"/>
    <mergeCell ref="E206:F206"/>
    <mergeCell ref="E207:F207"/>
    <mergeCell ref="E208:F208"/>
    <mergeCell ref="E209:F209"/>
    <mergeCell ref="E210:F210"/>
    <mergeCell ref="E211:F211"/>
    <mergeCell ref="E212:F212"/>
    <mergeCell ref="E213:F213"/>
    <mergeCell ref="E214:F214"/>
    <mergeCell ref="E197:F197"/>
    <mergeCell ref="E198:F198"/>
    <mergeCell ref="E199:F199"/>
    <mergeCell ref="E200:F200"/>
    <mergeCell ref="E201:F201"/>
    <mergeCell ref="E202:F202"/>
    <mergeCell ref="E203:F203"/>
    <mergeCell ref="E204:F204"/>
    <mergeCell ref="E205:F205"/>
    <mergeCell ref="E188:F188"/>
    <mergeCell ref="E189:F189"/>
    <mergeCell ref="E190:F190"/>
    <mergeCell ref="E191:F191"/>
    <mergeCell ref="E192:F192"/>
    <mergeCell ref="E193:F193"/>
    <mergeCell ref="E194:F194"/>
    <mergeCell ref="E195:F195"/>
    <mergeCell ref="E196:F196"/>
    <mergeCell ref="E179:F179"/>
    <mergeCell ref="E180:F180"/>
    <mergeCell ref="E181:F181"/>
    <mergeCell ref="E182:F182"/>
    <mergeCell ref="E183:F183"/>
    <mergeCell ref="E184:F184"/>
    <mergeCell ref="E185:F185"/>
    <mergeCell ref="E186:F186"/>
    <mergeCell ref="E187:F187"/>
    <mergeCell ref="E170:F170"/>
    <mergeCell ref="E171:F171"/>
    <mergeCell ref="E172:F172"/>
    <mergeCell ref="E173:F173"/>
    <mergeCell ref="E174:F174"/>
    <mergeCell ref="E175:F175"/>
    <mergeCell ref="E176:F176"/>
    <mergeCell ref="E177:F177"/>
    <mergeCell ref="E178:F178"/>
    <mergeCell ref="E161:F161"/>
    <mergeCell ref="E162:F162"/>
    <mergeCell ref="E163:F163"/>
    <mergeCell ref="E164:F164"/>
    <mergeCell ref="E165:F165"/>
    <mergeCell ref="E166:F166"/>
    <mergeCell ref="E167:F167"/>
    <mergeCell ref="E168:F168"/>
    <mergeCell ref="E169:F169"/>
    <mergeCell ref="E152:F152"/>
    <mergeCell ref="E153:F153"/>
    <mergeCell ref="E154:F154"/>
    <mergeCell ref="E155:F155"/>
    <mergeCell ref="E156:F156"/>
    <mergeCell ref="E157:F157"/>
    <mergeCell ref="E158:F158"/>
    <mergeCell ref="E159:F159"/>
    <mergeCell ref="E160:F160"/>
    <mergeCell ref="E143:F143"/>
    <mergeCell ref="E144:F144"/>
    <mergeCell ref="E145:F145"/>
    <mergeCell ref="E146:F146"/>
    <mergeCell ref="E147:F147"/>
    <mergeCell ref="E148:F148"/>
    <mergeCell ref="E149:F149"/>
    <mergeCell ref="E150:F150"/>
    <mergeCell ref="E151:F151"/>
    <mergeCell ref="E134:F134"/>
    <mergeCell ref="E135:F135"/>
    <mergeCell ref="E136:F136"/>
    <mergeCell ref="E137:F137"/>
    <mergeCell ref="E138:F138"/>
    <mergeCell ref="E139:F139"/>
    <mergeCell ref="E140:F140"/>
    <mergeCell ref="E141:F141"/>
    <mergeCell ref="E142:F142"/>
    <mergeCell ref="E125:F125"/>
    <mergeCell ref="E126:F126"/>
    <mergeCell ref="E127:F127"/>
    <mergeCell ref="E128:F128"/>
    <mergeCell ref="E129:F129"/>
    <mergeCell ref="E130:F130"/>
    <mergeCell ref="E131:F131"/>
    <mergeCell ref="E132:F132"/>
    <mergeCell ref="E133:F133"/>
    <mergeCell ref="E116:F116"/>
    <mergeCell ref="E117:F117"/>
    <mergeCell ref="E118:F118"/>
    <mergeCell ref="E119:F119"/>
    <mergeCell ref="E120:F120"/>
    <mergeCell ref="E121:F121"/>
    <mergeCell ref="E122:F122"/>
    <mergeCell ref="E123:F123"/>
    <mergeCell ref="E124:F124"/>
    <mergeCell ref="E107:F107"/>
    <mergeCell ref="E108:F108"/>
    <mergeCell ref="E109:F109"/>
    <mergeCell ref="E110:F110"/>
    <mergeCell ref="E111:F111"/>
    <mergeCell ref="E112:F112"/>
    <mergeCell ref="E113:F113"/>
    <mergeCell ref="E114:F114"/>
    <mergeCell ref="E115:F115"/>
    <mergeCell ref="K81:L81"/>
    <mergeCell ref="O83:P83"/>
    <mergeCell ref="I82:J82"/>
    <mergeCell ref="E62:F62"/>
    <mergeCell ref="E63:F63"/>
    <mergeCell ref="E64:F64"/>
    <mergeCell ref="E65:F65"/>
    <mergeCell ref="E66:F66"/>
    <mergeCell ref="E98:F98"/>
    <mergeCell ref="E99:F99"/>
    <mergeCell ref="E100:F100"/>
    <mergeCell ref="E101:F101"/>
    <mergeCell ref="E102:F102"/>
    <mergeCell ref="E103:F103"/>
    <mergeCell ref="E104:F104"/>
    <mergeCell ref="E105:F105"/>
    <mergeCell ref="E106:F106"/>
    <mergeCell ref="E89:F89"/>
    <mergeCell ref="E90:F90"/>
    <mergeCell ref="E91:F91"/>
    <mergeCell ref="E92:F92"/>
    <mergeCell ref="E93:F93"/>
    <mergeCell ref="E94:F94"/>
    <mergeCell ref="E95:F95"/>
    <mergeCell ref="E96:F96"/>
    <mergeCell ref="E97:F97"/>
    <mergeCell ref="G90:H90"/>
    <mergeCell ref="G91:H91"/>
    <mergeCell ref="G92:H92"/>
    <mergeCell ref="G93:H93"/>
    <mergeCell ref="G94:H94"/>
    <mergeCell ref="G95:H95"/>
    <mergeCell ref="E80:F80"/>
    <mergeCell ref="E81:F81"/>
    <mergeCell ref="E82:F82"/>
    <mergeCell ref="E83:F83"/>
    <mergeCell ref="E84:F84"/>
    <mergeCell ref="E85:F85"/>
    <mergeCell ref="E86:F86"/>
    <mergeCell ref="E87:F87"/>
    <mergeCell ref="E88:F88"/>
    <mergeCell ref="E71:F71"/>
    <mergeCell ref="E72:F72"/>
    <mergeCell ref="E73:F73"/>
    <mergeCell ref="E74:F74"/>
    <mergeCell ref="E75:F75"/>
    <mergeCell ref="E76:F76"/>
    <mergeCell ref="E77:F77"/>
    <mergeCell ref="E78:F78"/>
    <mergeCell ref="E79:F79"/>
    <mergeCell ref="E70:F70"/>
    <mergeCell ref="Z61:AA61"/>
    <mergeCell ref="E61:F61"/>
    <mergeCell ref="G61:H61"/>
    <mergeCell ref="I61:J61"/>
    <mergeCell ref="K61:L61"/>
    <mergeCell ref="M61:N61"/>
    <mergeCell ref="O61:P61"/>
    <mergeCell ref="Q61:R61"/>
    <mergeCell ref="T61:U61"/>
    <mergeCell ref="X61:Y61"/>
    <mergeCell ref="X62:Y62"/>
    <mergeCell ref="X63:Y63"/>
    <mergeCell ref="X64:Y64"/>
    <mergeCell ref="X65:Y65"/>
    <mergeCell ref="X66:Y66"/>
    <mergeCell ref="X67:Y67"/>
    <mergeCell ref="X68:Y68"/>
    <mergeCell ref="X69:Y69"/>
    <mergeCell ref="X70:Y70"/>
    <mergeCell ref="Z62:AA62"/>
    <mergeCell ref="Z63:AA63"/>
    <mergeCell ref="Z64:AA64"/>
    <mergeCell ref="Z65:AA65"/>
    <mergeCell ref="T62:U62"/>
    <mergeCell ref="T63:U63"/>
    <mergeCell ref="T64:U64"/>
    <mergeCell ref="T65:U65"/>
    <mergeCell ref="T66:U66"/>
    <mergeCell ref="O62:P62"/>
    <mergeCell ref="O63:P63"/>
    <mergeCell ref="O64:P64"/>
    <mergeCell ref="R47:S47"/>
    <mergeCell ref="U47:V47"/>
    <mergeCell ref="I47:J47"/>
    <mergeCell ref="I38:J38"/>
    <mergeCell ref="L38:M38"/>
    <mergeCell ref="O38:P38"/>
    <mergeCell ref="R38:S38"/>
    <mergeCell ref="H8:L8"/>
    <mergeCell ref="O10:R10"/>
    <mergeCell ref="O11:R11"/>
    <mergeCell ref="O12:R12"/>
    <mergeCell ref="I40:J40"/>
    <mergeCell ref="I41:J41"/>
    <mergeCell ref="L37:M37"/>
    <mergeCell ref="E67:F67"/>
    <mergeCell ref="E68:F68"/>
    <mergeCell ref="E69:F69"/>
    <mergeCell ref="O65:P65"/>
    <mergeCell ref="O66:P66"/>
    <mergeCell ref="O67:P67"/>
    <mergeCell ref="O68:P68"/>
    <mergeCell ref="O69:P69"/>
    <mergeCell ref="Q62:R62"/>
    <mergeCell ref="Q63:R63"/>
    <mergeCell ref="Q64:R64"/>
    <mergeCell ref="Q65:R65"/>
    <mergeCell ref="Q66:R66"/>
    <mergeCell ref="Q67:R67"/>
    <mergeCell ref="Q68:R68"/>
    <mergeCell ref="Q69:R69"/>
    <mergeCell ref="T67:U67"/>
    <mergeCell ref="T68:U68"/>
    <mergeCell ref="C10:H10"/>
    <mergeCell ref="C27:H27"/>
    <mergeCell ref="C29:H29"/>
    <mergeCell ref="C28:H28"/>
    <mergeCell ref="C26:H26"/>
    <mergeCell ref="C22:H22"/>
    <mergeCell ref="C21:H21"/>
    <mergeCell ref="C19:H19"/>
    <mergeCell ref="C18:H18"/>
    <mergeCell ref="C17:H17"/>
    <mergeCell ref="C16:H16"/>
    <mergeCell ref="C15:H15"/>
    <mergeCell ref="C13:H13"/>
    <mergeCell ref="C12:H12"/>
    <mergeCell ref="C11:H11"/>
    <mergeCell ref="L47:M47"/>
    <mergeCell ref="O47:P47"/>
    <mergeCell ref="I14:L14"/>
    <mergeCell ref="C14:H14"/>
    <mergeCell ref="Q60:R60"/>
    <mergeCell ref="T60:U60"/>
    <mergeCell ref="X60:Y60"/>
    <mergeCell ref="Z60:AA60"/>
    <mergeCell ref="C31:H31"/>
    <mergeCell ref="I49:J49"/>
    <mergeCell ref="L49:M49"/>
    <mergeCell ref="E60:F60"/>
    <mergeCell ref="G60:H60"/>
    <mergeCell ref="I60:J60"/>
    <mergeCell ref="K60:L60"/>
    <mergeCell ref="M60:N60"/>
    <mergeCell ref="O60:P60"/>
    <mergeCell ref="C57:E57"/>
    <mergeCell ref="F57:I57"/>
    <mergeCell ref="J57:L57"/>
    <mergeCell ref="C58:E58"/>
    <mergeCell ref="F58:I58"/>
    <mergeCell ref="J58:L58"/>
    <mergeCell ref="O57:Q57"/>
    <mergeCell ref="S57:U57"/>
    <mergeCell ref="V57:X57"/>
    <mergeCell ref="O58:Q58"/>
    <mergeCell ref="S58:U58"/>
    <mergeCell ref="V58:X58"/>
    <mergeCell ref="N56:Y56"/>
    <mergeCell ref="R49:S49"/>
    <mergeCell ref="O49:P49"/>
    <mergeCell ref="I36:V36"/>
    <mergeCell ref="O41:P41"/>
    <mergeCell ref="W37:Z39"/>
    <mergeCell ref="R44:S44"/>
    <mergeCell ref="R45:S45"/>
    <mergeCell ref="R46:S46"/>
    <mergeCell ref="U39:V39"/>
    <mergeCell ref="U41:V41"/>
    <mergeCell ref="U44:V44"/>
    <mergeCell ref="U45:V45"/>
    <mergeCell ref="R37:S37"/>
    <mergeCell ref="R39:S39"/>
    <mergeCell ref="R40:S40"/>
    <mergeCell ref="CP44:CR44"/>
    <mergeCell ref="R41:S41"/>
    <mergeCell ref="R42:S42"/>
    <mergeCell ref="V11:X11"/>
    <mergeCell ref="V12:X12"/>
    <mergeCell ref="V13:X13"/>
    <mergeCell ref="V14:X14"/>
    <mergeCell ref="V20:X20"/>
    <mergeCell ref="V22:X22"/>
    <mergeCell ref="V23:X23"/>
    <mergeCell ref="S11:U11"/>
    <mergeCell ref="S12:U12"/>
    <mergeCell ref="T19:U19"/>
    <mergeCell ref="O22:U22"/>
    <mergeCell ref="V15:X15"/>
    <mergeCell ref="V16:X16"/>
    <mergeCell ref="V17:X17"/>
    <mergeCell ref="V18:X18"/>
    <mergeCell ref="V19:X19"/>
    <mergeCell ref="CL44:CN44"/>
    <mergeCell ref="O15:R15"/>
    <mergeCell ref="CC9:CE9"/>
    <mergeCell ref="I23:L23"/>
    <mergeCell ref="I22:L22"/>
    <mergeCell ref="I21:L21"/>
    <mergeCell ref="I20:L20"/>
    <mergeCell ref="I26:L26"/>
    <mergeCell ref="I5:S5"/>
    <mergeCell ref="S10:U10"/>
    <mergeCell ref="I30:K30"/>
    <mergeCell ref="I27:L27"/>
    <mergeCell ref="I28:L28"/>
    <mergeCell ref="I29:L29"/>
    <mergeCell ref="I19:L19"/>
    <mergeCell ref="I18:L18"/>
    <mergeCell ref="I17:L17"/>
    <mergeCell ref="I16:L16"/>
    <mergeCell ref="I15:L15"/>
    <mergeCell ref="I13:L13"/>
    <mergeCell ref="I12:L12"/>
    <mergeCell ref="I11:L11"/>
    <mergeCell ref="I10:L10"/>
    <mergeCell ref="V24:X24"/>
    <mergeCell ref="V25:X25"/>
    <mergeCell ref="BO28:BS28"/>
    <mergeCell ref="T27:U27"/>
    <mergeCell ref="V27:X27"/>
    <mergeCell ref="O23:U23"/>
    <mergeCell ref="O24:U24"/>
    <mergeCell ref="O25:U25"/>
    <mergeCell ref="V10:X10"/>
    <mergeCell ref="T7:X7"/>
    <mergeCell ref="CU44:CW44"/>
    <mergeCell ref="CB30:CN30"/>
    <mergeCell ref="I42:J42"/>
    <mergeCell ref="I44:J44"/>
    <mergeCell ref="I45:J45"/>
    <mergeCell ref="I46:J46"/>
    <mergeCell ref="L42:M42"/>
    <mergeCell ref="L44:M44"/>
    <mergeCell ref="L45:M45"/>
    <mergeCell ref="L46:M46"/>
    <mergeCell ref="O37:P37"/>
    <mergeCell ref="O39:P39"/>
    <mergeCell ref="O40:P40"/>
    <mergeCell ref="I31:L31"/>
    <mergeCell ref="O42:P42"/>
    <mergeCell ref="O44:P44"/>
    <mergeCell ref="O45:P45"/>
    <mergeCell ref="O46:P46"/>
    <mergeCell ref="I33:L33"/>
    <mergeCell ref="I37:J37"/>
    <mergeCell ref="I39:J39"/>
    <mergeCell ref="CB42:CW42"/>
    <mergeCell ref="CD43:CF43"/>
    <mergeCell ref="CD44:CF44"/>
    <mergeCell ref="CH43:CJ43"/>
    <mergeCell ref="CH44:CJ44"/>
    <mergeCell ref="L39:M39"/>
    <mergeCell ref="L40:M40"/>
    <mergeCell ref="L41:M41"/>
    <mergeCell ref="CL43:CN43"/>
    <mergeCell ref="CU43:CW43"/>
    <mergeCell ref="CP43:CR43"/>
    <mergeCell ref="V60:W60"/>
    <mergeCell ref="V61:W61"/>
    <mergeCell ref="V62:W62"/>
    <mergeCell ref="V63:W63"/>
    <mergeCell ref="V64:W64"/>
    <mergeCell ref="V65:W65"/>
    <mergeCell ref="V66:W66"/>
    <mergeCell ref="V67:W67"/>
    <mergeCell ref="V68:W68"/>
    <mergeCell ref="V69:W69"/>
    <mergeCell ref="V70:W70"/>
    <mergeCell ref="V71:W71"/>
    <mergeCell ref="V72:W72"/>
    <mergeCell ref="V73:W73"/>
    <mergeCell ref="V74:W74"/>
    <mergeCell ref="V75:W75"/>
    <mergeCell ref="V76:W76"/>
    <mergeCell ref="V77:W77"/>
    <mergeCell ref="V78:W78"/>
    <mergeCell ref="V79:W79"/>
    <mergeCell ref="V80:W80"/>
    <mergeCell ref="V81:W81"/>
    <mergeCell ref="V82:W82"/>
    <mergeCell ref="V83:W83"/>
    <mergeCell ref="V84:W84"/>
    <mergeCell ref="V85:W85"/>
    <mergeCell ref="V86:W86"/>
    <mergeCell ref="V87:W87"/>
    <mergeCell ref="V88:W88"/>
    <mergeCell ref="V89:W89"/>
    <mergeCell ref="V90:W90"/>
    <mergeCell ref="V91:W91"/>
    <mergeCell ref="V92:W92"/>
    <mergeCell ref="V93:W93"/>
    <mergeCell ref="V94:W94"/>
    <mergeCell ref="V95:W95"/>
    <mergeCell ref="V96:W96"/>
    <mergeCell ref="V97:W97"/>
    <mergeCell ref="V98:W98"/>
    <mergeCell ref="V99:W99"/>
    <mergeCell ref="V100:W100"/>
    <mergeCell ref="V101:W101"/>
    <mergeCell ref="V102:W102"/>
    <mergeCell ref="V103:W103"/>
    <mergeCell ref="V104:W104"/>
    <mergeCell ref="V105:W105"/>
    <mergeCell ref="V106:W106"/>
    <mergeCell ref="V107:W107"/>
    <mergeCell ref="V108:W108"/>
    <mergeCell ref="V109:W109"/>
    <mergeCell ref="V110:W110"/>
    <mergeCell ref="V111:W111"/>
    <mergeCell ref="V112:W112"/>
    <mergeCell ref="V113:W113"/>
    <mergeCell ref="V114:W114"/>
    <mergeCell ref="V115:W115"/>
    <mergeCell ref="V116:W116"/>
    <mergeCell ref="V117:W117"/>
    <mergeCell ref="V118:W118"/>
    <mergeCell ref="V119:W119"/>
    <mergeCell ref="V120:W120"/>
    <mergeCell ref="V121:W121"/>
    <mergeCell ref="V122:W122"/>
    <mergeCell ref="V123:W123"/>
    <mergeCell ref="V124:W124"/>
    <mergeCell ref="V125:W125"/>
    <mergeCell ref="V126:W126"/>
    <mergeCell ref="V127:W127"/>
    <mergeCell ref="V128:W128"/>
    <mergeCell ref="V129:W129"/>
    <mergeCell ref="V130:W130"/>
    <mergeCell ref="V131:W131"/>
    <mergeCell ref="V132:W132"/>
    <mergeCell ref="V133:W133"/>
    <mergeCell ref="V134:W134"/>
    <mergeCell ref="V135:W135"/>
    <mergeCell ref="V136:W136"/>
    <mergeCell ref="V137:W137"/>
    <mergeCell ref="V138:W138"/>
    <mergeCell ref="V139:W139"/>
    <mergeCell ref="V140:W140"/>
    <mergeCell ref="V141:W141"/>
    <mergeCell ref="V142:W142"/>
    <mergeCell ref="V143:W143"/>
    <mergeCell ref="V144:W144"/>
    <mergeCell ref="V145:W145"/>
    <mergeCell ref="V146:W146"/>
    <mergeCell ref="V147:W147"/>
    <mergeCell ref="V148:W148"/>
    <mergeCell ref="V149:W149"/>
    <mergeCell ref="V150:W150"/>
    <mergeCell ref="V151:W151"/>
    <mergeCell ref="V152:W152"/>
    <mergeCell ref="V153:W153"/>
    <mergeCell ref="V154:W154"/>
    <mergeCell ref="V155:W155"/>
    <mergeCell ref="V156:W156"/>
    <mergeCell ref="V157:W157"/>
    <mergeCell ref="V158:W158"/>
    <mergeCell ref="V159:W159"/>
    <mergeCell ref="V160:W160"/>
    <mergeCell ref="V161:W161"/>
    <mergeCell ref="V162:W162"/>
    <mergeCell ref="V163:W163"/>
    <mergeCell ref="V164:W164"/>
    <mergeCell ref="V165:W165"/>
    <mergeCell ref="V166:W166"/>
    <mergeCell ref="V167:W167"/>
    <mergeCell ref="V168:W168"/>
    <mergeCell ref="V169:W169"/>
    <mergeCell ref="V170:W170"/>
    <mergeCell ref="V171:W171"/>
    <mergeCell ref="V172:W172"/>
    <mergeCell ref="V173:W173"/>
    <mergeCell ref="V174:W174"/>
    <mergeCell ref="V175:W175"/>
    <mergeCell ref="V176:W176"/>
    <mergeCell ref="V177:W177"/>
    <mergeCell ref="V178:W178"/>
    <mergeCell ref="V179:W179"/>
    <mergeCell ref="V180:W180"/>
    <mergeCell ref="V181:W181"/>
    <mergeCell ref="V182:W182"/>
    <mergeCell ref="V183:W183"/>
    <mergeCell ref="V184:W184"/>
    <mergeCell ref="V185:W185"/>
    <mergeCell ref="V186:W186"/>
    <mergeCell ref="V187:W187"/>
    <mergeCell ref="V188:W188"/>
    <mergeCell ref="V189:W189"/>
    <mergeCell ref="V190:W190"/>
    <mergeCell ref="V191:W191"/>
    <mergeCell ref="V192:W192"/>
    <mergeCell ref="V193:W193"/>
    <mergeCell ref="V194:W194"/>
    <mergeCell ref="V195:W195"/>
    <mergeCell ref="V196:W196"/>
    <mergeCell ref="V197:W197"/>
    <mergeCell ref="V198:W198"/>
    <mergeCell ref="V199:W199"/>
    <mergeCell ref="V200:W200"/>
    <mergeCell ref="V201:W201"/>
    <mergeCell ref="V202:W202"/>
    <mergeCell ref="V203:W203"/>
    <mergeCell ref="V204:W204"/>
    <mergeCell ref="V205:W205"/>
    <mergeCell ref="V206:W206"/>
    <mergeCell ref="V207:W207"/>
    <mergeCell ref="V208:W208"/>
    <mergeCell ref="V209:W209"/>
    <mergeCell ref="V210:W210"/>
    <mergeCell ref="V211:W211"/>
    <mergeCell ref="V212:W212"/>
    <mergeCell ref="V213:W213"/>
    <mergeCell ref="V214:W214"/>
    <mergeCell ref="V215:W215"/>
    <mergeCell ref="V216:W216"/>
    <mergeCell ref="V217:W217"/>
    <mergeCell ref="V218:W218"/>
    <mergeCell ref="V219:W219"/>
    <mergeCell ref="V220:W220"/>
    <mergeCell ref="V221:W221"/>
    <mergeCell ref="V222:W222"/>
    <mergeCell ref="V223:W223"/>
    <mergeCell ref="V224:W224"/>
    <mergeCell ref="V225:W225"/>
    <mergeCell ref="V226:W226"/>
    <mergeCell ref="V227:W227"/>
    <mergeCell ref="V228:W228"/>
    <mergeCell ref="V229:W229"/>
    <mergeCell ref="V230:W230"/>
    <mergeCell ref="V231:W231"/>
    <mergeCell ref="V232:W232"/>
    <mergeCell ref="V233:W233"/>
    <mergeCell ref="V234:W234"/>
    <mergeCell ref="V235:W235"/>
    <mergeCell ref="V236:W236"/>
    <mergeCell ref="V237:W237"/>
    <mergeCell ref="V238:W238"/>
    <mergeCell ref="V239:W239"/>
    <mergeCell ref="V240:W240"/>
    <mergeCell ref="V241:W241"/>
    <mergeCell ref="V242:W242"/>
    <mergeCell ref="V243:W243"/>
    <mergeCell ref="V244:W244"/>
    <mergeCell ref="V245:W245"/>
    <mergeCell ref="V246:W246"/>
    <mergeCell ref="V247:W247"/>
    <mergeCell ref="V248:W248"/>
    <mergeCell ref="V249:W249"/>
    <mergeCell ref="V250:W250"/>
    <mergeCell ref="V251:W251"/>
    <mergeCell ref="V252:W252"/>
    <mergeCell ref="V253:W253"/>
    <mergeCell ref="V254:W254"/>
    <mergeCell ref="V255:W255"/>
    <mergeCell ref="V256:W256"/>
    <mergeCell ref="V257:W257"/>
    <mergeCell ref="V258:W258"/>
    <mergeCell ref="V259:W259"/>
    <mergeCell ref="V260:W260"/>
    <mergeCell ref="V261:W261"/>
    <mergeCell ref="V262:W262"/>
    <mergeCell ref="V263:W263"/>
    <mergeCell ref="V290:W290"/>
    <mergeCell ref="V291:W291"/>
    <mergeCell ref="V292:W292"/>
    <mergeCell ref="V293:W293"/>
    <mergeCell ref="V294:W294"/>
    <mergeCell ref="V295:W295"/>
    <mergeCell ref="V296:W296"/>
    <mergeCell ref="V297:W297"/>
    <mergeCell ref="V264:W264"/>
    <mergeCell ref="V265:W265"/>
    <mergeCell ref="V266:W266"/>
    <mergeCell ref="V267:W267"/>
    <mergeCell ref="V268:W268"/>
    <mergeCell ref="V269:W269"/>
    <mergeCell ref="V270:W270"/>
    <mergeCell ref="V271:W271"/>
    <mergeCell ref="V272:W272"/>
    <mergeCell ref="V273:W273"/>
    <mergeCell ref="V274:W274"/>
    <mergeCell ref="V275:W275"/>
    <mergeCell ref="V276:W276"/>
    <mergeCell ref="V277:W277"/>
    <mergeCell ref="V278:W278"/>
    <mergeCell ref="V279:W279"/>
    <mergeCell ref="V280:W280"/>
    <mergeCell ref="V315:W315"/>
    <mergeCell ref="V316:W316"/>
    <mergeCell ref="V317:W317"/>
    <mergeCell ref="V318:W318"/>
    <mergeCell ref="V320:W320"/>
    <mergeCell ref="Y54:Z54"/>
    <mergeCell ref="V298:W298"/>
    <mergeCell ref="V299:W299"/>
    <mergeCell ref="V300:W300"/>
    <mergeCell ref="V301:W301"/>
    <mergeCell ref="V302:W302"/>
    <mergeCell ref="V303:W303"/>
    <mergeCell ref="V304:W304"/>
    <mergeCell ref="V305:W305"/>
    <mergeCell ref="V306:W306"/>
    <mergeCell ref="V307:W307"/>
    <mergeCell ref="V308:W308"/>
    <mergeCell ref="V309:W309"/>
    <mergeCell ref="V310:W310"/>
    <mergeCell ref="V311:W311"/>
    <mergeCell ref="V312:W312"/>
    <mergeCell ref="V313:W313"/>
    <mergeCell ref="V314:W314"/>
    <mergeCell ref="V281:W281"/>
    <mergeCell ref="V282:W282"/>
    <mergeCell ref="V283:W283"/>
    <mergeCell ref="V284:W284"/>
    <mergeCell ref="V285:W285"/>
    <mergeCell ref="V286:W286"/>
    <mergeCell ref="V287:W287"/>
    <mergeCell ref="V288:W288"/>
    <mergeCell ref="V289:W289"/>
  </mergeCells>
  <conditionalFormatting sqref="O12">
    <cfRule type="expression" dxfId="125" priority="61" stopIfTrue="1">
      <formula>$O$12&lt;&gt;""</formula>
    </cfRule>
  </conditionalFormatting>
  <conditionalFormatting sqref="S12">
    <cfRule type="expression" dxfId="124" priority="45" stopIfTrue="1">
      <formula>$I$10="Terreno+Construcción"</formula>
    </cfRule>
    <cfRule type="expression" dxfId="123" priority="60" stopIfTrue="1">
      <formula>$I$10=$BV$5</formula>
    </cfRule>
  </conditionalFormatting>
  <conditionalFormatting sqref="V12">
    <cfRule type="expression" dxfId="122" priority="59" stopIfTrue="1">
      <formula>$I$10=$BV$5</formula>
    </cfRule>
  </conditionalFormatting>
  <conditionalFormatting sqref="V15:V19">
    <cfRule type="expression" dxfId="121" priority="58" stopIfTrue="1">
      <formula>$I$10="Terreno + Construcción"</formula>
    </cfRule>
  </conditionalFormatting>
  <conditionalFormatting sqref="C19">
    <cfRule type="notContainsText" dxfId="120" priority="53" stopIfTrue="1" operator="notContains" text="1">
      <formula>ISERROR(SEARCH("1",C19))</formula>
    </cfRule>
  </conditionalFormatting>
  <conditionalFormatting sqref="C22">
    <cfRule type="containsText" dxfId="119" priority="52" stopIfTrue="1" operator="containsText" text="¿La remodelación es estructural?">
      <formula>NOT(ISERROR(SEARCH("¿La remodelación es estructural?",C22)))</formula>
    </cfRule>
  </conditionalFormatting>
  <conditionalFormatting sqref="CL23">
    <cfRule type="expression" dxfId="118" priority="48" stopIfTrue="1">
      <formula>$CL$22=0</formula>
    </cfRule>
  </conditionalFormatting>
  <conditionalFormatting sqref="CM23">
    <cfRule type="expression" dxfId="117" priority="47" stopIfTrue="1">
      <formula>$CM$22=0</formula>
    </cfRule>
  </conditionalFormatting>
  <conditionalFormatting sqref="CN23">
    <cfRule type="expression" dxfId="116" priority="46" stopIfTrue="1">
      <formula>$CN$22=0</formula>
    </cfRule>
  </conditionalFormatting>
  <conditionalFormatting sqref="I22:L22">
    <cfRule type="expression" dxfId="115" priority="36">
      <formula>$I$10="Remodelación"</formula>
    </cfRule>
  </conditionalFormatting>
  <conditionalFormatting sqref="CY36:CY37">
    <cfRule type="dataBar" priority="35">
      <dataBar>
        <cfvo type="num" val="0"/>
        <cfvo type="num" val="1"/>
        <color theme="9" tint="0.59999389629810485"/>
      </dataBar>
      <extLst>
        <ext xmlns:x14="http://schemas.microsoft.com/office/spreadsheetml/2009/9/main" uri="{B025F937-C7B1-47D3-B67F-A62EFF666E3E}">
          <x14:id>{BAB1265C-FD15-42DC-A95E-4A1BCFEE2F77}</x14:id>
        </ext>
      </extLst>
    </cfRule>
  </conditionalFormatting>
  <conditionalFormatting sqref="W37:Z39">
    <cfRule type="expression" dxfId="114" priority="32">
      <formula>$W$37="El periodo no puede ser mayor o igual al plazo de construcción"</formula>
    </cfRule>
  </conditionalFormatting>
  <conditionalFormatting sqref="I36:V36">
    <cfRule type="expression" dxfId="113" priority="31">
      <formula>$I$36="Se debe capturar el periodo de las ministraciones (los meses estimados en que se abonaran las ministraciones)"</formula>
    </cfRule>
  </conditionalFormatting>
  <conditionalFormatting sqref="R38:S38">
    <cfRule type="expression" dxfId="112" priority="11">
      <formula>IF($I$31=4,$R$38="")</formula>
    </cfRule>
    <cfRule type="expression" dxfId="111" priority="27">
      <formula>$I$31=1</formula>
    </cfRule>
    <cfRule type="expression" dxfId="110" priority="29">
      <formula>$I$31=2</formula>
    </cfRule>
    <cfRule type="expression" dxfId="109" priority="30">
      <formula>$I$31=3</formula>
    </cfRule>
  </conditionalFormatting>
  <conditionalFormatting sqref="O38:P38">
    <cfRule type="expression" dxfId="108" priority="12">
      <formula>IF($I$31=4,$O$38="")</formula>
    </cfRule>
    <cfRule type="expression" dxfId="107" priority="13">
      <formula>IF($I$31=3,$O$38="")</formula>
    </cfRule>
    <cfRule type="expression" dxfId="106" priority="26">
      <formula>IF($I$31=2,$O$38="")</formula>
    </cfRule>
    <cfRule type="expression" dxfId="105" priority="28">
      <formula>IF($I$31=1,$O$38="")</formula>
    </cfRule>
  </conditionalFormatting>
  <conditionalFormatting sqref="L38:M38">
    <cfRule type="expression" dxfId="104" priority="14">
      <formula>IF($I$31=4,$L$38="")</formula>
    </cfRule>
    <cfRule type="expression" dxfId="103" priority="15">
      <formula>IF($I$31=3,$L$38="")</formula>
    </cfRule>
    <cfRule type="expression" dxfId="102" priority="16">
      <formula>IF($I$31=2,$L$38="")</formula>
    </cfRule>
    <cfRule type="expression" dxfId="101" priority="25">
      <formula>$I$31=1</formula>
    </cfRule>
  </conditionalFormatting>
  <conditionalFormatting sqref="C27">
    <cfRule type="expression" dxfId="100" priority="23">
      <formula>$C$27="Monto del crédito solicitado para el terreno *"</formula>
    </cfRule>
  </conditionalFormatting>
  <conditionalFormatting sqref="I27:L27">
    <cfRule type="expression" dxfId="99" priority="730">
      <formula>$C$27&lt;&gt;""</formula>
    </cfRule>
  </conditionalFormatting>
  <conditionalFormatting sqref="CC39:CX39">
    <cfRule type="expression" dxfId="98" priority="728">
      <formula>CC$39=#REF!</formula>
    </cfRule>
    <cfRule type="expression" dxfId="97" priority="729">
      <formula>CC$39=#REF!</formula>
    </cfRule>
  </conditionalFormatting>
  <conditionalFormatting sqref="Z61:AA61 B61:U318 X61:Y318">
    <cfRule type="expression" dxfId="96" priority="19">
      <formula>$Z$61=0</formula>
    </cfRule>
  </conditionalFormatting>
  <conditionalFormatting sqref="N57:Y57">
    <cfRule type="expression" dxfId="95" priority="733">
      <formula>$R$54="SI"</formula>
    </cfRule>
  </conditionalFormatting>
  <conditionalFormatting sqref="N58:Q58">
    <cfRule type="expression" dxfId="94" priority="734">
      <formula>$R$54="SI"</formula>
    </cfRule>
  </conditionalFormatting>
  <conditionalFormatting sqref="R58:Y58">
    <cfRule type="expression" dxfId="93" priority="735">
      <formula>$R$54="SI"</formula>
    </cfRule>
  </conditionalFormatting>
  <conditionalFormatting sqref="N56:Y56">
    <cfRule type="expression" dxfId="92" priority="6">
      <formula>$R$54="SI"</formula>
    </cfRule>
  </conditionalFormatting>
  <conditionalFormatting sqref="C58:L58">
    <cfRule type="expression" dxfId="91" priority="755">
      <formula>$Z$63</formula>
    </cfRule>
  </conditionalFormatting>
  <conditionalFormatting sqref="B61:U318 X61:AA318">
    <cfRule type="expression" dxfId="90" priority="756">
      <formula>$Z$61=""</formula>
    </cfRule>
  </conditionalFormatting>
  <conditionalFormatting sqref="C57:L57">
    <cfRule type="expression" dxfId="89" priority="757">
      <formula>$X$320&gt;0</formula>
    </cfRule>
  </conditionalFormatting>
  <conditionalFormatting sqref="Y54:Z54">
    <cfRule type="expression" dxfId="88" priority="2">
      <formula>$Y$52="SI"</formula>
    </cfRule>
  </conditionalFormatting>
  <conditionalFormatting sqref="I14:L14">
    <cfRule type="expression" dxfId="87" priority="1">
      <formula>$C$14&lt;&gt;""</formula>
    </cfRule>
  </conditionalFormatting>
  <dataValidations count="35">
    <dataValidation type="list" allowBlank="1" showInputMessage="1" showErrorMessage="1" sqref="WXM983051 I11 WNQ983051 WDU983051 VTY983051 VKC983051 VAG983051 UQK983051 UGO983051 TWS983051 TMW983051 TDA983051 STE983051 SJI983051 RZM983051 RPQ983051 RFU983051 QVY983051 QMC983051 QCG983051 PSK983051 PIO983051 OYS983051 OOW983051 OFA983051 NVE983051 NLI983051 NBM983051 MRQ983051 MHU983051 LXY983051 LOC983051 LEG983051 KUK983051 KKO983051 KAS983051 JQW983051 JHA983051 IXE983051 INI983051 IDM983051 HTQ983051 HJU983051 GZY983051 GQC983051 GGG983051 FWK983051 FMO983051 FCS983051 ESW983051 EJA983051 DZE983051 DPI983051 DFM983051 CVQ983051 CLU983051 CBY983051 BSC983051 BIG983051 AYK983051 AOO983051 AES983051 UW983051 LA983051 I983129:Q983129 WXM917515 WNQ917515 WDU917515 VTY917515 VKC917515 VAG917515 UQK917515 UGO917515 TWS917515 TMW917515 TDA917515 STE917515 SJI917515 RZM917515 RPQ917515 RFU917515 QVY917515 QMC917515 QCG917515 PSK917515 PIO917515 OYS917515 OOW917515 OFA917515 NVE917515 NLI917515 NBM917515 MRQ917515 MHU917515 LXY917515 LOC917515 LEG917515 KUK917515 KKO917515 KAS917515 JQW917515 JHA917515 IXE917515 INI917515 IDM917515 HTQ917515 HJU917515 GZY917515 GQC917515 GGG917515 FWK917515 FMO917515 FCS917515 ESW917515 EJA917515 DZE917515 DPI917515 DFM917515 CVQ917515 CLU917515 CBY917515 BSC917515 BIG917515 AYK917515 AOO917515 AES917515 UW917515 LA917515 I917593:Q917593 WXM851979 WNQ851979 WDU851979 VTY851979 VKC851979 VAG851979 UQK851979 UGO851979 TWS851979 TMW851979 TDA851979 STE851979 SJI851979 RZM851979 RPQ851979 RFU851979 QVY851979 QMC851979 QCG851979 PSK851979 PIO851979 OYS851979 OOW851979 OFA851979 NVE851979 NLI851979 NBM851979 MRQ851979 MHU851979 LXY851979 LOC851979 LEG851979 KUK851979 KKO851979 KAS851979 JQW851979 JHA851979 IXE851979 INI851979 IDM851979 HTQ851979 HJU851979 GZY851979 GQC851979 GGG851979 FWK851979 FMO851979 FCS851979 ESW851979 EJA851979 DZE851979 DPI851979 DFM851979 CVQ851979 CLU851979 CBY851979 BSC851979 BIG851979 AYK851979 AOO851979 AES851979 UW851979 LA851979 I852057:Q852057 WXM786443 WNQ786443 WDU786443 VTY786443 VKC786443 VAG786443 UQK786443 UGO786443 TWS786443 TMW786443 TDA786443 STE786443 SJI786443 RZM786443 RPQ786443 RFU786443 QVY786443 QMC786443 QCG786443 PSK786443 PIO786443 OYS786443 OOW786443 OFA786443 NVE786443 NLI786443 NBM786443 MRQ786443 MHU786443 LXY786443 LOC786443 LEG786443 KUK786443 KKO786443 KAS786443 JQW786443 JHA786443 IXE786443 INI786443 IDM786443 HTQ786443 HJU786443 GZY786443 GQC786443 GGG786443 FWK786443 FMO786443 FCS786443 ESW786443 EJA786443 DZE786443 DPI786443 DFM786443 CVQ786443 CLU786443 CBY786443 BSC786443 BIG786443 AYK786443 AOO786443 AES786443 UW786443 LA786443 I786521:Q786521 WXM720907 WNQ720907 WDU720907 VTY720907 VKC720907 VAG720907 UQK720907 UGO720907 TWS720907 TMW720907 TDA720907 STE720907 SJI720907 RZM720907 RPQ720907 RFU720907 QVY720907 QMC720907 QCG720907 PSK720907 PIO720907 OYS720907 OOW720907 OFA720907 NVE720907 NLI720907 NBM720907 MRQ720907 MHU720907 LXY720907 LOC720907 LEG720907 KUK720907 KKO720907 KAS720907 JQW720907 JHA720907 IXE720907 INI720907 IDM720907 HTQ720907 HJU720907 GZY720907 GQC720907 GGG720907 FWK720907 FMO720907 FCS720907 ESW720907 EJA720907 DZE720907 DPI720907 DFM720907 CVQ720907 CLU720907 CBY720907 BSC720907 BIG720907 AYK720907 AOO720907 AES720907 UW720907 LA720907 I720985:Q720985 WXM655371 WNQ655371 WDU655371 VTY655371 VKC655371 VAG655371 UQK655371 UGO655371 TWS655371 TMW655371 TDA655371 STE655371 SJI655371 RZM655371 RPQ655371 RFU655371 QVY655371 QMC655371 QCG655371 PSK655371 PIO655371 OYS655371 OOW655371 OFA655371 NVE655371 NLI655371 NBM655371 MRQ655371 MHU655371 LXY655371 LOC655371 LEG655371 KUK655371 KKO655371 KAS655371 JQW655371 JHA655371 IXE655371 INI655371 IDM655371 HTQ655371 HJU655371 GZY655371 GQC655371 GGG655371 FWK655371 FMO655371 FCS655371 ESW655371 EJA655371 DZE655371 DPI655371 DFM655371 CVQ655371 CLU655371 CBY655371 BSC655371 BIG655371 AYK655371 AOO655371 AES655371 UW655371 LA655371 I655449:Q655449 WXM589835 WNQ589835 WDU589835 VTY589835 VKC589835 VAG589835 UQK589835 UGO589835 TWS589835 TMW589835 TDA589835 STE589835 SJI589835 RZM589835 RPQ589835 RFU589835 QVY589835 QMC589835 QCG589835 PSK589835 PIO589835 OYS589835 OOW589835 OFA589835 NVE589835 NLI589835 NBM589835 MRQ589835 MHU589835 LXY589835 LOC589835 LEG589835 KUK589835 KKO589835 KAS589835 JQW589835 JHA589835 IXE589835 INI589835 IDM589835 HTQ589835 HJU589835 GZY589835 GQC589835 GGG589835 FWK589835 FMO589835 FCS589835 ESW589835 EJA589835 DZE589835 DPI589835 DFM589835 CVQ589835 CLU589835 CBY589835 BSC589835 BIG589835 AYK589835 AOO589835 AES589835 UW589835 LA589835 I589913:Q589913 WXM524299 WNQ524299 WDU524299 VTY524299 VKC524299 VAG524299 UQK524299 UGO524299 TWS524299 TMW524299 TDA524299 STE524299 SJI524299 RZM524299 RPQ524299 RFU524299 QVY524299 QMC524299 QCG524299 PSK524299 PIO524299 OYS524299 OOW524299 OFA524299 NVE524299 NLI524299 NBM524299 MRQ524299 MHU524299 LXY524299 LOC524299 LEG524299 KUK524299 KKO524299 KAS524299 JQW524299 JHA524299 IXE524299 INI524299 IDM524299 HTQ524299 HJU524299 GZY524299 GQC524299 GGG524299 FWK524299 FMO524299 FCS524299 ESW524299 EJA524299 DZE524299 DPI524299 DFM524299 CVQ524299 CLU524299 CBY524299 BSC524299 BIG524299 AYK524299 AOO524299 AES524299 UW524299 LA524299 I524377:Q524377 WXM458763 WNQ458763 WDU458763 VTY458763 VKC458763 VAG458763 UQK458763 UGO458763 TWS458763 TMW458763 TDA458763 STE458763 SJI458763 RZM458763 RPQ458763 RFU458763 QVY458763 QMC458763 QCG458763 PSK458763 PIO458763 OYS458763 OOW458763 OFA458763 NVE458763 NLI458763 NBM458763 MRQ458763 MHU458763 LXY458763 LOC458763 LEG458763 KUK458763 KKO458763 KAS458763 JQW458763 JHA458763 IXE458763 INI458763 IDM458763 HTQ458763 HJU458763 GZY458763 GQC458763 GGG458763 FWK458763 FMO458763 FCS458763 ESW458763 EJA458763 DZE458763 DPI458763 DFM458763 CVQ458763 CLU458763 CBY458763 BSC458763 BIG458763 AYK458763 AOO458763 AES458763 UW458763 LA458763 I458841:Q458841 WXM393227 WNQ393227 WDU393227 VTY393227 VKC393227 VAG393227 UQK393227 UGO393227 TWS393227 TMW393227 TDA393227 STE393227 SJI393227 RZM393227 RPQ393227 RFU393227 QVY393227 QMC393227 QCG393227 PSK393227 PIO393227 OYS393227 OOW393227 OFA393227 NVE393227 NLI393227 NBM393227 MRQ393227 MHU393227 LXY393227 LOC393227 LEG393227 KUK393227 KKO393227 KAS393227 JQW393227 JHA393227 IXE393227 INI393227 IDM393227 HTQ393227 HJU393227 GZY393227 GQC393227 GGG393227 FWK393227 FMO393227 FCS393227 ESW393227 EJA393227 DZE393227 DPI393227 DFM393227 CVQ393227 CLU393227 CBY393227 BSC393227 BIG393227 AYK393227 AOO393227 AES393227 UW393227 LA393227 I393305:Q393305 WXM327691 WNQ327691 WDU327691 VTY327691 VKC327691 VAG327691 UQK327691 UGO327691 TWS327691 TMW327691 TDA327691 STE327691 SJI327691 RZM327691 RPQ327691 RFU327691 QVY327691 QMC327691 QCG327691 PSK327691 PIO327691 OYS327691 OOW327691 OFA327691 NVE327691 NLI327691 NBM327691 MRQ327691 MHU327691 LXY327691 LOC327691 LEG327691 KUK327691 KKO327691 KAS327691 JQW327691 JHA327691 IXE327691 INI327691 IDM327691 HTQ327691 HJU327691 GZY327691 GQC327691 GGG327691 FWK327691 FMO327691 FCS327691 ESW327691 EJA327691 DZE327691 DPI327691 DFM327691 CVQ327691 CLU327691 CBY327691 BSC327691 BIG327691 AYK327691 AOO327691 AES327691 UW327691 LA327691 I327769:Q327769 WXM262155 WNQ262155 WDU262155 VTY262155 VKC262155 VAG262155 UQK262155 UGO262155 TWS262155 TMW262155 TDA262155 STE262155 SJI262155 RZM262155 RPQ262155 RFU262155 QVY262155 QMC262155 QCG262155 PSK262155 PIO262155 OYS262155 OOW262155 OFA262155 NVE262155 NLI262155 NBM262155 MRQ262155 MHU262155 LXY262155 LOC262155 LEG262155 KUK262155 KKO262155 KAS262155 JQW262155 JHA262155 IXE262155 INI262155 IDM262155 HTQ262155 HJU262155 GZY262155 GQC262155 GGG262155 FWK262155 FMO262155 FCS262155 ESW262155 EJA262155 DZE262155 DPI262155 DFM262155 CVQ262155 CLU262155 CBY262155 BSC262155 BIG262155 AYK262155 AOO262155 AES262155 UW262155 LA262155 I262233:Q262233 WXM196619 WNQ196619 WDU196619 VTY196619 VKC196619 VAG196619 UQK196619 UGO196619 TWS196619 TMW196619 TDA196619 STE196619 SJI196619 RZM196619 RPQ196619 RFU196619 QVY196619 QMC196619 QCG196619 PSK196619 PIO196619 OYS196619 OOW196619 OFA196619 NVE196619 NLI196619 NBM196619 MRQ196619 MHU196619 LXY196619 LOC196619 LEG196619 KUK196619 KKO196619 KAS196619 JQW196619 JHA196619 IXE196619 INI196619 IDM196619 HTQ196619 HJU196619 GZY196619 GQC196619 GGG196619 FWK196619 FMO196619 FCS196619 ESW196619 EJA196619 DZE196619 DPI196619 DFM196619 CVQ196619 CLU196619 CBY196619 BSC196619 BIG196619 AYK196619 AOO196619 AES196619 UW196619 LA196619 I196697:Q196697 WXM131083 WNQ131083 WDU131083 VTY131083 VKC131083 VAG131083 UQK131083 UGO131083 TWS131083 TMW131083 TDA131083 STE131083 SJI131083 RZM131083 RPQ131083 RFU131083 QVY131083 QMC131083 QCG131083 PSK131083 PIO131083 OYS131083 OOW131083 OFA131083 NVE131083 NLI131083 NBM131083 MRQ131083 MHU131083 LXY131083 LOC131083 LEG131083 KUK131083 KKO131083 KAS131083 JQW131083 JHA131083 IXE131083 INI131083 IDM131083 HTQ131083 HJU131083 GZY131083 GQC131083 GGG131083 FWK131083 FMO131083 FCS131083 ESW131083 EJA131083 DZE131083 DPI131083 DFM131083 CVQ131083 CLU131083 CBY131083 BSC131083 BIG131083 AYK131083 AOO131083 AES131083 UW131083 LA131083 I131161:Q131161 WXM65547 WNQ65547 WDU65547 VTY65547 VKC65547 VAG65547 UQK65547 UGO65547 TWS65547 TMW65547 TDA65547 STE65547 SJI65547 RZM65547 RPQ65547 RFU65547 QVY65547 QMC65547 QCG65547 PSK65547 PIO65547 OYS65547 OOW65547 OFA65547 NVE65547 NLI65547 NBM65547 MRQ65547 MHU65547 LXY65547 LOC65547 LEG65547 KUK65547 KKO65547 KAS65547 JQW65547 JHA65547 IXE65547 INI65547 IDM65547 HTQ65547 HJU65547 GZY65547 GQC65547 GGG65547 FWK65547 FMO65547 FCS65547 ESW65547 EJA65547 DZE65547 DPI65547 DFM65547 CVQ65547 CLU65547 CBY65547 BSC65547 BIG65547 AYK65547 AOO65547 AES65547 UW65547 LA65547 I65625:Q65625 WXM11 WNQ11 WDU11 VTY11 VKC11 VAG11 UQK11 UGO11 TWS11 TMW11 TDA11 STE11 SJI11 RZM11 RPQ11 RFU11 QVY11 QMC11 QCG11 PSK11 PIO11 OYS11 OOW11 OFA11 NVE11 NLI11 NBM11 MRQ11 MHU11 LXY11 LOC11 LEG11 KUK11 KKO11 KAS11 JQW11 JHA11 IXE11 INI11 IDM11 HTQ11 HJU11 GZY11 GQC11 GGG11 FWK11 FMO11 FCS11 ESW11 EJA11 DZE11 DPI11 DFM11 CVQ11 CLU11 CBY11 BSC11 BIG11 AYK11 AOO11 AES11 UW11 LA11" xr:uid="{00000000-0002-0000-0200-000000000000}">
      <formula1>$BV$9:$BV$10</formula1>
    </dataValidation>
    <dataValidation type="list" allowBlank="1" showInputMessage="1" showErrorMessage="1" sqref="WXM983057 I21 WNQ983057 WDU983057 VTY983057 VKC983057 VAG983057 UQK983057 UGO983057 TWS983057 TMW983057 TDA983057 STE983057 SJI983057 RZM983057 RPQ983057 RFU983057 QVY983057 QMC983057 QCG983057 PSK983057 PIO983057 OYS983057 OOW983057 OFA983057 NVE983057 NLI983057 NBM983057 MRQ983057 MHU983057 LXY983057 LOC983057 LEG983057 KUK983057 KKO983057 KAS983057 JQW983057 JHA983057 IXE983057 INI983057 IDM983057 HTQ983057 HJU983057 GZY983057 GQC983057 GGG983057 FWK983057 FMO983057 FCS983057 ESW983057 EJA983057 DZE983057 DPI983057 DFM983057 CVQ983057 CLU983057 CBY983057 BSC983057 BIG983057 AYK983057 AOO983057 AES983057 UW983057 LA983057 I983135:Q983135 WXM917521 WNQ917521 WDU917521 VTY917521 VKC917521 VAG917521 UQK917521 UGO917521 TWS917521 TMW917521 TDA917521 STE917521 SJI917521 RZM917521 RPQ917521 RFU917521 QVY917521 QMC917521 QCG917521 PSK917521 PIO917521 OYS917521 OOW917521 OFA917521 NVE917521 NLI917521 NBM917521 MRQ917521 MHU917521 LXY917521 LOC917521 LEG917521 KUK917521 KKO917521 KAS917521 JQW917521 JHA917521 IXE917521 INI917521 IDM917521 HTQ917521 HJU917521 GZY917521 GQC917521 GGG917521 FWK917521 FMO917521 FCS917521 ESW917521 EJA917521 DZE917521 DPI917521 DFM917521 CVQ917521 CLU917521 CBY917521 BSC917521 BIG917521 AYK917521 AOO917521 AES917521 UW917521 LA917521 I917599:Q917599 WXM851985 WNQ851985 WDU851985 VTY851985 VKC851985 VAG851985 UQK851985 UGO851985 TWS851985 TMW851985 TDA851985 STE851985 SJI851985 RZM851985 RPQ851985 RFU851985 QVY851985 QMC851985 QCG851985 PSK851985 PIO851985 OYS851985 OOW851985 OFA851985 NVE851985 NLI851985 NBM851985 MRQ851985 MHU851985 LXY851985 LOC851985 LEG851985 KUK851985 KKO851985 KAS851985 JQW851985 JHA851985 IXE851985 INI851985 IDM851985 HTQ851985 HJU851985 GZY851985 GQC851985 GGG851985 FWK851985 FMO851985 FCS851985 ESW851985 EJA851985 DZE851985 DPI851985 DFM851985 CVQ851985 CLU851985 CBY851985 BSC851985 BIG851985 AYK851985 AOO851985 AES851985 UW851985 LA851985 I852063:Q852063 WXM786449 WNQ786449 WDU786449 VTY786449 VKC786449 VAG786449 UQK786449 UGO786449 TWS786449 TMW786449 TDA786449 STE786449 SJI786449 RZM786449 RPQ786449 RFU786449 QVY786449 QMC786449 QCG786449 PSK786449 PIO786449 OYS786449 OOW786449 OFA786449 NVE786449 NLI786449 NBM786449 MRQ786449 MHU786449 LXY786449 LOC786449 LEG786449 KUK786449 KKO786449 KAS786449 JQW786449 JHA786449 IXE786449 INI786449 IDM786449 HTQ786449 HJU786449 GZY786449 GQC786449 GGG786449 FWK786449 FMO786449 FCS786449 ESW786449 EJA786449 DZE786449 DPI786449 DFM786449 CVQ786449 CLU786449 CBY786449 BSC786449 BIG786449 AYK786449 AOO786449 AES786449 UW786449 LA786449 I786527:Q786527 WXM720913 WNQ720913 WDU720913 VTY720913 VKC720913 VAG720913 UQK720913 UGO720913 TWS720913 TMW720913 TDA720913 STE720913 SJI720913 RZM720913 RPQ720913 RFU720913 QVY720913 QMC720913 QCG720913 PSK720913 PIO720913 OYS720913 OOW720913 OFA720913 NVE720913 NLI720913 NBM720913 MRQ720913 MHU720913 LXY720913 LOC720913 LEG720913 KUK720913 KKO720913 KAS720913 JQW720913 JHA720913 IXE720913 INI720913 IDM720913 HTQ720913 HJU720913 GZY720913 GQC720913 GGG720913 FWK720913 FMO720913 FCS720913 ESW720913 EJA720913 DZE720913 DPI720913 DFM720913 CVQ720913 CLU720913 CBY720913 BSC720913 BIG720913 AYK720913 AOO720913 AES720913 UW720913 LA720913 I720991:Q720991 WXM655377 WNQ655377 WDU655377 VTY655377 VKC655377 VAG655377 UQK655377 UGO655377 TWS655377 TMW655377 TDA655377 STE655377 SJI655377 RZM655377 RPQ655377 RFU655377 QVY655377 QMC655377 QCG655377 PSK655377 PIO655377 OYS655377 OOW655377 OFA655377 NVE655377 NLI655377 NBM655377 MRQ655377 MHU655377 LXY655377 LOC655377 LEG655377 KUK655377 KKO655377 KAS655377 JQW655377 JHA655377 IXE655377 INI655377 IDM655377 HTQ655377 HJU655377 GZY655377 GQC655377 GGG655377 FWK655377 FMO655377 FCS655377 ESW655377 EJA655377 DZE655377 DPI655377 DFM655377 CVQ655377 CLU655377 CBY655377 BSC655377 BIG655377 AYK655377 AOO655377 AES655377 UW655377 LA655377 I655455:Q655455 WXM589841 WNQ589841 WDU589841 VTY589841 VKC589841 VAG589841 UQK589841 UGO589841 TWS589841 TMW589841 TDA589841 STE589841 SJI589841 RZM589841 RPQ589841 RFU589841 QVY589841 QMC589841 QCG589841 PSK589841 PIO589841 OYS589841 OOW589841 OFA589841 NVE589841 NLI589841 NBM589841 MRQ589841 MHU589841 LXY589841 LOC589841 LEG589841 KUK589841 KKO589841 KAS589841 JQW589841 JHA589841 IXE589841 INI589841 IDM589841 HTQ589841 HJU589841 GZY589841 GQC589841 GGG589841 FWK589841 FMO589841 FCS589841 ESW589841 EJA589841 DZE589841 DPI589841 DFM589841 CVQ589841 CLU589841 CBY589841 BSC589841 BIG589841 AYK589841 AOO589841 AES589841 UW589841 LA589841 I589919:Q589919 WXM524305 WNQ524305 WDU524305 VTY524305 VKC524305 VAG524305 UQK524305 UGO524305 TWS524305 TMW524305 TDA524305 STE524305 SJI524305 RZM524305 RPQ524305 RFU524305 QVY524305 QMC524305 QCG524305 PSK524305 PIO524305 OYS524305 OOW524305 OFA524305 NVE524305 NLI524305 NBM524305 MRQ524305 MHU524305 LXY524305 LOC524305 LEG524305 KUK524305 KKO524305 KAS524305 JQW524305 JHA524305 IXE524305 INI524305 IDM524305 HTQ524305 HJU524305 GZY524305 GQC524305 GGG524305 FWK524305 FMO524305 FCS524305 ESW524305 EJA524305 DZE524305 DPI524305 DFM524305 CVQ524305 CLU524305 CBY524305 BSC524305 BIG524305 AYK524305 AOO524305 AES524305 UW524305 LA524305 I524383:Q524383 WXM458769 WNQ458769 WDU458769 VTY458769 VKC458769 VAG458769 UQK458769 UGO458769 TWS458769 TMW458769 TDA458769 STE458769 SJI458769 RZM458769 RPQ458769 RFU458769 QVY458769 QMC458769 QCG458769 PSK458769 PIO458769 OYS458769 OOW458769 OFA458769 NVE458769 NLI458769 NBM458769 MRQ458769 MHU458769 LXY458769 LOC458769 LEG458769 KUK458769 KKO458769 KAS458769 JQW458769 JHA458769 IXE458769 INI458769 IDM458769 HTQ458769 HJU458769 GZY458769 GQC458769 GGG458769 FWK458769 FMO458769 FCS458769 ESW458769 EJA458769 DZE458769 DPI458769 DFM458769 CVQ458769 CLU458769 CBY458769 BSC458769 BIG458769 AYK458769 AOO458769 AES458769 UW458769 LA458769 I458847:Q458847 WXM393233 WNQ393233 WDU393233 VTY393233 VKC393233 VAG393233 UQK393233 UGO393233 TWS393233 TMW393233 TDA393233 STE393233 SJI393233 RZM393233 RPQ393233 RFU393233 QVY393233 QMC393233 QCG393233 PSK393233 PIO393233 OYS393233 OOW393233 OFA393233 NVE393233 NLI393233 NBM393233 MRQ393233 MHU393233 LXY393233 LOC393233 LEG393233 KUK393233 KKO393233 KAS393233 JQW393233 JHA393233 IXE393233 INI393233 IDM393233 HTQ393233 HJU393233 GZY393233 GQC393233 GGG393233 FWK393233 FMO393233 FCS393233 ESW393233 EJA393233 DZE393233 DPI393233 DFM393233 CVQ393233 CLU393233 CBY393233 BSC393233 BIG393233 AYK393233 AOO393233 AES393233 UW393233 LA393233 I393311:Q393311 WXM327697 WNQ327697 WDU327697 VTY327697 VKC327697 VAG327697 UQK327697 UGO327697 TWS327697 TMW327697 TDA327697 STE327697 SJI327697 RZM327697 RPQ327697 RFU327697 QVY327697 QMC327697 QCG327697 PSK327697 PIO327697 OYS327697 OOW327697 OFA327697 NVE327697 NLI327697 NBM327697 MRQ327697 MHU327697 LXY327697 LOC327697 LEG327697 KUK327697 KKO327697 KAS327697 JQW327697 JHA327697 IXE327697 INI327697 IDM327697 HTQ327697 HJU327697 GZY327697 GQC327697 GGG327697 FWK327697 FMO327697 FCS327697 ESW327697 EJA327697 DZE327697 DPI327697 DFM327697 CVQ327697 CLU327697 CBY327697 BSC327697 BIG327697 AYK327697 AOO327697 AES327697 UW327697 LA327697 I327775:Q327775 WXM262161 WNQ262161 WDU262161 VTY262161 VKC262161 VAG262161 UQK262161 UGO262161 TWS262161 TMW262161 TDA262161 STE262161 SJI262161 RZM262161 RPQ262161 RFU262161 QVY262161 QMC262161 QCG262161 PSK262161 PIO262161 OYS262161 OOW262161 OFA262161 NVE262161 NLI262161 NBM262161 MRQ262161 MHU262161 LXY262161 LOC262161 LEG262161 KUK262161 KKO262161 KAS262161 JQW262161 JHA262161 IXE262161 INI262161 IDM262161 HTQ262161 HJU262161 GZY262161 GQC262161 GGG262161 FWK262161 FMO262161 FCS262161 ESW262161 EJA262161 DZE262161 DPI262161 DFM262161 CVQ262161 CLU262161 CBY262161 BSC262161 BIG262161 AYK262161 AOO262161 AES262161 UW262161 LA262161 I262239:Q262239 WXM196625 WNQ196625 WDU196625 VTY196625 VKC196625 VAG196625 UQK196625 UGO196625 TWS196625 TMW196625 TDA196625 STE196625 SJI196625 RZM196625 RPQ196625 RFU196625 QVY196625 QMC196625 QCG196625 PSK196625 PIO196625 OYS196625 OOW196625 OFA196625 NVE196625 NLI196625 NBM196625 MRQ196625 MHU196625 LXY196625 LOC196625 LEG196625 KUK196625 KKO196625 KAS196625 JQW196625 JHA196625 IXE196625 INI196625 IDM196625 HTQ196625 HJU196625 GZY196625 GQC196625 GGG196625 FWK196625 FMO196625 FCS196625 ESW196625 EJA196625 DZE196625 DPI196625 DFM196625 CVQ196625 CLU196625 CBY196625 BSC196625 BIG196625 AYK196625 AOO196625 AES196625 UW196625 LA196625 I196703:Q196703 WXM131089 WNQ131089 WDU131089 VTY131089 VKC131089 VAG131089 UQK131089 UGO131089 TWS131089 TMW131089 TDA131089 STE131089 SJI131089 RZM131089 RPQ131089 RFU131089 QVY131089 QMC131089 QCG131089 PSK131089 PIO131089 OYS131089 OOW131089 OFA131089 NVE131089 NLI131089 NBM131089 MRQ131089 MHU131089 LXY131089 LOC131089 LEG131089 KUK131089 KKO131089 KAS131089 JQW131089 JHA131089 IXE131089 INI131089 IDM131089 HTQ131089 HJU131089 GZY131089 GQC131089 GGG131089 FWK131089 FMO131089 FCS131089 ESW131089 EJA131089 DZE131089 DPI131089 DFM131089 CVQ131089 CLU131089 CBY131089 BSC131089 BIG131089 AYK131089 AOO131089 AES131089 UW131089 LA131089 I131167:Q131167 WXM65553 WNQ65553 WDU65553 VTY65553 VKC65553 VAG65553 UQK65553 UGO65553 TWS65553 TMW65553 TDA65553 STE65553 SJI65553 RZM65553 RPQ65553 RFU65553 QVY65553 QMC65553 QCG65553 PSK65553 PIO65553 OYS65553 OOW65553 OFA65553 NVE65553 NLI65553 NBM65553 MRQ65553 MHU65553 LXY65553 LOC65553 LEG65553 KUK65553 KKO65553 KAS65553 JQW65553 JHA65553 IXE65553 INI65553 IDM65553 HTQ65553 HJU65553 GZY65553 GQC65553 GGG65553 FWK65553 FMO65553 FCS65553 ESW65553 EJA65553 DZE65553 DPI65553 DFM65553 CVQ65553 CLU65553 CBY65553 BSC65553 BIG65553 AYK65553 AOO65553 AES65553 UW65553 LA65553 I65631:Q65631 WXM17 WNQ17 WDU17 VTY17 VKC17 VAG17 UQK17 UGO17 TWS17 TMW17 TDA17 STE17 SJI17 RZM17 RPQ17 RFU17 QVY17 QMC17 QCG17 PSK17 PIO17 OYS17 OOW17 OFA17 NVE17 NLI17 NBM17 MRQ17 MHU17 LXY17 LOC17 LEG17 KUK17 KKO17 KAS17 JQW17 JHA17 IXE17 INI17 IDM17 HTQ17 HJU17 GZY17 GQC17 GGG17 FWK17 FMO17 FCS17 ESW17 EJA17 DZE17 DPI17 DFM17 CVQ17 CLU17 CBY17 BSC17 BIG17 AYK17 AOO17 AES17 UW17 LA17" xr:uid="{00000000-0002-0000-0200-000001000000}">
      <formula1>$BP$10:$BP$13</formula1>
    </dataValidation>
    <dataValidation type="list" allowBlank="1" showInputMessage="1" showErrorMessage="1" sqref="WXM983059 WNQ983059 WDU983059 VTY983059 VKC983059 VAG983059 UQK983059 UGO983059 TWS983059 TMW983059 TDA983059 STE983059 SJI983059 RZM983059 RPQ983059 RFU983059 QVY983059 QMC983059 QCG983059 PSK983059 PIO983059 OYS983059 OOW983059 OFA983059 NVE983059 NLI983059 NBM983059 MRQ983059 MHU983059 LXY983059 LOC983059 LEG983059 KUK983059 KKO983059 KAS983059 JQW983059 JHA983059 IXE983059 INI983059 IDM983059 HTQ983059 HJU983059 GZY983059 GQC983059 GGG983059 FWK983059 FMO983059 FCS983059 ESW983059 EJA983059 DZE983059 DPI983059 DFM983059 CVQ983059 CLU983059 CBY983059 BSC983059 BIG983059 AYK983059 AOO983059 AES983059 UW983059 LA983059 I983137:Q983137 WXM917523 WNQ917523 WDU917523 VTY917523 VKC917523 VAG917523 UQK917523 UGO917523 TWS917523 TMW917523 TDA917523 STE917523 SJI917523 RZM917523 RPQ917523 RFU917523 QVY917523 QMC917523 QCG917523 PSK917523 PIO917523 OYS917523 OOW917523 OFA917523 NVE917523 NLI917523 NBM917523 MRQ917523 MHU917523 LXY917523 LOC917523 LEG917523 KUK917523 KKO917523 KAS917523 JQW917523 JHA917523 IXE917523 INI917523 IDM917523 HTQ917523 HJU917523 GZY917523 GQC917523 GGG917523 FWK917523 FMO917523 FCS917523 ESW917523 EJA917523 DZE917523 DPI917523 DFM917523 CVQ917523 CLU917523 CBY917523 BSC917523 BIG917523 AYK917523 AOO917523 AES917523 UW917523 LA917523 I917601:Q917601 WXM851987 WNQ851987 WDU851987 VTY851987 VKC851987 VAG851987 UQK851987 UGO851987 TWS851987 TMW851987 TDA851987 STE851987 SJI851987 RZM851987 RPQ851987 RFU851987 QVY851987 QMC851987 QCG851987 PSK851987 PIO851987 OYS851987 OOW851987 OFA851987 NVE851987 NLI851987 NBM851987 MRQ851987 MHU851987 LXY851987 LOC851987 LEG851987 KUK851987 KKO851987 KAS851987 JQW851987 JHA851987 IXE851987 INI851987 IDM851987 HTQ851987 HJU851987 GZY851987 GQC851987 GGG851987 FWK851987 FMO851987 FCS851987 ESW851987 EJA851987 DZE851987 DPI851987 DFM851987 CVQ851987 CLU851987 CBY851987 BSC851987 BIG851987 AYK851987 AOO851987 AES851987 UW851987 LA851987 I852065:Q852065 WXM786451 WNQ786451 WDU786451 VTY786451 VKC786451 VAG786451 UQK786451 UGO786451 TWS786451 TMW786451 TDA786451 STE786451 SJI786451 RZM786451 RPQ786451 RFU786451 QVY786451 QMC786451 QCG786451 PSK786451 PIO786451 OYS786451 OOW786451 OFA786451 NVE786451 NLI786451 NBM786451 MRQ786451 MHU786451 LXY786451 LOC786451 LEG786451 KUK786451 KKO786451 KAS786451 JQW786451 JHA786451 IXE786451 INI786451 IDM786451 HTQ786451 HJU786451 GZY786451 GQC786451 GGG786451 FWK786451 FMO786451 FCS786451 ESW786451 EJA786451 DZE786451 DPI786451 DFM786451 CVQ786451 CLU786451 CBY786451 BSC786451 BIG786451 AYK786451 AOO786451 AES786451 UW786451 LA786451 I786529:Q786529 WXM720915 WNQ720915 WDU720915 VTY720915 VKC720915 VAG720915 UQK720915 UGO720915 TWS720915 TMW720915 TDA720915 STE720915 SJI720915 RZM720915 RPQ720915 RFU720915 QVY720915 QMC720915 QCG720915 PSK720915 PIO720915 OYS720915 OOW720915 OFA720915 NVE720915 NLI720915 NBM720915 MRQ720915 MHU720915 LXY720915 LOC720915 LEG720915 KUK720915 KKO720915 KAS720915 JQW720915 JHA720915 IXE720915 INI720915 IDM720915 HTQ720915 HJU720915 GZY720915 GQC720915 GGG720915 FWK720915 FMO720915 FCS720915 ESW720915 EJA720915 DZE720915 DPI720915 DFM720915 CVQ720915 CLU720915 CBY720915 BSC720915 BIG720915 AYK720915 AOO720915 AES720915 UW720915 LA720915 I720993:Q720993 WXM655379 WNQ655379 WDU655379 VTY655379 VKC655379 VAG655379 UQK655379 UGO655379 TWS655379 TMW655379 TDA655379 STE655379 SJI655379 RZM655379 RPQ655379 RFU655379 QVY655379 QMC655379 QCG655379 PSK655379 PIO655379 OYS655379 OOW655379 OFA655379 NVE655379 NLI655379 NBM655379 MRQ655379 MHU655379 LXY655379 LOC655379 LEG655379 KUK655379 KKO655379 KAS655379 JQW655379 JHA655379 IXE655379 INI655379 IDM655379 HTQ655379 HJU655379 GZY655379 GQC655379 GGG655379 FWK655379 FMO655379 FCS655379 ESW655379 EJA655379 DZE655379 DPI655379 DFM655379 CVQ655379 CLU655379 CBY655379 BSC655379 BIG655379 AYK655379 AOO655379 AES655379 UW655379 LA655379 I655457:Q655457 WXM589843 WNQ589843 WDU589843 VTY589843 VKC589843 VAG589843 UQK589843 UGO589843 TWS589843 TMW589843 TDA589843 STE589843 SJI589843 RZM589843 RPQ589843 RFU589843 QVY589843 QMC589843 QCG589843 PSK589843 PIO589843 OYS589843 OOW589843 OFA589843 NVE589843 NLI589843 NBM589843 MRQ589843 MHU589843 LXY589843 LOC589843 LEG589843 KUK589843 KKO589843 KAS589843 JQW589843 JHA589843 IXE589843 INI589843 IDM589843 HTQ589843 HJU589843 GZY589843 GQC589843 GGG589843 FWK589843 FMO589843 FCS589843 ESW589843 EJA589843 DZE589843 DPI589843 DFM589843 CVQ589843 CLU589843 CBY589843 BSC589843 BIG589843 AYK589843 AOO589843 AES589843 UW589843 LA589843 I589921:Q589921 WXM524307 WNQ524307 WDU524307 VTY524307 VKC524307 VAG524307 UQK524307 UGO524307 TWS524307 TMW524307 TDA524307 STE524307 SJI524307 RZM524307 RPQ524307 RFU524307 QVY524307 QMC524307 QCG524307 PSK524307 PIO524307 OYS524307 OOW524307 OFA524307 NVE524307 NLI524307 NBM524307 MRQ524307 MHU524307 LXY524307 LOC524307 LEG524307 KUK524307 KKO524307 KAS524307 JQW524307 JHA524307 IXE524307 INI524307 IDM524307 HTQ524307 HJU524307 GZY524307 GQC524307 GGG524307 FWK524307 FMO524307 FCS524307 ESW524307 EJA524307 DZE524307 DPI524307 DFM524307 CVQ524307 CLU524307 CBY524307 BSC524307 BIG524307 AYK524307 AOO524307 AES524307 UW524307 LA524307 I524385:Q524385 WXM458771 WNQ458771 WDU458771 VTY458771 VKC458771 VAG458771 UQK458771 UGO458771 TWS458771 TMW458771 TDA458771 STE458771 SJI458771 RZM458771 RPQ458771 RFU458771 QVY458771 QMC458771 QCG458771 PSK458771 PIO458771 OYS458771 OOW458771 OFA458771 NVE458771 NLI458771 NBM458771 MRQ458771 MHU458771 LXY458771 LOC458771 LEG458771 KUK458771 KKO458771 KAS458771 JQW458771 JHA458771 IXE458771 INI458771 IDM458771 HTQ458771 HJU458771 GZY458771 GQC458771 GGG458771 FWK458771 FMO458771 FCS458771 ESW458771 EJA458771 DZE458771 DPI458771 DFM458771 CVQ458771 CLU458771 CBY458771 BSC458771 BIG458771 AYK458771 AOO458771 AES458771 UW458771 LA458771 I458849:Q458849 WXM393235 WNQ393235 WDU393235 VTY393235 VKC393235 VAG393235 UQK393235 UGO393235 TWS393235 TMW393235 TDA393235 STE393235 SJI393235 RZM393235 RPQ393235 RFU393235 QVY393235 QMC393235 QCG393235 PSK393235 PIO393235 OYS393235 OOW393235 OFA393235 NVE393235 NLI393235 NBM393235 MRQ393235 MHU393235 LXY393235 LOC393235 LEG393235 KUK393235 KKO393235 KAS393235 JQW393235 JHA393235 IXE393235 INI393235 IDM393235 HTQ393235 HJU393235 GZY393235 GQC393235 GGG393235 FWK393235 FMO393235 FCS393235 ESW393235 EJA393235 DZE393235 DPI393235 DFM393235 CVQ393235 CLU393235 CBY393235 BSC393235 BIG393235 AYK393235 AOO393235 AES393235 UW393235 LA393235 I393313:Q393313 WXM327699 WNQ327699 WDU327699 VTY327699 VKC327699 VAG327699 UQK327699 UGO327699 TWS327699 TMW327699 TDA327699 STE327699 SJI327699 RZM327699 RPQ327699 RFU327699 QVY327699 QMC327699 QCG327699 PSK327699 PIO327699 OYS327699 OOW327699 OFA327699 NVE327699 NLI327699 NBM327699 MRQ327699 MHU327699 LXY327699 LOC327699 LEG327699 KUK327699 KKO327699 KAS327699 JQW327699 JHA327699 IXE327699 INI327699 IDM327699 HTQ327699 HJU327699 GZY327699 GQC327699 GGG327699 FWK327699 FMO327699 FCS327699 ESW327699 EJA327699 DZE327699 DPI327699 DFM327699 CVQ327699 CLU327699 CBY327699 BSC327699 BIG327699 AYK327699 AOO327699 AES327699 UW327699 LA327699 I327777:Q327777 WXM262163 WNQ262163 WDU262163 VTY262163 VKC262163 VAG262163 UQK262163 UGO262163 TWS262163 TMW262163 TDA262163 STE262163 SJI262163 RZM262163 RPQ262163 RFU262163 QVY262163 QMC262163 QCG262163 PSK262163 PIO262163 OYS262163 OOW262163 OFA262163 NVE262163 NLI262163 NBM262163 MRQ262163 MHU262163 LXY262163 LOC262163 LEG262163 KUK262163 KKO262163 KAS262163 JQW262163 JHA262163 IXE262163 INI262163 IDM262163 HTQ262163 HJU262163 GZY262163 GQC262163 GGG262163 FWK262163 FMO262163 FCS262163 ESW262163 EJA262163 DZE262163 DPI262163 DFM262163 CVQ262163 CLU262163 CBY262163 BSC262163 BIG262163 AYK262163 AOO262163 AES262163 UW262163 LA262163 I262241:Q262241 WXM196627 WNQ196627 WDU196627 VTY196627 VKC196627 VAG196627 UQK196627 UGO196627 TWS196627 TMW196627 TDA196627 STE196627 SJI196627 RZM196627 RPQ196627 RFU196627 QVY196627 QMC196627 QCG196627 PSK196627 PIO196627 OYS196627 OOW196627 OFA196627 NVE196627 NLI196627 NBM196627 MRQ196627 MHU196627 LXY196627 LOC196627 LEG196627 KUK196627 KKO196627 KAS196627 JQW196627 JHA196627 IXE196627 INI196627 IDM196627 HTQ196627 HJU196627 GZY196627 GQC196627 GGG196627 FWK196627 FMO196627 FCS196627 ESW196627 EJA196627 DZE196627 DPI196627 DFM196627 CVQ196627 CLU196627 CBY196627 BSC196627 BIG196627 AYK196627 AOO196627 AES196627 UW196627 LA196627 I196705:Q196705 WXM131091 WNQ131091 WDU131091 VTY131091 VKC131091 VAG131091 UQK131091 UGO131091 TWS131091 TMW131091 TDA131091 STE131091 SJI131091 RZM131091 RPQ131091 RFU131091 QVY131091 QMC131091 QCG131091 PSK131091 PIO131091 OYS131091 OOW131091 OFA131091 NVE131091 NLI131091 NBM131091 MRQ131091 MHU131091 LXY131091 LOC131091 LEG131091 KUK131091 KKO131091 KAS131091 JQW131091 JHA131091 IXE131091 INI131091 IDM131091 HTQ131091 HJU131091 GZY131091 GQC131091 GGG131091 FWK131091 FMO131091 FCS131091 ESW131091 EJA131091 DZE131091 DPI131091 DFM131091 CVQ131091 CLU131091 CBY131091 BSC131091 BIG131091 AYK131091 AOO131091 AES131091 UW131091 LA131091 I131169:Q131169 WXM65555 WNQ65555 WDU65555 VTY65555 VKC65555 VAG65555 UQK65555 UGO65555 TWS65555 TMW65555 TDA65555 STE65555 SJI65555 RZM65555 RPQ65555 RFU65555 QVY65555 QMC65555 QCG65555 PSK65555 PIO65555 OYS65555 OOW65555 OFA65555 NVE65555 NLI65555 NBM65555 MRQ65555 MHU65555 LXY65555 LOC65555 LEG65555 KUK65555 KKO65555 KAS65555 JQW65555 JHA65555 IXE65555 INI65555 IDM65555 HTQ65555 HJU65555 GZY65555 GQC65555 GGG65555 FWK65555 FMO65555 FCS65555 ESW65555 EJA65555 DZE65555 DPI65555 DFM65555 CVQ65555 CLU65555 CBY65555 BSC65555 BIG65555 AYK65555 AOO65555 AES65555 UW65555 LA65555 I65633:Q65633 WXM19 WNQ19 WDU19 VTY19 VKC19 VAG19 UQK19 UGO19 TWS19 TMW19 TDA19 STE19 SJI19 RZM19 RPQ19 RFU19 QVY19 QMC19 QCG19 PSK19 PIO19 OYS19 OOW19 OFA19 NVE19 NLI19 NBM19 MRQ19 MHU19 LXY19 LOC19 LEG19 KUK19 KKO19 KAS19 JQW19 JHA19 IXE19 INI19 IDM19 HTQ19 HJU19 GZY19 GQC19 GGG19 FWK19 FMO19 FCS19 ESW19 EJA19 DZE19 DPI19 DFM19 CVQ19 CLU19 CBY19 BSC19 BIG19 AYK19 AOO19 AES19 UW19 LA19" xr:uid="{00000000-0002-0000-0200-000002000000}">
      <formula1>$BX$4:$BX$35</formula1>
    </dataValidation>
    <dataValidation type="list" allowBlank="1" showInputMessage="1" showErrorMessage="1" sqref="WXM983050 I10 WNQ983050 WDU983050 VTY983050 VKC983050 VAG983050 UQK983050 UGO983050 TWS983050 TMW983050 TDA983050 STE983050 SJI983050 RZM983050 RPQ983050 RFU983050 QVY983050 QMC983050 QCG983050 PSK983050 PIO983050 OYS983050 OOW983050 OFA983050 NVE983050 NLI983050 NBM983050 MRQ983050 MHU983050 LXY983050 LOC983050 LEG983050 KUK983050 KKO983050 KAS983050 JQW983050 JHA983050 IXE983050 INI983050 IDM983050 HTQ983050 HJU983050 GZY983050 GQC983050 GGG983050 FWK983050 FMO983050 FCS983050 ESW983050 EJA983050 DZE983050 DPI983050 DFM983050 CVQ983050 CLU983050 CBY983050 BSC983050 BIG983050 AYK983050 AOO983050 AES983050 UW983050 LA983050 I983128:Q983128 WXM917514 WNQ917514 WDU917514 VTY917514 VKC917514 VAG917514 UQK917514 UGO917514 TWS917514 TMW917514 TDA917514 STE917514 SJI917514 RZM917514 RPQ917514 RFU917514 QVY917514 QMC917514 QCG917514 PSK917514 PIO917514 OYS917514 OOW917514 OFA917514 NVE917514 NLI917514 NBM917514 MRQ917514 MHU917514 LXY917514 LOC917514 LEG917514 KUK917514 KKO917514 KAS917514 JQW917514 JHA917514 IXE917514 INI917514 IDM917514 HTQ917514 HJU917514 GZY917514 GQC917514 GGG917514 FWK917514 FMO917514 FCS917514 ESW917514 EJA917514 DZE917514 DPI917514 DFM917514 CVQ917514 CLU917514 CBY917514 BSC917514 BIG917514 AYK917514 AOO917514 AES917514 UW917514 LA917514 I917592:Q917592 WXM851978 WNQ851978 WDU851978 VTY851978 VKC851978 VAG851978 UQK851978 UGO851978 TWS851978 TMW851978 TDA851978 STE851978 SJI851978 RZM851978 RPQ851978 RFU851978 QVY851978 QMC851978 QCG851978 PSK851978 PIO851978 OYS851978 OOW851978 OFA851978 NVE851978 NLI851978 NBM851978 MRQ851978 MHU851978 LXY851978 LOC851978 LEG851978 KUK851978 KKO851978 KAS851978 JQW851978 JHA851978 IXE851978 INI851978 IDM851978 HTQ851978 HJU851978 GZY851978 GQC851978 GGG851978 FWK851978 FMO851978 FCS851978 ESW851978 EJA851978 DZE851978 DPI851978 DFM851978 CVQ851978 CLU851978 CBY851978 BSC851978 BIG851978 AYK851978 AOO851978 AES851978 UW851978 LA851978 I852056:Q852056 WXM786442 WNQ786442 WDU786442 VTY786442 VKC786442 VAG786442 UQK786442 UGO786442 TWS786442 TMW786442 TDA786442 STE786442 SJI786442 RZM786442 RPQ786442 RFU786442 QVY786442 QMC786442 QCG786442 PSK786442 PIO786442 OYS786442 OOW786442 OFA786442 NVE786442 NLI786442 NBM786442 MRQ786442 MHU786442 LXY786442 LOC786442 LEG786442 KUK786442 KKO786442 KAS786442 JQW786442 JHA786442 IXE786442 INI786442 IDM786442 HTQ786442 HJU786442 GZY786442 GQC786442 GGG786442 FWK786442 FMO786442 FCS786442 ESW786442 EJA786442 DZE786442 DPI786442 DFM786442 CVQ786442 CLU786442 CBY786442 BSC786442 BIG786442 AYK786442 AOO786442 AES786442 UW786442 LA786442 I786520:Q786520 WXM720906 WNQ720906 WDU720906 VTY720906 VKC720906 VAG720906 UQK720906 UGO720906 TWS720906 TMW720906 TDA720906 STE720906 SJI720906 RZM720906 RPQ720906 RFU720906 QVY720906 QMC720906 QCG720906 PSK720906 PIO720906 OYS720906 OOW720906 OFA720906 NVE720906 NLI720906 NBM720906 MRQ720906 MHU720906 LXY720906 LOC720906 LEG720906 KUK720906 KKO720906 KAS720906 JQW720906 JHA720906 IXE720906 INI720906 IDM720906 HTQ720906 HJU720906 GZY720906 GQC720906 GGG720906 FWK720906 FMO720906 FCS720906 ESW720906 EJA720906 DZE720906 DPI720906 DFM720906 CVQ720906 CLU720906 CBY720906 BSC720906 BIG720906 AYK720906 AOO720906 AES720906 UW720906 LA720906 I720984:Q720984 WXM655370 WNQ655370 WDU655370 VTY655370 VKC655370 VAG655370 UQK655370 UGO655370 TWS655370 TMW655370 TDA655370 STE655370 SJI655370 RZM655370 RPQ655370 RFU655370 QVY655370 QMC655370 QCG655370 PSK655370 PIO655370 OYS655370 OOW655370 OFA655370 NVE655370 NLI655370 NBM655370 MRQ655370 MHU655370 LXY655370 LOC655370 LEG655370 KUK655370 KKO655370 KAS655370 JQW655370 JHA655370 IXE655370 INI655370 IDM655370 HTQ655370 HJU655370 GZY655370 GQC655370 GGG655370 FWK655370 FMO655370 FCS655370 ESW655370 EJA655370 DZE655370 DPI655370 DFM655370 CVQ655370 CLU655370 CBY655370 BSC655370 BIG655370 AYK655370 AOO655370 AES655370 UW655370 LA655370 I655448:Q655448 WXM589834 WNQ589834 WDU589834 VTY589834 VKC589834 VAG589834 UQK589834 UGO589834 TWS589834 TMW589834 TDA589834 STE589834 SJI589834 RZM589834 RPQ589834 RFU589834 QVY589834 QMC589834 QCG589834 PSK589834 PIO589834 OYS589834 OOW589834 OFA589834 NVE589834 NLI589834 NBM589834 MRQ589834 MHU589834 LXY589834 LOC589834 LEG589834 KUK589834 KKO589834 KAS589834 JQW589834 JHA589834 IXE589834 INI589834 IDM589834 HTQ589834 HJU589834 GZY589834 GQC589834 GGG589834 FWK589834 FMO589834 FCS589834 ESW589834 EJA589834 DZE589834 DPI589834 DFM589834 CVQ589834 CLU589834 CBY589834 BSC589834 BIG589834 AYK589834 AOO589834 AES589834 UW589834 LA589834 I589912:Q589912 WXM524298 WNQ524298 WDU524298 VTY524298 VKC524298 VAG524298 UQK524298 UGO524298 TWS524298 TMW524298 TDA524298 STE524298 SJI524298 RZM524298 RPQ524298 RFU524298 QVY524298 QMC524298 QCG524298 PSK524298 PIO524298 OYS524298 OOW524298 OFA524298 NVE524298 NLI524298 NBM524298 MRQ524298 MHU524298 LXY524298 LOC524298 LEG524298 KUK524298 KKO524298 KAS524298 JQW524298 JHA524298 IXE524298 INI524298 IDM524298 HTQ524298 HJU524298 GZY524298 GQC524298 GGG524298 FWK524298 FMO524298 FCS524298 ESW524298 EJA524298 DZE524298 DPI524298 DFM524298 CVQ524298 CLU524298 CBY524298 BSC524298 BIG524298 AYK524298 AOO524298 AES524298 UW524298 LA524298 I524376:Q524376 WXM458762 WNQ458762 WDU458762 VTY458762 VKC458762 VAG458762 UQK458762 UGO458762 TWS458762 TMW458762 TDA458762 STE458762 SJI458762 RZM458762 RPQ458762 RFU458762 QVY458762 QMC458762 QCG458762 PSK458762 PIO458762 OYS458762 OOW458762 OFA458762 NVE458762 NLI458762 NBM458762 MRQ458762 MHU458762 LXY458762 LOC458762 LEG458762 KUK458762 KKO458762 KAS458762 JQW458762 JHA458762 IXE458762 INI458762 IDM458762 HTQ458762 HJU458762 GZY458762 GQC458762 GGG458762 FWK458762 FMO458762 FCS458762 ESW458762 EJA458762 DZE458762 DPI458762 DFM458762 CVQ458762 CLU458762 CBY458762 BSC458762 BIG458762 AYK458762 AOO458762 AES458762 UW458762 LA458762 I458840:Q458840 WXM393226 WNQ393226 WDU393226 VTY393226 VKC393226 VAG393226 UQK393226 UGO393226 TWS393226 TMW393226 TDA393226 STE393226 SJI393226 RZM393226 RPQ393226 RFU393226 QVY393226 QMC393226 QCG393226 PSK393226 PIO393226 OYS393226 OOW393226 OFA393226 NVE393226 NLI393226 NBM393226 MRQ393226 MHU393226 LXY393226 LOC393226 LEG393226 KUK393226 KKO393226 KAS393226 JQW393226 JHA393226 IXE393226 INI393226 IDM393226 HTQ393226 HJU393226 GZY393226 GQC393226 GGG393226 FWK393226 FMO393226 FCS393226 ESW393226 EJA393226 DZE393226 DPI393226 DFM393226 CVQ393226 CLU393226 CBY393226 BSC393226 BIG393226 AYK393226 AOO393226 AES393226 UW393226 LA393226 I393304:Q393304 WXM327690 WNQ327690 WDU327690 VTY327690 VKC327690 VAG327690 UQK327690 UGO327690 TWS327690 TMW327690 TDA327690 STE327690 SJI327690 RZM327690 RPQ327690 RFU327690 QVY327690 QMC327690 QCG327690 PSK327690 PIO327690 OYS327690 OOW327690 OFA327690 NVE327690 NLI327690 NBM327690 MRQ327690 MHU327690 LXY327690 LOC327690 LEG327690 KUK327690 KKO327690 KAS327690 JQW327690 JHA327690 IXE327690 INI327690 IDM327690 HTQ327690 HJU327690 GZY327690 GQC327690 GGG327690 FWK327690 FMO327690 FCS327690 ESW327690 EJA327690 DZE327690 DPI327690 DFM327690 CVQ327690 CLU327690 CBY327690 BSC327690 BIG327690 AYK327690 AOO327690 AES327690 UW327690 LA327690 I327768:Q327768 WXM262154 WNQ262154 WDU262154 VTY262154 VKC262154 VAG262154 UQK262154 UGO262154 TWS262154 TMW262154 TDA262154 STE262154 SJI262154 RZM262154 RPQ262154 RFU262154 QVY262154 QMC262154 QCG262154 PSK262154 PIO262154 OYS262154 OOW262154 OFA262154 NVE262154 NLI262154 NBM262154 MRQ262154 MHU262154 LXY262154 LOC262154 LEG262154 KUK262154 KKO262154 KAS262154 JQW262154 JHA262154 IXE262154 INI262154 IDM262154 HTQ262154 HJU262154 GZY262154 GQC262154 GGG262154 FWK262154 FMO262154 FCS262154 ESW262154 EJA262154 DZE262154 DPI262154 DFM262154 CVQ262154 CLU262154 CBY262154 BSC262154 BIG262154 AYK262154 AOO262154 AES262154 UW262154 LA262154 I262232:Q262232 WXM196618 WNQ196618 WDU196618 VTY196618 VKC196618 VAG196618 UQK196618 UGO196618 TWS196618 TMW196618 TDA196618 STE196618 SJI196618 RZM196618 RPQ196618 RFU196618 QVY196618 QMC196618 QCG196618 PSK196618 PIO196618 OYS196618 OOW196618 OFA196618 NVE196618 NLI196618 NBM196618 MRQ196618 MHU196618 LXY196618 LOC196618 LEG196618 KUK196618 KKO196618 KAS196618 JQW196618 JHA196618 IXE196618 INI196618 IDM196618 HTQ196618 HJU196618 GZY196618 GQC196618 GGG196618 FWK196618 FMO196618 FCS196618 ESW196618 EJA196618 DZE196618 DPI196618 DFM196618 CVQ196618 CLU196618 CBY196618 BSC196618 BIG196618 AYK196618 AOO196618 AES196618 UW196618 LA196618 I196696:Q196696 WXM131082 WNQ131082 WDU131082 VTY131082 VKC131082 VAG131082 UQK131082 UGO131082 TWS131082 TMW131082 TDA131082 STE131082 SJI131082 RZM131082 RPQ131082 RFU131082 QVY131082 QMC131082 QCG131082 PSK131082 PIO131082 OYS131082 OOW131082 OFA131082 NVE131082 NLI131082 NBM131082 MRQ131082 MHU131082 LXY131082 LOC131082 LEG131082 KUK131082 KKO131082 KAS131082 JQW131082 JHA131082 IXE131082 INI131082 IDM131082 HTQ131082 HJU131082 GZY131082 GQC131082 GGG131082 FWK131082 FMO131082 FCS131082 ESW131082 EJA131082 DZE131082 DPI131082 DFM131082 CVQ131082 CLU131082 CBY131082 BSC131082 BIG131082 AYK131082 AOO131082 AES131082 UW131082 LA131082 I131160:Q131160 WXM65546 WNQ65546 WDU65546 VTY65546 VKC65546 VAG65546 UQK65546 UGO65546 TWS65546 TMW65546 TDA65546 STE65546 SJI65546 RZM65546 RPQ65546 RFU65546 QVY65546 QMC65546 QCG65546 PSK65546 PIO65546 OYS65546 OOW65546 OFA65546 NVE65546 NLI65546 NBM65546 MRQ65546 MHU65546 LXY65546 LOC65546 LEG65546 KUK65546 KKO65546 KAS65546 JQW65546 JHA65546 IXE65546 INI65546 IDM65546 HTQ65546 HJU65546 GZY65546 GQC65546 GGG65546 FWK65546 FMO65546 FCS65546 ESW65546 EJA65546 DZE65546 DPI65546 DFM65546 CVQ65546 CLU65546 CBY65546 BSC65546 BIG65546 AYK65546 AOO65546 AES65546 UW65546 LA65546 I65624:Q65624 WXM10 WNQ10 WDU10 VTY10 VKC10 VAG10 UQK10 UGO10 TWS10 TMW10 TDA10 STE10 SJI10 RZM10 RPQ10 RFU10 QVY10 QMC10 QCG10 PSK10 PIO10 OYS10 OOW10 OFA10 NVE10 NLI10 NBM10 MRQ10 MHU10 LXY10 LOC10 LEG10 KUK10 KKO10 KAS10 JQW10 JHA10 IXE10 INI10 IDM10 HTQ10 HJU10 GZY10 GQC10 GGG10 FWK10 FMO10 FCS10 ESW10 EJA10 DZE10 DPI10 DFM10 CVQ10 CLU10 CBY10 BSC10 BIG10 AYK10 AOO10 AES10 UW10 LA10" xr:uid="{00000000-0002-0000-0200-000003000000}">
      <formula1>$BV$4:$BV$6</formula1>
    </dataValidation>
    <dataValidation type="decimal" operator="lessThanOrEqual" allowBlank="1" showInputMessage="1" showErrorMessage="1" sqref="LA22 UW22 AES22 AOO22 AYK22 BIG22 BSC22 CBY22 CLU22 CVQ22 DFM22 DPI22 DZE22 EJA22 ESW22 FCS22 FMO22 FWK22 GGG22 GQC22 GZY22 HJU22 HTQ22 IDM22 INI22 IXE22 JHA22 JQW22 KAS22 KKO22 KUK22 LEG22 LOC22 LXY22 MHU22 MRQ22 NBM22 NLI22 NVE22 OFA22 OOW22 OYS22 PIO22 PSK22 QCG22 QMC22 QVY22 RFU22 RPQ22 RZM22 SJI22 STE22 TDA22 TMW22 TWS22 UGO22 UQK22 VAG22 VKC22 VTY22 WDU22 WNQ22 WXM22 LA65558 UW65558 AES65558 AOO65558 AYK65558 BIG65558 BSC65558 CBY65558 CLU65558 CVQ65558 DFM65558 DPI65558 DZE65558 EJA65558 ESW65558 FCS65558 FMO65558 FWK65558 GGG65558 GQC65558 GZY65558 HJU65558 HTQ65558 IDM65558 INI65558 IXE65558 JHA65558 JQW65558 KAS65558 KKO65558 KUK65558 LEG65558 LOC65558 LXY65558 MHU65558 MRQ65558 NBM65558 NLI65558 NVE65558 OFA65558 OOW65558 OYS65558 PIO65558 PSK65558 QCG65558 QMC65558 QVY65558 RFU65558 RPQ65558 RZM65558 SJI65558 STE65558 TDA65558 TMW65558 TWS65558 UGO65558 UQK65558 VAG65558 VKC65558 VTY65558 WDU65558 WNQ65558 WXM65558 LA131094 UW131094 AES131094 AOO131094 AYK131094 BIG131094 BSC131094 CBY131094 CLU131094 CVQ131094 DFM131094 DPI131094 DZE131094 EJA131094 ESW131094 FCS131094 FMO131094 FWK131094 GGG131094 GQC131094 GZY131094 HJU131094 HTQ131094 IDM131094 INI131094 IXE131094 JHA131094 JQW131094 KAS131094 KKO131094 KUK131094 LEG131094 LOC131094 LXY131094 MHU131094 MRQ131094 NBM131094 NLI131094 NVE131094 OFA131094 OOW131094 OYS131094 PIO131094 PSK131094 QCG131094 QMC131094 QVY131094 RFU131094 RPQ131094 RZM131094 SJI131094 STE131094 TDA131094 TMW131094 TWS131094 UGO131094 UQK131094 VAG131094 VKC131094 VTY131094 WDU131094 WNQ131094 WXM131094 LA196630 UW196630 AES196630 AOO196630 AYK196630 BIG196630 BSC196630 CBY196630 CLU196630 CVQ196630 DFM196630 DPI196630 DZE196630 EJA196630 ESW196630 FCS196630 FMO196630 FWK196630 GGG196630 GQC196630 GZY196630 HJU196630 HTQ196630 IDM196630 INI196630 IXE196630 JHA196630 JQW196630 KAS196630 KKO196630 KUK196630 LEG196630 LOC196630 LXY196630 MHU196630 MRQ196630 NBM196630 NLI196630 NVE196630 OFA196630 OOW196630 OYS196630 PIO196630 PSK196630 QCG196630 QMC196630 QVY196630 RFU196630 RPQ196630 RZM196630 SJI196630 STE196630 TDA196630 TMW196630 TWS196630 UGO196630 UQK196630 VAG196630 VKC196630 VTY196630 WDU196630 WNQ196630 WXM196630 LA262166 UW262166 AES262166 AOO262166 AYK262166 BIG262166 BSC262166 CBY262166 CLU262166 CVQ262166 DFM262166 DPI262166 DZE262166 EJA262166 ESW262166 FCS262166 FMO262166 FWK262166 GGG262166 GQC262166 GZY262166 HJU262166 HTQ262166 IDM262166 INI262166 IXE262166 JHA262166 JQW262166 KAS262166 KKO262166 KUK262166 LEG262166 LOC262166 LXY262166 MHU262166 MRQ262166 NBM262166 NLI262166 NVE262166 OFA262166 OOW262166 OYS262166 PIO262166 PSK262166 QCG262166 QMC262166 QVY262166 RFU262166 RPQ262166 RZM262166 SJI262166 STE262166 TDA262166 TMW262166 TWS262166 UGO262166 UQK262166 VAG262166 VKC262166 VTY262166 WDU262166 WNQ262166 WXM262166 LA327702 UW327702 AES327702 AOO327702 AYK327702 BIG327702 BSC327702 CBY327702 CLU327702 CVQ327702 DFM327702 DPI327702 DZE327702 EJA327702 ESW327702 FCS327702 FMO327702 FWK327702 GGG327702 GQC327702 GZY327702 HJU327702 HTQ327702 IDM327702 INI327702 IXE327702 JHA327702 JQW327702 KAS327702 KKO327702 KUK327702 LEG327702 LOC327702 LXY327702 MHU327702 MRQ327702 NBM327702 NLI327702 NVE327702 OFA327702 OOW327702 OYS327702 PIO327702 PSK327702 QCG327702 QMC327702 QVY327702 RFU327702 RPQ327702 RZM327702 SJI327702 STE327702 TDA327702 TMW327702 TWS327702 UGO327702 UQK327702 VAG327702 VKC327702 VTY327702 WDU327702 WNQ327702 WXM327702 LA393238 UW393238 AES393238 AOO393238 AYK393238 BIG393238 BSC393238 CBY393238 CLU393238 CVQ393238 DFM393238 DPI393238 DZE393238 EJA393238 ESW393238 FCS393238 FMO393238 FWK393238 GGG393238 GQC393238 GZY393238 HJU393238 HTQ393238 IDM393238 INI393238 IXE393238 JHA393238 JQW393238 KAS393238 KKO393238 KUK393238 LEG393238 LOC393238 LXY393238 MHU393238 MRQ393238 NBM393238 NLI393238 NVE393238 OFA393238 OOW393238 OYS393238 PIO393238 PSK393238 QCG393238 QMC393238 QVY393238 RFU393238 RPQ393238 RZM393238 SJI393238 STE393238 TDA393238 TMW393238 TWS393238 UGO393238 UQK393238 VAG393238 VKC393238 VTY393238 WDU393238 WNQ393238 WXM393238 LA458774 UW458774 AES458774 AOO458774 AYK458774 BIG458774 BSC458774 CBY458774 CLU458774 CVQ458774 DFM458774 DPI458774 DZE458774 EJA458774 ESW458774 FCS458774 FMO458774 FWK458774 GGG458774 GQC458774 GZY458774 HJU458774 HTQ458774 IDM458774 INI458774 IXE458774 JHA458774 JQW458774 KAS458774 KKO458774 KUK458774 LEG458774 LOC458774 LXY458774 MHU458774 MRQ458774 NBM458774 NLI458774 NVE458774 OFA458774 OOW458774 OYS458774 PIO458774 PSK458774 QCG458774 QMC458774 QVY458774 RFU458774 RPQ458774 RZM458774 SJI458774 STE458774 TDA458774 TMW458774 TWS458774 UGO458774 UQK458774 VAG458774 VKC458774 VTY458774 WDU458774 WNQ458774 WXM458774 LA524310 UW524310 AES524310 AOO524310 AYK524310 BIG524310 BSC524310 CBY524310 CLU524310 CVQ524310 DFM524310 DPI524310 DZE524310 EJA524310 ESW524310 FCS524310 FMO524310 FWK524310 GGG524310 GQC524310 GZY524310 HJU524310 HTQ524310 IDM524310 INI524310 IXE524310 JHA524310 JQW524310 KAS524310 KKO524310 KUK524310 LEG524310 LOC524310 LXY524310 MHU524310 MRQ524310 NBM524310 NLI524310 NVE524310 OFA524310 OOW524310 OYS524310 PIO524310 PSK524310 QCG524310 QMC524310 QVY524310 RFU524310 RPQ524310 RZM524310 SJI524310 STE524310 TDA524310 TMW524310 TWS524310 UGO524310 UQK524310 VAG524310 VKC524310 VTY524310 WDU524310 WNQ524310 WXM524310 LA589846 UW589846 AES589846 AOO589846 AYK589846 BIG589846 BSC589846 CBY589846 CLU589846 CVQ589846 DFM589846 DPI589846 DZE589846 EJA589846 ESW589846 FCS589846 FMO589846 FWK589846 GGG589846 GQC589846 GZY589846 HJU589846 HTQ589846 IDM589846 INI589846 IXE589846 JHA589846 JQW589846 KAS589846 KKO589846 KUK589846 LEG589846 LOC589846 LXY589846 MHU589846 MRQ589846 NBM589846 NLI589846 NVE589846 OFA589846 OOW589846 OYS589846 PIO589846 PSK589846 QCG589846 QMC589846 QVY589846 RFU589846 RPQ589846 RZM589846 SJI589846 STE589846 TDA589846 TMW589846 TWS589846 UGO589846 UQK589846 VAG589846 VKC589846 VTY589846 WDU589846 WNQ589846 WXM589846 LA655382 UW655382 AES655382 AOO655382 AYK655382 BIG655382 BSC655382 CBY655382 CLU655382 CVQ655382 DFM655382 DPI655382 DZE655382 EJA655382 ESW655382 FCS655382 FMO655382 FWK655382 GGG655382 GQC655382 GZY655382 HJU655382 HTQ655382 IDM655382 INI655382 IXE655382 JHA655382 JQW655382 KAS655382 KKO655382 KUK655382 LEG655382 LOC655382 LXY655382 MHU655382 MRQ655382 NBM655382 NLI655382 NVE655382 OFA655382 OOW655382 OYS655382 PIO655382 PSK655382 QCG655382 QMC655382 QVY655382 RFU655382 RPQ655382 RZM655382 SJI655382 STE655382 TDA655382 TMW655382 TWS655382 UGO655382 UQK655382 VAG655382 VKC655382 VTY655382 WDU655382 WNQ655382 WXM655382 LA720918 UW720918 AES720918 AOO720918 AYK720918 BIG720918 BSC720918 CBY720918 CLU720918 CVQ720918 DFM720918 DPI720918 DZE720918 EJA720918 ESW720918 FCS720918 FMO720918 FWK720918 GGG720918 GQC720918 GZY720918 HJU720918 HTQ720918 IDM720918 INI720918 IXE720918 JHA720918 JQW720918 KAS720918 KKO720918 KUK720918 LEG720918 LOC720918 LXY720918 MHU720918 MRQ720918 NBM720918 NLI720918 NVE720918 OFA720918 OOW720918 OYS720918 PIO720918 PSK720918 QCG720918 QMC720918 QVY720918 RFU720918 RPQ720918 RZM720918 SJI720918 STE720918 TDA720918 TMW720918 TWS720918 UGO720918 UQK720918 VAG720918 VKC720918 VTY720918 WDU720918 WNQ720918 WXM720918 LA786454 UW786454 AES786454 AOO786454 AYK786454 BIG786454 BSC786454 CBY786454 CLU786454 CVQ786454 DFM786454 DPI786454 DZE786454 EJA786454 ESW786454 FCS786454 FMO786454 FWK786454 GGG786454 GQC786454 GZY786454 HJU786454 HTQ786454 IDM786454 INI786454 IXE786454 JHA786454 JQW786454 KAS786454 KKO786454 KUK786454 LEG786454 LOC786454 LXY786454 MHU786454 MRQ786454 NBM786454 NLI786454 NVE786454 OFA786454 OOW786454 OYS786454 PIO786454 PSK786454 QCG786454 QMC786454 QVY786454 RFU786454 RPQ786454 RZM786454 SJI786454 STE786454 TDA786454 TMW786454 TWS786454 UGO786454 UQK786454 VAG786454 VKC786454 VTY786454 WDU786454 WNQ786454 WXM786454 LA851990 UW851990 AES851990 AOO851990 AYK851990 BIG851990 BSC851990 CBY851990 CLU851990 CVQ851990 DFM851990 DPI851990 DZE851990 EJA851990 ESW851990 FCS851990 FMO851990 FWK851990 GGG851990 GQC851990 GZY851990 HJU851990 HTQ851990 IDM851990 INI851990 IXE851990 JHA851990 JQW851990 KAS851990 KKO851990 KUK851990 LEG851990 LOC851990 LXY851990 MHU851990 MRQ851990 NBM851990 NLI851990 NVE851990 OFA851990 OOW851990 OYS851990 PIO851990 PSK851990 QCG851990 QMC851990 QVY851990 RFU851990 RPQ851990 RZM851990 SJI851990 STE851990 TDA851990 TMW851990 TWS851990 UGO851990 UQK851990 VAG851990 VKC851990 VTY851990 WDU851990 WNQ851990 WXM851990 LA917526 UW917526 AES917526 AOO917526 AYK917526 BIG917526 BSC917526 CBY917526 CLU917526 CVQ917526 DFM917526 DPI917526 DZE917526 EJA917526 ESW917526 FCS917526 FMO917526 FWK917526 GGG917526 GQC917526 GZY917526 HJU917526 HTQ917526 IDM917526 INI917526 IXE917526 JHA917526 JQW917526 KAS917526 KKO917526 KUK917526 LEG917526 LOC917526 LXY917526 MHU917526 MRQ917526 NBM917526 NLI917526 NVE917526 OFA917526 OOW917526 OYS917526 PIO917526 PSK917526 QCG917526 QMC917526 QVY917526 RFU917526 RPQ917526 RZM917526 SJI917526 STE917526 TDA917526 TMW917526 TWS917526 UGO917526 UQK917526 VAG917526 VKC917526 VTY917526 WDU917526 WNQ917526 WXM917526 LA983062 UW983062 AES983062 AOO983062 AYK983062 BIG983062 BSC983062 CBY983062 CLU983062 CVQ983062 DFM983062 DPI983062 DZE983062 EJA983062 ESW983062 FCS983062 FMO983062 FWK983062 GGG983062 GQC983062 GZY983062 HJU983062 HTQ983062 IDM983062 INI983062 IXE983062 JHA983062 JQW983062 KAS983062 KKO983062 KUK983062 LEG983062 LOC983062 LXY983062 MHU983062 MRQ983062 NBM983062 NLI983062 NVE983062 OFA983062 OOW983062 OYS983062 PIO983062 PSK983062 QCG983062 QMC983062 QVY983062 RFU983062 RPQ983062 RZM983062 SJI983062 STE983062 TDA983062 TMW983062 TWS983062 UGO983062 UQK983062 VAG983062 VKC983062 VTY983062 WDU983062 WNQ983062 WXM983062" xr:uid="{00000000-0002-0000-0200-000004000000}">
      <formula1>LE22</formula1>
    </dataValidation>
    <dataValidation type="decimal" allowBlank="1" showInputMessage="1" showErrorMessage="1" sqref="WXM983065 LA25 UW25 AES25 AOO25 AYK25 BIG25 BSC25 CBY25 CLU25 CVQ25 DFM25 DPI25 DZE25 EJA25 ESW25 FCS25 FMO25 FWK25 GGG25 GQC25 GZY25 HJU25 HTQ25 IDM25 INI25 IXE25 JHA25 JQW25 KAS25 KKO25 KUK25 LEG25 LOC25 LXY25 MHU25 MRQ25 NBM25 NLI25 NVE25 OFA25 OOW25 OYS25 PIO25 PSK25 QCG25 QMC25 QVY25 RFU25 RPQ25 RZM25 SJI25 STE25 TDA25 TMW25 TWS25 UGO25 UQK25 VAG25 VKC25 VTY25 WDU25 WNQ25 WXM25 I65639:Q65639 LA65561 UW65561 AES65561 AOO65561 AYK65561 BIG65561 BSC65561 CBY65561 CLU65561 CVQ65561 DFM65561 DPI65561 DZE65561 EJA65561 ESW65561 FCS65561 FMO65561 FWK65561 GGG65561 GQC65561 GZY65561 HJU65561 HTQ65561 IDM65561 INI65561 IXE65561 JHA65561 JQW65561 KAS65561 KKO65561 KUK65561 LEG65561 LOC65561 LXY65561 MHU65561 MRQ65561 NBM65561 NLI65561 NVE65561 OFA65561 OOW65561 OYS65561 PIO65561 PSK65561 QCG65561 QMC65561 QVY65561 RFU65561 RPQ65561 RZM65561 SJI65561 STE65561 TDA65561 TMW65561 TWS65561 UGO65561 UQK65561 VAG65561 VKC65561 VTY65561 WDU65561 WNQ65561 WXM65561 I131175:Q131175 LA131097 UW131097 AES131097 AOO131097 AYK131097 BIG131097 BSC131097 CBY131097 CLU131097 CVQ131097 DFM131097 DPI131097 DZE131097 EJA131097 ESW131097 FCS131097 FMO131097 FWK131097 GGG131097 GQC131097 GZY131097 HJU131097 HTQ131097 IDM131097 INI131097 IXE131097 JHA131097 JQW131097 KAS131097 KKO131097 KUK131097 LEG131097 LOC131097 LXY131097 MHU131097 MRQ131097 NBM131097 NLI131097 NVE131097 OFA131097 OOW131097 OYS131097 PIO131097 PSK131097 QCG131097 QMC131097 QVY131097 RFU131097 RPQ131097 RZM131097 SJI131097 STE131097 TDA131097 TMW131097 TWS131097 UGO131097 UQK131097 VAG131097 VKC131097 VTY131097 WDU131097 WNQ131097 WXM131097 I196711:Q196711 LA196633 UW196633 AES196633 AOO196633 AYK196633 BIG196633 BSC196633 CBY196633 CLU196633 CVQ196633 DFM196633 DPI196633 DZE196633 EJA196633 ESW196633 FCS196633 FMO196633 FWK196633 GGG196633 GQC196633 GZY196633 HJU196633 HTQ196633 IDM196633 INI196633 IXE196633 JHA196633 JQW196633 KAS196633 KKO196633 KUK196633 LEG196633 LOC196633 LXY196633 MHU196633 MRQ196633 NBM196633 NLI196633 NVE196633 OFA196633 OOW196633 OYS196633 PIO196633 PSK196633 QCG196633 QMC196633 QVY196633 RFU196633 RPQ196633 RZM196633 SJI196633 STE196633 TDA196633 TMW196633 TWS196633 UGO196633 UQK196633 VAG196633 VKC196633 VTY196633 WDU196633 WNQ196633 WXM196633 I262247:Q262247 LA262169 UW262169 AES262169 AOO262169 AYK262169 BIG262169 BSC262169 CBY262169 CLU262169 CVQ262169 DFM262169 DPI262169 DZE262169 EJA262169 ESW262169 FCS262169 FMO262169 FWK262169 GGG262169 GQC262169 GZY262169 HJU262169 HTQ262169 IDM262169 INI262169 IXE262169 JHA262169 JQW262169 KAS262169 KKO262169 KUK262169 LEG262169 LOC262169 LXY262169 MHU262169 MRQ262169 NBM262169 NLI262169 NVE262169 OFA262169 OOW262169 OYS262169 PIO262169 PSK262169 QCG262169 QMC262169 QVY262169 RFU262169 RPQ262169 RZM262169 SJI262169 STE262169 TDA262169 TMW262169 TWS262169 UGO262169 UQK262169 VAG262169 VKC262169 VTY262169 WDU262169 WNQ262169 WXM262169 I327783:Q327783 LA327705 UW327705 AES327705 AOO327705 AYK327705 BIG327705 BSC327705 CBY327705 CLU327705 CVQ327705 DFM327705 DPI327705 DZE327705 EJA327705 ESW327705 FCS327705 FMO327705 FWK327705 GGG327705 GQC327705 GZY327705 HJU327705 HTQ327705 IDM327705 INI327705 IXE327705 JHA327705 JQW327705 KAS327705 KKO327705 KUK327705 LEG327705 LOC327705 LXY327705 MHU327705 MRQ327705 NBM327705 NLI327705 NVE327705 OFA327705 OOW327705 OYS327705 PIO327705 PSK327705 QCG327705 QMC327705 QVY327705 RFU327705 RPQ327705 RZM327705 SJI327705 STE327705 TDA327705 TMW327705 TWS327705 UGO327705 UQK327705 VAG327705 VKC327705 VTY327705 WDU327705 WNQ327705 WXM327705 I393319:Q393319 LA393241 UW393241 AES393241 AOO393241 AYK393241 BIG393241 BSC393241 CBY393241 CLU393241 CVQ393241 DFM393241 DPI393241 DZE393241 EJA393241 ESW393241 FCS393241 FMO393241 FWK393241 GGG393241 GQC393241 GZY393241 HJU393241 HTQ393241 IDM393241 INI393241 IXE393241 JHA393241 JQW393241 KAS393241 KKO393241 KUK393241 LEG393241 LOC393241 LXY393241 MHU393241 MRQ393241 NBM393241 NLI393241 NVE393241 OFA393241 OOW393241 OYS393241 PIO393241 PSK393241 QCG393241 QMC393241 QVY393241 RFU393241 RPQ393241 RZM393241 SJI393241 STE393241 TDA393241 TMW393241 TWS393241 UGO393241 UQK393241 VAG393241 VKC393241 VTY393241 WDU393241 WNQ393241 WXM393241 I458855:Q458855 LA458777 UW458777 AES458777 AOO458777 AYK458777 BIG458777 BSC458777 CBY458777 CLU458777 CVQ458777 DFM458777 DPI458777 DZE458777 EJA458777 ESW458777 FCS458777 FMO458777 FWK458777 GGG458777 GQC458777 GZY458777 HJU458777 HTQ458777 IDM458777 INI458777 IXE458777 JHA458777 JQW458777 KAS458777 KKO458777 KUK458777 LEG458777 LOC458777 LXY458777 MHU458777 MRQ458777 NBM458777 NLI458777 NVE458777 OFA458777 OOW458777 OYS458777 PIO458777 PSK458777 QCG458777 QMC458777 QVY458777 RFU458777 RPQ458777 RZM458777 SJI458777 STE458777 TDA458777 TMW458777 TWS458777 UGO458777 UQK458777 VAG458777 VKC458777 VTY458777 WDU458777 WNQ458777 WXM458777 I524391:Q524391 LA524313 UW524313 AES524313 AOO524313 AYK524313 BIG524313 BSC524313 CBY524313 CLU524313 CVQ524313 DFM524313 DPI524313 DZE524313 EJA524313 ESW524313 FCS524313 FMO524313 FWK524313 GGG524313 GQC524313 GZY524313 HJU524313 HTQ524313 IDM524313 INI524313 IXE524313 JHA524313 JQW524313 KAS524313 KKO524313 KUK524313 LEG524313 LOC524313 LXY524313 MHU524313 MRQ524313 NBM524313 NLI524313 NVE524313 OFA524313 OOW524313 OYS524313 PIO524313 PSK524313 QCG524313 QMC524313 QVY524313 RFU524313 RPQ524313 RZM524313 SJI524313 STE524313 TDA524313 TMW524313 TWS524313 UGO524313 UQK524313 VAG524313 VKC524313 VTY524313 WDU524313 WNQ524313 WXM524313 I589927:Q589927 LA589849 UW589849 AES589849 AOO589849 AYK589849 BIG589849 BSC589849 CBY589849 CLU589849 CVQ589849 DFM589849 DPI589849 DZE589849 EJA589849 ESW589849 FCS589849 FMO589849 FWK589849 GGG589849 GQC589849 GZY589849 HJU589849 HTQ589849 IDM589849 INI589849 IXE589849 JHA589849 JQW589849 KAS589849 KKO589849 KUK589849 LEG589849 LOC589849 LXY589849 MHU589849 MRQ589849 NBM589849 NLI589849 NVE589849 OFA589849 OOW589849 OYS589849 PIO589849 PSK589849 QCG589849 QMC589849 QVY589849 RFU589849 RPQ589849 RZM589849 SJI589849 STE589849 TDA589849 TMW589849 TWS589849 UGO589849 UQK589849 VAG589849 VKC589849 VTY589849 WDU589849 WNQ589849 WXM589849 I655463:Q655463 LA655385 UW655385 AES655385 AOO655385 AYK655385 BIG655385 BSC655385 CBY655385 CLU655385 CVQ655385 DFM655385 DPI655385 DZE655385 EJA655385 ESW655385 FCS655385 FMO655385 FWK655385 GGG655385 GQC655385 GZY655385 HJU655385 HTQ655385 IDM655385 INI655385 IXE655385 JHA655385 JQW655385 KAS655385 KKO655385 KUK655385 LEG655385 LOC655385 LXY655385 MHU655385 MRQ655385 NBM655385 NLI655385 NVE655385 OFA655385 OOW655385 OYS655385 PIO655385 PSK655385 QCG655385 QMC655385 QVY655385 RFU655385 RPQ655385 RZM655385 SJI655385 STE655385 TDA655385 TMW655385 TWS655385 UGO655385 UQK655385 VAG655385 VKC655385 VTY655385 WDU655385 WNQ655385 WXM655385 I720999:Q720999 LA720921 UW720921 AES720921 AOO720921 AYK720921 BIG720921 BSC720921 CBY720921 CLU720921 CVQ720921 DFM720921 DPI720921 DZE720921 EJA720921 ESW720921 FCS720921 FMO720921 FWK720921 GGG720921 GQC720921 GZY720921 HJU720921 HTQ720921 IDM720921 INI720921 IXE720921 JHA720921 JQW720921 KAS720921 KKO720921 KUK720921 LEG720921 LOC720921 LXY720921 MHU720921 MRQ720921 NBM720921 NLI720921 NVE720921 OFA720921 OOW720921 OYS720921 PIO720921 PSK720921 QCG720921 QMC720921 QVY720921 RFU720921 RPQ720921 RZM720921 SJI720921 STE720921 TDA720921 TMW720921 TWS720921 UGO720921 UQK720921 VAG720921 VKC720921 VTY720921 WDU720921 WNQ720921 WXM720921 I786535:Q786535 LA786457 UW786457 AES786457 AOO786457 AYK786457 BIG786457 BSC786457 CBY786457 CLU786457 CVQ786457 DFM786457 DPI786457 DZE786457 EJA786457 ESW786457 FCS786457 FMO786457 FWK786457 GGG786457 GQC786457 GZY786457 HJU786457 HTQ786457 IDM786457 INI786457 IXE786457 JHA786457 JQW786457 KAS786457 KKO786457 KUK786457 LEG786457 LOC786457 LXY786457 MHU786457 MRQ786457 NBM786457 NLI786457 NVE786457 OFA786457 OOW786457 OYS786457 PIO786457 PSK786457 QCG786457 QMC786457 QVY786457 RFU786457 RPQ786457 RZM786457 SJI786457 STE786457 TDA786457 TMW786457 TWS786457 UGO786457 UQK786457 VAG786457 VKC786457 VTY786457 WDU786457 WNQ786457 WXM786457 I852071:Q852071 LA851993 UW851993 AES851993 AOO851993 AYK851993 BIG851993 BSC851993 CBY851993 CLU851993 CVQ851993 DFM851993 DPI851993 DZE851993 EJA851993 ESW851993 FCS851993 FMO851993 FWK851993 GGG851993 GQC851993 GZY851993 HJU851993 HTQ851993 IDM851993 INI851993 IXE851993 JHA851993 JQW851993 KAS851993 KKO851993 KUK851993 LEG851993 LOC851993 LXY851993 MHU851993 MRQ851993 NBM851993 NLI851993 NVE851993 OFA851993 OOW851993 OYS851993 PIO851993 PSK851993 QCG851993 QMC851993 QVY851993 RFU851993 RPQ851993 RZM851993 SJI851993 STE851993 TDA851993 TMW851993 TWS851993 UGO851993 UQK851993 VAG851993 VKC851993 VTY851993 WDU851993 WNQ851993 WXM851993 I917607:Q917607 LA917529 UW917529 AES917529 AOO917529 AYK917529 BIG917529 BSC917529 CBY917529 CLU917529 CVQ917529 DFM917529 DPI917529 DZE917529 EJA917529 ESW917529 FCS917529 FMO917529 FWK917529 GGG917529 GQC917529 GZY917529 HJU917529 HTQ917529 IDM917529 INI917529 IXE917529 JHA917529 JQW917529 KAS917529 KKO917529 KUK917529 LEG917529 LOC917529 LXY917529 MHU917529 MRQ917529 NBM917529 NLI917529 NVE917529 OFA917529 OOW917529 OYS917529 PIO917529 PSK917529 QCG917529 QMC917529 QVY917529 RFU917529 RPQ917529 RZM917529 SJI917529 STE917529 TDA917529 TMW917529 TWS917529 UGO917529 UQK917529 VAG917529 VKC917529 VTY917529 WDU917529 WNQ917529 WXM917529 I983143:Q983143 LA983065 UW983065 AES983065 AOO983065 AYK983065 BIG983065 BSC983065 CBY983065 CLU983065 CVQ983065 DFM983065 DPI983065 DZE983065 EJA983065 ESW983065 FCS983065 FMO983065 FWK983065 GGG983065 GQC983065 GZY983065 HJU983065 HTQ983065 IDM983065 INI983065 IXE983065 JHA983065 JQW983065 KAS983065 KKO983065 KUK983065 LEG983065 LOC983065 LXY983065 MHU983065 MRQ983065 NBM983065 NLI983065 NVE983065 OFA983065 OOW983065 OYS983065 PIO983065 PSK983065 QCG983065 QMC983065 QVY983065 RFU983065 RPQ983065 RZM983065 SJI983065 STE983065 TDA983065 TMW983065 TWS983065 UGO983065 UQK983065 VAG983065 VKC983065 VTY983065 WDU983065 WNQ983065 I29" xr:uid="{00000000-0002-0000-0200-000005000000}">
      <formula1>0</formula1>
      <formula2>0.8</formula2>
    </dataValidation>
    <dataValidation type="list" allowBlank="1" showInputMessage="1" showErrorMessage="1" sqref="WXM983058 I22 WNQ983058 WDU983058 VTY983058 VKC983058 VAG983058 UQK983058 UGO983058 TWS983058 TMW983058 TDA983058 STE983058 SJI983058 RZM983058 RPQ983058 RFU983058 QVY983058 QMC983058 QCG983058 PSK983058 PIO983058 OYS983058 OOW983058 OFA983058 NVE983058 NLI983058 NBM983058 MRQ983058 MHU983058 LXY983058 LOC983058 LEG983058 KUK983058 KKO983058 KAS983058 JQW983058 JHA983058 IXE983058 INI983058 IDM983058 HTQ983058 HJU983058 GZY983058 GQC983058 GGG983058 FWK983058 FMO983058 FCS983058 ESW983058 EJA983058 DZE983058 DPI983058 DFM983058 CVQ983058 CLU983058 CBY983058 BSC983058 BIG983058 AYK983058 AOO983058 AES983058 UW983058 LA983058 I983136:Q983136 WXM917522 WNQ917522 WDU917522 VTY917522 VKC917522 VAG917522 UQK917522 UGO917522 TWS917522 TMW917522 TDA917522 STE917522 SJI917522 RZM917522 RPQ917522 RFU917522 QVY917522 QMC917522 QCG917522 PSK917522 PIO917522 OYS917522 OOW917522 OFA917522 NVE917522 NLI917522 NBM917522 MRQ917522 MHU917522 LXY917522 LOC917522 LEG917522 KUK917522 KKO917522 KAS917522 JQW917522 JHA917522 IXE917522 INI917522 IDM917522 HTQ917522 HJU917522 GZY917522 GQC917522 GGG917522 FWK917522 FMO917522 FCS917522 ESW917522 EJA917522 DZE917522 DPI917522 DFM917522 CVQ917522 CLU917522 CBY917522 BSC917522 BIG917522 AYK917522 AOO917522 AES917522 UW917522 LA917522 I917600:Q917600 WXM851986 WNQ851986 WDU851986 VTY851986 VKC851986 VAG851986 UQK851986 UGO851986 TWS851986 TMW851986 TDA851986 STE851986 SJI851986 RZM851986 RPQ851986 RFU851986 QVY851986 QMC851986 QCG851986 PSK851986 PIO851986 OYS851986 OOW851986 OFA851986 NVE851986 NLI851986 NBM851986 MRQ851986 MHU851986 LXY851986 LOC851986 LEG851986 KUK851986 KKO851986 KAS851986 JQW851986 JHA851986 IXE851986 INI851986 IDM851986 HTQ851986 HJU851986 GZY851986 GQC851986 GGG851986 FWK851986 FMO851986 FCS851986 ESW851986 EJA851986 DZE851986 DPI851986 DFM851986 CVQ851986 CLU851986 CBY851986 BSC851986 BIG851986 AYK851986 AOO851986 AES851986 UW851986 LA851986 I852064:Q852064 WXM786450 WNQ786450 WDU786450 VTY786450 VKC786450 VAG786450 UQK786450 UGO786450 TWS786450 TMW786450 TDA786450 STE786450 SJI786450 RZM786450 RPQ786450 RFU786450 QVY786450 QMC786450 QCG786450 PSK786450 PIO786450 OYS786450 OOW786450 OFA786450 NVE786450 NLI786450 NBM786450 MRQ786450 MHU786450 LXY786450 LOC786450 LEG786450 KUK786450 KKO786450 KAS786450 JQW786450 JHA786450 IXE786450 INI786450 IDM786450 HTQ786450 HJU786450 GZY786450 GQC786450 GGG786450 FWK786450 FMO786450 FCS786450 ESW786450 EJA786450 DZE786450 DPI786450 DFM786450 CVQ786450 CLU786450 CBY786450 BSC786450 BIG786450 AYK786450 AOO786450 AES786450 UW786450 LA786450 I786528:Q786528 WXM720914 WNQ720914 WDU720914 VTY720914 VKC720914 VAG720914 UQK720914 UGO720914 TWS720914 TMW720914 TDA720914 STE720914 SJI720914 RZM720914 RPQ720914 RFU720914 QVY720914 QMC720914 QCG720914 PSK720914 PIO720914 OYS720914 OOW720914 OFA720914 NVE720914 NLI720914 NBM720914 MRQ720914 MHU720914 LXY720914 LOC720914 LEG720914 KUK720914 KKO720914 KAS720914 JQW720914 JHA720914 IXE720914 INI720914 IDM720914 HTQ720914 HJU720914 GZY720914 GQC720914 GGG720914 FWK720914 FMO720914 FCS720914 ESW720914 EJA720914 DZE720914 DPI720914 DFM720914 CVQ720914 CLU720914 CBY720914 BSC720914 BIG720914 AYK720914 AOO720914 AES720914 UW720914 LA720914 I720992:Q720992 WXM655378 WNQ655378 WDU655378 VTY655378 VKC655378 VAG655378 UQK655378 UGO655378 TWS655378 TMW655378 TDA655378 STE655378 SJI655378 RZM655378 RPQ655378 RFU655378 QVY655378 QMC655378 QCG655378 PSK655378 PIO655378 OYS655378 OOW655378 OFA655378 NVE655378 NLI655378 NBM655378 MRQ655378 MHU655378 LXY655378 LOC655378 LEG655378 KUK655378 KKO655378 KAS655378 JQW655378 JHA655378 IXE655378 INI655378 IDM655378 HTQ655378 HJU655378 GZY655378 GQC655378 GGG655378 FWK655378 FMO655378 FCS655378 ESW655378 EJA655378 DZE655378 DPI655378 DFM655378 CVQ655378 CLU655378 CBY655378 BSC655378 BIG655378 AYK655378 AOO655378 AES655378 UW655378 LA655378 I655456:Q655456 WXM589842 WNQ589842 WDU589842 VTY589842 VKC589842 VAG589842 UQK589842 UGO589842 TWS589842 TMW589842 TDA589842 STE589842 SJI589842 RZM589842 RPQ589842 RFU589842 QVY589842 QMC589842 QCG589842 PSK589842 PIO589842 OYS589842 OOW589842 OFA589842 NVE589842 NLI589842 NBM589842 MRQ589842 MHU589842 LXY589842 LOC589842 LEG589842 KUK589842 KKO589842 KAS589842 JQW589842 JHA589842 IXE589842 INI589842 IDM589842 HTQ589842 HJU589842 GZY589842 GQC589842 GGG589842 FWK589842 FMO589842 FCS589842 ESW589842 EJA589842 DZE589842 DPI589842 DFM589842 CVQ589842 CLU589842 CBY589842 BSC589842 BIG589842 AYK589842 AOO589842 AES589842 UW589842 LA589842 I589920:Q589920 WXM524306 WNQ524306 WDU524306 VTY524306 VKC524306 VAG524306 UQK524306 UGO524306 TWS524306 TMW524306 TDA524306 STE524306 SJI524306 RZM524306 RPQ524306 RFU524306 QVY524306 QMC524306 QCG524306 PSK524306 PIO524306 OYS524306 OOW524306 OFA524306 NVE524306 NLI524306 NBM524306 MRQ524306 MHU524306 LXY524306 LOC524306 LEG524306 KUK524306 KKO524306 KAS524306 JQW524306 JHA524306 IXE524306 INI524306 IDM524306 HTQ524306 HJU524306 GZY524306 GQC524306 GGG524306 FWK524306 FMO524306 FCS524306 ESW524306 EJA524306 DZE524306 DPI524306 DFM524306 CVQ524306 CLU524306 CBY524306 BSC524306 BIG524306 AYK524306 AOO524306 AES524306 UW524306 LA524306 I524384:Q524384 WXM458770 WNQ458770 WDU458770 VTY458770 VKC458770 VAG458770 UQK458770 UGO458770 TWS458770 TMW458770 TDA458770 STE458770 SJI458770 RZM458770 RPQ458770 RFU458770 QVY458770 QMC458770 QCG458770 PSK458770 PIO458770 OYS458770 OOW458770 OFA458770 NVE458770 NLI458770 NBM458770 MRQ458770 MHU458770 LXY458770 LOC458770 LEG458770 KUK458770 KKO458770 KAS458770 JQW458770 JHA458770 IXE458770 INI458770 IDM458770 HTQ458770 HJU458770 GZY458770 GQC458770 GGG458770 FWK458770 FMO458770 FCS458770 ESW458770 EJA458770 DZE458770 DPI458770 DFM458770 CVQ458770 CLU458770 CBY458770 BSC458770 BIG458770 AYK458770 AOO458770 AES458770 UW458770 LA458770 I458848:Q458848 WXM393234 WNQ393234 WDU393234 VTY393234 VKC393234 VAG393234 UQK393234 UGO393234 TWS393234 TMW393234 TDA393234 STE393234 SJI393234 RZM393234 RPQ393234 RFU393234 QVY393234 QMC393234 QCG393234 PSK393234 PIO393234 OYS393234 OOW393234 OFA393234 NVE393234 NLI393234 NBM393234 MRQ393234 MHU393234 LXY393234 LOC393234 LEG393234 KUK393234 KKO393234 KAS393234 JQW393234 JHA393234 IXE393234 INI393234 IDM393234 HTQ393234 HJU393234 GZY393234 GQC393234 GGG393234 FWK393234 FMO393234 FCS393234 ESW393234 EJA393234 DZE393234 DPI393234 DFM393234 CVQ393234 CLU393234 CBY393234 BSC393234 BIG393234 AYK393234 AOO393234 AES393234 UW393234 LA393234 I393312:Q393312 WXM327698 WNQ327698 WDU327698 VTY327698 VKC327698 VAG327698 UQK327698 UGO327698 TWS327698 TMW327698 TDA327698 STE327698 SJI327698 RZM327698 RPQ327698 RFU327698 QVY327698 QMC327698 QCG327698 PSK327698 PIO327698 OYS327698 OOW327698 OFA327698 NVE327698 NLI327698 NBM327698 MRQ327698 MHU327698 LXY327698 LOC327698 LEG327698 KUK327698 KKO327698 KAS327698 JQW327698 JHA327698 IXE327698 INI327698 IDM327698 HTQ327698 HJU327698 GZY327698 GQC327698 GGG327698 FWK327698 FMO327698 FCS327698 ESW327698 EJA327698 DZE327698 DPI327698 DFM327698 CVQ327698 CLU327698 CBY327698 BSC327698 BIG327698 AYK327698 AOO327698 AES327698 UW327698 LA327698 I327776:Q327776 WXM262162 WNQ262162 WDU262162 VTY262162 VKC262162 VAG262162 UQK262162 UGO262162 TWS262162 TMW262162 TDA262162 STE262162 SJI262162 RZM262162 RPQ262162 RFU262162 QVY262162 QMC262162 QCG262162 PSK262162 PIO262162 OYS262162 OOW262162 OFA262162 NVE262162 NLI262162 NBM262162 MRQ262162 MHU262162 LXY262162 LOC262162 LEG262162 KUK262162 KKO262162 KAS262162 JQW262162 JHA262162 IXE262162 INI262162 IDM262162 HTQ262162 HJU262162 GZY262162 GQC262162 GGG262162 FWK262162 FMO262162 FCS262162 ESW262162 EJA262162 DZE262162 DPI262162 DFM262162 CVQ262162 CLU262162 CBY262162 BSC262162 BIG262162 AYK262162 AOO262162 AES262162 UW262162 LA262162 I262240:Q262240 WXM196626 WNQ196626 WDU196626 VTY196626 VKC196626 VAG196626 UQK196626 UGO196626 TWS196626 TMW196626 TDA196626 STE196626 SJI196626 RZM196626 RPQ196626 RFU196626 QVY196626 QMC196626 QCG196626 PSK196626 PIO196626 OYS196626 OOW196626 OFA196626 NVE196626 NLI196626 NBM196626 MRQ196626 MHU196626 LXY196626 LOC196626 LEG196626 KUK196626 KKO196626 KAS196626 JQW196626 JHA196626 IXE196626 INI196626 IDM196626 HTQ196626 HJU196626 GZY196626 GQC196626 GGG196626 FWK196626 FMO196626 FCS196626 ESW196626 EJA196626 DZE196626 DPI196626 DFM196626 CVQ196626 CLU196626 CBY196626 BSC196626 BIG196626 AYK196626 AOO196626 AES196626 UW196626 LA196626 I196704:Q196704 WXM131090 WNQ131090 WDU131090 VTY131090 VKC131090 VAG131090 UQK131090 UGO131090 TWS131090 TMW131090 TDA131090 STE131090 SJI131090 RZM131090 RPQ131090 RFU131090 QVY131090 QMC131090 QCG131090 PSK131090 PIO131090 OYS131090 OOW131090 OFA131090 NVE131090 NLI131090 NBM131090 MRQ131090 MHU131090 LXY131090 LOC131090 LEG131090 KUK131090 KKO131090 KAS131090 JQW131090 JHA131090 IXE131090 INI131090 IDM131090 HTQ131090 HJU131090 GZY131090 GQC131090 GGG131090 FWK131090 FMO131090 FCS131090 ESW131090 EJA131090 DZE131090 DPI131090 DFM131090 CVQ131090 CLU131090 CBY131090 BSC131090 BIG131090 AYK131090 AOO131090 AES131090 UW131090 LA131090 I131168:Q131168 WXM65554 WNQ65554 WDU65554 VTY65554 VKC65554 VAG65554 UQK65554 UGO65554 TWS65554 TMW65554 TDA65554 STE65554 SJI65554 RZM65554 RPQ65554 RFU65554 QVY65554 QMC65554 QCG65554 PSK65554 PIO65554 OYS65554 OOW65554 OFA65554 NVE65554 NLI65554 NBM65554 MRQ65554 MHU65554 LXY65554 LOC65554 LEG65554 KUK65554 KKO65554 KAS65554 JQW65554 JHA65554 IXE65554 INI65554 IDM65554 HTQ65554 HJU65554 GZY65554 GQC65554 GGG65554 FWK65554 FMO65554 FCS65554 ESW65554 EJA65554 DZE65554 DPI65554 DFM65554 CVQ65554 CLU65554 CBY65554 BSC65554 BIG65554 AYK65554 AOO65554 AES65554 UW65554 LA65554 I65632:Q65632 WXM18 WNQ18 WDU18 VTY18 VKC18 VAG18 UQK18 UGO18 TWS18 TMW18 TDA18 STE18 SJI18 RZM18 RPQ18 RFU18 QVY18 QMC18 QCG18 PSK18 PIO18 OYS18 OOW18 OFA18 NVE18 NLI18 NBM18 MRQ18 MHU18 LXY18 LOC18 LEG18 KUK18 KKO18 KAS18 JQW18 JHA18 IXE18 INI18 IDM18 HTQ18 HJU18 GZY18 GQC18 GGG18 FWK18 FMO18 FCS18 ESW18 EJA18 DZE18 DPI18 DFM18 CVQ18 CLU18 CBY18 BSC18 BIG18 AYK18 AOO18 AES18 UW18 LA18" xr:uid="{00000000-0002-0000-0200-000006000000}">
      <formula1>$BO$10:$BO$11</formula1>
    </dataValidation>
    <dataValidation type="list" allowBlank="1" showInputMessage="1" showErrorMessage="1" sqref="WXP983059 WNT983059 WDX983059 VUB983059 VKF983059 VAJ983059 UQN983059 UGR983059 TWV983059 TMZ983059 TDD983059 STH983059 SJL983059 RZP983059 RPT983059 RFX983059 QWB983059 QMF983059 QCJ983059 PSN983059 PIR983059 OYV983059 OOZ983059 OFD983059 NVH983059 NLL983059 NBP983059 MRT983059 MHX983059 LYB983059 LOF983059 LEJ983059 KUN983059 KKR983059 KAV983059 JQZ983059 JHD983059 IXH983059 INL983059 IDP983059 HTT983059 HJX983059 HAB983059 GQF983059 GGJ983059 FWN983059 FMR983059 FCV983059 ESZ983059 EJD983059 DZH983059 DPL983059 DFP983059 CVT983059 CLX983059 CCB983059 BSF983059 BIJ983059 AYN983059 AOR983059 AEV983059 UZ983059 LD983059 T983137 WXP917523 WNT917523 WDX917523 VUB917523 VKF917523 VAJ917523 UQN917523 UGR917523 TWV917523 TMZ917523 TDD917523 STH917523 SJL917523 RZP917523 RPT917523 RFX917523 QWB917523 QMF917523 QCJ917523 PSN917523 PIR917523 OYV917523 OOZ917523 OFD917523 NVH917523 NLL917523 NBP917523 MRT917523 MHX917523 LYB917523 LOF917523 LEJ917523 KUN917523 KKR917523 KAV917523 JQZ917523 JHD917523 IXH917523 INL917523 IDP917523 HTT917523 HJX917523 HAB917523 GQF917523 GGJ917523 FWN917523 FMR917523 FCV917523 ESZ917523 EJD917523 DZH917523 DPL917523 DFP917523 CVT917523 CLX917523 CCB917523 BSF917523 BIJ917523 AYN917523 AOR917523 AEV917523 UZ917523 LD917523 T917601 WXP851987 WNT851987 WDX851987 VUB851987 VKF851987 VAJ851987 UQN851987 UGR851987 TWV851987 TMZ851987 TDD851987 STH851987 SJL851987 RZP851987 RPT851987 RFX851987 QWB851987 QMF851987 QCJ851987 PSN851987 PIR851987 OYV851987 OOZ851987 OFD851987 NVH851987 NLL851987 NBP851987 MRT851987 MHX851987 LYB851987 LOF851987 LEJ851987 KUN851987 KKR851987 KAV851987 JQZ851987 JHD851987 IXH851987 INL851987 IDP851987 HTT851987 HJX851987 HAB851987 GQF851987 GGJ851987 FWN851987 FMR851987 FCV851987 ESZ851987 EJD851987 DZH851987 DPL851987 DFP851987 CVT851987 CLX851987 CCB851987 BSF851987 BIJ851987 AYN851987 AOR851987 AEV851987 UZ851987 LD851987 T852065 WXP786451 WNT786451 WDX786451 VUB786451 VKF786451 VAJ786451 UQN786451 UGR786451 TWV786451 TMZ786451 TDD786451 STH786451 SJL786451 RZP786451 RPT786451 RFX786451 QWB786451 QMF786451 QCJ786451 PSN786451 PIR786451 OYV786451 OOZ786451 OFD786451 NVH786451 NLL786451 NBP786451 MRT786451 MHX786451 LYB786451 LOF786451 LEJ786451 KUN786451 KKR786451 KAV786451 JQZ786451 JHD786451 IXH786451 INL786451 IDP786451 HTT786451 HJX786451 HAB786451 GQF786451 GGJ786451 FWN786451 FMR786451 FCV786451 ESZ786451 EJD786451 DZH786451 DPL786451 DFP786451 CVT786451 CLX786451 CCB786451 BSF786451 BIJ786451 AYN786451 AOR786451 AEV786451 UZ786451 LD786451 T786529 WXP720915 WNT720915 WDX720915 VUB720915 VKF720915 VAJ720915 UQN720915 UGR720915 TWV720915 TMZ720915 TDD720915 STH720915 SJL720915 RZP720915 RPT720915 RFX720915 QWB720915 QMF720915 QCJ720915 PSN720915 PIR720915 OYV720915 OOZ720915 OFD720915 NVH720915 NLL720915 NBP720915 MRT720915 MHX720915 LYB720915 LOF720915 LEJ720915 KUN720915 KKR720915 KAV720915 JQZ720915 JHD720915 IXH720915 INL720915 IDP720915 HTT720915 HJX720915 HAB720915 GQF720915 GGJ720915 FWN720915 FMR720915 FCV720915 ESZ720915 EJD720915 DZH720915 DPL720915 DFP720915 CVT720915 CLX720915 CCB720915 BSF720915 BIJ720915 AYN720915 AOR720915 AEV720915 UZ720915 LD720915 T720993 WXP655379 WNT655379 WDX655379 VUB655379 VKF655379 VAJ655379 UQN655379 UGR655379 TWV655379 TMZ655379 TDD655379 STH655379 SJL655379 RZP655379 RPT655379 RFX655379 QWB655379 QMF655379 QCJ655379 PSN655379 PIR655379 OYV655379 OOZ655379 OFD655379 NVH655379 NLL655379 NBP655379 MRT655379 MHX655379 LYB655379 LOF655379 LEJ655379 KUN655379 KKR655379 KAV655379 JQZ655379 JHD655379 IXH655379 INL655379 IDP655379 HTT655379 HJX655379 HAB655379 GQF655379 GGJ655379 FWN655379 FMR655379 FCV655379 ESZ655379 EJD655379 DZH655379 DPL655379 DFP655379 CVT655379 CLX655379 CCB655379 BSF655379 BIJ655379 AYN655379 AOR655379 AEV655379 UZ655379 LD655379 T655457 WXP589843 WNT589843 WDX589843 VUB589843 VKF589843 VAJ589843 UQN589843 UGR589843 TWV589843 TMZ589843 TDD589843 STH589843 SJL589843 RZP589843 RPT589843 RFX589843 QWB589843 QMF589843 QCJ589843 PSN589843 PIR589843 OYV589843 OOZ589843 OFD589843 NVH589843 NLL589843 NBP589843 MRT589843 MHX589843 LYB589843 LOF589843 LEJ589843 KUN589843 KKR589843 KAV589843 JQZ589843 JHD589843 IXH589843 INL589843 IDP589843 HTT589843 HJX589843 HAB589843 GQF589843 GGJ589843 FWN589843 FMR589843 FCV589843 ESZ589843 EJD589843 DZH589843 DPL589843 DFP589843 CVT589843 CLX589843 CCB589843 BSF589843 BIJ589843 AYN589843 AOR589843 AEV589843 UZ589843 LD589843 T589921 WXP524307 WNT524307 WDX524307 VUB524307 VKF524307 VAJ524307 UQN524307 UGR524307 TWV524307 TMZ524307 TDD524307 STH524307 SJL524307 RZP524307 RPT524307 RFX524307 QWB524307 QMF524307 QCJ524307 PSN524307 PIR524307 OYV524307 OOZ524307 OFD524307 NVH524307 NLL524307 NBP524307 MRT524307 MHX524307 LYB524307 LOF524307 LEJ524307 KUN524307 KKR524307 KAV524307 JQZ524307 JHD524307 IXH524307 INL524307 IDP524307 HTT524307 HJX524307 HAB524307 GQF524307 GGJ524307 FWN524307 FMR524307 FCV524307 ESZ524307 EJD524307 DZH524307 DPL524307 DFP524307 CVT524307 CLX524307 CCB524307 BSF524307 BIJ524307 AYN524307 AOR524307 AEV524307 UZ524307 LD524307 T524385 WXP458771 WNT458771 WDX458771 VUB458771 VKF458771 VAJ458771 UQN458771 UGR458771 TWV458771 TMZ458771 TDD458771 STH458771 SJL458771 RZP458771 RPT458771 RFX458771 QWB458771 QMF458771 QCJ458771 PSN458771 PIR458771 OYV458771 OOZ458771 OFD458771 NVH458771 NLL458771 NBP458771 MRT458771 MHX458771 LYB458771 LOF458771 LEJ458771 KUN458771 KKR458771 KAV458771 JQZ458771 JHD458771 IXH458771 INL458771 IDP458771 HTT458771 HJX458771 HAB458771 GQF458771 GGJ458771 FWN458771 FMR458771 FCV458771 ESZ458771 EJD458771 DZH458771 DPL458771 DFP458771 CVT458771 CLX458771 CCB458771 BSF458771 BIJ458771 AYN458771 AOR458771 AEV458771 UZ458771 LD458771 T458849 WXP393235 WNT393235 WDX393235 VUB393235 VKF393235 VAJ393235 UQN393235 UGR393235 TWV393235 TMZ393235 TDD393235 STH393235 SJL393235 RZP393235 RPT393235 RFX393235 QWB393235 QMF393235 QCJ393235 PSN393235 PIR393235 OYV393235 OOZ393235 OFD393235 NVH393235 NLL393235 NBP393235 MRT393235 MHX393235 LYB393235 LOF393235 LEJ393235 KUN393235 KKR393235 KAV393235 JQZ393235 JHD393235 IXH393235 INL393235 IDP393235 HTT393235 HJX393235 HAB393235 GQF393235 GGJ393235 FWN393235 FMR393235 FCV393235 ESZ393235 EJD393235 DZH393235 DPL393235 DFP393235 CVT393235 CLX393235 CCB393235 BSF393235 BIJ393235 AYN393235 AOR393235 AEV393235 UZ393235 LD393235 T393313 WXP327699 WNT327699 WDX327699 VUB327699 VKF327699 VAJ327699 UQN327699 UGR327699 TWV327699 TMZ327699 TDD327699 STH327699 SJL327699 RZP327699 RPT327699 RFX327699 QWB327699 QMF327699 QCJ327699 PSN327699 PIR327699 OYV327699 OOZ327699 OFD327699 NVH327699 NLL327699 NBP327699 MRT327699 MHX327699 LYB327699 LOF327699 LEJ327699 KUN327699 KKR327699 KAV327699 JQZ327699 JHD327699 IXH327699 INL327699 IDP327699 HTT327699 HJX327699 HAB327699 GQF327699 GGJ327699 FWN327699 FMR327699 FCV327699 ESZ327699 EJD327699 DZH327699 DPL327699 DFP327699 CVT327699 CLX327699 CCB327699 BSF327699 BIJ327699 AYN327699 AOR327699 AEV327699 UZ327699 LD327699 T327777 WXP262163 WNT262163 WDX262163 VUB262163 VKF262163 VAJ262163 UQN262163 UGR262163 TWV262163 TMZ262163 TDD262163 STH262163 SJL262163 RZP262163 RPT262163 RFX262163 QWB262163 QMF262163 QCJ262163 PSN262163 PIR262163 OYV262163 OOZ262163 OFD262163 NVH262163 NLL262163 NBP262163 MRT262163 MHX262163 LYB262163 LOF262163 LEJ262163 KUN262163 KKR262163 KAV262163 JQZ262163 JHD262163 IXH262163 INL262163 IDP262163 HTT262163 HJX262163 HAB262163 GQF262163 GGJ262163 FWN262163 FMR262163 FCV262163 ESZ262163 EJD262163 DZH262163 DPL262163 DFP262163 CVT262163 CLX262163 CCB262163 BSF262163 BIJ262163 AYN262163 AOR262163 AEV262163 UZ262163 LD262163 T262241 WXP196627 WNT196627 WDX196627 VUB196627 VKF196627 VAJ196627 UQN196627 UGR196627 TWV196627 TMZ196627 TDD196627 STH196627 SJL196627 RZP196627 RPT196627 RFX196627 QWB196627 QMF196627 QCJ196627 PSN196627 PIR196627 OYV196627 OOZ196627 OFD196627 NVH196627 NLL196627 NBP196627 MRT196627 MHX196627 LYB196627 LOF196627 LEJ196627 KUN196627 KKR196627 KAV196627 JQZ196627 JHD196627 IXH196627 INL196627 IDP196627 HTT196627 HJX196627 HAB196627 GQF196627 GGJ196627 FWN196627 FMR196627 FCV196627 ESZ196627 EJD196627 DZH196627 DPL196627 DFP196627 CVT196627 CLX196627 CCB196627 BSF196627 BIJ196627 AYN196627 AOR196627 AEV196627 UZ196627 LD196627 T196705 WXP131091 WNT131091 WDX131091 VUB131091 VKF131091 VAJ131091 UQN131091 UGR131091 TWV131091 TMZ131091 TDD131091 STH131091 SJL131091 RZP131091 RPT131091 RFX131091 QWB131091 QMF131091 QCJ131091 PSN131091 PIR131091 OYV131091 OOZ131091 OFD131091 NVH131091 NLL131091 NBP131091 MRT131091 MHX131091 LYB131091 LOF131091 LEJ131091 KUN131091 KKR131091 KAV131091 JQZ131091 JHD131091 IXH131091 INL131091 IDP131091 HTT131091 HJX131091 HAB131091 GQF131091 GGJ131091 FWN131091 FMR131091 FCV131091 ESZ131091 EJD131091 DZH131091 DPL131091 DFP131091 CVT131091 CLX131091 CCB131091 BSF131091 BIJ131091 AYN131091 AOR131091 AEV131091 UZ131091 LD131091 T131169 WXP65555 WNT65555 WDX65555 VUB65555 VKF65555 VAJ65555 UQN65555 UGR65555 TWV65555 TMZ65555 TDD65555 STH65555 SJL65555 RZP65555 RPT65555 RFX65555 QWB65555 QMF65555 QCJ65555 PSN65555 PIR65555 OYV65555 OOZ65555 OFD65555 NVH65555 NLL65555 NBP65555 MRT65555 MHX65555 LYB65555 LOF65555 LEJ65555 KUN65555 KKR65555 KAV65555 JQZ65555 JHD65555 IXH65555 INL65555 IDP65555 HTT65555 HJX65555 HAB65555 GQF65555 GGJ65555 FWN65555 FMR65555 FCV65555 ESZ65555 EJD65555 DZH65555 DPL65555 DFP65555 CVT65555 CLX65555 CCB65555 BSF65555 BIJ65555 AYN65555 AOR65555 AEV65555 UZ65555 LD65555 T65633 WXP19 WNT19 WDX19 VUB19 VKF19 VAJ19 UQN19 UGR19 TWV19 TMZ19 TDD19 STH19 SJL19 RZP19 RPT19 RFX19 QWB19 QMF19 QCJ19 PSN19 PIR19 OYV19 OOZ19 OFD19 NVH19 NLL19 NBP19 MRT19 MHX19 LYB19 LOF19 LEJ19 KUN19 KKR19 KAV19 JQZ19 JHD19 IXH19 INL19 IDP19 HTT19 HJX19 HAB19 GQF19 GGJ19 FWN19 FMR19 FCV19 ESZ19 EJD19 DZH19 DPL19 DFP19 CVT19 CLX19 CCB19 BSF19 BIJ19 AYN19 AOR19 AEV19 UZ19 LD19" xr:uid="{00000000-0002-0000-0200-000007000000}">
      <formula1>$BN$13:$BN$24</formula1>
    </dataValidation>
    <dataValidation type="list" allowBlank="1" showInputMessage="1" showErrorMessage="1" sqref="I12" xr:uid="{00000000-0002-0000-0200-000009000000}">
      <formula1>"PF,PFAE,PROF"</formula1>
    </dataValidation>
    <dataValidation type="decimal" operator="lessThanOrEqual" allowBlank="1" showInputMessage="1" showErrorMessage="1" sqref="Q131172 Q196708 Q262244 Q327780 Q393316 Q458852 Q524388 Q589924 Q655460 Q720996 Q786532 Q852068 Q917604 Q983140 Q65636" xr:uid="{00000000-0002-0000-0200-00000A000000}">
      <formula1>V65636</formula1>
    </dataValidation>
    <dataValidation type="decimal" operator="lessThanOrEqual" allowBlank="1" showInputMessage="1" showErrorMessage="1" sqref="P131172 P65636 P983140 P917604 P852068 P786532 P720996 P655460 P589924 P524388 P458852 P393316 P327780 P262244 P196708" xr:uid="{00000000-0002-0000-0200-00000B000000}">
      <formula1>V65636</formula1>
    </dataValidation>
    <dataValidation type="decimal" operator="lessThanOrEqual" allowBlank="1" showInputMessage="1" showErrorMessage="1" sqref="O131172 O196708 O262244 O327780 O393316 O458852 O524388 O589924 O655460 O720996 O786532 O852068 O917604 O983140 O65636" xr:uid="{00000000-0002-0000-0200-00000C000000}">
      <formula1>V65636</formula1>
    </dataValidation>
    <dataValidation type="decimal" operator="lessThanOrEqual" allowBlank="1" showInputMessage="1" showErrorMessage="1" sqref="N131172 N65636 N983140 N917604 N852068 N786532 N720996 N655460 N589924 N524388 N458852 N393316 N327780 N262244 N196708" xr:uid="{00000000-0002-0000-0200-00000D000000}">
      <formula1>V65636</formula1>
    </dataValidation>
    <dataValidation type="decimal" operator="lessThanOrEqual" allowBlank="1" showInputMessage="1" showErrorMessage="1" sqref="M131172 M196708 M262244 M327780 M393316 M458852 M524388 M589924 M655460 M720996 M786532 M852068 M917604 M983140 M65636" xr:uid="{00000000-0002-0000-0200-00000E000000}">
      <formula1>V65636</formula1>
    </dataValidation>
    <dataValidation type="decimal" operator="lessThanOrEqual" allowBlank="1" showInputMessage="1" showErrorMessage="1" sqref="L131172 L65636 L983140 L917604 L852068 L786532 L720996 L655460 L589924 L524388 L458852 L393316 L327780 L262244 L196708" xr:uid="{00000000-0002-0000-0200-00000F000000}">
      <formula1>V65636</formula1>
    </dataValidation>
    <dataValidation type="decimal" operator="lessThanOrEqual" allowBlank="1" showInputMessage="1" showErrorMessage="1" sqref="I131172:J131172 I196708:J196708 I262244:J262244 I327780:J327780 I393316:J393316 I458852:J458852 I524388:J524388 I589924:J589924 I655460:J655460 I720996:J720996 I786532:J786532 I852068:J852068 I917604:J917604 I983140:J983140 I65636:J65636" xr:uid="{00000000-0002-0000-0200-000010000000}">
      <formula1>U65636</formula1>
    </dataValidation>
    <dataValidation type="decimal" operator="lessThanOrEqual" allowBlank="1" showInputMessage="1" showErrorMessage="1" sqref="K131172 K196708 K262244 K327780 K393316 K458852 K524388 K589924 K655460 K720996 K786532 K852068 K917604 K983140 K65636" xr:uid="{00000000-0002-0000-0200-000011000000}">
      <formula1>V65636</formula1>
    </dataValidation>
    <dataValidation allowBlank="1" showInputMessage="1" showErrorMessage="1" sqref="AZ47" xr:uid="{20137953-DB1F-42D4-90C4-CE9598780DAB}"/>
    <dataValidation type="decimal" operator="lessThanOrEqual" allowBlank="1" showInputMessage="1" showErrorMessage="1" sqref="I26:L26" xr:uid="{00000000-0002-0000-0200-00001C000000}">
      <formula1>V22</formula1>
    </dataValidation>
    <dataValidation type="list" allowBlank="1" showInputMessage="1" showErrorMessage="1" sqref="N58" xr:uid="{AC2ED9B4-CE7B-4843-B422-5191798E119A}">
      <formula1>"15,14,13,12,11,10,9,8,7,6,5,4,3"</formula1>
    </dataValidation>
    <dataValidation type="list" allowBlank="1" showInputMessage="1" showErrorMessage="1" sqref="R54 R52 Y52:Z52" xr:uid="{8E60716B-A678-45AD-B120-58A6CA00402F}">
      <formula1>"SI,NO"</formula1>
    </dataValidation>
    <dataValidation type="whole" allowBlank="1" showInputMessage="1" showErrorMessage="1" errorTitle="Monto Mínimo y/o Máximo" error="El monto mínimo de disposición de la línea de Liquidez no puede ser menor a $50,000 o mayor a $1,000,000" promptTitle="Monto Mínimo y/o Máximo" sqref="O58:Q58" xr:uid="{D7011299-BA4E-479B-BF1D-1BEF8FED5D12}">
      <formula1>50000</formula1>
      <formula2>1000000</formula2>
    </dataValidation>
    <dataValidation type="list" allowBlank="1" showInputMessage="1" showErrorMessage="1" sqref="O15:R15" xr:uid="{9B10FDB2-3131-4D2A-B600-6E6735F3CAF7}">
      <formula1>"Gastos de Preoriginación - Avalúo Hipotecario,Campaña Sin Cobro de Avalúo"</formula1>
    </dataValidation>
    <dataValidation type="list" allowBlank="1" showInputMessage="1" showErrorMessage="1" sqref="I14:L14" xr:uid="{7C33B438-5475-48E3-BB64-9812D4EF9458}">
      <formula1>"Si,No"</formula1>
    </dataValidation>
    <dataValidation type="list" allowBlank="1" showInputMessage="1" showErrorMessage="1" sqref="LA27 UW27 AES27 AOO27 AYK27 BIG27 BSC27 CBY27 CLU27 CVQ27 DFM27 DPI27 DZE27 EJA27 ESW27 FCS27 FMO27 FWK27 GGG27 GQC27 GZY27 HJU27 HTQ27 IDM27 INI27 IXE27 JHA27 JQW27 KAS27 KKO27 KUK27 LEG27 LOC27 LXY27 MHU27 MRQ27 NBM27 NLI27 NVE27 OFA27 OOW27 OYS27 PIO27 PSK27 QCG27 QMC27 QVY27 RFU27 RPQ27 RZM27 SJI27 STE27 TDA27 TMW27 TWS27 UGO27 UQK27 VAG27 VKC27 VTY27 WDU27 WNQ27 WXM27 LA65563 UW65563 AES65563 AOO65563 AYK65563 BIG65563 BSC65563 CBY65563 CLU65563 CVQ65563 DFM65563 DPI65563 DZE65563 EJA65563 ESW65563 FCS65563 FMO65563 FWK65563 GGG65563 GQC65563 GZY65563 HJU65563 HTQ65563 IDM65563 INI65563 IXE65563 JHA65563 JQW65563 KAS65563 KKO65563 KUK65563 LEG65563 LOC65563 LXY65563 MHU65563 MRQ65563 NBM65563 NLI65563 NVE65563 OFA65563 OOW65563 OYS65563 PIO65563 PSK65563 QCG65563 QMC65563 QVY65563 RFU65563 RPQ65563 RZM65563 SJI65563 STE65563 TDA65563 TMW65563 TWS65563 UGO65563 UQK65563 VAG65563 VKC65563 VTY65563 WDU65563 WNQ65563 WXM65563 LA131099 UW131099 AES131099 AOO131099 AYK131099 BIG131099 BSC131099 CBY131099 CLU131099 CVQ131099 DFM131099 DPI131099 DZE131099 EJA131099 ESW131099 FCS131099 FMO131099 FWK131099 GGG131099 GQC131099 GZY131099 HJU131099 HTQ131099 IDM131099 INI131099 IXE131099 JHA131099 JQW131099 KAS131099 KKO131099 KUK131099 LEG131099 LOC131099 LXY131099 MHU131099 MRQ131099 NBM131099 NLI131099 NVE131099 OFA131099 OOW131099 OYS131099 PIO131099 PSK131099 QCG131099 QMC131099 QVY131099 RFU131099 RPQ131099 RZM131099 SJI131099 STE131099 TDA131099 TMW131099 TWS131099 UGO131099 UQK131099 VAG131099 VKC131099 VTY131099 WDU131099 WNQ131099 WXM131099 LA196635 UW196635 AES196635 AOO196635 AYK196635 BIG196635 BSC196635 CBY196635 CLU196635 CVQ196635 DFM196635 DPI196635 DZE196635 EJA196635 ESW196635 FCS196635 FMO196635 FWK196635 GGG196635 GQC196635 GZY196635 HJU196635 HTQ196635 IDM196635 INI196635 IXE196635 JHA196635 JQW196635 KAS196635 KKO196635 KUK196635 LEG196635 LOC196635 LXY196635 MHU196635 MRQ196635 NBM196635 NLI196635 NVE196635 OFA196635 OOW196635 OYS196635 PIO196635 PSK196635 QCG196635 QMC196635 QVY196635 RFU196635 RPQ196635 RZM196635 SJI196635 STE196635 TDA196635 TMW196635 TWS196635 UGO196635 UQK196635 VAG196635 VKC196635 VTY196635 WDU196635 WNQ196635 WXM196635 LA262171 UW262171 AES262171 AOO262171 AYK262171 BIG262171 BSC262171 CBY262171 CLU262171 CVQ262171 DFM262171 DPI262171 DZE262171 EJA262171 ESW262171 FCS262171 FMO262171 FWK262171 GGG262171 GQC262171 GZY262171 HJU262171 HTQ262171 IDM262171 INI262171 IXE262171 JHA262171 JQW262171 KAS262171 KKO262171 KUK262171 LEG262171 LOC262171 LXY262171 MHU262171 MRQ262171 NBM262171 NLI262171 NVE262171 OFA262171 OOW262171 OYS262171 PIO262171 PSK262171 QCG262171 QMC262171 QVY262171 RFU262171 RPQ262171 RZM262171 SJI262171 STE262171 TDA262171 TMW262171 TWS262171 UGO262171 UQK262171 VAG262171 VKC262171 VTY262171 WDU262171 WNQ262171 WXM262171 LA327707 UW327707 AES327707 AOO327707 AYK327707 BIG327707 BSC327707 CBY327707 CLU327707 CVQ327707 DFM327707 DPI327707 DZE327707 EJA327707 ESW327707 FCS327707 FMO327707 FWK327707 GGG327707 GQC327707 GZY327707 HJU327707 HTQ327707 IDM327707 INI327707 IXE327707 JHA327707 JQW327707 KAS327707 KKO327707 KUK327707 LEG327707 LOC327707 LXY327707 MHU327707 MRQ327707 NBM327707 NLI327707 NVE327707 OFA327707 OOW327707 OYS327707 PIO327707 PSK327707 QCG327707 QMC327707 QVY327707 RFU327707 RPQ327707 RZM327707 SJI327707 STE327707 TDA327707 TMW327707 TWS327707 UGO327707 UQK327707 VAG327707 VKC327707 VTY327707 WDU327707 WNQ327707 WXM327707 LA393243 UW393243 AES393243 AOO393243 AYK393243 BIG393243 BSC393243 CBY393243 CLU393243 CVQ393243 DFM393243 DPI393243 DZE393243 EJA393243 ESW393243 FCS393243 FMO393243 FWK393243 GGG393243 GQC393243 GZY393243 HJU393243 HTQ393243 IDM393243 INI393243 IXE393243 JHA393243 JQW393243 KAS393243 KKO393243 KUK393243 LEG393243 LOC393243 LXY393243 MHU393243 MRQ393243 NBM393243 NLI393243 NVE393243 OFA393243 OOW393243 OYS393243 PIO393243 PSK393243 QCG393243 QMC393243 QVY393243 RFU393243 RPQ393243 RZM393243 SJI393243 STE393243 TDA393243 TMW393243 TWS393243 UGO393243 UQK393243 VAG393243 VKC393243 VTY393243 WDU393243 WNQ393243 WXM393243 LA458779 UW458779 AES458779 AOO458779 AYK458779 BIG458779 BSC458779 CBY458779 CLU458779 CVQ458779 DFM458779 DPI458779 DZE458779 EJA458779 ESW458779 FCS458779 FMO458779 FWK458779 GGG458779 GQC458779 GZY458779 HJU458779 HTQ458779 IDM458779 INI458779 IXE458779 JHA458779 JQW458779 KAS458779 KKO458779 KUK458779 LEG458779 LOC458779 LXY458779 MHU458779 MRQ458779 NBM458779 NLI458779 NVE458779 OFA458779 OOW458779 OYS458779 PIO458779 PSK458779 QCG458779 QMC458779 QVY458779 RFU458779 RPQ458779 RZM458779 SJI458779 STE458779 TDA458779 TMW458779 TWS458779 UGO458779 UQK458779 VAG458779 VKC458779 VTY458779 WDU458779 WNQ458779 WXM458779 LA524315 UW524315 AES524315 AOO524315 AYK524315 BIG524315 BSC524315 CBY524315 CLU524315 CVQ524315 DFM524315 DPI524315 DZE524315 EJA524315 ESW524315 FCS524315 FMO524315 FWK524315 GGG524315 GQC524315 GZY524315 HJU524315 HTQ524315 IDM524315 INI524315 IXE524315 JHA524315 JQW524315 KAS524315 KKO524315 KUK524315 LEG524315 LOC524315 LXY524315 MHU524315 MRQ524315 NBM524315 NLI524315 NVE524315 OFA524315 OOW524315 OYS524315 PIO524315 PSK524315 QCG524315 QMC524315 QVY524315 RFU524315 RPQ524315 RZM524315 SJI524315 STE524315 TDA524315 TMW524315 TWS524315 UGO524315 UQK524315 VAG524315 VKC524315 VTY524315 WDU524315 WNQ524315 WXM524315 LA589851 UW589851 AES589851 AOO589851 AYK589851 BIG589851 BSC589851 CBY589851 CLU589851 CVQ589851 DFM589851 DPI589851 DZE589851 EJA589851 ESW589851 FCS589851 FMO589851 FWK589851 GGG589851 GQC589851 GZY589851 HJU589851 HTQ589851 IDM589851 INI589851 IXE589851 JHA589851 JQW589851 KAS589851 KKO589851 KUK589851 LEG589851 LOC589851 LXY589851 MHU589851 MRQ589851 NBM589851 NLI589851 NVE589851 OFA589851 OOW589851 OYS589851 PIO589851 PSK589851 QCG589851 QMC589851 QVY589851 RFU589851 RPQ589851 RZM589851 SJI589851 STE589851 TDA589851 TMW589851 TWS589851 UGO589851 UQK589851 VAG589851 VKC589851 VTY589851 WDU589851 WNQ589851 WXM589851 LA655387 UW655387 AES655387 AOO655387 AYK655387 BIG655387 BSC655387 CBY655387 CLU655387 CVQ655387 DFM655387 DPI655387 DZE655387 EJA655387 ESW655387 FCS655387 FMO655387 FWK655387 GGG655387 GQC655387 GZY655387 HJU655387 HTQ655387 IDM655387 INI655387 IXE655387 JHA655387 JQW655387 KAS655387 KKO655387 KUK655387 LEG655387 LOC655387 LXY655387 MHU655387 MRQ655387 NBM655387 NLI655387 NVE655387 OFA655387 OOW655387 OYS655387 PIO655387 PSK655387 QCG655387 QMC655387 QVY655387 RFU655387 RPQ655387 RZM655387 SJI655387 STE655387 TDA655387 TMW655387 TWS655387 UGO655387 UQK655387 VAG655387 VKC655387 VTY655387 WDU655387 WNQ655387 WXM655387 LA720923 UW720923 AES720923 AOO720923 AYK720923 BIG720923 BSC720923 CBY720923 CLU720923 CVQ720923 DFM720923 DPI720923 DZE720923 EJA720923 ESW720923 FCS720923 FMO720923 FWK720923 GGG720923 GQC720923 GZY720923 HJU720923 HTQ720923 IDM720923 INI720923 IXE720923 JHA720923 JQW720923 KAS720923 KKO720923 KUK720923 LEG720923 LOC720923 LXY720923 MHU720923 MRQ720923 NBM720923 NLI720923 NVE720923 OFA720923 OOW720923 OYS720923 PIO720923 PSK720923 QCG720923 QMC720923 QVY720923 RFU720923 RPQ720923 RZM720923 SJI720923 STE720923 TDA720923 TMW720923 TWS720923 UGO720923 UQK720923 VAG720923 VKC720923 VTY720923 WDU720923 WNQ720923 WXM720923 LA786459 UW786459 AES786459 AOO786459 AYK786459 BIG786459 BSC786459 CBY786459 CLU786459 CVQ786459 DFM786459 DPI786459 DZE786459 EJA786459 ESW786459 FCS786459 FMO786459 FWK786459 GGG786459 GQC786459 GZY786459 HJU786459 HTQ786459 IDM786459 INI786459 IXE786459 JHA786459 JQW786459 KAS786459 KKO786459 KUK786459 LEG786459 LOC786459 LXY786459 MHU786459 MRQ786459 NBM786459 NLI786459 NVE786459 OFA786459 OOW786459 OYS786459 PIO786459 PSK786459 QCG786459 QMC786459 QVY786459 RFU786459 RPQ786459 RZM786459 SJI786459 STE786459 TDA786459 TMW786459 TWS786459 UGO786459 UQK786459 VAG786459 VKC786459 VTY786459 WDU786459 WNQ786459 WXM786459 LA851995 UW851995 AES851995 AOO851995 AYK851995 BIG851995 BSC851995 CBY851995 CLU851995 CVQ851995 DFM851995 DPI851995 DZE851995 EJA851995 ESW851995 FCS851995 FMO851995 FWK851995 GGG851995 GQC851995 GZY851995 HJU851995 HTQ851995 IDM851995 INI851995 IXE851995 JHA851995 JQW851995 KAS851995 KKO851995 KUK851995 LEG851995 LOC851995 LXY851995 MHU851995 MRQ851995 NBM851995 NLI851995 NVE851995 OFA851995 OOW851995 OYS851995 PIO851995 PSK851995 QCG851995 QMC851995 QVY851995 RFU851995 RPQ851995 RZM851995 SJI851995 STE851995 TDA851995 TMW851995 TWS851995 UGO851995 UQK851995 VAG851995 VKC851995 VTY851995 WDU851995 WNQ851995 WXM851995 LA917531 UW917531 AES917531 AOO917531 AYK917531 BIG917531 BSC917531 CBY917531 CLU917531 CVQ917531 DFM917531 DPI917531 DZE917531 EJA917531 ESW917531 FCS917531 FMO917531 FWK917531 GGG917531 GQC917531 GZY917531 HJU917531 HTQ917531 IDM917531 INI917531 IXE917531 JHA917531 JQW917531 KAS917531 KKO917531 KUK917531 LEG917531 LOC917531 LXY917531 MHU917531 MRQ917531 NBM917531 NLI917531 NVE917531 OFA917531 OOW917531 OYS917531 PIO917531 PSK917531 QCG917531 QMC917531 QVY917531 RFU917531 RPQ917531 RZM917531 SJI917531 STE917531 TDA917531 TMW917531 TWS917531 UGO917531 UQK917531 VAG917531 VKC917531 VTY917531 WDU917531 WNQ917531 WXM917531 LA983067 UW983067 AES983067 AOO983067 AYK983067 BIG983067 BSC983067 CBY983067 CLU983067 CVQ983067 DFM983067 DPI983067 DZE983067 EJA983067 ESW983067 FCS983067 FMO983067 FWK983067 GGG983067 GQC983067 GZY983067 HJU983067 HTQ983067 IDM983067 INI983067 IXE983067 JHA983067 JQW983067 KAS983067 KKO983067 KUK983067 LEG983067 LOC983067 LXY983067 MHU983067 MRQ983067 NBM983067 NLI983067 NVE983067 OFA983067 OOW983067 OYS983067 PIO983067 PSK983067 QCG983067 QMC983067 QVY983067 RFU983067 RPQ983067 RZM983067 SJI983067 STE983067 TDA983067 TMW983067 TWS983067 UGO983067 UQK983067 VAG983067 VKC983067 VTY983067 WDU983067 WNQ983067 WXM983067" xr:uid="{00000000-0002-0000-0200-000013000000}">
      <formula1>IF($I$10=LR6,IF(LM15="si",$BQ$11,$BQ$10),$BQ$9)</formula1>
    </dataValidation>
    <dataValidation type="list" allowBlank="1" showInputMessage="1" showErrorMessage="1" sqref="Q131177 Q65641 Q983145 Q917609 Q852073 Q786537 Q721001 Q655465 Q589929 Q524393 Q458857 Q393321 Q327785 Q262249 Q196713" xr:uid="{00000000-0002-0000-0200-000014000000}">
      <formula1>IF($I$10=BW65542,IF(BR65551="si",$BQ$11,$BQ$10),$BQ$9)</formula1>
    </dataValidation>
    <dataValidation type="list" allowBlank="1" showInputMessage="1" showErrorMessage="1" sqref="P131177 P65641 P983145 P917609 P852073 P786537 P721001 P655465 P589929 P524393 P458857 P393321 P327785 P262249 P196713" xr:uid="{00000000-0002-0000-0200-000015000000}">
      <formula1>IF($I$10=BW65542,IF(BR65551="si",$BQ$11,$BQ$10),$BQ$9)</formula1>
    </dataValidation>
    <dataValidation type="list" allowBlank="1" showInputMessage="1" showErrorMessage="1" sqref="O131177 O65641 O983145 O917609 O852073 O786537 O721001 O655465 O589929 O524393 O458857 O393321 O327785 O262249 O196713" xr:uid="{00000000-0002-0000-0200-000016000000}">
      <formula1>IF($I$10=BW65542,IF(BR65551="si",$BQ$11,$BQ$10),$BQ$9)</formula1>
    </dataValidation>
    <dataValidation type="list" allowBlank="1" showInputMessage="1" showErrorMessage="1" sqref="N131177 N65641 N983145 N917609 N852073 N786537 N721001 N655465 N589929 N524393 N458857 N393321 N327785 N262249 N196713" xr:uid="{00000000-0002-0000-0200-000017000000}">
      <formula1>IF($I$10=BW65542,IF(BR65551="si",$BQ$11,$BQ$10),$BQ$9)</formula1>
    </dataValidation>
    <dataValidation type="list" allowBlank="1" showInputMessage="1" showErrorMessage="1" sqref="M131177 M65641 M983145 M917609 M852073 M786537 M721001 M655465 M589929 M524393 M458857 M393321 M327785 M262249 M196713" xr:uid="{00000000-0002-0000-0200-000018000000}">
      <formula1>IF($I$10=BW65542,IF(BR65551="si",$BQ$11,$BQ$10),$BQ$9)</formula1>
    </dataValidation>
    <dataValidation type="list" allowBlank="1" showInputMessage="1" showErrorMessage="1" sqref="L131177 L65641 L983145 L917609 L852073 L786537 L721001 L655465 L589929 L524393 L458857 L393321 L327785 L262249 L196713" xr:uid="{00000000-0002-0000-0200-000019000000}">
      <formula1>IF($I$10=BW65542,IF(BR65551="si",$BQ$11,$BQ$10),$BQ$9)</formula1>
    </dataValidation>
    <dataValidation type="list" allowBlank="1" showInputMessage="1" showErrorMessage="1" sqref="K131177 K65641 K983145 K917609 K852073 K786537 K721001 K655465 K589929 K524393 K458857 K393321 K327785 K262249 K196713" xr:uid="{00000000-0002-0000-0200-00001B000000}">
      <formula1>IF($I$10=BW65542,IF(BR65551="si",$BQ$11,$BQ$10),$BQ$9)</formula1>
    </dataValidation>
    <dataValidation type="list" allowBlank="1" showInputMessage="1" showErrorMessage="1" sqref="I19" xr:uid="{00000000-0002-0000-0200-00001D000000}">
      <formula1>IF($I$10="Remodelación",$BZ$5,$BZ$5:$BZ$7)</formula1>
    </dataValidation>
    <dataValidation type="list" allowBlank="1" showInputMessage="1" showErrorMessage="1" sqref="I131177:J131177 I65641:J65641 I983145:J983145 I917609:J917609 I852073:J852073 I786537:J786537 I721001:J721001 I655465:J655465 I589929:J589929 I524393:J524393 I458857:J458857 I393321:J393321 I327785:J327785 I262249:J262249 I196713:J196713" xr:uid="{00000000-0002-0000-0200-00001A000000}">
      <formula1>IF($I$10=BV65542,IF(BQ65551="si",$BQ$11,$BQ$10),$BQ$9)</formula1>
    </dataValidation>
    <dataValidation type="list" allowBlank="1" showInputMessage="1" showErrorMessage="1" sqref="WXM983055 LA15 UW15 AES15 AOO15 AYK15 BIG15 BSC15 CBY15 CLU15 CVQ15 DFM15 DPI15 DZE15 EJA15 ESW15 FCS15 FMO15 FWK15 GGG15 GQC15 GZY15 HJU15 HTQ15 IDM15 INI15 IXE15 JHA15 JQW15 KAS15 KKO15 KUK15 LEG15 LOC15 LXY15 MHU15 MRQ15 NBM15 NLI15 NVE15 OFA15 OOW15 OYS15 PIO15 PSK15 QCG15 QMC15 QVY15 RFU15 RPQ15 RZM15 SJI15 STE15 TDA15 TMW15 TWS15 UGO15 UQK15 VAG15 VKC15 VTY15 WDU15 WNQ15 WXM15 I65629:Q65629 LA65551 UW65551 AES65551 AOO65551 AYK65551 BIG65551 BSC65551 CBY65551 CLU65551 CVQ65551 DFM65551 DPI65551 DZE65551 EJA65551 ESW65551 FCS65551 FMO65551 FWK65551 GGG65551 GQC65551 GZY65551 HJU65551 HTQ65551 IDM65551 INI65551 IXE65551 JHA65551 JQW65551 KAS65551 KKO65551 KUK65551 LEG65551 LOC65551 LXY65551 MHU65551 MRQ65551 NBM65551 NLI65551 NVE65551 OFA65551 OOW65551 OYS65551 PIO65551 PSK65551 QCG65551 QMC65551 QVY65551 RFU65551 RPQ65551 RZM65551 SJI65551 STE65551 TDA65551 TMW65551 TWS65551 UGO65551 UQK65551 VAG65551 VKC65551 VTY65551 WDU65551 WNQ65551 WXM65551 I131165:Q131165 LA131087 UW131087 AES131087 AOO131087 AYK131087 BIG131087 BSC131087 CBY131087 CLU131087 CVQ131087 DFM131087 DPI131087 DZE131087 EJA131087 ESW131087 FCS131087 FMO131087 FWK131087 GGG131087 GQC131087 GZY131087 HJU131087 HTQ131087 IDM131087 INI131087 IXE131087 JHA131087 JQW131087 KAS131087 KKO131087 KUK131087 LEG131087 LOC131087 LXY131087 MHU131087 MRQ131087 NBM131087 NLI131087 NVE131087 OFA131087 OOW131087 OYS131087 PIO131087 PSK131087 QCG131087 QMC131087 QVY131087 RFU131087 RPQ131087 RZM131087 SJI131087 STE131087 TDA131087 TMW131087 TWS131087 UGO131087 UQK131087 VAG131087 VKC131087 VTY131087 WDU131087 WNQ131087 WXM131087 I196701:Q196701 LA196623 UW196623 AES196623 AOO196623 AYK196623 BIG196623 BSC196623 CBY196623 CLU196623 CVQ196623 DFM196623 DPI196623 DZE196623 EJA196623 ESW196623 FCS196623 FMO196623 FWK196623 GGG196623 GQC196623 GZY196623 HJU196623 HTQ196623 IDM196623 INI196623 IXE196623 JHA196623 JQW196623 KAS196623 KKO196623 KUK196623 LEG196623 LOC196623 LXY196623 MHU196623 MRQ196623 NBM196623 NLI196623 NVE196623 OFA196623 OOW196623 OYS196623 PIO196623 PSK196623 QCG196623 QMC196623 QVY196623 RFU196623 RPQ196623 RZM196623 SJI196623 STE196623 TDA196623 TMW196623 TWS196623 UGO196623 UQK196623 VAG196623 VKC196623 VTY196623 WDU196623 WNQ196623 WXM196623 I262237:Q262237 LA262159 UW262159 AES262159 AOO262159 AYK262159 BIG262159 BSC262159 CBY262159 CLU262159 CVQ262159 DFM262159 DPI262159 DZE262159 EJA262159 ESW262159 FCS262159 FMO262159 FWK262159 GGG262159 GQC262159 GZY262159 HJU262159 HTQ262159 IDM262159 INI262159 IXE262159 JHA262159 JQW262159 KAS262159 KKO262159 KUK262159 LEG262159 LOC262159 LXY262159 MHU262159 MRQ262159 NBM262159 NLI262159 NVE262159 OFA262159 OOW262159 OYS262159 PIO262159 PSK262159 QCG262159 QMC262159 QVY262159 RFU262159 RPQ262159 RZM262159 SJI262159 STE262159 TDA262159 TMW262159 TWS262159 UGO262159 UQK262159 VAG262159 VKC262159 VTY262159 WDU262159 WNQ262159 WXM262159 I327773:Q327773 LA327695 UW327695 AES327695 AOO327695 AYK327695 BIG327695 BSC327695 CBY327695 CLU327695 CVQ327695 DFM327695 DPI327695 DZE327695 EJA327695 ESW327695 FCS327695 FMO327695 FWK327695 GGG327695 GQC327695 GZY327695 HJU327695 HTQ327695 IDM327695 INI327695 IXE327695 JHA327695 JQW327695 KAS327695 KKO327695 KUK327695 LEG327695 LOC327695 LXY327695 MHU327695 MRQ327695 NBM327695 NLI327695 NVE327695 OFA327695 OOW327695 OYS327695 PIO327695 PSK327695 QCG327695 QMC327695 QVY327695 RFU327695 RPQ327695 RZM327695 SJI327695 STE327695 TDA327695 TMW327695 TWS327695 UGO327695 UQK327695 VAG327695 VKC327695 VTY327695 WDU327695 WNQ327695 WXM327695 I393309:Q393309 LA393231 UW393231 AES393231 AOO393231 AYK393231 BIG393231 BSC393231 CBY393231 CLU393231 CVQ393231 DFM393231 DPI393231 DZE393231 EJA393231 ESW393231 FCS393231 FMO393231 FWK393231 GGG393231 GQC393231 GZY393231 HJU393231 HTQ393231 IDM393231 INI393231 IXE393231 JHA393231 JQW393231 KAS393231 KKO393231 KUK393231 LEG393231 LOC393231 LXY393231 MHU393231 MRQ393231 NBM393231 NLI393231 NVE393231 OFA393231 OOW393231 OYS393231 PIO393231 PSK393231 QCG393231 QMC393231 QVY393231 RFU393231 RPQ393231 RZM393231 SJI393231 STE393231 TDA393231 TMW393231 TWS393231 UGO393231 UQK393231 VAG393231 VKC393231 VTY393231 WDU393231 WNQ393231 WXM393231 I458845:Q458845 LA458767 UW458767 AES458767 AOO458767 AYK458767 BIG458767 BSC458767 CBY458767 CLU458767 CVQ458767 DFM458767 DPI458767 DZE458767 EJA458767 ESW458767 FCS458767 FMO458767 FWK458767 GGG458767 GQC458767 GZY458767 HJU458767 HTQ458767 IDM458767 INI458767 IXE458767 JHA458767 JQW458767 KAS458767 KKO458767 KUK458767 LEG458767 LOC458767 LXY458767 MHU458767 MRQ458767 NBM458767 NLI458767 NVE458767 OFA458767 OOW458767 OYS458767 PIO458767 PSK458767 QCG458767 QMC458767 QVY458767 RFU458767 RPQ458767 RZM458767 SJI458767 STE458767 TDA458767 TMW458767 TWS458767 UGO458767 UQK458767 VAG458767 VKC458767 VTY458767 WDU458767 WNQ458767 WXM458767 I524381:Q524381 LA524303 UW524303 AES524303 AOO524303 AYK524303 BIG524303 BSC524303 CBY524303 CLU524303 CVQ524303 DFM524303 DPI524303 DZE524303 EJA524303 ESW524303 FCS524303 FMO524303 FWK524303 GGG524303 GQC524303 GZY524303 HJU524303 HTQ524303 IDM524303 INI524303 IXE524303 JHA524303 JQW524303 KAS524303 KKO524303 KUK524303 LEG524303 LOC524303 LXY524303 MHU524303 MRQ524303 NBM524303 NLI524303 NVE524303 OFA524303 OOW524303 OYS524303 PIO524303 PSK524303 QCG524303 QMC524303 QVY524303 RFU524303 RPQ524303 RZM524303 SJI524303 STE524303 TDA524303 TMW524303 TWS524303 UGO524303 UQK524303 VAG524303 VKC524303 VTY524303 WDU524303 WNQ524303 WXM524303 I589917:Q589917 LA589839 UW589839 AES589839 AOO589839 AYK589839 BIG589839 BSC589839 CBY589839 CLU589839 CVQ589839 DFM589839 DPI589839 DZE589839 EJA589839 ESW589839 FCS589839 FMO589839 FWK589839 GGG589839 GQC589839 GZY589839 HJU589839 HTQ589839 IDM589839 INI589839 IXE589839 JHA589839 JQW589839 KAS589839 KKO589839 KUK589839 LEG589839 LOC589839 LXY589839 MHU589839 MRQ589839 NBM589839 NLI589839 NVE589839 OFA589839 OOW589839 OYS589839 PIO589839 PSK589839 QCG589839 QMC589839 QVY589839 RFU589839 RPQ589839 RZM589839 SJI589839 STE589839 TDA589839 TMW589839 TWS589839 UGO589839 UQK589839 VAG589839 VKC589839 VTY589839 WDU589839 WNQ589839 WXM589839 I655453:Q655453 LA655375 UW655375 AES655375 AOO655375 AYK655375 BIG655375 BSC655375 CBY655375 CLU655375 CVQ655375 DFM655375 DPI655375 DZE655375 EJA655375 ESW655375 FCS655375 FMO655375 FWK655375 GGG655375 GQC655375 GZY655375 HJU655375 HTQ655375 IDM655375 INI655375 IXE655375 JHA655375 JQW655375 KAS655375 KKO655375 KUK655375 LEG655375 LOC655375 LXY655375 MHU655375 MRQ655375 NBM655375 NLI655375 NVE655375 OFA655375 OOW655375 OYS655375 PIO655375 PSK655375 QCG655375 QMC655375 QVY655375 RFU655375 RPQ655375 RZM655375 SJI655375 STE655375 TDA655375 TMW655375 TWS655375 UGO655375 UQK655375 VAG655375 VKC655375 VTY655375 WDU655375 WNQ655375 WXM655375 I720989:Q720989 LA720911 UW720911 AES720911 AOO720911 AYK720911 BIG720911 BSC720911 CBY720911 CLU720911 CVQ720911 DFM720911 DPI720911 DZE720911 EJA720911 ESW720911 FCS720911 FMO720911 FWK720911 GGG720911 GQC720911 GZY720911 HJU720911 HTQ720911 IDM720911 INI720911 IXE720911 JHA720911 JQW720911 KAS720911 KKO720911 KUK720911 LEG720911 LOC720911 LXY720911 MHU720911 MRQ720911 NBM720911 NLI720911 NVE720911 OFA720911 OOW720911 OYS720911 PIO720911 PSK720911 QCG720911 QMC720911 QVY720911 RFU720911 RPQ720911 RZM720911 SJI720911 STE720911 TDA720911 TMW720911 TWS720911 UGO720911 UQK720911 VAG720911 VKC720911 VTY720911 WDU720911 WNQ720911 WXM720911 I786525:Q786525 LA786447 UW786447 AES786447 AOO786447 AYK786447 BIG786447 BSC786447 CBY786447 CLU786447 CVQ786447 DFM786447 DPI786447 DZE786447 EJA786447 ESW786447 FCS786447 FMO786447 FWK786447 GGG786447 GQC786447 GZY786447 HJU786447 HTQ786447 IDM786447 INI786447 IXE786447 JHA786447 JQW786447 KAS786447 KKO786447 KUK786447 LEG786447 LOC786447 LXY786447 MHU786447 MRQ786447 NBM786447 NLI786447 NVE786447 OFA786447 OOW786447 OYS786447 PIO786447 PSK786447 QCG786447 QMC786447 QVY786447 RFU786447 RPQ786447 RZM786447 SJI786447 STE786447 TDA786447 TMW786447 TWS786447 UGO786447 UQK786447 VAG786447 VKC786447 VTY786447 WDU786447 WNQ786447 WXM786447 I852061:Q852061 LA851983 UW851983 AES851983 AOO851983 AYK851983 BIG851983 BSC851983 CBY851983 CLU851983 CVQ851983 DFM851983 DPI851983 DZE851983 EJA851983 ESW851983 FCS851983 FMO851983 FWK851983 GGG851983 GQC851983 GZY851983 HJU851983 HTQ851983 IDM851983 INI851983 IXE851983 JHA851983 JQW851983 KAS851983 KKO851983 KUK851983 LEG851983 LOC851983 LXY851983 MHU851983 MRQ851983 NBM851983 NLI851983 NVE851983 OFA851983 OOW851983 OYS851983 PIO851983 PSK851983 QCG851983 QMC851983 QVY851983 RFU851983 RPQ851983 RZM851983 SJI851983 STE851983 TDA851983 TMW851983 TWS851983 UGO851983 UQK851983 VAG851983 VKC851983 VTY851983 WDU851983 WNQ851983 WXM851983 I917597:Q917597 LA917519 UW917519 AES917519 AOO917519 AYK917519 BIG917519 BSC917519 CBY917519 CLU917519 CVQ917519 DFM917519 DPI917519 DZE917519 EJA917519 ESW917519 FCS917519 FMO917519 FWK917519 GGG917519 GQC917519 GZY917519 HJU917519 HTQ917519 IDM917519 INI917519 IXE917519 JHA917519 JQW917519 KAS917519 KKO917519 KUK917519 LEG917519 LOC917519 LXY917519 MHU917519 MRQ917519 NBM917519 NLI917519 NVE917519 OFA917519 OOW917519 OYS917519 PIO917519 PSK917519 QCG917519 QMC917519 QVY917519 RFU917519 RPQ917519 RZM917519 SJI917519 STE917519 TDA917519 TMW917519 TWS917519 UGO917519 UQK917519 VAG917519 VKC917519 VTY917519 WDU917519 WNQ917519 WXM917519 I983133:Q983133 LA983055 UW983055 AES983055 AOO983055 AYK983055 BIG983055 BSC983055 CBY983055 CLU983055 CVQ983055 DFM983055 DPI983055 DZE983055 EJA983055 ESW983055 FCS983055 FMO983055 FWK983055 GGG983055 GQC983055 GZY983055 HJU983055 HTQ983055 IDM983055 INI983055 IXE983055 JHA983055 JQW983055 KAS983055 KKO983055 KUK983055 LEG983055 LOC983055 LXY983055 MHU983055 MRQ983055 NBM983055 NLI983055 NVE983055 OFA983055 OOW983055 OYS983055 PIO983055 PSK983055 QCG983055 QMC983055 QVY983055 RFU983055 RPQ983055 RZM983055 SJI983055 STE983055 TDA983055 TMW983055 TWS983055 UGO983055 UQK983055 VAG983055 VKC983055 VTY983055 WDU983055 WNQ983055" xr:uid="{00000000-0002-0000-0200-00001E000000}">
      <formula1>IF($I$10="Remodelación",$BZ$4:$BZ$9,$BZ$4:$BZ$21)</formula1>
    </dataValidation>
  </dataValidations>
  <printOptions horizontalCentered="1"/>
  <pageMargins left="0.19685039370078741" right="0.19685039370078741" top="0.74803149606299213" bottom="0.74803149606299213" header="0.31496062992125984" footer="0.31496062992125984"/>
  <pageSetup scale="41" orientation="portrait" r:id="rId1"/>
  <headerFooter>
    <oddFooter>&amp;C&amp;1#&amp;"Calibri"&amp;10&amp;K000000PUBLIC</oddFooter>
    <evenFooter>&amp;LINTERNAL</evenFooter>
    <firstFooter>&amp;LINTERNAL</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31" r:id="rId4" name="Check Box 387">
              <controlPr defaultSize="0" autoFill="0" autoLine="0" autoPict="0">
                <anchor moveWithCells="1">
                  <from>
                    <xdr:col>80</xdr:col>
                    <xdr:colOff>219075</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532" r:id="rId5" name="Check Box 388">
              <controlPr defaultSize="0" autoFill="0" autoLine="0" autoPict="0">
                <anchor moveWithCells="1">
                  <from>
                    <xdr:col>80</xdr:col>
                    <xdr:colOff>228600</xdr:colOff>
                    <xdr:row>36</xdr:row>
                    <xdr:rowOff>190500</xdr:rowOff>
                  </from>
                  <to>
                    <xdr:col>135</xdr:col>
                    <xdr:colOff>304800</xdr:colOff>
                    <xdr:row>37</xdr:row>
                    <xdr:rowOff>123825</xdr:rowOff>
                  </to>
                </anchor>
              </controlPr>
            </control>
          </mc:Choice>
        </mc:AlternateContent>
        <mc:AlternateContent xmlns:mc="http://schemas.openxmlformats.org/markup-compatibility/2006">
          <mc:Choice Requires="x14">
            <control shapeId="6533" r:id="rId6" name="Check Box 389">
              <controlPr defaultSize="0" autoFill="0" autoLine="0" autoPict="0">
                <anchor moveWithCells="1">
                  <from>
                    <xdr:col>81</xdr:col>
                    <xdr:colOff>219075</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534" r:id="rId7" name="Check Box 390">
              <controlPr defaultSize="0" autoFill="0" autoLine="0" autoPict="0">
                <anchor moveWithCells="1">
                  <from>
                    <xdr:col>81</xdr:col>
                    <xdr:colOff>209550</xdr:colOff>
                    <xdr:row>36</xdr:row>
                    <xdr:rowOff>180975</xdr:rowOff>
                  </from>
                  <to>
                    <xdr:col>135</xdr:col>
                    <xdr:colOff>304800</xdr:colOff>
                    <xdr:row>37</xdr:row>
                    <xdr:rowOff>104775</xdr:rowOff>
                  </to>
                </anchor>
              </controlPr>
            </control>
          </mc:Choice>
        </mc:AlternateContent>
        <mc:AlternateContent xmlns:mc="http://schemas.openxmlformats.org/markup-compatibility/2006">
          <mc:Choice Requires="x14">
            <control shapeId="6537" r:id="rId8" name="Check Box 393">
              <controlPr defaultSize="0" autoFill="0" autoLine="0" autoPict="0">
                <anchor moveWithCells="1">
                  <from>
                    <xdr:col>82</xdr:col>
                    <xdr:colOff>209550</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538" r:id="rId9" name="Check Box 394">
              <controlPr defaultSize="0" autoFill="0" autoLine="0" autoPict="0">
                <anchor moveWithCells="1">
                  <from>
                    <xdr:col>82</xdr:col>
                    <xdr:colOff>219075</xdr:colOff>
                    <xdr:row>36</xdr:row>
                    <xdr:rowOff>190500</xdr:rowOff>
                  </from>
                  <to>
                    <xdr:col>135</xdr:col>
                    <xdr:colOff>304800</xdr:colOff>
                    <xdr:row>37</xdr:row>
                    <xdr:rowOff>123825</xdr:rowOff>
                  </to>
                </anchor>
              </controlPr>
            </control>
          </mc:Choice>
        </mc:AlternateContent>
        <mc:AlternateContent xmlns:mc="http://schemas.openxmlformats.org/markup-compatibility/2006">
          <mc:Choice Requires="x14">
            <control shapeId="6541" r:id="rId10" name="Check Box 397">
              <controlPr defaultSize="0" autoFill="0" autoLine="0" autoPict="0">
                <anchor moveWithCells="1">
                  <from>
                    <xdr:col>83</xdr:col>
                    <xdr:colOff>200025</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542" r:id="rId11" name="Check Box 398">
              <controlPr defaultSize="0" autoFill="0" autoLine="0" autoPict="0">
                <anchor moveWithCells="1">
                  <from>
                    <xdr:col>83</xdr:col>
                    <xdr:colOff>200025</xdr:colOff>
                    <xdr:row>36</xdr:row>
                    <xdr:rowOff>171450</xdr:rowOff>
                  </from>
                  <to>
                    <xdr:col>135</xdr:col>
                    <xdr:colOff>304800</xdr:colOff>
                    <xdr:row>37</xdr:row>
                    <xdr:rowOff>104775</xdr:rowOff>
                  </to>
                </anchor>
              </controlPr>
            </control>
          </mc:Choice>
        </mc:AlternateContent>
        <mc:AlternateContent xmlns:mc="http://schemas.openxmlformats.org/markup-compatibility/2006">
          <mc:Choice Requires="x14">
            <control shapeId="6547" r:id="rId12" name="Check Box 403">
              <controlPr defaultSize="0" autoFill="0" autoLine="0" autoPict="0">
                <anchor moveWithCells="1">
                  <from>
                    <xdr:col>84</xdr:col>
                    <xdr:colOff>190500</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548" r:id="rId13" name="Check Box 404">
              <controlPr defaultSize="0" autoFill="0" autoLine="0" autoPict="0">
                <anchor moveWithCells="1">
                  <from>
                    <xdr:col>84</xdr:col>
                    <xdr:colOff>209550</xdr:colOff>
                    <xdr:row>36</xdr:row>
                    <xdr:rowOff>200025</xdr:rowOff>
                  </from>
                  <to>
                    <xdr:col>135</xdr:col>
                    <xdr:colOff>304800</xdr:colOff>
                    <xdr:row>37</xdr:row>
                    <xdr:rowOff>85725</xdr:rowOff>
                  </to>
                </anchor>
              </controlPr>
            </control>
          </mc:Choice>
        </mc:AlternateContent>
        <mc:AlternateContent xmlns:mc="http://schemas.openxmlformats.org/markup-compatibility/2006">
          <mc:Choice Requires="x14">
            <control shapeId="6549" r:id="rId14" name="Check Box 405">
              <controlPr defaultSize="0" autoFill="0" autoLine="0" autoPict="0">
                <anchor moveWithCells="1">
                  <from>
                    <xdr:col>85</xdr:col>
                    <xdr:colOff>200025</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550" r:id="rId15" name="Check Box 406">
              <controlPr defaultSize="0" autoFill="0" autoLine="0" autoPict="0">
                <anchor moveWithCells="1">
                  <from>
                    <xdr:col>85</xdr:col>
                    <xdr:colOff>200025</xdr:colOff>
                    <xdr:row>36</xdr:row>
                    <xdr:rowOff>171450</xdr:rowOff>
                  </from>
                  <to>
                    <xdr:col>135</xdr:col>
                    <xdr:colOff>304800</xdr:colOff>
                    <xdr:row>37</xdr:row>
                    <xdr:rowOff>104775</xdr:rowOff>
                  </to>
                </anchor>
              </controlPr>
            </control>
          </mc:Choice>
        </mc:AlternateContent>
        <mc:AlternateContent xmlns:mc="http://schemas.openxmlformats.org/markup-compatibility/2006">
          <mc:Choice Requires="x14">
            <control shapeId="6555" r:id="rId16" name="Check Box 411">
              <controlPr defaultSize="0" autoFill="0" autoLine="0" autoPict="0">
                <anchor moveWithCells="1">
                  <from>
                    <xdr:col>86</xdr:col>
                    <xdr:colOff>209550</xdr:colOff>
                    <xdr:row>35</xdr:row>
                    <xdr:rowOff>180975</xdr:rowOff>
                  </from>
                  <to>
                    <xdr:col>135</xdr:col>
                    <xdr:colOff>304800</xdr:colOff>
                    <xdr:row>36</xdr:row>
                    <xdr:rowOff>123825</xdr:rowOff>
                  </to>
                </anchor>
              </controlPr>
            </control>
          </mc:Choice>
        </mc:AlternateContent>
        <mc:AlternateContent xmlns:mc="http://schemas.openxmlformats.org/markup-compatibility/2006">
          <mc:Choice Requires="x14">
            <control shapeId="6556" r:id="rId17" name="Check Box 412">
              <controlPr defaultSize="0" autoFill="0" autoLine="0" autoPict="0">
                <anchor moveWithCells="1">
                  <from>
                    <xdr:col>86</xdr:col>
                    <xdr:colOff>200025</xdr:colOff>
                    <xdr:row>36</xdr:row>
                    <xdr:rowOff>161925</xdr:rowOff>
                  </from>
                  <to>
                    <xdr:col>135</xdr:col>
                    <xdr:colOff>304800</xdr:colOff>
                    <xdr:row>37</xdr:row>
                    <xdr:rowOff>85725</xdr:rowOff>
                  </to>
                </anchor>
              </controlPr>
            </control>
          </mc:Choice>
        </mc:AlternateContent>
        <mc:AlternateContent xmlns:mc="http://schemas.openxmlformats.org/markup-compatibility/2006">
          <mc:Choice Requires="x14">
            <control shapeId="6561" r:id="rId18" name="Check Box 417">
              <controlPr defaultSize="0" autoFill="0" autoLine="0" autoPict="0">
                <anchor moveWithCells="1">
                  <from>
                    <xdr:col>87</xdr:col>
                    <xdr:colOff>238125</xdr:colOff>
                    <xdr:row>35</xdr:row>
                    <xdr:rowOff>180975</xdr:rowOff>
                  </from>
                  <to>
                    <xdr:col>135</xdr:col>
                    <xdr:colOff>295275</xdr:colOff>
                    <xdr:row>36</xdr:row>
                    <xdr:rowOff>123825</xdr:rowOff>
                  </to>
                </anchor>
              </controlPr>
            </control>
          </mc:Choice>
        </mc:AlternateContent>
        <mc:AlternateContent xmlns:mc="http://schemas.openxmlformats.org/markup-compatibility/2006">
          <mc:Choice Requires="x14">
            <control shapeId="6562" r:id="rId19" name="Check Box 418">
              <controlPr defaultSize="0" autoFill="0" autoLine="0" autoPict="0">
                <anchor moveWithCells="1">
                  <from>
                    <xdr:col>87</xdr:col>
                    <xdr:colOff>200025</xdr:colOff>
                    <xdr:row>36</xdr:row>
                    <xdr:rowOff>171450</xdr:rowOff>
                  </from>
                  <to>
                    <xdr:col>135</xdr:col>
                    <xdr:colOff>304800</xdr:colOff>
                    <xdr:row>37</xdr:row>
                    <xdr:rowOff>104775</xdr:rowOff>
                  </to>
                </anchor>
              </controlPr>
            </control>
          </mc:Choice>
        </mc:AlternateContent>
        <mc:AlternateContent xmlns:mc="http://schemas.openxmlformats.org/markup-compatibility/2006">
          <mc:Choice Requires="x14">
            <control shapeId="6567" r:id="rId20" name="Check Box 423">
              <controlPr defaultSize="0" autoFill="0" autoLine="0" autoPict="0">
                <anchor moveWithCells="1">
                  <from>
                    <xdr:col>88</xdr:col>
                    <xdr:colOff>200025</xdr:colOff>
                    <xdr:row>35</xdr:row>
                    <xdr:rowOff>180975</xdr:rowOff>
                  </from>
                  <to>
                    <xdr:col>135</xdr:col>
                    <xdr:colOff>304800</xdr:colOff>
                    <xdr:row>36</xdr:row>
                    <xdr:rowOff>123825</xdr:rowOff>
                  </to>
                </anchor>
              </controlPr>
            </control>
          </mc:Choice>
        </mc:AlternateContent>
        <mc:AlternateContent xmlns:mc="http://schemas.openxmlformats.org/markup-compatibility/2006">
          <mc:Choice Requires="x14">
            <control shapeId="6568" r:id="rId21" name="Check Box 424">
              <controlPr defaultSize="0" autoFill="0" autoLine="0" autoPict="0">
                <anchor moveWithCells="1">
                  <from>
                    <xdr:col>88</xdr:col>
                    <xdr:colOff>200025</xdr:colOff>
                    <xdr:row>36</xdr:row>
                    <xdr:rowOff>161925</xdr:rowOff>
                  </from>
                  <to>
                    <xdr:col>135</xdr:col>
                    <xdr:colOff>304800</xdr:colOff>
                    <xdr:row>37</xdr:row>
                    <xdr:rowOff>85725</xdr:rowOff>
                  </to>
                </anchor>
              </controlPr>
            </control>
          </mc:Choice>
        </mc:AlternateContent>
        <mc:AlternateContent xmlns:mc="http://schemas.openxmlformats.org/markup-compatibility/2006">
          <mc:Choice Requires="x14">
            <control shapeId="6573" r:id="rId22" name="Check Box 429">
              <controlPr defaultSize="0" autoFill="0" autoLine="0" autoPict="0">
                <anchor moveWithCells="1">
                  <from>
                    <xdr:col>89</xdr:col>
                    <xdr:colOff>200025</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574" r:id="rId23" name="Check Box 430">
              <controlPr defaultSize="0" autoFill="0" autoLine="0" autoPict="0">
                <anchor moveWithCells="1">
                  <from>
                    <xdr:col>89</xdr:col>
                    <xdr:colOff>209550</xdr:colOff>
                    <xdr:row>36</xdr:row>
                    <xdr:rowOff>161925</xdr:rowOff>
                  </from>
                  <to>
                    <xdr:col>135</xdr:col>
                    <xdr:colOff>304800</xdr:colOff>
                    <xdr:row>37</xdr:row>
                    <xdr:rowOff>85725</xdr:rowOff>
                  </to>
                </anchor>
              </controlPr>
            </control>
          </mc:Choice>
        </mc:AlternateContent>
        <mc:AlternateContent xmlns:mc="http://schemas.openxmlformats.org/markup-compatibility/2006">
          <mc:Choice Requires="x14">
            <control shapeId="6579" r:id="rId24" name="Check Box 435">
              <controlPr defaultSize="0" autoFill="0" autoLine="0" autoPict="0">
                <anchor moveWithCells="1">
                  <from>
                    <xdr:col>90</xdr:col>
                    <xdr:colOff>209550</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580" r:id="rId25" name="Check Box 436">
              <controlPr defaultSize="0" autoFill="0" autoLine="0" autoPict="0">
                <anchor moveWithCells="1">
                  <from>
                    <xdr:col>90</xdr:col>
                    <xdr:colOff>209550</xdr:colOff>
                    <xdr:row>36</xdr:row>
                    <xdr:rowOff>161925</xdr:rowOff>
                  </from>
                  <to>
                    <xdr:col>135</xdr:col>
                    <xdr:colOff>304800</xdr:colOff>
                    <xdr:row>37</xdr:row>
                    <xdr:rowOff>85725</xdr:rowOff>
                  </to>
                </anchor>
              </controlPr>
            </control>
          </mc:Choice>
        </mc:AlternateContent>
        <mc:AlternateContent xmlns:mc="http://schemas.openxmlformats.org/markup-compatibility/2006">
          <mc:Choice Requires="x14">
            <control shapeId="6585" r:id="rId26" name="Check Box 441">
              <controlPr defaultSize="0" autoFill="0" autoLine="0" autoPict="0">
                <anchor moveWithCells="1">
                  <from>
                    <xdr:col>91</xdr:col>
                    <xdr:colOff>190500</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586" r:id="rId27" name="Check Box 442">
              <controlPr defaultSize="0" autoFill="0" autoLine="0" autoPict="0">
                <anchor moveWithCells="1">
                  <from>
                    <xdr:col>91</xdr:col>
                    <xdr:colOff>200025</xdr:colOff>
                    <xdr:row>36</xdr:row>
                    <xdr:rowOff>161925</xdr:rowOff>
                  </from>
                  <to>
                    <xdr:col>135</xdr:col>
                    <xdr:colOff>304800</xdr:colOff>
                    <xdr:row>37</xdr:row>
                    <xdr:rowOff>85725</xdr:rowOff>
                  </to>
                </anchor>
              </controlPr>
            </control>
          </mc:Choice>
        </mc:AlternateContent>
        <mc:AlternateContent xmlns:mc="http://schemas.openxmlformats.org/markup-compatibility/2006">
          <mc:Choice Requires="x14">
            <control shapeId="6591" r:id="rId28" name="Check Box 447">
              <controlPr defaultSize="0" autoFill="0" autoLine="0" autoPict="0">
                <anchor moveWithCells="1">
                  <from>
                    <xdr:col>92</xdr:col>
                    <xdr:colOff>209550</xdr:colOff>
                    <xdr:row>35</xdr:row>
                    <xdr:rowOff>180975</xdr:rowOff>
                  </from>
                  <to>
                    <xdr:col>135</xdr:col>
                    <xdr:colOff>304800</xdr:colOff>
                    <xdr:row>36</xdr:row>
                    <xdr:rowOff>123825</xdr:rowOff>
                  </to>
                </anchor>
              </controlPr>
            </control>
          </mc:Choice>
        </mc:AlternateContent>
        <mc:AlternateContent xmlns:mc="http://schemas.openxmlformats.org/markup-compatibility/2006">
          <mc:Choice Requires="x14">
            <control shapeId="6592" r:id="rId29" name="Check Box 448">
              <controlPr defaultSize="0" autoFill="0" autoLine="0" autoPict="0">
                <anchor moveWithCells="1">
                  <from>
                    <xdr:col>92</xdr:col>
                    <xdr:colOff>219075</xdr:colOff>
                    <xdr:row>36</xdr:row>
                    <xdr:rowOff>161925</xdr:rowOff>
                  </from>
                  <to>
                    <xdr:col>135</xdr:col>
                    <xdr:colOff>304800</xdr:colOff>
                    <xdr:row>37</xdr:row>
                    <xdr:rowOff>85725</xdr:rowOff>
                  </to>
                </anchor>
              </controlPr>
            </control>
          </mc:Choice>
        </mc:AlternateContent>
        <mc:AlternateContent xmlns:mc="http://schemas.openxmlformats.org/markup-compatibility/2006">
          <mc:Choice Requires="x14">
            <control shapeId="6597" r:id="rId30" name="Check Box 453">
              <controlPr defaultSize="0" autoFill="0" autoLine="0" autoPict="0">
                <anchor moveWithCells="1">
                  <from>
                    <xdr:col>93</xdr:col>
                    <xdr:colOff>209550</xdr:colOff>
                    <xdr:row>35</xdr:row>
                    <xdr:rowOff>180975</xdr:rowOff>
                  </from>
                  <to>
                    <xdr:col>135</xdr:col>
                    <xdr:colOff>304800</xdr:colOff>
                    <xdr:row>36</xdr:row>
                    <xdr:rowOff>123825</xdr:rowOff>
                  </to>
                </anchor>
              </controlPr>
            </control>
          </mc:Choice>
        </mc:AlternateContent>
        <mc:AlternateContent xmlns:mc="http://schemas.openxmlformats.org/markup-compatibility/2006">
          <mc:Choice Requires="x14">
            <control shapeId="6598" r:id="rId31" name="Check Box 454">
              <controlPr defaultSize="0" autoFill="0" autoLine="0" autoPict="0">
                <anchor moveWithCells="1">
                  <from>
                    <xdr:col>93</xdr:col>
                    <xdr:colOff>200025</xdr:colOff>
                    <xdr:row>36</xdr:row>
                    <xdr:rowOff>161925</xdr:rowOff>
                  </from>
                  <to>
                    <xdr:col>135</xdr:col>
                    <xdr:colOff>304800</xdr:colOff>
                    <xdr:row>37</xdr:row>
                    <xdr:rowOff>85725</xdr:rowOff>
                  </to>
                </anchor>
              </controlPr>
            </control>
          </mc:Choice>
        </mc:AlternateContent>
        <mc:AlternateContent xmlns:mc="http://schemas.openxmlformats.org/markup-compatibility/2006">
          <mc:Choice Requires="x14">
            <control shapeId="6603" r:id="rId32" name="Check Box 459">
              <controlPr defaultSize="0" autoFill="0" autoLine="0" autoPict="0">
                <anchor moveWithCells="1">
                  <from>
                    <xdr:col>94</xdr:col>
                    <xdr:colOff>190500</xdr:colOff>
                    <xdr:row>35</xdr:row>
                    <xdr:rowOff>190500</xdr:rowOff>
                  </from>
                  <to>
                    <xdr:col>135</xdr:col>
                    <xdr:colOff>304800</xdr:colOff>
                    <xdr:row>36</xdr:row>
                    <xdr:rowOff>171450</xdr:rowOff>
                  </to>
                </anchor>
              </controlPr>
            </control>
          </mc:Choice>
        </mc:AlternateContent>
        <mc:AlternateContent xmlns:mc="http://schemas.openxmlformats.org/markup-compatibility/2006">
          <mc:Choice Requires="x14">
            <control shapeId="6604" r:id="rId33" name="Check Box 460">
              <controlPr defaultSize="0" autoFill="0" autoLine="0" autoPict="0">
                <anchor moveWithCells="1">
                  <from>
                    <xdr:col>94</xdr:col>
                    <xdr:colOff>200025</xdr:colOff>
                    <xdr:row>36</xdr:row>
                    <xdr:rowOff>152400</xdr:rowOff>
                  </from>
                  <to>
                    <xdr:col>135</xdr:col>
                    <xdr:colOff>304800</xdr:colOff>
                    <xdr:row>37</xdr:row>
                    <xdr:rowOff>85725</xdr:rowOff>
                  </to>
                </anchor>
              </controlPr>
            </control>
          </mc:Choice>
        </mc:AlternateContent>
        <mc:AlternateContent xmlns:mc="http://schemas.openxmlformats.org/markup-compatibility/2006">
          <mc:Choice Requires="x14">
            <control shapeId="6609" r:id="rId34" name="Check Box 465">
              <controlPr defaultSize="0" autoFill="0" autoLine="0" autoPict="0">
                <anchor moveWithCells="1">
                  <from>
                    <xdr:col>95</xdr:col>
                    <xdr:colOff>200025</xdr:colOff>
                    <xdr:row>35</xdr:row>
                    <xdr:rowOff>190500</xdr:rowOff>
                  </from>
                  <to>
                    <xdr:col>135</xdr:col>
                    <xdr:colOff>304800</xdr:colOff>
                    <xdr:row>36</xdr:row>
                    <xdr:rowOff>171450</xdr:rowOff>
                  </to>
                </anchor>
              </controlPr>
            </control>
          </mc:Choice>
        </mc:AlternateContent>
        <mc:AlternateContent xmlns:mc="http://schemas.openxmlformats.org/markup-compatibility/2006">
          <mc:Choice Requires="x14">
            <control shapeId="6610" r:id="rId35" name="Check Box 466">
              <controlPr defaultSize="0" autoFill="0" autoLine="0" autoPict="0">
                <anchor moveWithCells="1">
                  <from>
                    <xdr:col>95</xdr:col>
                    <xdr:colOff>209550</xdr:colOff>
                    <xdr:row>36</xdr:row>
                    <xdr:rowOff>161925</xdr:rowOff>
                  </from>
                  <to>
                    <xdr:col>135</xdr:col>
                    <xdr:colOff>304800</xdr:colOff>
                    <xdr:row>37</xdr:row>
                    <xdr:rowOff>85725</xdr:rowOff>
                  </to>
                </anchor>
              </controlPr>
            </control>
          </mc:Choice>
        </mc:AlternateContent>
        <mc:AlternateContent xmlns:mc="http://schemas.openxmlformats.org/markup-compatibility/2006">
          <mc:Choice Requires="x14">
            <control shapeId="6615" r:id="rId36" name="Check Box 471">
              <controlPr defaultSize="0" autoFill="0" autoLine="0" autoPict="0">
                <anchor moveWithCells="1">
                  <from>
                    <xdr:col>96</xdr:col>
                    <xdr:colOff>209550</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616" r:id="rId37" name="Check Box 472">
              <controlPr defaultSize="0" autoFill="0" autoLine="0" autoPict="0">
                <anchor moveWithCells="1">
                  <from>
                    <xdr:col>96</xdr:col>
                    <xdr:colOff>200025</xdr:colOff>
                    <xdr:row>36</xdr:row>
                    <xdr:rowOff>161925</xdr:rowOff>
                  </from>
                  <to>
                    <xdr:col>135</xdr:col>
                    <xdr:colOff>304800</xdr:colOff>
                    <xdr:row>37</xdr:row>
                    <xdr:rowOff>85725</xdr:rowOff>
                  </to>
                </anchor>
              </controlPr>
            </control>
          </mc:Choice>
        </mc:AlternateContent>
        <mc:AlternateContent xmlns:mc="http://schemas.openxmlformats.org/markup-compatibility/2006">
          <mc:Choice Requires="x14">
            <control shapeId="6621" r:id="rId38" name="Check Box 477">
              <controlPr defaultSize="0" autoFill="0" autoLine="0" autoPict="0">
                <anchor moveWithCells="1">
                  <from>
                    <xdr:col>97</xdr:col>
                    <xdr:colOff>219075</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622" r:id="rId39" name="Check Box 478">
              <controlPr defaultSize="0" autoFill="0" autoLine="0" autoPict="0">
                <anchor moveWithCells="1">
                  <from>
                    <xdr:col>97</xdr:col>
                    <xdr:colOff>200025</xdr:colOff>
                    <xdr:row>36</xdr:row>
                    <xdr:rowOff>171450</xdr:rowOff>
                  </from>
                  <to>
                    <xdr:col>135</xdr:col>
                    <xdr:colOff>304800</xdr:colOff>
                    <xdr:row>37</xdr:row>
                    <xdr:rowOff>104775</xdr:rowOff>
                  </to>
                </anchor>
              </controlPr>
            </control>
          </mc:Choice>
        </mc:AlternateContent>
        <mc:AlternateContent xmlns:mc="http://schemas.openxmlformats.org/markup-compatibility/2006">
          <mc:Choice Requires="x14">
            <control shapeId="6627" r:id="rId40" name="Check Box 483">
              <controlPr defaultSize="0" autoFill="0" autoLine="0" autoPict="0">
                <anchor moveWithCells="1">
                  <from>
                    <xdr:col>98</xdr:col>
                    <xdr:colOff>209550</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628" r:id="rId41" name="Check Box 484">
              <controlPr defaultSize="0" autoFill="0" autoLine="0" autoPict="0">
                <anchor moveWithCells="1">
                  <from>
                    <xdr:col>98</xdr:col>
                    <xdr:colOff>209550</xdr:colOff>
                    <xdr:row>36</xdr:row>
                    <xdr:rowOff>171450</xdr:rowOff>
                  </from>
                  <to>
                    <xdr:col>135</xdr:col>
                    <xdr:colOff>304800</xdr:colOff>
                    <xdr:row>37</xdr:row>
                    <xdr:rowOff>104775</xdr:rowOff>
                  </to>
                </anchor>
              </controlPr>
            </control>
          </mc:Choice>
        </mc:AlternateContent>
        <mc:AlternateContent xmlns:mc="http://schemas.openxmlformats.org/markup-compatibility/2006">
          <mc:Choice Requires="x14">
            <control shapeId="6633" r:id="rId42" name="Check Box 489">
              <controlPr defaultSize="0" autoFill="0" autoLine="0" autoPict="0">
                <anchor moveWithCells="1">
                  <from>
                    <xdr:col>99</xdr:col>
                    <xdr:colOff>209550</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634" r:id="rId43" name="Check Box 490">
              <controlPr defaultSize="0" autoFill="0" autoLine="0" autoPict="0">
                <anchor moveWithCells="1">
                  <from>
                    <xdr:col>99</xdr:col>
                    <xdr:colOff>200025</xdr:colOff>
                    <xdr:row>36</xdr:row>
                    <xdr:rowOff>171450</xdr:rowOff>
                  </from>
                  <to>
                    <xdr:col>135</xdr:col>
                    <xdr:colOff>304800</xdr:colOff>
                    <xdr:row>37</xdr:row>
                    <xdr:rowOff>104775</xdr:rowOff>
                  </to>
                </anchor>
              </controlPr>
            </control>
          </mc:Choice>
        </mc:AlternateContent>
        <mc:AlternateContent xmlns:mc="http://schemas.openxmlformats.org/markup-compatibility/2006">
          <mc:Choice Requires="x14">
            <control shapeId="6662" r:id="rId44" name="Check Box 518">
              <controlPr defaultSize="0" autoFill="0" autoLine="0" autoPict="0">
                <anchor moveWithCells="1">
                  <from>
                    <xdr:col>100</xdr:col>
                    <xdr:colOff>209550</xdr:colOff>
                    <xdr:row>35</xdr:row>
                    <xdr:rowOff>171450</xdr:rowOff>
                  </from>
                  <to>
                    <xdr:col>135</xdr:col>
                    <xdr:colOff>304800</xdr:colOff>
                    <xdr:row>36</xdr:row>
                    <xdr:rowOff>123825</xdr:rowOff>
                  </to>
                </anchor>
              </controlPr>
            </control>
          </mc:Choice>
        </mc:AlternateContent>
        <mc:AlternateContent xmlns:mc="http://schemas.openxmlformats.org/markup-compatibility/2006">
          <mc:Choice Requires="x14">
            <control shapeId="6664" r:id="rId45" name="Check Box 520">
              <controlPr defaultSize="0" autoFill="0" autoLine="0" autoPict="0">
                <anchor moveWithCells="1">
                  <from>
                    <xdr:col>28</xdr:col>
                    <xdr:colOff>0</xdr:colOff>
                    <xdr:row>36</xdr:row>
                    <xdr:rowOff>171450</xdr:rowOff>
                  </from>
                  <to>
                    <xdr:col>135</xdr:col>
                    <xdr:colOff>304800</xdr:colOff>
                    <xdr:row>37</xdr:row>
                    <xdr:rowOff>85725</xdr:rowOff>
                  </to>
                </anchor>
              </controlPr>
            </control>
          </mc:Choice>
        </mc:AlternateContent>
        <mc:AlternateContent xmlns:mc="http://schemas.openxmlformats.org/markup-compatibility/2006">
          <mc:Choice Requires="x14">
            <control shapeId="6665" r:id="rId46" name="Check Box 521">
              <controlPr defaultSize="0" autoFill="0" autoLine="0" autoPict="0">
                <anchor moveWithCells="1">
                  <from>
                    <xdr:col>101</xdr:col>
                    <xdr:colOff>180975</xdr:colOff>
                    <xdr:row>35</xdr:row>
                    <xdr:rowOff>142875</xdr:rowOff>
                  </from>
                  <to>
                    <xdr:col>135</xdr:col>
                    <xdr:colOff>304800</xdr:colOff>
                    <xdr:row>36</xdr:row>
                    <xdr:rowOff>104775</xdr:rowOff>
                  </to>
                </anchor>
              </controlPr>
            </control>
          </mc:Choice>
        </mc:AlternateContent>
        <mc:AlternateContent xmlns:mc="http://schemas.openxmlformats.org/markup-compatibility/2006">
          <mc:Choice Requires="x14">
            <control shapeId="6668" r:id="rId47" name="Check Box 524">
              <controlPr defaultSize="0" autoFill="0" autoLine="0" autoPict="0">
                <anchor moveWithCells="1">
                  <from>
                    <xdr:col>101</xdr:col>
                    <xdr:colOff>190500</xdr:colOff>
                    <xdr:row>36</xdr:row>
                    <xdr:rowOff>219075</xdr:rowOff>
                  </from>
                  <to>
                    <xdr:col>135</xdr:col>
                    <xdr:colOff>314325</xdr:colOff>
                    <xdr:row>37</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AB1265C-FD15-42DC-A95E-4A1BCFEE2F77}">
            <x14:dataBar minLength="0" maxLength="100" gradient="0" direction="leftToRight">
              <x14:cfvo type="num">
                <xm:f>0</xm:f>
              </x14:cfvo>
              <x14:cfvo type="num">
                <xm:f>1</xm:f>
              </x14:cfvo>
              <x14:negativeFillColor rgb="FFFF0000"/>
              <x14:axisColor rgb="FF000000"/>
            </x14:dataBar>
          </x14:cfRule>
          <xm:sqref>CY36:CY37</xm:sqref>
        </x14:conditionalFormatting>
        <x14:conditionalFormatting xmlns:xm="http://schemas.microsoft.com/office/excel/2006/main">
          <x14:cfRule type="expression" priority="34" id="{1F33DE0F-D9CD-46A7-A241-94A5FFE7164F}">
            <xm:f>#REF!&lt;Tabla_Amortización_PeorEscenari!$U$322</xm:f>
            <x14:dxf>
              <font>
                <b/>
                <i val="0"/>
                <color rgb="FF00B050"/>
              </font>
              <fill>
                <patternFill patternType="none">
                  <bgColor auto="1"/>
                </patternFill>
              </fill>
            </x14:dxf>
          </x14:cfRule>
          <xm:sqref>CH44 CS44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EB8AF3E-8107-4061-89D7-165311E451CF}">
          <x14:formula1>
            <xm:f>IF(I10="Remodelación",Catalogos!$BA$2:$BA$4,Catalogos!$BA$2:$BA$5)</xm:f>
          </x14:formula1>
          <xm:sqref>I13:L13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2"/>
  <dimension ref="A1:WXN289"/>
  <sheetViews>
    <sheetView topLeftCell="B3" zoomScale="145" zoomScaleNormal="145" workbookViewId="0">
      <selection activeCell="J35" sqref="J35"/>
    </sheetView>
  </sheetViews>
  <sheetFormatPr baseColWidth="10" defaultColWidth="0" defaultRowHeight="15" x14ac:dyDescent="0.25"/>
  <cols>
    <col min="1" max="2" width="2.85546875" customWidth="1"/>
    <col min="3" max="3" width="13" customWidth="1"/>
    <col min="4" max="4" width="14.42578125" customWidth="1"/>
    <col min="5" max="5" width="15" customWidth="1"/>
    <col min="6" max="6" width="19.140625" customWidth="1"/>
    <col min="7" max="10" width="16.7109375" customWidth="1"/>
    <col min="11" max="12" width="16" bestFit="1" customWidth="1"/>
    <col min="13" max="13" width="14.42578125" bestFit="1" customWidth="1"/>
    <col min="14" max="14" width="15" customWidth="1"/>
    <col min="15" max="15" width="17.7109375" bestFit="1" customWidth="1"/>
    <col min="16" max="16" width="12.7109375" style="99" customWidth="1"/>
    <col min="17" max="17" width="14.28515625" customWidth="1"/>
    <col min="18" max="23" width="10.140625" hidden="1"/>
    <col min="24" max="24" width="17.5703125" hidden="1"/>
    <col min="25" max="25" width="2.28515625" hidden="1"/>
    <col min="26" max="26" width="11.7109375" hidden="1"/>
    <col min="27" max="27" width="14.85546875" hidden="1"/>
    <col min="28" max="28" width="3.5703125" hidden="1"/>
    <col min="29" max="29" width="23.5703125" hidden="1"/>
    <col min="30" max="262" width="5.7109375" hidden="1"/>
    <col min="263" max="264" width="2.85546875" hidden="1"/>
    <col min="265" max="266" width="13" hidden="1"/>
    <col min="267" max="267" width="15" hidden="1"/>
    <col min="268" max="268" width="19.140625" hidden="1"/>
    <col min="269" max="272" width="16.7109375" hidden="1"/>
    <col min="273" max="274" width="16" hidden="1"/>
    <col min="275" max="275" width="14.42578125" hidden="1"/>
    <col min="276" max="276" width="9.28515625" hidden="1"/>
    <col min="277" max="277" width="17.7109375" hidden="1"/>
    <col min="278" max="278" width="11.28515625" hidden="1"/>
    <col min="279" max="279" width="0.85546875" hidden="1"/>
    <col min="280" max="280" width="12.28515625" hidden="1"/>
    <col min="281" max="281" width="2.28515625" hidden="1"/>
    <col min="282" max="282" width="9.85546875" hidden="1"/>
    <col min="283" max="284" width="3.5703125" hidden="1"/>
    <col min="285" max="285" width="23.5703125" hidden="1"/>
    <col min="286" max="518" width="5.7109375" hidden="1"/>
    <col min="519" max="520" width="2.85546875" hidden="1"/>
    <col min="521" max="522" width="13" hidden="1"/>
    <col min="523" max="523" width="15" hidden="1"/>
    <col min="524" max="524" width="19.140625" hidden="1"/>
    <col min="525" max="528" width="16.7109375" hidden="1"/>
    <col min="529" max="530" width="16" hidden="1"/>
    <col min="531" max="531" width="14.42578125" hidden="1"/>
    <col min="532" max="532" width="9.28515625" hidden="1"/>
    <col min="533" max="533" width="17.7109375" hidden="1"/>
    <col min="534" max="534" width="11.28515625" hidden="1"/>
    <col min="535" max="535" width="0.85546875" hidden="1"/>
    <col min="536" max="536" width="12.28515625" hidden="1"/>
    <col min="537" max="537" width="2.28515625" hidden="1"/>
    <col min="538" max="538" width="9.85546875" hidden="1"/>
    <col min="539" max="540" width="3.5703125" hidden="1"/>
    <col min="541" max="541" width="23.5703125" hidden="1"/>
    <col min="542" max="774" width="5.7109375" hidden="1"/>
    <col min="775" max="776" width="2.85546875" hidden="1"/>
    <col min="777" max="778" width="13" hidden="1"/>
    <col min="779" max="779" width="15" hidden="1"/>
    <col min="780" max="780" width="19.140625" hidden="1"/>
    <col min="781" max="784" width="16.7109375" hidden="1"/>
    <col min="785" max="786" width="16" hidden="1"/>
    <col min="787" max="787" width="14.42578125" hidden="1"/>
    <col min="788" max="788" width="9.28515625" hidden="1"/>
    <col min="789" max="789" width="17.7109375" hidden="1"/>
    <col min="790" max="790" width="11.28515625" hidden="1"/>
    <col min="791" max="791" width="0.85546875" hidden="1"/>
    <col min="792" max="792" width="12.28515625" hidden="1"/>
    <col min="793" max="793" width="2.28515625" hidden="1"/>
    <col min="794" max="794" width="9.85546875" hidden="1"/>
    <col min="795" max="796" width="3.5703125" hidden="1"/>
    <col min="797" max="797" width="23.5703125" hidden="1"/>
    <col min="798" max="1030" width="5.7109375" hidden="1"/>
    <col min="1031" max="1032" width="2.85546875" hidden="1"/>
    <col min="1033" max="1034" width="13" hidden="1"/>
    <col min="1035" max="1035" width="15" hidden="1"/>
    <col min="1036" max="1036" width="19.140625" hidden="1"/>
    <col min="1037" max="1040" width="16.7109375" hidden="1"/>
    <col min="1041" max="1042" width="16" hidden="1"/>
    <col min="1043" max="1043" width="14.42578125" hidden="1"/>
    <col min="1044" max="1044" width="9.28515625" hidden="1"/>
    <col min="1045" max="1045" width="17.7109375" hidden="1"/>
    <col min="1046" max="1046" width="11.28515625" hidden="1"/>
    <col min="1047" max="1047" width="0.85546875" hidden="1"/>
    <col min="1048" max="1048" width="12.28515625" hidden="1"/>
    <col min="1049" max="1049" width="2.28515625" hidden="1"/>
    <col min="1050" max="1050" width="9.85546875" hidden="1"/>
    <col min="1051" max="1052" width="3.5703125" hidden="1"/>
    <col min="1053" max="1053" width="23.5703125" hidden="1"/>
    <col min="1054" max="1286" width="5.7109375" hidden="1"/>
    <col min="1287" max="1288" width="2.85546875" hidden="1"/>
    <col min="1289" max="1290" width="13" hidden="1"/>
    <col min="1291" max="1291" width="15" hidden="1"/>
    <col min="1292" max="1292" width="19.140625" hidden="1"/>
    <col min="1293" max="1296" width="16.7109375" hidden="1"/>
    <col min="1297" max="1298" width="16" hidden="1"/>
    <col min="1299" max="1299" width="14.42578125" hidden="1"/>
    <col min="1300" max="1300" width="9.28515625" hidden="1"/>
    <col min="1301" max="1301" width="17.7109375" hidden="1"/>
    <col min="1302" max="1302" width="11.28515625" hidden="1"/>
    <col min="1303" max="1303" width="0.85546875" hidden="1"/>
    <col min="1304" max="1304" width="12.28515625" hidden="1"/>
    <col min="1305" max="1305" width="2.28515625" hidden="1"/>
    <col min="1306" max="1306" width="9.85546875" hidden="1"/>
    <col min="1307" max="1308" width="3.5703125" hidden="1"/>
    <col min="1309" max="1309" width="23.5703125" hidden="1"/>
    <col min="1310" max="1542" width="5.7109375" hidden="1"/>
    <col min="1543" max="1544" width="2.85546875" hidden="1"/>
    <col min="1545" max="1546" width="13" hidden="1"/>
    <col min="1547" max="1547" width="15" hidden="1"/>
    <col min="1548" max="1548" width="19.140625" hidden="1"/>
    <col min="1549" max="1552" width="16.7109375" hidden="1"/>
    <col min="1553" max="1554" width="16" hidden="1"/>
    <col min="1555" max="1555" width="14.42578125" hidden="1"/>
    <col min="1556" max="1556" width="9.28515625" hidden="1"/>
    <col min="1557" max="1557" width="17.7109375" hidden="1"/>
    <col min="1558" max="1558" width="11.28515625" hidden="1"/>
    <col min="1559" max="1559" width="0.85546875" hidden="1"/>
    <col min="1560" max="1560" width="12.28515625" hidden="1"/>
    <col min="1561" max="1561" width="2.28515625" hidden="1"/>
    <col min="1562" max="1562" width="9.85546875" hidden="1"/>
    <col min="1563" max="1564" width="3.5703125" hidden="1"/>
    <col min="1565" max="1565" width="23.5703125" hidden="1"/>
    <col min="1566" max="1798" width="5.7109375" hidden="1"/>
    <col min="1799" max="1800" width="2.85546875" hidden="1"/>
    <col min="1801" max="1802" width="13" hidden="1"/>
    <col min="1803" max="1803" width="15" hidden="1"/>
    <col min="1804" max="1804" width="19.140625" hidden="1"/>
    <col min="1805" max="1808" width="16.7109375" hidden="1"/>
    <col min="1809" max="1810" width="16" hidden="1"/>
    <col min="1811" max="1811" width="14.42578125" hidden="1"/>
    <col min="1812" max="1812" width="9.28515625" hidden="1"/>
    <col min="1813" max="1813" width="17.7109375" hidden="1"/>
    <col min="1814" max="1814" width="11.28515625" hidden="1"/>
    <col min="1815" max="1815" width="0.85546875" hidden="1"/>
    <col min="1816" max="1816" width="12.28515625" hidden="1"/>
    <col min="1817" max="1817" width="2.28515625" hidden="1"/>
    <col min="1818" max="1818" width="9.85546875" hidden="1"/>
    <col min="1819" max="1820" width="3.5703125" hidden="1"/>
    <col min="1821" max="1821" width="23.5703125" hidden="1"/>
    <col min="1822" max="2054" width="5.7109375" hidden="1"/>
    <col min="2055" max="2056" width="2.85546875" hidden="1"/>
    <col min="2057" max="2058" width="13" hidden="1"/>
    <col min="2059" max="2059" width="15" hidden="1"/>
    <col min="2060" max="2060" width="19.140625" hidden="1"/>
    <col min="2061" max="2064" width="16.7109375" hidden="1"/>
    <col min="2065" max="2066" width="16" hidden="1"/>
    <col min="2067" max="2067" width="14.42578125" hidden="1"/>
    <col min="2068" max="2068" width="9.28515625" hidden="1"/>
    <col min="2069" max="2069" width="17.7109375" hidden="1"/>
    <col min="2070" max="2070" width="11.28515625" hidden="1"/>
    <col min="2071" max="2071" width="0.85546875" hidden="1"/>
    <col min="2072" max="2072" width="12.28515625" hidden="1"/>
    <col min="2073" max="2073" width="2.28515625" hidden="1"/>
    <col min="2074" max="2074" width="9.85546875" hidden="1"/>
    <col min="2075" max="2076" width="3.5703125" hidden="1"/>
    <col min="2077" max="2077" width="23.5703125" hidden="1"/>
    <col min="2078" max="2310" width="5.7109375" hidden="1"/>
    <col min="2311" max="2312" width="2.85546875" hidden="1"/>
    <col min="2313" max="2314" width="13" hidden="1"/>
    <col min="2315" max="2315" width="15" hidden="1"/>
    <col min="2316" max="2316" width="19.140625" hidden="1"/>
    <col min="2317" max="2320" width="16.7109375" hidden="1"/>
    <col min="2321" max="2322" width="16" hidden="1"/>
    <col min="2323" max="2323" width="14.42578125" hidden="1"/>
    <col min="2324" max="2324" width="9.28515625" hidden="1"/>
    <col min="2325" max="2325" width="17.7109375" hidden="1"/>
    <col min="2326" max="2326" width="11.28515625" hidden="1"/>
    <col min="2327" max="2327" width="0.85546875" hidden="1"/>
    <col min="2328" max="2328" width="12.28515625" hidden="1"/>
    <col min="2329" max="2329" width="2.28515625" hidden="1"/>
    <col min="2330" max="2330" width="9.85546875" hidden="1"/>
    <col min="2331" max="2332" width="3.5703125" hidden="1"/>
    <col min="2333" max="2333" width="23.5703125" hidden="1"/>
    <col min="2334" max="2566" width="5.7109375" hidden="1"/>
    <col min="2567" max="2568" width="2.85546875" hidden="1"/>
    <col min="2569" max="2570" width="13" hidden="1"/>
    <col min="2571" max="2571" width="15" hidden="1"/>
    <col min="2572" max="2572" width="19.140625" hidden="1"/>
    <col min="2573" max="2576" width="16.7109375" hidden="1"/>
    <col min="2577" max="2578" width="16" hidden="1"/>
    <col min="2579" max="2579" width="14.42578125" hidden="1"/>
    <col min="2580" max="2580" width="9.28515625" hidden="1"/>
    <col min="2581" max="2581" width="17.7109375" hidden="1"/>
    <col min="2582" max="2582" width="11.28515625" hidden="1"/>
    <col min="2583" max="2583" width="0.85546875" hidden="1"/>
    <col min="2584" max="2584" width="12.28515625" hidden="1"/>
    <col min="2585" max="2585" width="2.28515625" hidden="1"/>
    <col min="2586" max="2586" width="9.85546875" hidden="1"/>
    <col min="2587" max="2588" width="3.5703125" hidden="1"/>
    <col min="2589" max="2589" width="23.5703125" hidden="1"/>
    <col min="2590" max="2822" width="5.7109375" hidden="1"/>
    <col min="2823" max="2824" width="2.85546875" hidden="1"/>
    <col min="2825" max="2826" width="13" hidden="1"/>
    <col min="2827" max="2827" width="15" hidden="1"/>
    <col min="2828" max="2828" width="19.140625" hidden="1"/>
    <col min="2829" max="2832" width="16.7109375" hidden="1"/>
    <col min="2833" max="2834" width="16" hidden="1"/>
    <col min="2835" max="2835" width="14.42578125" hidden="1"/>
    <col min="2836" max="2836" width="9.28515625" hidden="1"/>
    <col min="2837" max="2837" width="17.7109375" hidden="1"/>
    <col min="2838" max="2838" width="11.28515625" hidden="1"/>
    <col min="2839" max="2839" width="0.85546875" hidden="1"/>
    <col min="2840" max="2840" width="12.28515625" hidden="1"/>
    <col min="2841" max="2841" width="2.28515625" hidden="1"/>
    <col min="2842" max="2842" width="9.85546875" hidden="1"/>
    <col min="2843" max="2844" width="3.5703125" hidden="1"/>
    <col min="2845" max="2845" width="23.5703125" hidden="1"/>
    <col min="2846" max="3078" width="5.7109375" hidden="1"/>
    <col min="3079" max="3080" width="2.85546875" hidden="1"/>
    <col min="3081" max="3082" width="13" hidden="1"/>
    <col min="3083" max="3083" width="15" hidden="1"/>
    <col min="3084" max="3084" width="19.140625" hidden="1"/>
    <col min="3085" max="3088" width="16.7109375" hidden="1"/>
    <col min="3089" max="3090" width="16" hidden="1"/>
    <col min="3091" max="3091" width="14.42578125" hidden="1"/>
    <col min="3092" max="3092" width="9.28515625" hidden="1"/>
    <col min="3093" max="3093" width="17.7109375" hidden="1"/>
    <col min="3094" max="3094" width="11.28515625" hidden="1"/>
    <col min="3095" max="3095" width="0.85546875" hidden="1"/>
    <col min="3096" max="3096" width="12.28515625" hidden="1"/>
    <col min="3097" max="3097" width="2.28515625" hidden="1"/>
    <col min="3098" max="3098" width="9.85546875" hidden="1"/>
    <col min="3099" max="3100" width="3.5703125" hidden="1"/>
    <col min="3101" max="3101" width="23.5703125" hidden="1"/>
    <col min="3102" max="3334" width="5.7109375" hidden="1"/>
    <col min="3335" max="3336" width="2.85546875" hidden="1"/>
    <col min="3337" max="3338" width="13" hidden="1"/>
    <col min="3339" max="3339" width="15" hidden="1"/>
    <col min="3340" max="3340" width="19.140625" hidden="1"/>
    <col min="3341" max="3344" width="16.7109375" hidden="1"/>
    <col min="3345" max="3346" width="16" hidden="1"/>
    <col min="3347" max="3347" width="14.42578125" hidden="1"/>
    <col min="3348" max="3348" width="9.28515625" hidden="1"/>
    <col min="3349" max="3349" width="17.7109375" hidden="1"/>
    <col min="3350" max="3350" width="11.28515625" hidden="1"/>
    <col min="3351" max="3351" width="0.85546875" hidden="1"/>
    <col min="3352" max="3352" width="12.28515625" hidden="1"/>
    <col min="3353" max="3353" width="2.28515625" hidden="1"/>
    <col min="3354" max="3354" width="9.85546875" hidden="1"/>
    <col min="3355" max="3356" width="3.5703125" hidden="1"/>
    <col min="3357" max="3357" width="23.5703125" hidden="1"/>
    <col min="3358" max="3590" width="5.7109375" hidden="1"/>
    <col min="3591" max="3592" width="2.85546875" hidden="1"/>
    <col min="3593" max="3594" width="13" hidden="1"/>
    <col min="3595" max="3595" width="15" hidden="1"/>
    <col min="3596" max="3596" width="19.140625" hidden="1"/>
    <col min="3597" max="3600" width="16.7109375" hidden="1"/>
    <col min="3601" max="3602" width="16" hidden="1"/>
    <col min="3603" max="3603" width="14.42578125" hidden="1"/>
    <col min="3604" max="3604" width="9.28515625" hidden="1"/>
    <col min="3605" max="3605" width="17.7109375" hidden="1"/>
    <col min="3606" max="3606" width="11.28515625" hidden="1"/>
    <col min="3607" max="3607" width="0.85546875" hidden="1"/>
    <col min="3608" max="3608" width="12.28515625" hidden="1"/>
    <col min="3609" max="3609" width="2.28515625" hidden="1"/>
    <col min="3610" max="3610" width="9.85546875" hidden="1"/>
    <col min="3611" max="3612" width="3.5703125" hidden="1"/>
    <col min="3613" max="3613" width="23.5703125" hidden="1"/>
    <col min="3614" max="3846" width="5.7109375" hidden="1"/>
    <col min="3847" max="3848" width="2.85546875" hidden="1"/>
    <col min="3849" max="3850" width="13" hidden="1"/>
    <col min="3851" max="3851" width="15" hidden="1"/>
    <col min="3852" max="3852" width="19.140625" hidden="1"/>
    <col min="3853" max="3856" width="16.7109375" hidden="1"/>
    <col min="3857" max="3858" width="16" hidden="1"/>
    <col min="3859" max="3859" width="14.42578125" hidden="1"/>
    <col min="3860" max="3860" width="9.28515625" hidden="1"/>
    <col min="3861" max="3861" width="17.7109375" hidden="1"/>
    <col min="3862" max="3862" width="11.28515625" hidden="1"/>
    <col min="3863" max="3863" width="0.85546875" hidden="1"/>
    <col min="3864" max="3864" width="12.28515625" hidden="1"/>
    <col min="3865" max="3865" width="2.28515625" hidden="1"/>
    <col min="3866" max="3866" width="9.85546875" hidden="1"/>
    <col min="3867" max="3868" width="3.5703125" hidden="1"/>
    <col min="3869" max="3869" width="23.5703125" hidden="1"/>
    <col min="3870" max="4102" width="5.7109375" hidden="1"/>
    <col min="4103" max="4104" width="2.85546875" hidden="1"/>
    <col min="4105" max="4106" width="13" hidden="1"/>
    <col min="4107" max="4107" width="15" hidden="1"/>
    <col min="4108" max="4108" width="19.140625" hidden="1"/>
    <col min="4109" max="4112" width="16.7109375" hidden="1"/>
    <col min="4113" max="4114" width="16" hidden="1"/>
    <col min="4115" max="4115" width="14.42578125" hidden="1"/>
    <col min="4116" max="4116" width="9.28515625" hidden="1"/>
    <col min="4117" max="4117" width="17.7109375" hidden="1"/>
    <col min="4118" max="4118" width="11.28515625" hidden="1"/>
    <col min="4119" max="4119" width="0.85546875" hidden="1"/>
    <col min="4120" max="4120" width="12.28515625" hidden="1"/>
    <col min="4121" max="4121" width="2.28515625" hidden="1"/>
    <col min="4122" max="4122" width="9.85546875" hidden="1"/>
    <col min="4123" max="4124" width="3.5703125" hidden="1"/>
    <col min="4125" max="4125" width="23.5703125" hidden="1"/>
    <col min="4126" max="4358" width="5.7109375" hidden="1"/>
    <col min="4359" max="4360" width="2.85546875" hidden="1"/>
    <col min="4361" max="4362" width="13" hidden="1"/>
    <col min="4363" max="4363" width="15" hidden="1"/>
    <col min="4364" max="4364" width="19.140625" hidden="1"/>
    <col min="4365" max="4368" width="16.7109375" hidden="1"/>
    <col min="4369" max="4370" width="16" hidden="1"/>
    <col min="4371" max="4371" width="14.42578125" hidden="1"/>
    <col min="4372" max="4372" width="9.28515625" hidden="1"/>
    <col min="4373" max="4373" width="17.7109375" hidden="1"/>
    <col min="4374" max="4374" width="11.28515625" hidden="1"/>
    <col min="4375" max="4375" width="0.85546875" hidden="1"/>
    <col min="4376" max="4376" width="12.28515625" hidden="1"/>
    <col min="4377" max="4377" width="2.28515625" hidden="1"/>
    <col min="4378" max="4378" width="9.85546875" hidden="1"/>
    <col min="4379" max="4380" width="3.5703125" hidden="1"/>
    <col min="4381" max="4381" width="23.5703125" hidden="1"/>
    <col min="4382" max="4614" width="5.7109375" hidden="1"/>
    <col min="4615" max="4616" width="2.85546875" hidden="1"/>
    <col min="4617" max="4618" width="13" hidden="1"/>
    <col min="4619" max="4619" width="15" hidden="1"/>
    <col min="4620" max="4620" width="19.140625" hidden="1"/>
    <col min="4621" max="4624" width="16.7109375" hidden="1"/>
    <col min="4625" max="4626" width="16" hidden="1"/>
    <col min="4627" max="4627" width="14.42578125" hidden="1"/>
    <col min="4628" max="4628" width="9.28515625" hidden="1"/>
    <col min="4629" max="4629" width="17.7109375" hidden="1"/>
    <col min="4630" max="4630" width="11.28515625" hidden="1"/>
    <col min="4631" max="4631" width="0.85546875" hidden="1"/>
    <col min="4632" max="4632" width="12.28515625" hidden="1"/>
    <col min="4633" max="4633" width="2.28515625" hidden="1"/>
    <col min="4634" max="4634" width="9.85546875" hidden="1"/>
    <col min="4635" max="4636" width="3.5703125" hidden="1"/>
    <col min="4637" max="4637" width="23.5703125" hidden="1"/>
    <col min="4638" max="4870" width="5.7109375" hidden="1"/>
    <col min="4871" max="4872" width="2.85546875" hidden="1"/>
    <col min="4873" max="4874" width="13" hidden="1"/>
    <col min="4875" max="4875" width="15" hidden="1"/>
    <col min="4876" max="4876" width="19.140625" hidden="1"/>
    <col min="4877" max="4880" width="16.7109375" hidden="1"/>
    <col min="4881" max="4882" width="16" hidden="1"/>
    <col min="4883" max="4883" width="14.42578125" hidden="1"/>
    <col min="4884" max="4884" width="9.28515625" hidden="1"/>
    <col min="4885" max="4885" width="17.7109375" hidden="1"/>
    <col min="4886" max="4886" width="11.28515625" hidden="1"/>
    <col min="4887" max="4887" width="0.85546875" hidden="1"/>
    <col min="4888" max="4888" width="12.28515625" hidden="1"/>
    <col min="4889" max="4889" width="2.28515625" hidden="1"/>
    <col min="4890" max="4890" width="9.85546875" hidden="1"/>
    <col min="4891" max="4892" width="3.5703125" hidden="1"/>
    <col min="4893" max="4893" width="23.5703125" hidden="1"/>
    <col min="4894" max="5126" width="5.7109375" hidden="1"/>
    <col min="5127" max="5128" width="2.85546875" hidden="1"/>
    <col min="5129" max="5130" width="13" hidden="1"/>
    <col min="5131" max="5131" width="15" hidden="1"/>
    <col min="5132" max="5132" width="19.140625" hidden="1"/>
    <col min="5133" max="5136" width="16.7109375" hidden="1"/>
    <col min="5137" max="5138" width="16" hidden="1"/>
    <col min="5139" max="5139" width="14.42578125" hidden="1"/>
    <col min="5140" max="5140" width="9.28515625" hidden="1"/>
    <col min="5141" max="5141" width="17.7109375" hidden="1"/>
    <col min="5142" max="5142" width="11.28515625" hidden="1"/>
    <col min="5143" max="5143" width="0.85546875" hidden="1"/>
    <col min="5144" max="5144" width="12.28515625" hidden="1"/>
    <col min="5145" max="5145" width="2.28515625" hidden="1"/>
    <col min="5146" max="5146" width="9.85546875" hidden="1"/>
    <col min="5147" max="5148" width="3.5703125" hidden="1"/>
    <col min="5149" max="5149" width="23.5703125" hidden="1"/>
    <col min="5150" max="5382" width="5.7109375" hidden="1"/>
    <col min="5383" max="5384" width="2.85546875" hidden="1"/>
    <col min="5385" max="5386" width="13" hidden="1"/>
    <col min="5387" max="5387" width="15" hidden="1"/>
    <col min="5388" max="5388" width="19.140625" hidden="1"/>
    <col min="5389" max="5392" width="16.7109375" hidden="1"/>
    <col min="5393" max="5394" width="16" hidden="1"/>
    <col min="5395" max="5395" width="14.42578125" hidden="1"/>
    <col min="5396" max="5396" width="9.28515625" hidden="1"/>
    <col min="5397" max="5397" width="17.7109375" hidden="1"/>
    <col min="5398" max="5398" width="11.28515625" hidden="1"/>
    <col min="5399" max="5399" width="0.85546875" hidden="1"/>
    <col min="5400" max="5400" width="12.28515625" hidden="1"/>
    <col min="5401" max="5401" width="2.28515625" hidden="1"/>
    <col min="5402" max="5402" width="9.85546875" hidden="1"/>
    <col min="5403" max="5404" width="3.5703125" hidden="1"/>
    <col min="5405" max="5405" width="23.5703125" hidden="1"/>
    <col min="5406" max="5638" width="5.7109375" hidden="1"/>
    <col min="5639" max="5640" width="2.85546875" hidden="1"/>
    <col min="5641" max="5642" width="13" hidden="1"/>
    <col min="5643" max="5643" width="15" hidden="1"/>
    <col min="5644" max="5644" width="19.140625" hidden="1"/>
    <col min="5645" max="5648" width="16.7109375" hidden="1"/>
    <col min="5649" max="5650" width="16" hidden="1"/>
    <col min="5651" max="5651" width="14.42578125" hidden="1"/>
    <col min="5652" max="5652" width="9.28515625" hidden="1"/>
    <col min="5653" max="5653" width="17.7109375" hidden="1"/>
    <col min="5654" max="5654" width="11.28515625" hidden="1"/>
    <col min="5655" max="5655" width="0.85546875" hidden="1"/>
    <col min="5656" max="5656" width="12.28515625" hidden="1"/>
    <col min="5657" max="5657" width="2.28515625" hidden="1"/>
    <col min="5658" max="5658" width="9.85546875" hidden="1"/>
    <col min="5659" max="5660" width="3.5703125" hidden="1"/>
    <col min="5661" max="5661" width="23.5703125" hidden="1"/>
    <col min="5662" max="5894" width="5.7109375" hidden="1"/>
    <col min="5895" max="5896" width="2.85546875" hidden="1"/>
    <col min="5897" max="5898" width="13" hidden="1"/>
    <col min="5899" max="5899" width="15" hidden="1"/>
    <col min="5900" max="5900" width="19.140625" hidden="1"/>
    <col min="5901" max="5904" width="16.7109375" hidden="1"/>
    <col min="5905" max="5906" width="16" hidden="1"/>
    <col min="5907" max="5907" width="14.42578125" hidden="1"/>
    <col min="5908" max="5908" width="9.28515625" hidden="1"/>
    <col min="5909" max="5909" width="17.7109375" hidden="1"/>
    <col min="5910" max="5910" width="11.28515625" hidden="1"/>
    <col min="5911" max="5911" width="0.85546875" hidden="1"/>
    <col min="5912" max="5912" width="12.28515625" hidden="1"/>
    <col min="5913" max="5913" width="2.28515625" hidden="1"/>
    <col min="5914" max="5914" width="9.85546875" hidden="1"/>
    <col min="5915" max="5916" width="3.5703125" hidden="1"/>
    <col min="5917" max="5917" width="23.5703125" hidden="1"/>
    <col min="5918" max="6150" width="5.7109375" hidden="1"/>
    <col min="6151" max="6152" width="2.85546875" hidden="1"/>
    <col min="6153" max="6154" width="13" hidden="1"/>
    <col min="6155" max="6155" width="15" hidden="1"/>
    <col min="6156" max="6156" width="19.140625" hidden="1"/>
    <col min="6157" max="6160" width="16.7109375" hidden="1"/>
    <col min="6161" max="6162" width="16" hidden="1"/>
    <col min="6163" max="6163" width="14.42578125" hidden="1"/>
    <col min="6164" max="6164" width="9.28515625" hidden="1"/>
    <col min="6165" max="6165" width="17.7109375" hidden="1"/>
    <col min="6166" max="6166" width="11.28515625" hidden="1"/>
    <col min="6167" max="6167" width="0.85546875" hidden="1"/>
    <col min="6168" max="6168" width="12.28515625" hidden="1"/>
    <col min="6169" max="6169" width="2.28515625" hidden="1"/>
    <col min="6170" max="6170" width="9.85546875" hidden="1"/>
    <col min="6171" max="6172" width="3.5703125" hidden="1"/>
    <col min="6173" max="6173" width="23.5703125" hidden="1"/>
    <col min="6174" max="6406" width="5.7109375" hidden="1"/>
    <col min="6407" max="6408" width="2.85546875" hidden="1"/>
    <col min="6409" max="6410" width="13" hidden="1"/>
    <col min="6411" max="6411" width="15" hidden="1"/>
    <col min="6412" max="6412" width="19.140625" hidden="1"/>
    <col min="6413" max="6416" width="16.7109375" hidden="1"/>
    <col min="6417" max="6418" width="16" hidden="1"/>
    <col min="6419" max="6419" width="14.42578125" hidden="1"/>
    <col min="6420" max="6420" width="9.28515625" hidden="1"/>
    <col min="6421" max="6421" width="17.7109375" hidden="1"/>
    <col min="6422" max="6422" width="11.28515625" hidden="1"/>
    <col min="6423" max="6423" width="0.85546875" hidden="1"/>
    <col min="6424" max="6424" width="12.28515625" hidden="1"/>
    <col min="6425" max="6425" width="2.28515625" hidden="1"/>
    <col min="6426" max="6426" width="9.85546875" hidden="1"/>
    <col min="6427" max="6428" width="3.5703125" hidden="1"/>
    <col min="6429" max="6429" width="23.5703125" hidden="1"/>
    <col min="6430" max="6662" width="5.7109375" hidden="1"/>
    <col min="6663" max="6664" width="2.85546875" hidden="1"/>
    <col min="6665" max="6666" width="13" hidden="1"/>
    <col min="6667" max="6667" width="15" hidden="1"/>
    <col min="6668" max="6668" width="19.140625" hidden="1"/>
    <col min="6669" max="6672" width="16.7109375" hidden="1"/>
    <col min="6673" max="6674" width="16" hidden="1"/>
    <col min="6675" max="6675" width="14.42578125" hidden="1"/>
    <col min="6676" max="6676" width="9.28515625" hidden="1"/>
    <col min="6677" max="6677" width="17.7109375" hidden="1"/>
    <col min="6678" max="6678" width="11.28515625" hidden="1"/>
    <col min="6679" max="6679" width="0.85546875" hidden="1"/>
    <col min="6680" max="6680" width="12.28515625" hidden="1"/>
    <col min="6681" max="6681" width="2.28515625" hidden="1"/>
    <col min="6682" max="6682" width="9.85546875" hidden="1"/>
    <col min="6683" max="6684" width="3.5703125" hidden="1"/>
    <col min="6685" max="6685" width="23.5703125" hidden="1"/>
    <col min="6686" max="6918" width="5.7109375" hidden="1"/>
    <col min="6919" max="6920" width="2.85546875" hidden="1"/>
    <col min="6921" max="6922" width="13" hidden="1"/>
    <col min="6923" max="6923" width="15" hidden="1"/>
    <col min="6924" max="6924" width="19.140625" hidden="1"/>
    <col min="6925" max="6928" width="16.7109375" hidden="1"/>
    <col min="6929" max="6930" width="16" hidden="1"/>
    <col min="6931" max="6931" width="14.42578125" hidden="1"/>
    <col min="6932" max="6932" width="9.28515625" hidden="1"/>
    <col min="6933" max="6933" width="17.7109375" hidden="1"/>
    <col min="6934" max="6934" width="11.28515625" hidden="1"/>
    <col min="6935" max="6935" width="0.85546875" hidden="1"/>
    <col min="6936" max="6936" width="12.28515625" hidden="1"/>
    <col min="6937" max="6937" width="2.28515625" hidden="1"/>
    <col min="6938" max="6938" width="9.85546875" hidden="1"/>
    <col min="6939" max="6940" width="3.5703125" hidden="1"/>
    <col min="6941" max="6941" width="23.5703125" hidden="1"/>
    <col min="6942" max="7174" width="5.7109375" hidden="1"/>
    <col min="7175" max="7176" width="2.85546875" hidden="1"/>
    <col min="7177" max="7178" width="13" hidden="1"/>
    <col min="7179" max="7179" width="15" hidden="1"/>
    <col min="7180" max="7180" width="19.140625" hidden="1"/>
    <col min="7181" max="7184" width="16.7109375" hidden="1"/>
    <col min="7185" max="7186" width="16" hidden="1"/>
    <col min="7187" max="7187" width="14.42578125" hidden="1"/>
    <col min="7188" max="7188" width="9.28515625" hidden="1"/>
    <col min="7189" max="7189" width="17.7109375" hidden="1"/>
    <col min="7190" max="7190" width="11.28515625" hidden="1"/>
    <col min="7191" max="7191" width="0.85546875" hidden="1"/>
    <col min="7192" max="7192" width="12.28515625" hidden="1"/>
    <col min="7193" max="7193" width="2.28515625" hidden="1"/>
    <col min="7194" max="7194" width="9.85546875" hidden="1"/>
    <col min="7195" max="7196" width="3.5703125" hidden="1"/>
    <col min="7197" max="7197" width="23.5703125" hidden="1"/>
    <col min="7198" max="7430" width="5.7109375" hidden="1"/>
    <col min="7431" max="7432" width="2.85546875" hidden="1"/>
    <col min="7433" max="7434" width="13" hidden="1"/>
    <col min="7435" max="7435" width="15" hidden="1"/>
    <col min="7436" max="7436" width="19.140625" hidden="1"/>
    <col min="7437" max="7440" width="16.7109375" hidden="1"/>
    <col min="7441" max="7442" width="16" hidden="1"/>
    <col min="7443" max="7443" width="14.42578125" hidden="1"/>
    <col min="7444" max="7444" width="9.28515625" hidden="1"/>
    <col min="7445" max="7445" width="17.7109375" hidden="1"/>
    <col min="7446" max="7446" width="11.28515625" hidden="1"/>
    <col min="7447" max="7447" width="0.85546875" hidden="1"/>
    <col min="7448" max="7448" width="12.28515625" hidden="1"/>
    <col min="7449" max="7449" width="2.28515625" hidden="1"/>
    <col min="7450" max="7450" width="9.85546875" hidden="1"/>
    <col min="7451" max="7452" width="3.5703125" hidden="1"/>
    <col min="7453" max="7453" width="23.5703125" hidden="1"/>
    <col min="7454" max="7686" width="5.7109375" hidden="1"/>
    <col min="7687" max="7688" width="2.85546875" hidden="1"/>
    <col min="7689" max="7690" width="13" hidden="1"/>
    <col min="7691" max="7691" width="15" hidden="1"/>
    <col min="7692" max="7692" width="19.140625" hidden="1"/>
    <col min="7693" max="7696" width="16.7109375" hidden="1"/>
    <col min="7697" max="7698" width="16" hidden="1"/>
    <col min="7699" max="7699" width="14.42578125" hidden="1"/>
    <col min="7700" max="7700" width="9.28515625" hidden="1"/>
    <col min="7701" max="7701" width="17.7109375" hidden="1"/>
    <col min="7702" max="7702" width="11.28515625" hidden="1"/>
    <col min="7703" max="7703" width="0.85546875" hidden="1"/>
    <col min="7704" max="7704" width="12.28515625" hidden="1"/>
    <col min="7705" max="7705" width="2.28515625" hidden="1"/>
    <col min="7706" max="7706" width="9.85546875" hidden="1"/>
    <col min="7707" max="7708" width="3.5703125" hidden="1"/>
    <col min="7709" max="7709" width="23.5703125" hidden="1"/>
    <col min="7710" max="7942" width="5.7109375" hidden="1"/>
    <col min="7943" max="7944" width="2.85546875" hidden="1"/>
    <col min="7945" max="7946" width="13" hidden="1"/>
    <col min="7947" max="7947" width="15" hidden="1"/>
    <col min="7948" max="7948" width="19.140625" hidden="1"/>
    <col min="7949" max="7952" width="16.7109375" hidden="1"/>
    <col min="7953" max="7954" width="16" hidden="1"/>
    <col min="7955" max="7955" width="14.42578125" hidden="1"/>
    <col min="7956" max="7956" width="9.28515625" hidden="1"/>
    <col min="7957" max="7957" width="17.7109375" hidden="1"/>
    <col min="7958" max="7958" width="11.28515625" hidden="1"/>
    <col min="7959" max="7959" width="0.85546875" hidden="1"/>
    <col min="7960" max="7960" width="12.28515625" hidden="1"/>
    <col min="7961" max="7961" width="2.28515625" hidden="1"/>
    <col min="7962" max="7962" width="9.85546875" hidden="1"/>
    <col min="7963" max="7964" width="3.5703125" hidden="1"/>
    <col min="7965" max="7965" width="23.5703125" hidden="1"/>
    <col min="7966" max="8198" width="5.7109375" hidden="1"/>
    <col min="8199" max="8200" width="2.85546875" hidden="1"/>
    <col min="8201" max="8202" width="13" hidden="1"/>
    <col min="8203" max="8203" width="15" hidden="1"/>
    <col min="8204" max="8204" width="19.140625" hidden="1"/>
    <col min="8205" max="8208" width="16.7109375" hidden="1"/>
    <col min="8209" max="8210" width="16" hidden="1"/>
    <col min="8211" max="8211" width="14.42578125" hidden="1"/>
    <col min="8212" max="8212" width="9.28515625" hidden="1"/>
    <col min="8213" max="8213" width="17.7109375" hidden="1"/>
    <col min="8214" max="8214" width="11.28515625" hidden="1"/>
    <col min="8215" max="8215" width="0.85546875" hidden="1"/>
    <col min="8216" max="8216" width="12.28515625" hidden="1"/>
    <col min="8217" max="8217" width="2.28515625" hidden="1"/>
    <col min="8218" max="8218" width="9.85546875" hidden="1"/>
    <col min="8219" max="8220" width="3.5703125" hidden="1"/>
    <col min="8221" max="8221" width="23.5703125" hidden="1"/>
    <col min="8222" max="8454" width="5.7109375" hidden="1"/>
    <col min="8455" max="8456" width="2.85546875" hidden="1"/>
    <col min="8457" max="8458" width="13" hidden="1"/>
    <col min="8459" max="8459" width="15" hidden="1"/>
    <col min="8460" max="8460" width="19.140625" hidden="1"/>
    <col min="8461" max="8464" width="16.7109375" hidden="1"/>
    <col min="8465" max="8466" width="16" hidden="1"/>
    <col min="8467" max="8467" width="14.42578125" hidden="1"/>
    <col min="8468" max="8468" width="9.28515625" hidden="1"/>
    <col min="8469" max="8469" width="17.7109375" hidden="1"/>
    <col min="8470" max="8470" width="11.28515625" hidden="1"/>
    <col min="8471" max="8471" width="0.85546875" hidden="1"/>
    <col min="8472" max="8472" width="12.28515625" hidden="1"/>
    <col min="8473" max="8473" width="2.28515625" hidden="1"/>
    <col min="8474" max="8474" width="9.85546875" hidden="1"/>
    <col min="8475" max="8476" width="3.5703125" hidden="1"/>
    <col min="8477" max="8477" width="23.5703125" hidden="1"/>
    <col min="8478" max="8710" width="5.7109375" hidden="1"/>
    <col min="8711" max="8712" width="2.85546875" hidden="1"/>
    <col min="8713" max="8714" width="13" hidden="1"/>
    <col min="8715" max="8715" width="15" hidden="1"/>
    <col min="8716" max="8716" width="19.140625" hidden="1"/>
    <col min="8717" max="8720" width="16.7109375" hidden="1"/>
    <col min="8721" max="8722" width="16" hidden="1"/>
    <col min="8723" max="8723" width="14.42578125" hidden="1"/>
    <col min="8724" max="8724" width="9.28515625" hidden="1"/>
    <col min="8725" max="8725" width="17.7109375" hidden="1"/>
    <col min="8726" max="8726" width="11.28515625" hidden="1"/>
    <col min="8727" max="8727" width="0.85546875" hidden="1"/>
    <col min="8728" max="8728" width="12.28515625" hidden="1"/>
    <col min="8729" max="8729" width="2.28515625" hidden="1"/>
    <col min="8730" max="8730" width="9.85546875" hidden="1"/>
    <col min="8731" max="8732" width="3.5703125" hidden="1"/>
    <col min="8733" max="8733" width="23.5703125" hidden="1"/>
    <col min="8734" max="8966" width="5.7109375" hidden="1"/>
    <col min="8967" max="8968" width="2.85546875" hidden="1"/>
    <col min="8969" max="8970" width="13" hidden="1"/>
    <col min="8971" max="8971" width="15" hidden="1"/>
    <col min="8972" max="8972" width="19.140625" hidden="1"/>
    <col min="8973" max="8976" width="16.7109375" hidden="1"/>
    <col min="8977" max="8978" width="16" hidden="1"/>
    <col min="8979" max="8979" width="14.42578125" hidden="1"/>
    <col min="8980" max="8980" width="9.28515625" hidden="1"/>
    <col min="8981" max="8981" width="17.7109375" hidden="1"/>
    <col min="8982" max="8982" width="11.28515625" hidden="1"/>
    <col min="8983" max="8983" width="0.85546875" hidden="1"/>
    <col min="8984" max="8984" width="12.28515625" hidden="1"/>
    <col min="8985" max="8985" width="2.28515625" hidden="1"/>
    <col min="8986" max="8986" width="9.85546875" hidden="1"/>
    <col min="8987" max="8988" width="3.5703125" hidden="1"/>
    <col min="8989" max="8989" width="23.5703125" hidden="1"/>
    <col min="8990" max="9222" width="5.7109375" hidden="1"/>
    <col min="9223" max="9224" width="2.85546875" hidden="1"/>
    <col min="9225" max="9226" width="13" hidden="1"/>
    <col min="9227" max="9227" width="15" hidden="1"/>
    <col min="9228" max="9228" width="19.140625" hidden="1"/>
    <col min="9229" max="9232" width="16.7109375" hidden="1"/>
    <col min="9233" max="9234" width="16" hidden="1"/>
    <col min="9235" max="9235" width="14.42578125" hidden="1"/>
    <col min="9236" max="9236" width="9.28515625" hidden="1"/>
    <col min="9237" max="9237" width="17.7109375" hidden="1"/>
    <col min="9238" max="9238" width="11.28515625" hidden="1"/>
    <col min="9239" max="9239" width="0.85546875" hidden="1"/>
    <col min="9240" max="9240" width="12.28515625" hidden="1"/>
    <col min="9241" max="9241" width="2.28515625" hidden="1"/>
    <col min="9242" max="9242" width="9.85546875" hidden="1"/>
    <col min="9243" max="9244" width="3.5703125" hidden="1"/>
    <col min="9245" max="9245" width="23.5703125" hidden="1"/>
    <col min="9246" max="9478" width="5.7109375" hidden="1"/>
    <col min="9479" max="9480" width="2.85546875" hidden="1"/>
    <col min="9481" max="9482" width="13" hidden="1"/>
    <col min="9483" max="9483" width="15" hidden="1"/>
    <col min="9484" max="9484" width="19.140625" hidden="1"/>
    <col min="9485" max="9488" width="16.7109375" hidden="1"/>
    <col min="9489" max="9490" width="16" hidden="1"/>
    <col min="9491" max="9491" width="14.42578125" hidden="1"/>
    <col min="9492" max="9492" width="9.28515625" hidden="1"/>
    <col min="9493" max="9493" width="17.7109375" hidden="1"/>
    <col min="9494" max="9494" width="11.28515625" hidden="1"/>
    <col min="9495" max="9495" width="0.85546875" hidden="1"/>
    <col min="9496" max="9496" width="12.28515625" hidden="1"/>
    <col min="9497" max="9497" width="2.28515625" hidden="1"/>
    <col min="9498" max="9498" width="9.85546875" hidden="1"/>
    <col min="9499" max="9500" width="3.5703125" hidden="1"/>
    <col min="9501" max="9501" width="23.5703125" hidden="1"/>
    <col min="9502" max="9734" width="5.7109375" hidden="1"/>
    <col min="9735" max="9736" width="2.85546875" hidden="1"/>
    <col min="9737" max="9738" width="13" hidden="1"/>
    <col min="9739" max="9739" width="15" hidden="1"/>
    <col min="9740" max="9740" width="19.140625" hidden="1"/>
    <col min="9741" max="9744" width="16.7109375" hidden="1"/>
    <col min="9745" max="9746" width="16" hidden="1"/>
    <col min="9747" max="9747" width="14.42578125" hidden="1"/>
    <col min="9748" max="9748" width="9.28515625" hidden="1"/>
    <col min="9749" max="9749" width="17.7109375" hidden="1"/>
    <col min="9750" max="9750" width="11.28515625" hidden="1"/>
    <col min="9751" max="9751" width="0.85546875" hidden="1"/>
    <col min="9752" max="9752" width="12.28515625" hidden="1"/>
    <col min="9753" max="9753" width="2.28515625" hidden="1"/>
    <col min="9754" max="9754" width="9.85546875" hidden="1"/>
    <col min="9755" max="9756" width="3.5703125" hidden="1"/>
    <col min="9757" max="9757" width="23.5703125" hidden="1"/>
    <col min="9758" max="9990" width="5.7109375" hidden="1"/>
    <col min="9991" max="9992" width="2.85546875" hidden="1"/>
    <col min="9993" max="9994" width="13" hidden="1"/>
    <col min="9995" max="9995" width="15" hidden="1"/>
    <col min="9996" max="9996" width="19.140625" hidden="1"/>
    <col min="9997" max="10000" width="16.7109375" hidden="1"/>
    <col min="10001" max="10002" width="16" hidden="1"/>
    <col min="10003" max="10003" width="14.42578125" hidden="1"/>
    <col min="10004" max="10004" width="9.28515625" hidden="1"/>
    <col min="10005" max="10005" width="17.7109375" hidden="1"/>
    <col min="10006" max="10006" width="11.28515625" hidden="1"/>
    <col min="10007" max="10007" width="0.85546875" hidden="1"/>
    <col min="10008" max="10008" width="12.28515625" hidden="1"/>
    <col min="10009" max="10009" width="2.28515625" hidden="1"/>
    <col min="10010" max="10010" width="9.85546875" hidden="1"/>
    <col min="10011" max="10012" width="3.5703125" hidden="1"/>
    <col min="10013" max="10013" width="23.5703125" hidden="1"/>
    <col min="10014" max="10246" width="5.7109375" hidden="1"/>
    <col min="10247" max="10248" width="2.85546875" hidden="1"/>
    <col min="10249" max="10250" width="13" hidden="1"/>
    <col min="10251" max="10251" width="15" hidden="1"/>
    <col min="10252" max="10252" width="19.140625" hidden="1"/>
    <col min="10253" max="10256" width="16.7109375" hidden="1"/>
    <col min="10257" max="10258" width="16" hidden="1"/>
    <col min="10259" max="10259" width="14.42578125" hidden="1"/>
    <col min="10260" max="10260" width="9.28515625" hidden="1"/>
    <col min="10261" max="10261" width="17.7109375" hidden="1"/>
    <col min="10262" max="10262" width="11.28515625" hidden="1"/>
    <col min="10263" max="10263" width="0.85546875" hidden="1"/>
    <col min="10264" max="10264" width="12.28515625" hidden="1"/>
    <col min="10265" max="10265" width="2.28515625" hidden="1"/>
    <col min="10266" max="10266" width="9.85546875" hidden="1"/>
    <col min="10267" max="10268" width="3.5703125" hidden="1"/>
    <col min="10269" max="10269" width="23.5703125" hidden="1"/>
    <col min="10270" max="10502" width="5.7109375" hidden="1"/>
    <col min="10503" max="10504" width="2.85546875" hidden="1"/>
    <col min="10505" max="10506" width="13" hidden="1"/>
    <col min="10507" max="10507" width="15" hidden="1"/>
    <col min="10508" max="10508" width="19.140625" hidden="1"/>
    <col min="10509" max="10512" width="16.7109375" hidden="1"/>
    <col min="10513" max="10514" width="16" hidden="1"/>
    <col min="10515" max="10515" width="14.42578125" hidden="1"/>
    <col min="10516" max="10516" width="9.28515625" hidden="1"/>
    <col min="10517" max="10517" width="17.7109375" hidden="1"/>
    <col min="10518" max="10518" width="11.28515625" hidden="1"/>
    <col min="10519" max="10519" width="0.85546875" hidden="1"/>
    <col min="10520" max="10520" width="12.28515625" hidden="1"/>
    <col min="10521" max="10521" width="2.28515625" hidden="1"/>
    <col min="10522" max="10522" width="9.85546875" hidden="1"/>
    <col min="10523" max="10524" width="3.5703125" hidden="1"/>
    <col min="10525" max="10525" width="23.5703125" hidden="1"/>
    <col min="10526" max="10758" width="5.7109375" hidden="1"/>
    <col min="10759" max="10760" width="2.85546875" hidden="1"/>
    <col min="10761" max="10762" width="13" hidden="1"/>
    <col min="10763" max="10763" width="15" hidden="1"/>
    <col min="10764" max="10764" width="19.140625" hidden="1"/>
    <col min="10765" max="10768" width="16.7109375" hidden="1"/>
    <col min="10769" max="10770" width="16" hidden="1"/>
    <col min="10771" max="10771" width="14.42578125" hidden="1"/>
    <col min="10772" max="10772" width="9.28515625" hidden="1"/>
    <col min="10773" max="10773" width="17.7109375" hidden="1"/>
    <col min="10774" max="10774" width="11.28515625" hidden="1"/>
    <col min="10775" max="10775" width="0.85546875" hidden="1"/>
    <col min="10776" max="10776" width="12.28515625" hidden="1"/>
    <col min="10777" max="10777" width="2.28515625" hidden="1"/>
    <col min="10778" max="10778" width="9.85546875" hidden="1"/>
    <col min="10779" max="10780" width="3.5703125" hidden="1"/>
    <col min="10781" max="10781" width="23.5703125" hidden="1"/>
    <col min="10782" max="11014" width="5.7109375" hidden="1"/>
    <col min="11015" max="11016" width="2.85546875" hidden="1"/>
    <col min="11017" max="11018" width="13" hidden="1"/>
    <col min="11019" max="11019" width="15" hidden="1"/>
    <col min="11020" max="11020" width="19.140625" hidden="1"/>
    <col min="11021" max="11024" width="16.7109375" hidden="1"/>
    <col min="11025" max="11026" width="16" hidden="1"/>
    <col min="11027" max="11027" width="14.42578125" hidden="1"/>
    <col min="11028" max="11028" width="9.28515625" hidden="1"/>
    <col min="11029" max="11029" width="17.7109375" hidden="1"/>
    <col min="11030" max="11030" width="11.28515625" hidden="1"/>
    <col min="11031" max="11031" width="0.85546875" hidden="1"/>
    <col min="11032" max="11032" width="12.28515625" hidden="1"/>
    <col min="11033" max="11033" width="2.28515625" hidden="1"/>
    <col min="11034" max="11034" width="9.85546875" hidden="1"/>
    <col min="11035" max="11036" width="3.5703125" hidden="1"/>
    <col min="11037" max="11037" width="23.5703125" hidden="1"/>
    <col min="11038" max="11270" width="5.7109375" hidden="1"/>
    <col min="11271" max="11272" width="2.85546875" hidden="1"/>
    <col min="11273" max="11274" width="13" hidden="1"/>
    <col min="11275" max="11275" width="15" hidden="1"/>
    <col min="11276" max="11276" width="19.140625" hidden="1"/>
    <col min="11277" max="11280" width="16.7109375" hidden="1"/>
    <col min="11281" max="11282" width="16" hidden="1"/>
    <col min="11283" max="11283" width="14.42578125" hidden="1"/>
    <col min="11284" max="11284" width="9.28515625" hidden="1"/>
    <col min="11285" max="11285" width="17.7109375" hidden="1"/>
    <col min="11286" max="11286" width="11.28515625" hidden="1"/>
    <col min="11287" max="11287" width="0.85546875" hidden="1"/>
    <col min="11288" max="11288" width="12.28515625" hidden="1"/>
    <col min="11289" max="11289" width="2.28515625" hidden="1"/>
    <col min="11290" max="11290" width="9.85546875" hidden="1"/>
    <col min="11291" max="11292" width="3.5703125" hidden="1"/>
    <col min="11293" max="11293" width="23.5703125" hidden="1"/>
    <col min="11294" max="11526" width="5.7109375" hidden="1"/>
    <col min="11527" max="11528" width="2.85546875" hidden="1"/>
    <col min="11529" max="11530" width="13" hidden="1"/>
    <col min="11531" max="11531" width="15" hidden="1"/>
    <col min="11532" max="11532" width="19.140625" hidden="1"/>
    <col min="11533" max="11536" width="16.7109375" hidden="1"/>
    <col min="11537" max="11538" width="16" hidden="1"/>
    <col min="11539" max="11539" width="14.42578125" hidden="1"/>
    <col min="11540" max="11540" width="9.28515625" hidden="1"/>
    <col min="11541" max="11541" width="17.7109375" hidden="1"/>
    <col min="11542" max="11542" width="11.28515625" hidden="1"/>
    <col min="11543" max="11543" width="0.85546875" hidden="1"/>
    <col min="11544" max="11544" width="12.28515625" hidden="1"/>
    <col min="11545" max="11545" width="2.28515625" hidden="1"/>
    <col min="11546" max="11546" width="9.85546875" hidden="1"/>
    <col min="11547" max="11548" width="3.5703125" hidden="1"/>
    <col min="11549" max="11549" width="23.5703125" hidden="1"/>
    <col min="11550" max="11782" width="5.7109375" hidden="1"/>
    <col min="11783" max="11784" width="2.85546875" hidden="1"/>
    <col min="11785" max="11786" width="13" hidden="1"/>
    <col min="11787" max="11787" width="15" hidden="1"/>
    <col min="11788" max="11788" width="19.140625" hidden="1"/>
    <col min="11789" max="11792" width="16.7109375" hidden="1"/>
    <col min="11793" max="11794" width="16" hidden="1"/>
    <col min="11795" max="11795" width="14.42578125" hidden="1"/>
    <col min="11796" max="11796" width="9.28515625" hidden="1"/>
    <col min="11797" max="11797" width="17.7109375" hidden="1"/>
    <col min="11798" max="11798" width="11.28515625" hidden="1"/>
    <col min="11799" max="11799" width="0.85546875" hidden="1"/>
    <col min="11800" max="11800" width="12.28515625" hidden="1"/>
    <col min="11801" max="11801" width="2.28515625" hidden="1"/>
    <col min="11802" max="11802" width="9.85546875" hidden="1"/>
    <col min="11803" max="11804" width="3.5703125" hidden="1"/>
    <col min="11805" max="11805" width="23.5703125" hidden="1"/>
    <col min="11806" max="12038" width="5.7109375" hidden="1"/>
    <col min="12039" max="12040" width="2.85546875" hidden="1"/>
    <col min="12041" max="12042" width="13" hidden="1"/>
    <col min="12043" max="12043" width="15" hidden="1"/>
    <col min="12044" max="12044" width="19.140625" hidden="1"/>
    <col min="12045" max="12048" width="16.7109375" hidden="1"/>
    <col min="12049" max="12050" width="16" hidden="1"/>
    <col min="12051" max="12051" width="14.42578125" hidden="1"/>
    <col min="12052" max="12052" width="9.28515625" hidden="1"/>
    <col min="12053" max="12053" width="17.7109375" hidden="1"/>
    <col min="12054" max="12054" width="11.28515625" hidden="1"/>
    <col min="12055" max="12055" width="0.85546875" hidden="1"/>
    <col min="12056" max="12056" width="12.28515625" hidden="1"/>
    <col min="12057" max="12057" width="2.28515625" hidden="1"/>
    <col min="12058" max="12058" width="9.85546875" hidden="1"/>
    <col min="12059" max="12060" width="3.5703125" hidden="1"/>
    <col min="12061" max="12061" width="23.5703125" hidden="1"/>
    <col min="12062" max="12294" width="5.7109375" hidden="1"/>
    <col min="12295" max="12296" width="2.85546875" hidden="1"/>
    <col min="12297" max="12298" width="13" hidden="1"/>
    <col min="12299" max="12299" width="15" hidden="1"/>
    <col min="12300" max="12300" width="19.140625" hidden="1"/>
    <col min="12301" max="12304" width="16.7109375" hidden="1"/>
    <col min="12305" max="12306" width="16" hidden="1"/>
    <col min="12307" max="12307" width="14.42578125" hidden="1"/>
    <col min="12308" max="12308" width="9.28515625" hidden="1"/>
    <col min="12309" max="12309" width="17.7109375" hidden="1"/>
    <col min="12310" max="12310" width="11.28515625" hidden="1"/>
    <col min="12311" max="12311" width="0.85546875" hidden="1"/>
    <col min="12312" max="12312" width="12.28515625" hidden="1"/>
    <col min="12313" max="12313" width="2.28515625" hidden="1"/>
    <col min="12314" max="12314" width="9.85546875" hidden="1"/>
    <col min="12315" max="12316" width="3.5703125" hidden="1"/>
    <col min="12317" max="12317" width="23.5703125" hidden="1"/>
    <col min="12318" max="12550" width="5.7109375" hidden="1"/>
    <col min="12551" max="12552" width="2.85546875" hidden="1"/>
    <col min="12553" max="12554" width="13" hidden="1"/>
    <col min="12555" max="12555" width="15" hidden="1"/>
    <col min="12556" max="12556" width="19.140625" hidden="1"/>
    <col min="12557" max="12560" width="16.7109375" hidden="1"/>
    <col min="12561" max="12562" width="16" hidden="1"/>
    <col min="12563" max="12563" width="14.42578125" hidden="1"/>
    <col min="12564" max="12564" width="9.28515625" hidden="1"/>
    <col min="12565" max="12565" width="17.7109375" hidden="1"/>
    <col min="12566" max="12566" width="11.28515625" hidden="1"/>
    <col min="12567" max="12567" width="0.85546875" hidden="1"/>
    <col min="12568" max="12568" width="12.28515625" hidden="1"/>
    <col min="12569" max="12569" width="2.28515625" hidden="1"/>
    <col min="12570" max="12570" width="9.85546875" hidden="1"/>
    <col min="12571" max="12572" width="3.5703125" hidden="1"/>
    <col min="12573" max="12573" width="23.5703125" hidden="1"/>
    <col min="12574" max="12806" width="5.7109375" hidden="1"/>
    <col min="12807" max="12808" width="2.85546875" hidden="1"/>
    <col min="12809" max="12810" width="13" hidden="1"/>
    <col min="12811" max="12811" width="15" hidden="1"/>
    <col min="12812" max="12812" width="19.140625" hidden="1"/>
    <col min="12813" max="12816" width="16.7109375" hidden="1"/>
    <col min="12817" max="12818" width="16" hidden="1"/>
    <col min="12819" max="12819" width="14.42578125" hidden="1"/>
    <col min="12820" max="12820" width="9.28515625" hidden="1"/>
    <col min="12821" max="12821" width="17.7109375" hidden="1"/>
    <col min="12822" max="12822" width="11.28515625" hidden="1"/>
    <col min="12823" max="12823" width="0.85546875" hidden="1"/>
    <col min="12824" max="12824" width="12.28515625" hidden="1"/>
    <col min="12825" max="12825" width="2.28515625" hidden="1"/>
    <col min="12826" max="12826" width="9.85546875" hidden="1"/>
    <col min="12827" max="12828" width="3.5703125" hidden="1"/>
    <col min="12829" max="12829" width="23.5703125" hidden="1"/>
    <col min="12830" max="13062" width="5.7109375" hidden="1"/>
    <col min="13063" max="13064" width="2.85546875" hidden="1"/>
    <col min="13065" max="13066" width="13" hidden="1"/>
    <col min="13067" max="13067" width="15" hidden="1"/>
    <col min="13068" max="13068" width="19.140625" hidden="1"/>
    <col min="13069" max="13072" width="16.7109375" hidden="1"/>
    <col min="13073" max="13074" width="16" hidden="1"/>
    <col min="13075" max="13075" width="14.42578125" hidden="1"/>
    <col min="13076" max="13076" width="9.28515625" hidden="1"/>
    <col min="13077" max="13077" width="17.7109375" hidden="1"/>
    <col min="13078" max="13078" width="11.28515625" hidden="1"/>
    <col min="13079" max="13079" width="0.85546875" hidden="1"/>
    <col min="13080" max="13080" width="12.28515625" hidden="1"/>
    <col min="13081" max="13081" width="2.28515625" hidden="1"/>
    <col min="13082" max="13082" width="9.85546875" hidden="1"/>
    <col min="13083" max="13084" width="3.5703125" hidden="1"/>
    <col min="13085" max="13085" width="23.5703125" hidden="1"/>
    <col min="13086" max="13318" width="5.7109375" hidden="1"/>
    <col min="13319" max="13320" width="2.85546875" hidden="1"/>
    <col min="13321" max="13322" width="13" hidden="1"/>
    <col min="13323" max="13323" width="15" hidden="1"/>
    <col min="13324" max="13324" width="19.140625" hidden="1"/>
    <col min="13325" max="13328" width="16.7109375" hidden="1"/>
    <col min="13329" max="13330" width="16" hidden="1"/>
    <col min="13331" max="13331" width="14.42578125" hidden="1"/>
    <col min="13332" max="13332" width="9.28515625" hidden="1"/>
    <col min="13333" max="13333" width="17.7109375" hidden="1"/>
    <col min="13334" max="13334" width="11.28515625" hidden="1"/>
    <col min="13335" max="13335" width="0.85546875" hidden="1"/>
    <col min="13336" max="13336" width="12.28515625" hidden="1"/>
    <col min="13337" max="13337" width="2.28515625" hidden="1"/>
    <col min="13338" max="13338" width="9.85546875" hidden="1"/>
    <col min="13339" max="13340" width="3.5703125" hidden="1"/>
    <col min="13341" max="13341" width="23.5703125" hidden="1"/>
    <col min="13342" max="13574" width="5.7109375" hidden="1"/>
    <col min="13575" max="13576" width="2.85546875" hidden="1"/>
    <col min="13577" max="13578" width="13" hidden="1"/>
    <col min="13579" max="13579" width="15" hidden="1"/>
    <col min="13580" max="13580" width="19.140625" hidden="1"/>
    <col min="13581" max="13584" width="16.7109375" hidden="1"/>
    <col min="13585" max="13586" width="16" hidden="1"/>
    <col min="13587" max="13587" width="14.42578125" hidden="1"/>
    <col min="13588" max="13588" width="9.28515625" hidden="1"/>
    <col min="13589" max="13589" width="17.7109375" hidden="1"/>
    <col min="13590" max="13590" width="11.28515625" hidden="1"/>
    <col min="13591" max="13591" width="0.85546875" hidden="1"/>
    <col min="13592" max="13592" width="12.28515625" hidden="1"/>
    <col min="13593" max="13593" width="2.28515625" hidden="1"/>
    <col min="13594" max="13594" width="9.85546875" hidden="1"/>
    <col min="13595" max="13596" width="3.5703125" hidden="1"/>
    <col min="13597" max="13597" width="23.5703125" hidden="1"/>
    <col min="13598" max="13830" width="5.7109375" hidden="1"/>
    <col min="13831" max="13832" width="2.85546875" hidden="1"/>
    <col min="13833" max="13834" width="13" hidden="1"/>
    <col min="13835" max="13835" width="15" hidden="1"/>
    <col min="13836" max="13836" width="19.140625" hidden="1"/>
    <col min="13837" max="13840" width="16.7109375" hidden="1"/>
    <col min="13841" max="13842" width="16" hidden="1"/>
    <col min="13843" max="13843" width="14.42578125" hidden="1"/>
    <col min="13844" max="13844" width="9.28515625" hidden="1"/>
    <col min="13845" max="13845" width="17.7109375" hidden="1"/>
    <col min="13846" max="13846" width="11.28515625" hidden="1"/>
    <col min="13847" max="13847" width="0.85546875" hidden="1"/>
    <col min="13848" max="13848" width="12.28515625" hidden="1"/>
    <col min="13849" max="13849" width="2.28515625" hidden="1"/>
    <col min="13850" max="13850" width="9.85546875" hidden="1"/>
    <col min="13851" max="13852" width="3.5703125" hidden="1"/>
    <col min="13853" max="13853" width="23.5703125" hidden="1"/>
    <col min="13854" max="14086" width="5.7109375" hidden="1"/>
    <col min="14087" max="14088" width="2.85546875" hidden="1"/>
    <col min="14089" max="14090" width="13" hidden="1"/>
    <col min="14091" max="14091" width="15" hidden="1"/>
    <col min="14092" max="14092" width="19.140625" hidden="1"/>
    <col min="14093" max="14096" width="16.7109375" hidden="1"/>
    <col min="14097" max="14098" width="16" hidden="1"/>
    <col min="14099" max="14099" width="14.42578125" hidden="1"/>
    <col min="14100" max="14100" width="9.28515625" hidden="1"/>
    <col min="14101" max="14101" width="17.7109375" hidden="1"/>
    <col min="14102" max="14102" width="11.28515625" hidden="1"/>
    <col min="14103" max="14103" width="0.85546875" hidden="1"/>
    <col min="14104" max="14104" width="12.28515625" hidden="1"/>
    <col min="14105" max="14105" width="2.28515625" hidden="1"/>
    <col min="14106" max="14106" width="9.85546875" hidden="1"/>
    <col min="14107" max="14108" width="3.5703125" hidden="1"/>
    <col min="14109" max="14109" width="23.5703125" hidden="1"/>
    <col min="14110" max="14342" width="5.7109375" hidden="1"/>
    <col min="14343" max="14344" width="2.85546875" hidden="1"/>
    <col min="14345" max="14346" width="13" hidden="1"/>
    <col min="14347" max="14347" width="15" hidden="1"/>
    <col min="14348" max="14348" width="19.140625" hidden="1"/>
    <col min="14349" max="14352" width="16.7109375" hidden="1"/>
    <col min="14353" max="14354" width="16" hidden="1"/>
    <col min="14355" max="14355" width="14.42578125" hidden="1"/>
    <col min="14356" max="14356" width="9.28515625" hidden="1"/>
    <col min="14357" max="14357" width="17.7109375" hidden="1"/>
    <col min="14358" max="14358" width="11.28515625" hidden="1"/>
    <col min="14359" max="14359" width="0.85546875" hidden="1"/>
    <col min="14360" max="14360" width="12.28515625" hidden="1"/>
    <col min="14361" max="14361" width="2.28515625" hidden="1"/>
    <col min="14362" max="14362" width="9.85546875" hidden="1"/>
    <col min="14363" max="14364" width="3.5703125" hidden="1"/>
    <col min="14365" max="14365" width="23.5703125" hidden="1"/>
    <col min="14366" max="14598" width="5.7109375" hidden="1"/>
    <col min="14599" max="14600" width="2.85546875" hidden="1"/>
    <col min="14601" max="14602" width="13" hidden="1"/>
    <col min="14603" max="14603" width="15" hidden="1"/>
    <col min="14604" max="14604" width="19.140625" hidden="1"/>
    <col min="14605" max="14608" width="16.7109375" hidden="1"/>
    <col min="14609" max="14610" width="16" hidden="1"/>
    <col min="14611" max="14611" width="14.42578125" hidden="1"/>
    <col min="14612" max="14612" width="9.28515625" hidden="1"/>
    <col min="14613" max="14613" width="17.7109375" hidden="1"/>
    <col min="14614" max="14614" width="11.28515625" hidden="1"/>
    <col min="14615" max="14615" width="0.85546875" hidden="1"/>
    <col min="14616" max="14616" width="12.28515625" hidden="1"/>
    <col min="14617" max="14617" width="2.28515625" hidden="1"/>
    <col min="14618" max="14618" width="9.85546875" hidden="1"/>
    <col min="14619" max="14620" width="3.5703125" hidden="1"/>
    <col min="14621" max="14621" width="23.5703125" hidden="1"/>
    <col min="14622" max="14854" width="5.7109375" hidden="1"/>
    <col min="14855" max="14856" width="2.85546875" hidden="1"/>
    <col min="14857" max="14858" width="13" hidden="1"/>
    <col min="14859" max="14859" width="15" hidden="1"/>
    <col min="14860" max="14860" width="19.140625" hidden="1"/>
    <col min="14861" max="14864" width="16.7109375" hidden="1"/>
    <col min="14865" max="14866" width="16" hidden="1"/>
    <col min="14867" max="14867" width="14.42578125" hidden="1"/>
    <col min="14868" max="14868" width="9.28515625" hidden="1"/>
    <col min="14869" max="14869" width="17.7109375" hidden="1"/>
    <col min="14870" max="14870" width="11.28515625" hidden="1"/>
    <col min="14871" max="14871" width="0.85546875" hidden="1"/>
    <col min="14872" max="14872" width="12.28515625" hidden="1"/>
    <col min="14873" max="14873" width="2.28515625" hidden="1"/>
    <col min="14874" max="14874" width="9.85546875" hidden="1"/>
    <col min="14875" max="14876" width="3.5703125" hidden="1"/>
    <col min="14877" max="14877" width="23.5703125" hidden="1"/>
    <col min="14878" max="15110" width="5.7109375" hidden="1"/>
    <col min="15111" max="15112" width="2.85546875" hidden="1"/>
    <col min="15113" max="15114" width="13" hidden="1"/>
    <col min="15115" max="15115" width="15" hidden="1"/>
    <col min="15116" max="15116" width="19.140625" hidden="1"/>
    <col min="15117" max="15120" width="16.7109375" hidden="1"/>
    <col min="15121" max="15122" width="16" hidden="1"/>
    <col min="15123" max="15123" width="14.42578125" hidden="1"/>
    <col min="15124" max="15124" width="9.28515625" hidden="1"/>
    <col min="15125" max="15125" width="17.7109375" hidden="1"/>
    <col min="15126" max="15126" width="11.28515625" hidden="1"/>
    <col min="15127" max="15127" width="0.85546875" hidden="1"/>
    <col min="15128" max="15128" width="12.28515625" hidden="1"/>
    <col min="15129" max="15129" width="2.28515625" hidden="1"/>
    <col min="15130" max="15130" width="9.85546875" hidden="1"/>
    <col min="15131" max="15132" width="3.5703125" hidden="1"/>
    <col min="15133" max="15133" width="23.5703125" hidden="1"/>
    <col min="15134" max="15366" width="5.7109375" hidden="1"/>
    <col min="15367" max="15368" width="2.85546875" hidden="1"/>
    <col min="15369" max="15370" width="13" hidden="1"/>
    <col min="15371" max="15371" width="15" hidden="1"/>
    <col min="15372" max="15372" width="19.140625" hidden="1"/>
    <col min="15373" max="15376" width="16.7109375" hidden="1"/>
    <col min="15377" max="15378" width="16" hidden="1"/>
    <col min="15379" max="15379" width="14.42578125" hidden="1"/>
    <col min="15380" max="15380" width="9.28515625" hidden="1"/>
    <col min="15381" max="15381" width="17.7109375" hidden="1"/>
    <col min="15382" max="15382" width="11.28515625" hidden="1"/>
    <col min="15383" max="15383" width="0.85546875" hidden="1"/>
    <col min="15384" max="15384" width="12.28515625" hidden="1"/>
    <col min="15385" max="15385" width="2.28515625" hidden="1"/>
    <col min="15386" max="15386" width="9.85546875" hidden="1"/>
    <col min="15387" max="15388" width="3.5703125" hidden="1"/>
    <col min="15389" max="15389" width="23.5703125" hidden="1"/>
    <col min="15390" max="15622" width="5.7109375" hidden="1"/>
    <col min="15623" max="15624" width="2.85546875" hidden="1"/>
    <col min="15625" max="15626" width="13" hidden="1"/>
    <col min="15627" max="15627" width="15" hidden="1"/>
    <col min="15628" max="15628" width="19.140625" hidden="1"/>
    <col min="15629" max="15632" width="16.7109375" hidden="1"/>
    <col min="15633" max="15634" width="16" hidden="1"/>
    <col min="15635" max="15635" width="14.42578125" hidden="1"/>
    <col min="15636" max="15636" width="9.28515625" hidden="1"/>
    <col min="15637" max="15637" width="17.7109375" hidden="1"/>
    <col min="15638" max="15638" width="11.28515625" hidden="1"/>
    <col min="15639" max="15639" width="0.85546875" hidden="1"/>
    <col min="15640" max="15640" width="12.28515625" hidden="1"/>
    <col min="15641" max="15641" width="2.28515625" hidden="1"/>
    <col min="15642" max="15642" width="9.85546875" hidden="1"/>
    <col min="15643" max="15644" width="3.5703125" hidden="1"/>
    <col min="15645" max="15645" width="23.5703125" hidden="1"/>
    <col min="15646" max="15878" width="5.7109375" hidden="1"/>
    <col min="15879" max="15880" width="2.85546875" hidden="1"/>
    <col min="15881" max="15882" width="13" hidden="1"/>
    <col min="15883" max="15883" width="15" hidden="1"/>
    <col min="15884" max="15884" width="19.140625" hidden="1"/>
    <col min="15885" max="15888" width="16.7109375" hidden="1"/>
    <col min="15889" max="15890" width="16" hidden="1"/>
    <col min="15891" max="15891" width="14.42578125" hidden="1"/>
    <col min="15892" max="15892" width="9.28515625" hidden="1"/>
    <col min="15893" max="15893" width="17.7109375" hidden="1"/>
    <col min="15894" max="15894" width="11.28515625" hidden="1"/>
    <col min="15895" max="15895" width="0.85546875" hidden="1"/>
    <col min="15896" max="15896" width="12.28515625" hidden="1"/>
    <col min="15897" max="15897" width="2.28515625" hidden="1"/>
    <col min="15898" max="15898" width="9.85546875" hidden="1"/>
    <col min="15899" max="15900" width="3.5703125" hidden="1"/>
    <col min="15901" max="15901" width="23.5703125" hidden="1"/>
    <col min="15902" max="16134" width="5.7109375" hidden="1"/>
    <col min="16135" max="16136" width="2.85546875" hidden="1"/>
    <col min="16137" max="16138" width="13" hidden="1"/>
    <col min="16139" max="16139" width="15" hidden="1"/>
    <col min="16140" max="16140" width="19.140625" hidden="1"/>
    <col min="16141" max="16144" width="16.7109375" hidden="1"/>
    <col min="16145" max="16146" width="16" hidden="1"/>
    <col min="16147" max="16147" width="14.42578125" hidden="1"/>
    <col min="16148" max="16148" width="9.28515625" hidden="1"/>
    <col min="16149" max="16149" width="17.7109375" hidden="1"/>
    <col min="16150" max="16150" width="11.28515625" hidden="1"/>
    <col min="16151" max="16151" width="0.85546875" hidden="1"/>
    <col min="16152" max="16152" width="12.28515625" hidden="1"/>
    <col min="16153" max="16153" width="2.28515625" hidden="1"/>
    <col min="16154" max="16154" width="9.85546875" hidden="1"/>
    <col min="16155" max="16156" width="3.5703125" hidden="1"/>
    <col min="16157" max="16157" width="23.5703125" hidden="1"/>
    <col min="16158" max="16185" width="5.7109375" hidden="1"/>
    <col min="16187" max="16384" width="5.7109375" hidden="1"/>
  </cols>
  <sheetData>
    <row r="1" spans="3:30" x14ac:dyDescent="0.25">
      <c r="C1" s="63"/>
      <c r="D1" s="117"/>
      <c r="E1" s="117"/>
      <c r="F1" s="117"/>
      <c r="G1" s="117"/>
      <c r="H1" s="117"/>
      <c r="J1" s="63"/>
      <c r="L1" s="63"/>
      <c r="M1" s="63"/>
      <c r="N1" s="63"/>
      <c r="O1" s="63"/>
      <c r="P1" s="118"/>
      <c r="Q1" s="63"/>
      <c r="R1" s="63"/>
      <c r="S1" s="63"/>
      <c r="T1" s="63"/>
      <c r="U1" s="63"/>
      <c r="V1" s="63"/>
      <c r="W1" s="63"/>
      <c r="X1" s="63"/>
      <c r="Y1" s="63"/>
      <c r="Z1" s="63"/>
      <c r="AA1" s="63"/>
      <c r="AB1" s="142"/>
      <c r="AC1" t="s">
        <v>150</v>
      </c>
      <c r="AD1" s="63"/>
    </row>
    <row r="2" spans="3:30" x14ac:dyDescent="0.25">
      <c r="C2" s="63"/>
      <c r="D2" s="63"/>
      <c r="E2" s="63"/>
      <c r="F2" s="63"/>
      <c r="G2" s="63"/>
      <c r="H2" s="63"/>
      <c r="J2" s="63"/>
      <c r="L2" s="63"/>
      <c r="M2" s="63"/>
      <c r="N2" s="63"/>
      <c r="O2" s="63"/>
      <c r="P2" s="119"/>
      <c r="Q2" s="63"/>
      <c r="R2" s="63"/>
      <c r="S2" s="63"/>
      <c r="T2" s="63"/>
      <c r="U2" s="63"/>
      <c r="V2" s="63"/>
      <c r="W2" s="63"/>
      <c r="X2" s="63" t="s">
        <v>171</v>
      </c>
      <c r="Y2" s="63"/>
      <c r="Z2" s="63"/>
      <c r="AA2" s="63"/>
      <c r="AB2" s="142"/>
      <c r="AC2" t="s">
        <v>151</v>
      </c>
      <c r="AD2" s="63"/>
    </row>
    <row r="3" spans="3:30" ht="26.25" x14ac:dyDescent="0.25">
      <c r="C3" s="63"/>
      <c r="D3" s="63"/>
      <c r="E3" s="63"/>
      <c r="F3" s="63"/>
      <c r="G3" s="845" t="s">
        <v>3</v>
      </c>
      <c r="H3" s="845"/>
      <c r="I3" s="845"/>
      <c r="J3" s="63"/>
      <c r="L3" s="63"/>
      <c r="M3" s="63"/>
      <c r="N3" s="63"/>
      <c r="O3" s="63" t="str">
        <f>Caratula!Q10</f>
        <v>Versión M111 V3</v>
      </c>
      <c r="P3" s="119"/>
      <c r="Q3" s="63"/>
      <c r="R3" s="63"/>
      <c r="S3" s="63"/>
      <c r="T3" s="63"/>
      <c r="U3" s="63"/>
      <c r="V3" s="63"/>
      <c r="W3" s="63"/>
      <c r="X3" s="63"/>
      <c r="Y3" s="63"/>
      <c r="Z3" s="63"/>
      <c r="AA3" s="63"/>
      <c r="AB3" s="142"/>
      <c r="AC3" t="s">
        <v>152</v>
      </c>
      <c r="AD3" s="63"/>
    </row>
    <row r="4" spans="3:30" ht="23.25" x14ac:dyDescent="0.25">
      <c r="C4" s="1" t="s">
        <v>2</v>
      </c>
      <c r="D4" s="1"/>
      <c r="E4" s="1"/>
      <c r="F4" s="120"/>
      <c r="G4" s="5" t="s">
        <v>230</v>
      </c>
      <c r="H4" s="1"/>
      <c r="I4" s="1"/>
      <c r="J4" s="1"/>
      <c r="K4" s="1"/>
      <c r="L4" s="63"/>
      <c r="M4" s="1"/>
      <c r="N4" s="1"/>
      <c r="O4" s="1"/>
      <c r="P4" s="119"/>
      <c r="Q4" s="63"/>
      <c r="R4" s="63"/>
      <c r="S4" s="63"/>
      <c r="T4" s="63"/>
      <c r="U4" s="63"/>
      <c r="V4" s="63"/>
      <c r="W4" s="63"/>
      <c r="X4" s="63"/>
      <c r="Y4" s="63"/>
      <c r="Z4" s="63"/>
      <c r="AA4" s="63"/>
      <c r="AB4" s="142"/>
      <c r="AC4" s="63"/>
      <c r="AD4" s="63"/>
    </row>
    <row r="5" spans="3:30" ht="13.5" customHeight="1" x14ac:dyDescent="0.25">
      <c r="C5" s="1"/>
      <c r="D5" s="1"/>
      <c r="E5" s="1"/>
      <c r="F5" s="5"/>
      <c r="G5" s="5" t="s">
        <v>231</v>
      </c>
      <c r="H5" s="5" t="str">
        <f>E8&amp;E11</f>
        <v>Construcción</v>
      </c>
      <c r="I5" s="1"/>
      <c r="J5" s="1"/>
      <c r="K5" s="1"/>
      <c r="L5" s="846">
        <f ca="1">TODAY()</f>
        <v>46126</v>
      </c>
      <c r="M5" s="846"/>
      <c r="N5" s="846"/>
      <c r="O5" s="846"/>
      <c r="P5" s="119"/>
      <c r="Q5" s="63"/>
      <c r="R5" s="63"/>
      <c r="S5" s="63"/>
      <c r="T5" s="63"/>
      <c r="U5" s="63"/>
      <c r="V5" s="63"/>
      <c r="W5" s="63"/>
      <c r="X5" s="63"/>
      <c r="Y5" s="63"/>
      <c r="Z5" s="63"/>
      <c r="AA5" s="63"/>
      <c r="AB5" s="143"/>
      <c r="AC5" s="63"/>
      <c r="AD5" s="63"/>
    </row>
    <row r="6" spans="3:30" ht="3" customHeight="1" thickBot="1" x14ac:dyDescent="0.35">
      <c r="C6" s="2"/>
      <c r="D6" s="2"/>
      <c r="E6" s="2"/>
      <c r="F6" s="2"/>
      <c r="G6" s="65"/>
      <c r="H6" s="65"/>
      <c r="I6" s="65"/>
      <c r="J6" s="65"/>
      <c r="K6" s="121"/>
      <c r="L6" s="65"/>
      <c r="M6" s="65"/>
      <c r="N6" s="65"/>
      <c r="O6" s="65"/>
      <c r="P6" s="122"/>
      <c r="Q6" s="63"/>
      <c r="R6" s="63"/>
      <c r="S6" s="63"/>
      <c r="T6" s="63"/>
      <c r="U6" s="63"/>
      <c r="V6" s="63"/>
      <c r="W6" s="63"/>
      <c r="X6" s="63"/>
      <c r="Y6" s="63"/>
      <c r="Z6" s="63"/>
      <c r="AA6" s="63"/>
      <c r="AB6" s="143"/>
      <c r="AC6" s="63"/>
      <c r="AD6" s="63"/>
    </row>
    <row r="7" spans="3:30" ht="19.5" thickBot="1" x14ac:dyDescent="0.35">
      <c r="C7" s="123" t="s">
        <v>4</v>
      </c>
      <c r="D7" s="63"/>
      <c r="E7" s="124"/>
      <c r="F7" s="124"/>
      <c r="G7" s="63"/>
      <c r="H7" s="124" t="s">
        <v>6</v>
      </c>
      <c r="I7" s="63"/>
      <c r="J7" s="63"/>
      <c r="K7" s="63"/>
      <c r="L7" s="63"/>
      <c r="M7" s="63"/>
      <c r="N7" s="63"/>
      <c r="O7" s="63"/>
      <c r="P7" s="119"/>
      <c r="Q7" s="63"/>
      <c r="R7" s="63"/>
      <c r="S7" s="63"/>
      <c r="T7" s="63"/>
      <c r="U7" s="63"/>
      <c r="V7" s="63"/>
      <c r="W7" s="63"/>
      <c r="X7" s="63"/>
      <c r="Y7" s="144"/>
      <c r="Z7" s="144"/>
      <c r="AA7" s="63"/>
      <c r="AB7" s="143"/>
      <c r="AC7" s="63"/>
      <c r="AD7" s="63"/>
    </row>
    <row r="8" spans="3:30" ht="16.5" thickTop="1" thickBot="1" x14ac:dyDescent="0.3">
      <c r="C8" s="3" t="s">
        <v>5</v>
      </c>
      <c r="D8" s="63"/>
      <c r="E8" s="847" t="str">
        <f>Simul_ConstruRemo!I10</f>
        <v>Construcción</v>
      </c>
      <c r="F8" s="844"/>
      <c r="G8" s="63"/>
      <c r="H8" s="3" t="str">
        <f>Simul_ConstruRemo!O22</f>
        <v>Línea de Crédito Máxima a disponer</v>
      </c>
      <c r="I8" s="63"/>
      <c r="J8" s="63"/>
      <c r="K8" s="175">
        <f>Simul_ConstruRemo!V22</f>
        <v>1500000</v>
      </c>
      <c r="L8" s="63"/>
      <c r="M8" s="125"/>
      <c r="N8" s="125"/>
      <c r="O8" s="126"/>
      <c r="P8" s="127"/>
      <c r="Q8" s="63"/>
      <c r="R8" s="63"/>
      <c r="S8" s="63"/>
      <c r="T8" s="63"/>
      <c r="U8" s="63"/>
      <c r="V8" s="63"/>
      <c r="W8" s="63"/>
      <c r="X8" s="63"/>
      <c r="Y8" s="35"/>
      <c r="Z8" s="63"/>
      <c r="AA8" s="63"/>
      <c r="AB8" s="143"/>
      <c r="AC8" s="63"/>
      <c r="AD8" s="63"/>
    </row>
    <row r="9" spans="3:30" ht="16.5" thickTop="1" thickBot="1" x14ac:dyDescent="0.3">
      <c r="C9" s="3" t="s">
        <v>232</v>
      </c>
      <c r="D9" s="63"/>
      <c r="E9" s="848" t="str">
        <f>Simul_ConstruRemo!I11</f>
        <v>Premier</v>
      </c>
      <c r="F9" s="849"/>
      <c r="G9" s="128"/>
      <c r="H9" s="129" t="str">
        <f>Simul_ConstruRemo!C26</f>
        <v>Crédito solicitado por el cliente *</v>
      </c>
      <c r="I9" s="63"/>
      <c r="J9" s="63"/>
      <c r="K9" s="175">
        <f>Simul_ConstruRemo!I26+Simul_ConstruRemo!I27</f>
        <v>1500000</v>
      </c>
      <c r="M9" s="63"/>
      <c r="N9" s="63"/>
      <c r="O9" s="63"/>
      <c r="P9" s="130"/>
      <c r="Q9" s="63"/>
      <c r="R9" s="63"/>
      <c r="S9" s="63"/>
      <c r="T9" s="63"/>
      <c r="U9" s="63"/>
      <c r="V9" s="63"/>
      <c r="W9" s="63"/>
      <c r="X9" s="63"/>
      <c r="Y9" s="35"/>
      <c r="Z9" s="63"/>
      <c r="AA9" s="63"/>
      <c r="AB9" s="143"/>
      <c r="AC9" s="63"/>
      <c r="AD9" s="63"/>
    </row>
    <row r="10" spans="3:30" ht="16.5" thickTop="1" thickBot="1" x14ac:dyDescent="0.3">
      <c r="C10" s="3" t="str">
        <f>IF(OR(E8=Y11,E8=Y10),"Esquema","Tipo de financiamiento")</f>
        <v>Tipo de financiamiento</v>
      </c>
      <c r="D10" s="63"/>
      <c r="E10" s="844" t="str">
        <f>IF(E8&lt;&gt;"","Tradicional","")</f>
        <v>Tradicional</v>
      </c>
      <c r="F10" s="844"/>
      <c r="G10" s="63"/>
      <c r="H10" s="129" t="s">
        <v>39</v>
      </c>
      <c r="I10" s="63"/>
      <c r="J10" s="63"/>
      <c r="K10" s="176">
        <f>VLOOKUP(CONCATENATE(E8," ",Simul_ConstruRemo!I12," ",,E9," ",E19," ",K11," ",Simul_ConstruRemo!I13),Catalogo_Condicione_Financieras!B:W,13,0)</f>
        <v>9.6500000000000002E-2</v>
      </c>
      <c r="L10" s="28" t="s">
        <v>26</v>
      </c>
      <c r="M10" s="61">
        <f>VLOOKUP(CONCATENATE(E8," ",Simul_ConstruRemo!I12," ",,E9," ",E19," ",K11," ",Simul_ConstruRemo!I13),Catalogo_Condicione_Financieras!B:W,14,0)</f>
        <v>9.1999999999999998E-2</v>
      </c>
      <c r="N10" s="28" t="s">
        <v>23</v>
      </c>
      <c r="O10" s="61">
        <f>VLOOKUP(CONCATENATE(E8," ",Simul_ConstruRemo!I12," ",,E9," ",E19," ",K11," ",Simul_ConstruRemo!I13),Catalogo_Condicione_Financieras!B:W,15,0)</f>
        <v>0.10249999999999999</v>
      </c>
      <c r="P10" s="119"/>
      <c r="Q10" s="63"/>
      <c r="R10" s="63"/>
      <c r="S10" s="63"/>
      <c r="T10" s="63"/>
      <c r="U10" s="63"/>
      <c r="V10" s="63"/>
      <c r="W10" s="63"/>
      <c r="X10" s="63"/>
      <c r="Y10" s="66"/>
      <c r="Z10" s="63"/>
      <c r="AA10" s="63"/>
      <c r="AB10" s="143"/>
      <c r="AC10" s="63"/>
      <c r="AD10" s="63"/>
    </row>
    <row r="11" spans="3:30" ht="16.5" thickTop="1" thickBot="1" x14ac:dyDescent="0.3">
      <c r="C11" s="3"/>
      <c r="D11" s="63"/>
      <c r="E11" s="843"/>
      <c r="F11" s="844"/>
      <c r="G11" s="6"/>
      <c r="H11" s="6" t="s">
        <v>0</v>
      </c>
      <c r="I11" s="63"/>
      <c r="J11" s="63"/>
      <c r="K11" s="177">
        <f>Simul_ConstruRemo!I21</f>
        <v>20</v>
      </c>
      <c r="L11" s="63"/>
      <c r="M11" s="35"/>
      <c r="N11" s="35"/>
      <c r="O11" s="63"/>
      <c r="P11" s="119"/>
      <c r="Q11" s="63"/>
      <c r="R11" s="63"/>
      <c r="S11" s="63"/>
      <c r="T11" s="63"/>
      <c r="U11" s="63"/>
      <c r="V11" s="63"/>
      <c r="W11" s="63"/>
      <c r="X11" s="63"/>
      <c r="Y11" s="63"/>
      <c r="Z11" s="63"/>
      <c r="AA11" s="63"/>
      <c r="AB11" s="143"/>
      <c r="AC11" s="63"/>
      <c r="AD11" s="63"/>
    </row>
    <row r="12" spans="3:30" ht="16.5" thickTop="1" thickBot="1" x14ac:dyDescent="0.3">
      <c r="C12" s="3" t="str">
        <f>Simul_ConstruRemo!C16</f>
        <v>Valor del Terreno *</v>
      </c>
      <c r="D12" s="63"/>
      <c r="E12" s="843">
        <f>Simul_ConstruRemo!I16</f>
        <v>630000</v>
      </c>
      <c r="F12" s="844"/>
      <c r="G12" s="6"/>
      <c r="H12" s="129" t="s">
        <v>371</v>
      </c>
      <c r="I12" s="63"/>
      <c r="J12" s="63"/>
      <c r="K12" s="178">
        <f>Simul_ConstruRemo!V17</f>
        <v>0</v>
      </c>
      <c r="L12" s="63"/>
      <c r="M12" s="63"/>
      <c r="N12" s="63"/>
      <c r="O12" s="63"/>
      <c r="P12" s="119"/>
      <c r="Q12" s="63"/>
      <c r="R12" s="63"/>
      <c r="S12" s="63"/>
      <c r="T12" s="63"/>
      <c r="U12" s="63"/>
      <c r="V12" s="63"/>
      <c r="W12" s="63"/>
      <c r="X12" s="63"/>
      <c r="Y12" s="144"/>
      <c r="Z12" s="144"/>
      <c r="AA12" s="63"/>
      <c r="AB12" s="143"/>
      <c r="AC12" s="63"/>
      <c r="AD12" s="63"/>
    </row>
    <row r="13" spans="3:30" ht="16.5" thickTop="1" thickBot="1" x14ac:dyDescent="0.3">
      <c r="C13" s="3" t="str">
        <f>Simul_ConstruRemo!C17</f>
        <v>Valor del proyecto *</v>
      </c>
      <c r="D13" s="63"/>
      <c r="E13" s="843">
        <f>Simul_ConstruRemo!I17</f>
        <v>2606295</v>
      </c>
      <c r="F13" s="844"/>
      <c r="G13" s="131"/>
      <c r="H13" s="63" t="s">
        <v>369</v>
      </c>
      <c r="I13" s="63"/>
      <c r="J13" s="63"/>
      <c r="K13" s="175">
        <f>Simul_ConstruRemo!V15</f>
        <v>3422</v>
      </c>
      <c r="L13" s="63"/>
      <c r="M13" s="63"/>
      <c r="N13" s="63"/>
      <c r="O13" s="63"/>
      <c r="P13" s="119"/>
      <c r="Q13" s="63"/>
      <c r="R13" s="63"/>
      <c r="S13" s="63"/>
      <c r="T13" s="63"/>
      <c r="U13" s="63"/>
      <c r="V13" s="63"/>
      <c r="W13" s="63"/>
      <c r="X13" s="63"/>
      <c r="Y13" s="63"/>
      <c r="Z13" s="63"/>
      <c r="AA13" s="63"/>
      <c r="AB13" s="143"/>
      <c r="AC13" s="63"/>
      <c r="AD13" s="63"/>
    </row>
    <row r="14" spans="3:30" ht="16.5" thickTop="1" thickBot="1" x14ac:dyDescent="0.3">
      <c r="C14" s="3" t="str">
        <f>Simul_ConstruRemo!C18</f>
        <v>Valor final</v>
      </c>
      <c r="D14" s="63"/>
      <c r="E14" s="843">
        <f>Simul_ConstruRemo!I18</f>
        <v>3236295</v>
      </c>
      <c r="F14" s="843"/>
      <c r="G14" s="63"/>
      <c r="H14" s="63" t="str">
        <f>Simul_ConstruRemo!O16</f>
        <v>Gastos de Preoriginación -  Dictamen de Obra **</v>
      </c>
      <c r="I14" s="63"/>
      <c r="J14" s="63"/>
      <c r="K14" s="179">
        <f>Simul_ConstruRemo!V16</f>
        <v>2500</v>
      </c>
      <c r="L14" s="63"/>
      <c r="M14" s="35"/>
      <c r="N14" s="35"/>
      <c r="O14" s="63"/>
      <c r="P14" s="119"/>
      <c r="Q14" s="63"/>
      <c r="R14" s="63"/>
      <c r="S14" s="63"/>
      <c r="T14" s="63"/>
      <c r="U14" s="63"/>
      <c r="V14" s="63"/>
      <c r="W14" s="63"/>
      <c r="X14" s="63"/>
      <c r="Y14" s="144"/>
      <c r="Z14" s="63"/>
      <c r="AA14" s="63"/>
      <c r="AB14" s="143"/>
      <c r="AC14" s="63"/>
      <c r="AD14" s="63"/>
    </row>
    <row r="15" spans="3:30" ht="16.5" thickTop="1" thickBot="1" x14ac:dyDescent="0.3">
      <c r="G15" s="63"/>
      <c r="H15" s="63" t="str">
        <f>"Factor "&amp;IF(E10="Pago Fijo","Pago Fijo",E19)</f>
        <v>Factor Pago_Fijo_Puntual</v>
      </c>
      <c r="I15" s="63"/>
      <c r="J15" s="63"/>
      <c r="K15" s="180">
        <f>VLOOKUP(TRIM(CONCATENATE(Simul_ConstruRemo!I10," ",Simul_ConstruRemo!I12," ",Simul_ConstruRemo!I11," ",Simul_ConstruRemo!I15," ",Simul_ConstruRemo!I21," ",Simul_ConstruRemo!I13)),Catalogo_Condicione_Financieras!B:W,11,0)</f>
        <v>9.66</v>
      </c>
      <c r="L15" s="63"/>
      <c r="M15" s="851"/>
      <c r="N15" s="851"/>
      <c r="O15" s="57"/>
      <c r="P15" s="119"/>
      <c r="Q15" s="63"/>
      <c r="R15" s="63"/>
      <c r="S15" s="63"/>
      <c r="T15" s="63"/>
      <c r="U15" s="63"/>
      <c r="V15" s="63"/>
      <c r="W15" s="63"/>
      <c r="X15" s="63"/>
      <c r="Y15" s="63"/>
      <c r="Z15" s="63"/>
      <c r="AA15" s="63"/>
      <c r="AB15" s="143"/>
      <c r="AC15" s="63"/>
      <c r="AD15" s="63"/>
    </row>
    <row r="16" spans="3:30" ht="16.5" thickTop="1" thickBot="1" x14ac:dyDescent="0.3">
      <c r="C16" s="3" t="str">
        <f>Simul_ConstruRemo!C19</f>
        <v>Plazo de construcción (meses) *</v>
      </c>
      <c r="D16" s="63"/>
      <c r="E16" s="852">
        <f>Simul_ConstruRemo!I19</f>
        <v>12</v>
      </c>
      <c r="F16" s="852"/>
      <c r="G16" s="63"/>
      <c r="H16" s="63"/>
      <c r="I16" s="63"/>
      <c r="J16" s="63"/>
      <c r="K16" s="63"/>
      <c r="L16" s="63"/>
      <c r="M16" s="6"/>
      <c r="N16" s="6"/>
      <c r="O16" s="63"/>
      <c r="P16" s="119"/>
      <c r="Q16" s="63"/>
      <c r="R16" s="63"/>
      <c r="S16" s="63"/>
      <c r="T16" s="63"/>
      <c r="U16" s="63"/>
      <c r="V16" s="63"/>
      <c r="W16" s="63"/>
      <c r="X16" s="63"/>
      <c r="Y16" s="63"/>
      <c r="Z16" s="63"/>
      <c r="AA16" s="63"/>
      <c r="AB16" s="143"/>
      <c r="AC16" s="63"/>
      <c r="AD16" s="63"/>
    </row>
    <row r="17" spans="3:40" ht="20.25" thickTop="1" thickBot="1" x14ac:dyDescent="0.35">
      <c r="G17" s="132"/>
      <c r="H17" s="133" t="s">
        <v>9</v>
      </c>
      <c r="I17" s="134"/>
      <c r="J17" s="134"/>
      <c r="K17" s="174">
        <f>((1+'Tabla_ConstruRemo_Peor Escenari'!AA21)^12)-1</f>
        <v>0.11636497814614843</v>
      </c>
      <c r="L17" s="63"/>
      <c r="M17" s="35"/>
      <c r="N17" s="35"/>
      <c r="O17" s="63"/>
      <c r="P17" s="119"/>
      <c r="Q17" s="63"/>
      <c r="R17" s="63"/>
      <c r="S17" s="63"/>
      <c r="T17" s="63"/>
      <c r="U17" s="63"/>
      <c r="V17" s="63"/>
      <c r="W17" s="63"/>
      <c r="X17" s="63"/>
      <c r="Y17" s="63"/>
      <c r="Z17" s="63"/>
      <c r="AA17" s="66"/>
      <c r="AB17" s="143"/>
      <c r="AC17" s="63"/>
      <c r="AD17" s="63"/>
      <c r="AN17" s="145"/>
    </row>
    <row r="18" spans="3:40" ht="19.5" thickTop="1" x14ac:dyDescent="0.3">
      <c r="C18" s="123" t="s">
        <v>19</v>
      </c>
      <c r="D18" s="63"/>
      <c r="E18" s="63"/>
      <c r="F18" s="63"/>
      <c r="M18" s="135"/>
      <c r="N18" s="135"/>
      <c r="Q18" s="63"/>
      <c r="R18" s="63"/>
      <c r="S18" s="63"/>
      <c r="T18" s="63"/>
      <c r="U18" s="63"/>
      <c r="V18" s="63"/>
      <c r="W18" s="63"/>
      <c r="X18" s="63"/>
      <c r="Y18" s="63"/>
    </row>
    <row r="19" spans="3:40" x14ac:dyDescent="0.25">
      <c r="C19" s="3" t="str">
        <f>IF(E8=Y10,"",IF(E8=Y11,"",IF(E8=Y9,"","Esquema")))</f>
        <v>Esquema</v>
      </c>
      <c r="D19" s="63"/>
      <c r="E19" s="853" t="s">
        <v>171</v>
      </c>
      <c r="F19" s="854"/>
      <c r="Q19" s="63"/>
      <c r="R19" s="63"/>
      <c r="S19" s="63"/>
      <c r="T19" s="63"/>
      <c r="U19" s="63"/>
      <c r="V19" s="63"/>
      <c r="W19" s="63"/>
      <c r="X19" s="63"/>
      <c r="Y19" s="63"/>
    </row>
    <row r="20" spans="3:40" x14ac:dyDescent="0.25">
      <c r="C20" s="3" t="s">
        <v>164</v>
      </c>
      <c r="D20" s="63"/>
      <c r="E20" s="855" t="s">
        <v>230</v>
      </c>
      <c r="F20" s="856"/>
      <c r="L20" s="101"/>
      <c r="P20"/>
      <c r="Q20" s="99"/>
      <c r="R20" s="99"/>
      <c r="S20" s="99"/>
      <c r="T20" s="99"/>
      <c r="U20" s="63"/>
      <c r="V20" s="63"/>
      <c r="W20" s="63"/>
      <c r="X20" s="63"/>
      <c r="Y20" s="63"/>
      <c r="Z20" s="63"/>
      <c r="AA20" t="s">
        <v>243</v>
      </c>
    </row>
    <row r="21" spans="3:40" x14ac:dyDescent="0.25">
      <c r="P21"/>
      <c r="Q21" s="116"/>
      <c r="R21" s="116"/>
      <c r="S21" s="116"/>
      <c r="T21" s="116"/>
      <c r="Z21" s="63"/>
      <c r="AA21" s="92">
        <f>IRR(AA22:AA280)</f>
        <v>9.2153566443933244E-3</v>
      </c>
      <c r="AB21" s="63"/>
    </row>
    <row r="22" spans="3:40" ht="30" customHeight="1" x14ac:dyDescent="0.25">
      <c r="C22" s="181" t="s">
        <v>189</v>
      </c>
      <c r="D22" s="181" t="s">
        <v>215</v>
      </c>
      <c r="E22" s="181" t="s">
        <v>233</v>
      </c>
      <c r="F22" s="182" t="s">
        <v>234</v>
      </c>
      <c r="G22" s="182" t="s">
        <v>10</v>
      </c>
      <c r="H22" s="181" t="s">
        <v>160</v>
      </c>
      <c r="I22" s="181" t="s">
        <v>11</v>
      </c>
      <c r="J22" s="181" t="s">
        <v>235</v>
      </c>
      <c r="K22" s="181" t="s">
        <v>236</v>
      </c>
      <c r="L22" s="181" t="s">
        <v>238</v>
      </c>
      <c r="M22" s="181" t="s">
        <v>237</v>
      </c>
      <c r="N22" s="181" t="s">
        <v>162</v>
      </c>
      <c r="O22" s="181" t="s">
        <v>239</v>
      </c>
      <c r="P22" s="181" t="s">
        <v>159</v>
      </c>
      <c r="Q22" s="181" t="s">
        <v>15</v>
      </c>
      <c r="R22" s="181" t="s">
        <v>133</v>
      </c>
      <c r="S22" s="181"/>
      <c r="T22" s="181"/>
      <c r="Z22" s="63"/>
      <c r="AA22" s="146">
        <f>-Simul_ConstruRemo!I26+Simul_ConstruRemo!V15+Simul_ConstruRemo!V16</f>
        <v>-1494078</v>
      </c>
      <c r="AB22" s="63"/>
    </row>
    <row r="23" spans="3:40" x14ac:dyDescent="0.25">
      <c r="C23" s="37">
        <f>IF(OR(K9=0,K9=""),"",1)</f>
        <v>1</v>
      </c>
      <c r="D23" s="37">
        <f>IF(Simul_ConstruRemo!AX38&lt;&gt;"",1,"")</f>
        <v>1</v>
      </c>
      <c r="E23" s="136">
        <f>IF(C23="","",IF(AF23="Ministración",Simul_ConstruRemo!BM61,1))</f>
        <v>0.2</v>
      </c>
      <c r="F23" s="35">
        <f>IF(C23="","",IF(AF23="Obra Concluida",0,IF(AND(Simul_ConstruRemo!I10="Remodelación",Simul_ConstruRemo!I22="No"),Simul_ConstruRemo!I26,Simul_ConstruRemo!I40)))</f>
        <v>750000</v>
      </c>
      <c r="G23" s="137">
        <f>IF(C23="","",F23)</f>
        <v>750000</v>
      </c>
      <c r="H23" s="137">
        <f>IF(C23="","",IF(AI23=0,J23,IF(G23&lt;I23,G23+J23,$K$9*K15/1000)))</f>
        <v>6031.25</v>
      </c>
      <c r="I23" s="137">
        <f>IF(C23="","",H23-J23)</f>
        <v>0</v>
      </c>
      <c r="J23" s="137">
        <f>IF(C24="","",IF(AF23="Ministración",G23*$K$10/12,IF(G23*($K$10/12)&lt;0,"",G23*($K$10/12))))</f>
        <v>6031.25</v>
      </c>
      <c r="K23" s="137">
        <f>IF(C23="","",IF(Simul_ConstruRemo!$I$10=Simul_ConstruRemo!$BV$6,(Simul_ConstruRemo!$I$16*0.7+Simul_ConstruRemo!$I$17*0.5),IF(OR(D23=0,D23=""),Simul_ConstruRemo!$CO$27,HLOOKUP(D23,Simul_ConstruRemo!$CC$22:$CN$29,7,FALSE))))</f>
        <v>1303147.5</v>
      </c>
      <c r="L23" s="137">
        <f>IFERROR(Q23*Simul_ConstruRemo!$BP$30/1000,"")</f>
        <v>330</v>
      </c>
      <c r="M23" s="137">
        <f>IFERROR(IF($E$7="Remodelación",K23*Simul_ConstruRemo!$BS$29,
IF(E23=1,MAX(K23,Q23)*Simul_ConstruRemo!$BS$29,K23*Simul_ConstruRemo!$BQ$29)),"")</f>
        <v>582.28800371999989</v>
      </c>
      <c r="N23" s="13">
        <f>IF(C23="","",'Tabla_Puntual&amp;Relacionamiento'!$E$37)</f>
        <v>9.6500000000000002E-2</v>
      </c>
      <c r="O23" s="138"/>
      <c r="P23" s="137">
        <f>IFERROR(H23+M23+L23,"")</f>
        <v>6943.5380037200002</v>
      </c>
      <c r="Q23" s="137">
        <f>IF(C23="","",F23-O23)</f>
        <v>750000</v>
      </c>
      <c r="R23" s="37">
        <f t="shared" ref="R23:R40" si="0">IF(C23="","",1)</f>
        <v>1</v>
      </c>
      <c r="S23" s="137"/>
      <c r="T23" s="137"/>
      <c r="Z23" s="63"/>
      <c r="AA23" s="35">
        <f t="shared" ref="AA23:AA86" si="1">IF(P23="","",P23-(M23-(M23/1.16)))</f>
        <v>6863.222417</v>
      </c>
      <c r="AB23" s="63">
        <f>IF(OR(Q23="",Q23&lt;=0.01),"",IF(SUM($F$23:F23)=Simul_ConstruRemo!$I$26,1,0))</f>
        <v>0</v>
      </c>
      <c r="AC23">
        <f>IFERROR(AB23,0)</f>
        <v>0</v>
      </c>
      <c r="AD23" s="147">
        <f>IF(AC23&gt;0,AC23-1,AC23)</f>
        <v>0</v>
      </c>
      <c r="AF23" t="str">
        <f>IF(C23="","",IF($E$16&gt;=1,"Ministración","Obra Concluida"))</f>
        <v>Ministración</v>
      </c>
      <c r="AI23">
        <v>0</v>
      </c>
    </row>
    <row r="24" spans="3:40" x14ac:dyDescent="0.25">
      <c r="C24" s="37">
        <f>IFERROR(IF(Q23&lt;=0.01,"",IF(C23+1&gt;Simul_ConstruRemo!$BN$11,"",C23+1)),"")</f>
        <v>2</v>
      </c>
      <c r="D24" s="37">
        <f>IF(C24&gt;Simul_ConstruRemo!$I$19,"",IF(Simul_ConstruRemo!I39=100%,"",IFERROR(VLOOKUP(C24,Simul_ConstruRemo!$AX$61:$AY$64,2,0),D23)))</f>
        <v>1</v>
      </c>
      <c r="E24" s="136">
        <f>IF(C24="","",IF(AND($E$8="Remodelación",Simul_ConstruRemo!I$22="No"),1,IF(Simul_ConstruRemo!$I$29&gt;=0.8,1,IF(AF24="Ministración",Simul_ConstruRemo!BM62,1))))</f>
        <v>0.2</v>
      </c>
      <c r="F24" s="35">
        <f>IFERROR(IF(C24="","",
IF(AND($E$8="Remodelación",Simul_ConstruRemo!$I$22="No"),0,
IF(AND($E$8&lt;&gt;"Remodelación",Simul_ConstruRemo!$I$29&gt;=0.8),0,
IF(AF24="Obra Concluida",0,
VLOOKUP(C24,Simul_ConstruRemo!$AX$61:$AZ$72,3,0))))),0)</f>
        <v>0</v>
      </c>
      <c r="G24" s="137">
        <f>IF(C24="","",Q23)</f>
        <v>750000</v>
      </c>
      <c r="H24" s="137">
        <f t="shared" ref="H24:H87" si="2">IF(C24="","",IF(AI24=0,J24,$K$9*$K$15/1000))</f>
        <v>6031.25</v>
      </c>
      <c r="I24" s="137">
        <f>IF(C24="","",H24-J24)</f>
        <v>0</v>
      </c>
      <c r="J24" s="137">
        <f t="shared" ref="J24:J40" si="3">IF(C24="","",IF(AF24="Ministración",Q23*$K$10/12,
IF(Q23*($K$10/12)&lt;0,"",Q23*($K$10/12))))</f>
        <v>6031.25</v>
      </c>
      <c r="K24" s="137">
        <f>IF(C24="","",IF(Simul_ConstruRemo!$I$10=Simul_ConstruRemo!$BV$6,(Simul_ConstruRemo!$I$16*0.7+Simul_ConstruRemo!$I$17*0.5),IF(OR(D24=0,D24=""),Simul_ConstruRemo!$CO$27,HLOOKUP(D24,Simul_ConstruRemo!$CC$22:$CN$29,7,FALSE))))</f>
        <v>1303147.5</v>
      </c>
      <c r="L24" s="137">
        <f>IFERROR(Q24*Simul_ConstruRemo!$BP$30/1000,"")</f>
        <v>330</v>
      </c>
      <c r="M24" s="137">
        <f>IFERROR(IF($E$7="Remodelación",K24*Simul_ConstruRemo!$BS$29,
IF(E24=1,MAX(K24,Q24)*Simul_ConstruRemo!$BS$29,K24*Simul_ConstruRemo!$BQ$29)),"")</f>
        <v>582.28800371999989</v>
      </c>
      <c r="N24" s="13">
        <f>IF(C24="","",'Tabla_Puntual&amp;Relacionamiento'!$E$37)</f>
        <v>9.6500000000000002E-2</v>
      </c>
      <c r="O24" s="138"/>
      <c r="P24" s="137">
        <f t="shared" ref="P24:P87" si="4">IFERROR(H24+M24+L24,"")</f>
        <v>6943.5380037200002</v>
      </c>
      <c r="Q24" s="137">
        <f>IFERROR(IF(Q23+F24-I24-O24&lt;=0,0,Q23+F24-I24-O24),"")</f>
        <v>750000</v>
      </c>
      <c r="R24" s="37">
        <f t="shared" si="0"/>
        <v>1</v>
      </c>
      <c r="S24" s="137"/>
      <c r="T24" s="137"/>
      <c r="Z24" s="63"/>
      <c r="AA24" s="35">
        <f t="shared" si="1"/>
        <v>6863.222417</v>
      </c>
      <c r="AB24" s="63">
        <f>IF(OR(Q24="",Q24&lt;=0.01),"",IF(SUM($F$23:F24)=Simul_ConstruRemo!$I$26,1,0))</f>
        <v>0</v>
      </c>
      <c r="AC24">
        <f>IFERROR(AC23+AB24,0)</f>
        <v>0</v>
      </c>
      <c r="AD24" s="147">
        <f>IF(AC24&gt;0,AC24-1,AC24)</f>
        <v>0</v>
      </c>
      <c r="AF24" t="str">
        <f>IF(C24="","",IF($E$16&gt;=2,"Ministración","Obra Concluida"))</f>
        <v>Ministración</v>
      </c>
      <c r="AI24">
        <f>IF(F23&gt;=K9,1,0)</f>
        <v>0</v>
      </c>
    </row>
    <row r="25" spans="3:40" x14ac:dyDescent="0.25">
      <c r="C25" s="37">
        <f>IFERROR(IF(Q24&lt;=0.01,"",IF(C24+1&gt;Simul_ConstruRemo!$BN$11,"",C24+1)),"")</f>
        <v>3</v>
      </c>
      <c r="D25" s="37">
        <f>IF(C25&gt;Simul_ConstruRemo!$I$19,"",IF(Simul_ConstruRemo!I40=100%,"",IFERROR(VLOOKUP(C25,Simul_ConstruRemo!$AX$61:$AY$64,2,0),D24)))</f>
        <v>2</v>
      </c>
      <c r="E25" s="136">
        <f>IF(C25="","",IF(AND($E$8="Remodelación",Simul_ConstruRemo!I$22="No"),1,IF(Simul_ConstruRemo!$I$29&gt;=0.8,1,IF(AF25="Ministración",Simul_ConstruRemo!BM63,1))))</f>
        <v>0.5</v>
      </c>
      <c r="F25" s="35">
        <f>IFERROR(IF(C25="","",
IF(AND($E$8="Remodelación",Simul_ConstruRemo!$I$22="No"),0,
IF(AND($E$8&lt;&gt;"Remodelación",Simul_ConstruRemo!$I$29&gt;=0.8),0,
IF(AF25="Obra Concluida",0,
VLOOKUP(C25,Simul_ConstruRemo!$AX$61:$AZ$72,3,0))))),0)</f>
        <v>450000</v>
      </c>
      <c r="G25" s="137">
        <f t="shared" ref="G25:G88" si="5">IF(C25="","",Q24)</f>
        <v>750000</v>
      </c>
      <c r="H25" s="137">
        <f t="shared" si="2"/>
        <v>6031.25</v>
      </c>
      <c r="I25" s="137">
        <f t="shared" ref="I25:I87" si="6">IF(C25="","",H25-J25)</f>
        <v>0</v>
      </c>
      <c r="J25" s="137">
        <f t="shared" si="3"/>
        <v>6031.25</v>
      </c>
      <c r="K25" s="137">
        <f>IF(C25="","",IF(Simul_ConstruRemo!$I$10=Simul_ConstruRemo!$BV$6,(Simul_ConstruRemo!$I$16*0.7+Simul_ConstruRemo!$I$17*0.5),IF(OR(D25=0,D25=""),Simul_ConstruRemo!$CO$27,HLOOKUP(D25,Simul_ConstruRemo!$CC$22:$CN$29,7,FALSE))))</f>
        <v>2085036</v>
      </c>
      <c r="L25" s="137">
        <f>IFERROR(Q25*Simul_ConstruRemo!$BP$30/1000,"")</f>
        <v>528</v>
      </c>
      <c r="M25" s="137">
        <f>IFERROR(IF($E$7="Remodelación",K25*Simul_ConstruRemo!$BS$29,
IF(E25=1,MAX(K25,Q25)*Simul_ConstruRemo!$BS$29,K25*Simul_ConstruRemo!$BQ$29)),"")</f>
        <v>931.66080595199981</v>
      </c>
      <c r="N25" s="13">
        <f>IF(C25="","",'Tabla_Puntual&amp;Relacionamiento'!$E$37)</f>
        <v>9.6500000000000002E-2</v>
      </c>
      <c r="O25" s="138"/>
      <c r="P25" s="137">
        <f t="shared" si="4"/>
        <v>7490.9108059519995</v>
      </c>
      <c r="Q25" s="137">
        <f t="shared" ref="Q25:Q88" si="7">IFERROR(IF(Q24+F25-I25-O25&lt;=0,0,Q24+F25-I25-O25),"")</f>
        <v>1200000</v>
      </c>
      <c r="R25" s="37">
        <f t="shared" si="0"/>
        <v>1</v>
      </c>
      <c r="S25" s="137"/>
      <c r="T25" s="137"/>
      <c r="Z25" s="63"/>
      <c r="AA25" s="35">
        <f t="shared" si="1"/>
        <v>7362.4058671999992</v>
      </c>
      <c r="AB25" s="63">
        <f>IF(OR(Q25="",Q25&lt;=0.01),"",IF(SUM($F$23:F25)=Simul_ConstruRemo!$I$26,1,0))</f>
        <v>0</v>
      </c>
      <c r="AC25">
        <f t="shared" ref="AC25:AC88" si="8">IFERROR(AC24+AB25,0)</f>
        <v>0</v>
      </c>
      <c r="AD25" s="147">
        <f>IF(AC25&gt;0,AC25-1,AC25)</f>
        <v>0</v>
      </c>
      <c r="AF25" t="str">
        <f>IF(C25="","",IF($E$16&gt;=3,"Ministración","Obra Concluida"))</f>
        <v>Ministración</v>
      </c>
      <c r="AI25">
        <f>IF(SUM($F$23:F24)&gt;=$K$9,1,0)</f>
        <v>0</v>
      </c>
    </row>
    <row r="26" spans="3:40" x14ac:dyDescent="0.25">
      <c r="C26" s="37">
        <f>IFERROR(IF(Q25&lt;=0.01,"",IF(C25+1&gt;Simul_ConstruRemo!$BN$11,"",C25+1)),"")</f>
        <v>4</v>
      </c>
      <c r="D26" s="37">
        <f>IF(C26&gt;Simul_ConstruRemo!$I$19,"",IF(Simul_ConstruRemo!I41=100%,"",IFERROR(VLOOKUP(C26,Simul_ConstruRemo!$AX$61:$AY$64,2,0),D25)))</f>
        <v>2</v>
      </c>
      <c r="E26" s="136">
        <f>IF(C26="","",IF(AND($E$8="Remodelación",Simul_ConstruRemo!I$22="No"),1,IF(Simul_ConstruRemo!$I$29&gt;=0.8,1,IF(AF26="Ministración",Simul_ConstruRemo!BM64,1))))</f>
        <v>0.5</v>
      </c>
      <c r="F26" s="35">
        <f>IFERROR(IF(C26="","",
IF(AND($E$8="Remodelación",Simul_ConstruRemo!$I$22="No"),0,
IF(AND($E$8&lt;&gt;"Remodelación",Simul_ConstruRemo!$I$29&gt;=0.8),0,
IF(AF26="Obra Concluida",0,
VLOOKUP(C26,Simul_ConstruRemo!$AX$61:$AZ$72,3,0))))),0)</f>
        <v>0</v>
      </c>
      <c r="G26" s="137">
        <f t="shared" si="5"/>
        <v>1200000</v>
      </c>
      <c r="H26" s="137">
        <f t="shared" si="2"/>
        <v>9650</v>
      </c>
      <c r="I26" s="137">
        <f t="shared" si="6"/>
        <v>0</v>
      </c>
      <c r="J26" s="137">
        <f t="shared" si="3"/>
        <v>9650</v>
      </c>
      <c r="K26" s="137">
        <f>IF(C26="","",IF(Simul_ConstruRemo!$I$10=Simul_ConstruRemo!$BV$6,(Simul_ConstruRemo!$I$16*0.7+Simul_ConstruRemo!$I$17*0.5),IF(OR(D26=0,D26=""),Simul_ConstruRemo!$CO$27,HLOOKUP(D26,Simul_ConstruRemo!$CC$22:$CN$29,7,FALSE))))</f>
        <v>2085036</v>
      </c>
      <c r="L26" s="137">
        <f>IFERROR(Q26*Simul_ConstruRemo!$BP$30/1000,"")</f>
        <v>528</v>
      </c>
      <c r="M26" s="137">
        <f>IFERROR(IF($E$7="Remodelación",K26*Simul_ConstruRemo!$BS$29,
IF(E26=1,MAX(K26,Q26)*Simul_ConstruRemo!$BS$29,K26*Simul_ConstruRemo!$BQ$29)),"")</f>
        <v>931.66080595199981</v>
      </c>
      <c r="N26" s="13">
        <f>IF(C26="","",'Tabla_Puntual&amp;Relacionamiento'!$E$37)</f>
        <v>9.6500000000000002E-2</v>
      </c>
      <c r="O26" s="138"/>
      <c r="P26" s="137">
        <f t="shared" si="4"/>
        <v>11109.660805952</v>
      </c>
      <c r="Q26" s="137">
        <f t="shared" si="7"/>
        <v>1200000</v>
      </c>
      <c r="R26" s="37">
        <f t="shared" si="0"/>
        <v>1</v>
      </c>
      <c r="S26" s="137"/>
      <c r="T26" s="137"/>
      <c r="Z26" s="63"/>
      <c r="AA26" s="35">
        <f t="shared" si="1"/>
        <v>10981.155867200001</v>
      </c>
      <c r="AB26" s="63">
        <f>IF(OR(Q26="",Q26&lt;=0.01),"",IF(SUM($F$23:F26)=Simul_ConstruRemo!$I$26,1,0))</f>
        <v>0</v>
      </c>
      <c r="AC26">
        <f t="shared" si="8"/>
        <v>0</v>
      </c>
      <c r="AD26" s="147">
        <f t="shared" ref="AD26:AD89" si="9">IF(AC26&gt;0,AC26-1,AC26)</f>
        <v>0</v>
      </c>
      <c r="AF26" t="str">
        <f>IF(C26="","",IF($E$16&gt;=4,"Ministración","Obra Concluida"))</f>
        <v>Ministración</v>
      </c>
      <c r="AI26">
        <f>IF(SUM($F$23:F25)&gt;=$K$9,1,0)</f>
        <v>0</v>
      </c>
    </row>
    <row r="27" spans="3:40" x14ac:dyDescent="0.25">
      <c r="C27" s="37">
        <f>IFERROR(IF(Q26&lt;=0.01,"",IF(C26+1&gt;Simul_ConstruRemo!$BN$11,"",C26+1)),"")</f>
        <v>5</v>
      </c>
      <c r="D27" s="37">
        <f>IF(C27&gt;Simul_ConstruRemo!$I$19,"",IF(Simul_ConstruRemo!I42=100%,"",IFERROR(VLOOKUP(C27,Simul_ConstruRemo!$AX$61:$AY$64,2,0),D26)))</f>
        <v>2</v>
      </c>
      <c r="E27" s="136">
        <f>IF(C27="","",IF(AND($E$8="Remodelación",Simul_ConstruRemo!I$22="No"),1,IF(Simul_ConstruRemo!$I$29&gt;=0.8,1,IF(AF27="Ministración",Simul_ConstruRemo!BM65,1))))</f>
        <v>0.5</v>
      </c>
      <c r="F27" s="35">
        <f>IFERROR(IF(C27="","",
IF(AND($E$8="Remodelación",Simul_ConstruRemo!$I$22="No"),0,
IF(AND($E$8&lt;&gt;"Remodelación",Simul_ConstruRemo!$I$29&gt;=0.8),0,
IF(AF27="Obra Concluida",0,
VLOOKUP(C27,Simul_ConstruRemo!$AX$61:$AZ$72,3,0))))),0)</f>
        <v>0</v>
      </c>
      <c r="G27" s="137">
        <f t="shared" si="5"/>
        <v>1200000</v>
      </c>
      <c r="H27" s="137">
        <f t="shared" si="2"/>
        <v>9650</v>
      </c>
      <c r="I27" s="137">
        <f t="shared" si="6"/>
        <v>0</v>
      </c>
      <c r="J27" s="137">
        <f t="shared" si="3"/>
        <v>9650</v>
      </c>
      <c r="K27" s="137">
        <f>IF(C27="","",IF(Simul_ConstruRemo!$I$10=Simul_ConstruRemo!$BV$6,(Simul_ConstruRemo!$I$16*0.7+Simul_ConstruRemo!$I$17*0.5),IF(OR(D27=0,D27=""),Simul_ConstruRemo!$CO$27,HLOOKUP(D27,Simul_ConstruRemo!$CC$22:$CN$29,7,FALSE))))</f>
        <v>2085036</v>
      </c>
      <c r="L27" s="137">
        <f>IFERROR(Q27*Simul_ConstruRemo!$BP$30/1000,"")</f>
        <v>528</v>
      </c>
      <c r="M27" s="137">
        <f>IFERROR(IF($E$7="Remodelación",K27*Simul_ConstruRemo!$BS$29,
IF(E27=1,MAX(K27,Q27)*Simul_ConstruRemo!$BS$29,K27*Simul_ConstruRemo!$BQ$29)),"")</f>
        <v>931.66080595199981</v>
      </c>
      <c r="N27" s="13">
        <f>IF(C27="","",'Tabla_Puntual&amp;Relacionamiento'!$E$37)</f>
        <v>9.6500000000000002E-2</v>
      </c>
      <c r="O27" s="138"/>
      <c r="P27" s="137">
        <f t="shared" si="4"/>
        <v>11109.660805952</v>
      </c>
      <c r="Q27" s="137">
        <f t="shared" si="7"/>
        <v>1200000</v>
      </c>
      <c r="R27" s="37">
        <f t="shared" si="0"/>
        <v>1</v>
      </c>
      <c r="S27" s="137"/>
      <c r="T27" s="137"/>
      <c r="Z27" s="63"/>
      <c r="AA27" s="35">
        <f t="shared" si="1"/>
        <v>10981.155867200001</v>
      </c>
      <c r="AB27" s="63">
        <f>IF(OR(Q27="",Q27&lt;=0.01),"",IF(SUM($F$23:F27)=Simul_ConstruRemo!$I$26,1,0))</f>
        <v>0</v>
      </c>
      <c r="AC27">
        <f t="shared" si="8"/>
        <v>0</v>
      </c>
      <c r="AD27" s="147">
        <f t="shared" si="9"/>
        <v>0</v>
      </c>
      <c r="AF27" t="str">
        <f>IF(C27="","",IF($E$16&gt;=5,"Ministración","Obra Concluida"))</f>
        <v>Ministración</v>
      </c>
      <c r="AI27">
        <f>IF(SUM($F$23:F26)&gt;=$K$9,1,0)</f>
        <v>0</v>
      </c>
    </row>
    <row r="28" spans="3:40" x14ac:dyDescent="0.25">
      <c r="C28" s="37">
        <f>IFERROR(IF(Q27&lt;=0.01,"",IF(C27+1&gt;Simul_ConstruRemo!$BN$11,"",C27+1)),"")</f>
        <v>6</v>
      </c>
      <c r="D28" s="37">
        <f>IF(C28&gt;Simul_ConstruRemo!$I$19,"",IF(Simul_ConstruRemo!I43=100%,"",IFERROR(VLOOKUP(C28,Simul_ConstruRemo!$AX$61:$AY$64,2,0),D27)))</f>
        <v>3</v>
      </c>
      <c r="E28" s="136">
        <f>IF(C28="","",IF(AND($E$8="Remodelación",Simul_ConstruRemo!I$22="No"),1,IF(Simul_ConstruRemo!$I$29&gt;=0.8,1,IF(AF28="Ministración",Simul_ConstruRemo!BM66,1))))</f>
        <v>0.8</v>
      </c>
      <c r="F28" s="35">
        <f>IFERROR(IF(C28="","",
IF(AND($E$8="Remodelación",Simul_ConstruRemo!$I$22="No"),0,
IF(AND($E$8&lt;&gt;"Remodelación",Simul_ConstruRemo!$I$29&gt;=0.8),0,
IF(AF28="Obra Concluida",0,
VLOOKUP(C28,Simul_ConstruRemo!$AX$61:$AZ$72,3,0))))),0)</f>
        <v>300000</v>
      </c>
      <c r="G28" s="137">
        <f t="shared" si="5"/>
        <v>1200000</v>
      </c>
      <c r="H28" s="137">
        <f t="shared" si="2"/>
        <v>9650</v>
      </c>
      <c r="I28" s="137">
        <f t="shared" si="6"/>
        <v>0</v>
      </c>
      <c r="J28" s="137">
        <f t="shared" si="3"/>
        <v>9650</v>
      </c>
      <c r="K28" s="137">
        <f>IF(C28="","",IF(Simul_ConstruRemo!$I$10=Simul_ConstruRemo!$BV$6,(Simul_ConstruRemo!$I$16*0.7+Simul_ConstruRemo!$I$17*0.5),IF(OR(D28=0,D28=""),Simul_ConstruRemo!$CO$27,HLOOKUP(D28,Simul_ConstruRemo!$CC$22:$CN$29,7,FALSE))))</f>
        <v>2606295</v>
      </c>
      <c r="L28" s="137">
        <f>IFERROR(Q28*Simul_ConstruRemo!$BP$30/1000,"")</f>
        <v>660</v>
      </c>
      <c r="M28" s="137">
        <f>IFERROR(IF($E$7="Remodelación",K28*Simul_ConstruRemo!$BS$29,
IF(E28=1,MAX(K28,Q28)*Simul_ConstruRemo!$BS$29,K28*Simul_ConstruRemo!$BQ$29)),"")</f>
        <v>1164.5760074399998</v>
      </c>
      <c r="N28" s="13">
        <f>IF(C28="","",'Tabla_Puntual&amp;Relacionamiento'!$E$37)</f>
        <v>9.6500000000000002E-2</v>
      </c>
      <c r="O28" s="138"/>
      <c r="P28" s="137">
        <f t="shared" si="4"/>
        <v>11474.57600744</v>
      </c>
      <c r="Q28" s="137">
        <f t="shared" si="7"/>
        <v>1500000</v>
      </c>
      <c r="R28" s="37">
        <f t="shared" si="0"/>
        <v>1</v>
      </c>
      <c r="S28" s="137"/>
      <c r="T28" s="137"/>
      <c r="Z28" s="63"/>
      <c r="AA28" s="35">
        <f t="shared" si="1"/>
        <v>11313.944834</v>
      </c>
      <c r="AB28" s="63">
        <f>IF(OR(Q28="",Q28&lt;=0.01),"",IF(SUM($F$23:F28)=Simul_ConstruRemo!$I$26,1,0))</f>
        <v>1</v>
      </c>
      <c r="AC28">
        <f t="shared" si="8"/>
        <v>1</v>
      </c>
      <c r="AD28" s="147">
        <f t="shared" si="9"/>
        <v>0</v>
      </c>
      <c r="AF28" t="str">
        <f>IF(C28="","",IF($E$16&gt;=6,"Ministración","Obra Concluida"))</f>
        <v>Ministración</v>
      </c>
      <c r="AI28">
        <f>IF(SUM($F$23:F27)&gt;=$K$9,1,0)</f>
        <v>0</v>
      </c>
    </row>
    <row r="29" spans="3:40" x14ac:dyDescent="0.25">
      <c r="C29" s="37">
        <f>IFERROR(IF(Q28&lt;=0.01,"",IF(C28+1&gt;Simul_ConstruRemo!$BN$11,"",C28+1)),"")</f>
        <v>7</v>
      </c>
      <c r="D29" s="37">
        <f>IF(C29&gt;Simul_ConstruRemo!$I$19,"",IF(Simul_ConstruRemo!I44=100%,"",IFERROR(VLOOKUP(C29,Simul_ConstruRemo!$AX$61:$AY$64,2,0),D28)))</f>
        <v>3</v>
      </c>
      <c r="E29" s="136">
        <f>IF(C29="","",IF(AND($E$8="Remodelación",Simul_ConstruRemo!I$22="No"),1,IF(Simul_ConstruRemo!$I$29&gt;=0.8,1,IF(AF29="Ministración",Simul_ConstruRemo!BM67,1))))</f>
        <v>0.8</v>
      </c>
      <c r="F29" s="35">
        <f>IFERROR(IF(C29="","",
IF(AND($E$8="Remodelación",Simul_ConstruRemo!$I$22="No"),0,
IF(AND($E$8&lt;&gt;"Remodelación",Simul_ConstruRemo!$I$29&gt;=0.8),0,
IF(AF29="Obra Concluida",0,
VLOOKUP(C29,Simul_ConstruRemo!$AX$61:$AZ$72,3,0))))),0)</f>
        <v>0</v>
      </c>
      <c r="G29" s="137">
        <f t="shared" si="5"/>
        <v>1500000</v>
      </c>
      <c r="H29" s="137">
        <f t="shared" si="2"/>
        <v>14490</v>
      </c>
      <c r="I29" s="137">
        <f t="shared" si="6"/>
        <v>2427.5</v>
      </c>
      <c r="J29" s="137">
        <f t="shared" si="3"/>
        <v>12062.5</v>
      </c>
      <c r="K29" s="137">
        <f>IF(C29="","",IF(Simul_ConstruRemo!$I$10=Simul_ConstruRemo!$BV$6,(Simul_ConstruRemo!$I$16*0.7+Simul_ConstruRemo!$I$17*0.5),IF(OR(D29=0,D29=""),Simul_ConstruRemo!$CO$27,HLOOKUP(D29,Simul_ConstruRemo!$CC$22:$CN$29,7,FALSE))))</f>
        <v>2606295</v>
      </c>
      <c r="L29" s="137">
        <f>IFERROR(Q29*Simul_ConstruRemo!$BP$30/1000,"")</f>
        <v>658.93190000000004</v>
      </c>
      <c r="M29" s="137">
        <f>IFERROR(IF($E$7="Remodelación",K29*Simul_ConstruRemo!$BS$29,
IF(E29=1,MAX(K29,Q29)*Simul_ConstruRemo!$BS$29,K29*Simul_ConstruRemo!$BQ$29)),"")</f>
        <v>1164.5760074399998</v>
      </c>
      <c r="N29" s="13">
        <f>IF(C29="","",'Tabla_Puntual&amp;Relacionamiento'!$E$37)</f>
        <v>9.6500000000000002E-2</v>
      </c>
      <c r="O29" s="138"/>
      <c r="P29" s="137">
        <f t="shared" si="4"/>
        <v>16313.50790744</v>
      </c>
      <c r="Q29" s="137">
        <f t="shared" si="7"/>
        <v>1497572.5</v>
      </c>
      <c r="R29" s="37">
        <f t="shared" si="0"/>
        <v>1</v>
      </c>
      <c r="S29" s="137"/>
      <c r="T29" s="137"/>
      <c r="Z29" s="63"/>
      <c r="AA29" s="35">
        <f t="shared" si="1"/>
        <v>16152.876733999999</v>
      </c>
      <c r="AB29" s="63">
        <f>IF(OR(Q29="",Q29&lt;=0.01),"",IF(SUM($F$23:F29)=Simul_ConstruRemo!$I$26,1,0))</f>
        <v>1</v>
      </c>
      <c r="AC29">
        <f t="shared" si="8"/>
        <v>2</v>
      </c>
      <c r="AD29" s="147">
        <f t="shared" si="9"/>
        <v>1</v>
      </c>
      <c r="AF29" t="str">
        <f>IF(C29="","",IF($E$16&gt;=7,"Ministración","Obra Concluida"))</f>
        <v>Ministración</v>
      </c>
      <c r="AI29">
        <f>IF(SUM($F$23:F28)&gt;=$K$9,1,0)</f>
        <v>1</v>
      </c>
    </row>
    <row r="30" spans="3:40" x14ac:dyDescent="0.25">
      <c r="C30" s="37">
        <f>IFERROR(IF(Q29&lt;=0.01,"",IF(C29+1&gt;Simul_ConstruRemo!$BN$11,"",C29+1)),"")</f>
        <v>8</v>
      </c>
      <c r="D30" s="37">
        <f>IF(C30&gt;Simul_ConstruRemo!$I$19,"",IF(Simul_ConstruRemo!I45=100%,"",IFERROR(VLOOKUP(C30,Simul_ConstruRemo!$AX$61:$AY$64,2,0),D29)))</f>
        <v>3</v>
      </c>
      <c r="E30" s="136">
        <f>IF(C30="","",IF(AND($E$8="Remodelación",Simul_ConstruRemo!I$22="No"),1,IF(Simul_ConstruRemo!$I$29&gt;=0.8,1,IF(AF30="Ministración",Simul_ConstruRemo!BM68,1))))</f>
        <v>0.8</v>
      </c>
      <c r="F30" s="35">
        <f>IFERROR(IF(C30="","",
IF(AND($E$8="Remodelación",Simul_ConstruRemo!$I$22="No"),0,
IF(AND($E$8&lt;&gt;"Remodelación",Simul_ConstruRemo!$I$29&gt;=0.8),0,
IF(AF30="Obra Concluida",0,
VLOOKUP(C30,Simul_ConstruRemo!$AX$61:$AZ$72,3,0))))),0)</f>
        <v>0</v>
      </c>
      <c r="G30" s="137">
        <f t="shared" si="5"/>
        <v>1497572.5</v>
      </c>
      <c r="H30" s="137">
        <f t="shared" si="2"/>
        <v>14490</v>
      </c>
      <c r="I30" s="137">
        <f t="shared" si="6"/>
        <v>2447.0211458333342</v>
      </c>
      <c r="J30" s="137">
        <f t="shared" si="3"/>
        <v>12042.978854166666</v>
      </c>
      <c r="K30" s="137">
        <f>IF(C30="","",IF(Simul_ConstruRemo!$I$10=Simul_ConstruRemo!$BV$6,(Simul_ConstruRemo!$I$16*0.7+Simul_ConstruRemo!$I$17*0.5),IF(OR(D30=0,D30=""),Simul_ConstruRemo!$CO$27,HLOOKUP(D30,Simul_ConstruRemo!$CC$22:$CN$29,7,FALSE))))</f>
        <v>2606295</v>
      </c>
      <c r="L30" s="137">
        <f>IFERROR(Q30*Simul_ConstruRemo!$BP$30/1000,"")</f>
        <v>657.85521069583331</v>
      </c>
      <c r="M30" s="137">
        <f>IFERROR(IF($E$7="Remodelación",K30*Simul_ConstruRemo!$BS$29,
IF(E30=1,MAX(K30,Q30)*Simul_ConstruRemo!$BS$29,K30*Simul_ConstruRemo!$BQ$29)),"")</f>
        <v>1164.5760074399998</v>
      </c>
      <c r="N30" s="13">
        <f>IF(C30="","",'Tabla_Puntual&amp;Relacionamiento'!$E$37)</f>
        <v>9.6500000000000002E-2</v>
      </c>
      <c r="O30" s="138"/>
      <c r="P30" s="137">
        <f t="shared" si="4"/>
        <v>16312.431218135835</v>
      </c>
      <c r="Q30" s="137">
        <f t="shared" si="7"/>
        <v>1495125.4788541666</v>
      </c>
      <c r="R30" s="37">
        <f t="shared" si="0"/>
        <v>1</v>
      </c>
      <c r="S30" s="137"/>
      <c r="T30" s="137"/>
      <c r="Z30" s="63"/>
      <c r="AA30" s="35">
        <f t="shared" si="1"/>
        <v>16151.800044695834</v>
      </c>
      <c r="AB30" s="63">
        <f>IF(OR(Q30="",Q30&lt;=0.01),"",IF(SUM($F$23:F30)=Simul_ConstruRemo!$I$26,1,0))</f>
        <v>1</v>
      </c>
      <c r="AC30">
        <f t="shared" si="8"/>
        <v>3</v>
      </c>
      <c r="AD30" s="147">
        <f t="shared" si="9"/>
        <v>2</v>
      </c>
      <c r="AF30" t="str">
        <f>IF(C30="","",IF($E$16&gt;=8,"Ministración","Obra Concluida"))</f>
        <v>Ministración</v>
      </c>
      <c r="AI30">
        <f>IF(SUM($F$23:F29)&gt;=$K$9,1,0)</f>
        <v>1</v>
      </c>
    </row>
    <row r="31" spans="3:40" x14ac:dyDescent="0.25">
      <c r="C31" s="37">
        <f>IFERROR(IF(Q30&lt;=0.01,"",IF(C30+1&gt;Simul_ConstruRemo!$BN$11,"",C30+1)),"")</f>
        <v>9</v>
      </c>
      <c r="D31" s="37">
        <f>IF(C31&gt;Simul_ConstruRemo!$I$19,"",IF(Simul_ConstruRemo!I46=100%,"",IFERROR(VLOOKUP(C31,Simul_ConstruRemo!$AX$61:$AY$64,2,0),D30)))</f>
        <v>3</v>
      </c>
      <c r="E31" s="136">
        <f>IF(C31="","",IF(AND($E$8="Remodelación",Simul_ConstruRemo!I$22="No"),1,IF(Simul_ConstruRemo!$I$29&gt;=0.8,1,IF(AF31="Ministración",Simul_ConstruRemo!BM69,1))))</f>
        <v>0.8</v>
      </c>
      <c r="F31" s="35">
        <f>IFERROR(IF(C31="","",
IF(AND($E$8="Remodelación",Simul_ConstruRemo!$I$22="No"),0,
IF(AND($E$8&lt;&gt;"Remodelación",Simul_ConstruRemo!$I$29&gt;=0.8),0,
IF(AF31="Obra Concluida",0,
VLOOKUP(C31,Simul_ConstruRemo!$AX$61:$AZ$72,3,0))))),0)</f>
        <v>0</v>
      </c>
      <c r="G31" s="137">
        <f t="shared" si="5"/>
        <v>1495125.4788541666</v>
      </c>
      <c r="H31" s="137">
        <f t="shared" si="2"/>
        <v>14490</v>
      </c>
      <c r="I31" s="137">
        <f t="shared" si="6"/>
        <v>2466.6992742144084</v>
      </c>
      <c r="J31" s="137">
        <f t="shared" si="3"/>
        <v>12023.300725785592</v>
      </c>
      <c r="K31" s="137">
        <f>IF(C31="","",IF(Simul_ConstruRemo!$I$10=Simul_ConstruRemo!$BV$6,(Simul_ConstruRemo!$I$16*0.7+Simul_ConstruRemo!$I$17*0.5),IF(OR(D31=0,D31=""),Simul_ConstruRemo!$CO$27,HLOOKUP(D31,Simul_ConstruRemo!$CC$22:$CN$29,7,FALSE))))</f>
        <v>2606295</v>
      </c>
      <c r="L31" s="137">
        <f>IFERROR(Q31*Simul_ConstruRemo!$BP$30/1000,"")</f>
        <v>656.76986301517888</v>
      </c>
      <c r="M31" s="137">
        <f>IFERROR(IF($E$7="Remodelación",K31*Simul_ConstruRemo!$BS$29,
IF(E31=1,MAX(K31,Q31)*Simul_ConstruRemo!$BS$29,K31*Simul_ConstruRemo!$BQ$29)),"")</f>
        <v>1164.5760074399998</v>
      </c>
      <c r="N31" s="13">
        <f>IF(C31="","",'Tabla_Puntual&amp;Relacionamiento'!$E$37)</f>
        <v>9.6500000000000002E-2</v>
      </c>
      <c r="O31" s="138"/>
      <c r="P31" s="137">
        <f t="shared" si="4"/>
        <v>16311.345870455179</v>
      </c>
      <c r="Q31" s="137">
        <f t="shared" si="7"/>
        <v>1492658.7795799521</v>
      </c>
      <c r="R31" s="37">
        <f t="shared" si="0"/>
        <v>1</v>
      </c>
      <c r="S31" s="137"/>
      <c r="T31" s="137"/>
      <c r="Z31" s="63"/>
      <c r="AA31" s="35">
        <f t="shared" si="1"/>
        <v>16150.714697015179</v>
      </c>
      <c r="AB31" s="63">
        <f>IF(OR(Q31="",Q31&lt;=0.01),"",IF(SUM($F$23:F31)=Simul_ConstruRemo!$I$26,1,0))</f>
        <v>1</v>
      </c>
      <c r="AC31">
        <f t="shared" si="8"/>
        <v>4</v>
      </c>
      <c r="AD31" s="147">
        <f t="shared" si="9"/>
        <v>3</v>
      </c>
      <c r="AF31" t="str">
        <f>IF(C31="","",IF($E$16&gt;=9,"Ministración","Obra Concluida"))</f>
        <v>Ministración</v>
      </c>
      <c r="AI31">
        <f>IF(SUM($F$23:F30)&gt;=$K$9,1,0)</f>
        <v>1</v>
      </c>
    </row>
    <row r="32" spans="3:40" x14ac:dyDescent="0.25">
      <c r="C32" s="37">
        <f>IFERROR(IF(Q31&lt;=0.01,"",IF(C31+1&gt;Simul_ConstruRemo!$BN$11,"",C31+1)),"")</f>
        <v>10</v>
      </c>
      <c r="D32" s="37">
        <f>IF(C32&gt;Simul_ConstruRemo!$I$19,"",IF(Simul_ConstruRemo!I47=100%,"",IFERROR(VLOOKUP(C32,Simul_ConstruRemo!$AX$61:$AY$64,2,0),D31)))</f>
        <v>3</v>
      </c>
      <c r="E32" s="136">
        <f>IF(C32="","",IF(AND($E$8="Remodelación",Simul_ConstruRemo!I$22="No"),1,IF(Simul_ConstruRemo!$I$29&gt;=0.8,1,IF(AF32="Ministración",Simul_ConstruRemo!BM70,1))))</f>
        <v>0.8</v>
      </c>
      <c r="F32" s="35">
        <f>IFERROR(IF(C32="","",
IF(AND($E$8="Remodelación",Simul_ConstruRemo!$I$22="No"),0,
IF(AND($E$8&lt;&gt;"Remodelación",Simul_ConstruRemo!$I$29&gt;=0.8),0,
IF(AF32="Obra Concluida",0,
VLOOKUP(C32,Simul_ConstruRemo!$AX$61:$AZ$72,3,0))))),0)</f>
        <v>0</v>
      </c>
      <c r="G32" s="137">
        <f t="shared" si="5"/>
        <v>1492658.7795799521</v>
      </c>
      <c r="H32" s="137">
        <f t="shared" si="2"/>
        <v>14490</v>
      </c>
      <c r="I32" s="137">
        <f t="shared" si="6"/>
        <v>2486.5356475445515</v>
      </c>
      <c r="J32" s="137">
        <f t="shared" si="3"/>
        <v>12003.464352455449</v>
      </c>
      <c r="K32" s="137">
        <f>IF(C32="","",IF(Simul_ConstruRemo!$I$10=Simul_ConstruRemo!$BV$6,(Simul_ConstruRemo!$I$16*0.7+Simul_ConstruRemo!$I$17*0.5),IF(OR(D32=0,D32=""),Simul_ConstruRemo!$CO$27,HLOOKUP(D32,Simul_ConstruRemo!$CC$22:$CN$29,7,FALSE))))</f>
        <v>2606295</v>
      </c>
      <c r="L32" s="137">
        <f>IFERROR(Q32*Simul_ConstruRemo!$BP$30/1000,"")</f>
        <v>655.67578733025937</v>
      </c>
      <c r="M32" s="137">
        <f>IFERROR(IF($E$7="Remodelación",K32*Simul_ConstruRemo!$BS$29,
IF(E32=1,MAX(K32,Q32)*Simul_ConstruRemo!$BS$29,K32*Simul_ConstruRemo!$BQ$29)),"")</f>
        <v>1164.5760074399998</v>
      </c>
      <c r="N32" s="13">
        <f>IF(C32="","",'Tabla_Puntual&amp;Relacionamiento'!$E$37)</f>
        <v>9.6500000000000002E-2</v>
      </c>
      <c r="O32" s="138"/>
      <c r="P32" s="137">
        <f t="shared" si="4"/>
        <v>16310.25179477026</v>
      </c>
      <c r="Q32" s="137">
        <f t="shared" si="7"/>
        <v>1490172.2439324076</v>
      </c>
      <c r="R32" s="37">
        <f t="shared" si="0"/>
        <v>1</v>
      </c>
      <c r="S32" s="137"/>
      <c r="T32" s="137"/>
      <c r="Z32" s="63"/>
      <c r="AA32" s="35">
        <f t="shared" si="1"/>
        <v>16149.620621330259</v>
      </c>
      <c r="AB32" s="63">
        <f>IF(OR(Q32="",Q32&lt;=0.01),"",IF(SUM($F$23:F32)=Simul_ConstruRemo!$I$26,1,0))</f>
        <v>1</v>
      </c>
      <c r="AC32">
        <f t="shared" si="8"/>
        <v>5</v>
      </c>
      <c r="AD32" s="147">
        <f t="shared" si="9"/>
        <v>4</v>
      </c>
      <c r="AF32" t="str">
        <f>IF(C32="","",IF($E$16&gt;=10,"Ministración","Obra Concluida"))</f>
        <v>Ministración</v>
      </c>
      <c r="AI32">
        <f>IF(SUM($F$23:F31)&gt;=$K$9,1,0)</f>
        <v>1</v>
      </c>
    </row>
    <row r="33" spans="3:35" x14ac:dyDescent="0.25">
      <c r="C33" s="37">
        <f>IFERROR(IF(Q32&lt;=0.01,"",IF(C32+1&gt;Simul_ConstruRemo!$BN$11,"",C32+1)),"")</f>
        <v>11</v>
      </c>
      <c r="D33" s="37">
        <f>IF(C33&gt;Simul_ConstruRemo!$I$19,"",IF(Simul_ConstruRemo!I48=100%,"",IFERROR(VLOOKUP(C33,Simul_ConstruRemo!$AX$61:$AY$64,2,0),D32)))</f>
        <v>3</v>
      </c>
      <c r="E33" s="136">
        <f>IF(C33="","",IF(AND($E$8="Remodelación",Simul_ConstruRemo!I$22="No"),1,IF(Simul_ConstruRemo!$I$29&gt;=0.8,1,IF(AF33="Ministración",Simul_ConstruRemo!BM71,1))))</f>
        <v>0.8</v>
      </c>
      <c r="F33" s="35">
        <f>IFERROR(IF(C33="","",
IF(AND($E$8="Remodelación",Simul_ConstruRemo!$I$22="No"),0,
IF(AND($E$8&lt;&gt;"Remodelación",Simul_ConstruRemo!$I$29&gt;=0.8),0,
IF(AF33="Obra Concluida",0,
VLOOKUP(C33,Simul_ConstruRemo!$AX$61:$AZ$72,3,0))))),0)</f>
        <v>0</v>
      </c>
      <c r="G33" s="137">
        <f t="shared" si="5"/>
        <v>1490172.2439324076</v>
      </c>
      <c r="H33" s="137">
        <f t="shared" si="2"/>
        <v>14490</v>
      </c>
      <c r="I33" s="137">
        <f t="shared" si="6"/>
        <v>2506.5315383768884</v>
      </c>
      <c r="J33" s="137">
        <f t="shared" si="3"/>
        <v>11983.468461623112</v>
      </c>
      <c r="K33" s="137">
        <f>IF(C33="","",IF(Simul_ConstruRemo!$I$10=Simul_ConstruRemo!$BV$6,(Simul_ConstruRemo!$I$16*0.7+Simul_ConstruRemo!$I$17*0.5),IF(OR(D33=0,D33=""),Simul_ConstruRemo!$CO$27,HLOOKUP(D33,Simul_ConstruRemo!$CC$22:$CN$29,7,FALSE))))</f>
        <v>2606295</v>
      </c>
      <c r="L33" s="137">
        <f>IFERROR(Q33*Simul_ConstruRemo!$BP$30/1000,"")</f>
        <v>654.57291345337364</v>
      </c>
      <c r="M33" s="137">
        <f>IFERROR(IF($E$7="Remodelación",K33*Simul_ConstruRemo!$BS$29,
IF(E33=1,MAX(K33,Q33)*Simul_ConstruRemo!$BS$29,K33*Simul_ConstruRemo!$BQ$29)),"")</f>
        <v>1164.5760074399998</v>
      </c>
      <c r="N33" s="13">
        <f>IF(C33="","",'Tabla_Puntual&amp;Relacionamiento'!$E$37)</f>
        <v>9.6500000000000002E-2</v>
      </c>
      <c r="O33" s="138"/>
      <c r="P33" s="137">
        <f t="shared" si="4"/>
        <v>16309.148920893374</v>
      </c>
      <c r="Q33" s="137">
        <f t="shared" si="7"/>
        <v>1487665.7123940308</v>
      </c>
      <c r="R33" s="37">
        <f t="shared" si="0"/>
        <v>1</v>
      </c>
      <c r="S33" s="137"/>
      <c r="T33" s="137"/>
      <c r="Z33" s="63"/>
      <c r="AA33" s="35">
        <f t="shared" si="1"/>
        <v>16148.517747453374</v>
      </c>
      <c r="AB33" s="63">
        <f>IF(OR(Q33="",Q33&lt;=0.01),"",IF(SUM($F$23:F33)=Simul_ConstruRemo!$I$26,1,0))</f>
        <v>1</v>
      </c>
      <c r="AC33">
        <f t="shared" si="8"/>
        <v>6</v>
      </c>
      <c r="AD33" s="147">
        <f t="shared" si="9"/>
        <v>5</v>
      </c>
      <c r="AF33" t="str">
        <f>IF(C33="","",IF($E$16&gt;=11,"Ministración","Obra Concluida"))</f>
        <v>Ministración</v>
      </c>
      <c r="AI33">
        <f>IF(SUM($F$23:F32)&gt;=$K$9,1,0)</f>
        <v>1</v>
      </c>
    </row>
    <row r="34" spans="3:35" x14ac:dyDescent="0.25">
      <c r="C34" s="37">
        <f>IFERROR(IF(Q33&lt;=0.01,"",IF(C33+1&gt;Simul_ConstruRemo!$BN$11,"",C33+1)),"")</f>
        <v>12</v>
      </c>
      <c r="D34" s="37">
        <f>IF(C34&gt;Simul_ConstruRemo!$I$19,"",IF(Simul_ConstruRemo!I49=100%,"",IFERROR(VLOOKUP(C34,Simul_ConstruRemo!$AX$61:$AY$64,2,0),D33)))</f>
        <v>3</v>
      </c>
      <c r="E34" s="136">
        <f>IF(C34="","",IF(AND($E$8="Remodelación",Simul_ConstruRemo!I$22="No"),1,IF(Simul_ConstruRemo!$I$29&gt;=0.8,1,IF(AF34="Ministración",Simul_ConstruRemo!BM72,1))))</f>
        <v>0.8</v>
      </c>
      <c r="F34" s="35">
        <f>IFERROR(IF(C34="","",
IF(AND($E$8="Remodelación",Simul_ConstruRemo!$I$22="No"),0,
IF(AND($E$8&lt;&gt;"Remodelación",Simul_ConstruRemo!$I$29&gt;=0.8),0,
IF(AF34="Obra Concluida",0,
VLOOKUP(C34,Simul_ConstruRemo!$AX$61:$AZ$72,3,0))))),0)</f>
        <v>0</v>
      </c>
      <c r="G34" s="137">
        <f t="shared" si="5"/>
        <v>1487665.7123940308</v>
      </c>
      <c r="H34" s="137">
        <f t="shared" si="2"/>
        <v>14490</v>
      </c>
      <c r="I34" s="137">
        <f t="shared" si="6"/>
        <v>2526.6882294980023</v>
      </c>
      <c r="J34" s="137">
        <f t="shared" si="3"/>
        <v>11963.311770501998</v>
      </c>
      <c r="K34" s="137">
        <f>IF(C34="","",IF(Simul_ConstruRemo!$I$10=Simul_ConstruRemo!$BV$6,(Simul_ConstruRemo!$I$16*0.7+Simul_ConstruRemo!$I$17*0.5),IF(OR(D34=0,D34=""),Simul_ConstruRemo!$CO$27,HLOOKUP(D34,Simul_ConstruRemo!$CC$22:$CN$29,7,FALSE))))</f>
        <v>2606295</v>
      </c>
      <c r="L34" s="137">
        <f>IFERROR(Q34*Simul_ConstruRemo!$BP$30/1000,"")</f>
        <v>653.46117063239433</v>
      </c>
      <c r="M34" s="137">
        <f>IFERROR(IF($E$7="Remodelación",K34*Simul_ConstruRemo!$BS$29,
IF(E34=1,MAX(K34,Q34)*Simul_ConstruRemo!$BS$29,K34*Simul_ConstruRemo!$BQ$29)),"")</f>
        <v>1164.5760074399998</v>
      </c>
      <c r="N34" s="13">
        <f>IF(C34="","",'Tabla_Puntual&amp;Relacionamiento'!$E$37)</f>
        <v>9.6500000000000002E-2</v>
      </c>
      <c r="O34" s="138"/>
      <c r="P34" s="137">
        <f t="shared" si="4"/>
        <v>16308.037178072394</v>
      </c>
      <c r="Q34" s="137">
        <f t="shared" si="7"/>
        <v>1485139.0241645328</v>
      </c>
      <c r="R34" s="37">
        <f t="shared" si="0"/>
        <v>1</v>
      </c>
      <c r="S34" s="137"/>
      <c r="T34" s="137"/>
      <c r="Z34" s="63"/>
      <c r="AA34" s="35">
        <f t="shared" si="1"/>
        <v>16147.406004632394</v>
      </c>
      <c r="AB34" s="63">
        <f>IF(OR(Q34="",Q34&lt;=0.01),"",IF(SUM($F$23:F34)=Simul_ConstruRemo!$I$26,1,0))</f>
        <v>1</v>
      </c>
      <c r="AC34">
        <f t="shared" si="8"/>
        <v>7</v>
      </c>
      <c r="AD34" s="147">
        <f t="shared" si="9"/>
        <v>6</v>
      </c>
      <c r="AF34" t="str">
        <f>IF(C34="","",IF($E$16&gt;=12,"Ministración","Obra Concluida"))</f>
        <v>Ministración</v>
      </c>
      <c r="AI34">
        <f>IF(SUM($F$23:F33)&gt;=$K$9,1,0)</f>
        <v>1</v>
      </c>
    </row>
    <row r="35" spans="3:35" x14ac:dyDescent="0.25">
      <c r="C35" s="37">
        <f>IFERROR(IF(Q34&lt;=0.01,"",IF(C34+1&gt;Simul_ConstruRemo!$BN$11,"",C34+1)),"")</f>
        <v>13</v>
      </c>
      <c r="D35" s="37" t="str">
        <f>IF(C35&gt;Simul_ConstruRemo!$I$19,"",IF(Simul_ConstruRemo!I50=100%,"",IFERROR(VLOOKUP(C35,Simul_ConstruRemo!$AX$61:$AY$64,2,0),D34)))</f>
        <v/>
      </c>
      <c r="E35" s="136">
        <f>IF(C35="","",IF(AND($E$8="Remodelación",Simul_ConstruRemo!I$22="No"),1,IF(Simul_ConstruRemo!$I$29&gt;=0.8,1,IF(AF35="Ministración",Simul_ConstruRemo!BM73,1))))</f>
        <v>1</v>
      </c>
      <c r="F35" s="35">
        <f>IFERROR(IF(C35="","",
IF(AND($E$8="Remodelación",Simul_ConstruRemo!$I$22="No"),0,
IF(AND($E$8&lt;&gt;"Remodelación",Simul_ConstruRemo!$I$29&gt;=0.8),0,
IF(AF35="Obra Concluida",0,
VLOOKUP(C35,Simul_ConstruRemo!$AX$61:$AZ$72,3,0))))),0)</f>
        <v>0</v>
      </c>
      <c r="G35" s="137">
        <f t="shared" si="5"/>
        <v>1485139.0241645328</v>
      </c>
      <c r="H35" s="137">
        <f t="shared" si="2"/>
        <v>14490</v>
      </c>
      <c r="I35" s="137">
        <f t="shared" si="6"/>
        <v>2547.0070140102143</v>
      </c>
      <c r="J35" s="137">
        <f t="shared" si="3"/>
        <v>11942.992985989786</v>
      </c>
      <c r="K35" s="137">
        <f>IF(C35="","",IF(Simul_ConstruRemo!$I$10=Simul_ConstruRemo!$BV$6,(Simul_ConstruRemo!$I$16*0.7+Simul_ConstruRemo!$I$17*0.5),IF(OR(D35=0,D35=""),Simul_ConstruRemo!$CO$27,HLOOKUP(D35,Simul_ConstruRemo!$CC$22:$CN$29,7,FALSE))))</f>
        <v>2606295</v>
      </c>
      <c r="L35" s="137">
        <f>IFERROR(Q35*Simul_ConstruRemo!$BP$30/1000,"")</f>
        <v>652.34048754622995</v>
      </c>
      <c r="M35" s="137">
        <f>IFERROR(IF($E$7="Remodelación",K35*Simul_ConstruRemo!$BS$29,
IF(E35=1,MAX(K35,Q35)*Simul_ConstruRemo!$BS$29,K35*Simul_ConstruRemo!$BQ$29)),"")</f>
        <v>827.2389712662</v>
      </c>
      <c r="N35" s="13">
        <f>IF(C35="","",'Tabla_Puntual&amp;Relacionamiento'!$E$38)</f>
        <v>9.6500000000000002E-2</v>
      </c>
      <c r="O35" s="138"/>
      <c r="P35" s="137">
        <f t="shared" si="4"/>
        <v>15969.57945881243</v>
      </c>
      <c r="Q35" s="137">
        <f t="shared" si="7"/>
        <v>1482592.0171505227</v>
      </c>
      <c r="R35" s="37">
        <f t="shared" si="0"/>
        <v>1</v>
      </c>
      <c r="S35" s="137"/>
      <c r="T35" s="137"/>
      <c r="Z35" s="63"/>
      <c r="AA35" s="35">
        <f t="shared" si="1"/>
        <v>15855.47753174123</v>
      </c>
      <c r="AB35" s="63">
        <f>IF(OR(Q35="",Q35&lt;=0.01),"",IF(SUM($F$23:F35)=Simul_ConstruRemo!$I$26,1,0))</f>
        <v>1</v>
      </c>
      <c r="AC35">
        <f t="shared" si="8"/>
        <v>8</v>
      </c>
      <c r="AD35" s="147">
        <f t="shared" si="9"/>
        <v>7</v>
      </c>
      <c r="AF35" t="str">
        <f>IF(C35="","",IF($E$16&gt;=13,"Ministración","Obra Concluida"))</f>
        <v>Obra Concluida</v>
      </c>
      <c r="AI35">
        <f>IF(SUM($F$23:F34)&gt;=$K$9,1,0)</f>
        <v>1</v>
      </c>
    </row>
    <row r="36" spans="3:35" x14ac:dyDescent="0.25">
      <c r="C36" s="37">
        <f>IFERROR(IF(Q35&lt;=0.01,"",IF(C35+1&gt;Simul_ConstruRemo!$BN$11,"",C35+1)),"")</f>
        <v>14</v>
      </c>
      <c r="D36" s="37" t="str">
        <f>IF(C36&gt;Simul_ConstruRemo!$I$19,"",IF(Simul_ConstruRemo!I74=100%,"",IFERROR(VLOOKUP(C36,Simul_ConstruRemo!$AX$61:$AY$64,2,0),D35)))</f>
        <v/>
      </c>
      <c r="E36" s="136">
        <f>IF(C36="","",IF(AND($E$8="Remodelación",Simul_ConstruRemo!I$22="No"),1,IF(Simul_ConstruRemo!$I$29&gt;=0.8,1,IF(AF36="Ministración",Simul_ConstruRemo!BM74,1))))</f>
        <v>1</v>
      </c>
      <c r="F36" s="35">
        <f>IFERROR(IF(C36="","",
IF(AND($E$8="Remodelación",Simul_ConstruRemo!$I$22="No"),0,
IF(AND($E$8&lt;&gt;"Remodelación",Simul_ConstruRemo!$I$29&gt;=0.8),0,
IF(AF36="Obra Concluida",0,
VLOOKUP(C36,Simul_ConstruRemo!$AX$61:$AZ$72,3,0))))),0)</f>
        <v>0</v>
      </c>
      <c r="G36" s="137">
        <f t="shared" si="5"/>
        <v>1482592.0171505227</v>
      </c>
      <c r="H36" s="137">
        <f t="shared" si="2"/>
        <v>14490</v>
      </c>
      <c r="I36" s="137">
        <f t="shared" si="6"/>
        <v>2567.489195414546</v>
      </c>
      <c r="J36" s="137">
        <f t="shared" si="3"/>
        <v>11922.510804585454</v>
      </c>
      <c r="K36" s="137">
        <f>IF(C36="","",IF(Simul_ConstruRemo!$I$10=Simul_ConstruRemo!$BV$6,(Simul_ConstruRemo!$I$16*0.7+Simul_ConstruRemo!$I$17*0.5),IF(OR(D36=0,D36=""),Simul_ConstruRemo!$CO$27,HLOOKUP(D36,Simul_ConstruRemo!$CC$22:$CN$29,7,FALSE))))</f>
        <v>2606295</v>
      </c>
      <c r="L36" s="137">
        <f>IFERROR(Q36*Simul_ConstruRemo!$BP$30/1000,"")</f>
        <v>651.21079230024759</v>
      </c>
      <c r="M36" s="137">
        <f>IFERROR(IF($E$7="Remodelación",K36*Simul_ConstruRemo!$BS$29,
IF(E36=1,MAX(K36,Q36)*Simul_ConstruRemo!$BS$29,K36*Simul_ConstruRemo!$BQ$29)),"")</f>
        <v>827.2389712662</v>
      </c>
      <c r="N36" s="13">
        <f>IF(C36="","",'Tabla_Puntual&amp;Relacionamiento'!$E$38)</f>
        <v>9.6500000000000002E-2</v>
      </c>
      <c r="O36" s="138"/>
      <c r="P36" s="137">
        <f t="shared" si="4"/>
        <v>15968.449763566448</v>
      </c>
      <c r="Q36" s="137">
        <f t="shared" si="7"/>
        <v>1480024.5279551081</v>
      </c>
      <c r="R36" s="37">
        <f t="shared" si="0"/>
        <v>1</v>
      </c>
      <c r="S36" s="137"/>
      <c r="T36" s="137"/>
      <c r="Z36" s="63"/>
      <c r="AA36" s="35">
        <f t="shared" si="1"/>
        <v>15854.347836495248</v>
      </c>
      <c r="AB36" s="63">
        <f>IF(OR(Q36="",Q36&lt;=0.01),"",IF(SUM($F$23:F36)=Simul_ConstruRemo!$I$26,1,0))</f>
        <v>1</v>
      </c>
      <c r="AC36">
        <f t="shared" si="8"/>
        <v>9</v>
      </c>
      <c r="AD36" s="147">
        <f t="shared" si="9"/>
        <v>8</v>
      </c>
      <c r="AF36" t="str">
        <f>IF(C36="","",IF($E$16&gt;=14,"Ministración","Obra Concluida"))</f>
        <v>Obra Concluida</v>
      </c>
      <c r="AI36">
        <f>IF(SUM($F$23:F35)&gt;=$K$9,1,0)</f>
        <v>1</v>
      </c>
    </row>
    <row r="37" spans="3:35" x14ac:dyDescent="0.25">
      <c r="C37" s="37">
        <f>IFERROR(IF(Q36&lt;=0.01,"",IF(C36+1&gt;Simul_ConstruRemo!$BN$11,"",C36+1)),"")</f>
        <v>15</v>
      </c>
      <c r="D37" s="37" t="str">
        <f>IF(C37&gt;Simul_ConstruRemo!$I$19,"",IF(Simul_ConstruRemo!I59=100%,"",IFERROR(VLOOKUP(C37,Simul_ConstruRemo!$AX$61:$AY$64,2,0),D36)))</f>
        <v/>
      </c>
      <c r="E37" s="136">
        <f>IF(C37="","",IF(AND($E$8="Remodelación",Simul_ConstruRemo!I$22="No"),1,IF(Simul_ConstruRemo!$I$29&gt;=0.8,1,IF(AF37="Ministración",Simul_ConstruRemo!BM75,1))))</f>
        <v>1</v>
      </c>
      <c r="F37" s="35">
        <f>IFERROR(IF(C37="","",
IF(AND($E$8="Remodelación",Simul_ConstruRemo!$I$22="No"),0,
IF(AND($E$8&lt;&gt;"Remodelación",Simul_ConstruRemo!$I$29&gt;=0.8),0,
IF(AF37="Obra Concluida",0,
VLOOKUP(C37,Simul_ConstruRemo!$AX$61:$AZ$72,3,0))))),0)</f>
        <v>0</v>
      </c>
      <c r="G37" s="137">
        <f t="shared" si="5"/>
        <v>1480024.5279551081</v>
      </c>
      <c r="H37" s="137">
        <f t="shared" si="2"/>
        <v>14490</v>
      </c>
      <c r="I37" s="137">
        <f t="shared" si="6"/>
        <v>2588.1360876943381</v>
      </c>
      <c r="J37" s="137">
        <f t="shared" si="3"/>
        <v>11901.863912305662</v>
      </c>
      <c r="K37" s="137">
        <f>IF(C37="","",IF(Simul_ConstruRemo!$I$10=Simul_ConstruRemo!$BV$6,(Simul_ConstruRemo!$I$16*0.7+Simul_ConstruRemo!$I$17*0.5),IF(OR(D37=0,D37=""),Simul_ConstruRemo!$CO$27,HLOOKUP(D37,Simul_ConstruRemo!$CC$22:$CN$29,7,FALSE))))</f>
        <v>2606295</v>
      </c>
      <c r="L37" s="137">
        <f>IFERROR(Q37*Simul_ConstruRemo!$BP$30/1000,"")</f>
        <v>650.07201242166195</v>
      </c>
      <c r="M37" s="137">
        <f>IFERROR(IF($E$7="Remodelación",K37*Simul_ConstruRemo!$BS$29,
IF(E37=1,MAX(K37,Q37)*Simul_ConstruRemo!$BS$29,K37*Simul_ConstruRemo!$BQ$29)),"")</f>
        <v>827.2389712662</v>
      </c>
      <c r="N37" s="13">
        <f>IF(C37="","",'Tabla_Puntual&amp;Relacionamiento'!$E$38)</f>
        <v>9.6500000000000002E-2</v>
      </c>
      <c r="O37" s="138"/>
      <c r="P37" s="137">
        <f t="shared" si="4"/>
        <v>15967.310983687863</v>
      </c>
      <c r="Q37" s="137">
        <f t="shared" si="7"/>
        <v>1477436.3918674137</v>
      </c>
      <c r="R37" s="37">
        <f t="shared" si="0"/>
        <v>1</v>
      </c>
      <c r="S37" s="137"/>
      <c r="T37" s="137"/>
      <c r="Z37" s="63"/>
      <c r="AA37" s="35">
        <f t="shared" si="1"/>
        <v>15853.209056616663</v>
      </c>
      <c r="AB37" s="63">
        <f>IF(OR(Q37="",Q37&lt;=0.01),"",IF(SUM($F$23:F37)=Simul_ConstruRemo!$I$26,1,0))</f>
        <v>1</v>
      </c>
      <c r="AC37">
        <f t="shared" si="8"/>
        <v>10</v>
      </c>
      <c r="AD37" s="147">
        <f t="shared" si="9"/>
        <v>9</v>
      </c>
      <c r="AF37" t="str">
        <f>IF(C37="","",IF($E$16&gt;=15,"Ministración","Obra Concluida"))</f>
        <v>Obra Concluida</v>
      </c>
      <c r="AI37">
        <f>IF(SUM($F$23:F36)&gt;=$K$9,1,0)</f>
        <v>1</v>
      </c>
    </row>
    <row r="38" spans="3:35" x14ac:dyDescent="0.25">
      <c r="C38" s="37">
        <f>IFERROR(IF(Q37&lt;=0.01,"",IF(C37+1&gt;Simul_ConstruRemo!$BN$11,"",C37+1)),"")</f>
        <v>16</v>
      </c>
      <c r="D38" s="37" t="str">
        <f>IF(C38&gt;Simul_ConstruRemo!$I$19,"",IF(Simul_ConstruRemo!I60=100%,"",IFERROR(VLOOKUP(C38,Simul_ConstruRemo!$AX$61:$AY$64,2,0),D37)))</f>
        <v/>
      </c>
      <c r="E38" s="136">
        <f>IF(C38="","",IF(AND($E$8="Remodelación",Simul_ConstruRemo!I$22="No"),1,IF(Simul_ConstruRemo!$I$29&gt;=0.8,1,IF(AF38="Ministración",Simul_ConstruRemo!BM76,1))))</f>
        <v>1</v>
      </c>
      <c r="F38" s="35">
        <f>IFERROR(IF(C38="","",
IF(AND($E$8="Remodelación",Simul_ConstruRemo!$I$22="No"),0,
IF(AND($E$8&lt;&gt;"Remodelación",Simul_ConstruRemo!$I$29&gt;=0.8),0,
IF(AF38="Obra Concluida",0,
VLOOKUP(C38,Simul_ConstruRemo!$AX$61:$AZ$72,3,0))))),0)</f>
        <v>0</v>
      </c>
      <c r="G38" s="137">
        <f t="shared" si="5"/>
        <v>1477436.3918674137</v>
      </c>
      <c r="H38" s="137">
        <f t="shared" si="2"/>
        <v>14490</v>
      </c>
      <c r="I38" s="137">
        <f t="shared" si="6"/>
        <v>2608.9490153995466</v>
      </c>
      <c r="J38" s="137">
        <f t="shared" si="3"/>
        <v>11881.050984600453</v>
      </c>
      <c r="K38" s="137">
        <f>IF(C38="","",IF(Simul_ConstruRemo!$I$10=Simul_ConstruRemo!$BV$6,(Simul_ConstruRemo!$I$16*0.7+Simul_ConstruRemo!$I$17*0.5),IF(OR(D38=0,D38=""),Simul_ConstruRemo!$CO$27,HLOOKUP(D38,Simul_ConstruRemo!$CC$22:$CN$29,7,FALSE))))</f>
        <v>2606295</v>
      </c>
      <c r="L38" s="137">
        <f>IFERROR(Q38*Simul_ConstruRemo!$BP$30/1000,"")</f>
        <v>648.92407485488627</v>
      </c>
      <c r="M38" s="137">
        <f>IFERROR(IF($E$7="Remodelación",K38*Simul_ConstruRemo!$BS$29,
IF(E38=1,MAX(K38,Q38)*Simul_ConstruRemo!$BS$29,K38*Simul_ConstruRemo!$BQ$29)),"")</f>
        <v>827.2389712662</v>
      </c>
      <c r="N38" s="13">
        <f>IF(C38="","",'Tabla_Puntual&amp;Relacionamiento'!$E$38)</f>
        <v>9.6500000000000002E-2</v>
      </c>
      <c r="O38" s="138"/>
      <c r="P38" s="137">
        <f t="shared" si="4"/>
        <v>15966.163046121086</v>
      </c>
      <c r="Q38" s="137">
        <f t="shared" si="7"/>
        <v>1474827.4428520142</v>
      </c>
      <c r="R38" s="37">
        <f t="shared" si="0"/>
        <v>1</v>
      </c>
      <c r="S38" s="137"/>
      <c r="T38" s="137"/>
      <c r="Z38" s="63"/>
      <c r="AA38" s="35">
        <f t="shared" si="1"/>
        <v>15852.061119049886</v>
      </c>
      <c r="AB38" s="63">
        <f>IF(OR(Q38="",Q38&lt;=0.01),"",IF(SUM($F$23:F38)=Simul_ConstruRemo!$I$26,1,0))</f>
        <v>1</v>
      </c>
      <c r="AC38">
        <f t="shared" si="8"/>
        <v>11</v>
      </c>
      <c r="AD38" s="147">
        <f t="shared" si="9"/>
        <v>10</v>
      </c>
      <c r="AF38" t="str">
        <f>IF(C38="","",IF($E$16&gt;=16,"Ministración","Obra Concluida"))</f>
        <v>Obra Concluida</v>
      </c>
      <c r="AI38">
        <f>IF(SUM($F$23:F37)&gt;=$K$9,1,0)</f>
        <v>1</v>
      </c>
    </row>
    <row r="39" spans="3:35" x14ac:dyDescent="0.25">
      <c r="C39" s="37">
        <f>IFERROR(IF(Q38&lt;=0.01,"",IF(C38+1&gt;Simul_ConstruRemo!$BN$11,"",C38+1)),"")</f>
        <v>17</v>
      </c>
      <c r="D39" s="37" t="str">
        <f>IF(C39&gt;Simul_ConstruRemo!$I$19,"",IF(Simul_ConstruRemo!I61=100%,"",IFERROR(VLOOKUP(C39,Simul_ConstruRemo!$AX$61:$AY$64,2,0),D38)))</f>
        <v/>
      </c>
      <c r="E39" s="136">
        <f>IF(C39="","",IF(AND($E$8="Remodelación",Simul_ConstruRemo!I$22="No"),1,IF(Simul_ConstruRemo!$I$29&gt;=0.8,1,IF(AF39="Ministración",Simul_ConstruRemo!BM77,1))))</f>
        <v>1</v>
      </c>
      <c r="F39" s="35">
        <f>IFERROR(IF(C39="","",
IF(AND($E$8="Remodelación",Simul_ConstruRemo!$I$22="No"),0,
IF(AND($E$8&lt;&gt;"Remodelación",Simul_ConstruRemo!$I$29&gt;=0.8),0,
IF(AF39="Obra Concluida",0,
VLOOKUP(C39,Simul_ConstruRemo!$AX$61:$AZ$72,3,0))))),0)</f>
        <v>0</v>
      </c>
      <c r="G39" s="137">
        <f t="shared" si="5"/>
        <v>1474827.4428520142</v>
      </c>
      <c r="H39" s="137">
        <f t="shared" si="2"/>
        <v>14490</v>
      </c>
      <c r="I39" s="137">
        <f t="shared" si="6"/>
        <v>2629.9293137317181</v>
      </c>
      <c r="J39" s="137">
        <f t="shared" si="3"/>
        <v>11860.070686268282</v>
      </c>
      <c r="K39" s="137">
        <f>IF(C39="","",IF(Simul_ConstruRemo!$I$10=Simul_ConstruRemo!$BV$6,(Simul_ConstruRemo!$I$16*0.7+Simul_ConstruRemo!$I$17*0.5),IF(OR(D39=0,D39=""),Simul_ConstruRemo!$CO$27,HLOOKUP(D39,Simul_ConstruRemo!$CC$22:$CN$29,7,FALSE))))</f>
        <v>2606295</v>
      </c>
      <c r="L39" s="137">
        <f>IFERROR(Q39*Simul_ConstruRemo!$BP$30/1000,"")</f>
        <v>647.76690595684431</v>
      </c>
      <c r="M39" s="137">
        <f>IFERROR(IF($E$7="Remodelación",K39*Simul_ConstruRemo!$BS$29,
IF(E39=1,MAX(K39,Q39)*Simul_ConstruRemo!$BS$29,K39*Simul_ConstruRemo!$BQ$29)),"")</f>
        <v>827.2389712662</v>
      </c>
      <c r="N39" s="13">
        <f>IF(C39="","",'Tabla_Puntual&amp;Relacionamiento'!$E$38)</f>
        <v>9.6500000000000002E-2</v>
      </c>
      <c r="O39" s="138"/>
      <c r="P39" s="137">
        <f t="shared" si="4"/>
        <v>15965.005877223044</v>
      </c>
      <c r="Q39" s="137">
        <f t="shared" si="7"/>
        <v>1472197.5135382826</v>
      </c>
      <c r="R39" s="37">
        <f t="shared" si="0"/>
        <v>1</v>
      </c>
      <c r="S39" s="137"/>
      <c r="T39" s="137"/>
      <c r="Z39" s="63"/>
      <c r="AA39" s="35">
        <f t="shared" si="1"/>
        <v>15850.903950151844</v>
      </c>
      <c r="AB39" s="63">
        <f>IF(OR(Q39="",Q39&lt;=0.01),"",IF(SUM($F$23:F39)=Simul_ConstruRemo!$I$26,1,0))</f>
        <v>1</v>
      </c>
      <c r="AC39">
        <f t="shared" si="8"/>
        <v>12</v>
      </c>
      <c r="AD39" s="147">
        <f t="shared" si="9"/>
        <v>11</v>
      </c>
      <c r="AF39" t="str">
        <f>IF(C39="","",IF($E$16&gt;=17,"Ministración","Obra Concluida"))</f>
        <v>Obra Concluida</v>
      </c>
      <c r="AI39">
        <f>IF(SUM($F$23:F38)&gt;=$K$9,1,0)</f>
        <v>1</v>
      </c>
    </row>
    <row r="40" spans="3:35" x14ac:dyDescent="0.25">
      <c r="C40" s="37">
        <f>IFERROR(IF(Q39&lt;=0.01,"",IF(C39+1&gt;Simul_ConstruRemo!$BN$11,"",C39+1)),"")</f>
        <v>18</v>
      </c>
      <c r="D40" s="37" t="str">
        <f>IF(C40&gt;Simul_ConstruRemo!$I$19,"",IF(Simul_ConstruRemo!I62=100%,"",IFERROR(VLOOKUP(C40,Simul_ConstruRemo!$AX$61:$AY$64,2,0),D39)))</f>
        <v/>
      </c>
      <c r="E40" s="136">
        <f>IF(C40="","",IF(AND($E$8="Remodelación",Simul_ConstruRemo!I$22="No"),1,IF(Simul_ConstruRemo!$I$29&gt;=0.8,1,IF(AF40="Ministración",Simul_ConstruRemo!BM78,1))))</f>
        <v>1</v>
      </c>
      <c r="F40" s="35">
        <f>IFERROR(IF(C40="","",
IF(AND($E$8="Remodelación",Simul_ConstruRemo!$I$22="No"),0,
IF(AND($E$8&lt;&gt;"Remodelación",Simul_ConstruRemo!$I$29&gt;=0.8),0,
IF(AF40="Obra Concluida",0,
VLOOKUP(C40,Simul_ConstruRemo!$AX$61:$AZ$72,3,0))))),0)</f>
        <v>0</v>
      </c>
      <c r="G40" s="137">
        <f t="shared" si="5"/>
        <v>1472197.5135382826</v>
      </c>
      <c r="H40" s="137">
        <f t="shared" si="2"/>
        <v>14490</v>
      </c>
      <c r="I40" s="137">
        <f t="shared" si="6"/>
        <v>2651.0783286296428</v>
      </c>
      <c r="J40" s="137">
        <f t="shared" si="3"/>
        <v>11838.921671370357</v>
      </c>
      <c r="K40" s="137">
        <f>IF(C40="","",IF(Simul_ConstruRemo!$I$10=Simul_ConstruRemo!$BV$6,(Simul_ConstruRemo!$I$16*0.7+Simul_ConstruRemo!$I$17*0.5),IF(OR(D40=0,D40=""),Simul_ConstruRemo!$CO$27,HLOOKUP(D40,Simul_ConstruRemo!$CC$22:$CN$29,7,FALSE))))</f>
        <v>2606295</v>
      </c>
      <c r="L40" s="137">
        <f>IFERROR(Q40*Simul_ConstruRemo!$BP$30/1000,"")</f>
        <v>646.60043149224725</v>
      </c>
      <c r="M40" s="137">
        <f>IFERROR(IF($E$7="Remodelación",K40*Simul_ConstruRemo!$BS$29,
IF(E40=1,MAX(K40,Q40)*Simul_ConstruRemo!$BS$29,K40*Simul_ConstruRemo!$BQ$29)),"")</f>
        <v>827.2389712662</v>
      </c>
      <c r="N40" s="13">
        <f>IF(C40="","",'Tabla_Puntual&amp;Relacionamiento'!$E$38)</f>
        <v>9.6500000000000002E-2</v>
      </c>
      <c r="O40" s="138"/>
      <c r="P40" s="137">
        <f t="shared" si="4"/>
        <v>15963.839402758447</v>
      </c>
      <c r="Q40" s="137">
        <f t="shared" si="7"/>
        <v>1469546.4352096529</v>
      </c>
      <c r="R40" s="37">
        <f t="shared" si="0"/>
        <v>1</v>
      </c>
      <c r="S40" s="137"/>
      <c r="T40" s="137"/>
      <c r="Z40" s="63"/>
      <c r="AA40" s="35">
        <f t="shared" si="1"/>
        <v>15849.737475687247</v>
      </c>
      <c r="AB40" s="63">
        <f>IF(OR(Q40="",Q40&lt;=0.01),"",IF(SUM($F$23:F40)=Simul_ConstruRemo!$I$26,1,0))</f>
        <v>1</v>
      </c>
      <c r="AC40">
        <f t="shared" si="8"/>
        <v>13</v>
      </c>
      <c r="AD40" s="147">
        <f t="shared" si="9"/>
        <v>12</v>
      </c>
      <c r="AF40" t="str">
        <f>IF(C40="","",IF($E$16&gt;=18,"Ministración","Obra Concluida"))</f>
        <v>Obra Concluida</v>
      </c>
      <c r="AI40">
        <f>IF(SUM($F$23:F39)&gt;=$K$9,1,0)</f>
        <v>1</v>
      </c>
    </row>
    <row r="41" spans="3:35" x14ac:dyDescent="0.25">
      <c r="C41" s="37">
        <f>IFERROR(IF(Q40&lt;=0.01,"",IF(C40+1&gt;Simul_ConstruRemo!$BN$11,"",C40+1)),"")</f>
        <v>19</v>
      </c>
      <c r="D41" s="37" t="str">
        <f>IF(C41&gt;Simul_ConstruRemo!$I$19,"",IF(Simul_ConstruRemo!I63=100%,"",IFERROR(VLOOKUP(C41,Simul_ConstruRemo!$AX$61:$AY$64,2,0),D40)))</f>
        <v/>
      </c>
      <c r="E41" s="136">
        <f>IF(C41="","",IF(AF41="Ministración",Simul_ConstruRemo!#REF!,1))</f>
        <v>1</v>
      </c>
      <c r="F41" s="35">
        <f>IF(C41="","",IF(AF40="Obra Concluida",0,0))</f>
        <v>0</v>
      </c>
      <c r="G41" s="137">
        <f t="shared" si="5"/>
        <v>1469546.4352096529</v>
      </c>
      <c r="H41" s="137">
        <f t="shared" si="2"/>
        <v>14490</v>
      </c>
      <c r="I41" s="137">
        <f t="shared" si="6"/>
        <v>2672.3974168557088</v>
      </c>
      <c r="J41" s="137">
        <f>IF(C41="","",G41*N41/12)</f>
        <v>11817.602583144291</v>
      </c>
      <c r="K41" s="137">
        <f>IF(C41="","",IF(Simul_ConstruRemo!$I$10=Simul_ConstruRemo!$BV$6,(Simul_ConstruRemo!$I$16*0.7+Simul_ConstruRemo!$I$17*0.5),Simul_ConstruRemo!$CO$27))</f>
        <v>2606295</v>
      </c>
      <c r="L41" s="137">
        <f>IFERROR(Q41*Simul_ConstruRemo!$BP$30/1000,"")</f>
        <v>645.42457662883078</v>
      </c>
      <c r="M41" s="137">
        <f>IFERROR(IF($E$7="Remodelación",K41*Simul_ConstruRemo!$BS$29,
IF(E41=1,MAX(K41,Q41)*Simul_ConstruRemo!$BS$29,K41*Simul_ConstruRemo!$BQ$29)),"")</f>
        <v>827.2389712662</v>
      </c>
      <c r="N41" s="13">
        <f>IF(C41="","",'Tabla_Puntual&amp;Relacionamiento'!$E$38)</f>
        <v>9.6500000000000002E-2</v>
      </c>
      <c r="O41" s="183"/>
      <c r="P41" s="137">
        <f t="shared" si="4"/>
        <v>15962.663547895032</v>
      </c>
      <c r="Q41" s="137">
        <f t="shared" si="7"/>
        <v>1466874.0377927972</v>
      </c>
      <c r="R41" s="37">
        <f>IF(C41="","",1)</f>
        <v>1</v>
      </c>
      <c r="S41" s="137"/>
      <c r="T41" s="137"/>
      <c r="Z41" s="63"/>
      <c r="AA41" s="35">
        <f t="shared" si="1"/>
        <v>15848.561620823832</v>
      </c>
      <c r="AB41" s="63">
        <f>IF(OR(Q41="",Q41&lt;=0.01),"",IF(SUM($F$23:F41)=Simul_ConstruRemo!$I$26,1,0))</f>
        <v>1</v>
      </c>
      <c r="AC41">
        <f t="shared" si="8"/>
        <v>14</v>
      </c>
      <c r="AD41" s="147">
        <f t="shared" si="9"/>
        <v>13</v>
      </c>
      <c r="AF41" t="str">
        <f t="shared" ref="AF41:AF72" si="10">IF(C41="","","Obra Concluida")</f>
        <v>Obra Concluida</v>
      </c>
      <c r="AI41">
        <f>IF(SUM($F$23:F40)&gt;=$K$9,1,0)</f>
        <v>1</v>
      </c>
    </row>
    <row r="42" spans="3:35" x14ac:dyDescent="0.25">
      <c r="C42" s="37">
        <f>IFERROR(IF(Q41&lt;=0.01,"",IF(C41+1&gt;Simul_ConstruRemo!$BN$11,"",C41+1)),"")</f>
        <v>20</v>
      </c>
      <c r="D42" s="37" t="str">
        <f>IF(C42&gt;Simul_ConstruRemo!$I$19,"",IF(Simul_ConstruRemo!I64=100%,"",IFERROR(VLOOKUP(C42,Simul_ConstruRemo!$AX$61:$AY$64,2,0),D41)))</f>
        <v/>
      </c>
      <c r="E42" s="136">
        <f>IF(C42="","",IF(AF42="Ministración",Simul_ConstruRemo!#REF!,1))</f>
        <v>1</v>
      </c>
      <c r="F42" s="35">
        <f t="shared" ref="F42:F105" si="11">IF(C42="","",IF(AF41="Obra Concluida",0,0))</f>
        <v>0</v>
      </c>
      <c r="G42" s="137">
        <f t="shared" si="5"/>
        <v>1466874.0377927972</v>
      </c>
      <c r="H42" s="137">
        <f t="shared" si="2"/>
        <v>14490</v>
      </c>
      <c r="I42" s="137">
        <f t="shared" si="6"/>
        <v>2693.8879460829212</v>
      </c>
      <c r="J42" s="137">
        <f>IF(C42="","",IF(Q41*(N42/12)&lt;0,"",Q41*N42/12))</f>
        <v>11796.112053917079</v>
      </c>
      <c r="K42" s="137">
        <f>IF(C42="","",IF(Simul_ConstruRemo!$I$10=Simul_ConstruRemo!$BV$6,(Simul_ConstruRemo!$I$16*0.7+Simul_ConstruRemo!$I$17*0.5),Simul_ConstruRemo!$CO$27))</f>
        <v>2606295</v>
      </c>
      <c r="L42" s="137">
        <f>IFERROR(Q42*Simul_ConstruRemo!$BP$30/1000,"")</f>
        <v>644.2392659325543</v>
      </c>
      <c r="M42" s="137">
        <f>IFERROR(IF($E$7="Remodelación",K42*Simul_ConstruRemo!$BS$29,
IF(E42=1,MAX(K42,Q42)*Simul_ConstruRemo!$BS$29,K42*Simul_ConstruRemo!$BQ$29)),"")</f>
        <v>827.2389712662</v>
      </c>
      <c r="N42" s="13">
        <f>IF(C42="","",'Tabla_Puntual&amp;Relacionamiento'!$E$38)</f>
        <v>9.6500000000000002E-2</v>
      </c>
      <c r="O42" s="183"/>
      <c r="P42" s="137">
        <f t="shared" si="4"/>
        <v>15961.478237198755</v>
      </c>
      <c r="Q42" s="137">
        <f t="shared" si="7"/>
        <v>1464180.1498467142</v>
      </c>
      <c r="R42" s="37">
        <f t="shared" ref="R42:R105" si="12">IF(C42="","",1)</f>
        <v>1</v>
      </c>
      <c r="S42" s="137"/>
      <c r="T42" s="137"/>
      <c r="Z42" s="63"/>
      <c r="AA42" s="35">
        <f t="shared" si="1"/>
        <v>15847.376310127554</v>
      </c>
      <c r="AB42" s="63">
        <f>IF(OR(Q42="",Q42&lt;=0.01),"",IF(SUM($F$23:F42)=Simul_ConstruRemo!$I$26,1,0))</f>
        <v>1</v>
      </c>
      <c r="AC42">
        <f t="shared" si="8"/>
        <v>15</v>
      </c>
      <c r="AD42" s="147">
        <f t="shared" si="9"/>
        <v>14</v>
      </c>
      <c r="AF42" t="str">
        <f t="shared" si="10"/>
        <v>Obra Concluida</v>
      </c>
      <c r="AI42">
        <f>IF(SUM($F$23:F41)&gt;=$K$9,1,0)</f>
        <v>1</v>
      </c>
    </row>
    <row r="43" spans="3:35" x14ac:dyDescent="0.25">
      <c r="C43" s="37">
        <f>IFERROR(IF(Q42&lt;=0.01,"",IF(C42+1&gt;Simul_ConstruRemo!$BN$11,"",C42+1)),"")</f>
        <v>21</v>
      </c>
      <c r="D43" s="37" t="str">
        <f>IF(C43&gt;Simul_ConstruRemo!$I$19,"",IF(Simul_ConstruRemo!I65=100%,"",IFERROR(VLOOKUP(C43,Simul_ConstruRemo!$AX$61:$AY$64,2,0),D42)))</f>
        <v/>
      </c>
      <c r="E43" s="136">
        <f>IF(C43="","",IF(AF43="Ministración",Simul_ConstruRemo!BM79,1))</f>
        <v>1</v>
      </c>
      <c r="F43" s="35">
        <f t="shared" si="11"/>
        <v>0</v>
      </c>
      <c r="G43" s="137">
        <f t="shared" si="5"/>
        <v>1464180.1498467142</v>
      </c>
      <c r="H43" s="137">
        <f t="shared" si="2"/>
        <v>14490</v>
      </c>
      <c r="I43" s="137">
        <f t="shared" si="6"/>
        <v>2715.5512949826734</v>
      </c>
      <c r="J43" s="137">
        <f t="shared" ref="J43:J106" si="13">IF(C43="","",IF(Q42*(N43/12)&lt;0,"",Q42*N43/12))</f>
        <v>11774.448705017327</v>
      </c>
      <c r="K43" s="137">
        <f>IF(C43="","",IF(Simul_ConstruRemo!$I$10=Simul_ConstruRemo!$BV$6,(Simul_ConstruRemo!$I$16*0.7+Simul_ConstruRemo!$I$17*0.5),Simul_ConstruRemo!$CO$27))</f>
        <v>2606295</v>
      </c>
      <c r="L43" s="137">
        <f>IFERROR(Q43*Simul_ConstruRemo!$BP$30/1000,"")</f>
        <v>643.0444233627619</v>
      </c>
      <c r="M43" s="137">
        <f>IFERROR(IF($E$7="Remodelación",K43*Simul_ConstruRemo!$BS$29,
IF(E43=1,MAX(K43,Q43)*Simul_ConstruRemo!$BS$29,K43*Simul_ConstruRemo!$BQ$29)),"")</f>
        <v>827.2389712662</v>
      </c>
      <c r="N43" s="13">
        <f>IF(C43="","",'Tabla_Puntual&amp;Relacionamiento'!$E$38)</f>
        <v>9.6500000000000002E-2</v>
      </c>
      <c r="O43" s="183"/>
      <c r="P43" s="137">
        <f t="shared" si="4"/>
        <v>15960.283394628963</v>
      </c>
      <c r="Q43" s="137">
        <f t="shared" si="7"/>
        <v>1461464.5985517316</v>
      </c>
      <c r="R43" s="37">
        <f t="shared" si="12"/>
        <v>1</v>
      </c>
      <c r="S43" s="137"/>
      <c r="T43" s="137"/>
      <c r="Z43" s="63"/>
      <c r="AA43" s="35">
        <f t="shared" si="1"/>
        <v>15846.181467557763</v>
      </c>
      <c r="AB43" s="63">
        <f>IF(OR(Q43="",Q43&lt;=0.01),"",IF(SUM($F$23:F43)=Simul_ConstruRemo!$I$26,1,0))</f>
        <v>1</v>
      </c>
      <c r="AC43">
        <f t="shared" si="8"/>
        <v>16</v>
      </c>
      <c r="AD43" s="147">
        <f t="shared" si="9"/>
        <v>15</v>
      </c>
      <c r="AF43" t="str">
        <f t="shared" si="10"/>
        <v>Obra Concluida</v>
      </c>
      <c r="AI43">
        <f>IF(SUM($F$23:F42)&gt;=$K$9,1,0)</f>
        <v>1</v>
      </c>
    </row>
    <row r="44" spans="3:35" x14ac:dyDescent="0.25">
      <c r="C44" s="37">
        <f>IFERROR(IF(Q43&lt;=0.01,"",IF(C43+1&gt;Simul_ConstruRemo!$BN$11,"",C43+1)),"")</f>
        <v>22</v>
      </c>
      <c r="D44" s="37" t="str">
        <f>IF(C44&gt;Simul_ConstruRemo!$I$19,"",IF(Simul_ConstruRemo!I82=100%,"",IFERROR(VLOOKUP(C44,Simul_ConstruRemo!$AX$61:$AY$64,2,0),D43)))</f>
        <v/>
      </c>
      <c r="E44" s="136">
        <f>IF(C44="","",IF(AF44="Ministración",Simul_ConstruRemo!BM80,1))</f>
        <v>1</v>
      </c>
      <c r="F44" s="35">
        <f t="shared" si="11"/>
        <v>0</v>
      </c>
      <c r="G44" s="137">
        <f t="shared" si="5"/>
        <v>1461464.5985517316</v>
      </c>
      <c r="H44" s="137">
        <f t="shared" si="2"/>
        <v>14490</v>
      </c>
      <c r="I44" s="137">
        <f t="shared" si="6"/>
        <v>2737.3888533131594</v>
      </c>
      <c r="J44" s="137">
        <f t="shared" si="13"/>
        <v>11752.611146686841</v>
      </c>
      <c r="K44" s="137">
        <f>IF(C44="","",IF(Simul_ConstruRemo!$I$10=Simul_ConstruRemo!$BV$6,(Simul_ConstruRemo!$I$16*0.7+Simul_ConstruRemo!$I$17*0.5),Simul_ConstruRemo!$CO$27))</f>
        <v>2606295</v>
      </c>
      <c r="L44" s="137">
        <f>IFERROR(Q44*Simul_ConstruRemo!$BP$30/1000,"")</f>
        <v>641.83997226730412</v>
      </c>
      <c r="M44" s="137">
        <f>IFERROR(IF($E$7="Remodelación",K44*Simul_ConstruRemo!$BS$29,
IF(E44=1,MAX(K44,Q44)*Simul_ConstruRemo!$BS$29,K44*Simul_ConstruRemo!$BQ$29)),"")</f>
        <v>827.2389712662</v>
      </c>
      <c r="N44" s="13">
        <f>IF(C44="","",'Tabla_Puntual&amp;Relacionamiento'!$E$38)</f>
        <v>9.6500000000000002E-2</v>
      </c>
      <c r="O44" s="183"/>
      <c r="P44" s="137">
        <f t="shared" si="4"/>
        <v>15959.078943533505</v>
      </c>
      <c r="Q44" s="137">
        <f t="shared" si="7"/>
        <v>1458727.2096984184</v>
      </c>
      <c r="R44" s="37">
        <f t="shared" si="12"/>
        <v>1</v>
      </c>
      <c r="S44" s="137"/>
      <c r="T44" s="137"/>
      <c r="Z44" s="63"/>
      <c r="AA44" s="35">
        <f t="shared" si="1"/>
        <v>15844.977016462304</v>
      </c>
      <c r="AB44" s="63">
        <f>IF(OR(Q44="",Q44&lt;=0.01),"",IF(SUM($F$23:F44)=Simul_ConstruRemo!$I$26,1,0))</f>
        <v>1</v>
      </c>
      <c r="AC44">
        <f t="shared" si="8"/>
        <v>17</v>
      </c>
      <c r="AD44" s="147">
        <f t="shared" si="9"/>
        <v>16</v>
      </c>
      <c r="AF44" t="str">
        <f t="shared" si="10"/>
        <v>Obra Concluida</v>
      </c>
      <c r="AI44">
        <f>IF(SUM($F$23:F43)&gt;=$K$9,1,0)</f>
        <v>1</v>
      </c>
    </row>
    <row r="45" spans="3:35" x14ac:dyDescent="0.25">
      <c r="C45" s="37">
        <f>IFERROR(IF(Q44&lt;=0.01,"",IF(C44+1&gt;Simul_ConstruRemo!$BN$11,"",C44+1)),"")</f>
        <v>23</v>
      </c>
      <c r="D45" s="37" t="str">
        <f>IF(C45&gt;Simul_ConstruRemo!$I$19,"",IF(Simul_ConstruRemo!I83=100%,"",IFERROR(VLOOKUP(C45,Simul_ConstruRemo!$AX$61:$AY$64,2,0),D44)))</f>
        <v/>
      </c>
      <c r="E45" s="136">
        <f>IF(C45="","",IF(AF45="Ministración",Simul_ConstruRemo!BM81,1))</f>
        <v>1</v>
      </c>
      <c r="F45" s="35">
        <f t="shared" si="11"/>
        <v>0</v>
      </c>
      <c r="G45" s="137">
        <f t="shared" si="5"/>
        <v>1458727.2096984184</v>
      </c>
      <c r="H45" s="137">
        <f t="shared" si="2"/>
        <v>14490</v>
      </c>
      <c r="I45" s="137">
        <f t="shared" si="6"/>
        <v>2759.4020220085513</v>
      </c>
      <c r="J45" s="137">
        <f t="shared" si="13"/>
        <v>11730.597977991449</v>
      </c>
      <c r="K45" s="137">
        <f>IF(C45="","",IF(Simul_ConstruRemo!$I$10=Simul_ConstruRemo!$BV$6,(Simul_ConstruRemo!$I$16*0.7+Simul_ConstruRemo!$I$17*0.5),Simul_ConstruRemo!$CO$27))</f>
        <v>2606295</v>
      </c>
      <c r="L45" s="137">
        <f>IFERROR(Q45*Simul_ConstruRemo!$BP$30/1000,"")</f>
        <v>640.62583537762032</v>
      </c>
      <c r="M45" s="137">
        <f>IFERROR(IF($E$7="Remodelación",K45*Simul_ConstruRemo!$BS$29,
IF(E45=1,MAX(K45,Q45)*Simul_ConstruRemo!$BS$29,K45*Simul_ConstruRemo!$BQ$29)),"")</f>
        <v>827.2389712662</v>
      </c>
      <c r="N45" s="13">
        <f>IF(C45="","",'Tabla_Puntual&amp;Relacionamiento'!$E$38)</f>
        <v>9.6500000000000002E-2</v>
      </c>
      <c r="O45" s="183"/>
      <c r="P45" s="137">
        <f t="shared" si="4"/>
        <v>15957.864806643822</v>
      </c>
      <c r="Q45" s="137">
        <f t="shared" si="7"/>
        <v>1455967.8076764098</v>
      </c>
      <c r="R45" s="37">
        <f t="shared" si="12"/>
        <v>1</v>
      </c>
      <c r="S45" s="137"/>
      <c r="T45" s="137"/>
      <c r="Z45" s="63"/>
      <c r="AA45" s="35">
        <f t="shared" si="1"/>
        <v>15843.762879572621</v>
      </c>
      <c r="AB45" s="63">
        <f>IF(OR(Q45="",Q45&lt;=0.01),"",IF(SUM($F$23:F45)=Simul_ConstruRemo!$I$26,1,0))</f>
        <v>1</v>
      </c>
      <c r="AC45">
        <f t="shared" si="8"/>
        <v>18</v>
      </c>
      <c r="AD45" s="147">
        <f t="shared" si="9"/>
        <v>17</v>
      </c>
      <c r="AF45" t="str">
        <f t="shared" si="10"/>
        <v>Obra Concluida</v>
      </c>
      <c r="AI45">
        <f>IF(SUM($F$23:F44)&gt;=$K$9,1,0)</f>
        <v>1</v>
      </c>
    </row>
    <row r="46" spans="3:35" x14ac:dyDescent="0.25">
      <c r="C46" s="37">
        <f>IFERROR(IF(Q45&lt;=0.01,"",IF(C45+1&gt;Simul_ConstruRemo!$BN$11,"",C45+1)),"")</f>
        <v>24</v>
      </c>
      <c r="D46" s="37" t="str">
        <f>IF(C46&gt;Simul_ConstruRemo!$I$19,"",IF(Simul_ConstruRemo!I84=100%,"",IFERROR(VLOOKUP(C46,Simul_ConstruRemo!$AX$61:$AY$64,2,0),D45)))</f>
        <v/>
      </c>
      <c r="E46" s="136">
        <f>IF(C46="","",IF(AF46="Ministración",Simul_ConstruRemo!BM82,1))</f>
        <v>1</v>
      </c>
      <c r="F46" s="35">
        <f t="shared" si="11"/>
        <v>0</v>
      </c>
      <c r="G46" s="137">
        <f t="shared" si="5"/>
        <v>1455967.8076764098</v>
      </c>
      <c r="H46" s="137">
        <f t="shared" si="2"/>
        <v>14490</v>
      </c>
      <c r="I46" s="137">
        <f t="shared" si="6"/>
        <v>2781.5922132688702</v>
      </c>
      <c r="J46" s="137">
        <f t="shared" si="13"/>
        <v>11708.40778673113</v>
      </c>
      <c r="K46" s="137">
        <f>IF(C46="","",IF(Simul_ConstruRemo!$I$10=Simul_ConstruRemo!$BV$6,(Simul_ConstruRemo!$I$16*0.7+Simul_ConstruRemo!$I$17*0.5),Simul_ConstruRemo!$CO$27))</f>
        <v>2606295</v>
      </c>
      <c r="L46" s="137">
        <f>IFERROR(Q46*Simul_ConstruRemo!$BP$30/1000,"")</f>
        <v>639.40193480378207</v>
      </c>
      <c r="M46" s="137">
        <f>IFERROR(IF($E$7="Remodelación",K46*Simul_ConstruRemo!$BS$29,
IF(E46=1,MAX(K46,Q46)*Simul_ConstruRemo!$BS$29,K46*Simul_ConstruRemo!$BQ$29)),"")</f>
        <v>827.2389712662</v>
      </c>
      <c r="N46" s="13">
        <f>IF(C46="","",'Tabla_Puntual&amp;Relacionamiento'!$E$38)</f>
        <v>9.6500000000000002E-2</v>
      </c>
      <c r="O46" s="183"/>
      <c r="P46" s="137">
        <f t="shared" si="4"/>
        <v>15956.640906069983</v>
      </c>
      <c r="Q46" s="137">
        <f t="shared" si="7"/>
        <v>1453186.215463141</v>
      </c>
      <c r="R46" s="37">
        <f t="shared" si="12"/>
        <v>1</v>
      </c>
      <c r="S46" s="137"/>
      <c r="T46" s="137"/>
      <c r="Z46" s="63"/>
      <c r="AA46" s="35">
        <f t="shared" si="1"/>
        <v>15842.538978998782</v>
      </c>
      <c r="AB46" s="63">
        <f>IF(OR(Q46="",Q46&lt;=0.01),"",IF(SUM($F$23:F46)=Simul_ConstruRemo!$I$26,1,0))</f>
        <v>1</v>
      </c>
      <c r="AC46">
        <f t="shared" si="8"/>
        <v>19</v>
      </c>
      <c r="AD46" s="147">
        <f t="shared" si="9"/>
        <v>18</v>
      </c>
      <c r="AF46" t="str">
        <f t="shared" si="10"/>
        <v>Obra Concluida</v>
      </c>
      <c r="AI46">
        <f>IF(SUM($F$23:F45)&gt;=$K$9,1,0)</f>
        <v>1</v>
      </c>
    </row>
    <row r="47" spans="3:35" x14ac:dyDescent="0.25">
      <c r="C47" s="37">
        <f>IFERROR(IF(Q46&lt;=0.01,"",IF(C46+1&gt;Simul_ConstruRemo!$BN$11,"",C46+1)),"")</f>
        <v>25</v>
      </c>
      <c r="D47" s="37" t="str">
        <f>IF(C47&gt;Simul_ConstruRemo!$I$19,"",IF(Simul_ConstruRemo!I85=100%,"",IFERROR(VLOOKUP(C47,Simul_ConstruRemo!$AX$61:$AY$64,2,0),D46)))</f>
        <v/>
      </c>
      <c r="E47" s="136">
        <f>IF(C47="","",IF(AF47="Ministración",Simul_ConstruRemo!BM83,1))</f>
        <v>1</v>
      </c>
      <c r="F47" s="35">
        <f t="shared" si="11"/>
        <v>0</v>
      </c>
      <c r="G47" s="137">
        <f t="shared" si="5"/>
        <v>1453186.215463141</v>
      </c>
      <c r="H47" s="137">
        <f t="shared" si="2"/>
        <v>14490</v>
      </c>
      <c r="I47" s="137">
        <f t="shared" si="6"/>
        <v>2622.3125737176815</v>
      </c>
      <c r="J47" s="137">
        <f t="shared" si="13"/>
        <v>11867.687426282318</v>
      </c>
      <c r="K47" s="137">
        <f>IF(C47="","",IF(Simul_ConstruRemo!$I$10=Simul_ConstruRemo!$BV$6,(Simul_ConstruRemo!$I$16*0.7+Simul_ConstruRemo!$I$17*0.5),Simul_ConstruRemo!$CO$27))</f>
        <v>2606295</v>
      </c>
      <c r="L47" s="137">
        <f>IFERROR(Q47*Simul_ConstruRemo!$BP$30/1000,"")</f>
        <v>638.24811727134625</v>
      </c>
      <c r="M47" s="137">
        <f>IFERROR(IF($E$7="Remodelación",K47*Simul_ConstruRemo!$BS$29,
IF(E47=1,MAX(K47,Q47)*Simul_ConstruRemo!$BS$29,K47*Simul_ConstruRemo!$BQ$29)),"")</f>
        <v>827.2389712662</v>
      </c>
      <c r="N47" s="13">
        <f>IF(C47="","",'Tabla_Puntual&amp;Relacionamiento'!$E$39)</f>
        <v>9.8000000000000004E-2</v>
      </c>
      <c r="O47" s="183"/>
      <c r="P47" s="137">
        <f t="shared" si="4"/>
        <v>15955.487088537548</v>
      </c>
      <c r="Q47" s="137">
        <f t="shared" si="7"/>
        <v>1450563.9028894233</v>
      </c>
      <c r="R47" s="37">
        <f t="shared" si="12"/>
        <v>1</v>
      </c>
      <c r="S47" s="137"/>
      <c r="T47" s="137"/>
      <c r="Z47" s="63"/>
      <c r="AA47" s="35">
        <f t="shared" si="1"/>
        <v>15841.385161466347</v>
      </c>
      <c r="AB47" s="63">
        <f>IF(OR(Q47="",Q47&lt;=0.01),"",IF(SUM($F$23:F47)=Simul_ConstruRemo!$I$26,1,0))</f>
        <v>1</v>
      </c>
      <c r="AC47">
        <f t="shared" si="8"/>
        <v>20</v>
      </c>
      <c r="AD47" s="147">
        <f t="shared" si="9"/>
        <v>19</v>
      </c>
      <c r="AF47" t="str">
        <f t="shared" si="10"/>
        <v>Obra Concluida</v>
      </c>
      <c r="AI47">
        <f>IF(SUM($F$23:F46)&gt;=$K$9,1,0)</f>
        <v>1</v>
      </c>
    </row>
    <row r="48" spans="3:35" x14ac:dyDescent="0.25">
      <c r="C48" s="37">
        <f>IFERROR(IF(Q47&lt;=0.01,"",IF(C47+1&gt;Simul_ConstruRemo!$BN$11,"",C47+1)),"")</f>
        <v>26</v>
      </c>
      <c r="D48" s="37" t="str">
        <f>IF(C48&gt;Simul_ConstruRemo!$I$19,"",IF(Simul_ConstruRemo!I86=100%,"",IFERROR(VLOOKUP(C48,Simul_ConstruRemo!$AX$61:$AY$64,2,0),D47)))</f>
        <v/>
      </c>
      <c r="E48" s="136">
        <f>IF(C48="","",IF(AF48="Ministración",Simul_ConstruRemo!BM84,1))</f>
        <v>1</v>
      </c>
      <c r="F48" s="35">
        <f t="shared" si="11"/>
        <v>0</v>
      </c>
      <c r="G48" s="137">
        <f t="shared" si="5"/>
        <v>1450563.9028894233</v>
      </c>
      <c r="H48" s="137">
        <f t="shared" si="2"/>
        <v>14490</v>
      </c>
      <c r="I48" s="137">
        <f t="shared" si="6"/>
        <v>2643.7281264030407</v>
      </c>
      <c r="J48" s="137">
        <f t="shared" si="13"/>
        <v>11846.271873596959</v>
      </c>
      <c r="K48" s="137">
        <f>IF(C48="","",IF(Simul_ConstruRemo!$I$10=Simul_ConstruRemo!$BV$6,(Simul_ConstruRemo!$I$16*0.7+Simul_ConstruRemo!$I$17*0.5),Simul_ConstruRemo!$CO$27))</f>
        <v>2606295</v>
      </c>
      <c r="L48" s="137">
        <f>IFERROR(Q48*Simul_ConstruRemo!$BP$30/1000,"")</f>
        <v>637.08487689572894</v>
      </c>
      <c r="M48" s="137">
        <f>IFERROR(IF($E$7="Remodelación",K48*Simul_ConstruRemo!$BS$29,
IF(E48=1,MAX(K48,Q48)*Simul_ConstruRemo!$BS$29,K48*Simul_ConstruRemo!$BQ$29)),"")</f>
        <v>827.2389712662</v>
      </c>
      <c r="N48" s="13">
        <f>IF(C48="","",'Tabla_Puntual&amp;Relacionamiento'!$E$39)</f>
        <v>9.8000000000000004E-2</v>
      </c>
      <c r="O48" s="183"/>
      <c r="P48" s="137">
        <f t="shared" si="4"/>
        <v>15954.32384816193</v>
      </c>
      <c r="Q48" s="137">
        <f t="shared" si="7"/>
        <v>1447920.1747630204</v>
      </c>
      <c r="R48" s="37">
        <f t="shared" si="12"/>
        <v>1</v>
      </c>
      <c r="S48" s="137"/>
      <c r="T48" s="137"/>
      <c r="Z48" s="63"/>
      <c r="AA48" s="35">
        <f t="shared" si="1"/>
        <v>15840.22192109073</v>
      </c>
      <c r="AB48" s="63">
        <f>IF(OR(Q48="",Q48&lt;=0.01),"",IF(SUM($F$23:F48)=Simul_ConstruRemo!$I$26,1,0))</f>
        <v>1</v>
      </c>
      <c r="AC48">
        <f t="shared" si="8"/>
        <v>21</v>
      </c>
      <c r="AD48" s="147">
        <f t="shared" si="9"/>
        <v>20</v>
      </c>
      <c r="AF48" t="str">
        <f t="shared" si="10"/>
        <v>Obra Concluida</v>
      </c>
      <c r="AI48">
        <f>IF(SUM($F$23:F47)&gt;=$K$9,1,0)</f>
        <v>1</v>
      </c>
    </row>
    <row r="49" spans="3:35" x14ac:dyDescent="0.25">
      <c r="C49" s="37">
        <f>IFERROR(IF(Q48&lt;=0.01,"",IF(C48+1&gt;Simul_ConstruRemo!$BN$11,"",C48+1)),"")</f>
        <v>27</v>
      </c>
      <c r="D49" s="37" t="str">
        <f>IF(C49&gt;Simul_ConstruRemo!$I$19,"",IF(Simul_ConstruRemo!I87=100%,"",IFERROR(VLOOKUP(C49,Simul_ConstruRemo!$AX$61:$AY$64,2,0),D48)))</f>
        <v/>
      </c>
      <c r="E49" s="136">
        <f>IF(C49="","",IF(AF49="Ministración",Simul_ConstruRemo!BM85,1))</f>
        <v>1</v>
      </c>
      <c r="F49" s="35">
        <f t="shared" si="11"/>
        <v>0</v>
      </c>
      <c r="G49" s="137">
        <f t="shared" si="5"/>
        <v>1447920.1747630204</v>
      </c>
      <c r="H49" s="137">
        <f t="shared" si="2"/>
        <v>14490</v>
      </c>
      <c r="I49" s="137">
        <f t="shared" si="6"/>
        <v>2665.3185727686669</v>
      </c>
      <c r="J49" s="137">
        <f t="shared" si="13"/>
        <v>11824.681427231333</v>
      </c>
      <c r="K49" s="137">
        <f>IF(C49="","",IF(Simul_ConstruRemo!$I$10=Simul_ConstruRemo!$BV$6,(Simul_ConstruRemo!$I$16*0.7+Simul_ConstruRemo!$I$17*0.5),Simul_ConstruRemo!$CO$27))</f>
        <v>2606295</v>
      </c>
      <c r="L49" s="137">
        <f>IFERROR(Q49*Simul_ConstruRemo!$BP$30/1000,"")</f>
        <v>635.91213672371066</v>
      </c>
      <c r="M49" s="137">
        <f>IFERROR(IF($E$7="Remodelación",K49*Simul_ConstruRemo!$BS$29,
IF(E49=1,MAX(K49,Q49)*Simul_ConstruRemo!$BS$29,K49*Simul_ConstruRemo!$BQ$29)),"")</f>
        <v>827.2389712662</v>
      </c>
      <c r="N49" s="13">
        <f>IF(C49="","",'Tabla_Puntual&amp;Relacionamiento'!$E$39)</f>
        <v>9.8000000000000004E-2</v>
      </c>
      <c r="O49" s="183"/>
      <c r="P49" s="137">
        <f t="shared" si="4"/>
        <v>15953.151107989912</v>
      </c>
      <c r="Q49" s="137">
        <f t="shared" si="7"/>
        <v>1445254.8561902517</v>
      </c>
      <c r="R49" s="37">
        <f t="shared" si="12"/>
        <v>1</v>
      </c>
      <c r="S49" s="137"/>
      <c r="T49" s="137"/>
      <c r="Z49" s="63"/>
      <c r="AA49" s="35">
        <f t="shared" si="1"/>
        <v>15839.049180918711</v>
      </c>
      <c r="AB49" s="63">
        <f>IF(OR(Q49="",Q49&lt;=0.01),"",IF(SUM($F$23:F49)=Simul_ConstruRemo!$I$26,1,0))</f>
        <v>1</v>
      </c>
      <c r="AC49">
        <f t="shared" si="8"/>
        <v>22</v>
      </c>
      <c r="AD49" s="147">
        <f t="shared" si="9"/>
        <v>21</v>
      </c>
      <c r="AF49" t="str">
        <f t="shared" si="10"/>
        <v>Obra Concluida</v>
      </c>
      <c r="AI49">
        <f>IF(SUM($F$23:F48)&gt;=$K$9,1,0)</f>
        <v>1</v>
      </c>
    </row>
    <row r="50" spans="3:35" x14ac:dyDescent="0.25">
      <c r="C50" s="37">
        <f>IFERROR(IF(Q49&lt;=0.01,"",IF(C49+1&gt;Simul_ConstruRemo!$BN$11,"",C49+1)),"")</f>
        <v>28</v>
      </c>
      <c r="D50" s="37" t="str">
        <f>IF(C50&gt;Simul_ConstruRemo!$I$19,"",IF(Simul_ConstruRemo!I88=100%,"",IFERROR(VLOOKUP(C50,Simul_ConstruRemo!$AX$61:$AY$64,2,0),D49)))</f>
        <v/>
      </c>
      <c r="E50" s="136">
        <f>IF(C50="","",IF(AF50="Ministración",Simul_ConstruRemo!BM86,1))</f>
        <v>1</v>
      </c>
      <c r="F50" s="35">
        <f t="shared" si="11"/>
        <v>0</v>
      </c>
      <c r="G50" s="137">
        <f t="shared" si="5"/>
        <v>1445254.8561902517</v>
      </c>
      <c r="H50" s="137">
        <f t="shared" si="2"/>
        <v>14490</v>
      </c>
      <c r="I50" s="137">
        <f t="shared" si="6"/>
        <v>2687.0853411129447</v>
      </c>
      <c r="J50" s="137">
        <f t="shared" si="13"/>
        <v>11802.914658887055</v>
      </c>
      <c r="K50" s="137">
        <f>IF(C50="","",IF(Simul_ConstruRemo!$I$10=Simul_ConstruRemo!$BV$6,(Simul_ConstruRemo!$I$16*0.7+Simul_ConstruRemo!$I$17*0.5),Simul_ConstruRemo!$CO$27))</f>
        <v>2606295</v>
      </c>
      <c r="L50" s="137">
        <f>IFERROR(Q50*Simul_ConstruRemo!$BP$30/1000,"")</f>
        <v>634.72981917362097</v>
      </c>
      <c r="M50" s="137">
        <f>IFERROR(IF($E$7="Remodelación",K50*Simul_ConstruRemo!$BS$29,
IF(E50=1,MAX(K50,Q50)*Simul_ConstruRemo!$BS$29,K50*Simul_ConstruRemo!$BQ$29)),"")</f>
        <v>827.2389712662</v>
      </c>
      <c r="N50" s="13">
        <f>IF(C50="","",'Tabla_Puntual&amp;Relacionamiento'!$E$39)</f>
        <v>9.8000000000000004E-2</v>
      </c>
      <c r="O50" s="183"/>
      <c r="P50" s="137">
        <f t="shared" si="4"/>
        <v>15951.968790439822</v>
      </c>
      <c r="Q50" s="137">
        <f t="shared" si="7"/>
        <v>1442567.7708491387</v>
      </c>
      <c r="R50" s="37">
        <f t="shared" si="12"/>
        <v>1</v>
      </c>
      <c r="S50" s="137"/>
      <c r="T50" s="137"/>
      <c r="Z50" s="63"/>
      <c r="AA50" s="35">
        <f t="shared" si="1"/>
        <v>15837.866863368621</v>
      </c>
      <c r="AB50" s="63">
        <f>IF(OR(Q50="",Q50&lt;=0.01),"",IF(SUM($F$23:F50)=Simul_ConstruRemo!$I$26,1,0))</f>
        <v>1</v>
      </c>
      <c r="AC50">
        <f t="shared" si="8"/>
        <v>23</v>
      </c>
      <c r="AD50" s="147">
        <f t="shared" si="9"/>
        <v>22</v>
      </c>
      <c r="AF50" t="str">
        <f t="shared" si="10"/>
        <v>Obra Concluida</v>
      </c>
      <c r="AI50">
        <f>IF(SUM($F$23:F49)&gt;=$K$9,1,0)</f>
        <v>1</v>
      </c>
    </row>
    <row r="51" spans="3:35" x14ac:dyDescent="0.25">
      <c r="C51" s="37">
        <f>IFERROR(IF(Q50&lt;=0.01,"",IF(C50+1&gt;Simul_ConstruRemo!$BN$11,"",C50+1)),"")</f>
        <v>29</v>
      </c>
      <c r="D51" s="37" t="str">
        <f>IF(C51&gt;Simul_ConstruRemo!$I$19,"",IF(Simul_ConstruRemo!I89=100%,"",IFERROR(VLOOKUP(C51,Simul_ConstruRemo!$AX$61:$AY$64,2,0),D50)))</f>
        <v/>
      </c>
      <c r="E51" s="136">
        <f>IF(C51="","",IF(AF51="Ministración",Simul_ConstruRemo!BM87,1))</f>
        <v>1</v>
      </c>
      <c r="F51" s="35">
        <f t="shared" si="11"/>
        <v>0</v>
      </c>
      <c r="G51" s="137">
        <f t="shared" si="5"/>
        <v>1442567.7708491387</v>
      </c>
      <c r="H51" s="137">
        <f t="shared" si="2"/>
        <v>14490</v>
      </c>
      <c r="I51" s="137">
        <f t="shared" si="6"/>
        <v>2709.0298713986995</v>
      </c>
      <c r="J51" s="137">
        <f t="shared" si="13"/>
        <v>11780.970128601301</v>
      </c>
      <c r="K51" s="137">
        <f>IF(C51="","",IF(Simul_ConstruRemo!$I$10=Simul_ConstruRemo!$BV$6,(Simul_ConstruRemo!$I$16*0.7+Simul_ConstruRemo!$I$17*0.5),Simul_ConstruRemo!$CO$27))</f>
        <v>2606295</v>
      </c>
      <c r="L51" s="137">
        <f>IFERROR(Q51*Simul_ConstruRemo!$BP$30/1000,"")</f>
        <v>633.53784603020563</v>
      </c>
      <c r="M51" s="137">
        <f>IFERROR(IF($E$7="Remodelación",K51*Simul_ConstruRemo!$BS$29,
IF(E51=1,MAX(K51,Q51)*Simul_ConstruRemo!$BS$29,K51*Simul_ConstruRemo!$BQ$29)),"")</f>
        <v>827.2389712662</v>
      </c>
      <c r="N51" s="13">
        <f>IF(C51="","",'Tabla_Puntual&amp;Relacionamiento'!$E$39)</f>
        <v>9.8000000000000004E-2</v>
      </c>
      <c r="O51" s="183"/>
      <c r="P51" s="137">
        <f t="shared" si="4"/>
        <v>15950.776817296406</v>
      </c>
      <c r="Q51" s="137">
        <f t="shared" si="7"/>
        <v>1439858.7409777399</v>
      </c>
      <c r="R51" s="37">
        <f t="shared" si="12"/>
        <v>1</v>
      </c>
      <c r="S51" s="137"/>
      <c r="T51" s="137"/>
      <c r="Z51" s="63"/>
      <c r="AA51" s="35">
        <f t="shared" si="1"/>
        <v>15836.674890225206</v>
      </c>
      <c r="AB51" s="63">
        <f>IF(OR(Q51="",Q51&lt;=0.01),"",IF(SUM($F$23:F51)=Simul_ConstruRemo!$I$26,1,0))</f>
        <v>1</v>
      </c>
      <c r="AC51">
        <f t="shared" si="8"/>
        <v>24</v>
      </c>
      <c r="AD51" s="147">
        <f t="shared" si="9"/>
        <v>23</v>
      </c>
      <c r="AF51" t="str">
        <f t="shared" si="10"/>
        <v>Obra Concluida</v>
      </c>
      <c r="AI51">
        <f>IF(SUM($F$23:F50)&gt;=$K$9,1,0)</f>
        <v>1</v>
      </c>
    </row>
    <row r="52" spans="3:35" x14ac:dyDescent="0.25">
      <c r="C52" s="37">
        <f>IFERROR(IF(Q51&lt;=0.01,"",IF(C51+1&gt;Simul_ConstruRemo!$BN$11,"",C51+1)),"")</f>
        <v>30</v>
      </c>
      <c r="D52" s="37" t="str">
        <f>IF(C52&gt;Simul_ConstruRemo!$I$19,"",IF(Simul_ConstruRemo!I90=100%,"",IFERROR(VLOOKUP(C52,Simul_ConstruRemo!$AX$61:$AY$64,2,0),D51)))</f>
        <v/>
      </c>
      <c r="E52" s="136">
        <f>IF(C52="","",IF(AF52="Ministración",Simul_ConstruRemo!BM88,1))</f>
        <v>1</v>
      </c>
      <c r="F52" s="35">
        <f t="shared" si="11"/>
        <v>0</v>
      </c>
      <c r="G52" s="137">
        <f t="shared" si="5"/>
        <v>1439858.7409777399</v>
      </c>
      <c r="H52" s="137">
        <f t="shared" si="2"/>
        <v>14490</v>
      </c>
      <c r="I52" s="137">
        <f t="shared" si="6"/>
        <v>2731.1536153484558</v>
      </c>
      <c r="J52" s="137">
        <f t="shared" si="13"/>
        <v>11758.846384651544</v>
      </c>
      <c r="K52" s="137">
        <f>IF(C52="","",IF(Simul_ConstruRemo!$I$10=Simul_ConstruRemo!$BV$6,(Simul_ConstruRemo!$I$16*0.7+Simul_ConstruRemo!$I$17*0.5),Simul_ConstruRemo!$CO$27))</f>
        <v>2606295</v>
      </c>
      <c r="L52" s="137">
        <f>IFERROR(Q52*Simul_ConstruRemo!$BP$30/1000,"")</f>
        <v>632.33613843945227</v>
      </c>
      <c r="M52" s="137">
        <f>IFERROR(IF($E$7="Remodelación",K52*Simul_ConstruRemo!$BS$29,
IF(E52=1,MAX(K52,Q52)*Simul_ConstruRemo!$BS$29,K52*Simul_ConstruRemo!$BQ$29)),"")</f>
        <v>827.2389712662</v>
      </c>
      <c r="N52" s="13">
        <f>IF(C52="","",'Tabla_Puntual&amp;Relacionamiento'!$E$39)</f>
        <v>9.8000000000000004E-2</v>
      </c>
      <c r="O52" s="183"/>
      <c r="P52" s="137">
        <f t="shared" si="4"/>
        <v>15949.575109705653</v>
      </c>
      <c r="Q52" s="137">
        <f t="shared" si="7"/>
        <v>1437127.5873623914</v>
      </c>
      <c r="R52" s="37">
        <f t="shared" si="12"/>
        <v>1</v>
      </c>
      <c r="S52" s="137"/>
      <c r="T52" s="137"/>
      <c r="Z52" s="63"/>
      <c r="AA52" s="35">
        <f t="shared" si="1"/>
        <v>15835.473182634452</v>
      </c>
      <c r="AB52" s="63">
        <f>IF(OR(Q52="",Q52&lt;=0.01),"",IF(SUM($F$23:F52)=Simul_ConstruRemo!$I$26,1,0))</f>
        <v>1</v>
      </c>
      <c r="AC52">
        <f t="shared" si="8"/>
        <v>25</v>
      </c>
      <c r="AD52" s="147">
        <f t="shared" si="9"/>
        <v>24</v>
      </c>
      <c r="AF52" t="str">
        <f t="shared" si="10"/>
        <v>Obra Concluida</v>
      </c>
      <c r="AI52">
        <f>IF(SUM($F$23:F51)&gt;=$K$9,1,0)</f>
        <v>1</v>
      </c>
    </row>
    <row r="53" spans="3:35" x14ac:dyDescent="0.25">
      <c r="C53" s="37">
        <f>IFERROR(IF(Q52&lt;=0.01,"",IF(C52+1&gt;Simul_ConstruRemo!$BN$11,"",C52+1)),"")</f>
        <v>31</v>
      </c>
      <c r="D53" s="37" t="str">
        <f>IF(C53&gt;Simul_ConstruRemo!$I$19,"",IF(Simul_ConstruRemo!I91=100%,"",IFERROR(VLOOKUP(C53,Simul_ConstruRemo!$AX$61:$AY$64,2,0),D52)))</f>
        <v/>
      </c>
      <c r="E53" s="136">
        <f>IF(C53="","",IF(AF53="Ministración",Simul_ConstruRemo!BM89,1))</f>
        <v>1</v>
      </c>
      <c r="F53" s="35">
        <f t="shared" si="11"/>
        <v>0</v>
      </c>
      <c r="G53" s="137">
        <f t="shared" si="5"/>
        <v>1437127.5873623914</v>
      </c>
      <c r="H53" s="137">
        <f t="shared" si="2"/>
        <v>14490</v>
      </c>
      <c r="I53" s="137">
        <f t="shared" si="6"/>
        <v>2753.458036540469</v>
      </c>
      <c r="J53" s="137">
        <f t="shared" si="13"/>
        <v>11736.541963459531</v>
      </c>
      <c r="K53" s="137">
        <f>IF(C53="","",IF(Simul_ConstruRemo!$I$10=Simul_ConstruRemo!$BV$6,(Simul_ConstruRemo!$I$16*0.7+Simul_ConstruRemo!$I$17*0.5),Simul_ConstruRemo!$CO$27))</f>
        <v>2606295</v>
      </c>
      <c r="L53" s="137">
        <f>IFERROR(Q53*Simul_ConstruRemo!$BP$30/1000,"")</f>
        <v>631.12461690337443</v>
      </c>
      <c r="M53" s="137">
        <f>IFERROR(IF($E$7="Remodelación",K53*Simul_ConstruRemo!$BS$29,
IF(E53=1,MAX(K53,Q53)*Simul_ConstruRemo!$BS$29,K53*Simul_ConstruRemo!$BQ$29)),"")</f>
        <v>827.2389712662</v>
      </c>
      <c r="N53" s="13">
        <f>IF(C53="","",'Tabla_Puntual&amp;Relacionamiento'!$E$39)</f>
        <v>9.8000000000000004E-2</v>
      </c>
      <c r="O53" s="183"/>
      <c r="P53" s="137">
        <f t="shared" si="4"/>
        <v>15948.363588169575</v>
      </c>
      <c r="Q53" s="137">
        <f t="shared" si="7"/>
        <v>1434374.1293258509</v>
      </c>
      <c r="R53" s="37">
        <f t="shared" si="12"/>
        <v>1</v>
      </c>
      <c r="S53" s="137"/>
      <c r="T53" s="137"/>
      <c r="Z53" s="63"/>
      <c r="AA53" s="35">
        <f t="shared" si="1"/>
        <v>15834.261661098375</v>
      </c>
      <c r="AB53" s="63">
        <f>IF(OR(Q53="",Q53&lt;=0.01),"",IF(SUM($F$23:F53)=Simul_ConstruRemo!$I$26,1,0))</f>
        <v>1</v>
      </c>
      <c r="AC53">
        <f t="shared" si="8"/>
        <v>26</v>
      </c>
      <c r="AD53" s="147">
        <f t="shared" si="9"/>
        <v>25</v>
      </c>
      <c r="AF53" t="str">
        <f t="shared" si="10"/>
        <v>Obra Concluida</v>
      </c>
      <c r="AI53">
        <f>IF(SUM($F$23:F52)&gt;=$K$9,1,0)</f>
        <v>1</v>
      </c>
    </row>
    <row r="54" spans="3:35" x14ac:dyDescent="0.25">
      <c r="C54" s="37">
        <f>IFERROR(IF(Q53&lt;=0.01,"",IF(C53+1&gt;Simul_ConstruRemo!$BN$11,"",C53+1)),"")</f>
        <v>32</v>
      </c>
      <c r="D54" s="37" t="str">
        <f>IF(C54&gt;Simul_ConstruRemo!$I$19,"",IF(Simul_ConstruRemo!CC6=100%,"",IFERROR(VLOOKUP(C54,Simul_ConstruRemo!$AX$61:$AY$64,2,0),D53)))</f>
        <v/>
      </c>
      <c r="E54" s="136">
        <f>IF(C54="","",IF(AF54="Ministración",Simul_ConstruRemo!BM90,1))</f>
        <v>1</v>
      </c>
      <c r="F54" s="35">
        <f t="shared" si="11"/>
        <v>0</v>
      </c>
      <c r="G54" s="137">
        <f t="shared" si="5"/>
        <v>1434374.1293258509</v>
      </c>
      <c r="H54" s="137">
        <f t="shared" si="2"/>
        <v>14490</v>
      </c>
      <c r="I54" s="137">
        <f t="shared" si="6"/>
        <v>2775.9446105055522</v>
      </c>
      <c r="J54" s="137">
        <f t="shared" si="13"/>
        <v>11714.055389494448</v>
      </c>
      <c r="K54" s="137">
        <f>IF(C54="","",IF(Simul_ConstruRemo!$I$10=Simul_ConstruRemo!$BV$6,(Simul_ConstruRemo!$I$16*0.7+Simul_ConstruRemo!$I$17*0.5),Simul_ConstruRemo!$CO$27))</f>
        <v>2606295</v>
      </c>
      <c r="L54" s="137">
        <f>IFERROR(Q54*Simul_ConstruRemo!$BP$30/1000,"")</f>
        <v>629.90320127475195</v>
      </c>
      <c r="M54" s="137">
        <f>IFERROR(IF($E$7="Remodelación",K54*Simul_ConstruRemo!$BS$29,
IF(E54=1,MAX(K54,Q54)*Simul_ConstruRemo!$BS$29,K54*Simul_ConstruRemo!$BQ$29)),"")</f>
        <v>827.2389712662</v>
      </c>
      <c r="N54" s="13">
        <f>IF(C54="","",'Tabla_Puntual&amp;Relacionamiento'!$E$39)</f>
        <v>9.8000000000000004E-2</v>
      </c>
      <c r="O54" s="183"/>
      <c r="P54" s="137">
        <f t="shared" si="4"/>
        <v>15947.142172540953</v>
      </c>
      <c r="Q54" s="137">
        <f t="shared" si="7"/>
        <v>1431598.1847153453</v>
      </c>
      <c r="R54" s="37">
        <f t="shared" si="12"/>
        <v>1</v>
      </c>
      <c r="S54" s="137"/>
      <c r="T54" s="137"/>
      <c r="Z54" s="63"/>
      <c r="AA54" s="35">
        <f t="shared" si="1"/>
        <v>15833.040245469752</v>
      </c>
      <c r="AB54" s="63">
        <f>IF(OR(Q54="",Q54&lt;=0.01),"",IF(SUM($F$23:F54)=Simul_ConstruRemo!$I$26,1,0))</f>
        <v>1</v>
      </c>
      <c r="AC54">
        <f t="shared" si="8"/>
        <v>27</v>
      </c>
      <c r="AD54" s="147">
        <f t="shared" si="9"/>
        <v>26</v>
      </c>
      <c r="AF54" t="str">
        <f t="shared" si="10"/>
        <v>Obra Concluida</v>
      </c>
      <c r="AI54">
        <f>IF(SUM($F$23:F53)&gt;=$K$9,1,0)</f>
        <v>1</v>
      </c>
    </row>
    <row r="55" spans="3:35" x14ac:dyDescent="0.25">
      <c r="C55" s="37">
        <f>IFERROR(IF(Q54&lt;=0.01,"",IF(C54+1&gt;Simul_ConstruRemo!$BN$11,"",C54+1)),"")</f>
        <v>33</v>
      </c>
      <c r="D55" s="37" t="str">
        <f>IF(C55&gt;Simul_ConstruRemo!$I$19,"",IF(Simul_ConstruRemo!CC7=100%,"",IFERROR(VLOOKUP(C55,Simul_ConstruRemo!$AX$61:$AY$64,2,0),D54)))</f>
        <v/>
      </c>
      <c r="E55" s="136">
        <f>IF(C55="","",IF(AF55="Ministración",Simul_ConstruRemo!BM91,1))</f>
        <v>1</v>
      </c>
      <c r="F55" s="35">
        <f t="shared" si="11"/>
        <v>0</v>
      </c>
      <c r="G55" s="137">
        <f t="shared" si="5"/>
        <v>1431598.1847153453</v>
      </c>
      <c r="H55" s="137">
        <f t="shared" si="2"/>
        <v>14490</v>
      </c>
      <c r="I55" s="137">
        <f t="shared" si="6"/>
        <v>2798.6148248246809</v>
      </c>
      <c r="J55" s="137">
        <f t="shared" si="13"/>
        <v>11691.385175175319</v>
      </c>
      <c r="K55" s="137">
        <f>IF(C55="","",IF(Simul_ConstruRemo!$I$10=Simul_ConstruRemo!$BV$6,(Simul_ConstruRemo!$I$16*0.7+Simul_ConstruRemo!$I$17*0.5),Simul_ConstruRemo!$CO$27))</f>
        <v>2606295</v>
      </c>
      <c r="L55" s="137">
        <f>IFERROR(Q55*Simul_ConstruRemo!$BP$30/1000,"")</f>
        <v>628.67181075182907</v>
      </c>
      <c r="M55" s="137">
        <f>IFERROR(IF($E$7="Remodelación",K55*Simul_ConstruRemo!$BS$29,
IF(E55=1,MAX(K55,Q55)*Simul_ConstruRemo!$BS$29,K55*Simul_ConstruRemo!$BQ$29)),"")</f>
        <v>827.2389712662</v>
      </c>
      <c r="N55" s="13">
        <f>IF(C55="","",'Tabla_Puntual&amp;Relacionamiento'!$E$39)</f>
        <v>9.8000000000000004E-2</v>
      </c>
      <c r="O55" s="183"/>
      <c r="P55" s="137">
        <f t="shared" si="4"/>
        <v>15945.910782018029</v>
      </c>
      <c r="Q55" s="137">
        <f t="shared" si="7"/>
        <v>1428799.5698905205</v>
      </c>
      <c r="R55" s="37">
        <f t="shared" si="12"/>
        <v>1</v>
      </c>
      <c r="S55" s="137"/>
      <c r="T55" s="137"/>
      <c r="Z55" s="63"/>
      <c r="AA55" s="35">
        <f t="shared" si="1"/>
        <v>15831.808854946828</v>
      </c>
      <c r="AB55" s="63">
        <f>IF(OR(Q55="",Q55&lt;=0.01),"",IF(SUM($F$23:F55)=Simul_ConstruRemo!$I$26,1,0))</f>
        <v>1</v>
      </c>
      <c r="AC55">
        <f t="shared" si="8"/>
        <v>28</v>
      </c>
      <c r="AD55" s="147">
        <f t="shared" si="9"/>
        <v>27</v>
      </c>
      <c r="AF55" t="str">
        <f t="shared" si="10"/>
        <v>Obra Concluida</v>
      </c>
      <c r="AI55">
        <f>IF(SUM($F$23:F54)&gt;=$K$9,1,0)</f>
        <v>1</v>
      </c>
    </row>
    <row r="56" spans="3:35" x14ac:dyDescent="0.25">
      <c r="C56" s="37">
        <f>IFERROR(IF(Q55&lt;=0.01,"",IF(C55+1&gt;Simul_ConstruRemo!$BN$11,"",C55+1)),"")</f>
        <v>34</v>
      </c>
      <c r="D56" s="37" t="str">
        <f>IF(C56&gt;Simul_ConstruRemo!$I$19,"",IF(Simul_ConstruRemo!CC8=100%,"",IFERROR(VLOOKUP(C56,Simul_ConstruRemo!$AX$61:$AY$64,2,0),D55)))</f>
        <v/>
      </c>
      <c r="E56" s="136">
        <f>IF(C56="","",IF(AF56="Ministración",Simul_ConstruRemo!BM92,1))</f>
        <v>1</v>
      </c>
      <c r="F56" s="35">
        <f t="shared" si="11"/>
        <v>0</v>
      </c>
      <c r="G56" s="137">
        <f t="shared" si="5"/>
        <v>1428799.5698905205</v>
      </c>
      <c r="H56" s="137">
        <f t="shared" si="2"/>
        <v>14490</v>
      </c>
      <c r="I56" s="137">
        <f t="shared" si="6"/>
        <v>2821.4701792274154</v>
      </c>
      <c r="J56" s="137">
        <f t="shared" si="13"/>
        <v>11668.529820772585</v>
      </c>
      <c r="K56" s="137">
        <f>IF(C56="","",IF(Simul_ConstruRemo!$I$10=Simul_ConstruRemo!$BV$6,(Simul_ConstruRemo!$I$16*0.7+Simul_ConstruRemo!$I$17*0.5),Simul_ConstruRemo!$CO$27))</f>
        <v>2606295</v>
      </c>
      <c r="L56" s="137">
        <f>IFERROR(Q56*Simul_ConstruRemo!$BP$30/1000,"")</f>
        <v>627.430363872969</v>
      </c>
      <c r="M56" s="137">
        <f>IFERROR(IF($E$7="Remodelación",K56*Simul_ConstruRemo!$BS$29,
IF(E56=1,MAX(K56,Q56)*Simul_ConstruRemo!$BS$29,K56*Simul_ConstruRemo!$BQ$29)),"")</f>
        <v>827.2389712662</v>
      </c>
      <c r="N56" s="13">
        <f>IF(C56="","",'Tabla_Puntual&amp;Relacionamiento'!$E$39)</f>
        <v>9.8000000000000004E-2</v>
      </c>
      <c r="O56" s="183"/>
      <c r="P56" s="137">
        <f t="shared" si="4"/>
        <v>15944.66933513917</v>
      </c>
      <c r="Q56" s="137">
        <f t="shared" si="7"/>
        <v>1425978.0997112931</v>
      </c>
      <c r="R56" s="37">
        <f t="shared" si="12"/>
        <v>1</v>
      </c>
      <c r="S56" s="137"/>
      <c r="T56" s="137"/>
      <c r="Z56" s="63"/>
      <c r="AA56" s="35">
        <f t="shared" si="1"/>
        <v>15830.567408067969</v>
      </c>
      <c r="AB56" s="63">
        <f>IF(OR(Q56="",Q56&lt;=0.01),"",IF(SUM($F$23:F56)=Simul_ConstruRemo!$I$26,1,0))</f>
        <v>1</v>
      </c>
      <c r="AC56">
        <f t="shared" si="8"/>
        <v>29</v>
      </c>
      <c r="AD56" s="147">
        <f t="shared" si="9"/>
        <v>28</v>
      </c>
      <c r="AF56" t="str">
        <f t="shared" si="10"/>
        <v>Obra Concluida</v>
      </c>
      <c r="AI56">
        <f>IF(SUM($F$23:F55)&gt;=$K$9,1,0)</f>
        <v>1</v>
      </c>
    </row>
    <row r="57" spans="3:35" x14ac:dyDescent="0.25">
      <c r="C57" s="37">
        <f>IFERROR(IF(Q56&lt;=0.01,"",IF(C56+1&gt;Simul_ConstruRemo!$BN$11,"",C56+1)),"")</f>
        <v>35</v>
      </c>
      <c r="D57" s="37" t="str">
        <f>IF(C57&gt;Simul_ConstruRemo!$I$19,"",IF(Simul_ConstruRemo!CC9=100%,"",IFERROR(VLOOKUP(C57,Simul_ConstruRemo!$AX$61:$AY$64,2,0),D56)))</f>
        <v/>
      </c>
      <c r="E57" s="136">
        <f>IF(C57="","",IF(AF57="Ministración",Simul_ConstruRemo!BM93,1))</f>
        <v>1</v>
      </c>
      <c r="F57" s="35">
        <f t="shared" si="11"/>
        <v>0</v>
      </c>
      <c r="G57" s="137">
        <f t="shared" si="5"/>
        <v>1425978.0997112931</v>
      </c>
      <c r="H57" s="137">
        <f t="shared" si="2"/>
        <v>14490</v>
      </c>
      <c r="I57" s="137">
        <f t="shared" si="6"/>
        <v>2844.5121856911064</v>
      </c>
      <c r="J57" s="137">
        <f t="shared" si="13"/>
        <v>11645.487814308894</v>
      </c>
      <c r="K57" s="137">
        <f>IF(C57="","",IF(Simul_ConstruRemo!$I$10=Simul_ConstruRemo!$BV$6,(Simul_ConstruRemo!$I$16*0.7+Simul_ConstruRemo!$I$17*0.5),Simul_ConstruRemo!$CO$27))</f>
        <v>2606295</v>
      </c>
      <c r="L57" s="137">
        <f>IFERROR(Q57*Simul_ConstruRemo!$BP$30/1000,"")</f>
        <v>626.1787785112648</v>
      </c>
      <c r="M57" s="137">
        <f>IFERROR(IF($E$7="Remodelación",K57*Simul_ConstruRemo!$BS$29,
IF(E57=1,MAX(K57,Q57)*Simul_ConstruRemo!$BS$29,K57*Simul_ConstruRemo!$BQ$29)),"")</f>
        <v>827.2389712662</v>
      </c>
      <c r="N57" s="13">
        <f>IF(C57="","",'Tabla_Puntual&amp;Relacionamiento'!$E$39)</f>
        <v>9.8000000000000004E-2</v>
      </c>
      <c r="O57" s="183"/>
      <c r="P57" s="137">
        <f t="shared" si="4"/>
        <v>15943.417749777465</v>
      </c>
      <c r="Q57" s="137">
        <f t="shared" si="7"/>
        <v>1423133.587525602</v>
      </c>
      <c r="R57" s="37">
        <f t="shared" si="12"/>
        <v>1</v>
      </c>
      <c r="S57" s="137"/>
      <c r="T57" s="137"/>
      <c r="Z57" s="63"/>
      <c r="AA57" s="35">
        <f t="shared" si="1"/>
        <v>15829.315822706265</v>
      </c>
      <c r="AB57" s="63">
        <f>IF(OR(Q57="",Q57&lt;=0.01),"",IF(SUM($F$23:F57)=Simul_ConstruRemo!$I$26,1,0))</f>
        <v>1</v>
      </c>
      <c r="AC57">
        <f t="shared" si="8"/>
        <v>30</v>
      </c>
      <c r="AD57" s="147">
        <f t="shared" si="9"/>
        <v>29</v>
      </c>
      <c r="AF57" t="str">
        <f t="shared" si="10"/>
        <v>Obra Concluida</v>
      </c>
      <c r="AI57">
        <f>IF(SUM($F$23:F56)&gt;=$K$9,1,0)</f>
        <v>1</v>
      </c>
    </row>
    <row r="58" spans="3:35" x14ac:dyDescent="0.25">
      <c r="C58" s="37">
        <f>IFERROR(IF(Q57&lt;=0.01,"",IF(C57+1&gt;Simul_ConstruRemo!$BN$11,"",C57+1)),"")</f>
        <v>36</v>
      </c>
      <c r="D58" s="37" t="str">
        <f>IF(C58&gt;Simul_ConstruRemo!$I$19,"",IF(Simul_ConstruRemo!CC10=100%,"",IFERROR(VLOOKUP(C58,Simul_ConstruRemo!$AX$61:$AY$64,2,0),D57)))</f>
        <v/>
      </c>
      <c r="E58" s="136">
        <f>IF(C58="","",IF(AF58="Ministración",Simul_ConstruRemo!BM94,1))</f>
        <v>1</v>
      </c>
      <c r="F58" s="35">
        <f t="shared" si="11"/>
        <v>0</v>
      </c>
      <c r="G58" s="137">
        <f t="shared" si="5"/>
        <v>1423133.587525602</v>
      </c>
      <c r="H58" s="137">
        <f t="shared" si="2"/>
        <v>14490</v>
      </c>
      <c r="I58" s="137">
        <f t="shared" si="6"/>
        <v>2867.7423685409158</v>
      </c>
      <c r="J58" s="137">
        <f t="shared" si="13"/>
        <v>11622.257631459084</v>
      </c>
      <c r="K58" s="137">
        <f>IF(C58="","",IF(Simul_ConstruRemo!$I$10=Simul_ConstruRemo!$BV$6,(Simul_ConstruRemo!$I$16*0.7+Simul_ConstruRemo!$I$17*0.5),Simul_ConstruRemo!$CO$27))</f>
        <v>2606295</v>
      </c>
      <c r="L58" s="137">
        <f>IFERROR(Q58*Simul_ConstruRemo!$BP$30/1000,"")</f>
        <v>624.91697186910687</v>
      </c>
      <c r="M58" s="137">
        <f>IFERROR(IF($E$7="Remodelación",K58*Simul_ConstruRemo!$BS$29,
IF(E58=1,MAX(K58,Q58)*Simul_ConstruRemo!$BS$29,K58*Simul_ConstruRemo!$BQ$29)),"")</f>
        <v>827.2389712662</v>
      </c>
      <c r="N58" s="13">
        <f>IF(C58="","",'Tabla_Puntual&amp;Relacionamiento'!$E$39)</f>
        <v>9.8000000000000004E-2</v>
      </c>
      <c r="O58" s="183"/>
      <c r="P58" s="137">
        <f t="shared" si="4"/>
        <v>15942.155943135307</v>
      </c>
      <c r="Q58" s="137">
        <f t="shared" si="7"/>
        <v>1420265.845157061</v>
      </c>
      <c r="R58" s="37">
        <f t="shared" si="12"/>
        <v>1</v>
      </c>
      <c r="S58" s="137"/>
      <c r="T58" s="137"/>
      <c r="Z58" s="63"/>
      <c r="AA58" s="35">
        <f t="shared" si="1"/>
        <v>15828.054016064107</v>
      </c>
      <c r="AB58" s="63">
        <f>IF(OR(Q58="",Q58&lt;=0.01),"",IF(SUM($F$23:F58)=Simul_ConstruRemo!$I$26,1,0))</f>
        <v>1</v>
      </c>
      <c r="AC58">
        <f t="shared" si="8"/>
        <v>31</v>
      </c>
      <c r="AD58" s="147">
        <f t="shared" si="9"/>
        <v>30</v>
      </c>
      <c r="AF58" t="str">
        <f t="shared" si="10"/>
        <v>Obra Concluida</v>
      </c>
      <c r="AI58">
        <f>IF(SUM($F$23:F57)&gt;=$K$9,1,0)</f>
        <v>1</v>
      </c>
    </row>
    <row r="59" spans="3:35" x14ac:dyDescent="0.25">
      <c r="C59" s="37">
        <f>IFERROR(IF(Q58&lt;=0.01,"",IF(C58+1&gt;Simul_ConstruRemo!$BN$11,"",C58+1)),"")</f>
        <v>37</v>
      </c>
      <c r="D59" s="37" t="str">
        <f>IF(C59&gt;Simul_ConstruRemo!$I$19,"",IF(Simul_ConstruRemo!CC11=100%,"",IFERROR(VLOOKUP(C59,Simul_ConstruRemo!$AX$61:$AY$64,2,0),D58)))</f>
        <v/>
      </c>
      <c r="E59" s="136">
        <f>IF(C59="","",IF(AF59="Ministración",Simul_ConstruRemo!BM95,1))</f>
        <v>1</v>
      </c>
      <c r="F59" s="35">
        <f t="shared" si="11"/>
        <v>0</v>
      </c>
      <c r="G59" s="137">
        <f t="shared" si="5"/>
        <v>1420265.845157061</v>
      </c>
      <c r="H59" s="137">
        <f t="shared" si="2"/>
        <v>14490</v>
      </c>
      <c r="I59" s="137">
        <f t="shared" si="6"/>
        <v>2713.6290339060361</v>
      </c>
      <c r="J59" s="137">
        <f t="shared" si="13"/>
        <v>11776.370966093964</v>
      </c>
      <c r="K59" s="137">
        <f>IF(C59="","",IF(Simul_ConstruRemo!$I$10=Simul_ConstruRemo!$BV$6,(Simul_ConstruRemo!$I$16*0.7+Simul_ConstruRemo!$I$17*0.5),Simul_ConstruRemo!$CO$27))</f>
        <v>2606295</v>
      </c>
      <c r="L59" s="137">
        <f>IFERROR(Q59*Simul_ConstruRemo!$BP$30/1000,"")</f>
        <v>623.72297509418809</v>
      </c>
      <c r="M59" s="137">
        <f>IFERROR(IF($E$7="Remodelación",K59*Simul_ConstruRemo!$BS$29,
IF(E59=1,MAX(K59,Q59)*Simul_ConstruRemo!$BS$29,K59*Simul_ConstruRemo!$BQ$29)),"")</f>
        <v>827.2389712662</v>
      </c>
      <c r="N59" s="13">
        <f>IF(C59="","",'Tabla_Puntual&amp;Relacionamiento'!$E$40)</f>
        <v>9.9500000000000005E-2</v>
      </c>
      <c r="O59" s="183"/>
      <c r="P59" s="137">
        <f t="shared" si="4"/>
        <v>15940.961946360389</v>
      </c>
      <c r="Q59" s="137">
        <f t="shared" si="7"/>
        <v>1417552.2161231549</v>
      </c>
      <c r="R59" s="37">
        <f t="shared" si="12"/>
        <v>1</v>
      </c>
      <c r="S59" s="137"/>
      <c r="T59" s="137"/>
      <c r="Z59" s="63"/>
      <c r="AA59" s="35">
        <f t="shared" si="1"/>
        <v>15826.860019289188</v>
      </c>
      <c r="AB59" s="63">
        <f>IF(OR(Q59="",Q59&lt;=0.01),"",IF(SUM($F$23:F59)=Simul_ConstruRemo!$I$26,1,0))</f>
        <v>1</v>
      </c>
      <c r="AC59">
        <f t="shared" si="8"/>
        <v>32</v>
      </c>
      <c r="AD59" s="147">
        <f t="shared" si="9"/>
        <v>31</v>
      </c>
      <c r="AF59" t="str">
        <f t="shared" si="10"/>
        <v>Obra Concluida</v>
      </c>
      <c r="AI59">
        <f>IF(SUM($F$23:F58)&gt;=$K$9,1,0)</f>
        <v>1</v>
      </c>
    </row>
    <row r="60" spans="3:35" x14ac:dyDescent="0.25">
      <c r="C60" s="37">
        <f>IFERROR(IF(Q59&lt;=0.01,"",IF(C59+1&gt;Simul_ConstruRemo!$BN$11,"",C59+1)),"")</f>
        <v>38</v>
      </c>
      <c r="D60" s="37" t="str">
        <f>IF(C60&gt;Simul_ConstruRemo!$I$19,"",IF(Simul_ConstruRemo!CC12=100%,"",IFERROR(VLOOKUP(C60,Simul_ConstruRemo!$AX$61:$AY$64,2,0),D59)))</f>
        <v/>
      </c>
      <c r="E60" s="136">
        <f>IF(C60="","",IF(AF60="Ministración",Simul_ConstruRemo!BM96,1))</f>
        <v>1</v>
      </c>
      <c r="F60" s="35">
        <f t="shared" si="11"/>
        <v>0</v>
      </c>
      <c r="G60" s="137">
        <f t="shared" si="5"/>
        <v>1417552.2161231549</v>
      </c>
      <c r="H60" s="137">
        <f t="shared" si="2"/>
        <v>14490</v>
      </c>
      <c r="I60" s="137">
        <f t="shared" si="6"/>
        <v>2736.1295413121752</v>
      </c>
      <c r="J60" s="137">
        <f t="shared" si="13"/>
        <v>11753.870458687825</v>
      </c>
      <c r="K60" s="137">
        <f>IF(C60="","",IF(Simul_ConstruRemo!$I$10=Simul_ConstruRemo!$BV$6,(Simul_ConstruRemo!$I$16*0.7+Simul_ConstruRemo!$I$17*0.5),Simul_ConstruRemo!$CO$27))</f>
        <v>2606295</v>
      </c>
      <c r="L60" s="137">
        <f>IFERROR(Q60*Simul_ConstruRemo!$BP$30/1000,"")</f>
        <v>622.51907809601084</v>
      </c>
      <c r="M60" s="137">
        <f>IFERROR(IF($E$7="Remodelación",K60*Simul_ConstruRemo!$BS$29,
IF(E60=1,MAX(K60,Q60)*Simul_ConstruRemo!$BS$29,K60*Simul_ConstruRemo!$BQ$29)),"")</f>
        <v>827.2389712662</v>
      </c>
      <c r="N60" s="13">
        <f>IF(C60="","",'Tabla_Puntual&amp;Relacionamiento'!$E$40)</f>
        <v>9.9500000000000005E-2</v>
      </c>
      <c r="O60" s="183"/>
      <c r="P60" s="137">
        <f t="shared" si="4"/>
        <v>15939.758049362212</v>
      </c>
      <c r="Q60" s="137">
        <f t="shared" si="7"/>
        <v>1414816.0865818427</v>
      </c>
      <c r="R60" s="37">
        <f t="shared" si="12"/>
        <v>1</v>
      </c>
      <c r="S60" s="137"/>
      <c r="T60" s="137"/>
      <c r="Z60" s="63"/>
      <c r="AA60" s="35">
        <f t="shared" si="1"/>
        <v>15825.656122291011</v>
      </c>
      <c r="AB60" s="63">
        <f>IF(OR(Q60="",Q60&lt;=0.01),"",IF(SUM($F$23:F60)=Simul_ConstruRemo!$I$26,1,0))</f>
        <v>1</v>
      </c>
      <c r="AC60">
        <f t="shared" si="8"/>
        <v>33</v>
      </c>
      <c r="AD60" s="147">
        <f t="shared" si="9"/>
        <v>32</v>
      </c>
      <c r="AF60" t="str">
        <f t="shared" si="10"/>
        <v>Obra Concluida</v>
      </c>
      <c r="AI60">
        <f>IF(SUM($F$23:F59)&gt;=$K$9,1,0)</f>
        <v>1</v>
      </c>
    </row>
    <row r="61" spans="3:35" x14ac:dyDescent="0.25">
      <c r="C61" s="37">
        <f>IFERROR(IF(Q60&lt;=0.01,"",IF(C60+1&gt;Simul_ConstruRemo!$BN$11,"",C60+1)),"")</f>
        <v>39</v>
      </c>
      <c r="D61" s="37" t="str">
        <f>IF(C61&gt;Simul_ConstruRemo!$I$19,"",IF(Simul_ConstruRemo!CC13=100%,"",IFERROR(VLOOKUP(C61,Simul_ConstruRemo!$AX$61:$AY$64,2,0),D60)))</f>
        <v/>
      </c>
      <c r="E61" s="136">
        <f>IF(C61="","",IF(AF61="Ministración",Simul_ConstruRemo!BM97,1))</f>
        <v>1</v>
      </c>
      <c r="F61" s="35">
        <f t="shared" si="11"/>
        <v>0</v>
      </c>
      <c r="G61" s="137">
        <f t="shared" si="5"/>
        <v>1414816.0865818427</v>
      </c>
      <c r="H61" s="137">
        <f t="shared" si="2"/>
        <v>14490</v>
      </c>
      <c r="I61" s="137">
        <f t="shared" si="6"/>
        <v>2758.8166154255523</v>
      </c>
      <c r="J61" s="137">
        <f t="shared" si="13"/>
        <v>11731.183384574448</v>
      </c>
      <c r="K61" s="137">
        <f>IF(C61="","",IF(Simul_ConstruRemo!$I$10=Simul_ConstruRemo!$BV$6,(Simul_ConstruRemo!$I$16*0.7+Simul_ConstruRemo!$I$17*0.5),Simul_ConstruRemo!$CO$27))</f>
        <v>2606295</v>
      </c>
      <c r="L61" s="137">
        <f>IFERROR(Q61*Simul_ConstruRemo!$BP$30/1000,"")</f>
        <v>621.30519878522352</v>
      </c>
      <c r="M61" s="137">
        <f>IFERROR(IF($E$7="Remodelación",K61*Simul_ConstruRemo!$BS$29,
IF(E61=1,MAX(K61,Q61)*Simul_ConstruRemo!$BS$29,K61*Simul_ConstruRemo!$BQ$29)),"")</f>
        <v>827.2389712662</v>
      </c>
      <c r="N61" s="13">
        <f>IF(C61="","",'Tabla_Puntual&amp;Relacionamiento'!$E$40)</f>
        <v>9.9500000000000005E-2</v>
      </c>
      <c r="O61" s="183"/>
      <c r="P61" s="137">
        <f t="shared" si="4"/>
        <v>15938.544170051424</v>
      </c>
      <c r="Q61" s="137">
        <f t="shared" si="7"/>
        <v>1412057.2699664172</v>
      </c>
      <c r="R61" s="37">
        <f t="shared" si="12"/>
        <v>1</v>
      </c>
      <c r="S61" s="137"/>
      <c r="T61" s="137"/>
      <c r="Z61" s="63"/>
      <c r="AA61" s="35">
        <f t="shared" si="1"/>
        <v>15824.442242980223</v>
      </c>
      <c r="AB61" s="63">
        <f>IF(OR(Q61="",Q61&lt;=0.01),"",IF(SUM($F$23:F61)=Simul_ConstruRemo!$I$26,1,0))</f>
        <v>1</v>
      </c>
      <c r="AC61">
        <f t="shared" si="8"/>
        <v>34</v>
      </c>
      <c r="AD61" s="147">
        <f t="shared" si="9"/>
        <v>33</v>
      </c>
      <c r="AF61" t="str">
        <f t="shared" si="10"/>
        <v>Obra Concluida</v>
      </c>
      <c r="AI61">
        <f>IF(SUM($F$23:F60)&gt;=$K$9,1,0)</f>
        <v>1</v>
      </c>
    </row>
    <row r="62" spans="3:35" x14ac:dyDescent="0.25">
      <c r="C62" s="37">
        <f>IFERROR(IF(Q61&lt;=0.01,"",IF(C61+1&gt;Simul_ConstruRemo!$BN$11,"",C61+1)),"")</f>
        <v>40</v>
      </c>
      <c r="D62" s="37" t="str">
        <f>IF(C62&gt;Simul_ConstruRemo!$I$19,"",IF(Simul_ConstruRemo!CC14=100%,"",IFERROR(VLOOKUP(C62,Simul_ConstruRemo!$AX$61:$AY$64,2,0),D61)))</f>
        <v/>
      </c>
      <c r="E62" s="136">
        <f>IF(C62="","",IF(AF62="Ministración",Simul_ConstruRemo!BM98,1))</f>
        <v>1</v>
      </c>
      <c r="F62" s="35">
        <f t="shared" si="11"/>
        <v>0</v>
      </c>
      <c r="G62" s="137">
        <f t="shared" si="5"/>
        <v>1412057.2699664172</v>
      </c>
      <c r="H62" s="137">
        <f t="shared" si="2"/>
        <v>14490</v>
      </c>
      <c r="I62" s="137">
        <f t="shared" si="6"/>
        <v>2781.6918031951227</v>
      </c>
      <c r="J62" s="137">
        <f t="shared" si="13"/>
        <v>11708.308196804877</v>
      </c>
      <c r="K62" s="137">
        <f>IF(C62="","",IF(Simul_ConstruRemo!$I$10=Simul_ConstruRemo!$BV$6,(Simul_ConstruRemo!$I$16*0.7+Simul_ConstruRemo!$I$17*0.5),Simul_ConstruRemo!$CO$27))</f>
        <v>2606295</v>
      </c>
      <c r="L62" s="137">
        <f>IFERROR(Q62*Simul_ConstruRemo!$BP$30/1000,"")</f>
        <v>620.08125439181777</v>
      </c>
      <c r="M62" s="137">
        <f>IFERROR(IF($E$7="Remodelación",K62*Simul_ConstruRemo!$BS$29,
IF(E62=1,MAX(K62,Q62)*Simul_ConstruRemo!$BS$29,K62*Simul_ConstruRemo!$BQ$29)),"")</f>
        <v>827.2389712662</v>
      </c>
      <c r="N62" s="13">
        <f>IF(C62="","",'Tabla_Puntual&amp;Relacionamiento'!$E$40)</f>
        <v>9.9500000000000005E-2</v>
      </c>
      <c r="O62" s="183"/>
      <c r="P62" s="137">
        <f t="shared" si="4"/>
        <v>15937.320225658019</v>
      </c>
      <c r="Q62" s="137">
        <f t="shared" si="7"/>
        <v>1409275.5781632222</v>
      </c>
      <c r="R62" s="37">
        <f t="shared" si="12"/>
        <v>1</v>
      </c>
      <c r="S62" s="137"/>
      <c r="T62" s="137"/>
      <c r="Z62" s="63"/>
      <c r="AA62" s="35">
        <f t="shared" si="1"/>
        <v>15823.218298586818</v>
      </c>
      <c r="AB62" s="63">
        <f>IF(OR(Q62="",Q62&lt;=0.01),"",IF(SUM($F$23:F62)=Simul_ConstruRemo!$I$26,1,0))</f>
        <v>1</v>
      </c>
      <c r="AC62">
        <f t="shared" si="8"/>
        <v>35</v>
      </c>
      <c r="AD62" s="147">
        <f t="shared" si="9"/>
        <v>34</v>
      </c>
      <c r="AF62" t="str">
        <f t="shared" si="10"/>
        <v>Obra Concluida</v>
      </c>
      <c r="AI62">
        <f>IF(SUM($F$23:F61)&gt;=$K$9,1,0)</f>
        <v>1</v>
      </c>
    </row>
    <row r="63" spans="3:35" x14ac:dyDescent="0.25">
      <c r="C63" s="37">
        <f>IFERROR(IF(Q62&lt;=0.01,"",IF(C62+1&gt;Simul_ConstruRemo!$BN$11,"",C62+1)),"")</f>
        <v>41</v>
      </c>
      <c r="D63" s="37" t="str">
        <f>IF(C63&gt;Simul_ConstruRemo!$I$19,"",IF(Simul_ConstruRemo!CC15=100%,"",IFERROR(VLOOKUP(C63,Simul_ConstruRemo!$AX$61:$AY$64,2,0),D62)))</f>
        <v/>
      </c>
      <c r="E63" s="136">
        <f>IF(C63="","",IF(AF63="Ministración",Simul_ConstruRemo!BM99,1))</f>
        <v>1</v>
      </c>
      <c r="F63" s="35">
        <f t="shared" si="11"/>
        <v>0</v>
      </c>
      <c r="G63" s="137">
        <f t="shared" si="5"/>
        <v>1409275.5781632222</v>
      </c>
      <c r="H63" s="137">
        <f t="shared" si="2"/>
        <v>14490</v>
      </c>
      <c r="I63" s="137">
        <f t="shared" si="6"/>
        <v>2804.7566643966147</v>
      </c>
      <c r="J63" s="137">
        <f t="shared" si="13"/>
        <v>11685.243335603385</v>
      </c>
      <c r="K63" s="137">
        <f>IF(C63="","",IF(Simul_ConstruRemo!$I$10=Simul_ConstruRemo!$BV$6,(Simul_ConstruRemo!$I$16*0.7+Simul_ConstruRemo!$I$17*0.5),Simul_ConstruRemo!$CO$27))</f>
        <v>2606295</v>
      </c>
      <c r="L63" s="137">
        <f>IFERROR(Q63*Simul_ConstruRemo!$BP$30/1000,"")</f>
        <v>618.84716145948323</v>
      </c>
      <c r="M63" s="137">
        <f>IFERROR(IF($E$7="Remodelación",K63*Simul_ConstruRemo!$BS$29,
IF(E63=1,MAX(K63,Q63)*Simul_ConstruRemo!$BS$29,K63*Simul_ConstruRemo!$BQ$29)),"")</f>
        <v>827.2389712662</v>
      </c>
      <c r="N63" s="13">
        <f>IF(C63="","",'Tabla_Puntual&amp;Relacionamiento'!$E$40)</f>
        <v>9.9500000000000005E-2</v>
      </c>
      <c r="O63" s="183"/>
      <c r="P63" s="137">
        <f t="shared" si="4"/>
        <v>15936.086132725684</v>
      </c>
      <c r="Q63" s="137">
        <f t="shared" si="7"/>
        <v>1406470.8214988254</v>
      </c>
      <c r="R63" s="37">
        <f t="shared" si="12"/>
        <v>1</v>
      </c>
      <c r="S63" s="137"/>
      <c r="T63" s="137"/>
      <c r="Z63" s="63"/>
      <c r="AA63" s="35">
        <f t="shared" si="1"/>
        <v>15821.984205654484</v>
      </c>
      <c r="AB63" s="63">
        <f>IF(OR(Q63="",Q63&lt;=0.01),"",IF(SUM($F$23:F63)=Simul_ConstruRemo!$I$26,1,0))</f>
        <v>1</v>
      </c>
      <c r="AC63">
        <f t="shared" si="8"/>
        <v>36</v>
      </c>
      <c r="AD63" s="147">
        <f t="shared" si="9"/>
        <v>35</v>
      </c>
      <c r="AF63" t="str">
        <f t="shared" si="10"/>
        <v>Obra Concluida</v>
      </c>
      <c r="AI63">
        <f>IF(SUM($F$23:F62)&gt;=$K$9,1,0)</f>
        <v>1</v>
      </c>
    </row>
    <row r="64" spans="3:35" x14ac:dyDescent="0.25">
      <c r="C64" s="37">
        <f>IFERROR(IF(Q63&lt;=0.01,"",IF(C63+1&gt;Simul_ConstruRemo!$BN$11,"",C63+1)),"")</f>
        <v>42</v>
      </c>
      <c r="D64" s="37" t="str">
        <f>IF(C64&gt;Simul_ConstruRemo!$I$19,"",IF(Simul_ConstruRemo!CC16=100%,"",IFERROR(VLOOKUP(C64,Simul_ConstruRemo!$AX$61:$AY$64,2,0),D63)))</f>
        <v/>
      </c>
      <c r="E64" s="136">
        <f>IF(C64="","",IF(AF64="Ministración",Simul_ConstruRemo!BM100,1))</f>
        <v>1</v>
      </c>
      <c r="F64" s="35">
        <f t="shared" si="11"/>
        <v>0</v>
      </c>
      <c r="G64" s="137">
        <f t="shared" si="5"/>
        <v>1406470.8214988254</v>
      </c>
      <c r="H64" s="137">
        <f t="shared" si="2"/>
        <v>14490</v>
      </c>
      <c r="I64" s="137">
        <f t="shared" si="6"/>
        <v>2828.0127717389041</v>
      </c>
      <c r="J64" s="137">
        <f t="shared" si="13"/>
        <v>11661.987228261096</v>
      </c>
      <c r="K64" s="137">
        <f>IF(C64="","",IF(Simul_ConstruRemo!$I$10=Simul_ConstruRemo!$BV$6,(Simul_ConstruRemo!$I$16*0.7+Simul_ConstruRemo!$I$17*0.5),Simul_ConstruRemo!$CO$27))</f>
        <v>2606295</v>
      </c>
      <c r="L64" s="137">
        <f>IFERROR(Q64*Simul_ConstruRemo!$BP$30/1000,"")</f>
        <v>617.60283583991816</v>
      </c>
      <c r="M64" s="137">
        <f>IFERROR(IF($E$7="Remodelación",K64*Simul_ConstruRemo!$BS$29,
IF(E64=1,MAX(K64,Q64)*Simul_ConstruRemo!$BS$29,K64*Simul_ConstruRemo!$BQ$29)),"")</f>
        <v>827.2389712662</v>
      </c>
      <c r="N64" s="13">
        <f>IF(C64="","",'Tabla_Puntual&amp;Relacionamiento'!$E$40)</f>
        <v>9.9500000000000005E-2</v>
      </c>
      <c r="O64" s="183"/>
      <c r="P64" s="137">
        <f t="shared" si="4"/>
        <v>15934.841807106119</v>
      </c>
      <c r="Q64" s="137">
        <f t="shared" si="7"/>
        <v>1403642.8087270865</v>
      </c>
      <c r="R64" s="37">
        <f t="shared" si="12"/>
        <v>1</v>
      </c>
      <c r="S64" s="137"/>
      <c r="T64" s="137"/>
      <c r="Z64" s="63"/>
      <c r="AA64" s="35">
        <f t="shared" si="1"/>
        <v>15820.739880034918</v>
      </c>
      <c r="AB64" s="63">
        <f>IF(OR(Q64="",Q64&lt;=0.01),"",IF(SUM($F$23:F64)=Simul_ConstruRemo!$I$26,1,0))</f>
        <v>1</v>
      </c>
      <c r="AC64">
        <f t="shared" si="8"/>
        <v>37</v>
      </c>
      <c r="AD64" s="147">
        <f t="shared" si="9"/>
        <v>36</v>
      </c>
      <c r="AF64" t="str">
        <f t="shared" si="10"/>
        <v>Obra Concluida</v>
      </c>
      <c r="AI64">
        <f>IF(SUM($F$23:F63)&gt;=$K$9,1,0)</f>
        <v>1</v>
      </c>
    </row>
    <row r="65" spans="3:35" x14ac:dyDescent="0.25">
      <c r="C65" s="37">
        <f>IFERROR(IF(Q64&lt;=0.01,"",IF(C64+1&gt;Simul_ConstruRemo!$BN$11,"",C64+1)),"")</f>
        <v>43</v>
      </c>
      <c r="D65" s="37" t="str">
        <f>IF(C65&gt;Simul_ConstruRemo!$I$19,"",IF(Simul_ConstruRemo!CC17=100%,"",IFERROR(VLOOKUP(C65,Simul_ConstruRemo!$AX$61:$AY$64,2,0),D64)))</f>
        <v/>
      </c>
      <c r="E65" s="136">
        <f>IF(C65="","",IF(AF65="Ministración",Simul_ConstruRemo!BM101,1))</f>
        <v>1</v>
      </c>
      <c r="F65" s="35">
        <f t="shared" si="11"/>
        <v>0</v>
      </c>
      <c r="G65" s="137">
        <f t="shared" si="5"/>
        <v>1403642.8087270865</v>
      </c>
      <c r="H65" s="137">
        <f t="shared" si="2"/>
        <v>14490</v>
      </c>
      <c r="I65" s="137">
        <f t="shared" si="6"/>
        <v>2851.4617109712399</v>
      </c>
      <c r="J65" s="137">
        <f t="shared" si="13"/>
        <v>11638.53828902876</v>
      </c>
      <c r="K65" s="137">
        <f>IF(C65="","",IF(Simul_ConstruRemo!$I$10=Simul_ConstruRemo!$BV$6,(Simul_ConstruRemo!$I$16*0.7+Simul_ConstruRemo!$I$17*0.5),Simul_ConstruRemo!$CO$27))</f>
        <v>2606295</v>
      </c>
      <c r="L65" s="137">
        <f>IFERROR(Q65*Simul_ConstruRemo!$BP$30/1000,"")</f>
        <v>616.34819268709077</v>
      </c>
      <c r="M65" s="137">
        <f>IFERROR(IF($E$7="Remodelación",K65*Simul_ConstruRemo!$BS$29,
IF(E65=1,MAX(K65,Q65)*Simul_ConstruRemo!$BS$29,K65*Simul_ConstruRemo!$BQ$29)),"")</f>
        <v>827.2389712662</v>
      </c>
      <c r="N65" s="13">
        <f>IF(C65="","",'Tabla_Puntual&amp;Relacionamiento'!$E$40)</f>
        <v>9.9500000000000005E-2</v>
      </c>
      <c r="O65" s="183"/>
      <c r="P65" s="137">
        <f t="shared" si="4"/>
        <v>15933.587163953291</v>
      </c>
      <c r="Q65" s="137">
        <f t="shared" si="7"/>
        <v>1400791.3470161152</v>
      </c>
      <c r="R65" s="37">
        <f t="shared" si="12"/>
        <v>1</v>
      </c>
      <c r="S65" s="137"/>
      <c r="T65" s="137"/>
      <c r="Z65" s="63"/>
      <c r="AA65" s="35">
        <f t="shared" si="1"/>
        <v>15819.48523688209</v>
      </c>
      <c r="AB65" s="63">
        <f>IF(OR(Q65="",Q65&lt;=0.01),"",IF(SUM($F$23:F65)=Simul_ConstruRemo!$I$26,1,0))</f>
        <v>1</v>
      </c>
      <c r="AC65">
        <f t="shared" si="8"/>
        <v>38</v>
      </c>
      <c r="AD65" s="147">
        <f t="shared" si="9"/>
        <v>37</v>
      </c>
      <c r="AF65" t="str">
        <f t="shared" si="10"/>
        <v>Obra Concluida</v>
      </c>
      <c r="AI65">
        <f>IF(SUM($F$23:F64)&gt;=$K$9,1,0)</f>
        <v>1</v>
      </c>
    </row>
    <row r="66" spans="3:35" x14ac:dyDescent="0.25">
      <c r="C66" s="37">
        <f>IFERROR(IF(Q65&lt;=0.01,"",IF(C65+1&gt;Simul_ConstruRemo!$BN$11,"",C65+1)),"")</f>
        <v>44</v>
      </c>
      <c r="D66" s="37" t="str">
        <f>IF(C66&gt;Simul_ConstruRemo!$I$19,"",IF(Simul_ConstruRemo!CC18=100%,"",IFERROR(VLOOKUP(C66,Simul_ConstruRemo!$AX$61:$AY$64,2,0),D65)))</f>
        <v/>
      </c>
      <c r="E66" s="136">
        <f>IF(C66="","",IF(AF66="Ministración",Simul_ConstruRemo!BM102,1))</f>
        <v>1</v>
      </c>
      <c r="F66" s="35">
        <f t="shared" si="11"/>
        <v>0</v>
      </c>
      <c r="G66" s="137">
        <f t="shared" si="5"/>
        <v>1400791.3470161152</v>
      </c>
      <c r="H66" s="137">
        <f t="shared" si="2"/>
        <v>14490</v>
      </c>
      <c r="I66" s="137">
        <f t="shared" si="6"/>
        <v>2875.1050809913777</v>
      </c>
      <c r="J66" s="137">
        <f t="shared" si="13"/>
        <v>11614.894919008622</v>
      </c>
      <c r="K66" s="137">
        <f>IF(C66="","",IF(Simul_ConstruRemo!$I$10=Simul_ConstruRemo!$BV$6,(Simul_ConstruRemo!$I$16*0.7+Simul_ConstruRemo!$I$17*0.5),Simul_ConstruRemo!$CO$27))</f>
        <v>2606295</v>
      </c>
      <c r="L66" s="137">
        <f>IFERROR(Q66*Simul_ConstruRemo!$BP$30/1000,"")</f>
        <v>615.08314645145447</v>
      </c>
      <c r="M66" s="137">
        <f>IFERROR(IF($E$7="Remodelación",K66*Simul_ConstruRemo!$BS$29,
IF(E66=1,MAX(K66,Q66)*Simul_ConstruRemo!$BS$29,K66*Simul_ConstruRemo!$BQ$29)),"")</f>
        <v>827.2389712662</v>
      </c>
      <c r="N66" s="13">
        <f>IF(C66="","",'Tabla_Puntual&amp;Relacionamiento'!$E$40)</f>
        <v>9.9500000000000005E-2</v>
      </c>
      <c r="O66" s="183"/>
      <c r="P66" s="137">
        <f t="shared" si="4"/>
        <v>15932.322117717655</v>
      </c>
      <c r="Q66" s="137">
        <f t="shared" si="7"/>
        <v>1397916.2419351239</v>
      </c>
      <c r="R66" s="37">
        <f t="shared" si="12"/>
        <v>1</v>
      </c>
      <c r="S66" s="137"/>
      <c r="T66" s="137"/>
      <c r="Z66" s="63"/>
      <c r="AA66" s="35">
        <f t="shared" si="1"/>
        <v>15818.220190646454</v>
      </c>
      <c r="AB66" s="63">
        <f>IF(OR(Q66="",Q66&lt;=0.01),"",IF(SUM($F$23:F66)=Simul_ConstruRemo!$I$26,1,0))</f>
        <v>1</v>
      </c>
      <c r="AC66">
        <f t="shared" si="8"/>
        <v>39</v>
      </c>
      <c r="AD66" s="147">
        <f t="shared" si="9"/>
        <v>38</v>
      </c>
      <c r="AF66" t="str">
        <f t="shared" si="10"/>
        <v>Obra Concluida</v>
      </c>
      <c r="AI66">
        <f>IF(SUM($F$23:F65)&gt;=$K$9,1,0)</f>
        <v>1</v>
      </c>
    </row>
    <row r="67" spans="3:35" x14ac:dyDescent="0.25">
      <c r="C67" s="37">
        <f>IFERROR(IF(Q66&lt;=0.01,"",IF(C66+1&gt;Simul_ConstruRemo!$BN$11,"",C66+1)),"")</f>
        <v>45</v>
      </c>
      <c r="D67" s="37" t="str">
        <f>IF(C67&gt;Simul_ConstruRemo!$I$19,"",IF(Simul_ConstruRemo!CC19=100%,"",IFERROR(VLOOKUP(C67,Simul_ConstruRemo!$AX$61:$AY$64,2,0),D66)))</f>
        <v/>
      </c>
      <c r="E67" s="136">
        <f>IF(C67="","",IF(AF67="Ministración",Simul_ConstruRemo!BM103,1))</f>
        <v>1</v>
      </c>
      <c r="F67" s="35">
        <f t="shared" si="11"/>
        <v>0</v>
      </c>
      <c r="G67" s="137">
        <f t="shared" si="5"/>
        <v>1397916.2419351239</v>
      </c>
      <c r="H67" s="137">
        <f t="shared" si="2"/>
        <v>14490</v>
      </c>
      <c r="I67" s="137">
        <f t="shared" si="6"/>
        <v>2898.9444939545956</v>
      </c>
      <c r="J67" s="137">
        <f t="shared" si="13"/>
        <v>11591.055506045404</v>
      </c>
      <c r="K67" s="137">
        <f>IF(C67="","",IF(Simul_ConstruRemo!$I$10=Simul_ConstruRemo!$BV$6,(Simul_ConstruRemo!$I$16*0.7+Simul_ConstruRemo!$I$17*0.5),Simul_ConstruRemo!$CO$27))</f>
        <v>2606295</v>
      </c>
      <c r="L67" s="137">
        <f>IFERROR(Q67*Simul_ConstruRemo!$BP$30/1000,"")</f>
        <v>613.80761087411452</v>
      </c>
      <c r="M67" s="137">
        <f>IFERROR(IF($E$7="Remodelación",K67*Simul_ConstruRemo!$BS$29,
IF(E67=1,MAX(K67,Q67)*Simul_ConstruRemo!$BS$29,K67*Simul_ConstruRemo!$BQ$29)),"")</f>
        <v>827.2389712662</v>
      </c>
      <c r="N67" s="13">
        <f>IF(C67="","",'Tabla_Puntual&amp;Relacionamiento'!$E$40)</f>
        <v>9.9500000000000005E-2</v>
      </c>
      <c r="O67" s="183"/>
      <c r="P67" s="137">
        <f t="shared" si="4"/>
        <v>15931.046582140316</v>
      </c>
      <c r="Q67" s="137">
        <f t="shared" si="7"/>
        <v>1395017.2974411694</v>
      </c>
      <c r="R67" s="37">
        <f t="shared" si="12"/>
        <v>1</v>
      </c>
      <c r="S67" s="137"/>
      <c r="T67" s="137"/>
      <c r="Z67" s="63"/>
      <c r="AA67" s="35">
        <f t="shared" si="1"/>
        <v>15816.944655069115</v>
      </c>
      <c r="AB67" s="63">
        <f>IF(OR(Q67="",Q67&lt;=0.01),"",IF(SUM($F$23:F67)=Simul_ConstruRemo!$I$26,1,0))</f>
        <v>1</v>
      </c>
      <c r="AC67">
        <f t="shared" si="8"/>
        <v>40</v>
      </c>
      <c r="AD67" s="147">
        <f t="shared" si="9"/>
        <v>39</v>
      </c>
      <c r="AF67" t="str">
        <f t="shared" si="10"/>
        <v>Obra Concluida</v>
      </c>
      <c r="AI67">
        <f>IF(SUM($F$23:F66)&gt;=$K$9,1,0)</f>
        <v>1</v>
      </c>
    </row>
    <row r="68" spans="3:35" x14ac:dyDescent="0.25">
      <c r="C68" s="37">
        <f>IFERROR(IF(Q67&lt;=0.01,"",IF(C67+1&gt;Simul_ConstruRemo!$BN$11,"",C67+1)),"")</f>
        <v>46</v>
      </c>
      <c r="D68" s="37" t="str">
        <f>IF(C68&gt;Simul_ConstruRemo!$I$19,"",IF(Simul_ConstruRemo!CC20=100%,"",IFERROR(VLOOKUP(C68,Simul_ConstruRemo!$AX$61:$AY$64,2,0),D67)))</f>
        <v/>
      </c>
      <c r="E68" s="136">
        <f>IF(C68="","",IF(AF68="Ministración",Simul_ConstruRemo!BM104,1))</f>
        <v>1</v>
      </c>
      <c r="F68" s="35">
        <f t="shared" si="11"/>
        <v>0</v>
      </c>
      <c r="G68" s="137">
        <f t="shared" si="5"/>
        <v>1395017.2974411694</v>
      </c>
      <c r="H68" s="137">
        <f t="shared" si="2"/>
        <v>14490</v>
      </c>
      <c r="I68" s="137">
        <f t="shared" si="6"/>
        <v>2922.9815753836374</v>
      </c>
      <c r="J68" s="137">
        <f t="shared" si="13"/>
        <v>11567.018424616363</v>
      </c>
      <c r="K68" s="137">
        <f>IF(C68="","",IF(Simul_ConstruRemo!$I$10=Simul_ConstruRemo!$BV$6,(Simul_ConstruRemo!$I$16*0.7+Simul_ConstruRemo!$I$17*0.5),Simul_ConstruRemo!$CO$27))</f>
        <v>2606295</v>
      </c>
      <c r="L68" s="137">
        <f>IFERROR(Q68*Simul_ConstruRemo!$BP$30/1000,"")</f>
        <v>612.52149898094581</v>
      </c>
      <c r="M68" s="137">
        <f>IFERROR(IF($E$7="Remodelación",K68*Simul_ConstruRemo!$BS$29,
IF(E68=1,MAX(K68,Q68)*Simul_ConstruRemo!$BS$29,K68*Simul_ConstruRemo!$BQ$29)),"")</f>
        <v>827.2389712662</v>
      </c>
      <c r="N68" s="13">
        <f>IF(C68="","",'Tabla_Puntual&amp;Relacionamiento'!$E$40)</f>
        <v>9.9500000000000005E-2</v>
      </c>
      <c r="O68" s="183"/>
      <c r="P68" s="137">
        <f t="shared" si="4"/>
        <v>15929.760470247147</v>
      </c>
      <c r="Q68" s="137">
        <f t="shared" si="7"/>
        <v>1392094.3158657858</v>
      </c>
      <c r="R68" s="37">
        <f t="shared" si="12"/>
        <v>1</v>
      </c>
      <c r="S68" s="137"/>
      <c r="T68" s="137"/>
      <c r="Z68" s="63"/>
      <c r="AA68" s="35">
        <f t="shared" si="1"/>
        <v>15815.658543175947</v>
      </c>
      <c r="AB68" s="63">
        <f>IF(OR(Q68="",Q68&lt;=0.01),"",IF(SUM($F$23:F68)=Simul_ConstruRemo!$I$26,1,0))</f>
        <v>1</v>
      </c>
      <c r="AC68">
        <f t="shared" si="8"/>
        <v>41</v>
      </c>
      <c r="AD68" s="147">
        <f t="shared" si="9"/>
        <v>40</v>
      </c>
      <c r="AF68" t="str">
        <f t="shared" si="10"/>
        <v>Obra Concluida</v>
      </c>
      <c r="AI68">
        <f>IF(SUM($F$23:F67)&gt;=$K$9,1,0)</f>
        <v>1</v>
      </c>
    </row>
    <row r="69" spans="3:35" x14ac:dyDescent="0.25">
      <c r="C69" s="37">
        <f>IFERROR(IF(Q68&lt;=0.01,"",IF(C68+1&gt;Simul_ConstruRemo!$BN$11,"",C68+1)),"")</f>
        <v>47</v>
      </c>
      <c r="D69" s="37" t="str">
        <f>IF(C69&gt;Simul_ConstruRemo!$I$19,"",IF(Simul_ConstruRemo!CC21=100%,"",IFERROR(VLOOKUP(C69,Simul_ConstruRemo!$AX$61:$AY$64,2,0),D68)))</f>
        <v/>
      </c>
      <c r="E69" s="136">
        <f>IF(C69="","",IF(AF69="Ministración",Simul_ConstruRemo!BM105,1))</f>
        <v>1</v>
      </c>
      <c r="F69" s="35">
        <f t="shared" si="11"/>
        <v>0</v>
      </c>
      <c r="G69" s="137">
        <f t="shared" si="5"/>
        <v>1392094.3158657858</v>
      </c>
      <c r="H69" s="137">
        <f t="shared" si="2"/>
        <v>14490</v>
      </c>
      <c r="I69" s="137">
        <f t="shared" si="6"/>
        <v>2947.2179642795254</v>
      </c>
      <c r="J69" s="137">
        <f t="shared" si="13"/>
        <v>11542.782035720475</v>
      </c>
      <c r="K69" s="137">
        <f>IF(C69="","",IF(Simul_ConstruRemo!$I$10=Simul_ConstruRemo!$BV$6,(Simul_ConstruRemo!$I$16*0.7+Simul_ConstruRemo!$I$17*0.5),Simul_ConstruRemo!$CO$27))</f>
        <v>2606295</v>
      </c>
      <c r="L69" s="137">
        <f>IFERROR(Q69*Simul_ConstruRemo!$BP$30/1000,"")</f>
        <v>611.22472307666271</v>
      </c>
      <c r="M69" s="137">
        <f>IFERROR(IF($E$7="Remodelación",K69*Simul_ConstruRemo!$BS$29,
IF(E69=1,MAX(K69,Q69)*Simul_ConstruRemo!$BS$29,K69*Simul_ConstruRemo!$BQ$29)),"")</f>
        <v>827.2389712662</v>
      </c>
      <c r="N69" s="13">
        <f>IF(C69="","",'Tabla_Puntual&amp;Relacionamiento'!$E$40)</f>
        <v>9.9500000000000005E-2</v>
      </c>
      <c r="O69" s="183"/>
      <c r="P69" s="137">
        <f t="shared" si="4"/>
        <v>15928.463694342863</v>
      </c>
      <c r="Q69" s="137">
        <f t="shared" si="7"/>
        <v>1389147.0979015063</v>
      </c>
      <c r="R69" s="37">
        <f t="shared" si="12"/>
        <v>1</v>
      </c>
      <c r="S69" s="137"/>
      <c r="T69" s="137"/>
      <c r="Z69" s="63"/>
      <c r="AA69" s="35">
        <f t="shared" si="1"/>
        <v>15814.361767271663</v>
      </c>
      <c r="AB69" s="63">
        <f>IF(OR(Q69="",Q69&lt;=0.01),"",IF(SUM($F$23:F69)=Simul_ConstruRemo!$I$26,1,0))</f>
        <v>1</v>
      </c>
      <c r="AC69">
        <f t="shared" si="8"/>
        <v>42</v>
      </c>
      <c r="AD69" s="147">
        <f t="shared" si="9"/>
        <v>41</v>
      </c>
      <c r="AF69" t="str">
        <f t="shared" si="10"/>
        <v>Obra Concluida</v>
      </c>
      <c r="AI69">
        <f>IF(SUM($F$23:F68)&gt;=$K$9,1,0)</f>
        <v>1</v>
      </c>
    </row>
    <row r="70" spans="3:35" x14ac:dyDescent="0.25">
      <c r="C70" s="37">
        <f>IFERROR(IF(Q69&lt;=0.01,"",IF(C69+1&gt;Simul_ConstruRemo!$BN$11,"",C69+1)),"")</f>
        <v>48</v>
      </c>
      <c r="D70" s="37" t="str">
        <f>IF(C70&gt;Simul_ConstruRemo!$I$19,"",IF(Simul_ConstruRemo!CC22=100%,"",IFERROR(VLOOKUP(C70,Simul_ConstruRemo!$AX$61:$AY$64,2,0),D69)))</f>
        <v/>
      </c>
      <c r="E70" s="136">
        <f>IF(C70="","",IF(AF70="Ministración",Simul_ConstruRemo!BM106,1))</f>
        <v>1</v>
      </c>
      <c r="F70" s="35">
        <f t="shared" si="11"/>
        <v>0</v>
      </c>
      <c r="G70" s="137">
        <f t="shared" si="5"/>
        <v>1389147.0979015063</v>
      </c>
      <c r="H70" s="137">
        <f t="shared" si="2"/>
        <v>14490</v>
      </c>
      <c r="I70" s="137">
        <f t="shared" si="6"/>
        <v>2971.6553132333429</v>
      </c>
      <c r="J70" s="137">
        <f t="shared" si="13"/>
        <v>11518.344686766657</v>
      </c>
      <c r="K70" s="137">
        <f>IF(C70="","",IF(Simul_ConstruRemo!$I$10=Simul_ConstruRemo!$BV$6,(Simul_ConstruRemo!$I$16*0.7+Simul_ConstruRemo!$I$17*0.5),Simul_ConstruRemo!$CO$27))</f>
        <v>2606295</v>
      </c>
      <c r="L70" s="137">
        <f>IFERROR(Q70*Simul_ConstruRemo!$BP$30/1000,"")</f>
        <v>609.91719473884007</v>
      </c>
      <c r="M70" s="137">
        <f>IFERROR(IF($E$7="Remodelación",K70*Simul_ConstruRemo!$BS$29,
IF(E70=1,MAX(K70,Q70)*Simul_ConstruRemo!$BS$29,K70*Simul_ConstruRemo!$BQ$29)),"")</f>
        <v>827.2389712662</v>
      </c>
      <c r="N70" s="13">
        <f>IF(C70="","",'Tabla_Puntual&amp;Relacionamiento'!$E$40)</f>
        <v>9.9500000000000005E-2</v>
      </c>
      <c r="O70" s="183"/>
      <c r="P70" s="137">
        <f t="shared" si="4"/>
        <v>15927.156166005041</v>
      </c>
      <c r="Q70" s="137">
        <f t="shared" si="7"/>
        <v>1386175.442588273</v>
      </c>
      <c r="R70" s="37">
        <f t="shared" si="12"/>
        <v>1</v>
      </c>
      <c r="S70" s="137"/>
      <c r="T70" s="137"/>
      <c r="Z70" s="63"/>
      <c r="AA70" s="35">
        <f t="shared" si="1"/>
        <v>15813.054238933841</v>
      </c>
      <c r="AB70" s="63">
        <f>IF(OR(Q70="",Q70&lt;=0.01),"",IF(SUM($F$23:F70)=Simul_ConstruRemo!$I$26,1,0))</f>
        <v>1</v>
      </c>
      <c r="AC70">
        <f t="shared" si="8"/>
        <v>43</v>
      </c>
      <c r="AD70" s="147">
        <f t="shared" si="9"/>
        <v>42</v>
      </c>
      <c r="AF70" t="str">
        <f t="shared" si="10"/>
        <v>Obra Concluida</v>
      </c>
      <c r="AI70">
        <f>IF(SUM($F$23:F69)&gt;=$K$9,1,0)</f>
        <v>1</v>
      </c>
    </row>
    <row r="71" spans="3:35" x14ac:dyDescent="0.25">
      <c r="C71" s="37">
        <f>IFERROR(IF(Q70&lt;=0.01,"",IF(C70+1&gt;Simul_ConstruRemo!$BN$11,"",C70+1)),"")</f>
        <v>49</v>
      </c>
      <c r="D71" s="37" t="str">
        <f>IF(C71&gt;Simul_ConstruRemo!$I$19,"",IF(Simul_ConstruRemo!CC23=100%,"",IFERROR(VLOOKUP(C71,Simul_ConstruRemo!$AX$61:$AY$64,2,0),D70)))</f>
        <v/>
      </c>
      <c r="E71" s="136">
        <f>IF(C71="","",IF(AF71="Ministración",Simul_ConstruRemo!BM107,1))</f>
        <v>1</v>
      </c>
      <c r="F71" s="35">
        <f t="shared" si="11"/>
        <v>0</v>
      </c>
      <c r="G71" s="137">
        <f t="shared" si="5"/>
        <v>1386175.442588273</v>
      </c>
      <c r="H71" s="137">
        <f t="shared" si="2"/>
        <v>14490</v>
      </c>
      <c r="I71" s="137">
        <f t="shared" si="6"/>
        <v>2823.0233582153687</v>
      </c>
      <c r="J71" s="137">
        <f t="shared" si="13"/>
        <v>11666.976641784631</v>
      </c>
      <c r="K71" s="137">
        <f>IF(C71="","",IF(Simul_ConstruRemo!$I$10=Simul_ConstruRemo!$BV$6,(Simul_ConstruRemo!$I$16*0.7+Simul_ConstruRemo!$I$17*0.5),Simul_ConstruRemo!$CO$27))</f>
        <v>2606295</v>
      </c>
      <c r="L71" s="137">
        <f>IFERROR(Q71*Simul_ConstruRemo!$BP$30/1000,"")</f>
        <v>608.67506446122536</v>
      </c>
      <c r="M71" s="137">
        <f>IFERROR(IF($E$7="Remodelación",K71*Simul_ConstruRemo!$BS$29,
IF(E71=1,MAX(K71,Q71)*Simul_ConstruRemo!$BS$29,K71*Simul_ConstruRemo!$BQ$29)),"")</f>
        <v>827.2389712662</v>
      </c>
      <c r="N71" s="13">
        <f>IF(C71="","",'Tabla_Puntual&amp;Relacionamiento'!$E$41)</f>
        <v>0.10100000000000001</v>
      </c>
      <c r="O71" s="183"/>
      <c r="P71" s="137">
        <f t="shared" si="4"/>
        <v>15925.914035727426</v>
      </c>
      <c r="Q71" s="137">
        <f t="shared" si="7"/>
        <v>1383352.4192300576</v>
      </c>
      <c r="R71" s="37">
        <f t="shared" si="12"/>
        <v>1</v>
      </c>
      <c r="S71" s="137"/>
      <c r="T71" s="137"/>
      <c r="Z71" s="63"/>
      <c r="AA71" s="35">
        <f t="shared" si="1"/>
        <v>15811.812108656226</v>
      </c>
      <c r="AB71" s="63">
        <f>IF(OR(Q71="",Q71&lt;=0.01),"",IF(SUM($F$23:F71)=Simul_ConstruRemo!$I$26,1,0))</f>
        <v>1</v>
      </c>
      <c r="AC71">
        <f t="shared" si="8"/>
        <v>44</v>
      </c>
      <c r="AD71" s="147">
        <f t="shared" si="9"/>
        <v>43</v>
      </c>
      <c r="AF71" t="str">
        <f t="shared" si="10"/>
        <v>Obra Concluida</v>
      </c>
      <c r="AI71">
        <f>IF(SUM($F$23:F70)&gt;=$K$9,1,0)</f>
        <v>1</v>
      </c>
    </row>
    <row r="72" spans="3:35" x14ac:dyDescent="0.25">
      <c r="C72" s="37">
        <f>IFERROR(IF(Q71&lt;=0.01,"",IF(C71+1&gt;Simul_ConstruRemo!$BN$11,"",C71+1)),"")</f>
        <v>50</v>
      </c>
      <c r="D72" s="37" t="str">
        <f>IF(C72&gt;Simul_ConstruRemo!$I$19,"",IF(Simul_ConstruRemo!CC24=100%,"",IFERROR(VLOOKUP(C72,Simul_ConstruRemo!$AX$61:$AY$64,2,0),D71)))</f>
        <v/>
      </c>
      <c r="E72" s="136">
        <f>IF(C72="","",IF(AF72="Ministración",Simul_ConstruRemo!BM108,1))</f>
        <v>1</v>
      </c>
      <c r="F72" s="35">
        <f t="shared" si="11"/>
        <v>0</v>
      </c>
      <c r="G72" s="137">
        <f t="shared" si="5"/>
        <v>1383352.4192300576</v>
      </c>
      <c r="H72" s="137">
        <f t="shared" si="2"/>
        <v>14490</v>
      </c>
      <c r="I72" s="137">
        <f t="shared" si="6"/>
        <v>2846.7838048136819</v>
      </c>
      <c r="J72" s="137">
        <f t="shared" si="13"/>
        <v>11643.216195186318</v>
      </c>
      <c r="K72" s="137">
        <f>IF(C72="","",IF(Simul_ConstruRemo!$I$10=Simul_ConstruRemo!$BV$6,(Simul_ConstruRemo!$I$16*0.7+Simul_ConstruRemo!$I$17*0.5),Simul_ConstruRemo!$CO$27))</f>
        <v>2606295</v>
      </c>
      <c r="L72" s="137">
        <f>IFERROR(Q72*Simul_ConstruRemo!$BP$30/1000,"")</f>
        <v>607.42247958710732</v>
      </c>
      <c r="M72" s="137">
        <f>IFERROR(IF($E$7="Remodelación",K72*Simul_ConstruRemo!$BS$29,
IF(E72=1,MAX(K72,Q72)*Simul_ConstruRemo!$BS$29,K72*Simul_ConstruRemo!$BQ$29)),"")</f>
        <v>827.2389712662</v>
      </c>
      <c r="N72" s="13">
        <f>IF(C72="","",'Tabla_Puntual&amp;Relacionamiento'!$E$41)</f>
        <v>0.10100000000000001</v>
      </c>
      <c r="O72" s="183"/>
      <c r="P72" s="137">
        <f t="shared" si="4"/>
        <v>15924.661450853308</v>
      </c>
      <c r="Q72" s="137">
        <f t="shared" si="7"/>
        <v>1380505.635425244</v>
      </c>
      <c r="R72" s="37">
        <f t="shared" si="12"/>
        <v>1</v>
      </c>
      <c r="S72" s="137"/>
      <c r="T72" s="137"/>
      <c r="Z72" s="63"/>
      <c r="AA72" s="35">
        <f t="shared" si="1"/>
        <v>15810.559523782107</v>
      </c>
      <c r="AB72" s="63">
        <f>IF(OR(Q72="",Q72&lt;=0.01),"",IF(SUM($F$23:F72)=Simul_ConstruRemo!$I$26,1,0))</f>
        <v>1</v>
      </c>
      <c r="AC72">
        <f t="shared" si="8"/>
        <v>45</v>
      </c>
      <c r="AD72" s="147">
        <f t="shared" si="9"/>
        <v>44</v>
      </c>
      <c r="AF72" t="str">
        <f t="shared" si="10"/>
        <v>Obra Concluida</v>
      </c>
      <c r="AI72">
        <f>IF(SUM($F$23:F71)&gt;=$K$9,1,0)</f>
        <v>1</v>
      </c>
    </row>
    <row r="73" spans="3:35" x14ac:dyDescent="0.25">
      <c r="C73" s="37">
        <f>IFERROR(IF(Q72&lt;=0.01,"",IF(C72+1&gt;Simul_ConstruRemo!$BN$11,"",C72+1)),"")</f>
        <v>51</v>
      </c>
      <c r="D73" s="37" t="str">
        <f>IF(C73&gt;Simul_ConstruRemo!$I$19,"",IF(Simul_ConstruRemo!CC25=100%,"",IFERROR(VLOOKUP(C73,Simul_ConstruRemo!$AX$61:$AY$64,2,0),D72)))</f>
        <v/>
      </c>
      <c r="E73" s="136">
        <f>IF(C73="","",IF(AF73="Ministración",Simul_ConstruRemo!BM109,1))</f>
        <v>1</v>
      </c>
      <c r="F73" s="35">
        <f t="shared" si="11"/>
        <v>0</v>
      </c>
      <c r="G73" s="137">
        <f t="shared" si="5"/>
        <v>1380505.635425244</v>
      </c>
      <c r="H73" s="137">
        <f t="shared" si="2"/>
        <v>14490</v>
      </c>
      <c r="I73" s="137">
        <f t="shared" si="6"/>
        <v>2870.7442351708614</v>
      </c>
      <c r="J73" s="137">
        <f t="shared" si="13"/>
        <v>11619.255764829139</v>
      </c>
      <c r="K73" s="137">
        <f>IF(C73="","",IF(Simul_ConstruRemo!$I$10=Simul_ConstruRemo!$BV$6,(Simul_ConstruRemo!$I$16*0.7+Simul_ConstruRemo!$I$17*0.5),Simul_ConstruRemo!$CO$27))</f>
        <v>2606295</v>
      </c>
      <c r="L73" s="137">
        <f>IFERROR(Q73*Simul_ConstruRemo!$BP$30/1000,"")</f>
        <v>606.15935212363217</v>
      </c>
      <c r="M73" s="137">
        <f>IFERROR(IF($E$7="Remodelación",K73*Simul_ConstruRemo!$BS$29,
IF(E73=1,MAX(K73,Q73)*Simul_ConstruRemo!$BS$29,K73*Simul_ConstruRemo!$BQ$29)),"")</f>
        <v>827.2389712662</v>
      </c>
      <c r="N73" s="13">
        <f>IF(C73="","",'Tabla_Puntual&amp;Relacionamiento'!$E$41)</f>
        <v>0.10100000000000001</v>
      </c>
      <c r="O73" s="183"/>
      <c r="P73" s="137">
        <f t="shared" si="4"/>
        <v>15923.398323389833</v>
      </c>
      <c r="Q73" s="137">
        <f t="shared" si="7"/>
        <v>1377634.8911900732</v>
      </c>
      <c r="R73" s="37">
        <f t="shared" si="12"/>
        <v>1</v>
      </c>
      <c r="S73" s="137"/>
      <c r="T73" s="137"/>
      <c r="Z73" s="63"/>
      <c r="AA73" s="35">
        <f t="shared" si="1"/>
        <v>15809.296396318632</v>
      </c>
      <c r="AB73" s="63">
        <f>IF(OR(Q73="",Q73&lt;=0.01),"",IF(SUM($F$23:F73)=Simul_ConstruRemo!$I$26,1,0))</f>
        <v>1</v>
      </c>
      <c r="AC73">
        <f t="shared" si="8"/>
        <v>46</v>
      </c>
      <c r="AD73" s="147">
        <f t="shared" si="9"/>
        <v>45</v>
      </c>
      <c r="AF73" t="str">
        <f t="shared" ref="AF73:AF104" si="14">IF(C73="","","Obra Concluida")</f>
        <v>Obra Concluida</v>
      </c>
      <c r="AI73">
        <f>IF(SUM($F$23:F72)&gt;=$K$9,1,0)</f>
        <v>1</v>
      </c>
    </row>
    <row r="74" spans="3:35" x14ac:dyDescent="0.25">
      <c r="C74" s="37">
        <f>IFERROR(IF(Q73&lt;=0.01,"",IF(C73+1&gt;Simul_ConstruRemo!$BN$11,"",C73+1)),"")</f>
        <v>52</v>
      </c>
      <c r="D74" s="37" t="str">
        <f>IF(C74&gt;Simul_ConstruRemo!$I$19,"",IF(Simul_ConstruRemo!CC26=100%,"",IFERROR(VLOOKUP(C74,Simul_ConstruRemo!$AX$61:$AY$64,2,0),D73)))</f>
        <v/>
      </c>
      <c r="E74" s="136">
        <f>IF(C74="","",IF(AF74="Ministración",Simul_ConstruRemo!BM110,1))</f>
        <v>1</v>
      </c>
      <c r="F74" s="35">
        <f t="shared" si="11"/>
        <v>0</v>
      </c>
      <c r="G74" s="137">
        <f t="shared" si="5"/>
        <v>1377634.8911900732</v>
      </c>
      <c r="H74" s="137">
        <f t="shared" si="2"/>
        <v>14490</v>
      </c>
      <c r="I74" s="137">
        <f t="shared" si="6"/>
        <v>2894.9063324835497</v>
      </c>
      <c r="J74" s="137">
        <f t="shared" si="13"/>
        <v>11595.09366751645</v>
      </c>
      <c r="K74" s="137">
        <f>IF(C74="","",IF(Simul_ConstruRemo!$I$10=Simul_ConstruRemo!$BV$6,(Simul_ConstruRemo!$I$16*0.7+Simul_ConstruRemo!$I$17*0.5),Simul_ConstruRemo!$CO$27))</f>
        <v>2606295</v>
      </c>
      <c r="L74" s="137">
        <f>IFERROR(Q74*Simul_ConstruRemo!$BP$30/1000,"")</f>
        <v>604.88559333733951</v>
      </c>
      <c r="M74" s="137">
        <f>IFERROR(IF($E$7="Remodelación",K74*Simul_ConstruRemo!$BS$29,
IF(E74=1,MAX(K74,Q74)*Simul_ConstruRemo!$BS$29,K74*Simul_ConstruRemo!$BQ$29)),"")</f>
        <v>827.2389712662</v>
      </c>
      <c r="N74" s="13">
        <f>IF(C74="","",'Tabla_Puntual&amp;Relacionamiento'!$E$41)</f>
        <v>0.10100000000000001</v>
      </c>
      <c r="O74" s="183"/>
      <c r="P74" s="137">
        <f t="shared" si="4"/>
        <v>15922.12456460354</v>
      </c>
      <c r="Q74" s="137">
        <f t="shared" si="7"/>
        <v>1374739.9848575897</v>
      </c>
      <c r="R74" s="37">
        <f t="shared" si="12"/>
        <v>1</v>
      </c>
      <c r="S74" s="137"/>
      <c r="T74" s="137"/>
      <c r="Z74" s="63"/>
      <c r="AA74" s="35">
        <f t="shared" si="1"/>
        <v>15808.02263753234</v>
      </c>
      <c r="AB74" s="63">
        <f>IF(OR(Q74="",Q74&lt;=0.01),"",IF(SUM($F$23:F74)=Simul_ConstruRemo!$I$26,1,0))</f>
        <v>1</v>
      </c>
      <c r="AC74">
        <f t="shared" si="8"/>
        <v>47</v>
      </c>
      <c r="AD74" s="147">
        <f t="shared" si="9"/>
        <v>46</v>
      </c>
      <c r="AF74" t="str">
        <f t="shared" si="14"/>
        <v>Obra Concluida</v>
      </c>
      <c r="AI74">
        <f>IF(SUM($F$23:F73)&gt;=$K$9,1,0)</f>
        <v>1</v>
      </c>
    </row>
    <row r="75" spans="3:35" x14ac:dyDescent="0.25">
      <c r="C75" s="37">
        <f>IFERROR(IF(Q74&lt;=0.01,"",IF(C74+1&gt;Simul_ConstruRemo!$BN$11,"",C74+1)),"")</f>
        <v>53</v>
      </c>
      <c r="D75" s="37" t="str">
        <f>IF(C75&gt;Simul_ConstruRemo!$I$19,"",IF(Simul_ConstruRemo!CC27=100%,"",IFERROR(VLOOKUP(C75,Simul_ConstruRemo!$AX$61:$AY$64,2,0),D74)))</f>
        <v/>
      </c>
      <c r="E75" s="136">
        <f>IF(C75="","",IF(AF75="Ministración",Simul_ConstruRemo!BM111,1))</f>
        <v>1</v>
      </c>
      <c r="F75" s="35">
        <f t="shared" si="11"/>
        <v>0</v>
      </c>
      <c r="G75" s="137">
        <f t="shared" si="5"/>
        <v>1374739.9848575897</v>
      </c>
      <c r="H75" s="137">
        <f t="shared" si="2"/>
        <v>14490</v>
      </c>
      <c r="I75" s="137">
        <f t="shared" si="6"/>
        <v>2919.271794115286</v>
      </c>
      <c r="J75" s="137">
        <f t="shared" si="13"/>
        <v>11570.728205884714</v>
      </c>
      <c r="K75" s="137">
        <f>IF(C75="","",IF(Simul_ConstruRemo!$I$10=Simul_ConstruRemo!$BV$6,(Simul_ConstruRemo!$I$16*0.7+Simul_ConstruRemo!$I$17*0.5),Simul_ConstruRemo!$CO$27))</f>
        <v>2606295</v>
      </c>
      <c r="L75" s="137">
        <f>IFERROR(Q75*Simul_ConstruRemo!$BP$30/1000,"")</f>
        <v>603.60111374792871</v>
      </c>
      <c r="M75" s="137">
        <f>IFERROR(IF($E$7="Remodelación",K75*Simul_ConstruRemo!$BS$29,
IF(E75=1,MAX(K75,Q75)*Simul_ConstruRemo!$BS$29,K75*Simul_ConstruRemo!$BQ$29)),"")</f>
        <v>827.2389712662</v>
      </c>
      <c r="N75" s="13">
        <f>IF(C75="","",'Tabla_Puntual&amp;Relacionamiento'!$E$41)</f>
        <v>0.10100000000000001</v>
      </c>
      <c r="O75" s="183"/>
      <c r="P75" s="137">
        <f t="shared" si="4"/>
        <v>15920.84008501413</v>
      </c>
      <c r="Q75" s="137">
        <f t="shared" si="7"/>
        <v>1371820.7130634745</v>
      </c>
      <c r="R75" s="37">
        <f t="shared" si="12"/>
        <v>1</v>
      </c>
      <c r="S75" s="137"/>
      <c r="T75" s="137"/>
      <c r="Z75" s="63"/>
      <c r="AA75" s="35">
        <f t="shared" si="1"/>
        <v>15806.738157942929</v>
      </c>
      <c r="AB75" s="63">
        <f>IF(OR(Q75="",Q75&lt;=0.01),"",IF(SUM($F$23:F75)=Simul_ConstruRemo!$I$26,1,0))</f>
        <v>1</v>
      </c>
      <c r="AC75">
        <f t="shared" si="8"/>
        <v>48</v>
      </c>
      <c r="AD75" s="147">
        <f t="shared" si="9"/>
        <v>47</v>
      </c>
      <c r="AF75" t="str">
        <f t="shared" si="14"/>
        <v>Obra Concluida</v>
      </c>
      <c r="AI75">
        <f>IF(SUM($F$23:F74)&gt;=$K$9,1,0)</f>
        <v>1</v>
      </c>
    </row>
    <row r="76" spans="3:35" x14ac:dyDescent="0.25">
      <c r="C76" s="37">
        <f>IFERROR(IF(Q75&lt;=0.01,"",IF(C75+1&gt;Simul_ConstruRemo!$BN$11,"",C75+1)),"")</f>
        <v>54</v>
      </c>
      <c r="D76" s="37" t="str">
        <f>IF(C76&gt;Simul_ConstruRemo!$I$19,"",IF(Simul_ConstruRemo!CC28=100%,"",IFERROR(VLOOKUP(C76,Simul_ConstruRemo!$AX$61:$AY$64,2,0),D75)))</f>
        <v/>
      </c>
      <c r="E76" s="136">
        <f>IF(C76="","",IF(AF76="Ministración",Simul_ConstruRemo!BM112,1))</f>
        <v>1</v>
      </c>
      <c r="F76" s="35">
        <f t="shared" si="11"/>
        <v>0</v>
      </c>
      <c r="G76" s="137">
        <f t="shared" si="5"/>
        <v>1371820.7130634745</v>
      </c>
      <c r="H76" s="137">
        <f t="shared" si="2"/>
        <v>14490</v>
      </c>
      <c r="I76" s="137">
        <f t="shared" si="6"/>
        <v>2943.8423317157558</v>
      </c>
      <c r="J76" s="137">
        <f t="shared" si="13"/>
        <v>11546.157668284244</v>
      </c>
      <c r="K76" s="137">
        <f>IF(C76="","",IF(Simul_ConstruRemo!$I$10=Simul_ConstruRemo!$BV$6,(Simul_ConstruRemo!$I$16*0.7+Simul_ConstruRemo!$I$17*0.5),Simul_ConstruRemo!$CO$27))</f>
        <v>2606295</v>
      </c>
      <c r="L76" s="137">
        <f>IFERROR(Q76*Simul_ConstruRemo!$BP$30/1000,"")</f>
        <v>602.30582312197373</v>
      </c>
      <c r="M76" s="137">
        <f>IFERROR(IF($E$7="Remodelación",K76*Simul_ConstruRemo!$BS$29,
IF(E76=1,MAX(K76,Q76)*Simul_ConstruRemo!$BS$29,K76*Simul_ConstruRemo!$BQ$29)),"")</f>
        <v>827.2389712662</v>
      </c>
      <c r="N76" s="13">
        <f>IF(C76="","",'Tabla_Puntual&amp;Relacionamiento'!$E$41)</f>
        <v>0.10100000000000001</v>
      </c>
      <c r="O76" s="183"/>
      <c r="P76" s="137">
        <f t="shared" si="4"/>
        <v>15919.544794388174</v>
      </c>
      <c r="Q76" s="137">
        <f t="shared" si="7"/>
        <v>1368876.8707317587</v>
      </c>
      <c r="R76" s="37">
        <f t="shared" si="12"/>
        <v>1</v>
      </c>
      <c r="S76" s="137"/>
      <c r="T76" s="137"/>
      <c r="Z76" s="63"/>
      <c r="AA76" s="35">
        <f t="shared" si="1"/>
        <v>15805.442867316973</v>
      </c>
      <c r="AB76" s="63">
        <f>IF(OR(Q76="",Q76&lt;=0.01),"",IF(SUM($F$23:F76)=Simul_ConstruRemo!$I$26,1,0))</f>
        <v>1</v>
      </c>
      <c r="AC76">
        <f t="shared" si="8"/>
        <v>49</v>
      </c>
      <c r="AD76" s="147">
        <f t="shared" si="9"/>
        <v>48</v>
      </c>
      <c r="AF76" t="str">
        <f t="shared" si="14"/>
        <v>Obra Concluida</v>
      </c>
      <c r="AI76">
        <f>IF(SUM($F$23:F75)&gt;=$K$9,1,0)</f>
        <v>1</v>
      </c>
    </row>
    <row r="77" spans="3:35" x14ac:dyDescent="0.25">
      <c r="C77" s="37">
        <f>IFERROR(IF(Q76&lt;=0.01,"",IF(C76+1&gt;Simul_ConstruRemo!$BN$11,"",C76+1)),"")</f>
        <v>55</v>
      </c>
      <c r="D77" s="37" t="str">
        <f>IF(C77&gt;Simul_ConstruRemo!$I$19,"",IF(Simul_ConstruRemo!CC29=100%,"",IFERROR(VLOOKUP(C77,Simul_ConstruRemo!$AX$61:$AY$64,2,0),D76)))</f>
        <v/>
      </c>
      <c r="E77" s="136">
        <f>IF(C77="","",IF(AF77="Ministración",Simul_ConstruRemo!BM113,1))</f>
        <v>1</v>
      </c>
      <c r="F77" s="35">
        <f t="shared" si="11"/>
        <v>0</v>
      </c>
      <c r="G77" s="137">
        <f t="shared" si="5"/>
        <v>1368876.8707317587</v>
      </c>
      <c r="H77" s="137">
        <f t="shared" si="2"/>
        <v>14490</v>
      </c>
      <c r="I77" s="137">
        <f t="shared" si="6"/>
        <v>2968.6196713410318</v>
      </c>
      <c r="J77" s="137">
        <f t="shared" si="13"/>
        <v>11521.380328658968</v>
      </c>
      <c r="K77" s="137">
        <f>IF(C77="","",IF(Simul_ConstruRemo!$I$10=Simul_ConstruRemo!$BV$6,(Simul_ConstruRemo!$I$16*0.7+Simul_ConstruRemo!$I$17*0.5),Simul_ConstruRemo!$CO$27))</f>
        <v>2606295</v>
      </c>
      <c r="L77" s="137">
        <f>IFERROR(Q77*Simul_ConstruRemo!$BP$30/1000,"")</f>
        <v>600.99963046658377</v>
      </c>
      <c r="M77" s="137">
        <f>IFERROR(IF($E$7="Remodelación",K77*Simul_ConstruRemo!$BS$29,
IF(E77=1,MAX(K77,Q77)*Simul_ConstruRemo!$BS$29,K77*Simul_ConstruRemo!$BQ$29)),"")</f>
        <v>827.2389712662</v>
      </c>
      <c r="N77" s="13">
        <f>IF(C77="","",'Tabla_Puntual&amp;Relacionamiento'!$E$41)</f>
        <v>0.10100000000000001</v>
      </c>
      <c r="O77" s="183"/>
      <c r="P77" s="137">
        <f t="shared" si="4"/>
        <v>15918.238601732784</v>
      </c>
      <c r="Q77" s="137">
        <f t="shared" si="7"/>
        <v>1365908.2510604176</v>
      </c>
      <c r="R77" s="37">
        <f t="shared" si="12"/>
        <v>1</v>
      </c>
      <c r="S77" s="137"/>
      <c r="T77" s="137"/>
      <c r="Z77" s="63"/>
      <c r="AA77" s="35">
        <f t="shared" si="1"/>
        <v>15804.136674661584</v>
      </c>
      <c r="AB77" s="63">
        <f>IF(OR(Q77="",Q77&lt;=0.01),"",IF(SUM($F$23:F77)=Simul_ConstruRemo!$I$26,1,0))</f>
        <v>1</v>
      </c>
      <c r="AC77">
        <f t="shared" si="8"/>
        <v>50</v>
      </c>
      <c r="AD77" s="147">
        <f t="shared" si="9"/>
        <v>49</v>
      </c>
      <c r="AF77" t="str">
        <f t="shared" si="14"/>
        <v>Obra Concluida</v>
      </c>
      <c r="AI77">
        <f>IF(SUM($F$23:F76)&gt;=$K$9,1,0)</f>
        <v>1</v>
      </c>
    </row>
    <row r="78" spans="3:35" x14ac:dyDescent="0.25">
      <c r="C78" s="37">
        <f>IFERROR(IF(Q77&lt;=0.01,"",IF(C77+1&gt;Simul_ConstruRemo!$BN$11,"",C77+1)),"")</f>
        <v>56</v>
      </c>
      <c r="D78" s="37" t="str">
        <f>IF(C78&gt;Simul_ConstruRemo!$I$19,"",IF(Simul_ConstruRemo!CC30=100%,"",IFERROR(VLOOKUP(C78,Simul_ConstruRemo!$AX$61:$AY$64,2,0),D77)))</f>
        <v/>
      </c>
      <c r="E78" s="136">
        <f>IF(C78="","",IF(AF78="Ministración",Simul_ConstruRemo!BM114,1))</f>
        <v>1</v>
      </c>
      <c r="F78" s="35">
        <f t="shared" si="11"/>
        <v>0</v>
      </c>
      <c r="G78" s="137">
        <f t="shared" si="5"/>
        <v>1365908.2510604176</v>
      </c>
      <c r="H78" s="137">
        <f t="shared" si="2"/>
        <v>14490</v>
      </c>
      <c r="I78" s="137">
        <f t="shared" si="6"/>
        <v>2993.6055535748164</v>
      </c>
      <c r="J78" s="137">
        <f t="shared" si="13"/>
        <v>11496.394446425184</v>
      </c>
      <c r="K78" s="137">
        <f>IF(C78="","",IF(Simul_ConstruRemo!$I$10=Simul_ConstruRemo!$BV$6,(Simul_ConstruRemo!$I$16*0.7+Simul_ConstruRemo!$I$17*0.5),Simul_ConstruRemo!$CO$27))</f>
        <v>2606295</v>
      </c>
      <c r="L78" s="137">
        <f>IFERROR(Q78*Simul_ConstruRemo!$BP$30/1000,"")</f>
        <v>599.68244402301082</v>
      </c>
      <c r="M78" s="137">
        <f>IFERROR(IF($E$7="Remodelación",K78*Simul_ConstruRemo!$BS$29,
IF(E78=1,MAX(K78,Q78)*Simul_ConstruRemo!$BS$29,K78*Simul_ConstruRemo!$BQ$29)),"")</f>
        <v>827.2389712662</v>
      </c>
      <c r="N78" s="13">
        <f>IF(C78="","",'Tabla_Puntual&amp;Relacionamiento'!$E$41)</f>
        <v>0.10100000000000001</v>
      </c>
      <c r="O78" s="183"/>
      <c r="P78" s="137">
        <f t="shared" si="4"/>
        <v>15916.921415289211</v>
      </c>
      <c r="Q78" s="137">
        <f t="shared" si="7"/>
        <v>1362914.6455068428</v>
      </c>
      <c r="R78" s="37">
        <f t="shared" si="12"/>
        <v>1</v>
      </c>
      <c r="S78" s="137"/>
      <c r="T78" s="137"/>
      <c r="Z78" s="63"/>
      <c r="AA78" s="35">
        <f t="shared" si="1"/>
        <v>15802.819488218011</v>
      </c>
      <c r="AB78" s="63">
        <f>IF(OR(Q78="",Q78&lt;=0.01),"",IF(SUM($F$23:F78)=Simul_ConstruRemo!$I$26,1,0))</f>
        <v>1</v>
      </c>
      <c r="AC78">
        <f t="shared" si="8"/>
        <v>51</v>
      </c>
      <c r="AD78" s="147">
        <f t="shared" si="9"/>
        <v>50</v>
      </c>
      <c r="AF78" t="str">
        <f t="shared" si="14"/>
        <v>Obra Concluida</v>
      </c>
      <c r="AI78">
        <f>IF(SUM($F$23:F77)&gt;=$K$9,1,0)</f>
        <v>1</v>
      </c>
    </row>
    <row r="79" spans="3:35" x14ac:dyDescent="0.25">
      <c r="C79" s="37">
        <f>IFERROR(IF(Q78&lt;=0.01,"",IF(C78+1&gt;Simul_ConstruRemo!$BN$11,"",C78+1)),"")</f>
        <v>57</v>
      </c>
      <c r="D79" s="37" t="str">
        <f>IF(C79&gt;Simul_ConstruRemo!$I$19,"",IF(Simul_ConstruRemo!CC31=100%,"",IFERROR(VLOOKUP(C79,Simul_ConstruRemo!$AX$61:$AY$64,2,0),D78)))</f>
        <v/>
      </c>
      <c r="E79" s="136">
        <f>IF(C79="","",IF(AF79="Ministración",Simul_ConstruRemo!BM115,1))</f>
        <v>1</v>
      </c>
      <c r="F79" s="35">
        <f t="shared" si="11"/>
        <v>0</v>
      </c>
      <c r="G79" s="137">
        <f t="shared" si="5"/>
        <v>1362914.6455068428</v>
      </c>
      <c r="H79" s="137">
        <f t="shared" si="2"/>
        <v>14490</v>
      </c>
      <c r="I79" s="137">
        <f t="shared" si="6"/>
        <v>3018.8017336507401</v>
      </c>
      <c r="J79" s="137">
        <f t="shared" si="13"/>
        <v>11471.19826634926</v>
      </c>
      <c r="K79" s="137">
        <f>IF(C79="","",IF(Simul_ConstruRemo!$I$10=Simul_ConstruRemo!$BV$6,(Simul_ConstruRemo!$I$16*0.7+Simul_ConstruRemo!$I$17*0.5),Simul_ConstruRemo!$CO$27))</f>
        <v>2606295</v>
      </c>
      <c r="L79" s="137">
        <f>IFERROR(Q79*Simul_ConstruRemo!$BP$30/1000,"")</f>
        <v>598.35417126020457</v>
      </c>
      <c r="M79" s="137">
        <f>IFERROR(IF($E$7="Remodelación",K79*Simul_ConstruRemo!$BS$29,
IF(E79=1,MAX(K79,Q79)*Simul_ConstruRemo!$BS$29,K79*Simul_ConstruRemo!$BQ$29)),"")</f>
        <v>827.2389712662</v>
      </c>
      <c r="N79" s="13">
        <f>IF(C79="","",'Tabla_Puntual&amp;Relacionamiento'!$E$41)</f>
        <v>0.10100000000000001</v>
      </c>
      <c r="O79" s="183"/>
      <c r="P79" s="137">
        <f t="shared" si="4"/>
        <v>15915.593142526406</v>
      </c>
      <c r="Q79" s="137">
        <f t="shared" si="7"/>
        <v>1359895.843773192</v>
      </c>
      <c r="R79" s="37">
        <f t="shared" si="12"/>
        <v>1</v>
      </c>
      <c r="S79" s="137"/>
      <c r="T79" s="137"/>
      <c r="Z79" s="63"/>
      <c r="AA79" s="35">
        <f t="shared" si="1"/>
        <v>15801.491215455206</v>
      </c>
      <c r="AB79" s="63">
        <f>IF(OR(Q79="",Q79&lt;=0.01),"",IF(SUM($F$23:F79)=Simul_ConstruRemo!$I$26,1,0))</f>
        <v>1</v>
      </c>
      <c r="AC79">
        <f t="shared" si="8"/>
        <v>52</v>
      </c>
      <c r="AD79" s="147">
        <f t="shared" si="9"/>
        <v>51</v>
      </c>
      <c r="AF79" t="str">
        <f t="shared" si="14"/>
        <v>Obra Concluida</v>
      </c>
      <c r="AI79">
        <f>IF(SUM($F$23:F78)&gt;=$K$9,1,0)</f>
        <v>1</v>
      </c>
    </row>
    <row r="80" spans="3:35" x14ac:dyDescent="0.25">
      <c r="C80" s="37">
        <f>IFERROR(IF(Q79&lt;=0.01,"",IF(C79+1&gt;Simul_ConstruRemo!$BN$11,"",C79+1)),"")</f>
        <v>58</v>
      </c>
      <c r="D80" s="37" t="str">
        <f>IF(C80&gt;Simul_ConstruRemo!$I$19,"",IF(Simul_ConstruRemo!I118=100%,"",IFERROR(VLOOKUP(C80,Simul_ConstruRemo!$AX$61:$AY$64,2,0),D79)))</f>
        <v/>
      </c>
      <c r="E80" s="136">
        <f>IF(C80="","",IF(AF80="Ministración",Simul_ConstruRemo!BM116,1))</f>
        <v>1</v>
      </c>
      <c r="F80" s="35">
        <f t="shared" si="11"/>
        <v>0</v>
      </c>
      <c r="G80" s="137">
        <f t="shared" si="5"/>
        <v>1359895.843773192</v>
      </c>
      <c r="H80" s="137">
        <f t="shared" si="2"/>
        <v>14490</v>
      </c>
      <c r="I80" s="137">
        <f t="shared" si="6"/>
        <v>3044.2099815756319</v>
      </c>
      <c r="J80" s="137">
        <f t="shared" si="13"/>
        <v>11445.790018424368</v>
      </c>
      <c r="K80" s="137">
        <f>IF(C80="","",IF(Simul_ConstruRemo!$I$10=Simul_ConstruRemo!$BV$6,(Simul_ConstruRemo!$I$16*0.7+Simul_ConstruRemo!$I$17*0.5),Simul_ConstruRemo!$CO$27))</f>
        <v>2606295</v>
      </c>
      <c r="L80" s="137">
        <f>IFERROR(Q80*Simul_ConstruRemo!$BP$30/1000,"")</f>
        <v>597.01471886831121</v>
      </c>
      <c r="M80" s="137">
        <f>IFERROR(IF($E$7="Remodelación",K80*Simul_ConstruRemo!$BS$29,
IF(E80=1,MAX(K80,Q80)*Simul_ConstruRemo!$BS$29,K80*Simul_ConstruRemo!$BQ$29)),"")</f>
        <v>827.2389712662</v>
      </c>
      <c r="N80" s="13">
        <f>IF(C80="","",'Tabla_Puntual&amp;Relacionamiento'!$E$41)</f>
        <v>0.10100000000000001</v>
      </c>
      <c r="O80" s="183"/>
      <c r="P80" s="137">
        <f t="shared" si="4"/>
        <v>15914.253690134512</v>
      </c>
      <c r="Q80" s="137">
        <f t="shared" si="7"/>
        <v>1356851.6337916164</v>
      </c>
      <c r="R80" s="37">
        <f t="shared" si="12"/>
        <v>1</v>
      </c>
      <c r="S80" s="137"/>
      <c r="T80" s="137"/>
      <c r="Z80" s="63"/>
      <c r="AA80" s="35">
        <f t="shared" si="1"/>
        <v>15800.151763063312</v>
      </c>
      <c r="AB80" s="63">
        <f>IF(OR(Q80="",Q80&lt;=0.01),"",IF(SUM($F$23:F80)=Simul_ConstruRemo!$I$26,1,0))</f>
        <v>1</v>
      </c>
      <c r="AC80">
        <f t="shared" si="8"/>
        <v>53</v>
      </c>
      <c r="AD80" s="147">
        <f t="shared" si="9"/>
        <v>52</v>
      </c>
      <c r="AF80" t="str">
        <f t="shared" si="14"/>
        <v>Obra Concluida</v>
      </c>
      <c r="AI80">
        <f>IF(SUM($F$23:F79)&gt;=$K$9,1,0)</f>
        <v>1</v>
      </c>
    </row>
    <row r="81" spans="3:35" x14ac:dyDescent="0.25">
      <c r="C81" s="37">
        <f>IFERROR(IF(Q80&lt;=0.01,"",IF(C80+1&gt;Simul_ConstruRemo!$BN$11,"",C80+1)),"")</f>
        <v>59</v>
      </c>
      <c r="D81" s="37" t="str">
        <f>IF(C81&gt;Simul_ConstruRemo!$I$19,"",IF(Simul_ConstruRemo!I119=100%,"",IFERROR(VLOOKUP(C81,Simul_ConstruRemo!$AX$61:$AY$64,2,0),D80)))</f>
        <v/>
      </c>
      <c r="E81" s="136">
        <f>IF(C81="","",IF(AF81="Ministración",Simul_ConstruRemo!BM117,1))</f>
        <v>1</v>
      </c>
      <c r="F81" s="35">
        <f t="shared" si="11"/>
        <v>0</v>
      </c>
      <c r="G81" s="137">
        <f t="shared" si="5"/>
        <v>1356851.6337916164</v>
      </c>
      <c r="H81" s="137">
        <f t="shared" si="2"/>
        <v>14490</v>
      </c>
      <c r="I81" s="137">
        <f t="shared" si="6"/>
        <v>3069.8320822538954</v>
      </c>
      <c r="J81" s="137">
        <f t="shared" si="13"/>
        <v>11420.167917746105</v>
      </c>
      <c r="K81" s="137">
        <f>IF(C81="","",IF(Simul_ConstruRemo!$I$10=Simul_ConstruRemo!$BV$6,(Simul_ConstruRemo!$I$16*0.7+Simul_ConstruRemo!$I$17*0.5),Simul_ConstruRemo!$CO$27))</f>
        <v>2606295</v>
      </c>
      <c r="L81" s="137">
        <f>IFERROR(Q81*Simul_ConstruRemo!$BP$30/1000,"")</f>
        <v>595.6639927521195</v>
      </c>
      <c r="M81" s="137">
        <f>IFERROR(IF($E$7="Remodelación",K81*Simul_ConstruRemo!$BS$29,
IF(E81=1,MAX(K81,Q81)*Simul_ConstruRemo!$BS$29,K81*Simul_ConstruRemo!$BQ$29)),"")</f>
        <v>827.2389712662</v>
      </c>
      <c r="N81" s="13">
        <f>IF(C81="","",'Tabla_Puntual&amp;Relacionamiento'!$E$41)</f>
        <v>0.10100000000000001</v>
      </c>
      <c r="O81" s="183"/>
      <c r="P81" s="137">
        <f t="shared" si="4"/>
        <v>15912.90296401832</v>
      </c>
      <c r="Q81" s="137">
        <f t="shared" si="7"/>
        <v>1353781.8017093625</v>
      </c>
      <c r="R81" s="37">
        <f t="shared" si="12"/>
        <v>1</v>
      </c>
      <c r="S81" s="137"/>
      <c r="T81" s="137"/>
      <c r="Z81" s="63"/>
      <c r="AA81" s="35">
        <f t="shared" si="1"/>
        <v>15798.801036947119</v>
      </c>
      <c r="AB81" s="63">
        <f>IF(OR(Q81="",Q81&lt;=0.01),"",IF(SUM($F$23:F81)=Simul_ConstruRemo!$I$26,1,0))</f>
        <v>1</v>
      </c>
      <c r="AC81">
        <f t="shared" si="8"/>
        <v>54</v>
      </c>
      <c r="AD81" s="147">
        <f t="shared" si="9"/>
        <v>53</v>
      </c>
      <c r="AF81" t="str">
        <f t="shared" si="14"/>
        <v>Obra Concluida</v>
      </c>
      <c r="AI81">
        <f>IF(SUM($F$23:F80)&gt;=$K$9,1,0)</f>
        <v>1</v>
      </c>
    </row>
    <row r="82" spans="3:35" x14ac:dyDescent="0.25">
      <c r="C82" s="37">
        <f>IFERROR(IF(Q81&lt;=0.01,"",IF(C81+1&gt;Simul_ConstruRemo!$BN$11,"",C81+1)),"")</f>
        <v>60</v>
      </c>
      <c r="D82" s="37" t="str">
        <f>IF(C82&gt;Simul_ConstruRemo!$I$19,"",IF(Simul_ConstruRemo!I120=100%,"",IFERROR(VLOOKUP(C82,Simul_ConstruRemo!$AX$61:$AY$64,2,0),D81)))</f>
        <v/>
      </c>
      <c r="E82" s="136">
        <f>IF(C82="","",IF(AF82="Ministración",Simul_ConstruRemo!BM118,1))</f>
        <v>1</v>
      </c>
      <c r="F82" s="35">
        <f t="shared" si="11"/>
        <v>0</v>
      </c>
      <c r="G82" s="137">
        <f t="shared" si="5"/>
        <v>1353781.8017093625</v>
      </c>
      <c r="H82" s="137">
        <f t="shared" si="2"/>
        <v>14490</v>
      </c>
      <c r="I82" s="137">
        <f t="shared" si="6"/>
        <v>3095.6698356128636</v>
      </c>
      <c r="J82" s="137">
        <f t="shared" si="13"/>
        <v>11394.330164387136</v>
      </c>
      <c r="K82" s="137">
        <f>IF(C82="","",IF(Simul_ConstruRemo!$I$10=Simul_ConstruRemo!$BV$6,(Simul_ConstruRemo!$I$16*0.7+Simul_ConstruRemo!$I$17*0.5),Simul_ConstruRemo!$CO$27))</f>
        <v>2606295</v>
      </c>
      <c r="L82" s="137">
        <f>IFERROR(Q82*Simul_ConstruRemo!$BP$30/1000,"")</f>
        <v>594.30189802444977</v>
      </c>
      <c r="M82" s="137">
        <f>IFERROR(IF($E$7="Remodelación",K82*Simul_ConstruRemo!$BS$29,
IF(E82=1,MAX(K82,Q82)*Simul_ConstruRemo!$BS$29,K82*Simul_ConstruRemo!$BQ$29)),"")</f>
        <v>827.2389712662</v>
      </c>
      <c r="N82" s="13">
        <f>IF(C82="","",'Tabla_Puntual&amp;Relacionamiento'!$E$41)</f>
        <v>0.10100000000000001</v>
      </c>
      <c r="O82" s="183"/>
      <c r="P82" s="137">
        <f t="shared" si="4"/>
        <v>15911.540869290651</v>
      </c>
      <c r="Q82" s="137">
        <f t="shared" si="7"/>
        <v>1350686.1318737497</v>
      </c>
      <c r="R82" s="37">
        <f t="shared" si="12"/>
        <v>1</v>
      </c>
      <c r="S82" s="137"/>
      <c r="T82" s="137"/>
      <c r="Z82" s="63"/>
      <c r="AA82" s="35">
        <f t="shared" si="1"/>
        <v>15797.438942219451</v>
      </c>
      <c r="AB82" s="63">
        <f>IF(OR(Q82="",Q82&lt;=0.01),"",IF(SUM($F$23:F82)=Simul_ConstruRemo!$I$26,1,0))</f>
        <v>1</v>
      </c>
      <c r="AC82">
        <f t="shared" si="8"/>
        <v>55</v>
      </c>
      <c r="AD82" s="147">
        <f t="shared" si="9"/>
        <v>54</v>
      </c>
      <c r="AF82" t="str">
        <f t="shared" si="14"/>
        <v>Obra Concluida</v>
      </c>
      <c r="AI82">
        <f>IF(SUM($F$23:F81)&gt;=$K$9,1,0)</f>
        <v>1</v>
      </c>
    </row>
    <row r="83" spans="3:35" x14ac:dyDescent="0.25">
      <c r="C83" s="37">
        <f>IFERROR(IF(Q82&lt;=0.01,"",IF(C82+1&gt;Simul_ConstruRemo!$BN$11,"",C82+1)),"")</f>
        <v>61</v>
      </c>
      <c r="D83" s="37" t="str">
        <f>IF(C83&gt;Simul_ConstruRemo!$I$19,"",IF(Simul_ConstruRemo!I121=100%,"",IFERROR(VLOOKUP(C83,Simul_ConstruRemo!$AX$61:$AY$64,2,0),D82)))</f>
        <v/>
      </c>
      <c r="E83" s="136">
        <f>IF(C83="","",IF(AF83="Ministración",Simul_ConstruRemo!BM119,1))</f>
        <v>1</v>
      </c>
      <c r="F83" s="35">
        <f t="shared" si="11"/>
        <v>0</v>
      </c>
      <c r="G83" s="137">
        <f t="shared" si="5"/>
        <v>1350686.1318737497</v>
      </c>
      <c r="H83" s="137">
        <f t="shared" si="2"/>
        <v>14490</v>
      </c>
      <c r="I83" s="137">
        <f t="shared" si="6"/>
        <v>2952.8892902450552</v>
      </c>
      <c r="J83" s="137">
        <f t="shared" si="13"/>
        <v>11537.110709754945</v>
      </c>
      <c r="K83" s="137">
        <f>IF(C83="","",IF(Simul_ConstruRemo!$I$10=Simul_ConstruRemo!$BV$6,(Simul_ConstruRemo!$I$16*0.7+Simul_ConstruRemo!$I$17*0.5),Simul_ConstruRemo!$CO$27))</f>
        <v>2606295</v>
      </c>
      <c r="L83" s="137">
        <f>IFERROR(Q83*Simul_ConstruRemo!$BP$30/1000,"")</f>
        <v>593.00262673674206</v>
      </c>
      <c r="M83" s="137">
        <f>IFERROR(IF($E$7="Remodelación",K83*Simul_ConstruRemo!$BS$29,
IF(E83=1,MAX(K83,Q83)*Simul_ConstruRemo!$BS$29,K83*Simul_ConstruRemo!$BQ$29)),"")</f>
        <v>827.2389712662</v>
      </c>
      <c r="N83" s="13">
        <f>IF(C83="","",'Tabla_Puntual&amp;Relacionamiento'!$E$42)</f>
        <v>0.10249999999999999</v>
      </c>
      <c r="O83" s="183"/>
      <c r="P83" s="137">
        <f t="shared" si="4"/>
        <v>15910.241598002944</v>
      </c>
      <c r="Q83" s="137">
        <f t="shared" si="7"/>
        <v>1347733.2425835046</v>
      </c>
      <c r="R83" s="37">
        <f t="shared" si="12"/>
        <v>1</v>
      </c>
      <c r="S83" s="137"/>
      <c r="T83" s="137"/>
      <c r="Z83" s="63"/>
      <c r="AA83" s="35">
        <f t="shared" si="1"/>
        <v>15796.139670931743</v>
      </c>
      <c r="AB83" s="63">
        <f>IF(OR(Q83="",Q83&lt;=0.01),"",IF(SUM($F$23:F83)=Simul_ConstruRemo!$I$26,1,0))</f>
        <v>1</v>
      </c>
      <c r="AC83">
        <f t="shared" si="8"/>
        <v>56</v>
      </c>
      <c r="AD83" s="147">
        <f t="shared" si="9"/>
        <v>55</v>
      </c>
      <c r="AF83" t="str">
        <f t="shared" si="14"/>
        <v>Obra Concluida</v>
      </c>
      <c r="AI83">
        <f>IF(SUM($F$23:F82)&gt;=$K$9,1,0)</f>
        <v>1</v>
      </c>
    </row>
    <row r="84" spans="3:35" x14ac:dyDescent="0.25">
      <c r="C84" s="37">
        <f>IFERROR(IF(Q83&lt;=0.01,"",IF(C83+1&gt;Simul_ConstruRemo!$BN$11,"",C83+1)),"")</f>
        <v>62</v>
      </c>
      <c r="D84" s="37" t="str">
        <f>IF(C84&gt;Simul_ConstruRemo!$I$19,"",IF(Simul_ConstruRemo!I122=100%,"",IFERROR(VLOOKUP(C84,Simul_ConstruRemo!$AX$61:$AY$64,2,0),D83)))</f>
        <v/>
      </c>
      <c r="E84" s="136">
        <f>IF(C84="","",IF(AF84="Ministración",Simul_ConstruRemo!BM120,1))</f>
        <v>1</v>
      </c>
      <c r="F84" s="35">
        <f t="shared" si="11"/>
        <v>0</v>
      </c>
      <c r="G84" s="137">
        <f t="shared" si="5"/>
        <v>1347733.2425835046</v>
      </c>
      <c r="H84" s="137">
        <f t="shared" si="2"/>
        <v>14490</v>
      </c>
      <c r="I84" s="137">
        <f t="shared" si="6"/>
        <v>2978.1118862658986</v>
      </c>
      <c r="J84" s="137">
        <f t="shared" si="13"/>
        <v>11511.888113734101</v>
      </c>
      <c r="K84" s="137">
        <f>IF(C84="","",IF(Simul_ConstruRemo!$I$10=Simul_ConstruRemo!$BV$6,(Simul_ConstruRemo!$I$16*0.7+Simul_ConstruRemo!$I$17*0.5),Simul_ConstruRemo!$CO$27))</f>
        <v>2606295</v>
      </c>
      <c r="L84" s="137">
        <f>IFERROR(Q84*Simul_ConstruRemo!$BP$30/1000,"")</f>
        <v>591.69225750678515</v>
      </c>
      <c r="M84" s="137">
        <f>IFERROR(IF($E$7="Remodelación",K84*Simul_ConstruRemo!$BS$29,
IF(E84=1,MAX(K84,Q84)*Simul_ConstruRemo!$BS$29,K84*Simul_ConstruRemo!$BQ$29)),"")</f>
        <v>827.2389712662</v>
      </c>
      <c r="N84" s="13">
        <f>IF(C84="","",'Tabla_Puntual&amp;Relacionamiento'!$E$42)</f>
        <v>0.10249999999999999</v>
      </c>
      <c r="O84" s="183"/>
      <c r="P84" s="137">
        <f t="shared" si="4"/>
        <v>15908.931228772986</v>
      </c>
      <c r="Q84" s="137">
        <f t="shared" si="7"/>
        <v>1344755.1306972387</v>
      </c>
      <c r="R84" s="37">
        <f t="shared" si="12"/>
        <v>1</v>
      </c>
      <c r="S84" s="137"/>
      <c r="T84" s="137"/>
      <c r="Z84" s="63"/>
      <c r="AA84" s="35">
        <f t="shared" si="1"/>
        <v>15794.829301701786</v>
      </c>
      <c r="AB84" s="63">
        <f>IF(OR(Q84="",Q84&lt;=0.01),"",IF(SUM($F$23:F84)=Simul_ConstruRemo!$I$26,1,0))</f>
        <v>1</v>
      </c>
      <c r="AC84">
        <f t="shared" si="8"/>
        <v>57</v>
      </c>
      <c r="AD84" s="147">
        <f t="shared" si="9"/>
        <v>56</v>
      </c>
      <c r="AF84" t="str">
        <f t="shared" si="14"/>
        <v>Obra Concluida</v>
      </c>
      <c r="AI84">
        <f>IF(SUM($F$23:F83)&gt;=$K$9,1,0)</f>
        <v>1</v>
      </c>
    </row>
    <row r="85" spans="3:35" x14ac:dyDescent="0.25">
      <c r="C85" s="37">
        <f>IFERROR(IF(Q84&lt;=0.01,"",IF(C84+1&gt;Simul_ConstruRemo!$BN$11,"",C84+1)),"")</f>
        <v>63</v>
      </c>
      <c r="D85" s="37" t="str">
        <f>IF(C85&gt;Simul_ConstruRemo!$I$19,"",IF(Simul_ConstruRemo!I123=100%,"",IFERROR(VLOOKUP(C85,Simul_ConstruRemo!$AX$61:$AY$64,2,0),D84)))</f>
        <v/>
      </c>
      <c r="E85" s="136">
        <f>IF(C85="","",IF(AF85="Ministración",Simul_ConstruRemo!BM121,1))</f>
        <v>1</v>
      </c>
      <c r="F85" s="35">
        <f t="shared" si="11"/>
        <v>0</v>
      </c>
      <c r="G85" s="137">
        <f t="shared" si="5"/>
        <v>1344755.1306972387</v>
      </c>
      <c r="H85" s="137">
        <f t="shared" si="2"/>
        <v>14490</v>
      </c>
      <c r="I85" s="137">
        <f t="shared" si="6"/>
        <v>3003.549925294421</v>
      </c>
      <c r="J85" s="137">
        <f t="shared" si="13"/>
        <v>11486.450074705579</v>
      </c>
      <c r="K85" s="137">
        <f>IF(C85="","",IF(Simul_ConstruRemo!$I$10=Simul_ConstruRemo!$BV$6,(Simul_ConstruRemo!$I$16*0.7+Simul_ConstruRemo!$I$17*0.5),Simul_ConstruRemo!$CO$27))</f>
        <v>2606295</v>
      </c>
      <c r="L85" s="137">
        <f>IFERROR(Q85*Simul_ConstruRemo!$BP$30/1000,"")</f>
        <v>590.37069553965546</v>
      </c>
      <c r="M85" s="137">
        <f>IFERROR(IF($E$7="Remodelación",K85*Simul_ConstruRemo!$BS$29,
IF(E85=1,MAX(K85,Q85)*Simul_ConstruRemo!$BS$29,K85*Simul_ConstruRemo!$BQ$29)),"")</f>
        <v>827.2389712662</v>
      </c>
      <c r="N85" s="13">
        <f>IF(C85="","",'Tabla_Puntual&amp;Relacionamiento'!$E$42)</f>
        <v>0.10249999999999999</v>
      </c>
      <c r="O85" s="183"/>
      <c r="P85" s="137">
        <f t="shared" si="4"/>
        <v>15907.609666805856</v>
      </c>
      <c r="Q85" s="137">
        <f t="shared" si="7"/>
        <v>1341751.5807719443</v>
      </c>
      <c r="R85" s="37">
        <f t="shared" si="12"/>
        <v>1</v>
      </c>
      <c r="S85" s="137"/>
      <c r="T85" s="137"/>
      <c r="Z85" s="63"/>
      <c r="AA85" s="35">
        <f t="shared" si="1"/>
        <v>15793.507739734656</v>
      </c>
      <c r="AB85" s="63">
        <f>IF(OR(Q85="",Q85&lt;=0.01),"",IF(SUM($F$23:F85)=Simul_ConstruRemo!$I$26,1,0))</f>
        <v>1</v>
      </c>
      <c r="AC85">
        <f t="shared" si="8"/>
        <v>58</v>
      </c>
      <c r="AD85" s="147">
        <f t="shared" si="9"/>
        <v>57</v>
      </c>
      <c r="AF85" t="str">
        <f t="shared" si="14"/>
        <v>Obra Concluida</v>
      </c>
      <c r="AI85">
        <f>IF(SUM($F$23:F84)&gt;=$K$9,1,0)</f>
        <v>1</v>
      </c>
    </row>
    <row r="86" spans="3:35" x14ac:dyDescent="0.25">
      <c r="C86" s="37">
        <f>IFERROR(IF(Q85&lt;=0.01,"",IF(C85+1&gt;Simul_ConstruRemo!$BN$11,"",C85+1)),"")</f>
        <v>64</v>
      </c>
      <c r="D86" s="37" t="str">
        <f>IF(C86&gt;Simul_ConstruRemo!$I$19,"",IF(Simul_ConstruRemo!I124=100%,"",IFERROR(VLOOKUP(C86,Simul_ConstruRemo!$AX$61:$AY$64,2,0),D85)))</f>
        <v/>
      </c>
      <c r="E86" s="136">
        <f>IF(C86="","",IF(AF86="Ministración",Simul_ConstruRemo!BM122,1))</f>
        <v>1</v>
      </c>
      <c r="F86" s="35">
        <f t="shared" si="11"/>
        <v>0</v>
      </c>
      <c r="G86" s="137">
        <f t="shared" si="5"/>
        <v>1341751.5807719443</v>
      </c>
      <c r="H86" s="137">
        <f t="shared" si="2"/>
        <v>14490</v>
      </c>
      <c r="I86" s="137">
        <f t="shared" si="6"/>
        <v>3029.2052475729779</v>
      </c>
      <c r="J86" s="137">
        <f t="shared" si="13"/>
        <v>11460.794752427022</v>
      </c>
      <c r="K86" s="137">
        <f>IF(C86="","",IF(Simul_ConstruRemo!$I$10=Simul_ConstruRemo!$BV$6,(Simul_ConstruRemo!$I$16*0.7+Simul_ConstruRemo!$I$17*0.5),Simul_ConstruRemo!$CO$27))</f>
        <v>2606295</v>
      </c>
      <c r="L86" s="137">
        <f>IFERROR(Q86*Simul_ConstruRemo!$BP$30/1000,"")</f>
        <v>589.03784523072329</v>
      </c>
      <c r="M86" s="137">
        <f>IFERROR(IF($E$7="Remodelación",K86*Simul_ConstruRemo!$BS$29,
IF(E86=1,MAX(K86,Q86)*Simul_ConstruRemo!$BS$29,K86*Simul_ConstruRemo!$BQ$29)),"")</f>
        <v>827.2389712662</v>
      </c>
      <c r="N86" s="13">
        <f>IF(C86="","",'Tabla_Puntual&amp;Relacionamiento'!$E$42)</f>
        <v>0.10249999999999999</v>
      </c>
      <c r="O86" s="183"/>
      <c r="P86" s="137">
        <f t="shared" si="4"/>
        <v>15906.276816496924</v>
      </c>
      <c r="Q86" s="137">
        <f t="shared" si="7"/>
        <v>1338722.3755243712</v>
      </c>
      <c r="R86" s="37">
        <f t="shared" si="12"/>
        <v>1</v>
      </c>
      <c r="S86" s="137"/>
      <c r="T86" s="137"/>
      <c r="Z86" s="63"/>
      <c r="AA86" s="35">
        <f t="shared" si="1"/>
        <v>15792.174889425723</v>
      </c>
      <c r="AB86" s="63">
        <f>IF(OR(Q86="",Q86&lt;=0.01),"",IF(SUM($F$23:F86)=Simul_ConstruRemo!$I$26,1,0))</f>
        <v>1</v>
      </c>
      <c r="AC86">
        <f t="shared" si="8"/>
        <v>59</v>
      </c>
      <c r="AD86" s="147">
        <f t="shared" si="9"/>
        <v>58</v>
      </c>
      <c r="AF86" t="str">
        <f t="shared" si="14"/>
        <v>Obra Concluida</v>
      </c>
      <c r="AI86">
        <f>IF(SUM($F$23:F85)&gt;=$K$9,1,0)</f>
        <v>1</v>
      </c>
    </row>
    <row r="87" spans="3:35" x14ac:dyDescent="0.25">
      <c r="C87" s="37">
        <f>IFERROR(IF(Q86&lt;=0.01,"",IF(C86+1&gt;Simul_ConstruRemo!$BN$11,"",C86+1)),"")</f>
        <v>65</v>
      </c>
      <c r="D87" s="37" t="str">
        <f>IF(C87&gt;Simul_ConstruRemo!$I$19,"",IF(Simul_ConstruRemo!I125=100%,"",IFERROR(VLOOKUP(C87,Simul_ConstruRemo!$AX$61:$AY$64,2,0),D86)))</f>
        <v/>
      </c>
      <c r="E87" s="136">
        <f>IF(C87="","",IF(AF87="Ministración",Simul_ConstruRemo!BM123,1))</f>
        <v>1</v>
      </c>
      <c r="F87" s="35">
        <f t="shared" si="11"/>
        <v>0</v>
      </c>
      <c r="G87" s="137">
        <f t="shared" si="5"/>
        <v>1338722.3755243712</v>
      </c>
      <c r="H87" s="137">
        <f t="shared" si="2"/>
        <v>14490</v>
      </c>
      <c r="I87" s="137">
        <f t="shared" si="6"/>
        <v>3055.0797090626638</v>
      </c>
      <c r="J87" s="137">
        <f t="shared" si="13"/>
        <v>11434.920290937336</v>
      </c>
      <c r="K87" s="137">
        <f>IF(C87="","",IF(Simul_ConstruRemo!$I$10=Simul_ConstruRemo!$BV$6,(Simul_ConstruRemo!$I$16*0.7+Simul_ConstruRemo!$I$17*0.5),Simul_ConstruRemo!$CO$27))</f>
        <v>2606295</v>
      </c>
      <c r="L87" s="137">
        <f>IFERROR(Q87*Simul_ConstruRemo!$BP$30/1000,"")</f>
        <v>587.69361015873574</v>
      </c>
      <c r="M87" s="137">
        <f>IFERROR(IF($E$7="Remodelación",K87*Simul_ConstruRemo!$BS$29,
IF(E87=1,MAX(K87,Q87)*Simul_ConstruRemo!$BS$29,K87*Simul_ConstruRemo!$BQ$29)),"")</f>
        <v>827.2389712662</v>
      </c>
      <c r="N87" s="13">
        <f>IF(C87="","",'Tabla_Puntual&amp;Relacionamiento'!$E$42)</f>
        <v>0.10249999999999999</v>
      </c>
      <c r="O87" s="183"/>
      <c r="P87" s="137">
        <f t="shared" si="4"/>
        <v>15904.932581424937</v>
      </c>
      <c r="Q87" s="137">
        <f t="shared" si="7"/>
        <v>1335667.2958153086</v>
      </c>
      <c r="R87" s="37">
        <f t="shared" si="12"/>
        <v>1</v>
      </c>
      <c r="S87" s="137"/>
      <c r="T87" s="137"/>
      <c r="Z87" s="63"/>
      <c r="AA87" s="35">
        <f t="shared" ref="AA87:AA150" si="15">IF(P87="","",P87-(M87-(M87/1.16)))</f>
        <v>15790.830654353736</v>
      </c>
      <c r="AB87" s="63">
        <f>IF(OR(Q87="",Q87&lt;=0.01),"",IF(SUM($F$23:F87)=Simul_ConstruRemo!$I$26,1,0))</f>
        <v>1</v>
      </c>
      <c r="AC87">
        <f t="shared" si="8"/>
        <v>60</v>
      </c>
      <c r="AD87" s="147">
        <f t="shared" si="9"/>
        <v>59</v>
      </c>
      <c r="AF87" t="str">
        <f t="shared" si="14"/>
        <v>Obra Concluida</v>
      </c>
      <c r="AI87">
        <f>IF(SUM($F$23:F86)&gt;=$K$9,1,0)</f>
        <v>1</v>
      </c>
    </row>
    <row r="88" spans="3:35" x14ac:dyDescent="0.25">
      <c r="C88" s="37">
        <f>IFERROR(IF(Q87&lt;=0.01,"",IF(C87+1&gt;Simul_ConstruRemo!$BN$11,"",C87+1)),"")</f>
        <v>66</v>
      </c>
      <c r="D88" s="37" t="str">
        <f>IF(C88&gt;Simul_ConstruRemo!$I$19,"",IF(Simul_ConstruRemo!I126=100%,"",IFERROR(VLOOKUP(C88,Simul_ConstruRemo!$AX$61:$AY$64,2,0),D87)))</f>
        <v/>
      </c>
      <c r="E88" s="136">
        <f>IF(C88="","",IF(AF88="Ministración",Simul_ConstruRemo!BM124,1))</f>
        <v>1</v>
      </c>
      <c r="F88" s="35">
        <f t="shared" si="11"/>
        <v>0</v>
      </c>
      <c r="G88" s="137">
        <f t="shared" si="5"/>
        <v>1335667.2958153086</v>
      </c>
      <c r="H88" s="137">
        <f t="shared" ref="H88:H151" si="16">IF(C88="","",IF(AI88=0,J88,$K$9*$K$15/1000))</f>
        <v>14490</v>
      </c>
      <c r="I88" s="137">
        <f t="shared" ref="I88:I151" si="17">IF(C88="","",H88-J88)</f>
        <v>3081.1751815775733</v>
      </c>
      <c r="J88" s="137">
        <f t="shared" si="13"/>
        <v>11408.824818422427</v>
      </c>
      <c r="K88" s="137">
        <f>IF(C88="","",IF(Simul_ConstruRemo!$I$10=Simul_ConstruRemo!$BV$6,(Simul_ConstruRemo!$I$16*0.7+Simul_ConstruRemo!$I$17*0.5),Simul_ConstruRemo!$CO$27))</f>
        <v>2606295</v>
      </c>
      <c r="L88" s="137">
        <f>IFERROR(Q88*Simul_ConstruRemo!$BP$30/1000,"")</f>
        <v>586.3378930788416</v>
      </c>
      <c r="M88" s="137">
        <f>IFERROR(IF($E$7="Remodelación",K88*Simul_ConstruRemo!$BS$29,
IF(E88=1,MAX(K88,Q88)*Simul_ConstruRemo!$BS$29,K88*Simul_ConstruRemo!$BQ$29)),"")</f>
        <v>827.2389712662</v>
      </c>
      <c r="N88" s="13">
        <f>IF(C88="","",'Tabla_Puntual&amp;Relacionamiento'!$E$42)</f>
        <v>0.10249999999999999</v>
      </c>
      <c r="O88" s="183"/>
      <c r="P88" s="137">
        <f t="shared" ref="P88:P151" si="18">IFERROR(H88+M88+L88,"")</f>
        <v>15903.576864345043</v>
      </c>
      <c r="Q88" s="137">
        <f t="shared" si="7"/>
        <v>1332586.1206337309</v>
      </c>
      <c r="R88" s="37">
        <f t="shared" si="12"/>
        <v>1</v>
      </c>
      <c r="S88" s="137"/>
      <c r="T88" s="137"/>
      <c r="Z88" s="63"/>
      <c r="AA88" s="35">
        <f t="shared" si="15"/>
        <v>15789.474937273842</v>
      </c>
      <c r="AB88" s="63">
        <f>IF(OR(Q88="",Q88&lt;=0.01),"",IF(SUM($F$23:F88)=Simul_ConstruRemo!$I$26,1,0))</f>
        <v>1</v>
      </c>
      <c r="AC88">
        <f t="shared" si="8"/>
        <v>61</v>
      </c>
      <c r="AD88" s="147">
        <f t="shared" si="9"/>
        <v>60</v>
      </c>
      <c r="AF88" t="str">
        <f t="shared" si="14"/>
        <v>Obra Concluida</v>
      </c>
      <c r="AI88">
        <f>IF(SUM($F$23:F87)&gt;=$K$9,1,0)</f>
        <v>1</v>
      </c>
    </row>
    <row r="89" spans="3:35" x14ac:dyDescent="0.25">
      <c r="C89" s="37">
        <f>IFERROR(IF(Q88&lt;=0.01,"",IF(C88+1&gt;Simul_ConstruRemo!$BN$11,"",C88+1)),"")</f>
        <v>67</v>
      </c>
      <c r="D89" s="37" t="str">
        <f>IF(C89&gt;Simul_ConstruRemo!$I$19,"",IF(Simul_ConstruRemo!I127=100%,"",IFERROR(VLOOKUP(C89,Simul_ConstruRemo!$AX$61:$AY$64,2,0),D88)))</f>
        <v/>
      </c>
      <c r="E89" s="136">
        <f>IF(C89="","",IF(AF89="Ministración",Simul_ConstruRemo!BM125,1))</f>
        <v>1</v>
      </c>
      <c r="F89" s="35">
        <f t="shared" si="11"/>
        <v>0</v>
      </c>
      <c r="G89" s="137">
        <f t="shared" ref="G89:G152" si="19">IF(C89="","",Q88)</f>
        <v>1332586.1206337309</v>
      </c>
      <c r="H89" s="137">
        <f t="shared" si="16"/>
        <v>14490</v>
      </c>
      <c r="I89" s="137">
        <f t="shared" si="17"/>
        <v>3107.4935529202176</v>
      </c>
      <c r="J89" s="137">
        <f t="shared" si="13"/>
        <v>11382.506447079782</v>
      </c>
      <c r="K89" s="137">
        <f>IF(C89="","",IF(Simul_ConstruRemo!$I$10=Simul_ConstruRemo!$BV$6,(Simul_ConstruRemo!$I$16*0.7+Simul_ConstruRemo!$I$17*0.5),Simul_ConstruRemo!$CO$27))</f>
        <v>2606295</v>
      </c>
      <c r="L89" s="137">
        <f>IFERROR(Q89*Simul_ConstruRemo!$BP$30/1000,"")</f>
        <v>584.97059591555671</v>
      </c>
      <c r="M89" s="137">
        <f>IFERROR(IF($E$7="Remodelación",K89*Simul_ConstruRemo!$BS$29,
IF(E89=1,MAX(K89,Q89)*Simul_ConstruRemo!$BS$29,K89*Simul_ConstruRemo!$BQ$29)),"")</f>
        <v>827.2389712662</v>
      </c>
      <c r="N89" s="13">
        <f>IF(C89="","",'Tabla_Puntual&amp;Relacionamiento'!$E$42)</f>
        <v>0.10249999999999999</v>
      </c>
      <c r="O89" s="183"/>
      <c r="P89" s="137">
        <f t="shared" si="18"/>
        <v>15902.209567181757</v>
      </c>
      <c r="Q89" s="137">
        <f t="shared" ref="Q89:Q152" si="20">IFERROR(IF(Q88+F89-I89-O89&lt;=0,0,Q88+F89-I89-O89),"")</f>
        <v>1329478.6270808107</v>
      </c>
      <c r="R89" s="37">
        <f t="shared" si="12"/>
        <v>1</v>
      </c>
      <c r="S89" s="137"/>
      <c r="T89" s="137"/>
      <c r="Z89" s="63"/>
      <c r="AA89" s="35">
        <f t="shared" si="15"/>
        <v>15788.107640110557</v>
      </c>
      <c r="AB89" s="63">
        <f>IF(OR(Q89="",Q89&lt;=0.01),"",IF(SUM($F$23:F89)=Simul_ConstruRemo!$I$26,1,0))</f>
        <v>1</v>
      </c>
      <c r="AC89">
        <f t="shared" ref="AC89:AC152" si="21">IFERROR(AC88+AB89,0)</f>
        <v>62</v>
      </c>
      <c r="AD89" s="147">
        <f t="shared" si="9"/>
        <v>61</v>
      </c>
      <c r="AF89" t="str">
        <f t="shared" si="14"/>
        <v>Obra Concluida</v>
      </c>
      <c r="AI89">
        <f>IF(SUM($F$23:F88)&gt;=$K$9,1,0)</f>
        <v>1</v>
      </c>
    </row>
    <row r="90" spans="3:35" x14ac:dyDescent="0.25">
      <c r="C90" s="37">
        <f>IFERROR(IF(Q89&lt;=0.01,"",IF(C89+1&gt;Simul_ConstruRemo!$BN$11,"",C89+1)),"")</f>
        <v>68</v>
      </c>
      <c r="D90" s="37" t="str">
        <f>IF(C90&gt;Simul_ConstruRemo!$I$19,"",IF(Simul_ConstruRemo!I128=100%,"",IFERROR(VLOOKUP(C90,Simul_ConstruRemo!$AX$61:$AY$64,2,0),D89)))</f>
        <v/>
      </c>
      <c r="E90" s="136">
        <f>IF(C90="","",IF(AF90="Ministración",Simul_ConstruRemo!BM126,1))</f>
        <v>1</v>
      </c>
      <c r="F90" s="35">
        <f t="shared" si="11"/>
        <v>0</v>
      </c>
      <c r="G90" s="137">
        <f t="shared" si="19"/>
        <v>1329478.6270808107</v>
      </c>
      <c r="H90" s="137">
        <f t="shared" si="16"/>
        <v>14490</v>
      </c>
      <c r="I90" s="137">
        <f t="shared" si="17"/>
        <v>3134.0367270180741</v>
      </c>
      <c r="J90" s="137">
        <f t="shared" si="13"/>
        <v>11355.963272981926</v>
      </c>
      <c r="K90" s="137">
        <f>IF(C90="","",IF(Simul_ConstruRemo!$I$10=Simul_ConstruRemo!$BV$6,(Simul_ConstruRemo!$I$16*0.7+Simul_ConstruRemo!$I$17*0.5),Simul_ConstruRemo!$CO$27))</f>
        <v>2606295</v>
      </c>
      <c r="L90" s="137">
        <f>IFERROR(Q90*Simul_ConstruRemo!$BP$30/1000,"")</f>
        <v>583.59161975566872</v>
      </c>
      <c r="M90" s="137">
        <f>IFERROR(IF($E$7="Remodelación",K90*Simul_ConstruRemo!$BS$29,
IF(E90=1,MAX(K90,Q90)*Simul_ConstruRemo!$BS$29,K90*Simul_ConstruRemo!$BQ$29)),"")</f>
        <v>827.2389712662</v>
      </c>
      <c r="N90" s="13">
        <f>IF(C90="","",'Tabla_Puntual&amp;Relacionamiento'!$E$42)</f>
        <v>0.10249999999999999</v>
      </c>
      <c r="O90" s="183"/>
      <c r="P90" s="137">
        <f t="shared" si="18"/>
        <v>15900.83059102187</v>
      </c>
      <c r="Q90" s="137">
        <f t="shared" si="20"/>
        <v>1326344.5903537925</v>
      </c>
      <c r="R90" s="37">
        <f t="shared" si="12"/>
        <v>1</v>
      </c>
      <c r="S90" s="137"/>
      <c r="T90" s="137"/>
      <c r="Z90" s="63"/>
      <c r="AA90" s="35">
        <f t="shared" si="15"/>
        <v>15786.728663950669</v>
      </c>
      <c r="AB90" s="63">
        <f>IF(OR(Q90="",Q90&lt;=0.01),"",IF(SUM($F$23:F90)=Simul_ConstruRemo!$I$26,1,0))</f>
        <v>1</v>
      </c>
      <c r="AC90">
        <f t="shared" si="21"/>
        <v>63</v>
      </c>
      <c r="AD90" s="147">
        <f t="shared" ref="AD90:AD153" si="22">IF(AC90&gt;0,AC90-1,AC90)</f>
        <v>62</v>
      </c>
      <c r="AF90" t="str">
        <f t="shared" si="14"/>
        <v>Obra Concluida</v>
      </c>
      <c r="AI90">
        <f>IF(SUM($F$23:F89)&gt;=$K$9,1,0)</f>
        <v>1</v>
      </c>
    </row>
    <row r="91" spans="3:35" x14ac:dyDescent="0.25">
      <c r="C91" s="37">
        <f>IFERROR(IF(Q90&lt;=0.01,"",IF(C90+1&gt;Simul_ConstruRemo!$BN$11,"",C90+1)),"")</f>
        <v>69</v>
      </c>
      <c r="D91" s="37" t="str">
        <f>IF(C91&gt;Simul_ConstruRemo!$I$19,"",IF(Simul_ConstruRemo!I129=100%,"",IFERROR(VLOOKUP(C91,Simul_ConstruRemo!$AX$61:$AY$64,2,0),D90)))</f>
        <v/>
      </c>
      <c r="E91" s="136">
        <f>IF(C91="","",IF(AF91="Ministración",Simul_ConstruRemo!BM127,1))</f>
        <v>1</v>
      </c>
      <c r="F91" s="35">
        <f t="shared" si="11"/>
        <v>0</v>
      </c>
      <c r="G91" s="137">
        <f t="shared" si="19"/>
        <v>1326344.5903537925</v>
      </c>
      <c r="H91" s="137">
        <f t="shared" si="16"/>
        <v>14490</v>
      </c>
      <c r="I91" s="137">
        <f t="shared" si="17"/>
        <v>3160.8066240613553</v>
      </c>
      <c r="J91" s="137">
        <f t="shared" si="13"/>
        <v>11329.193375938645</v>
      </c>
      <c r="K91" s="137">
        <f>IF(C91="","",IF(Simul_ConstruRemo!$I$10=Simul_ConstruRemo!$BV$6,(Simul_ConstruRemo!$I$16*0.7+Simul_ConstruRemo!$I$17*0.5),Simul_ConstruRemo!$CO$27))</f>
        <v>2606295</v>
      </c>
      <c r="L91" s="137">
        <f>IFERROR(Q91*Simul_ConstruRemo!$BP$30/1000,"")</f>
        <v>582.20086484108162</v>
      </c>
      <c r="M91" s="137">
        <f>IFERROR(IF($E$7="Remodelación",K91*Simul_ConstruRemo!$BS$29,
IF(E91=1,MAX(K91,Q91)*Simul_ConstruRemo!$BS$29,K91*Simul_ConstruRemo!$BQ$29)),"")</f>
        <v>827.2389712662</v>
      </c>
      <c r="N91" s="13">
        <f>IF(C91="","",'Tabla_Puntual&amp;Relacionamiento'!$E$42)</f>
        <v>0.10249999999999999</v>
      </c>
      <c r="O91" s="183"/>
      <c r="P91" s="137">
        <f t="shared" si="18"/>
        <v>15899.439836107282</v>
      </c>
      <c r="Q91" s="137">
        <f t="shared" si="20"/>
        <v>1323183.7837297311</v>
      </c>
      <c r="R91" s="37">
        <f t="shared" si="12"/>
        <v>1</v>
      </c>
      <c r="S91" s="137"/>
      <c r="T91" s="137"/>
      <c r="Z91" s="63"/>
      <c r="AA91" s="35">
        <f t="shared" si="15"/>
        <v>15785.337909036081</v>
      </c>
      <c r="AB91" s="63">
        <f>IF(OR(Q91="",Q91&lt;=0.01),"",IF(SUM($F$23:F91)=Simul_ConstruRemo!$I$26,1,0))</f>
        <v>1</v>
      </c>
      <c r="AC91">
        <f t="shared" si="21"/>
        <v>64</v>
      </c>
      <c r="AD91" s="147">
        <f t="shared" si="22"/>
        <v>63</v>
      </c>
      <c r="AF91" t="str">
        <f t="shared" si="14"/>
        <v>Obra Concluida</v>
      </c>
      <c r="AI91">
        <f>IF(SUM($F$23:F90)&gt;=$K$9,1,0)</f>
        <v>1</v>
      </c>
    </row>
    <row r="92" spans="3:35" x14ac:dyDescent="0.25">
      <c r="C92" s="37">
        <f>IFERROR(IF(Q91&lt;=0.01,"",IF(C91+1&gt;Simul_ConstruRemo!$BN$11,"",C91+1)),"")</f>
        <v>70</v>
      </c>
      <c r="D92" s="37" t="str">
        <f>IF(C92&gt;Simul_ConstruRemo!$I$19,"",IF(Simul_ConstruRemo!I130=100%,"",IFERROR(VLOOKUP(C92,Simul_ConstruRemo!$AX$61:$AY$64,2,0),D91)))</f>
        <v/>
      </c>
      <c r="E92" s="136">
        <f>IF(C92="","",IF(AF92="Ministración",Simul_ConstruRemo!BM128,1))</f>
        <v>1</v>
      </c>
      <c r="F92" s="35">
        <f t="shared" si="11"/>
        <v>0</v>
      </c>
      <c r="G92" s="137">
        <f t="shared" si="19"/>
        <v>1323183.7837297311</v>
      </c>
      <c r="H92" s="137">
        <f t="shared" si="16"/>
        <v>14490</v>
      </c>
      <c r="I92" s="137">
        <f t="shared" si="17"/>
        <v>3187.8051806418807</v>
      </c>
      <c r="J92" s="137">
        <f t="shared" si="13"/>
        <v>11302.194819358119</v>
      </c>
      <c r="K92" s="137">
        <f>IF(C92="","",IF(Simul_ConstruRemo!$I$10=Simul_ConstruRemo!$BV$6,(Simul_ConstruRemo!$I$16*0.7+Simul_ConstruRemo!$I$17*0.5),Simul_ConstruRemo!$CO$27))</f>
        <v>2606295</v>
      </c>
      <c r="L92" s="137">
        <f>IFERROR(Q92*Simul_ConstruRemo!$BP$30/1000,"")</f>
        <v>580.79823056159921</v>
      </c>
      <c r="M92" s="137">
        <f>IFERROR(IF($E$7="Remodelación",K92*Simul_ConstruRemo!$BS$29,
IF(E92=1,MAX(K92,Q92)*Simul_ConstruRemo!$BS$29,K92*Simul_ConstruRemo!$BQ$29)),"")</f>
        <v>827.2389712662</v>
      </c>
      <c r="N92" s="13">
        <f>IF(C92="","",'Tabla_Puntual&amp;Relacionamiento'!$E$42)</f>
        <v>0.10249999999999999</v>
      </c>
      <c r="O92" s="183"/>
      <c r="P92" s="137">
        <f t="shared" si="18"/>
        <v>15898.037201827799</v>
      </c>
      <c r="Q92" s="137">
        <f t="shared" si="20"/>
        <v>1319995.9785490893</v>
      </c>
      <c r="R92" s="37">
        <f t="shared" si="12"/>
        <v>1</v>
      </c>
      <c r="S92" s="137"/>
      <c r="T92" s="137"/>
      <c r="Z92" s="63"/>
      <c r="AA92" s="35">
        <f t="shared" si="15"/>
        <v>15783.935274756599</v>
      </c>
      <c r="AB92" s="63">
        <f>IF(OR(Q92="",Q92&lt;=0.01),"",IF(SUM($F$23:F92)=Simul_ConstruRemo!$I$26,1,0))</f>
        <v>1</v>
      </c>
      <c r="AC92">
        <f t="shared" si="21"/>
        <v>65</v>
      </c>
      <c r="AD92" s="147">
        <f t="shared" si="22"/>
        <v>64</v>
      </c>
      <c r="AF92" t="str">
        <f t="shared" si="14"/>
        <v>Obra Concluida</v>
      </c>
      <c r="AI92">
        <f>IF(SUM($F$23:F91)&gt;=$K$9,1,0)</f>
        <v>1</v>
      </c>
    </row>
    <row r="93" spans="3:35" x14ac:dyDescent="0.25">
      <c r="C93" s="37">
        <f>IFERROR(IF(Q92&lt;=0.01,"",IF(C92+1&gt;Simul_ConstruRemo!$BN$11,"",C92+1)),"")</f>
        <v>71</v>
      </c>
      <c r="D93" s="37" t="str">
        <f>IF(C93&gt;Simul_ConstruRemo!$I$19,"",IF(Simul_ConstruRemo!I131=100%,"",IFERROR(VLOOKUP(C93,Simul_ConstruRemo!$AX$61:$AY$64,2,0),D92)))</f>
        <v/>
      </c>
      <c r="E93" s="136">
        <f>IF(C93="","",IF(AF93="Ministración",Simul_ConstruRemo!BM129,1))</f>
        <v>1</v>
      </c>
      <c r="F93" s="35">
        <f t="shared" si="11"/>
        <v>0</v>
      </c>
      <c r="G93" s="137">
        <f t="shared" si="19"/>
        <v>1319995.9785490893</v>
      </c>
      <c r="H93" s="137">
        <f t="shared" si="16"/>
        <v>14490</v>
      </c>
      <c r="I93" s="137">
        <f t="shared" si="17"/>
        <v>3215.0343498931961</v>
      </c>
      <c r="J93" s="137">
        <f t="shared" si="13"/>
        <v>11274.965650106804</v>
      </c>
      <c r="K93" s="137">
        <f>IF(C93="","",IF(Simul_ConstruRemo!$I$10=Simul_ConstruRemo!$BV$6,(Simul_ConstruRemo!$I$16*0.7+Simul_ConstruRemo!$I$17*0.5),Simul_ConstruRemo!$CO$27))</f>
        <v>2606295</v>
      </c>
      <c r="L93" s="137">
        <f>IFERROR(Q93*Simul_ConstruRemo!$BP$30/1000,"")</f>
        <v>579.38361544764621</v>
      </c>
      <c r="M93" s="137">
        <f>IFERROR(IF($E$7="Remodelación",K93*Simul_ConstruRemo!$BS$29,
IF(E93=1,MAX(K93,Q93)*Simul_ConstruRemo!$BS$29,K93*Simul_ConstruRemo!$BQ$29)),"")</f>
        <v>827.2389712662</v>
      </c>
      <c r="N93" s="13">
        <f>IF(C93="","",'Tabla_Puntual&amp;Relacionamiento'!$E$42)</f>
        <v>0.10249999999999999</v>
      </c>
      <c r="O93" s="183"/>
      <c r="P93" s="137">
        <f t="shared" si="18"/>
        <v>15896.622586713847</v>
      </c>
      <c r="Q93" s="137">
        <f t="shared" si="20"/>
        <v>1316780.9441991961</v>
      </c>
      <c r="R93" s="37">
        <f t="shared" si="12"/>
        <v>1</v>
      </c>
      <c r="S93" s="137"/>
      <c r="T93" s="137"/>
      <c r="Z93" s="63"/>
      <c r="AA93" s="35">
        <f t="shared" si="15"/>
        <v>15782.520659642647</v>
      </c>
      <c r="AB93" s="63">
        <f>IF(OR(Q93="",Q93&lt;=0.01),"",IF(SUM($F$23:F93)=Simul_ConstruRemo!$I$26,1,0))</f>
        <v>1</v>
      </c>
      <c r="AC93">
        <f t="shared" si="21"/>
        <v>66</v>
      </c>
      <c r="AD93" s="147">
        <f t="shared" si="22"/>
        <v>65</v>
      </c>
      <c r="AF93" t="str">
        <f t="shared" si="14"/>
        <v>Obra Concluida</v>
      </c>
      <c r="AI93">
        <f>IF(SUM($F$23:F92)&gt;=$K$9,1,0)</f>
        <v>1</v>
      </c>
    </row>
    <row r="94" spans="3:35" x14ac:dyDescent="0.25">
      <c r="C94" s="37">
        <f>IFERROR(IF(Q93&lt;=0.01,"",IF(C93+1&gt;Simul_ConstruRemo!$BN$11,"",C93+1)),"")</f>
        <v>72</v>
      </c>
      <c r="D94" s="37" t="str">
        <f>IF(C94&gt;Simul_ConstruRemo!$I$19,"",IF(Simul_ConstruRemo!I132=100%,"",IFERROR(VLOOKUP(C94,Simul_ConstruRemo!$AX$61:$AY$64,2,0),D93)))</f>
        <v/>
      </c>
      <c r="E94" s="136">
        <f>IF(C94="","",IF(AF94="Ministración",Simul_ConstruRemo!BM130,1))</f>
        <v>1</v>
      </c>
      <c r="F94" s="35">
        <f t="shared" si="11"/>
        <v>0</v>
      </c>
      <c r="G94" s="137">
        <f t="shared" si="19"/>
        <v>1316780.9441991961</v>
      </c>
      <c r="H94" s="137">
        <f t="shared" si="16"/>
        <v>14490</v>
      </c>
      <c r="I94" s="137">
        <f t="shared" si="17"/>
        <v>3242.4961016318684</v>
      </c>
      <c r="J94" s="137">
        <f t="shared" si="13"/>
        <v>11247.503898368132</v>
      </c>
      <c r="K94" s="137">
        <f>IF(C94="","",IF(Simul_ConstruRemo!$I$10=Simul_ConstruRemo!$BV$6,(Simul_ConstruRemo!$I$16*0.7+Simul_ConstruRemo!$I$17*0.5),Simul_ConstruRemo!$CO$27))</f>
        <v>2606295</v>
      </c>
      <c r="L94" s="137">
        <f>IFERROR(Q94*Simul_ConstruRemo!$BP$30/1000,"")</f>
        <v>577.95691716292822</v>
      </c>
      <c r="M94" s="137">
        <f>IFERROR(IF($E$7="Remodelación",K94*Simul_ConstruRemo!$BS$29,
IF(E94=1,MAX(K94,Q94)*Simul_ConstruRemo!$BS$29,K94*Simul_ConstruRemo!$BQ$29)),"")</f>
        <v>827.2389712662</v>
      </c>
      <c r="N94" s="13">
        <f>IF(C94="","",'Tabla_Puntual&amp;Relacionamiento'!$E$42)</f>
        <v>0.10249999999999999</v>
      </c>
      <c r="O94" s="183"/>
      <c r="P94" s="137">
        <f t="shared" si="18"/>
        <v>15895.195888429129</v>
      </c>
      <c r="Q94" s="137">
        <f t="shared" si="20"/>
        <v>1313538.4480975643</v>
      </c>
      <c r="R94" s="37">
        <f t="shared" si="12"/>
        <v>1</v>
      </c>
      <c r="S94" s="137"/>
      <c r="T94" s="137"/>
      <c r="Z94" s="63"/>
      <c r="AA94" s="35">
        <f t="shared" si="15"/>
        <v>15781.093961357928</v>
      </c>
      <c r="AB94" s="63">
        <f>IF(OR(Q94="",Q94&lt;=0.01),"",IF(SUM($F$23:F94)=Simul_ConstruRemo!$I$26,1,0))</f>
        <v>1</v>
      </c>
      <c r="AC94">
        <f t="shared" si="21"/>
        <v>67</v>
      </c>
      <c r="AD94" s="147">
        <f t="shared" si="22"/>
        <v>66</v>
      </c>
      <c r="AF94" t="str">
        <f t="shared" si="14"/>
        <v>Obra Concluida</v>
      </c>
      <c r="AI94">
        <f>IF(SUM($F$23:F93)&gt;=$K$9,1,0)</f>
        <v>1</v>
      </c>
    </row>
    <row r="95" spans="3:35" x14ac:dyDescent="0.25">
      <c r="C95" s="37">
        <f>IFERROR(IF(Q94&lt;=0.01,"",IF(C94+1&gt;Simul_ConstruRemo!$BN$11,"",C94+1)),"")</f>
        <v>73</v>
      </c>
      <c r="D95" s="37" t="str">
        <f>IF(C95&gt;Simul_ConstruRemo!$I$19,"",IF(Simul_ConstruRemo!I133=100%,"",IFERROR(VLOOKUP(C95,Simul_ConstruRemo!$AX$61:$AY$64,2,0),D94)))</f>
        <v/>
      </c>
      <c r="E95" s="136">
        <f>IF(C95="","",IF(AF95="Ministración",Simul_ConstruRemo!BM131,1))</f>
        <v>1</v>
      </c>
      <c r="F95" s="35">
        <f t="shared" si="11"/>
        <v>0</v>
      </c>
      <c r="G95" s="137">
        <f t="shared" si="19"/>
        <v>1313538.4480975643</v>
      </c>
      <c r="H95" s="137">
        <f t="shared" si="16"/>
        <v>14490</v>
      </c>
      <c r="I95" s="137">
        <f t="shared" si="17"/>
        <v>3270.192422499973</v>
      </c>
      <c r="J95" s="137">
        <f t="shared" si="13"/>
        <v>11219.807577500027</v>
      </c>
      <c r="K95" s="137">
        <f>IF(C95="","",IF(Simul_ConstruRemo!$I$10=Simul_ConstruRemo!$BV$6,(Simul_ConstruRemo!$I$16*0.7+Simul_ConstruRemo!$I$17*0.5),Simul_ConstruRemo!$CO$27))</f>
        <v>2606295</v>
      </c>
      <c r="L95" s="137">
        <f>IFERROR(Q95*Simul_ConstruRemo!$BP$30/1000,"")</f>
        <v>576.51803249702834</v>
      </c>
      <c r="M95" s="137">
        <f>IFERROR(IF($E$7="Remodelación",K95*Simul_ConstruRemo!$BS$29,
IF(E95=1,MAX(K95,Q95)*Simul_ConstruRemo!$BS$29,K95*Simul_ConstruRemo!$BQ$29)),"")</f>
        <v>827.2389712662</v>
      </c>
      <c r="N95" s="13">
        <f>IF(C95="","",'Tabla_Puntual&amp;Relacionamiento'!$E$43)</f>
        <v>0.10249999999999999</v>
      </c>
      <c r="O95" s="183"/>
      <c r="P95" s="137">
        <f t="shared" si="18"/>
        <v>15893.757003763229</v>
      </c>
      <c r="Q95" s="137">
        <f t="shared" si="20"/>
        <v>1310268.2556750644</v>
      </c>
      <c r="R95" s="37">
        <f t="shared" si="12"/>
        <v>1</v>
      </c>
      <c r="S95" s="137"/>
      <c r="T95" s="137"/>
      <c r="Z95" s="63"/>
      <c r="AA95" s="35">
        <f t="shared" si="15"/>
        <v>15779.655076692028</v>
      </c>
      <c r="AB95" s="63">
        <f>IF(OR(Q95="",Q95&lt;=0.01),"",IF(SUM($F$23:F95)=Simul_ConstruRemo!$I$26,1,0))</f>
        <v>1</v>
      </c>
      <c r="AC95">
        <f t="shared" si="21"/>
        <v>68</v>
      </c>
      <c r="AD95" s="147">
        <f t="shared" si="22"/>
        <v>67</v>
      </c>
      <c r="AF95" t="str">
        <f t="shared" si="14"/>
        <v>Obra Concluida</v>
      </c>
      <c r="AI95">
        <f>IF(SUM($F$23:F94)&gt;=$K$9,1,0)</f>
        <v>1</v>
      </c>
    </row>
    <row r="96" spans="3:35" x14ac:dyDescent="0.25">
      <c r="C96" s="37">
        <f>IFERROR(IF(Q95&lt;=0.01,"",IF(C95+1&gt;Simul_ConstruRemo!$BN$11,"",C95+1)),"")</f>
        <v>74</v>
      </c>
      <c r="D96" s="37" t="str">
        <f>IF(C96&gt;Simul_ConstruRemo!$I$19,"",IF(Simul_ConstruRemo!I134=100%,"",IFERROR(VLOOKUP(C96,Simul_ConstruRemo!$AX$61:$AY$64,2,0),D95)))</f>
        <v/>
      </c>
      <c r="E96" s="136">
        <f>IF(C96="","",IF(AF96="Ministración",Simul_ConstruRemo!BM132,1))</f>
        <v>1</v>
      </c>
      <c r="F96" s="35">
        <f t="shared" si="11"/>
        <v>0</v>
      </c>
      <c r="G96" s="137">
        <f t="shared" si="19"/>
        <v>1310268.2556750644</v>
      </c>
      <c r="H96" s="137">
        <f t="shared" si="16"/>
        <v>14490</v>
      </c>
      <c r="I96" s="137">
        <f t="shared" si="17"/>
        <v>3298.1253161088262</v>
      </c>
      <c r="J96" s="137">
        <f t="shared" si="13"/>
        <v>11191.874683891174</v>
      </c>
      <c r="K96" s="137">
        <f>IF(C96="","",IF(Simul_ConstruRemo!$I$10=Simul_ConstruRemo!$BV$6,(Simul_ConstruRemo!$I$16*0.7+Simul_ConstruRemo!$I$17*0.5),Simul_ConstruRemo!$CO$27))</f>
        <v>2606295</v>
      </c>
      <c r="L96" s="137">
        <f>IFERROR(Q96*Simul_ConstruRemo!$BP$30/1000,"")</f>
        <v>575.06685735794053</v>
      </c>
      <c r="M96" s="137">
        <f>IFERROR(IF($E$7="Remodelación",K96*Simul_ConstruRemo!$BS$29,
IF(E96=1,MAX(K96,Q96)*Simul_ConstruRemo!$BS$29,K96*Simul_ConstruRemo!$BQ$29)),"")</f>
        <v>827.2389712662</v>
      </c>
      <c r="N96" s="13">
        <f>IF(C96="","",'Tabla_Puntual&amp;Relacionamiento'!$E$43)</f>
        <v>0.10249999999999999</v>
      </c>
      <c r="O96" s="183"/>
      <c r="P96" s="137">
        <f t="shared" si="18"/>
        <v>15892.305828624141</v>
      </c>
      <c r="Q96" s="137">
        <f t="shared" si="20"/>
        <v>1306970.1303589556</v>
      </c>
      <c r="R96" s="37">
        <f t="shared" si="12"/>
        <v>1</v>
      </c>
      <c r="S96" s="137"/>
      <c r="T96" s="137"/>
      <c r="Z96" s="63"/>
      <c r="AA96" s="35">
        <f t="shared" si="15"/>
        <v>15778.203901552941</v>
      </c>
      <c r="AB96" s="63">
        <f>IF(OR(Q96="",Q96&lt;=0.01),"",IF(SUM($F$23:F96)=Simul_ConstruRemo!$I$26,1,0))</f>
        <v>1</v>
      </c>
      <c r="AC96">
        <f t="shared" si="21"/>
        <v>69</v>
      </c>
      <c r="AD96" s="147">
        <f t="shared" si="22"/>
        <v>68</v>
      </c>
      <c r="AF96" t="str">
        <f t="shared" si="14"/>
        <v>Obra Concluida</v>
      </c>
      <c r="AI96">
        <f>IF(SUM($F$23:F95)&gt;=$K$9,1,0)</f>
        <v>1</v>
      </c>
    </row>
    <row r="97" spans="3:35" x14ac:dyDescent="0.25">
      <c r="C97" s="37">
        <f>IFERROR(IF(Q96&lt;=0.01,"",IF(C96+1&gt;Simul_ConstruRemo!$BN$11,"",C96+1)),"")</f>
        <v>75</v>
      </c>
      <c r="D97" s="37" t="str">
        <f>IF(C97&gt;Simul_ConstruRemo!$I$19,"",IF(Simul_ConstruRemo!I135=100%,"",IFERROR(VLOOKUP(C97,Simul_ConstruRemo!$AX$61:$AY$64,2,0),D96)))</f>
        <v/>
      </c>
      <c r="E97" s="136">
        <f>IF(C97="","",IF(AF97="Ministración",Simul_ConstruRemo!BM133,1))</f>
        <v>1</v>
      </c>
      <c r="F97" s="35">
        <f t="shared" si="11"/>
        <v>0</v>
      </c>
      <c r="G97" s="137">
        <f t="shared" si="19"/>
        <v>1306970.1303589556</v>
      </c>
      <c r="H97" s="137">
        <f t="shared" si="16"/>
        <v>14490</v>
      </c>
      <c r="I97" s="137">
        <f t="shared" si="17"/>
        <v>3326.2968031839209</v>
      </c>
      <c r="J97" s="137">
        <f t="shared" si="13"/>
        <v>11163.703196816079</v>
      </c>
      <c r="K97" s="137">
        <f>IF(C97="","",IF(Simul_ConstruRemo!$I$10=Simul_ConstruRemo!$BV$6,(Simul_ConstruRemo!$I$16*0.7+Simul_ConstruRemo!$I$17*0.5),Simul_ConstruRemo!$CO$27))</f>
        <v>2606295</v>
      </c>
      <c r="L97" s="137">
        <f>IFERROR(Q97*Simul_ConstruRemo!$BP$30/1000,"")</f>
        <v>573.60328676453958</v>
      </c>
      <c r="M97" s="137">
        <f>IFERROR(IF($E$7="Remodelación",K97*Simul_ConstruRemo!$BS$29,
IF(E97=1,MAX(K97,Q97)*Simul_ConstruRemo!$BS$29,K97*Simul_ConstruRemo!$BQ$29)),"")</f>
        <v>827.2389712662</v>
      </c>
      <c r="N97" s="13">
        <f>IF(C97="","",'Tabla_Puntual&amp;Relacionamiento'!$E$43)</f>
        <v>0.10249999999999999</v>
      </c>
      <c r="O97" s="183"/>
      <c r="P97" s="137">
        <f t="shared" si="18"/>
        <v>15890.84225803074</v>
      </c>
      <c r="Q97" s="137">
        <f t="shared" si="20"/>
        <v>1303643.8335557717</v>
      </c>
      <c r="R97" s="37">
        <f t="shared" si="12"/>
        <v>1</v>
      </c>
      <c r="S97" s="137"/>
      <c r="T97" s="137"/>
      <c r="Z97" s="63"/>
      <c r="AA97" s="35">
        <f t="shared" si="15"/>
        <v>15776.740330959539</v>
      </c>
      <c r="AB97" s="63">
        <f>IF(OR(Q97="",Q97&lt;=0.01),"",IF(SUM($F$23:F97)=Simul_ConstruRemo!$I$26,1,0))</f>
        <v>1</v>
      </c>
      <c r="AC97">
        <f t="shared" si="21"/>
        <v>70</v>
      </c>
      <c r="AD97" s="147">
        <f t="shared" si="22"/>
        <v>69</v>
      </c>
      <c r="AF97" t="str">
        <f t="shared" si="14"/>
        <v>Obra Concluida</v>
      </c>
      <c r="AI97">
        <f>IF(SUM($F$23:F96)&gt;=$K$9,1,0)</f>
        <v>1</v>
      </c>
    </row>
    <row r="98" spans="3:35" x14ac:dyDescent="0.25">
      <c r="C98" s="37">
        <f>IFERROR(IF(Q97&lt;=0.01,"",IF(C97+1&gt;Simul_ConstruRemo!$BN$11,"",C97+1)),"")</f>
        <v>76</v>
      </c>
      <c r="D98" s="37" t="str">
        <f>IF(C98&gt;Simul_ConstruRemo!$I$19,"",IF(Simul_ConstruRemo!I136=100%,"",IFERROR(VLOOKUP(C98,Simul_ConstruRemo!$AX$61:$AY$64,2,0),D97)))</f>
        <v/>
      </c>
      <c r="E98" s="136">
        <f>IF(C98="","",IF(AF98="Ministración",Simul_ConstruRemo!BM134,1))</f>
        <v>1</v>
      </c>
      <c r="F98" s="35">
        <f t="shared" si="11"/>
        <v>0</v>
      </c>
      <c r="G98" s="137">
        <f t="shared" si="19"/>
        <v>1303643.8335557717</v>
      </c>
      <c r="H98" s="137">
        <f t="shared" si="16"/>
        <v>14490</v>
      </c>
      <c r="I98" s="137">
        <f t="shared" si="17"/>
        <v>3354.7089217111188</v>
      </c>
      <c r="J98" s="137">
        <f t="shared" si="13"/>
        <v>11135.291078288881</v>
      </c>
      <c r="K98" s="137">
        <f>IF(C98="","",IF(Simul_ConstruRemo!$I$10=Simul_ConstruRemo!$BV$6,(Simul_ConstruRemo!$I$16*0.7+Simul_ConstruRemo!$I$17*0.5),Simul_ConstruRemo!$CO$27))</f>
        <v>2606295</v>
      </c>
      <c r="L98" s="137">
        <f>IFERROR(Q98*Simul_ConstruRemo!$BP$30/1000,"")</f>
        <v>572.12721483898667</v>
      </c>
      <c r="M98" s="137">
        <f>IFERROR(IF($E$7="Remodelación",K98*Simul_ConstruRemo!$BS$29,
IF(E98=1,MAX(K98,Q98)*Simul_ConstruRemo!$BS$29,K98*Simul_ConstruRemo!$BQ$29)),"")</f>
        <v>827.2389712662</v>
      </c>
      <c r="N98" s="13">
        <f>IF(C98="","",'Tabla_Puntual&amp;Relacionamiento'!$E$43)</f>
        <v>0.10249999999999999</v>
      </c>
      <c r="O98" s="183"/>
      <c r="P98" s="137">
        <f t="shared" si="18"/>
        <v>15889.366186105188</v>
      </c>
      <c r="Q98" s="137">
        <f t="shared" si="20"/>
        <v>1300289.1246340605</v>
      </c>
      <c r="R98" s="37">
        <f t="shared" si="12"/>
        <v>1</v>
      </c>
      <c r="S98" s="137"/>
      <c r="T98" s="137"/>
      <c r="Z98" s="63"/>
      <c r="AA98" s="35">
        <f t="shared" si="15"/>
        <v>15775.264259033987</v>
      </c>
      <c r="AB98" s="63">
        <f>IF(OR(Q98="",Q98&lt;=0.01),"",IF(SUM($F$23:F98)=Simul_ConstruRemo!$I$26,1,0))</f>
        <v>1</v>
      </c>
      <c r="AC98">
        <f t="shared" si="21"/>
        <v>71</v>
      </c>
      <c r="AD98" s="147">
        <f t="shared" si="22"/>
        <v>70</v>
      </c>
      <c r="AF98" t="str">
        <f t="shared" si="14"/>
        <v>Obra Concluida</v>
      </c>
      <c r="AI98">
        <f>IF(SUM($F$23:F97)&gt;=$K$9,1,0)</f>
        <v>1</v>
      </c>
    </row>
    <row r="99" spans="3:35" x14ac:dyDescent="0.25">
      <c r="C99" s="37">
        <f>IFERROR(IF(Q98&lt;=0.01,"",IF(C98+1&gt;Simul_ConstruRemo!$BN$11,"",C98+1)),"")</f>
        <v>77</v>
      </c>
      <c r="D99" s="37" t="str">
        <f>IF(C99&gt;Simul_ConstruRemo!$I$19,"",IF(Simul_ConstruRemo!I137=100%,"",IFERROR(VLOOKUP(C99,Simul_ConstruRemo!$AX$61:$AY$64,2,0),D98)))</f>
        <v/>
      </c>
      <c r="E99" s="136">
        <f>IF(C99="","",IF(AF99="Ministración",Simul_ConstruRemo!BM135,1))</f>
        <v>1</v>
      </c>
      <c r="F99" s="35">
        <f t="shared" si="11"/>
        <v>0</v>
      </c>
      <c r="G99" s="137">
        <f t="shared" si="19"/>
        <v>1300289.1246340605</v>
      </c>
      <c r="H99" s="137">
        <f t="shared" si="16"/>
        <v>14490</v>
      </c>
      <c r="I99" s="137">
        <f t="shared" si="17"/>
        <v>3383.3637270840682</v>
      </c>
      <c r="J99" s="137">
        <f t="shared" si="13"/>
        <v>11106.636272915932</v>
      </c>
      <c r="K99" s="137">
        <f>IF(C99="","",IF(Simul_ConstruRemo!$I$10=Simul_ConstruRemo!$BV$6,(Simul_ConstruRemo!$I$16*0.7+Simul_ConstruRemo!$I$17*0.5),Simul_ConstruRemo!$CO$27))</f>
        <v>2606295</v>
      </c>
      <c r="L99" s="137">
        <f>IFERROR(Q99*Simul_ConstruRemo!$BP$30/1000,"")</f>
        <v>570.63853479906959</v>
      </c>
      <c r="M99" s="137">
        <f>IFERROR(IF($E$7="Remodelación",K99*Simul_ConstruRemo!$BS$29,
IF(E99=1,MAX(K99,Q99)*Simul_ConstruRemo!$BS$29,K99*Simul_ConstruRemo!$BQ$29)),"")</f>
        <v>827.2389712662</v>
      </c>
      <c r="N99" s="13">
        <f>IF(C99="","",'Tabla_Puntual&amp;Relacionamiento'!$E$43)</f>
        <v>0.10249999999999999</v>
      </c>
      <c r="O99" s="183"/>
      <c r="P99" s="137">
        <f t="shared" si="18"/>
        <v>15887.87750606527</v>
      </c>
      <c r="Q99" s="137">
        <f t="shared" si="20"/>
        <v>1296905.7609069764</v>
      </c>
      <c r="R99" s="37">
        <f t="shared" si="12"/>
        <v>1</v>
      </c>
      <c r="S99" s="137"/>
      <c r="T99" s="137"/>
      <c r="Z99" s="63"/>
      <c r="AA99" s="35">
        <f t="shared" si="15"/>
        <v>15773.775578994069</v>
      </c>
      <c r="AB99" s="63">
        <f>IF(OR(Q99="",Q99&lt;=0.01),"",IF(SUM($F$23:F99)=Simul_ConstruRemo!$I$26,1,0))</f>
        <v>1</v>
      </c>
      <c r="AC99">
        <f t="shared" si="21"/>
        <v>72</v>
      </c>
      <c r="AD99" s="147">
        <f t="shared" si="22"/>
        <v>71</v>
      </c>
      <c r="AF99" t="str">
        <f t="shared" si="14"/>
        <v>Obra Concluida</v>
      </c>
      <c r="AI99">
        <f>IF(SUM($F$23:F98)&gt;=$K$9,1,0)</f>
        <v>1</v>
      </c>
    </row>
    <row r="100" spans="3:35" x14ac:dyDescent="0.25">
      <c r="C100" s="37">
        <f>IFERROR(IF(Q99&lt;=0.01,"",IF(C99+1&gt;Simul_ConstruRemo!$BN$11,"",C99+1)),"")</f>
        <v>78</v>
      </c>
      <c r="D100" s="37" t="str">
        <f>IF(C100&gt;Simul_ConstruRemo!$I$19,"",IF(Simul_ConstruRemo!I138=100%,"",IFERROR(VLOOKUP(C100,Simul_ConstruRemo!$AX$61:$AY$64,2,0),D99)))</f>
        <v/>
      </c>
      <c r="E100" s="136">
        <f>IF(C100="","",IF(AF100="Ministración",Simul_ConstruRemo!BM136,1))</f>
        <v>1</v>
      </c>
      <c r="F100" s="35">
        <f t="shared" si="11"/>
        <v>0</v>
      </c>
      <c r="G100" s="137">
        <f t="shared" si="19"/>
        <v>1296905.7609069764</v>
      </c>
      <c r="H100" s="137">
        <f t="shared" si="16"/>
        <v>14490</v>
      </c>
      <c r="I100" s="137">
        <f t="shared" si="17"/>
        <v>3412.2632922529101</v>
      </c>
      <c r="J100" s="137">
        <f t="shared" si="13"/>
        <v>11077.73670774709</v>
      </c>
      <c r="K100" s="137">
        <f>IF(C100="","",IF(Simul_ConstruRemo!$I$10=Simul_ConstruRemo!$BV$6,(Simul_ConstruRemo!$I$16*0.7+Simul_ConstruRemo!$I$17*0.5),Simul_ConstruRemo!$CO$27))</f>
        <v>2606295</v>
      </c>
      <c r="L100" s="137">
        <f>IFERROR(Q100*Simul_ConstruRemo!$BP$30/1000,"")</f>
        <v>569.13713895047829</v>
      </c>
      <c r="M100" s="137">
        <f>IFERROR(IF($E$7="Remodelación",K100*Simul_ConstruRemo!$BS$29,
IF(E100=1,MAX(K100,Q100)*Simul_ConstruRemo!$BS$29,K100*Simul_ConstruRemo!$BQ$29)),"")</f>
        <v>827.2389712662</v>
      </c>
      <c r="N100" s="13">
        <f>IF(C100="","",'Tabla_Puntual&amp;Relacionamiento'!$E$43)</f>
        <v>0.10249999999999999</v>
      </c>
      <c r="O100" s="183"/>
      <c r="P100" s="137">
        <f t="shared" si="18"/>
        <v>15886.376110216679</v>
      </c>
      <c r="Q100" s="137">
        <f t="shared" si="20"/>
        <v>1293493.4976147234</v>
      </c>
      <c r="R100" s="37">
        <f t="shared" si="12"/>
        <v>1</v>
      </c>
      <c r="S100" s="137"/>
      <c r="T100" s="137"/>
      <c r="Z100" s="63"/>
      <c r="AA100" s="35">
        <f t="shared" si="15"/>
        <v>15772.274183145479</v>
      </c>
      <c r="AB100" s="63">
        <f>IF(OR(Q100="",Q100&lt;=0.01),"",IF(SUM($F$23:F100)=Simul_ConstruRemo!$I$26,1,0))</f>
        <v>1</v>
      </c>
      <c r="AC100">
        <f t="shared" si="21"/>
        <v>73</v>
      </c>
      <c r="AD100" s="147">
        <f t="shared" si="22"/>
        <v>72</v>
      </c>
      <c r="AF100" t="str">
        <f t="shared" si="14"/>
        <v>Obra Concluida</v>
      </c>
      <c r="AI100">
        <f>IF(SUM($F$23:F99)&gt;=$K$9,1,0)</f>
        <v>1</v>
      </c>
    </row>
    <row r="101" spans="3:35" x14ac:dyDescent="0.25">
      <c r="C101" s="37">
        <f>IFERROR(IF(Q100&lt;=0.01,"",IF(C100+1&gt;Simul_ConstruRemo!$BN$11,"",C100+1)),"")</f>
        <v>79</v>
      </c>
      <c r="D101" s="37" t="str">
        <f>IF(C101&gt;Simul_ConstruRemo!$I$19,"",IF(Simul_ConstruRemo!I139=100%,"",IFERROR(VLOOKUP(C101,Simul_ConstruRemo!$AX$61:$AY$64,2,0),D100)))</f>
        <v/>
      </c>
      <c r="E101" s="136">
        <f>IF(C101="","",IF(AF101="Ministración",Simul_ConstruRemo!BM137,1))</f>
        <v>1</v>
      </c>
      <c r="F101" s="35">
        <f t="shared" si="11"/>
        <v>0</v>
      </c>
      <c r="G101" s="137">
        <f t="shared" si="19"/>
        <v>1293493.4976147234</v>
      </c>
      <c r="H101" s="137">
        <f t="shared" si="16"/>
        <v>14490</v>
      </c>
      <c r="I101" s="137">
        <f t="shared" si="17"/>
        <v>3441.4097078742398</v>
      </c>
      <c r="J101" s="137">
        <f t="shared" si="13"/>
        <v>11048.59029212576</v>
      </c>
      <c r="K101" s="137">
        <f>IF(C101="","",IF(Simul_ConstruRemo!$I$10=Simul_ConstruRemo!$BV$6,(Simul_ConstruRemo!$I$16*0.7+Simul_ConstruRemo!$I$17*0.5),Simul_ConstruRemo!$CO$27))</f>
        <v>2606295</v>
      </c>
      <c r="L101" s="137">
        <f>IFERROR(Q101*Simul_ConstruRemo!$BP$30/1000,"")</f>
        <v>567.62291867901365</v>
      </c>
      <c r="M101" s="137">
        <f>IFERROR(IF($E$7="Remodelación",K101*Simul_ConstruRemo!$BS$29,
IF(E101=1,MAX(K101,Q101)*Simul_ConstruRemo!$BS$29,K101*Simul_ConstruRemo!$BQ$29)),"")</f>
        <v>827.2389712662</v>
      </c>
      <c r="N101" s="13">
        <f>IF(C101="","",'Tabla_Puntual&amp;Relacionamiento'!$E$43)</f>
        <v>0.10249999999999999</v>
      </c>
      <c r="O101" s="183"/>
      <c r="P101" s="137">
        <f t="shared" si="18"/>
        <v>15884.861889945214</v>
      </c>
      <c r="Q101" s="137">
        <f t="shared" si="20"/>
        <v>1290052.0879068491</v>
      </c>
      <c r="R101" s="37">
        <f t="shared" si="12"/>
        <v>1</v>
      </c>
      <c r="S101" s="137"/>
      <c r="T101" s="137"/>
      <c r="Z101" s="63"/>
      <c r="AA101" s="35">
        <f t="shared" si="15"/>
        <v>15770.759962874014</v>
      </c>
      <c r="AB101" s="63">
        <f>IF(OR(Q101="",Q101&lt;=0.01),"",IF(SUM($F$23:F101)=Simul_ConstruRemo!$I$26,1,0))</f>
        <v>1</v>
      </c>
      <c r="AC101">
        <f t="shared" si="21"/>
        <v>74</v>
      </c>
      <c r="AD101" s="147">
        <f t="shared" si="22"/>
        <v>73</v>
      </c>
      <c r="AF101" t="str">
        <f t="shared" si="14"/>
        <v>Obra Concluida</v>
      </c>
      <c r="AI101">
        <f>IF(SUM($F$23:F100)&gt;=$K$9,1,0)</f>
        <v>1</v>
      </c>
    </row>
    <row r="102" spans="3:35" x14ac:dyDescent="0.25">
      <c r="C102" s="37">
        <f>IFERROR(IF(Q101&lt;=0.01,"",IF(C101+1&gt;Simul_ConstruRemo!$BN$11,"",C101+1)),"")</f>
        <v>80</v>
      </c>
      <c r="D102" s="37" t="str">
        <f>IF(C102&gt;Simul_ConstruRemo!$I$19,"",IF(Simul_ConstruRemo!I140=100%,"",IFERROR(VLOOKUP(C102,Simul_ConstruRemo!$AX$61:$AY$64,2,0),D101)))</f>
        <v/>
      </c>
      <c r="E102" s="136">
        <f>IF(C102="","",IF(AF102="Ministración",Simul_ConstruRemo!BM138,1))</f>
        <v>1</v>
      </c>
      <c r="F102" s="35">
        <f t="shared" si="11"/>
        <v>0</v>
      </c>
      <c r="G102" s="137">
        <f t="shared" si="19"/>
        <v>1290052.0879068491</v>
      </c>
      <c r="H102" s="137">
        <f t="shared" si="16"/>
        <v>14490</v>
      </c>
      <c r="I102" s="137">
        <f t="shared" si="17"/>
        <v>3470.8050824623297</v>
      </c>
      <c r="J102" s="137">
        <f t="shared" si="13"/>
        <v>11019.19491753767</v>
      </c>
      <c r="K102" s="137">
        <f>IF(C102="","",IF(Simul_ConstruRemo!$I$10=Simul_ConstruRemo!$BV$6,(Simul_ConstruRemo!$I$16*0.7+Simul_ConstruRemo!$I$17*0.5),Simul_ConstruRemo!$CO$27))</f>
        <v>2606295</v>
      </c>
      <c r="L102" s="137">
        <f>IFERROR(Q102*Simul_ConstruRemo!$BP$30/1000,"")</f>
        <v>566.09576444273023</v>
      </c>
      <c r="M102" s="137">
        <f>IFERROR(IF($E$7="Remodelación",K102*Simul_ConstruRemo!$BS$29,
IF(E102=1,MAX(K102,Q102)*Simul_ConstruRemo!$BS$29,K102*Simul_ConstruRemo!$BQ$29)),"")</f>
        <v>827.2389712662</v>
      </c>
      <c r="N102" s="13">
        <f>IF(C102="","",'Tabla_Puntual&amp;Relacionamiento'!$E$43)</f>
        <v>0.10249999999999999</v>
      </c>
      <c r="O102" s="183"/>
      <c r="P102" s="137">
        <f t="shared" si="18"/>
        <v>15883.334735708931</v>
      </c>
      <c r="Q102" s="137">
        <f t="shared" si="20"/>
        <v>1286581.2828243868</v>
      </c>
      <c r="R102" s="37">
        <f t="shared" si="12"/>
        <v>1</v>
      </c>
      <c r="S102" s="137"/>
      <c r="T102" s="137"/>
      <c r="Z102" s="63"/>
      <c r="AA102" s="35">
        <f t="shared" si="15"/>
        <v>15769.232808637731</v>
      </c>
      <c r="AB102" s="63">
        <f>IF(OR(Q102="",Q102&lt;=0.01),"",IF(SUM($F$23:F102)=Simul_ConstruRemo!$I$26,1,0))</f>
        <v>1</v>
      </c>
      <c r="AC102">
        <f t="shared" si="21"/>
        <v>75</v>
      </c>
      <c r="AD102" s="147">
        <f t="shared" si="22"/>
        <v>74</v>
      </c>
      <c r="AF102" t="str">
        <f t="shared" si="14"/>
        <v>Obra Concluida</v>
      </c>
      <c r="AI102">
        <f>IF(SUM($F$23:F101)&gt;=$K$9,1,0)</f>
        <v>1</v>
      </c>
    </row>
    <row r="103" spans="3:35" x14ac:dyDescent="0.25">
      <c r="C103" s="37">
        <f>IFERROR(IF(Q102&lt;=0.01,"",IF(C102+1&gt;Simul_ConstruRemo!$BN$11,"",C102+1)),"")</f>
        <v>81</v>
      </c>
      <c r="D103" s="37" t="str">
        <f>IF(C103&gt;Simul_ConstruRemo!$I$19,"",IF(Simul_ConstruRemo!I141=100%,"",IFERROR(VLOOKUP(C103,Simul_ConstruRemo!$AX$61:$AY$64,2,0),D102)))</f>
        <v/>
      </c>
      <c r="E103" s="136">
        <f>IF(C103="","",IF(AF103="Ministración",Simul_ConstruRemo!BM139,1))</f>
        <v>1</v>
      </c>
      <c r="F103" s="35">
        <f t="shared" si="11"/>
        <v>0</v>
      </c>
      <c r="G103" s="137">
        <f t="shared" si="19"/>
        <v>1286581.2828243868</v>
      </c>
      <c r="H103" s="137">
        <f t="shared" si="16"/>
        <v>14490</v>
      </c>
      <c r="I103" s="137">
        <f t="shared" si="17"/>
        <v>3500.4515425416976</v>
      </c>
      <c r="J103" s="137">
        <f t="shared" si="13"/>
        <v>10989.548457458302</v>
      </c>
      <c r="K103" s="137">
        <f>IF(C103="","",IF(Simul_ConstruRemo!$I$10=Simul_ConstruRemo!$BV$6,(Simul_ConstruRemo!$I$16*0.7+Simul_ConstruRemo!$I$17*0.5),Simul_ConstruRemo!$CO$27))</f>
        <v>2606295</v>
      </c>
      <c r="L103" s="137">
        <f>IFERROR(Q103*Simul_ConstruRemo!$BP$30/1000,"")</f>
        <v>564.55556576401193</v>
      </c>
      <c r="M103" s="137">
        <f>IFERROR(IF($E$7="Remodelación",K103*Simul_ConstruRemo!$BS$29,
IF(E103=1,MAX(K103,Q103)*Simul_ConstruRemo!$BS$29,K103*Simul_ConstruRemo!$BQ$29)),"")</f>
        <v>827.2389712662</v>
      </c>
      <c r="N103" s="13">
        <f>IF(C103="","",'Tabla_Puntual&amp;Relacionamiento'!$E$43)</f>
        <v>0.10249999999999999</v>
      </c>
      <c r="O103" s="183"/>
      <c r="P103" s="137">
        <f t="shared" si="18"/>
        <v>15881.794537030213</v>
      </c>
      <c r="Q103" s="137">
        <f t="shared" si="20"/>
        <v>1283080.8312818452</v>
      </c>
      <c r="R103" s="37">
        <f t="shared" si="12"/>
        <v>1</v>
      </c>
      <c r="S103" s="137"/>
      <c r="T103" s="137"/>
      <c r="Z103" s="63"/>
      <c r="AA103" s="35">
        <f t="shared" si="15"/>
        <v>15767.692609959013</v>
      </c>
      <c r="AB103" s="63">
        <f>IF(OR(Q103="",Q103&lt;=0.01),"",IF(SUM($F$23:F103)=Simul_ConstruRemo!$I$26,1,0))</f>
        <v>1</v>
      </c>
      <c r="AC103">
        <f t="shared" si="21"/>
        <v>76</v>
      </c>
      <c r="AD103" s="147">
        <f t="shared" si="22"/>
        <v>75</v>
      </c>
      <c r="AF103" t="str">
        <f t="shared" si="14"/>
        <v>Obra Concluida</v>
      </c>
      <c r="AI103">
        <f>IF(SUM($F$23:F102)&gt;=$K$9,1,0)</f>
        <v>1</v>
      </c>
    </row>
    <row r="104" spans="3:35" x14ac:dyDescent="0.25">
      <c r="C104" s="37">
        <f>IFERROR(IF(Q103&lt;=0.01,"",IF(C103+1&gt;Simul_ConstruRemo!$BN$11,"",C103+1)),"")</f>
        <v>82</v>
      </c>
      <c r="D104" s="37" t="str">
        <f>IF(C104&gt;Simul_ConstruRemo!$I$19,"",IF(Simul_ConstruRemo!I142=100%,"",IFERROR(VLOOKUP(C104,Simul_ConstruRemo!$AX$61:$AY$64,2,0),D103)))</f>
        <v/>
      </c>
      <c r="E104" s="136">
        <f>IF(C104="","",IF(AF104="Ministración",Simul_ConstruRemo!BM140,1))</f>
        <v>1</v>
      </c>
      <c r="F104" s="35">
        <f t="shared" si="11"/>
        <v>0</v>
      </c>
      <c r="G104" s="137">
        <f t="shared" si="19"/>
        <v>1283080.8312818452</v>
      </c>
      <c r="H104" s="137">
        <f t="shared" si="16"/>
        <v>14490</v>
      </c>
      <c r="I104" s="137">
        <f t="shared" si="17"/>
        <v>3530.3512328009074</v>
      </c>
      <c r="J104" s="137">
        <f t="shared" si="13"/>
        <v>10959.648767199093</v>
      </c>
      <c r="K104" s="137">
        <f>IF(C104="","",IF(Simul_ConstruRemo!$I$10=Simul_ConstruRemo!$BV$6,(Simul_ConstruRemo!$I$16*0.7+Simul_ConstruRemo!$I$17*0.5),Simul_ConstruRemo!$CO$27))</f>
        <v>2606295</v>
      </c>
      <c r="L104" s="137">
        <f>IFERROR(Q104*Simul_ConstruRemo!$BP$30/1000,"")</f>
        <v>563.00221122157961</v>
      </c>
      <c r="M104" s="137">
        <f>IFERROR(IF($E$7="Remodelación",K104*Simul_ConstruRemo!$BS$29,
IF(E104=1,MAX(K104,Q104)*Simul_ConstruRemo!$BS$29,K104*Simul_ConstruRemo!$BQ$29)),"")</f>
        <v>827.2389712662</v>
      </c>
      <c r="N104" s="13">
        <f>IF(C104="","",'Tabla_Puntual&amp;Relacionamiento'!$E$43)</f>
        <v>0.10249999999999999</v>
      </c>
      <c r="O104" s="183"/>
      <c r="P104" s="137">
        <f t="shared" si="18"/>
        <v>15880.24118248778</v>
      </c>
      <c r="Q104" s="137">
        <f t="shared" si="20"/>
        <v>1279550.4800490444</v>
      </c>
      <c r="R104" s="37">
        <f t="shared" si="12"/>
        <v>1</v>
      </c>
      <c r="S104" s="137"/>
      <c r="T104" s="137"/>
      <c r="Z104" s="63"/>
      <c r="AA104" s="35">
        <f t="shared" si="15"/>
        <v>15766.13925541658</v>
      </c>
      <c r="AB104" s="63">
        <f>IF(OR(Q104="",Q104&lt;=0.01),"",IF(SUM($F$23:F104)=Simul_ConstruRemo!$I$26,1,0))</f>
        <v>1</v>
      </c>
      <c r="AC104">
        <f t="shared" si="21"/>
        <v>77</v>
      </c>
      <c r="AD104" s="147">
        <f t="shared" si="22"/>
        <v>76</v>
      </c>
      <c r="AF104" t="str">
        <f t="shared" si="14"/>
        <v>Obra Concluida</v>
      </c>
      <c r="AI104">
        <f>IF(SUM($F$23:F103)&gt;=$K$9,1,0)</f>
        <v>1</v>
      </c>
    </row>
    <row r="105" spans="3:35" x14ac:dyDescent="0.25">
      <c r="C105" s="37">
        <f>IFERROR(IF(Q104&lt;=0.01,"",IF(C104+1&gt;Simul_ConstruRemo!$BN$11,"",C104+1)),"")</f>
        <v>83</v>
      </c>
      <c r="D105" s="37" t="str">
        <f>IF(C105&gt;Simul_ConstruRemo!$I$19,"",IF(Simul_ConstruRemo!I143=100%,"",IFERROR(VLOOKUP(C105,Simul_ConstruRemo!$AX$61:$AY$64,2,0),D104)))</f>
        <v/>
      </c>
      <c r="E105" s="136">
        <f>IF(C105="","",IF(AF105="Ministración",Simul_ConstruRemo!BM141,1))</f>
        <v>1</v>
      </c>
      <c r="F105" s="35">
        <f t="shared" si="11"/>
        <v>0</v>
      </c>
      <c r="G105" s="137">
        <f t="shared" si="19"/>
        <v>1279550.4800490444</v>
      </c>
      <c r="H105" s="137">
        <f t="shared" si="16"/>
        <v>14490</v>
      </c>
      <c r="I105" s="137">
        <f t="shared" si="17"/>
        <v>3560.5063162477472</v>
      </c>
      <c r="J105" s="137">
        <f t="shared" si="13"/>
        <v>10929.493683752253</v>
      </c>
      <c r="K105" s="137">
        <f>IF(C105="","",IF(Simul_ConstruRemo!$I$10=Simul_ConstruRemo!$BV$6,(Simul_ConstruRemo!$I$16*0.7+Simul_ConstruRemo!$I$17*0.5),Simul_ConstruRemo!$CO$27))</f>
        <v>2606295</v>
      </c>
      <c r="L105" s="137">
        <f>IFERROR(Q105*Simul_ConstruRemo!$BP$30/1000,"")</f>
        <v>561.43558844243046</v>
      </c>
      <c r="M105" s="137">
        <f>IFERROR(IF($E$7="Remodelación",K105*Simul_ConstruRemo!$BS$29,
IF(E105=1,MAX(K105,Q105)*Simul_ConstruRemo!$BS$29,K105*Simul_ConstruRemo!$BQ$29)),"")</f>
        <v>827.2389712662</v>
      </c>
      <c r="N105" s="13">
        <f>IF(C105="","",'Tabla_Puntual&amp;Relacionamiento'!$E$43)</f>
        <v>0.10249999999999999</v>
      </c>
      <c r="O105" s="183"/>
      <c r="P105" s="137">
        <f t="shared" si="18"/>
        <v>15878.674559708632</v>
      </c>
      <c r="Q105" s="137">
        <f t="shared" si="20"/>
        <v>1275989.9737327965</v>
      </c>
      <c r="R105" s="37">
        <f t="shared" si="12"/>
        <v>1</v>
      </c>
      <c r="S105" s="137"/>
      <c r="T105" s="137"/>
      <c r="Z105" s="63"/>
      <c r="AA105" s="35">
        <f t="shared" si="15"/>
        <v>15764.572632637432</v>
      </c>
      <c r="AB105" s="63">
        <f>IF(OR(Q105="",Q105&lt;=0.01),"",IF(SUM($F$23:F105)=Simul_ConstruRemo!$I$26,1,0))</f>
        <v>1</v>
      </c>
      <c r="AC105">
        <f t="shared" si="21"/>
        <v>78</v>
      </c>
      <c r="AD105" s="147">
        <f t="shared" si="22"/>
        <v>77</v>
      </c>
      <c r="AF105" t="str">
        <f t="shared" ref="AF105:AF136" si="23">IF(C105="","","Obra Concluida")</f>
        <v>Obra Concluida</v>
      </c>
      <c r="AI105">
        <f>IF(SUM($F$23:F104)&gt;=$K$9,1,0)</f>
        <v>1</v>
      </c>
    </row>
    <row r="106" spans="3:35" x14ac:dyDescent="0.25">
      <c r="C106" s="37">
        <f>IFERROR(IF(Q105&lt;=0.01,"",IF(C105+1&gt;Simul_ConstruRemo!$BN$11,"",C105+1)),"")</f>
        <v>84</v>
      </c>
      <c r="D106" s="37" t="str">
        <f>IF(C106&gt;Simul_ConstruRemo!$I$19,"",IF(Simul_ConstruRemo!I144=100%,"",IFERROR(VLOOKUP(C106,Simul_ConstruRemo!$AX$61:$AY$64,2,0),D105)))</f>
        <v/>
      </c>
      <c r="E106" s="136">
        <f>IF(C106="","",IF(AF106="Ministración",Simul_ConstruRemo!BM142,1))</f>
        <v>1</v>
      </c>
      <c r="F106" s="35">
        <f t="shared" ref="F106:F169" si="24">IF(C106="","",IF(AF105="Obra Concluida",0,0))</f>
        <v>0</v>
      </c>
      <c r="G106" s="137">
        <f t="shared" si="19"/>
        <v>1275989.9737327965</v>
      </c>
      <c r="H106" s="137">
        <f t="shared" si="16"/>
        <v>14490</v>
      </c>
      <c r="I106" s="137">
        <f t="shared" si="17"/>
        <v>3590.9189743656971</v>
      </c>
      <c r="J106" s="137">
        <f t="shared" si="13"/>
        <v>10899.081025634303</v>
      </c>
      <c r="K106" s="137">
        <f>IF(C106="","",IF(Simul_ConstruRemo!$I$10=Simul_ConstruRemo!$BV$6,(Simul_ConstruRemo!$I$16*0.7+Simul_ConstruRemo!$I$17*0.5),Simul_ConstruRemo!$CO$27))</f>
        <v>2606295</v>
      </c>
      <c r="L106" s="137">
        <f>IFERROR(Q106*Simul_ConstruRemo!$BP$30/1000,"")</f>
        <v>559.85558409370947</v>
      </c>
      <c r="M106" s="137">
        <f>IFERROR(IF($E$7="Remodelación",K106*Simul_ConstruRemo!$BS$29,
IF(E106=1,MAX(K106,Q106)*Simul_ConstruRemo!$BS$29,K106*Simul_ConstruRemo!$BQ$29)),"")</f>
        <v>827.2389712662</v>
      </c>
      <c r="N106" s="13">
        <f>IF(C106="","",'Tabla_Puntual&amp;Relacionamiento'!$E$43)</f>
        <v>0.10249999999999999</v>
      </c>
      <c r="O106" s="183"/>
      <c r="P106" s="137">
        <f t="shared" si="18"/>
        <v>15877.09455535991</v>
      </c>
      <c r="Q106" s="137">
        <f t="shared" si="20"/>
        <v>1272399.0547584307</v>
      </c>
      <c r="R106" s="37">
        <f t="shared" ref="R106:R169" si="25">IF(C106="","",1)</f>
        <v>1</v>
      </c>
      <c r="S106" s="137"/>
      <c r="T106" s="137"/>
      <c r="Z106" s="63"/>
      <c r="AA106" s="35">
        <f t="shared" si="15"/>
        <v>15762.99262828871</v>
      </c>
      <c r="AB106" s="63">
        <f>IF(OR(Q106="",Q106&lt;=0.01),"",IF(SUM($F$23:F106)=Simul_ConstruRemo!$I$26,1,0))</f>
        <v>1</v>
      </c>
      <c r="AC106">
        <f t="shared" si="21"/>
        <v>79</v>
      </c>
      <c r="AD106" s="147">
        <f t="shared" si="22"/>
        <v>78</v>
      </c>
      <c r="AF106" t="str">
        <f t="shared" si="23"/>
        <v>Obra Concluida</v>
      </c>
      <c r="AI106">
        <f>IF(SUM($F$23:F105)&gt;=$K$9,1,0)</f>
        <v>1</v>
      </c>
    </row>
    <row r="107" spans="3:35" x14ac:dyDescent="0.25">
      <c r="C107" s="37">
        <f>IFERROR(IF(Q106&lt;=0.01,"",IF(C106+1&gt;Simul_ConstruRemo!$BN$11,"",C106+1)),"")</f>
        <v>85</v>
      </c>
      <c r="D107" s="37" t="str">
        <f>IF(C107&gt;Simul_ConstruRemo!$I$19,"",IF(Simul_ConstruRemo!I145=100%,"",IFERROR(VLOOKUP(C107,Simul_ConstruRemo!$AX$61:$AY$64,2,0),D106)))</f>
        <v/>
      </c>
      <c r="E107" s="136">
        <f>IF(C107="","",IF(AF107="Ministración",Simul_ConstruRemo!BM143,1))</f>
        <v>1</v>
      </c>
      <c r="F107" s="35">
        <f t="shared" si="24"/>
        <v>0</v>
      </c>
      <c r="G107" s="137">
        <f t="shared" si="19"/>
        <v>1272399.0547584307</v>
      </c>
      <c r="H107" s="137">
        <f t="shared" si="16"/>
        <v>14490</v>
      </c>
      <c r="I107" s="137">
        <f t="shared" si="17"/>
        <v>3621.5914072717387</v>
      </c>
      <c r="J107" s="137">
        <f t="shared" ref="J107:J170" si="26">IF(C107="","",IF(Q106*(N107/12)&lt;0,"",Q106*N107/12))</f>
        <v>10868.408592728261</v>
      </c>
      <c r="K107" s="137">
        <f>IF(C107="","",IF(Simul_ConstruRemo!$I$10=Simul_ConstruRemo!$BV$6,(Simul_ConstruRemo!$I$16*0.7+Simul_ConstruRemo!$I$17*0.5),Simul_ConstruRemo!$CO$27))</f>
        <v>2606295</v>
      </c>
      <c r="L107" s="137">
        <f>IFERROR(Q107*Simul_ConstruRemo!$BP$30/1000,"")</f>
        <v>558.26208387450993</v>
      </c>
      <c r="M107" s="137">
        <f>IFERROR(IF($E$7="Remodelación",K107*Simul_ConstruRemo!$BS$29,
IF(E107=1,MAX(K107,Q107)*Simul_ConstruRemo!$BS$29,K107*Simul_ConstruRemo!$BQ$29)),"")</f>
        <v>827.2389712662</v>
      </c>
      <c r="N107" s="13">
        <f>IF(C107="","",'Tabla_Puntual&amp;Relacionamiento'!$E$44)</f>
        <v>0.10249999999999999</v>
      </c>
      <c r="O107" s="183"/>
      <c r="P107" s="137">
        <f t="shared" si="18"/>
        <v>15875.50105514071</v>
      </c>
      <c r="Q107" s="137">
        <f t="shared" si="20"/>
        <v>1268777.4633511589</v>
      </c>
      <c r="R107" s="37">
        <f t="shared" si="25"/>
        <v>1</v>
      </c>
      <c r="S107" s="137"/>
      <c r="T107" s="137"/>
      <c r="Z107" s="63"/>
      <c r="AA107" s="35">
        <f t="shared" si="15"/>
        <v>15761.39912806951</v>
      </c>
      <c r="AB107" s="63">
        <f>IF(OR(Q107="",Q107&lt;=0.01),"",IF(SUM($F$23:F107)=Simul_ConstruRemo!$I$26,1,0))</f>
        <v>1</v>
      </c>
      <c r="AC107">
        <f t="shared" si="21"/>
        <v>80</v>
      </c>
      <c r="AD107" s="147">
        <f t="shared" si="22"/>
        <v>79</v>
      </c>
      <c r="AF107" t="str">
        <f t="shared" si="23"/>
        <v>Obra Concluida</v>
      </c>
      <c r="AI107">
        <f>IF(SUM($F$23:F106)&gt;=$K$9,1,0)</f>
        <v>1</v>
      </c>
    </row>
    <row r="108" spans="3:35" x14ac:dyDescent="0.25">
      <c r="C108" s="37">
        <f>IFERROR(IF(Q107&lt;=0.01,"",IF(C107+1&gt;Simul_ConstruRemo!$BN$11,"",C107+1)),"")</f>
        <v>86</v>
      </c>
      <c r="D108" s="37" t="str">
        <f>IF(C108&gt;Simul_ConstruRemo!$I$19,"",IF(Simul_ConstruRemo!I146=100%,"",IFERROR(VLOOKUP(C108,Simul_ConstruRemo!$AX$61:$AY$64,2,0),D107)))</f>
        <v/>
      </c>
      <c r="E108" s="136">
        <f>IF(C108="","",IF(AF108="Ministración",Simul_ConstruRemo!BM144,1))</f>
        <v>1</v>
      </c>
      <c r="F108" s="35">
        <f t="shared" si="24"/>
        <v>0</v>
      </c>
      <c r="G108" s="137">
        <f t="shared" si="19"/>
        <v>1268777.4633511589</v>
      </c>
      <c r="H108" s="137">
        <f t="shared" si="16"/>
        <v>14490</v>
      </c>
      <c r="I108" s="137">
        <f t="shared" si="17"/>
        <v>3652.5258338755175</v>
      </c>
      <c r="J108" s="137">
        <f t="shared" si="26"/>
        <v>10837.474166124483</v>
      </c>
      <c r="K108" s="137">
        <f>IF(C108="","",IF(Simul_ConstruRemo!$I$10=Simul_ConstruRemo!$BV$6,(Simul_ConstruRemo!$I$16*0.7+Simul_ConstruRemo!$I$17*0.5),Simul_ConstruRemo!$CO$27))</f>
        <v>2606295</v>
      </c>
      <c r="L108" s="137">
        <f>IFERROR(Q108*Simul_ConstruRemo!$BP$30/1000,"")</f>
        <v>556.65497250760473</v>
      </c>
      <c r="M108" s="137">
        <f>IFERROR(IF($E$7="Remodelación",K108*Simul_ConstruRemo!$BS$29,
IF(E108=1,MAX(K108,Q108)*Simul_ConstruRemo!$BS$29,K108*Simul_ConstruRemo!$BQ$29)),"")</f>
        <v>827.2389712662</v>
      </c>
      <c r="N108" s="13">
        <f>IF(C108="","",'Tabla_Puntual&amp;Relacionamiento'!$E$44)</f>
        <v>0.10249999999999999</v>
      </c>
      <c r="O108" s="183"/>
      <c r="P108" s="137">
        <f t="shared" si="18"/>
        <v>15873.893943773804</v>
      </c>
      <c r="Q108" s="137">
        <f t="shared" si="20"/>
        <v>1265124.9375172835</v>
      </c>
      <c r="R108" s="37">
        <f t="shared" si="25"/>
        <v>1</v>
      </c>
      <c r="S108" s="137"/>
      <c r="T108" s="137"/>
      <c r="Z108" s="63"/>
      <c r="AA108" s="35">
        <f t="shared" si="15"/>
        <v>15759.792016702604</v>
      </c>
      <c r="AB108" s="63">
        <f>IF(OR(Q108="",Q108&lt;=0.01),"",IF(SUM($F$23:F108)=Simul_ConstruRemo!$I$26,1,0))</f>
        <v>1</v>
      </c>
      <c r="AC108">
        <f t="shared" si="21"/>
        <v>81</v>
      </c>
      <c r="AD108" s="147">
        <f t="shared" si="22"/>
        <v>80</v>
      </c>
      <c r="AF108" t="str">
        <f t="shared" si="23"/>
        <v>Obra Concluida</v>
      </c>
      <c r="AI108">
        <f>IF(SUM($F$23:F107)&gt;=$K$9,1,0)</f>
        <v>1</v>
      </c>
    </row>
    <row r="109" spans="3:35" x14ac:dyDescent="0.25">
      <c r="C109" s="37">
        <f>IFERROR(IF(Q108&lt;=0.01,"",IF(C108+1&gt;Simul_ConstruRemo!$BN$11,"",C108+1)),"")</f>
        <v>87</v>
      </c>
      <c r="D109" s="37" t="str">
        <f>IF(C109&gt;Simul_ConstruRemo!$I$19,"",IF(Simul_ConstruRemo!I147=100%,"",IFERROR(VLOOKUP(C109,Simul_ConstruRemo!$AX$61:$AY$64,2,0),D108)))</f>
        <v/>
      </c>
      <c r="E109" s="136">
        <f>IF(C109="","",IF(AF109="Ministración",Simul_ConstruRemo!BM145,1))</f>
        <v>1</v>
      </c>
      <c r="F109" s="35">
        <f t="shared" si="24"/>
        <v>0</v>
      </c>
      <c r="G109" s="137">
        <f t="shared" si="19"/>
        <v>1265124.9375172835</v>
      </c>
      <c r="H109" s="137">
        <f t="shared" si="16"/>
        <v>14490</v>
      </c>
      <c r="I109" s="137">
        <f t="shared" si="17"/>
        <v>3683.7244920398716</v>
      </c>
      <c r="J109" s="137">
        <f t="shared" si="26"/>
        <v>10806.275507960128</v>
      </c>
      <c r="K109" s="137">
        <f>IF(C109="","",IF(Simul_ConstruRemo!$I$10=Simul_ConstruRemo!$BV$6,(Simul_ConstruRemo!$I$16*0.7+Simul_ConstruRemo!$I$17*0.5),Simul_ConstruRemo!$CO$27))</f>
        <v>2606295</v>
      </c>
      <c r="L109" s="137">
        <f>IFERROR(Q109*Simul_ConstruRemo!$BP$30/1000,"")</f>
        <v>555.0341337311072</v>
      </c>
      <c r="M109" s="137">
        <f>IFERROR(IF($E$7="Remodelación",K109*Simul_ConstruRemo!$BS$29,
IF(E109=1,MAX(K109,Q109)*Simul_ConstruRemo!$BS$29,K109*Simul_ConstruRemo!$BQ$29)),"")</f>
        <v>827.2389712662</v>
      </c>
      <c r="N109" s="13">
        <f>IF(C109="","",'Tabla_Puntual&amp;Relacionamiento'!$E$44)</f>
        <v>0.10249999999999999</v>
      </c>
      <c r="O109" s="183"/>
      <c r="P109" s="137">
        <f t="shared" si="18"/>
        <v>15872.273104997308</v>
      </c>
      <c r="Q109" s="137">
        <f t="shared" si="20"/>
        <v>1261441.2130252437</v>
      </c>
      <c r="R109" s="37">
        <f t="shared" si="25"/>
        <v>1</v>
      </c>
      <c r="S109" s="137"/>
      <c r="T109" s="137"/>
      <c r="Z109" s="63"/>
      <c r="AA109" s="35">
        <f t="shared" si="15"/>
        <v>15758.171177926108</v>
      </c>
      <c r="AB109" s="63">
        <f>IF(OR(Q109="",Q109&lt;=0.01),"",IF(SUM($F$23:F109)=Simul_ConstruRemo!$I$26,1,0))</f>
        <v>1</v>
      </c>
      <c r="AC109">
        <f t="shared" si="21"/>
        <v>82</v>
      </c>
      <c r="AD109" s="147">
        <f t="shared" si="22"/>
        <v>81</v>
      </c>
      <c r="AF109" t="str">
        <f t="shared" si="23"/>
        <v>Obra Concluida</v>
      </c>
      <c r="AI109">
        <f>IF(SUM($F$23:F108)&gt;=$K$9,1,0)</f>
        <v>1</v>
      </c>
    </row>
    <row r="110" spans="3:35" x14ac:dyDescent="0.25">
      <c r="C110" s="37">
        <f>IFERROR(IF(Q109&lt;=0.01,"",IF(C109+1&gt;Simul_ConstruRemo!$BN$11,"",C109+1)),"")</f>
        <v>88</v>
      </c>
      <c r="D110" s="37" t="str">
        <f>IF(C110&gt;Simul_ConstruRemo!$I$19,"",IF(Simul_ConstruRemo!I148=100%,"",IFERROR(VLOOKUP(C110,Simul_ConstruRemo!$AX$61:$AY$64,2,0),D109)))</f>
        <v/>
      </c>
      <c r="E110" s="136">
        <f>IF(C110="","",IF(AF110="Ministración",Simul_ConstruRemo!BM146,1))</f>
        <v>1</v>
      </c>
      <c r="F110" s="35">
        <f t="shared" si="24"/>
        <v>0</v>
      </c>
      <c r="G110" s="137">
        <f t="shared" si="19"/>
        <v>1261441.2130252437</v>
      </c>
      <c r="H110" s="137">
        <f t="shared" si="16"/>
        <v>14490</v>
      </c>
      <c r="I110" s="137">
        <f t="shared" si="17"/>
        <v>3715.1896387427096</v>
      </c>
      <c r="J110" s="137">
        <f t="shared" si="26"/>
        <v>10774.81036125729</v>
      </c>
      <c r="K110" s="137">
        <f>IF(C110="","",IF(Simul_ConstruRemo!$I$10=Simul_ConstruRemo!$BV$6,(Simul_ConstruRemo!$I$16*0.7+Simul_ConstruRemo!$I$17*0.5),Simul_ConstruRemo!$CO$27))</f>
        <v>2606295</v>
      </c>
      <c r="L110" s="137">
        <f>IFERROR(Q110*Simul_ConstruRemo!$BP$30/1000,"")</f>
        <v>553.39945029006049</v>
      </c>
      <c r="M110" s="137">
        <f>IFERROR(IF($E$7="Remodelación",K110*Simul_ConstruRemo!$BS$29,
IF(E110=1,MAX(K110,Q110)*Simul_ConstruRemo!$BS$29,K110*Simul_ConstruRemo!$BQ$29)),"")</f>
        <v>827.2389712662</v>
      </c>
      <c r="N110" s="13">
        <f>IF(C110="","",'Tabla_Puntual&amp;Relacionamiento'!$E$44)</f>
        <v>0.10249999999999999</v>
      </c>
      <c r="O110" s="183"/>
      <c r="P110" s="137">
        <f t="shared" si="18"/>
        <v>15870.638421556261</v>
      </c>
      <c r="Q110" s="137">
        <f t="shared" si="20"/>
        <v>1257726.023386501</v>
      </c>
      <c r="R110" s="37">
        <f t="shared" si="25"/>
        <v>1</v>
      </c>
      <c r="S110" s="137"/>
      <c r="T110" s="137"/>
      <c r="Z110" s="63"/>
      <c r="AA110" s="35">
        <f t="shared" si="15"/>
        <v>15756.536494485061</v>
      </c>
      <c r="AB110" s="63">
        <f>IF(OR(Q110="",Q110&lt;=0.01),"",IF(SUM($F$23:F110)=Simul_ConstruRemo!$I$26,1,0))</f>
        <v>1</v>
      </c>
      <c r="AC110">
        <f t="shared" si="21"/>
        <v>83</v>
      </c>
      <c r="AD110" s="147">
        <f t="shared" si="22"/>
        <v>82</v>
      </c>
      <c r="AF110" t="str">
        <f t="shared" si="23"/>
        <v>Obra Concluida</v>
      </c>
      <c r="AI110">
        <f>IF(SUM($F$23:F109)&gt;=$K$9,1,0)</f>
        <v>1</v>
      </c>
    </row>
    <row r="111" spans="3:35" x14ac:dyDescent="0.25">
      <c r="C111" s="37">
        <f>IFERROR(IF(Q110&lt;=0.01,"",IF(C110+1&gt;Simul_ConstruRemo!$BN$11,"",C110+1)),"")</f>
        <v>89</v>
      </c>
      <c r="D111" s="37" t="str">
        <f>IF(C111&gt;Simul_ConstruRemo!$I$19,"",IF(Simul_ConstruRemo!I149=100%,"",IFERROR(VLOOKUP(C111,Simul_ConstruRemo!$AX$61:$AY$64,2,0),D110)))</f>
        <v/>
      </c>
      <c r="E111" s="136">
        <f>IF(C111="","",IF(AF111="Ministración",Simul_ConstruRemo!BM147,1))</f>
        <v>1</v>
      </c>
      <c r="F111" s="35">
        <f t="shared" si="24"/>
        <v>0</v>
      </c>
      <c r="G111" s="137">
        <f t="shared" si="19"/>
        <v>1257726.023386501</v>
      </c>
      <c r="H111" s="137">
        <f t="shared" si="16"/>
        <v>14490</v>
      </c>
      <c r="I111" s="137">
        <f t="shared" si="17"/>
        <v>3746.9235502403044</v>
      </c>
      <c r="J111" s="137">
        <f t="shared" si="26"/>
        <v>10743.076449759696</v>
      </c>
      <c r="K111" s="137">
        <f>IF(C111="","",IF(Simul_ConstruRemo!$I$10=Simul_ConstruRemo!$BV$6,(Simul_ConstruRemo!$I$16*0.7+Simul_ConstruRemo!$I$17*0.5),Simul_ConstruRemo!$CO$27))</f>
        <v>2606295</v>
      </c>
      <c r="L111" s="137">
        <f>IFERROR(Q111*Simul_ConstruRemo!$BP$30/1000,"")</f>
        <v>551.75080392795473</v>
      </c>
      <c r="M111" s="137">
        <f>IFERROR(IF($E$7="Remodelación",K111*Simul_ConstruRemo!$BS$29,
IF(E111=1,MAX(K111,Q111)*Simul_ConstruRemo!$BS$29,K111*Simul_ConstruRemo!$BQ$29)),"")</f>
        <v>827.2389712662</v>
      </c>
      <c r="N111" s="13">
        <f>IF(C111="","",'Tabla_Puntual&amp;Relacionamiento'!$E$44)</f>
        <v>0.10249999999999999</v>
      </c>
      <c r="O111" s="183"/>
      <c r="P111" s="137">
        <f t="shared" si="18"/>
        <v>15868.989775194155</v>
      </c>
      <c r="Q111" s="137">
        <f t="shared" si="20"/>
        <v>1253979.0998362608</v>
      </c>
      <c r="R111" s="37">
        <f t="shared" si="25"/>
        <v>1</v>
      </c>
      <c r="S111" s="137"/>
      <c r="T111" s="137"/>
      <c r="Z111" s="63"/>
      <c r="AA111" s="35">
        <f t="shared" si="15"/>
        <v>15754.887848122955</v>
      </c>
      <c r="AB111" s="63">
        <f>IF(OR(Q111="",Q111&lt;=0.01),"",IF(SUM($F$23:F111)=Simul_ConstruRemo!$I$26,1,0))</f>
        <v>1</v>
      </c>
      <c r="AC111">
        <f t="shared" si="21"/>
        <v>84</v>
      </c>
      <c r="AD111" s="147">
        <f t="shared" si="22"/>
        <v>83</v>
      </c>
      <c r="AF111" t="str">
        <f t="shared" si="23"/>
        <v>Obra Concluida</v>
      </c>
      <c r="AI111">
        <f>IF(SUM($F$23:F110)&gt;=$K$9,1,0)</f>
        <v>1</v>
      </c>
    </row>
    <row r="112" spans="3:35" x14ac:dyDescent="0.25">
      <c r="C112" s="37">
        <f>IFERROR(IF(Q111&lt;=0.01,"",IF(C111+1&gt;Simul_ConstruRemo!$BN$11,"",C111+1)),"")</f>
        <v>90</v>
      </c>
      <c r="D112" s="37" t="str">
        <f>IF(C112&gt;Simul_ConstruRemo!$I$19,"",IF(Simul_ConstruRemo!I150=100%,"",IFERROR(VLOOKUP(C112,Simul_ConstruRemo!$AX$61:$AY$64,2,0),D111)))</f>
        <v/>
      </c>
      <c r="E112" s="136">
        <f>IF(C112="","",IF(AF112="Ministración",Simul_ConstruRemo!BM148,1))</f>
        <v>1</v>
      </c>
      <c r="F112" s="35">
        <f t="shared" si="24"/>
        <v>0</v>
      </c>
      <c r="G112" s="137">
        <f t="shared" si="19"/>
        <v>1253979.0998362608</v>
      </c>
      <c r="H112" s="137">
        <f t="shared" si="16"/>
        <v>14490</v>
      </c>
      <c r="I112" s="137">
        <f t="shared" si="17"/>
        <v>3778.9285222319395</v>
      </c>
      <c r="J112" s="137">
        <f t="shared" si="26"/>
        <v>10711.071477768061</v>
      </c>
      <c r="K112" s="137">
        <f>IF(C112="","",IF(Simul_ConstruRemo!$I$10=Simul_ConstruRemo!$BV$6,(Simul_ConstruRemo!$I$16*0.7+Simul_ConstruRemo!$I$17*0.5),Simul_ConstruRemo!$CO$27))</f>
        <v>2606295</v>
      </c>
      <c r="L112" s="137">
        <f>IFERROR(Q112*Simul_ConstruRemo!$BP$30/1000,"")</f>
        <v>550.08807537817268</v>
      </c>
      <c r="M112" s="137">
        <f>IFERROR(IF($E$7="Remodelación",K112*Simul_ConstruRemo!$BS$29,
IF(E112=1,MAX(K112,Q112)*Simul_ConstruRemo!$BS$29,K112*Simul_ConstruRemo!$BQ$29)),"")</f>
        <v>827.2389712662</v>
      </c>
      <c r="N112" s="13">
        <f>IF(C112="","",'Tabla_Puntual&amp;Relacionamiento'!$E$44)</f>
        <v>0.10249999999999999</v>
      </c>
      <c r="O112" s="183"/>
      <c r="P112" s="137">
        <f t="shared" si="18"/>
        <v>15867.327046644374</v>
      </c>
      <c r="Q112" s="137">
        <f t="shared" si="20"/>
        <v>1250200.1713140288</v>
      </c>
      <c r="R112" s="37">
        <f t="shared" si="25"/>
        <v>1</v>
      </c>
      <c r="S112" s="137"/>
      <c r="T112" s="137"/>
      <c r="Z112" s="63"/>
      <c r="AA112" s="35">
        <f t="shared" si="15"/>
        <v>15753.225119573173</v>
      </c>
      <c r="AB112" s="63">
        <f>IF(OR(Q112="",Q112&lt;=0.01),"",IF(SUM($F$23:F112)=Simul_ConstruRemo!$I$26,1,0))</f>
        <v>1</v>
      </c>
      <c r="AC112">
        <f t="shared" si="21"/>
        <v>85</v>
      </c>
      <c r="AD112" s="147">
        <f t="shared" si="22"/>
        <v>84</v>
      </c>
      <c r="AF112" t="str">
        <f t="shared" si="23"/>
        <v>Obra Concluida</v>
      </c>
      <c r="AI112">
        <f>IF(SUM($F$23:F111)&gt;=$K$9,1,0)</f>
        <v>1</v>
      </c>
    </row>
    <row r="113" spans="3:35" x14ac:dyDescent="0.25">
      <c r="C113" s="37">
        <f>IFERROR(IF(Q112&lt;=0.01,"",IF(C112+1&gt;Simul_ConstruRemo!$BN$11,"",C112+1)),"")</f>
        <v>91</v>
      </c>
      <c r="D113" s="37" t="str">
        <f>IF(C113&gt;Simul_ConstruRemo!$I$19,"",IF(Simul_ConstruRemo!I151=100%,"",IFERROR(VLOOKUP(C113,Simul_ConstruRemo!$AX$61:$AY$64,2,0),D112)))</f>
        <v/>
      </c>
      <c r="E113" s="136">
        <f>IF(C113="","",IF(AF113="Ministración",Simul_ConstruRemo!BM149,1))</f>
        <v>1</v>
      </c>
      <c r="F113" s="35">
        <f t="shared" si="24"/>
        <v>0</v>
      </c>
      <c r="G113" s="137">
        <f t="shared" si="19"/>
        <v>1250200.1713140288</v>
      </c>
      <c r="H113" s="137">
        <f t="shared" si="16"/>
        <v>14490</v>
      </c>
      <c r="I113" s="137">
        <f t="shared" si="17"/>
        <v>3811.2068700260043</v>
      </c>
      <c r="J113" s="137">
        <f t="shared" si="26"/>
        <v>10678.793129973996</v>
      </c>
      <c r="K113" s="137">
        <f>IF(C113="","",IF(Simul_ConstruRemo!$I$10=Simul_ConstruRemo!$BV$6,(Simul_ConstruRemo!$I$16*0.7+Simul_ConstruRemo!$I$17*0.5),Simul_ConstruRemo!$CO$27))</f>
        <v>2606295</v>
      </c>
      <c r="L113" s="137">
        <f>IFERROR(Q113*Simul_ConstruRemo!$BP$30/1000,"")</f>
        <v>548.41114435536122</v>
      </c>
      <c r="M113" s="137">
        <f>IFERROR(IF($E$7="Remodelación",K113*Simul_ConstruRemo!$BS$29,
IF(E113=1,MAX(K113,Q113)*Simul_ConstruRemo!$BS$29,K113*Simul_ConstruRemo!$BQ$29)),"")</f>
        <v>827.2389712662</v>
      </c>
      <c r="N113" s="13">
        <f>IF(C113="","",'Tabla_Puntual&amp;Relacionamiento'!$E$44)</f>
        <v>0.10249999999999999</v>
      </c>
      <c r="O113" s="183"/>
      <c r="P113" s="137">
        <f t="shared" si="18"/>
        <v>15865.650115621562</v>
      </c>
      <c r="Q113" s="137">
        <f t="shared" si="20"/>
        <v>1246388.9644440028</v>
      </c>
      <c r="R113" s="37">
        <f t="shared" si="25"/>
        <v>1</v>
      </c>
      <c r="S113" s="137"/>
      <c r="T113" s="137"/>
      <c r="Z113" s="63"/>
      <c r="AA113" s="35">
        <f t="shared" si="15"/>
        <v>15751.548188550361</v>
      </c>
      <c r="AB113" s="63">
        <f>IF(OR(Q113="",Q113&lt;=0.01),"",IF(SUM($F$23:F113)=Simul_ConstruRemo!$I$26,1,0))</f>
        <v>1</v>
      </c>
      <c r="AC113">
        <f t="shared" si="21"/>
        <v>86</v>
      </c>
      <c r="AD113" s="147">
        <f t="shared" si="22"/>
        <v>85</v>
      </c>
      <c r="AF113" t="str">
        <f t="shared" si="23"/>
        <v>Obra Concluida</v>
      </c>
      <c r="AI113">
        <f>IF(SUM($F$23:F112)&gt;=$K$9,1,0)</f>
        <v>1</v>
      </c>
    </row>
    <row r="114" spans="3:35" x14ac:dyDescent="0.25">
      <c r="C114" s="37">
        <f>IFERROR(IF(Q113&lt;=0.01,"",IF(C113+1&gt;Simul_ConstruRemo!$BN$11,"",C113+1)),"")</f>
        <v>92</v>
      </c>
      <c r="D114" s="37" t="str">
        <f>IF(C114&gt;Simul_ConstruRemo!$I$19,"",IF(Simul_ConstruRemo!I152=100%,"",IFERROR(VLOOKUP(C114,Simul_ConstruRemo!$AX$61:$AY$64,2,0),D113)))</f>
        <v/>
      </c>
      <c r="E114" s="136">
        <f>IF(C114="","",IF(AF114="Ministración",Simul_ConstruRemo!BM150,1))</f>
        <v>1</v>
      </c>
      <c r="F114" s="35">
        <f t="shared" si="24"/>
        <v>0</v>
      </c>
      <c r="G114" s="137">
        <f t="shared" si="19"/>
        <v>1246388.9644440028</v>
      </c>
      <c r="H114" s="137">
        <f t="shared" si="16"/>
        <v>14490</v>
      </c>
      <c r="I114" s="137">
        <f t="shared" si="17"/>
        <v>3843.7609287074756</v>
      </c>
      <c r="J114" s="137">
        <f t="shared" si="26"/>
        <v>10646.239071292524</v>
      </c>
      <c r="K114" s="137">
        <f>IF(C114="","",IF(Simul_ConstruRemo!$I$10=Simul_ConstruRemo!$BV$6,(Simul_ConstruRemo!$I$16*0.7+Simul_ConstruRemo!$I$17*0.5),Simul_ConstruRemo!$CO$27))</f>
        <v>2606295</v>
      </c>
      <c r="L114" s="137">
        <f>IFERROR(Q114*Simul_ConstruRemo!$BP$30/1000,"")</f>
        <v>546.71988954672997</v>
      </c>
      <c r="M114" s="137">
        <f>IFERROR(IF($E$7="Remodelación",K114*Simul_ConstruRemo!$BS$29,
IF(E114=1,MAX(K114,Q114)*Simul_ConstruRemo!$BS$29,K114*Simul_ConstruRemo!$BQ$29)),"")</f>
        <v>827.2389712662</v>
      </c>
      <c r="N114" s="13">
        <f>IF(C114="","",'Tabla_Puntual&amp;Relacionamiento'!$E$44)</f>
        <v>0.10249999999999999</v>
      </c>
      <c r="O114" s="183"/>
      <c r="P114" s="137">
        <f t="shared" si="18"/>
        <v>15863.958860812931</v>
      </c>
      <c r="Q114" s="137">
        <f t="shared" si="20"/>
        <v>1242545.2035152954</v>
      </c>
      <c r="R114" s="37">
        <f t="shared" si="25"/>
        <v>1</v>
      </c>
      <c r="S114" s="137"/>
      <c r="T114" s="137"/>
      <c r="Z114" s="63"/>
      <c r="AA114" s="35">
        <f t="shared" si="15"/>
        <v>15749.85693374173</v>
      </c>
      <c r="AB114" s="63">
        <f>IF(OR(Q114="",Q114&lt;=0.01),"",IF(SUM($F$23:F114)=Simul_ConstruRemo!$I$26,1,0))</f>
        <v>1</v>
      </c>
      <c r="AC114">
        <f t="shared" si="21"/>
        <v>87</v>
      </c>
      <c r="AD114" s="147">
        <f t="shared" si="22"/>
        <v>86</v>
      </c>
      <c r="AF114" t="str">
        <f t="shared" si="23"/>
        <v>Obra Concluida</v>
      </c>
      <c r="AI114">
        <f>IF(SUM($F$23:F113)&gt;=$K$9,1,0)</f>
        <v>1</v>
      </c>
    </row>
    <row r="115" spans="3:35" x14ac:dyDescent="0.25">
      <c r="C115" s="37">
        <f>IFERROR(IF(Q114&lt;=0.01,"",IF(C114+1&gt;Simul_ConstruRemo!$BN$11,"",C114+1)),"")</f>
        <v>93</v>
      </c>
      <c r="D115" s="37" t="str">
        <f>IF(C115&gt;Simul_ConstruRemo!$I$19,"",IF(Simul_ConstruRemo!I153=100%,"",IFERROR(VLOOKUP(C115,Simul_ConstruRemo!$AX$61:$AY$64,2,0),D114)))</f>
        <v/>
      </c>
      <c r="E115" s="136">
        <f>IF(C115="","",IF(AF115="Ministración",Simul_ConstruRemo!BM151,1))</f>
        <v>1</v>
      </c>
      <c r="F115" s="35">
        <f t="shared" si="24"/>
        <v>0</v>
      </c>
      <c r="G115" s="137">
        <f t="shared" si="19"/>
        <v>1242545.2035152954</v>
      </c>
      <c r="H115" s="137">
        <f t="shared" si="16"/>
        <v>14490</v>
      </c>
      <c r="I115" s="137">
        <f t="shared" si="17"/>
        <v>3876.5930533068513</v>
      </c>
      <c r="J115" s="137">
        <f t="shared" si="26"/>
        <v>10613.406946693149</v>
      </c>
      <c r="K115" s="137">
        <f>IF(C115="","",IF(Simul_ConstruRemo!$I$10=Simul_ConstruRemo!$BV$6,(Simul_ConstruRemo!$I$16*0.7+Simul_ConstruRemo!$I$17*0.5),Simul_ConstruRemo!$CO$27))</f>
        <v>2606295</v>
      </c>
      <c r="L115" s="137">
        <f>IFERROR(Q115*Simul_ConstruRemo!$BP$30/1000,"")</f>
        <v>545.01418860327499</v>
      </c>
      <c r="M115" s="137">
        <f>IFERROR(IF($E$7="Remodelación",K115*Simul_ConstruRemo!$BS$29,
IF(E115=1,MAX(K115,Q115)*Simul_ConstruRemo!$BS$29,K115*Simul_ConstruRemo!$BQ$29)),"")</f>
        <v>827.2389712662</v>
      </c>
      <c r="N115" s="13">
        <f>IF(C115="","",'Tabla_Puntual&amp;Relacionamiento'!$E$44)</f>
        <v>0.10249999999999999</v>
      </c>
      <c r="O115" s="183"/>
      <c r="P115" s="137">
        <f t="shared" si="18"/>
        <v>15862.253159869475</v>
      </c>
      <c r="Q115" s="137">
        <f t="shared" si="20"/>
        <v>1238668.6104619885</v>
      </c>
      <c r="R115" s="37">
        <f t="shared" si="25"/>
        <v>1</v>
      </c>
      <c r="S115" s="137"/>
      <c r="T115" s="137"/>
      <c r="Z115" s="63"/>
      <c r="AA115" s="35">
        <f t="shared" si="15"/>
        <v>15748.151232798275</v>
      </c>
      <c r="AB115" s="63">
        <f>IF(OR(Q115="",Q115&lt;=0.01),"",IF(SUM($F$23:F115)=Simul_ConstruRemo!$I$26,1,0))</f>
        <v>1</v>
      </c>
      <c r="AC115">
        <f t="shared" si="21"/>
        <v>88</v>
      </c>
      <c r="AD115" s="147">
        <f t="shared" si="22"/>
        <v>87</v>
      </c>
      <c r="AF115" t="str">
        <f t="shared" si="23"/>
        <v>Obra Concluida</v>
      </c>
      <c r="AI115">
        <f>IF(SUM($F$23:F114)&gt;=$K$9,1,0)</f>
        <v>1</v>
      </c>
    </row>
    <row r="116" spans="3:35" x14ac:dyDescent="0.25">
      <c r="C116" s="37">
        <f>IFERROR(IF(Q115&lt;=0.01,"",IF(C115+1&gt;Simul_ConstruRemo!$BN$11,"",C115+1)),"")</f>
        <v>94</v>
      </c>
      <c r="D116" s="37" t="str">
        <f>IF(C116&gt;Simul_ConstruRemo!$I$19,"",IF(Simul_ConstruRemo!I154=100%,"",IFERROR(VLOOKUP(C116,Simul_ConstruRemo!$AX$61:$AY$64,2,0),D115)))</f>
        <v/>
      </c>
      <c r="E116" s="136">
        <f>IF(C116="","",IF(AF116="Ministración",Simul_ConstruRemo!BM152,1))</f>
        <v>1</v>
      </c>
      <c r="F116" s="35">
        <f t="shared" si="24"/>
        <v>0</v>
      </c>
      <c r="G116" s="137">
        <f t="shared" si="19"/>
        <v>1238668.6104619885</v>
      </c>
      <c r="H116" s="137">
        <f t="shared" si="16"/>
        <v>14490</v>
      </c>
      <c r="I116" s="137">
        <f t="shared" si="17"/>
        <v>3909.7056189705163</v>
      </c>
      <c r="J116" s="137">
        <f t="shared" si="26"/>
        <v>10580.294381029484</v>
      </c>
      <c r="K116" s="137">
        <f>IF(C116="","",IF(Simul_ConstruRemo!$I$10=Simul_ConstruRemo!$BV$6,(Simul_ConstruRemo!$I$16*0.7+Simul_ConstruRemo!$I$17*0.5),Simul_ConstruRemo!$CO$27))</f>
        <v>2606295</v>
      </c>
      <c r="L116" s="137">
        <f>IFERROR(Q116*Simul_ConstruRemo!$BP$30/1000,"")</f>
        <v>543.29391813092786</v>
      </c>
      <c r="M116" s="137">
        <f>IFERROR(IF($E$7="Remodelación",K116*Simul_ConstruRemo!$BS$29,
IF(E116=1,MAX(K116,Q116)*Simul_ConstruRemo!$BS$29,K116*Simul_ConstruRemo!$BQ$29)),"")</f>
        <v>827.2389712662</v>
      </c>
      <c r="N116" s="13">
        <f>IF(C116="","",'Tabla_Puntual&amp;Relacionamiento'!$E$44)</f>
        <v>0.10249999999999999</v>
      </c>
      <c r="O116" s="183"/>
      <c r="P116" s="137">
        <f t="shared" si="18"/>
        <v>15860.532889397129</v>
      </c>
      <c r="Q116" s="137">
        <f t="shared" si="20"/>
        <v>1234758.9048430179</v>
      </c>
      <c r="R116" s="37">
        <f t="shared" si="25"/>
        <v>1</v>
      </c>
      <c r="S116" s="137"/>
      <c r="T116" s="137"/>
      <c r="Z116" s="63"/>
      <c r="AA116" s="35">
        <f t="shared" si="15"/>
        <v>15746.430962325929</v>
      </c>
      <c r="AB116" s="63">
        <f>IF(OR(Q116="",Q116&lt;=0.01),"",IF(SUM($F$23:F116)=Simul_ConstruRemo!$I$26,1,0))</f>
        <v>1</v>
      </c>
      <c r="AC116">
        <f t="shared" si="21"/>
        <v>89</v>
      </c>
      <c r="AD116" s="147">
        <f t="shared" si="22"/>
        <v>88</v>
      </c>
      <c r="AF116" t="str">
        <f t="shared" si="23"/>
        <v>Obra Concluida</v>
      </c>
      <c r="AI116">
        <f>IF(SUM($F$23:F115)&gt;=$K$9,1,0)</f>
        <v>1</v>
      </c>
    </row>
    <row r="117" spans="3:35" x14ac:dyDescent="0.25">
      <c r="C117" s="37">
        <f>IFERROR(IF(Q116&lt;=0.01,"",IF(C116+1&gt;Simul_ConstruRemo!$BN$11,"",C116+1)),"")</f>
        <v>95</v>
      </c>
      <c r="D117" s="37" t="str">
        <f>IF(C117&gt;Simul_ConstruRemo!$I$19,"",IF(Simul_ConstruRemo!I155=100%,"",IFERROR(VLOOKUP(C117,Simul_ConstruRemo!$AX$61:$AY$64,2,0),D116)))</f>
        <v/>
      </c>
      <c r="E117" s="136">
        <f>IF(C117="","",IF(AF117="Ministración",Simul_ConstruRemo!BM153,1))</f>
        <v>1</v>
      </c>
      <c r="F117" s="35">
        <f t="shared" si="24"/>
        <v>0</v>
      </c>
      <c r="G117" s="137">
        <f t="shared" si="19"/>
        <v>1234758.9048430179</v>
      </c>
      <c r="H117" s="137">
        <f t="shared" si="16"/>
        <v>14490</v>
      </c>
      <c r="I117" s="137">
        <f t="shared" si="17"/>
        <v>3943.1010211325556</v>
      </c>
      <c r="J117" s="137">
        <f t="shared" si="26"/>
        <v>10546.898978867444</v>
      </c>
      <c r="K117" s="137">
        <f>IF(C117="","",IF(Simul_ConstruRemo!$I$10=Simul_ConstruRemo!$BV$6,(Simul_ConstruRemo!$I$16*0.7+Simul_ConstruRemo!$I$17*0.5),Simul_ConstruRemo!$CO$27))</f>
        <v>2606295</v>
      </c>
      <c r="L117" s="137">
        <f>IFERROR(Q117*Simul_ConstruRemo!$BP$30/1000,"")</f>
        <v>541.55895368162953</v>
      </c>
      <c r="M117" s="137">
        <f>IFERROR(IF($E$7="Remodelación",K117*Simul_ConstruRemo!$BS$29,
IF(E117=1,MAX(K117,Q117)*Simul_ConstruRemo!$BS$29,K117*Simul_ConstruRemo!$BQ$29)),"")</f>
        <v>827.2389712662</v>
      </c>
      <c r="N117" s="13">
        <f>IF(C117="","",'Tabla_Puntual&amp;Relacionamiento'!$E$44)</f>
        <v>0.10249999999999999</v>
      </c>
      <c r="O117" s="183"/>
      <c r="P117" s="137">
        <f t="shared" si="18"/>
        <v>15858.79792494783</v>
      </c>
      <c r="Q117" s="137">
        <f t="shared" si="20"/>
        <v>1230815.8038218853</v>
      </c>
      <c r="R117" s="37">
        <f t="shared" si="25"/>
        <v>1</v>
      </c>
      <c r="S117" s="137"/>
      <c r="T117" s="137"/>
      <c r="Z117" s="63"/>
      <c r="AA117" s="35">
        <f t="shared" si="15"/>
        <v>15744.69599787663</v>
      </c>
      <c r="AB117" s="63">
        <f>IF(OR(Q117="",Q117&lt;=0.01),"",IF(SUM($F$23:F117)=Simul_ConstruRemo!$I$26,1,0))</f>
        <v>1</v>
      </c>
      <c r="AC117">
        <f t="shared" si="21"/>
        <v>90</v>
      </c>
      <c r="AD117" s="147">
        <f t="shared" si="22"/>
        <v>89</v>
      </c>
      <c r="AF117" t="str">
        <f t="shared" si="23"/>
        <v>Obra Concluida</v>
      </c>
      <c r="AI117">
        <f>IF(SUM($F$23:F116)&gt;=$K$9,1,0)</f>
        <v>1</v>
      </c>
    </row>
    <row r="118" spans="3:35" x14ac:dyDescent="0.25">
      <c r="C118" s="37">
        <f>IFERROR(IF(Q117&lt;=0.01,"",IF(C117+1&gt;Simul_ConstruRemo!$BN$11,"",C117+1)),"")</f>
        <v>96</v>
      </c>
      <c r="D118" s="37" t="str">
        <f>IF(C118&gt;Simul_ConstruRemo!$I$19,"",IF(Simul_ConstruRemo!I156=100%,"",IFERROR(VLOOKUP(C118,Simul_ConstruRemo!$AX$61:$AY$64,2,0),D117)))</f>
        <v/>
      </c>
      <c r="E118" s="136">
        <f>IF(C118="","",IF(AF118="Ministración",Simul_ConstruRemo!BM154,1))</f>
        <v>1</v>
      </c>
      <c r="F118" s="35">
        <f t="shared" si="24"/>
        <v>0</v>
      </c>
      <c r="G118" s="137">
        <f t="shared" si="19"/>
        <v>1230815.8038218853</v>
      </c>
      <c r="H118" s="137">
        <f t="shared" si="16"/>
        <v>14490</v>
      </c>
      <c r="I118" s="137">
        <f t="shared" si="17"/>
        <v>3976.7816756880638</v>
      </c>
      <c r="J118" s="137">
        <f t="shared" si="26"/>
        <v>10513.218324311936</v>
      </c>
      <c r="K118" s="137">
        <f>IF(C118="","",IF(Simul_ConstruRemo!$I$10=Simul_ConstruRemo!$BV$6,(Simul_ConstruRemo!$I$16*0.7+Simul_ConstruRemo!$I$17*0.5),Simul_ConstruRemo!$CO$27))</f>
        <v>2606295</v>
      </c>
      <c r="L118" s="137">
        <f>IFERROR(Q118*Simul_ConstruRemo!$BP$30/1000,"")</f>
        <v>539.80916974432682</v>
      </c>
      <c r="M118" s="137">
        <f>IFERROR(IF($E$7="Remodelación",K118*Simul_ConstruRemo!$BS$29,
IF(E118=1,MAX(K118,Q118)*Simul_ConstruRemo!$BS$29,K118*Simul_ConstruRemo!$BQ$29)),"")</f>
        <v>827.2389712662</v>
      </c>
      <c r="N118" s="13">
        <f>IF(C118="","",'Tabla_Puntual&amp;Relacionamiento'!$E$44)</f>
        <v>0.10249999999999999</v>
      </c>
      <c r="O118" s="183"/>
      <c r="P118" s="137">
        <f t="shared" si="18"/>
        <v>15857.048141010528</v>
      </c>
      <c r="Q118" s="137">
        <f t="shared" si="20"/>
        <v>1226839.0221461973</v>
      </c>
      <c r="R118" s="37">
        <f t="shared" si="25"/>
        <v>1</v>
      </c>
      <c r="S118" s="137"/>
      <c r="T118" s="137"/>
      <c r="Z118" s="63"/>
      <c r="AA118" s="35">
        <f t="shared" si="15"/>
        <v>15742.946213939327</v>
      </c>
      <c r="AB118" s="63">
        <f>IF(OR(Q118="",Q118&lt;=0.01),"",IF(SUM($F$23:F118)=Simul_ConstruRemo!$I$26,1,0))</f>
        <v>1</v>
      </c>
      <c r="AC118">
        <f t="shared" si="21"/>
        <v>91</v>
      </c>
      <c r="AD118" s="147">
        <f t="shared" si="22"/>
        <v>90</v>
      </c>
      <c r="AF118" t="str">
        <f t="shared" si="23"/>
        <v>Obra Concluida</v>
      </c>
      <c r="AI118">
        <f>IF(SUM($F$23:F117)&gt;=$K$9,1,0)</f>
        <v>1</v>
      </c>
    </row>
    <row r="119" spans="3:35" x14ac:dyDescent="0.25">
      <c r="C119" s="37">
        <f>IFERROR(IF(Q118&lt;=0.01,"",IF(C118+1&gt;Simul_ConstruRemo!$BN$11,"",C118+1)),"")</f>
        <v>97</v>
      </c>
      <c r="D119" s="37" t="str">
        <f>IF(C119&gt;Simul_ConstruRemo!$I$19,"",IF(Simul_ConstruRemo!I157=100%,"",IFERROR(VLOOKUP(C119,Simul_ConstruRemo!$AX$61:$AY$64,2,0),D118)))</f>
        <v/>
      </c>
      <c r="E119" s="136">
        <f>IF(C119="","",IF(AF119="Ministración",Simul_ConstruRemo!BM155,1))</f>
        <v>1</v>
      </c>
      <c r="F119" s="35">
        <f t="shared" si="24"/>
        <v>0</v>
      </c>
      <c r="G119" s="137">
        <f t="shared" si="19"/>
        <v>1226839.0221461973</v>
      </c>
      <c r="H119" s="137">
        <f t="shared" si="16"/>
        <v>14490</v>
      </c>
      <c r="I119" s="137">
        <f t="shared" si="17"/>
        <v>4010.7500191678992</v>
      </c>
      <c r="J119" s="137">
        <f t="shared" si="26"/>
        <v>10479.249980832101</v>
      </c>
      <c r="K119" s="137">
        <f>IF(C119="","",IF(Simul_ConstruRemo!$I$10=Simul_ConstruRemo!$BV$6,(Simul_ConstruRemo!$I$16*0.7+Simul_ConstruRemo!$I$17*0.5),Simul_ConstruRemo!$CO$27))</f>
        <v>2606295</v>
      </c>
      <c r="L119" s="137">
        <f>IFERROR(Q119*Simul_ConstruRemo!$BP$30/1000,"")</f>
        <v>538.04443973589298</v>
      </c>
      <c r="M119" s="137">
        <f>IFERROR(IF($E$7="Remodelación",K119*Simul_ConstruRemo!$BS$29,
IF(E119=1,MAX(K119,Q119)*Simul_ConstruRemo!$BS$29,K119*Simul_ConstruRemo!$BQ$29)),"")</f>
        <v>827.2389712662</v>
      </c>
      <c r="N119" s="13">
        <f>IF(C119="","",'Tabla_Puntual&amp;Relacionamiento'!$E$45)</f>
        <v>0.10249999999999999</v>
      </c>
      <c r="O119" s="183"/>
      <c r="P119" s="137">
        <f t="shared" si="18"/>
        <v>15855.283411002094</v>
      </c>
      <c r="Q119" s="137">
        <f t="shared" si="20"/>
        <v>1222828.2721270295</v>
      </c>
      <c r="R119" s="37">
        <f t="shared" si="25"/>
        <v>1</v>
      </c>
      <c r="S119" s="137"/>
      <c r="T119" s="137"/>
      <c r="Z119" s="63"/>
      <c r="AA119" s="35">
        <f t="shared" si="15"/>
        <v>15741.181483930894</v>
      </c>
      <c r="AB119" s="63">
        <f>IF(OR(Q119="",Q119&lt;=0.01),"",IF(SUM($F$23:F119)=Simul_ConstruRemo!$I$26,1,0))</f>
        <v>1</v>
      </c>
      <c r="AC119">
        <f t="shared" si="21"/>
        <v>92</v>
      </c>
      <c r="AD119" s="147">
        <f t="shared" si="22"/>
        <v>91</v>
      </c>
      <c r="AF119" t="str">
        <f t="shared" si="23"/>
        <v>Obra Concluida</v>
      </c>
      <c r="AI119">
        <f>IF(SUM($F$23:F118)&gt;=$K$9,1,0)</f>
        <v>1</v>
      </c>
    </row>
    <row r="120" spans="3:35" x14ac:dyDescent="0.25">
      <c r="C120" s="37">
        <f>IFERROR(IF(Q119&lt;=0.01,"",IF(C119+1&gt;Simul_ConstruRemo!$BN$11,"",C119+1)),"")</f>
        <v>98</v>
      </c>
      <c r="D120" s="37" t="str">
        <f>IF(C120&gt;Simul_ConstruRemo!$I$19,"",IF(Simul_ConstruRemo!I158=100%,"",IFERROR(VLOOKUP(C120,Simul_ConstruRemo!$AX$61:$AY$64,2,0),D119)))</f>
        <v/>
      </c>
      <c r="E120" s="136">
        <f>IF(C120="","",IF(AF120="Ministración",Simul_ConstruRemo!BM156,1))</f>
        <v>1</v>
      </c>
      <c r="F120" s="35">
        <f t="shared" si="24"/>
        <v>0</v>
      </c>
      <c r="G120" s="137">
        <f t="shared" si="19"/>
        <v>1222828.2721270295</v>
      </c>
      <c r="H120" s="137">
        <f t="shared" si="16"/>
        <v>14490</v>
      </c>
      <c r="I120" s="137">
        <f t="shared" si="17"/>
        <v>4045.0085089149561</v>
      </c>
      <c r="J120" s="137">
        <f t="shared" si="26"/>
        <v>10444.991491085044</v>
      </c>
      <c r="K120" s="137">
        <f>IF(C120="","",IF(Simul_ConstruRemo!$I$10=Simul_ConstruRemo!$BV$6,(Simul_ConstruRemo!$I$16*0.7+Simul_ConstruRemo!$I$17*0.5),Simul_ConstruRemo!$CO$27))</f>
        <v>2606295</v>
      </c>
      <c r="L120" s="137">
        <f>IFERROR(Q120*Simul_ConstruRemo!$BP$30/1000,"")</f>
        <v>536.26463599197041</v>
      </c>
      <c r="M120" s="137">
        <f>IFERROR(IF($E$7="Remodelación",K120*Simul_ConstruRemo!$BS$29,
IF(E120=1,MAX(K120,Q120)*Simul_ConstruRemo!$BS$29,K120*Simul_ConstruRemo!$BQ$29)),"")</f>
        <v>827.2389712662</v>
      </c>
      <c r="N120" s="13">
        <f>IF(C120="","",'Tabla_Puntual&amp;Relacionamiento'!$E$45)</f>
        <v>0.10249999999999999</v>
      </c>
      <c r="O120" s="183"/>
      <c r="P120" s="137">
        <f t="shared" si="18"/>
        <v>15853.503607258172</v>
      </c>
      <c r="Q120" s="137">
        <f t="shared" si="20"/>
        <v>1218783.2636181146</v>
      </c>
      <c r="R120" s="37">
        <f t="shared" si="25"/>
        <v>1</v>
      </c>
      <c r="S120" s="137"/>
      <c r="T120" s="137"/>
      <c r="Z120" s="63"/>
      <c r="AA120" s="35">
        <f t="shared" si="15"/>
        <v>15739.401680186971</v>
      </c>
      <c r="AB120" s="63">
        <f>IF(OR(Q120="",Q120&lt;=0.01),"",IF(SUM($F$23:F120)=Simul_ConstruRemo!$I$26,1,0))</f>
        <v>1</v>
      </c>
      <c r="AC120">
        <f t="shared" si="21"/>
        <v>93</v>
      </c>
      <c r="AD120" s="147">
        <f t="shared" si="22"/>
        <v>92</v>
      </c>
      <c r="AF120" t="str">
        <f t="shared" si="23"/>
        <v>Obra Concluida</v>
      </c>
      <c r="AI120">
        <f>IF(SUM($F$23:F119)&gt;=$K$9,1,0)</f>
        <v>1</v>
      </c>
    </row>
    <row r="121" spans="3:35" x14ac:dyDescent="0.25">
      <c r="C121" s="37">
        <f>IFERROR(IF(Q120&lt;=0.01,"",IF(C120+1&gt;Simul_ConstruRemo!$BN$11,"",C120+1)),"")</f>
        <v>99</v>
      </c>
      <c r="D121" s="37" t="str">
        <f>IF(C121&gt;Simul_ConstruRemo!$I$19,"",IF(Simul_ConstruRemo!I159=100%,"",IFERROR(VLOOKUP(C121,Simul_ConstruRemo!$AX$61:$AY$64,2,0),D120)))</f>
        <v/>
      </c>
      <c r="E121" s="136">
        <f>IF(C121="","",IF(AF121="Ministración",Simul_ConstruRemo!BM157,1))</f>
        <v>1</v>
      </c>
      <c r="F121" s="35">
        <f t="shared" si="24"/>
        <v>0</v>
      </c>
      <c r="G121" s="137">
        <f t="shared" si="19"/>
        <v>1218783.2636181146</v>
      </c>
      <c r="H121" s="137">
        <f t="shared" si="16"/>
        <v>14490</v>
      </c>
      <c r="I121" s="137">
        <f t="shared" si="17"/>
        <v>4079.5596232619373</v>
      </c>
      <c r="J121" s="137">
        <f t="shared" si="26"/>
        <v>10410.440376738063</v>
      </c>
      <c r="K121" s="137">
        <f>IF(C121="","",IF(Simul_ConstruRemo!$I$10=Simul_ConstruRemo!$BV$6,(Simul_ConstruRemo!$I$16*0.7+Simul_ConstruRemo!$I$17*0.5),Simul_ConstruRemo!$CO$27))</f>
        <v>2606295</v>
      </c>
      <c r="L121" s="137">
        <f>IFERROR(Q121*Simul_ConstruRemo!$BP$30/1000,"")</f>
        <v>534.46962975773522</v>
      </c>
      <c r="M121" s="137">
        <f>IFERROR(IF($E$7="Remodelación",K121*Simul_ConstruRemo!$BS$29,
IF(E121=1,MAX(K121,Q121)*Simul_ConstruRemo!$BS$29,K121*Simul_ConstruRemo!$BQ$29)),"")</f>
        <v>827.2389712662</v>
      </c>
      <c r="N121" s="13">
        <f>IF(C121="","",'Tabla_Puntual&amp;Relacionamiento'!$E$45)</f>
        <v>0.10249999999999999</v>
      </c>
      <c r="O121" s="183"/>
      <c r="P121" s="137">
        <f t="shared" si="18"/>
        <v>15851.708601023936</v>
      </c>
      <c r="Q121" s="137">
        <f t="shared" si="20"/>
        <v>1214703.7039948527</v>
      </c>
      <c r="R121" s="37">
        <f t="shared" si="25"/>
        <v>1</v>
      </c>
      <c r="S121" s="137"/>
      <c r="T121" s="137"/>
      <c r="Z121" s="63"/>
      <c r="AA121" s="35">
        <f t="shared" si="15"/>
        <v>15737.606673952736</v>
      </c>
      <c r="AB121" s="63">
        <f>IF(OR(Q121="",Q121&lt;=0.01),"",IF(SUM($F$23:F121)=Simul_ConstruRemo!$I$26,1,0))</f>
        <v>1</v>
      </c>
      <c r="AC121">
        <f t="shared" si="21"/>
        <v>94</v>
      </c>
      <c r="AD121" s="147">
        <f t="shared" si="22"/>
        <v>93</v>
      </c>
      <c r="AF121" t="str">
        <f t="shared" si="23"/>
        <v>Obra Concluida</v>
      </c>
      <c r="AI121">
        <f>IF(SUM($F$23:F120)&gt;=$K$9,1,0)</f>
        <v>1</v>
      </c>
    </row>
    <row r="122" spans="3:35" x14ac:dyDescent="0.25">
      <c r="C122" s="37">
        <f>IFERROR(IF(Q121&lt;=0.01,"",IF(C121+1&gt;Simul_ConstruRemo!$BN$11,"",C121+1)),"")</f>
        <v>100</v>
      </c>
      <c r="D122" s="37" t="str">
        <f>IF(C122&gt;Simul_ConstruRemo!$I$19,"",IF(Simul_ConstruRemo!I160=100%,"",IFERROR(VLOOKUP(C122,Simul_ConstruRemo!$AX$61:$AY$64,2,0),D121)))</f>
        <v/>
      </c>
      <c r="E122" s="136">
        <f>IF(C122="","",IF(AF122="Ministración",Simul_ConstruRemo!BM158,1))</f>
        <v>1</v>
      </c>
      <c r="F122" s="35">
        <f t="shared" si="24"/>
        <v>0</v>
      </c>
      <c r="G122" s="137">
        <f t="shared" si="19"/>
        <v>1214703.7039948527</v>
      </c>
      <c r="H122" s="137">
        <f t="shared" si="16"/>
        <v>14490</v>
      </c>
      <c r="I122" s="137">
        <f t="shared" si="17"/>
        <v>4114.405861710633</v>
      </c>
      <c r="J122" s="137">
        <f t="shared" si="26"/>
        <v>10375.594138289367</v>
      </c>
      <c r="K122" s="137">
        <f>IF(C122="","",IF(Simul_ConstruRemo!$I$10=Simul_ConstruRemo!$BV$6,(Simul_ConstruRemo!$I$16*0.7+Simul_ConstruRemo!$I$17*0.5),Simul_ConstruRemo!$CO$27))</f>
        <v>2606295</v>
      </c>
      <c r="L122" s="137">
        <f>IFERROR(Q122*Simul_ConstruRemo!$BP$30/1000,"")</f>
        <v>532.65929117858252</v>
      </c>
      <c r="M122" s="137">
        <f>IFERROR(IF($E$7="Remodelación",K122*Simul_ConstruRemo!$BS$29,
IF(E122=1,MAX(K122,Q122)*Simul_ConstruRemo!$BS$29,K122*Simul_ConstruRemo!$BQ$29)),"")</f>
        <v>827.2389712662</v>
      </c>
      <c r="N122" s="13">
        <f>IF(C122="","",'Tabla_Puntual&amp;Relacionamiento'!$E$45)</f>
        <v>0.10249999999999999</v>
      </c>
      <c r="O122" s="183"/>
      <c r="P122" s="137">
        <f t="shared" si="18"/>
        <v>15849.898262444784</v>
      </c>
      <c r="Q122" s="137">
        <f t="shared" si="20"/>
        <v>1210589.2981331421</v>
      </c>
      <c r="R122" s="37">
        <f t="shared" si="25"/>
        <v>1</v>
      </c>
      <c r="S122" s="137"/>
      <c r="T122" s="137"/>
      <c r="Z122" s="63"/>
      <c r="AA122" s="35">
        <f t="shared" si="15"/>
        <v>15735.796335373583</v>
      </c>
      <c r="AB122" s="63">
        <f>IF(OR(Q122="",Q122&lt;=0.01),"",IF(SUM($F$23:F122)=Simul_ConstruRemo!$I$26,1,0))</f>
        <v>1</v>
      </c>
      <c r="AC122">
        <f t="shared" si="21"/>
        <v>95</v>
      </c>
      <c r="AD122" s="147">
        <f t="shared" si="22"/>
        <v>94</v>
      </c>
      <c r="AF122" t="str">
        <f t="shared" si="23"/>
        <v>Obra Concluida</v>
      </c>
      <c r="AI122">
        <f>IF(SUM($F$23:F121)&gt;=$K$9,1,0)</f>
        <v>1</v>
      </c>
    </row>
    <row r="123" spans="3:35" x14ac:dyDescent="0.25">
      <c r="C123" s="37">
        <f>IFERROR(IF(Q122&lt;=0.01,"",IF(C122+1&gt;Simul_ConstruRemo!$BN$11,"",C122+1)),"")</f>
        <v>101</v>
      </c>
      <c r="D123" s="37" t="str">
        <f>IF(C123&gt;Simul_ConstruRemo!$I$19,"",IF(Simul_ConstruRemo!I161=100%,"",IFERROR(VLOOKUP(C123,Simul_ConstruRemo!$AX$61:$AY$64,2,0),D122)))</f>
        <v/>
      </c>
      <c r="E123" s="136">
        <f>IF(C123="","",IF(AF123="Ministración",Simul_ConstruRemo!BM159,1))</f>
        <v>1</v>
      </c>
      <c r="F123" s="35">
        <f t="shared" si="24"/>
        <v>0</v>
      </c>
      <c r="G123" s="137">
        <f t="shared" si="19"/>
        <v>1210589.2981331421</v>
      </c>
      <c r="H123" s="137">
        <f t="shared" si="16"/>
        <v>14490</v>
      </c>
      <c r="I123" s="137">
        <f t="shared" si="17"/>
        <v>4149.5497451127467</v>
      </c>
      <c r="J123" s="137">
        <f t="shared" si="26"/>
        <v>10340.450254887253</v>
      </c>
      <c r="K123" s="137">
        <f>IF(C123="","",IF(Simul_ConstruRemo!$I$10=Simul_ConstruRemo!$BV$6,(Simul_ConstruRemo!$I$16*0.7+Simul_ConstruRemo!$I$17*0.5),Simul_ConstruRemo!$CO$27))</f>
        <v>2606295</v>
      </c>
      <c r="L123" s="137">
        <f>IFERROR(Q123*Simul_ConstruRemo!$BP$30/1000,"")</f>
        <v>530.83348929073293</v>
      </c>
      <c r="M123" s="137">
        <f>IFERROR(IF($E$7="Remodelación",K123*Simul_ConstruRemo!$BS$29,
IF(E123=1,MAX(K123,Q123)*Simul_ConstruRemo!$BS$29,K123*Simul_ConstruRemo!$BQ$29)),"")</f>
        <v>827.2389712662</v>
      </c>
      <c r="N123" s="13">
        <f>IF(C123="","",'Tabla_Puntual&amp;Relacionamiento'!$E$45)</f>
        <v>0.10249999999999999</v>
      </c>
      <c r="O123" s="183"/>
      <c r="P123" s="137">
        <f t="shared" si="18"/>
        <v>15848.072460556934</v>
      </c>
      <c r="Q123" s="137">
        <f t="shared" si="20"/>
        <v>1206439.7483880294</v>
      </c>
      <c r="R123" s="37">
        <f t="shared" si="25"/>
        <v>1</v>
      </c>
      <c r="S123" s="137"/>
      <c r="T123" s="137"/>
      <c r="Z123" s="63"/>
      <c r="AA123" s="35">
        <f t="shared" si="15"/>
        <v>15733.970533485734</v>
      </c>
      <c r="AB123" s="63">
        <f>IF(OR(Q123="",Q123&lt;=0.01),"",IF(SUM($F$23:F123)=Simul_ConstruRemo!$I$26,1,0))</f>
        <v>1</v>
      </c>
      <c r="AC123">
        <f t="shared" si="21"/>
        <v>96</v>
      </c>
      <c r="AD123" s="147">
        <f t="shared" si="22"/>
        <v>95</v>
      </c>
      <c r="AF123" t="str">
        <f t="shared" si="23"/>
        <v>Obra Concluida</v>
      </c>
      <c r="AI123">
        <f>IF(SUM($F$23:F122)&gt;=$K$9,1,0)</f>
        <v>1</v>
      </c>
    </row>
    <row r="124" spans="3:35" x14ac:dyDescent="0.25">
      <c r="C124" s="37">
        <f>IFERROR(IF(Q123&lt;=0.01,"",IF(C123+1&gt;Simul_ConstruRemo!$BN$11,"",C123+1)),"")</f>
        <v>102</v>
      </c>
      <c r="D124" s="37" t="str">
        <f>IF(C124&gt;Simul_ConstruRemo!$I$19,"",IF(Simul_ConstruRemo!I162=100%,"",IFERROR(VLOOKUP(C124,Simul_ConstruRemo!$AX$61:$AY$64,2,0),D123)))</f>
        <v/>
      </c>
      <c r="E124" s="136">
        <f>IF(C124="","",IF(AF124="Ministración",Simul_ConstruRemo!BM160,1))</f>
        <v>1</v>
      </c>
      <c r="F124" s="35">
        <f t="shared" si="24"/>
        <v>0</v>
      </c>
      <c r="G124" s="137">
        <f t="shared" si="19"/>
        <v>1206439.7483880294</v>
      </c>
      <c r="H124" s="137">
        <f t="shared" si="16"/>
        <v>14490</v>
      </c>
      <c r="I124" s="137">
        <f t="shared" si="17"/>
        <v>4184.9938158522491</v>
      </c>
      <c r="J124" s="137">
        <f t="shared" si="26"/>
        <v>10305.006184147751</v>
      </c>
      <c r="K124" s="137">
        <f>IF(C124="","",IF(Simul_ConstruRemo!$I$10=Simul_ConstruRemo!$BV$6,(Simul_ConstruRemo!$I$16*0.7+Simul_ConstruRemo!$I$17*0.5),Simul_ConstruRemo!$CO$27))</f>
        <v>2606295</v>
      </c>
      <c r="L124" s="137">
        <f>IFERROR(Q124*Simul_ConstruRemo!$BP$30/1000,"")</f>
        <v>528.9920920117579</v>
      </c>
      <c r="M124" s="137">
        <f>IFERROR(IF($E$7="Remodelación",K124*Simul_ConstruRemo!$BS$29,
IF(E124=1,MAX(K124,Q124)*Simul_ConstruRemo!$BS$29,K124*Simul_ConstruRemo!$BQ$29)),"")</f>
        <v>827.2389712662</v>
      </c>
      <c r="N124" s="13">
        <f>IF(C124="","",'Tabla_Puntual&amp;Relacionamiento'!$E$45)</f>
        <v>0.10249999999999999</v>
      </c>
      <c r="O124" s="183"/>
      <c r="P124" s="137">
        <f t="shared" si="18"/>
        <v>15846.231063277959</v>
      </c>
      <c r="Q124" s="137">
        <f t="shared" si="20"/>
        <v>1202254.7545721771</v>
      </c>
      <c r="R124" s="37">
        <f t="shared" si="25"/>
        <v>1</v>
      </c>
      <c r="S124" s="137"/>
      <c r="T124" s="137"/>
      <c r="Z124" s="63"/>
      <c r="AA124" s="35">
        <f t="shared" si="15"/>
        <v>15732.129136206759</v>
      </c>
      <c r="AB124" s="63">
        <f>IF(OR(Q124="",Q124&lt;=0.01),"",IF(SUM($F$23:F124)=Simul_ConstruRemo!$I$26,1,0))</f>
        <v>1</v>
      </c>
      <c r="AC124">
        <f t="shared" si="21"/>
        <v>97</v>
      </c>
      <c r="AD124" s="147">
        <f t="shared" si="22"/>
        <v>96</v>
      </c>
      <c r="AF124" t="str">
        <f t="shared" si="23"/>
        <v>Obra Concluida</v>
      </c>
      <c r="AI124">
        <f>IF(SUM($F$23:F123)&gt;=$K$9,1,0)</f>
        <v>1</v>
      </c>
    </row>
    <row r="125" spans="3:35" x14ac:dyDescent="0.25">
      <c r="C125" s="37">
        <f>IFERROR(IF(Q124&lt;=0.01,"",IF(C124+1&gt;Simul_ConstruRemo!$BN$11,"",C124+1)),"")</f>
        <v>103</v>
      </c>
      <c r="D125" s="37" t="str">
        <f>IF(C125&gt;Simul_ConstruRemo!$I$19,"",IF(Simul_ConstruRemo!I163=100%,"",IFERROR(VLOOKUP(C125,Simul_ConstruRemo!$AX$61:$AY$64,2,0),D124)))</f>
        <v/>
      </c>
      <c r="E125" s="136">
        <f>IF(C125="","",IF(AF125="Ministración",Simul_ConstruRemo!BM161,1))</f>
        <v>1</v>
      </c>
      <c r="F125" s="35">
        <f t="shared" si="24"/>
        <v>0</v>
      </c>
      <c r="G125" s="137">
        <f t="shared" si="19"/>
        <v>1202254.7545721771</v>
      </c>
      <c r="H125" s="137">
        <f t="shared" si="16"/>
        <v>14490</v>
      </c>
      <c r="I125" s="137">
        <f t="shared" si="17"/>
        <v>4220.7406380293214</v>
      </c>
      <c r="J125" s="137">
        <f t="shared" si="26"/>
        <v>10269.259361970679</v>
      </c>
      <c r="K125" s="137">
        <f>IF(C125="","",IF(Simul_ConstruRemo!$I$10=Simul_ConstruRemo!$BV$6,(Simul_ConstruRemo!$I$16*0.7+Simul_ConstruRemo!$I$17*0.5),Simul_ConstruRemo!$CO$27))</f>
        <v>2606295</v>
      </c>
      <c r="L125" s="137">
        <f>IFERROR(Q125*Simul_ConstruRemo!$BP$30/1000,"")</f>
        <v>527.13496613102495</v>
      </c>
      <c r="M125" s="137">
        <f>IFERROR(IF($E$7="Remodelación",K125*Simul_ConstruRemo!$BS$29,
IF(E125=1,MAX(K125,Q125)*Simul_ConstruRemo!$BS$29,K125*Simul_ConstruRemo!$BQ$29)),"")</f>
        <v>827.2389712662</v>
      </c>
      <c r="N125" s="13">
        <f>IF(C125="","",'Tabla_Puntual&amp;Relacionamiento'!$E$45)</f>
        <v>0.10249999999999999</v>
      </c>
      <c r="O125" s="183"/>
      <c r="P125" s="137">
        <f t="shared" si="18"/>
        <v>15844.373937397226</v>
      </c>
      <c r="Q125" s="137">
        <f t="shared" si="20"/>
        <v>1198034.0139341478</v>
      </c>
      <c r="R125" s="37">
        <f t="shared" si="25"/>
        <v>1</v>
      </c>
      <c r="S125" s="137"/>
      <c r="T125" s="137"/>
      <c r="Z125" s="63"/>
      <c r="AA125" s="35">
        <f t="shared" si="15"/>
        <v>15730.272010326025</v>
      </c>
      <c r="AB125" s="63">
        <f>IF(OR(Q125="",Q125&lt;=0.01),"",IF(SUM($F$23:F125)=Simul_ConstruRemo!$I$26,1,0))</f>
        <v>1</v>
      </c>
      <c r="AC125">
        <f t="shared" si="21"/>
        <v>98</v>
      </c>
      <c r="AD125" s="147">
        <f t="shared" si="22"/>
        <v>97</v>
      </c>
      <c r="AF125" t="str">
        <f t="shared" si="23"/>
        <v>Obra Concluida</v>
      </c>
      <c r="AI125">
        <f>IF(SUM($F$23:F124)&gt;=$K$9,1,0)</f>
        <v>1</v>
      </c>
    </row>
    <row r="126" spans="3:35" x14ac:dyDescent="0.25">
      <c r="C126" s="37">
        <f>IFERROR(IF(Q125&lt;=0.01,"",IF(C125+1&gt;Simul_ConstruRemo!$BN$11,"",C125+1)),"")</f>
        <v>104</v>
      </c>
      <c r="D126" s="37" t="str">
        <f>IF(C126&gt;Simul_ConstruRemo!$I$19,"",IF(Simul_ConstruRemo!I164=100%,"",IFERROR(VLOOKUP(C126,Simul_ConstruRemo!$AX$61:$AY$64,2,0),D125)))</f>
        <v/>
      </c>
      <c r="E126" s="136">
        <f>IF(C126="","",IF(AF126="Ministración",Simul_ConstruRemo!BM162,1))</f>
        <v>1</v>
      </c>
      <c r="F126" s="35">
        <f t="shared" si="24"/>
        <v>0</v>
      </c>
      <c r="G126" s="137">
        <f t="shared" si="19"/>
        <v>1198034.0139341478</v>
      </c>
      <c r="H126" s="137">
        <f t="shared" si="16"/>
        <v>14490</v>
      </c>
      <c r="I126" s="137">
        <f t="shared" si="17"/>
        <v>4256.7927976458213</v>
      </c>
      <c r="J126" s="137">
        <f t="shared" si="26"/>
        <v>10233.207202354179</v>
      </c>
      <c r="K126" s="137">
        <f>IF(C126="","",IF(Simul_ConstruRemo!$I$10=Simul_ConstruRemo!$BV$6,(Simul_ConstruRemo!$I$16*0.7+Simul_ConstruRemo!$I$17*0.5),Simul_ConstruRemo!$CO$27))</f>
        <v>2606295</v>
      </c>
      <c r="L126" s="137">
        <f>IFERROR(Q126*Simul_ConstruRemo!$BP$30/1000,"")</f>
        <v>525.26197730006095</v>
      </c>
      <c r="M126" s="137">
        <f>IFERROR(IF($E$7="Remodelación",K126*Simul_ConstruRemo!$BS$29,
IF(E126=1,MAX(K126,Q126)*Simul_ConstruRemo!$BS$29,K126*Simul_ConstruRemo!$BQ$29)),"")</f>
        <v>827.2389712662</v>
      </c>
      <c r="N126" s="13">
        <f>IF(C126="","",'Tabla_Puntual&amp;Relacionamiento'!$E$45)</f>
        <v>0.10249999999999999</v>
      </c>
      <c r="O126" s="183"/>
      <c r="P126" s="137">
        <f t="shared" si="18"/>
        <v>15842.500948566261</v>
      </c>
      <c r="Q126" s="137">
        <f t="shared" si="20"/>
        <v>1193777.221136502</v>
      </c>
      <c r="R126" s="37">
        <f t="shared" si="25"/>
        <v>1</v>
      </c>
      <c r="S126" s="137"/>
      <c r="T126" s="137"/>
      <c r="Z126" s="63"/>
      <c r="AA126" s="35">
        <f t="shared" si="15"/>
        <v>15728.399021495061</v>
      </c>
      <c r="AB126" s="63">
        <f>IF(OR(Q126="",Q126&lt;=0.01),"",IF(SUM($F$23:F126)=Simul_ConstruRemo!$I$26,1,0))</f>
        <v>1</v>
      </c>
      <c r="AC126">
        <f t="shared" si="21"/>
        <v>99</v>
      </c>
      <c r="AD126" s="147">
        <f t="shared" si="22"/>
        <v>98</v>
      </c>
      <c r="AF126" t="str">
        <f t="shared" si="23"/>
        <v>Obra Concluida</v>
      </c>
      <c r="AI126">
        <f>IF(SUM($F$23:F125)&gt;=$K$9,1,0)</f>
        <v>1</v>
      </c>
    </row>
    <row r="127" spans="3:35" x14ac:dyDescent="0.25">
      <c r="C127" s="37">
        <f>IFERROR(IF(Q126&lt;=0.01,"",IF(C126+1&gt;Simul_ConstruRemo!$BN$11,"",C126+1)),"")</f>
        <v>105</v>
      </c>
      <c r="D127" s="37" t="str">
        <f>IF(C127&gt;Simul_ConstruRemo!$I$19,"",IF(Simul_ConstruRemo!I165=100%,"",IFERROR(VLOOKUP(C127,Simul_ConstruRemo!$AX$61:$AY$64,2,0),D126)))</f>
        <v/>
      </c>
      <c r="E127" s="136">
        <f>IF(C127="","",IF(AF127="Ministración",Simul_ConstruRemo!BM163,1))</f>
        <v>1</v>
      </c>
      <c r="F127" s="35">
        <f t="shared" si="24"/>
        <v>0</v>
      </c>
      <c r="G127" s="137">
        <f t="shared" si="19"/>
        <v>1193777.221136502</v>
      </c>
      <c r="H127" s="137">
        <f t="shared" si="16"/>
        <v>14490</v>
      </c>
      <c r="I127" s="137">
        <f t="shared" si="17"/>
        <v>4293.1529027923789</v>
      </c>
      <c r="J127" s="137">
        <f t="shared" si="26"/>
        <v>10196.847097207621</v>
      </c>
      <c r="K127" s="137">
        <f>IF(C127="","",IF(Simul_ConstruRemo!$I$10=Simul_ConstruRemo!$BV$6,(Simul_ConstruRemo!$I$16*0.7+Simul_ConstruRemo!$I$17*0.5),Simul_ConstruRemo!$CO$27))</f>
        <v>2606295</v>
      </c>
      <c r="L127" s="137">
        <f>IFERROR(Q127*Simul_ConstruRemo!$BP$30/1000,"")</f>
        <v>523.37299002283214</v>
      </c>
      <c r="M127" s="137">
        <f>IFERROR(IF($E$7="Remodelación",K127*Simul_ConstruRemo!$BS$29,
IF(E127=1,MAX(K127,Q127)*Simul_ConstruRemo!$BS$29,K127*Simul_ConstruRemo!$BQ$29)),"")</f>
        <v>827.2389712662</v>
      </c>
      <c r="N127" s="13">
        <f>IF(C127="","",'Tabla_Puntual&amp;Relacionamiento'!$E$45)</f>
        <v>0.10249999999999999</v>
      </c>
      <c r="O127" s="183"/>
      <c r="P127" s="137">
        <f t="shared" si="18"/>
        <v>15840.611961289032</v>
      </c>
      <c r="Q127" s="137">
        <f t="shared" si="20"/>
        <v>1189484.0682337095</v>
      </c>
      <c r="R127" s="37">
        <f t="shared" si="25"/>
        <v>1</v>
      </c>
      <c r="S127" s="137"/>
      <c r="T127" s="137"/>
      <c r="Z127" s="63"/>
      <c r="AA127" s="35">
        <f t="shared" si="15"/>
        <v>15726.510034217832</v>
      </c>
      <c r="AB127" s="63">
        <f>IF(OR(Q127="",Q127&lt;=0.01),"",IF(SUM($F$23:F127)=Simul_ConstruRemo!$I$26,1,0))</f>
        <v>1</v>
      </c>
      <c r="AC127">
        <f t="shared" si="21"/>
        <v>100</v>
      </c>
      <c r="AD127" s="147">
        <f t="shared" si="22"/>
        <v>99</v>
      </c>
      <c r="AF127" t="str">
        <f t="shared" si="23"/>
        <v>Obra Concluida</v>
      </c>
      <c r="AI127">
        <f>IF(SUM($F$23:F126)&gt;=$K$9,1,0)</f>
        <v>1</v>
      </c>
    </row>
    <row r="128" spans="3:35" x14ac:dyDescent="0.25">
      <c r="C128" s="37">
        <f>IFERROR(IF(Q127&lt;=0.01,"",IF(C127+1&gt;Simul_ConstruRemo!$BN$11,"",C127+1)),"")</f>
        <v>106</v>
      </c>
      <c r="D128" s="37" t="str">
        <f>IF(C128&gt;Simul_ConstruRemo!$I$19,"",IF(Simul_ConstruRemo!I166=100%,"",IFERROR(VLOOKUP(C128,Simul_ConstruRemo!$AX$61:$AY$64,2,0),D127)))</f>
        <v/>
      </c>
      <c r="E128" s="136">
        <f>IF(C128="","",IF(AF128="Ministración",Simul_ConstruRemo!BM164,1))</f>
        <v>1</v>
      </c>
      <c r="F128" s="35">
        <f t="shared" si="24"/>
        <v>0</v>
      </c>
      <c r="G128" s="137">
        <f t="shared" si="19"/>
        <v>1189484.0682337095</v>
      </c>
      <c r="H128" s="137">
        <f t="shared" si="16"/>
        <v>14490</v>
      </c>
      <c r="I128" s="137">
        <f t="shared" si="17"/>
        <v>4329.8235838370656</v>
      </c>
      <c r="J128" s="137">
        <f t="shared" si="26"/>
        <v>10160.176416162934</v>
      </c>
      <c r="K128" s="137">
        <f>IF(C128="","",IF(Simul_ConstruRemo!$I$10=Simul_ConstruRemo!$BV$6,(Simul_ConstruRemo!$I$16*0.7+Simul_ConstruRemo!$I$17*0.5),Simul_ConstruRemo!$CO$27))</f>
        <v>2606295</v>
      </c>
      <c r="L128" s="137">
        <f>IFERROR(Q128*Simul_ConstruRemo!$BP$30/1000,"")</f>
        <v>521.4678676459439</v>
      </c>
      <c r="M128" s="137">
        <f>IFERROR(IF($E$7="Remodelación",K128*Simul_ConstruRemo!$BS$29,
IF(E128=1,MAX(K128,Q128)*Simul_ConstruRemo!$BS$29,K128*Simul_ConstruRemo!$BQ$29)),"")</f>
        <v>827.2389712662</v>
      </c>
      <c r="N128" s="13">
        <f>IF(C128="","",'Tabla_Puntual&amp;Relacionamiento'!$E$45)</f>
        <v>0.10249999999999999</v>
      </c>
      <c r="O128" s="183"/>
      <c r="P128" s="137">
        <f t="shared" si="18"/>
        <v>15838.706838912145</v>
      </c>
      <c r="Q128" s="137">
        <f t="shared" si="20"/>
        <v>1185154.2446498724</v>
      </c>
      <c r="R128" s="37">
        <f t="shared" si="25"/>
        <v>1</v>
      </c>
      <c r="S128" s="137"/>
      <c r="T128" s="137"/>
      <c r="Z128" s="63"/>
      <c r="AA128" s="35">
        <f t="shared" si="15"/>
        <v>15724.604911840945</v>
      </c>
      <c r="AB128" s="63">
        <f>IF(OR(Q128="",Q128&lt;=0.01),"",IF(SUM($F$23:F128)=Simul_ConstruRemo!$I$26,1,0))</f>
        <v>1</v>
      </c>
      <c r="AC128">
        <f t="shared" si="21"/>
        <v>101</v>
      </c>
      <c r="AD128" s="147">
        <f t="shared" si="22"/>
        <v>100</v>
      </c>
      <c r="AF128" t="str">
        <f t="shared" si="23"/>
        <v>Obra Concluida</v>
      </c>
      <c r="AI128">
        <f>IF(SUM($F$23:F127)&gt;=$K$9,1,0)</f>
        <v>1</v>
      </c>
    </row>
    <row r="129" spans="3:35" x14ac:dyDescent="0.25">
      <c r="C129" s="37">
        <f>IFERROR(IF(Q128&lt;=0.01,"",IF(C128+1&gt;Simul_ConstruRemo!$BN$11,"",C128+1)),"")</f>
        <v>107</v>
      </c>
      <c r="D129" s="37" t="str">
        <f>IF(C129&gt;Simul_ConstruRemo!$I$19,"",IF(Simul_ConstruRemo!I167=100%,"",IFERROR(VLOOKUP(C129,Simul_ConstruRemo!$AX$61:$AY$64,2,0),D128)))</f>
        <v/>
      </c>
      <c r="E129" s="136">
        <f>IF(C129="","",IF(AF129="Ministración",Simul_ConstruRemo!BM165,1))</f>
        <v>1</v>
      </c>
      <c r="F129" s="35">
        <f t="shared" si="24"/>
        <v>0</v>
      </c>
      <c r="G129" s="137">
        <f t="shared" si="19"/>
        <v>1185154.2446498724</v>
      </c>
      <c r="H129" s="137">
        <f t="shared" si="16"/>
        <v>14490</v>
      </c>
      <c r="I129" s="137">
        <f t="shared" si="17"/>
        <v>4366.8074936156736</v>
      </c>
      <c r="J129" s="137">
        <f t="shared" si="26"/>
        <v>10123.192506384326</v>
      </c>
      <c r="K129" s="137">
        <f>IF(C129="","",IF(Simul_ConstruRemo!$I$10=Simul_ConstruRemo!$BV$6,(Simul_ConstruRemo!$I$16*0.7+Simul_ConstruRemo!$I$17*0.5),Simul_ConstruRemo!$CO$27))</f>
        <v>2606295</v>
      </c>
      <c r="L129" s="137">
        <f>IFERROR(Q129*Simul_ConstruRemo!$BP$30/1000,"")</f>
        <v>519.5464723487529</v>
      </c>
      <c r="M129" s="137">
        <f>IFERROR(IF($E$7="Remodelación",K129*Simul_ConstruRemo!$BS$29,
IF(E129=1,MAX(K129,Q129)*Simul_ConstruRemo!$BS$29,K129*Simul_ConstruRemo!$BQ$29)),"")</f>
        <v>827.2389712662</v>
      </c>
      <c r="N129" s="13">
        <f>IF(C129="","",'Tabla_Puntual&amp;Relacionamiento'!$E$45)</f>
        <v>0.10249999999999999</v>
      </c>
      <c r="O129" s="183"/>
      <c r="P129" s="137">
        <f t="shared" si="18"/>
        <v>15836.785443614954</v>
      </c>
      <c r="Q129" s="137">
        <f t="shared" si="20"/>
        <v>1180787.4371562568</v>
      </c>
      <c r="R129" s="37">
        <f t="shared" si="25"/>
        <v>1</v>
      </c>
      <c r="S129" s="137"/>
      <c r="T129" s="137"/>
      <c r="Z129" s="63"/>
      <c r="AA129" s="35">
        <f t="shared" si="15"/>
        <v>15722.683516543753</v>
      </c>
      <c r="AB129" s="63">
        <f>IF(OR(Q129="",Q129&lt;=0.01),"",IF(SUM($F$23:F129)=Simul_ConstruRemo!$I$26,1,0))</f>
        <v>1</v>
      </c>
      <c r="AC129">
        <f t="shared" si="21"/>
        <v>102</v>
      </c>
      <c r="AD129" s="147">
        <f t="shared" si="22"/>
        <v>101</v>
      </c>
      <c r="AF129" t="str">
        <f t="shared" si="23"/>
        <v>Obra Concluida</v>
      </c>
      <c r="AI129">
        <f>IF(SUM($F$23:F128)&gt;=$K$9,1,0)</f>
        <v>1</v>
      </c>
    </row>
    <row r="130" spans="3:35" x14ac:dyDescent="0.25">
      <c r="C130" s="37">
        <f>IFERROR(IF(Q129&lt;=0.01,"",IF(C129+1&gt;Simul_ConstruRemo!$BN$11,"",C129+1)),"")</f>
        <v>108</v>
      </c>
      <c r="D130" s="37" t="str">
        <f>IF(C130&gt;Simul_ConstruRemo!$I$19,"",IF(Simul_ConstruRemo!I168=100%,"",IFERROR(VLOOKUP(C130,Simul_ConstruRemo!$AX$61:$AY$64,2,0),D129)))</f>
        <v/>
      </c>
      <c r="E130" s="136">
        <f>IF(C130="","",IF(AF130="Ministración",Simul_ConstruRemo!BM166,1))</f>
        <v>1</v>
      </c>
      <c r="F130" s="35">
        <f t="shared" si="24"/>
        <v>0</v>
      </c>
      <c r="G130" s="137">
        <f t="shared" si="19"/>
        <v>1180787.4371562568</v>
      </c>
      <c r="H130" s="137">
        <f t="shared" si="16"/>
        <v>14490</v>
      </c>
      <c r="I130" s="137">
        <f t="shared" si="17"/>
        <v>4404.1073076236407</v>
      </c>
      <c r="J130" s="137">
        <f t="shared" si="26"/>
        <v>10085.892692376359</v>
      </c>
      <c r="K130" s="137">
        <f>IF(C130="","",IF(Simul_ConstruRemo!$I$10=Simul_ConstruRemo!$BV$6,(Simul_ConstruRemo!$I$16*0.7+Simul_ConstruRemo!$I$17*0.5),Simul_ConstruRemo!$CO$27))</f>
        <v>2606295</v>
      </c>
      <c r="L130" s="137">
        <f>IFERROR(Q130*Simul_ConstruRemo!$BP$30/1000,"")</f>
        <v>517.60866513339863</v>
      </c>
      <c r="M130" s="137">
        <f>IFERROR(IF($E$7="Remodelación",K130*Simul_ConstruRemo!$BS$29,
IF(E130=1,MAX(K130,Q130)*Simul_ConstruRemo!$BS$29,K130*Simul_ConstruRemo!$BQ$29)),"")</f>
        <v>827.2389712662</v>
      </c>
      <c r="N130" s="13">
        <f>IF(C130="","",'Tabla_Puntual&amp;Relacionamiento'!$E$45)</f>
        <v>0.10249999999999999</v>
      </c>
      <c r="O130" s="183"/>
      <c r="P130" s="137">
        <f t="shared" si="18"/>
        <v>15834.8476363996</v>
      </c>
      <c r="Q130" s="137">
        <f t="shared" si="20"/>
        <v>1176383.3298486331</v>
      </c>
      <c r="R130" s="37">
        <f t="shared" si="25"/>
        <v>1</v>
      </c>
      <c r="S130" s="137"/>
      <c r="T130" s="137"/>
      <c r="Z130" s="63"/>
      <c r="AA130" s="35">
        <f t="shared" si="15"/>
        <v>15720.745709328399</v>
      </c>
      <c r="AB130" s="63">
        <f>IF(OR(Q130="",Q130&lt;=0.01),"",IF(SUM($F$23:F130)=Simul_ConstruRemo!$I$26,1,0))</f>
        <v>1</v>
      </c>
      <c r="AC130">
        <f t="shared" si="21"/>
        <v>103</v>
      </c>
      <c r="AD130" s="147">
        <f t="shared" si="22"/>
        <v>102</v>
      </c>
      <c r="AF130" t="str">
        <f t="shared" si="23"/>
        <v>Obra Concluida</v>
      </c>
      <c r="AI130">
        <f>IF(SUM($F$23:F129)&gt;=$K$9,1,0)</f>
        <v>1</v>
      </c>
    </row>
    <row r="131" spans="3:35" x14ac:dyDescent="0.25">
      <c r="C131" s="37">
        <f>IFERROR(IF(Q130&lt;=0.01,"",IF(C130+1&gt;Simul_ConstruRemo!$BN$11,"",C130+1)),"")</f>
        <v>109</v>
      </c>
      <c r="D131" s="37" t="str">
        <f>IF(C131&gt;Simul_ConstruRemo!$I$19,"",IF(Simul_ConstruRemo!I169=100%,"",IFERROR(VLOOKUP(C131,Simul_ConstruRemo!$AX$61:$AY$64,2,0),D130)))</f>
        <v/>
      </c>
      <c r="E131" s="136">
        <f>IF(C131="","",IF(AF131="Ministración",Simul_ConstruRemo!BM167,1))</f>
        <v>1</v>
      </c>
      <c r="F131" s="35">
        <f t="shared" si="24"/>
        <v>0</v>
      </c>
      <c r="G131" s="137">
        <f t="shared" si="19"/>
        <v>1176383.3298486331</v>
      </c>
      <c r="H131" s="137">
        <f t="shared" si="16"/>
        <v>14490</v>
      </c>
      <c r="I131" s="137">
        <f t="shared" si="17"/>
        <v>4441.725724209593</v>
      </c>
      <c r="J131" s="137">
        <f t="shared" si="26"/>
        <v>10048.274275790407</v>
      </c>
      <c r="K131" s="137">
        <f>IF(C131="","",IF(Simul_ConstruRemo!$I$10=Simul_ConstruRemo!$BV$6,(Simul_ConstruRemo!$I$16*0.7+Simul_ConstruRemo!$I$17*0.5),Simul_ConstruRemo!$CO$27))</f>
        <v>2606295</v>
      </c>
      <c r="L131" s="137">
        <f>IFERROR(Q131*Simul_ConstruRemo!$BP$30/1000,"")</f>
        <v>515.65430581474641</v>
      </c>
      <c r="M131" s="137">
        <f>IFERROR(IF($E$7="Remodelación",K131*Simul_ConstruRemo!$BS$29,
IF(E131=1,MAX(K131,Q131)*Simul_ConstruRemo!$BS$29,K131*Simul_ConstruRemo!$BQ$29)),"")</f>
        <v>827.2389712662</v>
      </c>
      <c r="N131" s="13">
        <f>IF(C131="","",'Tabla_Puntual&amp;Relacionamiento'!$E$46)</f>
        <v>0.10249999999999999</v>
      </c>
      <c r="O131" s="183"/>
      <c r="P131" s="137">
        <f t="shared" si="18"/>
        <v>15832.893277080948</v>
      </c>
      <c r="Q131" s="137">
        <f t="shared" si="20"/>
        <v>1171941.6041244236</v>
      </c>
      <c r="R131" s="37">
        <f t="shared" si="25"/>
        <v>1</v>
      </c>
      <c r="S131" s="137"/>
      <c r="T131" s="137"/>
      <c r="Z131" s="63"/>
      <c r="AA131" s="35">
        <f t="shared" si="15"/>
        <v>15718.791350009747</v>
      </c>
      <c r="AB131" s="63">
        <f>IF(OR(Q131="",Q131&lt;=0.01),"",IF(SUM($F$23:F131)=Simul_ConstruRemo!$I$26,1,0))</f>
        <v>1</v>
      </c>
      <c r="AC131">
        <f t="shared" si="21"/>
        <v>104</v>
      </c>
      <c r="AD131" s="147">
        <f t="shared" si="22"/>
        <v>103</v>
      </c>
      <c r="AF131" t="str">
        <f t="shared" si="23"/>
        <v>Obra Concluida</v>
      </c>
      <c r="AI131">
        <f>IF(SUM($F$23:F130)&gt;=$K$9,1,0)</f>
        <v>1</v>
      </c>
    </row>
    <row r="132" spans="3:35" x14ac:dyDescent="0.25">
      <c r="C132" s="37">
        <f>IFERROR(IF(Q131&lt;=0.01,"",IF(C131+1&gt;Simul_ConstruRemo!$BN$11,"",C131+1)),"")</f>
        <v>110</v>
      </c>
      <c r="D132" s="37" t="str">
        <f>IF(C132&gt;Simul_ConstruRemo!$I$19,"",IF(Simul_ConstruRemo!I170=100%,"",IFERROR(VLOOKUP(C132,Simul_ConstruRemo!$AX$61:$AY$64,2,0),D131)))</f>
        <v/>
      </c>
      <c r="E132" s="136">
        <f>IF(C132="","",IF(AF132="Ministración",Simul_ConstruRemo!BM168,1))</f>
        <v>1</v>
      </c>
      <c r="F132" s="35">
        <f t="shared" si="24"/>
        <v>0</v>
      </c>
      <c r="G132" s="137">
        <f t="shared" si="19"/>
        <v>1171941.6041244236</v>
      </c>
      <c r="H132" s="137">
        <f t="shared" si="16"/>
        <v>14490</v>
      </c>
      <c r="I132" s="137">
        <f t="shared" si="17"/>
        <v>4479.6654647705491</v>
      </c>
      <c r="J132" s="137">
        <f t="shared" si="26"/>
        <v>10010.334535229451</v>
      </c>
      <c r="K132" s="137">
        <f>IF(C132="","",IF(Simul_ConstruRemo!$I$10=Simul_ConstruRemo!$BV$6,(Simul_ConstruRemo!$I$16*0.7+Simul_ConstruRemo!$I$17*0.5),Simul_ConstruRemo!$CO$27))</f>
        <v>2606295</v>
      </c>
      <c r="L132" s="137">
        <f>IFERROR(Q132*Simul_ConstruRemo!$BP$30/1000,"")</f>
        <v>513.68325301024731</v>
      </c>
      <c r="M132" s="137">
        <f>IFERROR(IF($E$7="Remodelación",K132*Simul_ConstruRemo!$BS$29,
IF(E132=1,MAX(K132,Q132)*Simul_ConstruRemo!$BS$29,K132*Simul_ConstruRemo!$BQ$29)),"")</f>
        <v>827.2389712662</v>
      </c>
      <c r="N132" s="13">
        <f>IF(C132="","",'Tabla_Puntual&amp;Relacionamiento'!$E$46)</f>
        <v>0.10249999999999999</v>
      </c>
      <c r="O132" s="183"/>
      <c r="P132" s="137">
        <f t="shared" si="18"/>
        <v>15830.922224276448</v>
      </c>
      <c r="Q132" s="137">
        <f t="shared" si="20"/>
        <v>1167461.9386596531</v>
      </c>
      <c r="R132" s="37">
        <f t="shared" si="25"/>
        <v>1</v>
      </c>
      <c r="S132" s="137"/>
      <c r="T132" s="137"/>
      <c r="Z132" s="63"/>
      <c r="AA132" s="35">
        <f t="shared" si="15"/>
        <v>15716.820297205248</v>
      </c>
      <c r="AB132" s="63">
        <f>IF(OR(Q132="",Q132&lt;=0.01),"",IF(SUM($F$23:F132)=Simul_ConstruRemo!$I$26,1,0))</f>
        <v>1</v>
      </c>
      <c r="AC132">
        <f t="shared" si="21"/>
        <v>105</v>
      </c>
      <c r="AD132" s="147">
        <f t="shared" si="22"/>
        <v>104</v>
      </c>
      <c r="AF132" t="str">
        <f t="shared" si="23"/>
        <v>Obra Concluida</v>
      </c>
      <c r="AI132">
        <f>IF(SUM($F$23:F131)&gt;=$K$9,1,0)</f>
        <v>1</v>
      </c>
    </row>
    <row r="133" spans="3:35" x14ac:dyDescent="0.25">
      <c r="C133" s="37">
        <f>IFERROR(IF(Q132&lt;=0.01,"",IF(C132+1&gt;Simul_ConstruRemo!$BN$11,"",C132+1)),"")</f>
        <v>111</v>
      </c>
      <c r="D133" s="37" t="str">
        <f>IF(C133&gt;Simul_ConstruRemo!$I$19,"",IF(Simul_ConstruRemo!I171=100%,"",IFERROR(VLOOKUP(C133,Simul_ConstruRemo!$AX$61:$AY$64,2,0),D132)))</f>
        <v/>
      </c>
      <c r="E133" s="136">
        <f>IF(C133="","",IF(AF133="Ministración",Simul_ConstruRemo!BM169,1))</f>
        <v>1</v>
      </c>
      <c r="F133" s="35">
        <f t="shared" si="24"/>
        <v>0</v>
      </c>
      <c r="G133" s="137">
        <f t="shared" si="19"/>
        <v>1167461.9386596531</v>
      </c>
      <c r="H133" s="137">
        <f t="shared" si="16"/>
        <v>14490</v>
      </c>
      <c r="I133" s="137">
        <f t="shared" si="17"/>
        <v>4517.9292739487973</v>
      </c>
      <c r="J133" s="137">
        <f t="shared" si="26"/>
        <v>9972.0707260512027</v>
      </c>
      <c r="K133" s="137">
        <f>IF(C133="","",IF(Simul_ConstruRemo!$I$10=Simul_ConstruRemo!$BV$6,(Simul_ConstruRemo!$I$16*0.7+Simul_ConstruRemo!$I$17*0.5),Simul_ConstruRemo!$CO$27))</f>
        <v>2606295</v>
      </c>
      <c r="L133" s="137">
        <f>IFERROR(Q133*Simul_ConstruRemo!$BP$30/1000,"")</f>
        <v>511.6953641297099</v>
      </c>
      <c r="M133" s="137">
        <f>IFERROR(IF($E$7="Remodelación",K133*Simul_ConstruRemo!$BS$29,
IF(E133=1,MAX(K133,Q133)*Simul_ConstruRemo!$BS$29,K133*Simul_ConstruRemo!$BQ$29)),"")</f>
        <v>827.2389712662</v>
      </c>
      <c r="N133" s="13">
        <f>IF(C133="","",'Tabla_Puntual&amp;Relacionamiento'!$E$46)</f>
        <v>0.10249999999999999</v>
      </c>
      <c r="O133" s="183"/>
      <c r="P133" s="137">
        <f t="shared" si="18"/>
        <v>15828.93433539591</v>
      </c>
      <c r="Q133" s="137">
        <f t="shared" si="20"/>
        <v>1162944.0093857043</v>
      </c>
      <c r="R133" s="37">
        <f t="shared" si="25"/>
        <v>1</v>
      </c>
      <c r="S133" s="137"/>
      <c r="T133" s="137"/>
      <c r="Z133" s="63"/>
      <c r="AA133" s="35">
        <f t="shared" si="15"/>
        <v>15714.83240832471</v>
      </c>
      <c r="AB133" s="63">
        <f>IF(OR(Q133="",Q133&lt;=0.01),"",IF(SUM($F$23:F133)=Simul_ConstruRemo!$I$26,1,0))</f>
        <v>1</v>
      </c>
      <c r="AC133">
        <f t="shared" si="21"/>
        <v>106</v>
      </c>
      <c r="AD133" s="147">
        <f t="shared" si="22"/>
        <v>105</v>
      </c>
      <c r="AF133" t="str">
        <f t="shared" si="23"/>
        <v>Obra Concluida</v>
      </c>
      <c r="AI133">
        <f>IF(SUM($F$23:F132)&gt;=$K$9,1,0)</f>
        <v>1</v>
      </c>
    </row>
    <row r="134" spans="3:35" x14ac:dyDescent="0.25">
      <c r="C134" s="37">
        <f>IFERROR(IF(Q133&lt;=0.01,"",IF(C133+1&gt;Simul_ConstruRemo!$BN$11,"",C133+1)),"")</f>
        <v>112</v>
      </c>
      <c r="D134" s="37" t="str">
        <f>IF(C134&gt;Simul_ConstruRemo!$I$19,"",IF(Simul_ConstruRemo!I172=100%,"",IFERROR(VLOOKUP(C134,Simul_ConstruRemo!$AX$61:$AY$64,2,0),D133)))</f>
        <v/>
      </c>
      <c r="E134" s="136">
        <f>IF(C134="","",IF(AF134="Ministración",Simul_ConstruRemo!BM170,1))</f>
        <v>1</v>
      </c>
      <c r="F134" s="35">
        <f t="shared" si="24"/>
        <v>0</v>
      </c>
      <c r="G134" s="137">
        <f t="shared" si="19"/>
        <v>1162944.0093857043</v>
      </c>
      <c r="H134" s="137">
        <f t="shared" si="16"/>
        <v>14490</v>
      </c>
      <c r="I134" s="137">
        <f t="shared" si="17"/>
        <v>4556.5199198304435</v>
      </c>
      <c r="J134" s="137">
        <f t="shared" si="26"/>
        <v>9933.4800801695565</v>
      </c>
      <c r="K134" s="137">
        <f>IF(C134="","",IF(Simul_ConstruRemo!$I$10=Simul_ConstruRemo!$BV$6,(Simul_ConstruRemo!$I$16*0.7+Simul_ConstruRemo!$I$17*0.5),Simul_ConstruRemo!$CO$27))</f>
        <v>2606295</v>
      </c>
      <c r="L134" s="137">
        <f>IFERROR(Q134*Simul_ConstruRemo!$BP$30/1000,"")</f>
        <v>509.69049536498454</v>
      </c>
      <c r="M134" s="137">
        <f>IFERROR(IF($E$7="Remodelación",K134*Simul_ConstruRemo!$BS$29,
IF(E134=1,MAX(K134,Q134)*Simul_ConstruRemo!$BS$29,K134*Simul_ConstruRemo!$BQ$29)),"")</f>
        <v>827.2389712662</v>
      </c>
      <c r="N134" s="13">
        <f>IF(C134="","",'Tabla_Puntual&amp;Relacionamiento'!$E$46)</f>
        <v>0.10249999999999999</v>
      </c>
      <c r="O134" s="183"/>
      <c r="P134" s="137">
        <f t="shared" si="18"/>
        <v>15826.929466631185</v>
      </c>
      <c r="Q134" s="137">
        <f t="shared" si="20"/>
        <v>1158387.4894658739</v>
      </c>
      <c r="R134" s="37">
        <f t="shared" si="25"/>
        <v>1</v>
      </c>
      <c r="S134" s="137"/>
      <c r="T134" s="137"/>
      <c r="Z134" s="63"/>
      <c r="AA134" s="35">
        <f t="shared" si="15"/>
        <v>15712.827539559985</v>
      </c>
      <c r="AB134" s="63">
        <f>IF(OR(Q134="",Q134&lt;=0.01),"",IF(SUM($F$23:F134)=Simul_ConstruRemo!$I$26,1,0))</f>
        <v>1</v>
      </c>
      <c r="AC134">
        <f t="shared" si="21"/>
        <v>107</v>
      </c>
      <c r="AD134" s="147">
        <f t="shared" si="22"/>
        <v>106</v>
      </c>
      <c r="AF134" t="str">
        <f t="shared" si="23"/>
        <v>Obra Concluida</v>
      </c>
      <c r="AI134">
        <f>IF(SUM($F$23:F133)&gt;=$K$9,1,0)</f>
        <v>1</v>
      </c>
    </row>
    <row r="135" spans="3:35" x14ac:dyDescent="0.25">
      <c r="C135" s="37">
        <f>IFERROR(IF(Q134&lt;=0.01,"",IF(C134+1&gt;Simul_ConstruRemo!$BN$11,"",C134+1)),"")</f>
        <v>113</v>
      </c>
      <c r="D135" s="37" t="str">
        <f>IF(C135&gt;Simul_ConstruRemo!$I$19,"",IF(Simul_ConstruRemo!I173=100%,"",IFERROR(VLOOKUP(C135,Simul_ConstruRemo!$AX$61:$AY$64,2,0),D134)))</f>
        <v/>
      </c>
      <c r="E135" s="136">
        <f>IF(C135="","",IF(AF135="Ministración",Simul_ConstruRemo!BM171,1))</f>
        <v>1</v>
      </c>
      <c r="F135" s="35">
        <f t="shared" si="24"/>
        <v>0</v>
      </c>
      <c r="G135" s="137">
        <f t="shared" si="19"/>
        <v>1158387.4894658739</v>
      </c>
      <c r="H135" s="137">
        <f t="shared" si="16"/>
        <v>14490</v>
      </c>
      <c r="I135" s="137">
        <f t="shared" si="17"/>
        <v>4595.4401941456617</v>
      </c>
      <c r="J135" s="137">
        <f t="shared" si="26"/>
        <v>9894.5598058543383</v>
      </c>
      <c r="K135" s="137">
        <f>IF(C135="","",IF(Simul_ConstruRemo!$I$10=Simul_ConstruRemo!$BV$6,(Simul_ConstruRemo!$I$16*0.7+Simul_ConstruRemo!$I$17*0.5),Simul_ConstruRemo!$CO$27))</f>
        <v>2606295</v>
      </c>
      <c r="L135" s="137">
        <f>IFERROR(Q135*Simul_ConstruRemo!$BP$30/1000,"")</f>
        <v>507.66850167956039</v>
      </c>
      <c r="M135" s="137">
        <f>IFERROR(IF($E$7="Remodelación",K135*Simul_ConstruRemo!$BS$29,
IF(E135=1,MAX(K135,Q135)*Simul_ConstruRemo!$BS$29,K135*Simul_ConstruRemo!$BQ$29)),"")</f>
        <v>827.2389712662</v>
      </c>
      <c r="N135" s="13">
        <f>IF(C135="","",'Tabla_Puntual&amp;Relacionamiento'!$E$46)</f>
        <v>0.10249999999999999</v>
      </c>
      <c r="O135" s="183"/>
      <c r="P135" s="137">
        <f t="shared" si="18"/>
        <v>15824.907472945761</v>
      </c>
      <c r="Q135" s="137">
        <f t="shared" si="20"/>
        <v>1153792.0492717281</v>
      </c>
      <c r="R135" s="37">
        <f t="shared" si="25"/>
        <v>1</v>
      </c>
      <c r="S135" s="137"/>
      <c r="T135" s="137"/>
      <c r="Z135" s="63"/>
      <c r="AA135" s="35">
        <f t="shared" si="15"/>
        <v>15710.80554587456</v>
      </c>
      <c r="AB135" s="63">
        <f>IF(OR(Q135="",Q135&lt;=0.01),"",IF(SUM($F$23:F135)=Simul_ConstruRemo!$I$26,1,0))</f>
        <v>1</v>
      </c>
      <c r="AC135">
        <f t="shared" si="21"/>
        <v>108</v>
      </c>
      <c r="AD135" s="147">
        <f t="shared" si="22"/>
        <v>107</v>
      </c>
      <c r="AF135" t="str">
        <f t="shared" si="23"/>
        <v>Obra Concluida</v>
      </c>
      <c r="AI135">
        <f>IF(SUM($F$23:F134)&gt;=$K$9,1,0)</f>
        <v>1</v>
      </c>
    </row>
    <row r="136" spans="3:35" x14ac:dyDescent="0.25">
      <c r="C136" s="37">
        <f>IFERROR(IF(Q135&lt;=0.01,"",IF(C135+1&gt;Simul_ConstruRemo!$BN$11,"",C135+1)),"")</f>
        <v>114</v>
      </c>
      <c r="D136" s="37" t="str">
        <f>IF(C136&gt;Simul_ConstruRemo!$I$19,"",IF(Simul_ConstruRemo!I174=100%,"",IFERROR(VLOOKUP(C136,Simul_ConstruRemo!$AX$61:$AY$64,2,0),D135)))</f>
        <v/>
      </c>
      <c r="E136" s="136">
        <f>IF(C136="","",IF(AF136="Ministración",Simul_ConstruRemo!BM172,1))</f>
        <v>1</v>
      </c>
      <c r="F136" s="35">
        <f t="shared" si="24"/>
        <v>0</v>
      </c>
      <c r="G136" s="137">
        <f t="shared" si="19"/>
        <v>1153792.0492717281</v>
      </c>
      <c r="H136" s="137">
        <f t="shared" si="16"/>
        <v>14490</v>
      </c>
      <c r="I136" s="137">
        <f t="shared" si="17"/>
        <v>4634.6929124706567</v>
      </c>
      <c r="J136" s="137">
        <f t="shared" si="26"/>
        <v>9855.3070875293433</v>
      </c>
      <c r="K136" s="137">
        <f>IF(C136="","",IF(Simul_ConstruRemo!$I$10=Simul_ConstruRemo!$BV$6,(Simul_ConstruRemo!$I$16*0.7+Simul_ConstruRemo!$I$17*0.5),Simul_ConstruRemo!$CO$27))</f>
        <v>2606295</v>
      </c>
      <c r="L136" s="137">
        <f>IFERROR(Q136*Simul_ConstruRemo!$BP$30/1000,"")</f>
        <v>505.62923679807335</v>
      </c>
      <c r="M136" s="137">
        <f>IFERROR(IF($E$7="Remodelación",K136*Simul_ConstruRemo!$BS$29,
IF(E136=1,MAX(K136,Q136)*Simul_ConstruRemo!$BS$29,K136*Simul_ConstruRemo!$BQ$29)),"")</f>
        <v>827.2389712662</v>
      </c>
      <c r="N136" s="13">
        <f>IF(C136="","",'Tabla_Puntual&amp;Relacionamiento'!$E$46)</f>
        <v>0.10249999999999999</v>
      </c>
      <c r="O136" s="183"/>
      <c r="P136" s="137">
        <f t="shared" si="18"/>
        <v>15822.868208064274</v>
      </c>
      <c r="Q136" s="137">
        <f t="shared" si="20"/>
        <v>1149157.3563592576</v>
      </c>
      <c r="R136" s="37">
        <f t="shared" si="25"/>
        <v>1</v>
      </c>
      <c r="S136" s="137"/>
      <c r="T136" s="137"/>
      <c r="Z136" s="63"/>
      <c r="AA136" s="35">
        <f t="shared" si="15"/>
        <v>15708.766280993073</v>
      </c>
      <c r="AB136" s="63">
        <f>IF(OR(Q136="",Q136&lt;=0.01),"",IF(SUM($F$23:F136)=Simul_ConstruRemo!$I$26,1,0))</f>
        <v>1</v>
      </c>
      <c r="AC136">
        <f t="shared" si="21"/>
        <v>109</v>
      </c>
      <c r="AD136" s="147">
        <f t="shared" si="22"/>
        <v>108</v>
      </c>
      <c r="AF136" t="str">
        <f t="shared" si="23"/>
        <v>Obra Concluida</v>
      </c>
      <c r="AI136">
        <f>IF(SUM($F$23:F135)&gt;=$K$9,1,0)</f>
        <v>1</v>
      </c>
    </row>
    <row r="137" spans="3:35" x14ac:dyDescent="0.25">
      <c r="C137" s="37">
        <f>IFERROR(IF(Q136&lt;=0.01,"",IF(C136+1&gt;Simul_ConstruRemo!$BN$11,"",C136+1)),"")</f>
        <v>115</v>
      </c>
      <c r="D137" s="37" t="str">
        <f>IF(C137&gt;Simul_ConstruRemo!$I$19,"",IF(Simul_ConstruRemo!I175=100%,"",IFERROR(VLOOKUP(C137,Simul_ConstruRemo!$AX$61:$AY$64,2,0),D136)))</f>
        <v/>
      </c>
      <c r="E137" s="136">
        <f>IF(C137="","",IF(AF137="Ministración",Simul_ConstruRemo!BM173,1))</f>
        <v>1</v>
      </c>
      <c r="F137" s="35">
        <f t="shared" si="24"/>
        <v>0</v>
      </c>
      <c r="G137" s="137">
        <f t="shared" si="19"/>
        <v>1149157.3563592576</v>
      </c>
      <c r="H137" s="137">
        <f t="shared" si="16"/>
        <v>14490</v>
      </c>
      <c r="I137" s="137">
        <f t="shared" si="17"/>
        <v>4674.2809144313414</v>
      </c>
      <c r="J137" s="137">
        <f t="shared" si="26"/>
        <v>9815.7190855686586</v>
      </c>
      <c r="K137" s="137">
        <f>IF(C137="","",IF(Simul_ConstruRemo!$I$10=Simul_ConstruRemo!$BV$6,(Simul_ConstruRemo!$I$16*0.7+Simul_ConstruRemo!$I$17*0.5),Simul_ConstruRemo!$CO$27))</f>
        <v>2606295</v>
      </c>
      <c r="L137" s="137">
        <f>IFERROR(Q137*Simul_ConstruRemo!$BP$30/1000,"")</f>
        <v>503.57255319572351</v>
      </c>
      <c r="M137" s="137">
        <f>IFERROR(IF($E$7="Remodelación",K137*Simul_ConstruRemo!$BS$29,
IF(E137=1,MAX(K137,Q137)*Simul_ConstruRemo!$BS$29,K137*Simul_ConstruRemo!$BQ$29)),"")</f>
        <v>827.2389712662</v>
      </c>
      <c r="N137" s="13">
        <f>IF(C137="","",'Tabla_Puntual&amp;Relacionamiento'!$E$46)</f>
        <v>0.10249999999999999</v>
      </c>
      <c r="O137" s="183"/>
      <c r="P137" s="137">
        <f t="shared" si="18"/>
        <v>15820.811524461924</v>
      </c>
      <c r="Q137" s="137">
        <f t="shared" si="20"/>
        <v>1144483.0754448262</v>
      </c>
      <c r="R137" s="37">
        <f t="shared" si="25"/>
        <v>1</v>
      </c>
      <c r="S137" s="137"/>
      <c r="T137" s="137"/>
      <c r="Z137" s="63"/>
      <c r="AA137" s="35">
        <f t="shared" si="15"/>
        <v>15706.709597390724</v>
      </c>
      <c r="AB137" s="63">
        <f>IF(OR(Q137="",Q137&lt;=0.01),"",IF(SUM($F$23:F137)=Simul_ConstruRemo!$I$26,1,0))</f>
        <v>1</v>
      </c>
      <c r="AC137">
        <f t="shared" si="21"/>
        <v>110</v>
      </c>
      <c r="AD137" s="147">
        <f t="shared" si="22"/>
        <v>109</v>
      </c>
      <c r="AF137" t="str">
        <f t="shared" ref="AF137:AF168" si="27">IF(C137="","","Obra Concluida")</f>
        <v>Obra Concluida</v>
      </c>
      <c r="AI137">
        <f>IF(SUM($F$23:F136)&gt;=$K$9,1,0)</f>
        <v>1</v>
      </c>
    </row>
    <row r="138" spans="3:35" x14ac:dyDescent="0.25">
      <c r="C138" s="37">
        <f>IFERROR(IF(Q137&lt;=0.01,"",IF(C137+1&gt;Simul_ConstruRemo!$BN$11,"",C137+1)),"")</f>
        <v>116</v>
      </c>
      <c r="D138" s="37" t="str">
        <f>IF(C138&gt;Simul_ConstruRemo!$I$19,"",IF(Simul_ConstruRemo!I176=100%,"",IFERROR(VLOOKUP(C138,Simul_ConstruRemo!$AX$61:$AY$64,2,0),D137)))</f>
        <v/>
      </c>
      <c r="E138" s="136">
        <f>IF(C138="","",IF(AF138="Ministración",Simul_ConstruRemo!BM174,1))</f>
        <v>1</v>
      </c>
      <c r="F138" s="35">
        <f t="shared" si="24"/>
        <v>0</v>
      </c>
      <c r="G138" s="137">
        <f t="shared" si="19"/>
        <v>1144483.0754448262</v>
      </c>
      <c r="H138" s="137">
        <f t="shared" si="16"/>
        <v>14490</v>
      </c>
      <c r="I138" s="137">
        <f t="shared" si="17"/>
        <v>4714.2070639087779</v>
      </c>
      <c r="J138" s="137">
        <f t="shared" si="26"/>
        <v>9775.7929360912221</v>
      </c>
      <c r="K138" s="137">
        <f>IF(C138="","",IF(Simul_ConstruRemo!$I$10=Simul_ConstruRemo!$BV$6,(Simul_ConstruRemo!$I$16*0.7+Simul_ConstruRemo!$I$17*0.5),Simul_ConstruRemo!$CO$27))</f>
        <v>2606295</v>
      </c>
      <c r="L138" s="137">
        <f>IFERROR(Q138*Simul_ConstruRemo!$BP$30/1000,"")</f>
        <v>501.49830208760363</v>
      </c>
      <c r="M138" s="137">
        <f>IFERROR(IF($E$7="Remodelación",K138*Simul_ConstruRemo!$BS$29,
IF(E138=1,MAX(K138,Q138)*Simul_ConstruRemo!$BS$29,K138*Simul_ConstruRemo!$BQ$29)),"")</f>
        <v>827.2389712662</v>
      </c>
      <c r="N138" s="13">
        <f>IF(C138="","",'Tabla_Puntual&amp;Relacionamiento'!$E$46)</f>
        <v>0.10249999999999999</v>
      </c>
      <c r="O138" s="183"/>
      <c r="P138" s="137">
        <f t="shared" si="18"/>
        <v>15818.737273353805</v>
      </c>
      <c r="Q138" s="137">
        <f t="shared" si="20"/>
        <v>1139768.8683809175</v>
      </c>
      <c r="R138" s="37">
        <f t="shared" si="25"/>
        <v>1</v>
      </c>
      <c r="S138" s="137"/>
      <c r="T138" s="137"/>
      <c r="Z138" s="63"/>
      <c r="AA138" s="35">
        <f t="shared" si="15"/>
        <v>15704.635346282605</v>
      </c>
      <c r="AB138" s="63">
        <f>IF(OR(Q138="",Q138&lt;=0.01),"",IF(SUM($F$23:F138)=Simul_ConstruRemo!$I$26,1,0))</f>
        <v>1</v>
      </c>
      <c r="AC138">
        <f t="shared" si="21"/>
        <v>111</v>
      </c>
      <c r="AD138" s="147">
        <f t="shared" si="22"/>
        <v>110</v>
      </c>
      <c r="AF138" t="str">
        <f t="shared" si="27"/>
        <v>Obra Concluida</v>
      </c>
      <c r="AI138">
        <f>IF(SUM($F$23:F137)&gt;=$K$9,1,0)</f>
        <v>1</v>
      </c>
    </row>
    <row r="139" spans="3:35" x14ac:dyDescent="0.25">
      <c r="C139" s="37">
        <f>IFERROR(IF(Q138&lt;=0.01,"",IF(C138+1&gt;Simul_ConstruRemo!$BN$11,"",C138+1)),"")</f>
        <v>117</v>
      </c>
      <c r="D139" s="37" t="str">
        <f>IF(C139&gt;Simul_ConstruRemo!$I$19,"",IF(Simul_ConstruRemo!I177=100%,"",IFERROR(VLOOKUP(C139,Simul_ConstruRemo!$AX$61:$AY$64,2,0),D138)))</f>
        <v/>
      </c>
      <c r="E139" s="136">
        <f>IF(C139="","",IF(AF139="Ministración",Simul_ConstruRemo!BM175,1))</f>
        <v>1</v>
      </c>
      <c r="F139" s="35">
        <f t="shared" si="24"/>
        <v>0</v>
      </c>
      <c r="G139" s="137">
        <f t="shared" si="19"/>
        <v>1139768.8683809175</v>
      </c>
      <c r="H139" s="137">
        <f t="shared" si="16"/>
        <v>14490</v>
      </c>
      <c r="I139" s="137">
        <f t="shared" si="17"/>
        <v>4754.4742492463301</v>
      </c>
      <c r="J139" s="137">
        <f t="shared" si="26"/>
        <v>9735.5257507536699</v>
      </c>
      <c r="K139" s="137">
        <f>IF(C139="","",IF(Simul_ConstruRemo!$I$10=Simul_ConstruRemo!$BV$6,(Simul_ConstruRemo!$I$16*0.7+Simul_ConstruRemo!$I$17*0.5),Simul_ConstruRemo!$CO$27))</f>
        <v>2606295</v>
      </c>
      <c r="L139" s="137">
        <f>IFERROR(Q139*Simul_ConstruRemo!$BP$30/1000,"")</f>
        <v>499.40633341793529</v>
      </c>
      <c r="M139" s="137">
        <f>IFERROR(IF($E$7="Remodelación",K139*Simul_ConstruRemo!$BS$29,
IF(E139=1,MAX(K139,Q139)*Simul_ConstruRemo!$BS$29,K139*Simul_ConstruRemo!$BQ$29)),"")</f>
        <v>827.2389712662</v>
      </c>
      <c r="N139" s="13">
        <f>IF(C139="","",'Tabla_Puntual&amp;Relacionamiento'!$E$46)</f>
        <v>0.10249999999999999</v>
      </c>
      <c r="O139" s="183"/>
      <c r="P139" s="137">
        <f t="shared" si="18"/>
        <v>15816.645304684136</v>
      </c>
      <c r="Q139" s="137">
        <f t="shared" si="20"/>
        <v>1135014.3941316712</v>
      </c>
      <c r="R139" s="37">
        <f t="shared" si="25"/>
        <v>1</v>
      </c>
      <c r="S139" s="137"/>
      <c r="T139" s="137"/>
      <c r="Z139" s="63"/>
      <c r="AA139" s="35">
        <f t="shared" si="15"/>
        <v>15702.543377612936</v>
      </c>
      <c r="AB139" s="63">
        <f>IF(OR(Q139="",Q139&lt;=0.01),"",IF(SUM($F$23:F139)=Simul_ConstruRemo!$I$26,1,0))</f>
        <v>1</v>
      </c>
      <c r="AC139">
        <f t="shared" si="21"/>
        <v>112</v>
      </c>
      <c r="AD139" s="147">
        <f t="shared" si="22"/>
        <v>111</v>
      </c>
      <c r="AF139" t="str">
        <f t="shared" si="27"/>
        <v>Obra Concluida</v>
      </c>
      <c r="AI139">
        <f>IF(SUM($F$23:F138)&gt;=$K$9,1,0)</f>
        <v>1</v>
      </c>
    </row>
    <row r="140" spans="3:35" x14ac:dyDescent="0.25">
      <c r="C140" s="37">
        <f>IFERROR(IF(Q139&lt;=0.01,"",IF(C139+1&gt;Simul_ConstruRemo!$BN$11,"",C139+1)),"")</f>
        <v>118</v>
      </c>
      <c r="D140" s="37" t="str">
        <f>IF(C140&gt;Simul_ConstruRemo!$I$19,"",IF(Simul_ConstruRemo!I178=100%,"",IFERROR(VLOOKUP(C140,Simul_ConstruRemo!$AX$61:$AY$64,2,0),D139)))</f>
        <v/>
      </c>
      <c r="E140" s="136">
        <f>IF(C140="","",IF(AF140="Ministración",Simul_ConstruRemo!BM176,1))</f>
        <v>1</v>
      </c>
      <c r="F140" s="35">
        <f t="shared" si="24"/>
        <v>0</v>
      </c>
      <c r="G140" s="137">
        <f t="shared" si="19"/>
        <v>1135014.3941316712</v>
      </c>
      <c r="H140" s="137">
        <f t="shared" si="16"/>
        <v>14490</v>
      </c>
      <c r="I140" s="137">
        <f t="shared" si="17"/>
        <v>4795.0853834586433</v>
      </c>
      <c r="J140" s="137">
        <f t="shared" si="26"/>
        <v>9694.9146165413567</v>
      </c>
      <c r="K140" s="137">
        <f>IF(C140="","",IF(Simul_ConstruRemo!$I$10=Simul_ConstruRemo!$BV$6,(Simul_ConstruRemo!$I$16*0.7+Simul_ConstruRemo!$I$17*0.5),Simul_ConstruRemo!$CO$27))</f>
        <v>2606295</v>
      </c>
      <c r="L140" s="137">
        <f>IFERROR(Q140*Simul_ConstruRemo!$BP$30/1000,"")</f>
        <v>497.29649584921356</v>
      </c>
      <c r="M140" s="137">
        <f>IFERROR(IF($E$7="Remodelación",K140*Simul_ConstruRemo!$BS$29,
IF(E140=1,MAX(K140,Q140)*Simul_ConstruRemo!$BS$29,K140*Simul_ConstruRemo!$BQ$29)),"")</f>
        <v>827.2389712662</v>
      </c>
      <c r="N140" s="13">
        <f>IF(C140="","",'Tabla_Puntual&amp;Relacionamiento'!$E$46)</f>
        <v>0.10249999999999999</v>
      </c>
      <c r="O140" s="183"/>
      <c r="P140" s="137">
        <f t="shared" si="18"/>
        <v>15814.535467115415</v>
      </c>
      <c r="Q140" s="137">
        <f t="shared" si="20"/>
        <v>1130219.3087482126</v>
      </c>
      <c r="R140" s="37">
        <f t="shared" si="25"/>
        <v>1</v>
      </c>
      <c r="S140" s="137"/>
      <c r="T140" s="137"/>
      <c r="Z140" s="63"/>
      <c r="AA140" s="35">
        <f t="shared" si="15"/>
        <v>15700.433540044214</v>
      </c>
      <c r="AB140" s="63">
        <f>IF(OR(Q140="",Q140&lt;=0.01),"",IF(SUM($F$23:F140)=Simul_ConstruRemo!$I$26,1,0))</f>
        <v>1</v>
      </c>
      <c r="AC140">
        <f t="shared" si="21"/>
        <v>113</v>
      </c>
      <c r="AD140" s="147">
        <f t="shared" si="22"/>
        <v>112</v>
      </c>
      <c r="AF140" t="str">
        <f t="shared" si="27"/>
        <v>Obra Concluida</v>
      </c>
      <c r="AI140">
        <f>IF(SUM($F$23:F139)&gt;=$K$9,1,0)</f>
        <v>1</v>
      </c>
    </row>
    <row r="141" spans="3:35" x14ac:dyDescent="0.25">
      <c r="C141" s="37">
        <f>IFERROR(IF(Q140&lt;=0.01,"",IF(C140+1&gt;Simul_ConstruRemo!$BN$11,"",C140+1)),"")</f>
        <v>119</v>
      </c>
      <c r="D141" s="37" t="str">
        <f>IF(C141&gt;Simul_ConstruRemo!$I$19,"",IF(Simul_ConstruRemo!I179=100%,"",IFERROR(VLOOKUP(C141,Simul_ConstruRemo!$AX$61:$AY$64,2,0),D140)))</f>
        <v/>
      </c>
      <c r="E141" s="136">
        <f>IF(C141="","",IF(AF141="Ministración",Simul_ConstruRemo!BM177,1))</f>
        <v>1</v>
      </c>
      <c r="F141" s="35">
        <f t="shared" si="24"/>
        <v>0</v>
      </c>
      <c r="G141" s="137">
        <f t="shared" si="19"/>
        <v>1130219.3087482126</v>
      </c>
      <c r="H141" s="137">
        <f t="shared" si="16"/>
        <v>14490</v>
      </c>
      <c r="I141" s="137">
        <f t="shared" si="17"/>
        <v>4836.0434044423509</v>
      </c>
      <c r="J141" s="137">
        <f t="shared" si="26"/>
        <v>9653.9565955576491</v>
      </c>
      <c r="K141" s="137">
        <f>IF(C141="","",IF(Simul_ConstruRemo!$I$10=Simul_ConstruRemo!$BV$6,(Simul_ConstruRemo!$I$16*0.7+Simul_ConstruRemo!$I$17*0.5),Simul_ConstruRemo!$CO$27))</f>
        <v>2606295</v>
      </c>
      <c r="L141" s="137">
        <f>IFERROR(Q141*Simul_ConstruRemo!$BP$30/1000,"")</f>
        <v>495.16863675125899</v>
      </c>
      <c r="M141" s="137">
        <f>IFERROR(IF($E$7="Remodelación",K141*Simul_ConstruRemo!$BS$29,
IF(E141=1,MAX(K141,Q141)*Simul_ConstruRemo!$BS$29,K141*Simul_ConstruRemo!$BQ$29)),"")</f>
        <v>827.2389712662</v>
      </c>
      <c r="N141" s="13">
        <f>IF(C141="","",'Tabla_Puntual&amp;Relacionamiento'!$E$46)</f>
        <v>0.10249999999999999</v>
      </c>
      <c r="O141" s="183"/>
      <c r="P141" s="137">
        <f t="shared" si="18"/>
        <v>15812.40760801746</v>
      </c>
      <c r="Q141" s="137">
        <f t="shared" si="20"/>
        <v>1125383.2653437704</v>
      </c>
      <c r="R141" s="37">
        <f t="shared" si="25"/>
        <v>1</v>
      </c>
      <c r="S141" s="137"/>
      <c r="T141" s="137"/>
      <c r="Z141" s="63"/>
      <c r="AA141" s="35">
        <f t="shared" si="15"/>
        <v>15698.30568094626</v>
      </c>
      <c r="AB141" s="63">
        <f>IF(OR(Q141="",Q141&lt;=0.01),"",IF(SUM($F$23:F141)=Simul_ConstruRemo!$I$26,1,0))</f>
        <v>1</v>
      </c>
      <c r="AC141">
        <f t="shared" si="21"/>
        <v>114</v>
      </c>
      <c r="AD141" s="147">
        <f t="shared" si="22"/>
        <v>113</v>
      </c>
      <c r="AF141" t="str">
        <f t="shared" si="27"/>
        <v>Obra Concluida</v>
      </c>
      <c r="AI141">
        <f>IF(SUM($F$23:F140)&gt;=$K$9,1,0)</f>
        <v>1</v>
      </c>
    </row>
    <row r="142" spans="3:35" x14ac:dyDescent="0.25">
      <c r="C142" s="37">
        <f>IFERROR(IF(Q141&lt;=0.01,"",IF(C141+1&gt;Simul_ConstruRemo!$BN$11,"",C141+1)),"")</f>
        <v>120</v>
      </c>
      <c r="D142" s="37" t="str">
        <f>IF(C142&gt;Simul_ConstruRemo!$I$19,"",IF(Simul_ConstruRemo!I180=100%,"",IFERROR(VLOOKUP(C142,Simul_ConstruRemo!$AX$61:$AY$64,2,0),D141)))</f>
        <v/>
      </c>
      <c r="E142" s="136">
        <f>IF(C142="","",IF(AF142="Ministración",Simul_ConstruRemo!BM178,1))</f>
        <v>1</v>
      </c>
      <c r="F142" s="35">
        <f t="shared" si="24"/>
        <v>0</v>
      </c>
      <c r="G142" s="137">
        <f t="shared" si="19"/>
        <v>1125383.2653437704</v>
      </c>
      <c r="H142" s="137">
        <f t="shared" si="16"/>
        <v>14490</v>
      </c>
      <c r="I142" s="137">
        <f t="shared" si="17"/>
        <v>4877.3512751886283</v>
      </c>
      <c r="J142" s="137">
        <f t="shared" si="26"/>
        <v>9612.6487248113717</v>
      </c>
      <c r="K142" s="137">
        <f>IF(C142="","",IF(Simul_ConstruRemo!$I$10=Simul_ConstruRemo!$BV$6,(Simul_ConstruRemo!$I$16*0.7+Simul_ConstruRemo!$I$17*0.5),Simul_ConstruRemo!$CO$27))</f>
        <v>2606295</v>
      </c>
      <c r="L142" s="137">
        <f>IFERROR(Q142*Simul_ConstruRemo!$BP$30/1000,"")</f>
        <v>493.02260219017597</v>
      </c>
      <c r="M142" s="137">
        <f>IFERROR(IF($E$7="Remodelación",K142*Simul_ConstruRemo!$BS$29,
IF(E142=1,MAX(K142,Q142)*Simul_ConstruRemo!$BS$29,K142*Simul_ConstruRemo!$BQ$29)),"")</f>
        <v>827.2389712662</v>
      </c>
      <c r="N142" s="13">
        <f>IF(C142="","",'Tabla_Puntual&amp;Relacionamiento'!$E$46)</f>
        <v>0.10249999999999999</v>
      </c>
      <c r="O142" s="183"/>
      <c r="P142" s="137">
        <f t="shared" si="18"/>
        <v>15810.261573456377</v>
      </c>
      <c r="Q142" s="137">
        <f t="shared" si="20"/>
        <v>1120505.9140685818</v>
      </c>
      <c r="R142" s="37">
        <f t="shared" si="25"/>
        <v>1</v>
      </c>
      <c r="S142" s="137"/>
      <c r="T142" s="137"/>
      <c r="Z142" s="63"/>
      <c r="AA142" s="35">
        <f t="shared" si="15"/>
        <v>15696.159646385177</v>
      </c>
      <c r="AB142" s="63">
        <f>IF(OR(Q142="",Q142&lt;=0.01),"",IF(SUM($F$23:F142)=Simul_ConstruRemo!$I$26,1,0))</f>
        <v>1</v>
      </c>
      <c r="AC142">
        <f t="shared" si="21"/>
        <v>115</v>
      </c>
      <c r="AD142" s="147">
        <f t="shared" si="22"/>
        <v>114</v>
      </c>
      <c r="AF142" t="str">
        <f t="shared" si="27"/>
        <v>Obra Concluida</v>
      </c>
      <c r="AI142">
        <f>IF(SUM($F$23:F141)&gt;=$K$9,1,0)</f>
        <v>1</v>
      </c>
    </row>
    <row r="143" spans="3:35" x14ac:dyDescent="0.25">
      <c r="C143" s="37">
        <f>IFERROR(IF(Q142&lt;=0.01,"",IF(C142+1&gt;Simul_ConstruRemo!$BN$11,"",C142+1)),"")</f>
        <v>121</v>
      </c>
      <c r="D143" s="37" t="str">
        <f>IF(C143&gt;Simul_ConstruRemo!$I$19,"",IF(Simul_ConstruRemo!I181=100%,"",IFERROR(VLOOKUP(C143,Simul_ConstruRemo!$AX$61:$AY$64,2,0),D142)))</f>
        <v/>
      </c>
      <c r="E143" s="136">
        <f>IF(C143="","",IF(AF143="Ministración",Simul_ConstruRemo!BM179,1))</f>
        <v>1</v>
      </c>
      <c r="F143" s="35">
        <f t="shared" si="24"/>
        <v>0</v>
      </c>
      <c r="G143" s="137">
        <f t="shared" si="19"/>
        <v>1120505.9140685818</v>
      </c>
      <c r="H143" s="137">
        <f t="shared" si="16"/>
        <v>14490</v>
      </c>
      <c r="I143" s="137">
        <f t="shared" si="17"/>
        <v>4919.0119839975323</v>
      </c>
      <c r="J143" s="137">
        <f t="shared" si="26"/>
        <v>9570.9880160024677</v>
      </c>
      <c r="K143" s="137">
        <f>IF(C143="","",IF(Simul_ConstruRemo!$I$10=Simul_ConstruRemo!$BV$6,(Simul_ConstruRemo!$I$16*0.7+Simul_ConstruRemo!$I$17*0.5),Simul_ConstruRemo!$CO$27))</f>
        <v>2606295</v>
      </c>
      <c r="L143" s="137">
        <f>IFERROR(Q143*Simul_ConstruRemo!$BP$30/1000,"")</f>
        <v>490.85823691721708</v>
      </c>
      <c r="M143" s="137">
        <f>IFERROR(IF($E$7="Remodelación",K143*Simul_ConstruRemo!$BS$29,
IF(E143=1,MAX(K143,Q143)*Simul_ConstruRemo!$BS$29,K143*Simul_ConstruRemo!$BQ$29)),"")</f>
        <v>827.2389712662</v>
      </c>
      <c r="N143" s="13">
        <f>IF(C143="","",'Tabla_Puntual&amp;Relacionamiento'!$E$47)</f>
        <v>0.10249999999999999</v>
      </c>
      <c r="O143" s="183"/>
      <c r="P143" s="137">
        <f t="shared" si="18"/>
        <v>15808.097208183417</v>
      </c>
      <c r="Q143" s="137">
        <f t="shared" si="20"/>
        <v>1115586.9020845843</v>
      </c>
      <c r="R143" s="37">
        <f t="shared" si="25"/>
        <v>1</v>
      </c>
      <c r="S143" s="137"/>
      <c r="T143" s="137"/>
      <c r="Z143" s="63"/>
      <c r="AA143" s="35">
        <f t="shared" si="15"/>
        <v>15693.995281112217</v>
      </c>
      <c r="AB143" s="63">
        <f>IF(OR(Q143="",Q143&lt;=0.01),"",IF(SUM($F$23:F143)=Simul_ConstruRemo!$I$26,1,0))</f>
        <v>1</v>
      </c>
      <c r="AC143">
        <f t="shared" si="21"/>
        <v>116</v>
      </c>
      <c r="AD143" s="147">
        <f t="shared" si="22"/>
        <v>115</v>
      </c>
      <c r="AF143" t="str">
        <f t="shared" si="27"/>
        <v>Obra Concluida</v>
      </c>
      <c r="AI143">
        <f>IF(SUM($F$23:F142)&gt;=$K$9,1,0)</f>
        <v>1</v>
      </c>
    </row>
    <row r="144" spans="3:35" x14ac:dyDescent="0.25">
      <c r="C144" s="37">
        <f>IFERROR(IF(Q143&lt;=0.01,"",IF(C143+1&gt;Simul_ConstruRemo!$BN$11,"",C143+1)),"")</f>
        <v>122</v>
      </c>
      <c r="D144" s="37" t="str">
        <f>IF(C144&gt;Simul_ConstruRemo!$I$19,"",IF(Simul_ConstruRemo!I182=100%,"",IFERROR(VLOOKUP(C144,Simul_ConstruRemo!$AX$61:$AY$64,2,0),D143)))</f>
        <v/>
      </c>
      <c r="E144" s="136">
        <f>IF(C144="","",IF(AF144="Ministración",Simul_ConstruRemo!BM180,1))</f>
        <v>1</v>
      </c>
      <c r="F144" s="35">
        <f t="shared" si="24"/>
        <v>0</v>
      </c>
      <c r="G144" s="137">
        <f t="shared" si="19"/>
        <v>1115586.9020845843</v>
      </c>
      <c r="H144" s="137">
        <f t="shared" si="16"/>
        <v>14490</v>
      </c>
      <c r="I144" s="137">
        <f t="shared" si="17"/>
        <v>4961.0285446941762</v>
      </c>
      <c r="J144" s="137">
        <f t="shared" si="26"/>
        <v>9528.9714553058238</v>
      </c>
      <c r="K144" s="137">
        <f>IF(C144="","",IF(Simul_ConstruRemo!$I$10=Simul_ConstruRemo!$BV$6,(Simul_ConstruRemo!$I$16*0.7+Simul_ConstruRemo!$I$17*0.5),Simul_ConstruRemo!$CO$27))</f>
        <v>2606295</v>
      </c>
      <c r="L144" s="137">
        <f>IFERROR(Q144*Simul_ConstruRemo!$BP$30/1000,"")</f>
        <v>488.67538435755171</v>
      </c>
      <c r="M144" s="137">
        <f>IFERROR(IF($E$7="Remodelación",K144*Simul_ConstruRemo!$BS$29,
IF(E144=1,MAX(K144,Q144)*Simul_ConstruRemo!$BS$29,K144*Simul_ConstruRemo!$BQ$29)),"")</f>
        <v>827.2389712662</v>
      </c>
      <c r="N144" s="13">
        <f>IF(C144="","",'Tabla_Puntual&amp;Relacionamiento'!$E$47)</f>
        <v>0.10249999999999999</v>
      </c>
      <c r="O144" s="183"/>
      <c r="P144" s="137">
        <f t="shared" si="18"/>
        <v>15805.914355623752</v>
      </c>
      <c r="Q144" s="137">
        <f t="shared" si="20"/>
        <v>1110625.8735398902</v>
      </c>
      <c r="R144" s="37">
        <f t="shared" si="25"/>
        <v>1</v>
      </c>
      <c r="S144" s="137"/>
      <c r="T144" s="137"/>
      <c r="Z144" s="63"/>
      <c r="AA144" s="35">
        <f t="shared" si="15"/>
        <v>15691.812428552552</v>
      </c>
      <c r="AB144" s="63">
        <f>IF(OR(Q144="",Q144&lt;=0.01),"",IF(SUM($F$23:F144)=Simul_ConstruRemo!$I$26,1,0))</f>
        <v>1</v>
      </c>
      <c r="AC144">
        <f t="shared" si="21"/>
        <v>117</v>
      </c>
      <c r="AD144" s="147">
        <f t="shared" si="22"/>
        <v>116</v>
      </c>
      <c r="AF144" t="str">
        <f t="shared" si="27"/>
        <v>Obra Concluida</v>
      </c>
      <c r="AI144">
        <f>IF(SUM($F$23:F143)&gt;=$K$9,1,0)</f>
        <v>1</v>
      </c>
    </row>
    <row r="145" spans="3:35" x14ac:dyDescent="0.25">
      <c r="C145" s="37">
        <f>IFERROR(IF(Q144&lt;=0.01,"",IF(C144+1&gt;Simul_ConstruRemo!$BN$11,"",C144+1)),"")</f>
        <v>123</v>
      </c>
      <c r="D145" s="37" t="str">
        <f>IF(C145&gt;Simul_ConstruRemo!$I$19,"",IF(Simul_ConstruRemo!I183=100%,"",IFERROR(VLOOKUP(C145,Simul_ConstruRemo!$AX$61:$AY$64,2,0),D144)))</f>
        <v/>
      </c>
      <c r="E145" s="136">
        <f>IF(C145="","",IF(AF145="Ministración",Simul_ConstruRemo!BM181,1))</f>
        <v>1</v>
      </c>
      <c r="F145" s="35">
        <f t="shared" si="24"/>
        <v>0</v>
      </c>
      <c r="G145" s="137">
        <f t="shared" si="19"/>
        <v>1110625.8735398902</v>
      </c>
      <c r="H145" s="137">
        <f t="shared" si="16"/>
        <v>14490</v>
      </c>
      <c r="I145" s="137">
        <f t="shared" si="17"/>
        <v>5003.4039968467714</v>
      </c>
      <c r="J145" s="137">
        <f t="shared" si="26"/>
        <v>9486.5960031532286</v>
      </c>
      <c r="K145" s="137">
        <f>IF(C145="","",IF(Simul_ConstruRemo!$I$10=Simul_ConstruRemo!$BV$6,(Simul_ConstruRemo!$I$16*0.7+Simul_ConstruRemo!$I$17*0.5),Simul_ConstruRemo!$CO$27))</f>
        <v>2606295</v>
      </c>
      <c r="L145" s="137">
        <f>IFERROR(Q145*Simul_ConstruRemo!$BP$30/1000,"")</f>
        <v>486.47388659893909</v>
      </c>
      <c r="M145" s="137">
        <f>IFERROR(IF($E$7="Remodelación",K145*Simul_ConstruRemo!$BS$29,
IF(E145=1,MAX(K145,Q145)*Simul_ConstruRemo!$BS$29,K145*Simul_ConstruRemo!$BQ$29)),"")</f>
        <v>827.2389712662</v>
      </c>
      <c r="N145" s="13">
        <f>IF(C145="","",'Tabla_Puntual&amp;Relacionamiento'!$E$47)</f>
        <v>0.10249999999999999</v>
      </c>
      <c r="O145" s="183"/>
      <c r="P145" s="137">
        <f t="shared" si="18"/>
        <v>15803.712857865139</v>
      </c>
      <c r="Q145" s="137">
        <f t="shared" si="20"/>
        <v>1105622.4695430433</v>
      </c>
      <c r="R145" s="37">
        <f t="shared" si="25"/>
        <v>1</v>
      </c>
      <c r="S145" s="137"/>
      <c r="T145" s="137"/>
      <c r="Z145" s="63"/>
      <c r="AA145" s="35">
        <f t="shared" si="15"/>
        <v>15689.610930793939</v>
      </c>
      <c r="AB145" s="63">
        <f>IF(OR(Q145="",Q145&lt;=0.01),"",IF(SUM($F$23:F145)=Simul_ConstruRemo!$I$26,1,0))</f>
        <v>1</v>
      </c>
      <c r="AC145">
        <f t="shared" si="21"/>
        <v>118</v>
      </c>
      <c r="AD145" s="147">
        <f t="shared" si="22"/>
        <v>117</v>
      </c>
      <c r="AF145" t="str">
        <f t="shared" si="27"/>
        <v>Obra Concluida</v>
      </c>
      <c r="AI145">
        <f>IF(SUM($F$23:F144)&gt;=$K$9,1,0)</f>
        <v>1</v>
      </c>
    </row>
    <row r="146" spans="3:35" x14ac:dyDescent="0.25">
      <c r="C146" s="37">
        <f>IFERROR(IF(Q145&lt;=0.01,"",IF(C145+1&gt;Simul_ConstruRemo!$BN$11,"",C145+1)),"")</f>
        <v>124</v>
      </c>
      <c r="D146" s="37" t="str">
        <f>IF(C146&gt;Simul_ConstruRemo!$I$19,"",IF(Simul_ConstruRemo!I184=100%,"",IFERROR(VLOOKUP(C146,Simul_ConstruRemo!$AX$61:$AY$64,2,0),D145)))</f>
        <v/>
      </c>
      <c r="E146" s="136">
        <f>IF(C146="","",IF(AF146="Ministración",Simul_ConstruRemo!BM182,1))</f>
        <v>1</v>
      </c>
      <c r="F146" s="35">
        <f t="shared" si="24"/>
        <v>0</v>
      </c>
      <c r="G146" s="137">
        <f t="shared" si="19"/>
        <v>1105622.4695430433</v>
      </c>
      <c r="H146" s="137">
        <f t="shared" si="16"/>
        <v>14490</v>
      </c>
      <c r="I146" s="137">
        <f t="shared" si="17"/>
        <v>5046.1414059865056</v>
      </c>
      <c r="J146" s="137">
        <f t="shared" si="26"/>
        <v>9443.8585940134944</v>
      </c>
      <c r="K146" s="137">
        <f>IF(C146="","",IF(Simul_ConstruRemo!$I$10=Simul_ConstruRemo!$BV$6,(Simul_ConstruRemo!$I$16*0.7+Simul_ConstruRemo!$I$17*0.5),Simul_ConstruRemo!$CO$27))</f>
        <v>2606295</v>
      </c>
      <c r="L146" s="137">
        <f>IFERROR(Q146*Simul_ConstruRemo!$BP$30/1000,"")</f>
        <v>484.25358438030503</v>
      </c>
      <c r="M146" s="137">
        <f>IFERROR(IF($E$7="Remodelación",K146*Simul_ConstruRemo!$BS$29,
IF(E146=1,MAX(K146,Q146)*Simul_ConstruRemo!$BS$29,K146*Simul_ConstruRemo!$BQ$29)),"")</f>
        <v>827.2389712662</v>
      </c>
      <c r="N146" s="13">
        <f>IF(C146="","",'Tabla_Puntual&amp;Relacionamiento'!$E$47)</f>
        <v>0.10249999999999999</v>
      </c>
      <c r="O146" s="183"/>
      <c r="P146" s="137">
        <f t="shared" si="18"/>
        <v>15801.492555646506</v>
      </c>
      <c r="Q146" s="137">
        <f t="shared" si="20"/>
        <v>1100576.3281370569</v>
      </c>
      <c r="R146" s="37">
        <f t="shared" si="25"/>
        <v>1</v>
      </c>
      <c r="S146" s="137"/>
      <c r="T146" s="137"/>
      <c r="Z146" s="63"/>
      <c r="AA146" s="35">
        <f t="shared" si="15"/>
        <v>15687.390628575306</v>
      </c>
      <c r="AB146" s="63">
        <f>IF(OR(Q146="",Q146&lt;=0.01),"",IF(SUM($F$23:F146)=Simul_ConstruRemo!$I$26,1,0))</f>
        <v>1</v>
      </c>
      <c r="AC146">
        <f t="shared" si="21"/>
        <v>119</v>
      </c>
      <c r="AD146" s="147">
        <f t="shared" si="22"/>
        <v>118</v>
      </c>
      <c r="AF146" t="str">
        <f t="shared" si="27"/>
        <v>Obra Concluida</v>
      </c>
      <c r="AI146">
        <f>IF(SUM($F$23:F145)&gt;=$K$9,1,0)</f>
        <v>1</v>
      </c>
    </row>
    <row r="147" spans="3:35" x14ac:dyDescent="0.25">
      <c r="C147" s="37">
        <f>IFERROR(IF(Q146&lt;=0.01,"",IF(C146+1&gt;Simul_ConstruRemo!$BN$11,"",C146+1)),"")</f>
        <v>125</v>
      </c>
      <c r="D147" s="37" t="str">
        <f>IF(C147&gt;Simul_ConstruRemo!$I$19,"",IF(Simul_ConstruRemo!I185=100%,"",IFERROR(VLOOKUP(C147,Simul_ConstruRemo!$AX$61:$AY$64,2,0),D146)))</f>
        <v/>
      </c>
      <c r="E147" s="136">
        <f>IF(C147="","",IF(AF147="Ministración",Simul_ConstruRemo!BM183,1))</f>
        <v>1</v>
      </c>
      <c r="F147" s="35">
        <f t="shared" si="24"/>
        <v>0</v>
      </c>
      <c r="G147" s="137">
        <f t="shared" si="19"/>
        <v>1100576.3281370569</v>
      </c>
      <c r="H147" s="137">
        <f t="shared" si="16"/>
        <v>14490</v>
      </c>
      <c r="I147" s="137">
        <f t="shared" si="17"/>
        <v>5089.2438638293061</v>
      </c>
      <c r="J147" s="137">
        <f t="shared" si="26"/>
        <v>9400.7561361706939</v>
      </c>
      <c r="K147" s="137">
        <f>IF(C147="","",IF(Simul_ConstruRemo!$I$10=Simul_ConstruRemo!$BV$6,(Simul_ConstruRemo!$I$16*0.7+Simul_ConstruRemo!$I$17*0.5),Simul_ConstruRemo!$CO$27))</f>
        <v>2606295</v>
      </c>
      <c r="L147" s="137">
        <f>IFERROR(Q147*Simul_ConstruRemo!$BP$30/1000,"")</f>
        <v>482.01431708022011</v>
      </c>
      <c r="M147" s="137">
        <f>IFERROR(IF($E$7="Remodelación",K147*Simul_ConstruRemo!$BS$29,
IF(E147=1,MAX(K147,Q147)*Simul_ConstruRemo!$BS$29,K147*Simul_ConstruRemo!$BQ$29)),"")</f>
        <v>827.2389712662</v>
      </c>
      <c r="N147" s="13">
        <f>IF(C147="","",'Tabla_Puntual&amp;Relacionamiento'!$E$47)</f>
        <v>0.10249999999999999</v>
      </c>
      <c r="O147" s="183"/>
      <c r="P147" s="137">
        <f t="shared" si="18"/>
        <v>15799.253288346421</v>
      </c>
      <c r="Q147" s="137">
        <f t="shared" si="20"/>
        <v>1095487.0842732275</v>
      </c>
      <c r="R147" s="37">
        <f t="shared" si="25"/>
        <v>1</v>
      </c>
      <c r="S147" s="137"/>
      <c r="T147" s="137"/>
      <c r="Z147" s="63"/>
      <c r="AA147" s="35">
        <f t="shared" si="15"/>
        <v>15685.151361275221</v>
      </c>
      <c r="AB147" s="63">
        <f>IF(OR(Q147="",Q147&lt;=0.01),"",IF(SUM($F$23:F147)=Simul_ConstruRemo!$I$26,1,0))</f>
        <v>1</v>
      </c>
      <c r="AC147">
        <f t="shared" si="21"/>
        <v>120</v>
      </c>
      <c r="AD147" s="147">
        <f t="shared" si="22"/>
        <v>119</v>
      </c>
      <c r="AF147" t="str">
        <f t="shared" si="27"/>
        <v>Obra Concluida</v>
      </c>
      <c r="AI147">
        <f>IF(SUM($F$23:F146)&gt;=$K$9,1,0)</f>
        <v>1</v>
      </c>
    </row>
    <row r="148" spans="3:35" x14ac:dyDescent="0.25">
      <c r="C148" s="37">
        <f>IFERROR(IF(Q147&lt;=0.01,"",IF(C147+1&gt;Simul_ConstruRemo!$BN$11,"",C147+1)),"")</f>
        <v>126</v>
      </c>
      <c r="D148" s="37" t="str">
        <f>IF(C148&gt;Simul_ConstruRemo!$I$19,"",IF(Simul_ConstruRemo!I186=100%,"",IFERROR(VLOOKUP(C148,Simul_ConstruRemo!$AX$61:$AY$64,2,0),D147)))</f>
        <v/>
      </c>
      <c r="E148" s="136">
        <f>IF(C148="","",IF(AF148="Ministración",Simul_ConstruRemo!BM184,1))</f>
        <v>1</v>
      </c>
      <c r="F148" s="35">
        <f t="shared" si="24"/>
        <v>0</v>
      </c>
      <c r="G148" s="137">
        <f t="shared" si="19"/>
        <v>1095487.0842732275</v>
      </c>
      <c r="H148" s="137">
        <f t="shared" si="16"/>
        <v>14490</v>
      </c>
      <c r="I148" s="137">
        <f t="shared" si="17"/>
        <v>5132.7144884995159</v>
      </c>
      <c r="J148" s="137">
        <f t="shared" si="26"/>
        <v>9357.2855115004841</v>
      </c>
      <c r="K148" s="137">
        <f>IF(C148="","",IF(Simul_ConstruRemo!$I$10=Simul_ConstruRemo!$BV$6,(Simul_ConstruRemo!$I$16*0.7+Simul_ConstruRemo!$I$17*0.5),Simul_ConstruRemo!$CO$27))</f>
        <v>2606295</v>
      </c>
      <c r="L148" s="137">
        <f>IFERROR(Q148*Simul_ConstruRemo!$BP$30/1000,"")</f>
        <v>479.75592270528028</v>
      </c>
      <c r="M148" s="137">
        <f>IFERROR(IF($E$7="Remodelación",K148*Simul_ConstruRemo!$BS$29,
IF(E148=1,MAX(K148,Q148)*Simul_ConstruRemo!$BS$29,K148*Simul_ConstruRemo!$BQ$29)),"")</f>
        <v>827.2389712662</v>
      </c>
      <c r="N148" s="13">
        <f>IF(C148="","",'Tabla_Puntual&amp;Relacionamiento'!$E$47)</f>
        <v>0.10249999999999999</v>
      </c>
      <c r="O148" s="183"/>
      <c r="P148" s="137">
        <f t="shared" si="18"/>
        <v>15796.994893971481</v>
      </c>
      <c r="Q148" s="137">
        <f t="shared" si="20"/>
        <v>1090354.3697847279</v>
      </c>
      <c r="R148" s="37">
        <f t="shared" si="25"/>
        <v>1</v>
      </c>
      <c r="S148" s="137"/>
      <c r="T148" s="137"/>
      <c r="Z148" s="63"/>
      <c r="AA148" s="35">
        <f t="shared" si="15"/>
        <v>15682.892966900281</v>
      </c>
      <c r="AB148" s="63">
        <f>IF(OR(Q148="",Q148&lt;=0.01),"",IF(SUM($F$23:F148)=Simul_ConstruRemo!$I$26,1,0))</f>
        <v>1</v>
      </c>
      <c r="AC148">
        <f t="shared" si="21"/>
        <v>121</v>
      </c>
      <c r="AD148" s="147">
        <f t="shared" si="22"/>
        <v>120</v>
      </c>
      <c r="AF148" t="str">
        <f t="shared" si="27"/>
        <v>Obra Concluida</v>
      </c>
      <c r="AI148">
        <f>IF(SUM($F$23:F147)&gt;=$K$9,1,0)</f>
        <v>1</v>
      </c>
    </row>
    <row r="149" spans="3:35" x14ac:dyDescent="0.25">
      <c r="C149" s="37">
        <f>IFERROR(IF(Q148&lt;=0.01,"",IF(C148+1&gt;Simul_ConstruRemo!$BN$11,"",C148+1)),"")</f>
        <v>127</v>
      </c>
      <c r="D149" s="37" t="str">
        <f>IF(C149&gt;Simul_ConstruRemo!$I$19,"",IF(Simul_ConstruRemo!I187=100%,"",IFERROR(VLOOKUP(C149,Simul_ConstruRemo!$AX$61:$AY$64,2,0),D148)))</f>
        <v/>
      </c>
      <c r="E149" s="136">
        <f>IF(C149="","",IF(AF149="Ministración",Simul_ConstruRemo!BM185,1))</f>
        <v>1</v>
      </c>
      <c r="F149" s="35">
        <f t="shared" si="24"/>
        <v>0</v>
      </c>
      <c r="G149" s="137">
        <f t="shared" si="19"/>
        <v>1090354.3697847279</v>
      </c>
      <c r="H149" s="137">
        <f t="shared" si="16"/>
        <v>14490</v>
      </c>
      <c r="I149" s="137">
        <f t="shared" si="17"/>
        <v>5176.5564247554485</v>
      </c>
      <c r="J149" s="137">
        <f t="shared" si="26"/>
        <v>9313.4435752445515</v>
      </c>
      <c r="K149" s="137">
        <f>IF(C149="","",IF(Simul_ConstruRemo!$I$10=Simul_ConstruRemo!$BV$6,(Simul_ConstruRemo!$I$16*0.7+Simul_ConstruRemo!$I$17*0.5),Simul_ConstruRemo!$CO$27))</f>
        <v>2606295</v>
      </c>
      <c r="L149" s="137">
        <f>IFERROR(Q149*Simul_ConstruRemo!$BP$30/1000,"")</f>
        <v>477.47823787838792</v>
      </c>
      <c r="M149" s="137">
        <f>IFERROR(IF($E$7="Remodelación",K149*Simul_ConstruRemo!$BS$29,
IF(E149=1,MAX(K149,Q149)*Simul_ConstruRemo!$BS$29,K149*Simul_ConstruRemo!$BQ$29)),"")</f>
        <v>827.2389712662</v>
      </c>
      <c r="N149" s="13">
        <f>IF(C149="","",'Tabla_Puntual&amp;Relacionamiento'!$E$47)</f>
        <v>0.10249999999999999</v>
      </c>
      <c r="O149" s="183"/>
      <c r="P149" s="137">
        <f t="shared" si="18"/>
        <v>15794.717209144588</v>
      </c>
      <c r="Q149" s="137">
        <f t="shared" si="20"/>
        <v>1085177.8133599726</v>
      </c>
      <c r="R149" s="37">
        <f t="shared" si="25"/>
        <v>1</v>
      </c>
      <c r="S149" s="137"/>
      <c r="T149" s="137"/>
      <c r="Z149" s="63"/>
      <c r="AA149" s="35">
        <f t="shared" si="15"/>
        <v>15680.615282073388</v>
      </c>
      <c r="AB149" s="63">
        <f>IF(OR(Q149="",Q149&lt;=0.01),"",IF(SUM($F$23:F149)=Simul_ConstruRemo!$I$26,1,0))</f>
        <v>1</v>
      </c>
      <c r="AC149">
        <f t="shared" si="21"/>
        <v>122</v>
      </c>
      <c r="AD149" s="147">
        <f t="shared" si="22"/>
        <v>121</v>
      </c>
      <c r="AF149" t="str">
        <f t="shared" si="27"/>
        <v>Obra Concluida</v>
      </c>
      <c r="AI149">
        <f>IF(SUM($F$23:F148)&gt;=$K$9,1,0)</f>
        <v>1</v>
      </c>
    </row>
    <row r="150" spans="3:35" x14ac:dyDescent="0.25">
      <c r="C150" s="37">
        <f>IFERROR(IF(Q149&lt;=0.01,"",IF(C149+1&gt;Simul_ConstruRemo!$BN$11,"",C149+1)),"")</f>
        <v>128</v>
      </c>
      <c r="D150" s="37" t="str">
        <f>IF(C150&gt;Simul_ConstruRemo!$I$19,"",IF(Simul_ConstruRemo!I188=100%,"",IFERROR(VLOOKUP(C150,Simul_ConstruRemo!$AX$61:$AY$64,2,0),D149)))</f>
        <v/>
      </c>
      <c r="E150" s="136">
        <f>IF(C150="","",IF(AF150="Ministración",Simul_ConstruRemo!BM186,1))</f>
        <v>1</v>
      </c>
      <c r="F150" s="35">
        <f t="shared" si="24"/>
        <v>0</v>
      </c>
      <c r="G150" s="137">
        <f t="shared" si="19"/>
        <v>1085177.8133599726</v>
      </c>
      <c r="H150" s="137">
        <f t="shared" si="16"/>
        <v>14490</v>
      </c>
      <c r="I150" s="137">
        <f t="shared" si="17"/>
        <v>5220.7728442169009</v>
      </c>
      <c r="J150" s="137">
        <f t="shared" si="26"/>
        <v>9269.2271557830991</v>
      </c>
      <c r="K150" s="137">
        <f>IF(C150="","",IF(Simul_ConstruRemo!$I$10=Simul_ConstruRemo!$BV$6,(Simul_ConstruRemo!$I$16*0.7+Simul_ConstruRemo!$I$17*0.5),Simul_ConstruRemo!$CO$27))</f>
        <v>2606295</v>
      </c>
      <c r="L150" s="137">
        <f>IFERROR(Q150*Simul_ConstruRemo!$BP$30/1000,"")</f>
        <v>475.18109782693256</v>
      </c>
      <c r="M150" s="137">
        <f>IFERROR(IF($E$7="Remodelación",K150*Simul_ConstruRemo!$BS$29,
IF(E150=1,MAX(K150,Q150)*Simul_ConstruRemo!$BS$29,K150*Simul_ConstruRemo!$BQ$29)),"")</f>
        <v>827.2389712662</v>
      </c>
      <c r="N150" s="13">
        <f>IF(C150="","",'Tabla_Puntual&amp;Relacionamiento'!$E$47)</f>
        <v>0.10249999999999999</v>
      </c>
      <c r="O150" s="183"/>
      <c r="P150" s="137">
        <f t="shared" si="18"/>
        <v>15792.420069093134</v>
      </c>
      <c r="Q150" s="137">
        <f t="shared" si="20"/>
        <v>1079957.0405157558</v>
      </c>
      <c r="R150" s="37">
        <f t="shared" si="25"/>
        <v>1</v>
      </c>
      <c r="S150" s="137"/>
      <c r="T150" s="137"/>
      <c r="Z150" s="63"/>
      <c r="AA150" s="35">
        <f t="shared" si="15"/>
        <v>15678.318142021933</v>
      </c>
      <c r="AB150" s="63">
        <f>IF(OR(Q150="",Q150&lt;=0.01),"",IF(SUM($F$23:F150)=Simul_ConstruRemo!$I$26,1,0))</f>
        <v>1</v>
      </c>
      <c r="AC150">
        <f t="shared" si="21"/>
        <v>123</v>
      </c>
      <c r="AD150" s="147">
        <f t="shared" si="22"/>
        <v>122</v>
      </c>
      <c r="AF150" t="str">
        <f t="shared" si="27"/>
        <v>Obra Concluida</v>
      </c>
      <c r="AI150">
        <f>IF(SUM($F$23:F149)&gt;=$K$9,1,0)</f>
        <v>1</v>
      </c>
    </row>
    <row r="151" spans="3:35" x14ac:dyDescent="0.25">
      <c r="C151" s="37">
        <f>IFERROR(IF(Q150&lt;=0.01,"",IF(C150+1&gt;Simul_ConstruRemo!$BN$11,"",C150+1)),"")</f>
        <v>129</v>
      </c>
      <c r="D151" s="37" t="str">
        <f>IF(C151&gt;Simul_ConstruRemo!$I$19,"",IF(Simul_ConstruRemo!I189=100%,"",IFERROR(VLOOKUP(C151,Simul_ConstruRemo!$AX$61:$AY$64,2,0),D150)))</f>
        <v/>
      </c>
      <c r="E151" s="136">
        <f>IF(C151="","",IF(AF151="Ministración",Simul_ConstruRemo!BM187,1))</f>
        <v>1</v>
      </c>
      <c r="F151" s="35">
        <f t="shared" si="24"/>
        <v>0</v>
      </c>
      <c r="G151" s="137">
        <f t="shared" si="19"/>
        <v>1079957.0405157558</v>
      </c>
      <c r="H151" s="137">
        <f t="shared" si="16"/>
        <v>14490</v>
      </c>
      <c r="I151" s="137">
        <f t="shared" si="17"/>
        <v>5265.3669455945874</v>
      </c>
      <c r="J151" s="137">
        <f t="shared" si="26"/>
        <v>9224.6330544054126</v>
      </c>
      <c r="K151" s="137">
        <f>IF(C151="","",IF(Simul_ConstruRemo!$I$10=Simul_ConstruRemo!$BV$6,(Simul_ConstruRemo!$I$16*0.7+Simul_ConstruRemo!$I$17*0.5),Simul_ConstruRemo!$CO$27))</f>
        <v>2606295</v>
      </c>
      <c r="L151" s="137">
        <f>IFERROR(Q151*Simul_ConstruRemo!$BP$30/1000,"")</f>
        <v>472.86433637087094</v>
      </c>
      <c r="M151" s="137">
        <f>IFERROR(IF($E$7="Remodelación",K151*Simul_ConstruRemo!$BS$29,
IF(E151=1,MAX(K151,Q151)*Simul_ConstruRemo!$BS$29,K151*Simul_ConstruRemo!$BQ$29)),"")</f>
        <v>827.2389712662</v>
      </c>
      <c r="N151" s="13">
        <f>IF(C151="","",'Tabla_Puntual&amp;Relacionamiento'!$E$47)</f>
        <v>0.10249999999999999</v>
      </c>
      <c r="O151" s="183"/>
      <c r="P151" s="137">
        <f t="shared" si="18"/>
        <v>15790.103307637071</v>
      </c>
      <c r="Q151" s="137">
        <f t="shared" si="20"/>
        <v>1074691.6735701612</v>
      </c>
      <c r="R151" s="37">
        <f t="shared" si="25"/>
        <v>1</v>
      </c>
      <c r="S151" s="137"/>
      <c r="T151" s="137"/>
      <c r="Z151" s="63"/>
      <c r="AA151" s="35">
        <f t="shared" ref="AA151:AA214" si="28">IF(P151="","",P151-(M151-(M151/1.16)))</f>
        <v>15676.001380565871</v>
      </c>
      <c r="AB151" s="63">
        <f>IF(OR(Q151="",Q151&lt;=0.01),"",IF(SUM($F$23:F151)=Simul_ConstruRemo!$I$26,1,0))</f>
        <v>1</v>
      </c>
      <c r="AC151">
        <f t="shared" si="21"/>
        <v>124</v>
      </c>
      <c r="AD151" s="147">
        <f t="shared" si="22"/>
        <v>123</v>
      </c>
      <c r="AF151" t="str">
        <f t="shared" si="27"/>
        <v>Obra Concluida</v>
      </c>
      <c r="AI151">
        <f>IF(SUM($F$23:F150)&gt;=$K$9,1,0)</f>
        <v>1</v>
      </c>
    </row>
    <row r="152" spans="3:35" x14ac:dyDescent="0.25">
      <c r="C152" s="37">
        <f>IFERROR(IF(Q151&lt;=0.01,"",IF(C151+1&gt;Simul_ConstruRemo!$BN$11,"",C151+1)),"")</f>
        <v>130</v>
      </c>
      <c r="D152" s="37" t="str">
        <f>IF(C152&gt;Simul_ConstruRemo!$I$19,"",IF(Simul_ConstruRemo!I190=100%,"",IFERROR(VLOOKUP(C152,Simul_ConstruRemo!$AX$61:$AY$64,2,0),D151)))</f>
        <v/>
      </c>
      <c r="E152" s="136">
        <f>IF(C152="","",IF(AF152="Ministración",Simul_ConstruRemo!BM188,1))</f>
        <v>1</v>
      </c>
      <c r="F152" s="35">
        <f t="shared" si="24"/>
        <v>0</v>
      </c>
      <c r="G152" s="137">
        <f t="shared" si="19"/>
        <v>1074691.6735701612</v>
      </c>
      <c r="H152" s="137">
        <f t="shared" ref="H152:H215" si="29">IF(C152="","",IF(AI152=0,J152,$K$9*$K$15/1000))</f>
        <v>14490</v>
      </c>
      <c r="I152" s="137">
        <f t="shared" ref="I152:I215" si="30">IF(C152="","",H152-J152)</f>
        <v>5310.3419549215396</v>
      </c>
      <c r="J152" s="137">
        <f t="shared" si="26"/>
        <v>9179.6580450784604</v>
      </c>
      <c r="K152" s="137">
        <f>IF(C152="","",IF(Simul_ConstruRemo!$I$10=Simul_ConstruRemo!$BV$6,(Simul_ConstruRemo!$I$16*0.7+Simul_ConstruRemo!$I$17*0.5),Simul_ConstruRemo!$CO$27))</f>
        <v>2606295</v>
      </c>
      <c r="L152" s="137">
        <f>IFERROR(Q152*Simul_ConstruRemo!$BP$30/1000,"")</f>
        <v>470.52778591070546</v>
      </c>
      <c r="M152" s="137">
        <f>IFERROR(IF($E$7="Remodelación",K152*Simul_ConstruRemo!$BS$29,
IF(E152=1,MAX(K152,Q152)*Simul_ConstruRemo!$BS$29,K152*Simul_ConstruRemo!$BQ$29)),"")</f>
        <v>827.2389712662</v>
      </c>
      <c r="N152" s="13">
        <f>IF(C152="","",'Tabla_Puntual&amp;Relacionamiento'!$E$47)</f>
        <v>0.10249999999999999</v>
      </c>
      <c r="O152" s="183"/>
      <c r="P152" s="137">
        <f t="shared" ref="P152:P215" si="31">IFERROR(H152+M152+L152,"")</f>
        <v>15787.766757176905</v>
      </c>
      <c r="Q152" s="137">
        <f t="shared" si="20"/>
        <v>1069381.3316152396</v>
      </c>
      <c r="R152" s="37">
        <f t="shared" si="25"/>
        <v>1</v>
      </c>
      <c r="S152" s="137"/>
      <c r="T152" s="137"/>
      <c r="Z152" s="63"/>
      <c r="AA152" s="35">
        <f t="shared" si="28"/>
        <v>15673.664830105705</v>
      </c>
      <c r="AB152" s="63">
        <f>IF(OR(Q152="",Q152&lt;=0.01),"",IF(SUM($F$23:F152)=Simul_ConstruRemo!$I$26,1,0))</f>
        <v>1</v>
      </c>
      <c r="AC152">
        <f t="shared" si="21"/>
        <v>125</v>
      </c>
      <c r="AD152" s="147">
        <f t="shared" si="22"/>
        <v>124</v>
      </c>
      <c r="AF152" t="str">
        <f t="shared" si="27"/>
        <v>Obra Concluida</v>
      </c>
      <c r="AI152">
        <f>IF(SUM($F$23:F151)&gt;=$K$9,1,0)</f>
        <v>1</v>
      </c>
    </row>
    <row r="153" spans="3:35" x14ac:dyDescent="0.25">
      <c r="C153" s="37">
        <f>IFERROR(IF(Q152&lt;=0.01,"",IF(C152+1&gt;Simul_ConstruRemo!$BN$11,"",C152+1)),"")</f>
        <v>131</v>
      </c>
      <c r="D153" s="37" t="str">
        <f>IF(C153&gt;Simul_ConstruRemo!$I$19,"",IF(Simul_ConstruRemo!I191=100%,"",IFERROR(VLOOKUP(C153,Simul_ConstruRemo!$AX$61:$AY$64,2,0),D152)))</f>
        <v/>
      </c>
      <c r="E153" s="136">
        <f>IF(C153="","",IF(AF153="Ministración",Simul_ConstruRemo!BM189,1))</f>
        <v>1</v>
      </c>
      <c r="F153" s="35">
        <f t="shared" si="24"/>
        <v>0</v>
      </c>
      <c r="G153" s="137">
        <f t="shared" ref="G153:G216" si="32">IF(C153="","",Q152)</f>
        <v>1069381.3316152396</v>
      </c>
      <c r="H153" s="137">
        <f t="shared" si="29"/>
        <v>14490</v>
      </c>
      <c r="I153" s="137">
        <f t="shared" si="30"/>
        <v>5355.701125786496</v>
      </c>
      <c r="J153" s="137">
        <f t="shared" si="26"/>
        <v>9134.298874213504</v>
      </c>
      <c r="K153" s="137">
        <f>IF(C153="","",IF(Simul_ConstruRemo!$I$10=Simul_ConstruRemo!$BV$6,(Simul_ConstruRemo!$I$16*0.7+Simul_ConstruRemo!$I$17*0.5),Simul_ConstruRemo!$CO$27))</f>
        <v>2606295</v>
      </c>
      <c r="L153" s="137">
        <f>IFERROR(Q153*Simul_ConstruRemo!$BP$30/1000,"")</f>
        <v>468.17127741535938</v>
      </c>
      <c r="M153" s="137">
        <f>IFERROR(IF($E$7="Remodelación",K153*Simul_ConstruRemo!$BS$29,
IF(E153=1,MAX(K153,Q153)*Simul_ConstruRemo!$BS$29,K153*Simul_ConstruRemo!$BQ$29)),"")</f>
        <v>827.2389712662</v>
      </c>
      <c r="N153" s="13">
        <f>IF(C153="","",'Tabla_Puntual&amp;Relacionamiento'!$E$47)</f>
        <v>0.10249999999999999</v>
      </c>
      <c r="O153" s="183"/>
      <c r="P153" s="137">
        <f t="shared" si="31"/>
        <v>15785.410248681561</v>
      </c>
      <c r="Q153" s="137">
        <f t="shared" ref="Q153:Q216" si="33">IFERROR(IF(Q152+F153-I153-O153&lt;=0,0,Q152+F153-I153-O153),"")</f>
        <v>1064025.6304894532</v>
      </c>
      <c r="R153" s="37">
        <f t="shared" si="25"/>
        <v>1</v>
      </c>
      <c r="S153" s="137"/>
      <c r="T153" s="137"/>
      <c r="Z153" s="63"/>
      <c r="AA153" s="35">
        <f t="shared" si="28"/>
        <v>15671.308321610361</v>
      </c>
      <c r="AB153" s="63">
        <f>IF(OR(Q153="",Q153&lt;=0.01),"",IF(SUM($F$23:F153)=Simul_ConstruRemo!$I$26,1,0))</f>
        <v>1</v>
      </c>
      <c r="AC153">
        <f t="shared" ref="AC153:AC216" si="34">IFERROR(AC152+AB153,0)</f>
        <v>126</v>
      </c>
      <c r="AD153" s="147">
        <f t="shared" si="22"/>
        <v>125</v>
      </c>
      <c r="AF153" t="str">
        <f t="shared" si="27"/>
        <v>Obra Concluida</v>
      </c>
      <c r="AI153">
        <f>IF(SUM($F$23:F152)&gt;=$K$9,1,0)</f>
        <v>1</v>
      </c>
    </row>
    <row r="154" spans="3:35" x14ac:dyDescent="0.25">
      <c r="C154" s="37">
        <f>IFERROR(IF(Q153&lt;=0.01,"",IF(C153+1&gt;Simul_ConstruRemo!$BN$11,"",C153+1)),"")</f>
        <v>132</v>
      </c>
      <c r="D154" s="37" t="str">
        <f>IF(C154&gt;Simul_ConstruRemo!$I$19,"",IF(Simul_ConstruRemo!I192=100%,"",IFERROR(VLOOKUP(C154,Simul_ConstruRemo!$AX$61:$AY$64,2,0),D153)))</f>
        <v/>
      </c>
      <c r="E154" s="136">
        <f>IF(C154="","",IF(AF154="Ministración",Simul_ConstruRemo!BM190,1))</f>
        <v>1</v>
      </c>
      <c r="F154" s="35">
        <f t="shared" si="24"/>
        <v>0</v>
      </c>
      <c r="G154" s="137">
        <f t="shared" si="32"/>
        <v>1064025.6304894532</v>
      </c>
      <c r="H154" s="137">
        <f t="shared" si="29"/>
        <v>14490</v>
      </c>
      <c r="I154" s="137">
        <f t="shared" si="30"/>
        <v>5401.4477395692538</v>
      </c>
      <c r="J154" s="137">
        <f t="shared" si="26"/>
        <v>9088.5522604307462</v>
      </c>
      <c r="K154" s="137">
        <f>IF(C154="","",IF(Simul_ConstruRemo!$I$10=Simul_ConstruRemo!$BV$6,(Simul_ConstruRemo!$I$16*0.7+Simul_ConstruRemo!$I$17*0.5),Simul_ConstruRemo!$CO$27))</f>
        <v>2606295</v>
      </c>
      <c r="L154" s="137">
        <f>IFERROR(Q154*Simul_ConstruRemo!$BP$30/1000,"")</f>
        <v>465.79464040994895</v>
      </c>
      <c r="M154" s="137">
        <f>IFERROR(IF($E$7="Remodelación",K154*Simul_ConstruRemo!$BS$29,
IF(E154=1,MAX(K154,Q154)*Simul_ConstruRemo!$BS$29,K154*Simul_ConstruRemo!$BQ$29)),"")</f>
        <v>827.2389712662</v>
      </c>
      <c r="N154" s="13">
        <f>IF(C154="","",'Tabla_Puntual&amp;Relacionamiento'!$E$47)</f>
        <v>0.10249999999999999</v>
      </c>
      <c r="O154" s="183"/>
      <c r="P154" s="137">
        <f t="shared" si="31"/>
        <v>15783.03361167615</v>
      </c>
      <c r="Q154" s="137">
        <f t="shared" si="33"/>
        <v>1058624.182749884</v>
      </c>
      <c r="R154" s="37">
        <f t="shared" si="25"/>
        <v>1</v>
      </c>
      <c r="S154" s="137"/>
      <c r="T154" s="137"/>
      <c r="Z154" s="63"/>
      <c r="AA154" s="35">
        <f t="shared" si="28"/>
        <v>15668.93168460495</v>
      </c>
      <c r="AB154" s="63">
        <f>IF(OR(Q154="",Q154&lt;=0.01),"",IF(SUM($F$23:F154)=Simul_ConstruRemo!$I$26,1,0))</f>
        <v>1</v>
      </c>
      <c r="AC154">
        <f t="shared" si="34"/>
        <v>127</v>
      </c>
      <c r="AD154" s="147">
        <f t="shared" ref="AD154:AD217" si="35">IF(AC154&gt;0,AC154-1,AC154)</f>
        <v>126</v>
      </c>
      <c r="AF154" t="str">
        <f t="shared" si="27"/>
        <v>Obra Concluida</v>
      </c>
      <c r="AI154">
        <f>IF(SUM($F$23:F153)&gt;=$K$9,1,0)</f>
        <v>1</v>
      </c>
    </row>
    <row r="155" spans="3:35" x14ac:dyDescent="0.25">
      <c r="C155" s="37">
        <f>IFERROR(IF(Q154&lt;=0.01,"",IF(C154+1&gt;Simul_ConstruRemo!$BN$11,"",C154+1)),"")</f>
        <v>133</v>
      </c>
      <c r="D155" s="37" t="str">
        <f>IF(C155&gt;Simul_ConstruRemo!$I$19,"",IF(Simul_ConstruRemo!I193=100%,"",IFERROR(VLOOKUP(C155,Simul_ConstruRemo!$AX$61:$AY$64,2,0),D154)))</f>
        <v/>
      </c>
      <c r="E155" s="136">
        <f>IF(C155="","",IF(AF155="Ministración",Simul_ConstruRemo!BM191,1))</f>
        <v>1</v>
      </c>
      <c r="F155" s="35">
        <f t="shared" si="24"/>
        <v>0</v>
      </c>
      <c r="G155" s="137">
        <f t="shared" si="32"/>
        <v>1058624.182749884</v>
      </c>
      <c r="H155" s="137">
        <f t="shared" si="29"/>
        <v>14490</v>
      </c>
      <c r="I155" s="137">
        <f t="shared" si="30"/>
        <v>5447.5851056780757</v>
      </c>
      <c r="J155" s="137">
        <f t="shared" si="26"/>
        <v>9042.4148943219243</v>
      </c>
      <c r="K155" s="137">
        <f>IF(C155="","",IF(Simul_ConstruRemo!$I$10=Simul_ConstruRemo!$BV$6,(Simul_ConstruRemo!$I$16*0.7+Simul_ConstruRemo!$I$17*0.5),Simul_ConstruRemo!$CO$27))</f>
        <v>2606295</v>
      </c>
      <c r="L155" s="137">
        <f>IFERROR(Q155*Simul_ConstruRemo!$BP$30/1000,"")</f>
        <v>463.39770296345057</v>
      </c>
      <c r="M155" s="137">
        <f>IFERROR(IF($E$7="Remodelación",K155*Simul_ConstruRemo!$BS$29,
IF(E155=1,MAX(K155,Q155)*Simul_ConstruRemo!$BS$29,K155*Simul_ConstruRemo!$BQ$29)),"")</f>
        <v>827.2389712662</v>
      </c>
      <c r="N155" s="13">
        <f>IF(C155="","",'Tabla_Puntual&amp;Relacionamiento'!$E$48)</f>
        <v>0.10249999999999999</v>
      </c>
      <c r="O155" s="183"/>
      <c r="P155" s="137">
        <f t="shared" si="31"/>
        <v>15780.63667422965</v>
      </c>
      <c r="Q155" s="137">
        <f t="shared" si="33"/>
        <v>1053176.5976442059</v>
      </c>
      <c r="R155" s="37">
        <f t="shared" si="25"/>
        <v>1</v>
      </c>
      <c r="S155" s="137"/>
      <c r="T155" s="137"/>
      <c r="Z155" s="63"/>
      <c r="AA155" s="35">
        <f t="shared" si="28"/>
        <v>15666.53474715845</v>
      </c>
      <c r="AB155" s="63">
        <f>IF(OR(Q155="",Q155&lt;=0.01),"",IF(SUM($F$23:F155)=Simul_ConstruRemo!$I$26,1,0))</f>
        <v>1</v>
      </c>
      <c r="AC155">
        <f t="shared" si="34"/>
        <v>128</v>
      </c>
      <c r="AD155" s="147">
        <f t="shared" si="35"/>
        <v>127</v>
      </c>
      <c r="AF155" t="str">
        <f t="shared" si="27"/>
        <v>Obra Concluida</v>
      </c>
      <c r="AI155">
        <f>IF(SUM($F$23:F154)&gt;=$K$9,1,0)</f>
        <v>1</v>
      </c>
    </row>
    <row r="156" spans="3:35" x14ac:dyDescent="0.25">
      <c r="C156" s="37">
        <f>IFERROR(IF(Q155&lt;=0.01,"",IF(C155+1&gt;Simul_ConstruRemo!$BN$11,"",C155+1)),"")</f>
        <v>134</v>
      </c>
      <c r="D156" s="37" t="str">
        <f>IF(C156&gt;Simul_ConstruRemo!$I$19,"",IF(Simul_ConstruRemo!I194=100%,"",IFERROR(VLOOKUP(C156,Simul_ConstruRemo!$AX$61:$AY$64,2,0),D155)))</f>
        <v/>
      </c>
      <c r="E156" s="136">
        <f>IF(C156="","",IF(AF156="Ministración",Simul_ConstruRemo!BM192,1))</f>
        <v>1</v>
      </c>
      <c r="F156" s="35">
        <f t="shared" si="24"/>
        <v>0</v>
      </c>
      <c r="G156" s="137">
        <f t="shared" si="32"/>
        <v>1053176.5976442059</v>
      </c>
      <c r="H156" s="137">
        <f t="shared" si="29"/>
        <v>14490</v>
      </c>
      <c r="I156" s="137">
        <f t="shared" si="30"/>
        <v>5494.1165617890747</v>
      </c>
      <c r="J156" s="137">
        <f t="shared" si="26"/>
        <v>8995.8834382109253</v>
      </c>
      <c r="K156" s="137">
        <f>IF(C156="","",IF(Simul_ConstruRemo!$I$10=Simul_ConstruRemo!$BV$6,(Simul_ConstruRemo!$I$16*0.7+Simul_ConstruRemo!$I$17*0.5),Simul_ConstruRemo!$CO$27))</f>
        <v>2606295</v>
      </c>
      <c r="L156" s="137">
        <f>IFERROR(Q156*Simul_ConstruRemo!$BP$30/1000,"")</f>
        <v>460.98029167626339</v>
      </c>
      <c r="M156" s="137">
        <f>IFERROR(IF($E$7="Remodelación",K156*Simul_ConstruRemo!$BS$29,
IF(E156=1,MAX(K156,Q156)*Simul_ConstruRemo!$BS$29,K156*Simul_ConstruRemo!$BQ$29)),"")</f>
        <v>827.2389712662</v>
      </c>
      <c r="N156" s="13">
        <f>IF(C156="","",'Tabla_Puntual&amp;Relacionamiento'!$E$48)</f>
        <v>0.10249999999999999</v>
      </c>
      <c r="O156" s="183"/>
      <c r="P156" s="137">
        <f t="shared" si="31"/>
        <v>15778.219262942464</v>
      </c>
      <c r="Q156" s="137">
        <f t="shared" si="33"/>
        <v>1047682.4810824168</v>
      </c>
      <c r="R156" s="37">
        <f t="shared" si="25"/>
        <v>1</v>
      </c>
      <c r="S156" s="137"/>
      <c r="T156" s="137"/>
      <c r="Z156" s="63"/>
      <c r="AA156" s="35">
        <f t="shared" si="28"/>
        <v>15664.117335871264</v>
      </c>
      <c r="AB156" s="63">
        <f>IF(OR(Q156="",Q156&lt;=0.01),"",IF(SUM($F$23:F156)=Simul_ConstruRemo!$I$26,1,0))</f>
        <v>1</v>
      </c>
      <c r="AC156">
        <f t="shared" si="34"/>
        <v>129</v>
      </c>
      <c r="AD156" s="147">
        <f t="shared" si="35"/>
        <v>128</v>
      </c>
      <c r="AF156" t="str">
        <f t="shared" si="27"/>
        <v>Obra Concluida</v>
      </c>
      <c r="AI156">
        <f>IF(SUM($F$23:F155)&gt;=$K$9,1,0)</f>
        <v>1</v>
      </c>
    </row>
    <row r="157" spans="3:35" x14ac:dyDescent="0.25">
      <c r="C157" s="37">
        <f>IFERROR(IF(Q156&lt;=0.01,"",IF(C156+1&gt;Simul_ConstruRemo!$BN$11,"",C156+1)),"")</f>
        <v>135</v>
      </c>
      <c r="D157" s="37" t="str">
        <f>IF(C157&gt;Simul_ConstruRemo!$I$19,"",IF(Simul_ConstruRemo!I195=100%,"",IFERROR(VLOOKUP(C157,Simul_ConstruRemo!$AX$61:$AY$64,2,0),D156)))</f>
        <v/>
      </c>
      <c r="E157" s="136">
        <f>IF(C157="","",IF(AF157="Ministración",Simul_ConstruRemo!BM193,1))</f>
        <v>1</v>
      </c>
      <c r="F157" s="35">
        <f t="shared" si="24"/>
        <v>0</v>
      </c>
      <c r="G157" s="137">
        <f t="shared" si="32"/>
        <v>1047682.4810824168</v>
      </c>
      <c r="H157" s="137">
        <f t="shared" si="29"/>
        <v>14490</v>
      </c>
      <c r="I157" s="137">
        <f t="shared" si="30"/>
        <v>5541.0454740876903</v>
      </c>
      <c r="J157" s="137">
        <f t="shared" si="26"/>
        <v>8948.9545259123097</v>
      </c>
      <c r="K157" s="137">
        <f>IF(C157="","",IF(Simul_ConstruRemo!$I$10=Simul_ConstruRemo!$BV$6,(Simul_ConstruRemo!$I$16*0.7+Simul_ConstruRemo!$I$17*0.5),Simul_ConstruRemo!$CO$27))</f>
        <v>2606295</v>
      </c>
      <c r="L157" s="137">
        <f>IFERROR(Q157*Simul_ConstruRemo!$BP$30/1000,"")</f>
        <v>458.54223166766485</v>
      </c>
      <c r="M157" s="137">
        <f>IFERROR(IF($E$7="Remodelación",K157*Simul_ConstruRemo!$BS$29,
IF(E157=1,MAX(K157,Q157)*Simul_ConstruRemo!$BS$29,K157*Simul_ConstruRemo!$BQ$29)),"")</f>
        <v>827.2389712662</v>
      </c>
      <c r="N157" s="13">
        <f>IF(C157="","",'Tabla_Puntual&amp;Relacionamiento'!$E$48)</f>
        <v>0.10249999999999999</v>
      </c>
      <c r="O157" s="183"/>
      <c r="P157" s="137">
        <f t="shared" si="31"/>
        <v>15775.781202933866</v>
      </c>
      <c r="Q157" s="137">
        <f t="shared" si="33"/>
        <v>1042141.4356083291</v>
      </c>
      <c r="R157" s="37">
        <f t="shared" si="25"/>
        <v>1</v>
      </c>
      <c r="S157" s="137"/>
      <c r="T157" s="137"/>
      <c r="Z157" s="63"/>
      <c r="AA157" s="35">
        <f t="shared" si="28"/>
        <v>15661.679275862665</v>
      </c>
      <c r="AB157" s="63">
        <f>IF(OR(Q157="",Q157&lt;=0.01),"",IF(SUM($F$23:F157)=Simul_ConstruRemo!$I$26,1,0))</f>
        <v>1</v>
      </c>
      <c r="AC157">
        <f t="shared" si="34"/>
        <v>130</v>
      </c>
      <c r="AD157" s="147">
        <f t="shared" si="35"/>
        <v>129</v>
      </c>
      <c r="AF157" t="str">
        <f t="shared" si="27"/>
        <v>Obra Concluida</v>
      </c>
      <c r="AI157">
        <f>IF(SUM($F$23:F156)&gt;=$K$9,1,0)</f>
        <v>1</v>
      </c>
    </row>
    <row r="158" spans="3:35" x14ac:dyDescent="0.25">
      <c r="C158" s="37">
        <f>IFERROR(IF(Q157&lt;=0.01,"",IF(C157+1&gt;Simul_ConstruRemo!$BN$11,"",C157+1)),"")</f>
        <v>136</v>
      </c>
      <c r="D158" s="37" t="str">
        <f>IF(C158&gt;Simul_ConstruRemo!$I$19,"",IF(Simul_ConstruRemo!I196=100%,"",IFERROR(VLOOKUP(C158,Simul_ConstruRemo!$AX$61:$AY$64,2,0),D157)))</f>
        <v/>
      </c>
      <c r="E158" s="136">
        <f>IF(C158="","",IF(AF158="Ministración",Simul_ConstruRemo!BM194,1))</f>
        <v>1</v>
      </c>
      <c r="F158" s="35">
        <f t="shared" si="24"/>
        <v>0</v>
      </c>
      <c r="G158" s="137">
        <f t="shared" si="32"/>
        <v>1042141.4356083291</v>
      </c>
      <c r="H158" s="137">
        <f t="shared" si="29"/>
        <v>14490</v>
      </c>
      <c r="I158" s="137">
        <f t="shared" si="30"/>
        <v>5588.3752375121894</v>
      </c>
      <c r="J158" s="137">
        <f t="shared" si="26"/>
        <v>8901.6247624878106</v>
      </c>
      <c r="K158" s="137">
        <f>IF(C158="","",IF(Simul_ConstruRemo!$I$10=Simul_ConstruRemo!$BV$6,(Simul_ConstruRemo!$I$16*0.7+Simul_ConstruRemo!$I$17*0.5),Simul_ConstruRemo!$CO$27))</f>
        <v>2606295</v>
      </c>
      <c r="L158" s="137">
        <f>IFERROR(Q158*Simul_ConstruRemo!$BP$30/1000,"")</f>
        <v>456.08334656315947</v>
      </c>
      <c r="M158" s="137">
        <f>IFERROR(IF($E$7="Remodelación",K158*Simul_ConstruRemo!$BS$29,
IF(E158=1,MAX(K158,Q158)*Simul_ConstruRemo!$BS$29,K158*Simul_ConstruRemo!$BQ$29)),"")</f>
        <v>827.2389712662</v>
      </c>
      <c r="N158" s="13">
        <f>IF(C158="","",'Tabla_Puntual&amp;Relacionamiento'!$E$48)</f>
        <v>0.10249999999999999</v>
      </c>
      <c r="O158" s="183"/>
      <c r="P158" s="137">
        <f t="shared" si="31"/>
        <v>15773.322317829359</v>
      </c>
      <c r="Q158" s="137">
        <f t="shared" si="33"/>
        <v>1036553.060370817</v>
      </c>
      <c r="R158" s="37">
        <f t="shared" si="25"/>
        <v>1</v>
      </c>
      <c r="S158" s="137"/>
      <c r="T158" s="137"/>
      <c r="Z158" s="63"/>
      <c r="AA158" s="35">
        <f t="shared" si="28"/>
        <v>15659.220390758159</v>
      </c>
      <c r="AB158" s="63">
        <f>IF(OR(Q158="",Q158&lt;=0.01),"",IF(SUM($F$23:F158)=Simul_ConstruRemo!$I$26,1,0))</f>
        <v>1</v>
      </c>
      <c r="AC158">
        <f t="shared" si="34"/>
        <v>131</v>
      </c>
      <c r="AD158" s="147">
        <f t="shared" si="35"/>
        <v>130</v>
      </c>
      <c r="AF158" t="str">
        <f t="shared" si="27"/>
        <v>Obra Concluida</v>
      </c>
      <c r="AI158">
        <f>IF(SUM($F$23:F157)&gt;=$K$9,1,0)</f>
        <v>1</v>
      </c>
    </row>
    <row r="159" spans="3:35" x14ac:dyDescent="0.25">
      <c r="C159" s="37">
        <f>IFERROR(IF(Q158&lt;=0.01,"",IF(C158+1&gt;Simul_ConstruRemo!$BN$11,"",C158+1)),"")</f>
        <v>137</v>
      </c>
      <c r="D159" s="37" t="str">
        <f>IF(C159&gt;Simul_ConstruRemo!$I$19,"",IF(Simul_ConstruRemo!I197=100%,"",IFERROR(VLOOKUP(C159,Simul_ConstruRemo!$AX$61:$AY$64,2,0),D158)))</f>
        <v/>
      </c>
      <c r="E159" s="136">
        <f>IF(C159="","",IF(AF159="Ministración",Simul_ConstruRemo!BM195,1))</f>
        <v>1</v>
      </c>
      <c r="F159" s="35">
        <f t="shared" si="24"/>
        <v>0</v>
      </c>
      <c r="G159" s="137">
        <f t="shared" si="32"/>
        <v>1036553.060370817</v>
      </c>
      <c r="H159" s="137">
        <f t="shared" si="29"/>
        <v>14490</v>
      </c>
      <c r="I159" s="137">
        <f t="shared" si="30"/>
        <v>5636.1092759992734</v>
      </c>
      <c r="J159" s="137">
        <f t="shared" si="26"/>
        <v>8853.8907240007266</v>
      </c>
      <c r="K159" s="137">
        <f>IF(C159="","",IF(Simul_ConstruRemo!$I$10=Simul_ConstruRemo!$BV$6,(Simul_ConstruRemo!$I$16*0.7+Simul_ConstruRemo!$I$17*0.5),Simul_ConstruRemo!$CO$27))</f>
        <v>2606295</v>
      </c>
      <c r="L159" s="137">
        <f>IFERROR(Q159*Simul_ConstruRemo!$BP$30/1000,"")</f>
        <v>453.60345848171977</v>
      </c>
      <c r="M159" s="137">
        <f>IFERROR(IF($E$7="Remodelación",K159*Simul_ConstruRemo!$BS$29,
IF(E159=1,MAX(K159,Q159)*Simul_ConstruRemo!$BS$29,K159*Simul_ConstruRemo!$BQ$29)),"")</f>
        <v>827.2389712662</v>
      </c>
      <c r="N159" s="13">
        <f>IF(C159="","",'Tabla_Puntual&amp;Relacionamiento'!$E$48)</f>
        <v>0.10249999999999999</v>
      </c>
      <c r="O159" s="183"/>
      <c r="P159" s="137">
        <f t="shared" si="31"/>
        <v>15770.84242974792</v>
      </c>
      <c r="Q159" s="137">
        <f t="shared" si="33"/>
        <v>1030916.9510948177</v>
      </c>
      <c r="R159" s="37">
        <f t="shared" si="25"/>
        <v>1</v>
      </c>
      <c r="S159" s="137"/>
      <c r="T159" s="137"/>
      <c r="Z159" s="63"/>
      <c r="AA159" s="35">
        <f t="shared" si="28"/>
        <v>15656.740502676719</v>
      </c>
      <c r="AB159" s="63">
        <f>IF(OR(Q159="",Q159&lt;=0.01),"",IF(SUM($F$23:F159)=Simul_ConstruRemo!$I$26,1,0))</f>
        <v>1</v>
      </c>
      <c r="AC159">
        <f t="shared" si="34"/>
        <v>132</v>
      </c>
      <c r="AD159" s="147">
        <f t="shared" si="35"/>
        <v>131</v>
      </c>
      <c r="AF159" t="str">
        <f t="shared" si="27"/>
        <v>Obra Concluida</v>
      </c>
      <c r="AI159">
        <f>IF(SUM($F$23:F158)&gt;=$K$9,1,0)</f>
        <v>1</v>
      </c>
    </row>
    <row r="160" spans="3:35" x14ac:dyDescent="0.25">
      <c r="C160" s="37">
        <f>IFERROR(IF(Q159&lt;=0.01,"",IF(C159+1&gt;Simul_ConstruRemo!$BN$11,"",C159+1)),"")</f>
        <v>138</v>
      </c>
      <c r="D160" s="37" t="str">
        <f>IF(C160&gt;Simul_ConstruRemo!$I$19,"",IF(Simul_ConstruRemo!I198=100%,"",IFERROR(VLOOKUP(C160,Simul_ConstruRemo!$AX$61:$AY$64,2,0),D159)))</f>
        <v/>
      </c>
      <c r="E160" s="136">
        <f>IF(C160="","",IF(AF160="Ministración",Simul_ConstruRemo!BM196,1))</f>
        <v>1</v>
      </c>
      <c r="F160" s="35">
        <f t="shared" si="24"/>
        <v>0</v>
      </c>
      <c r="G160" s="137">
        <f t="shared" si="32"/>
        <v>1030916.9510948177</v>
      </c>
      <c r="H160" s="137">
        <f t="shared" si="29"/>
        <v>14490</v>
      </c>
      <c r="I160" s="137">
        <f t="shared" si="30"/>
        <v>5684.2510427317666</v>
      </c>
      <c r="J160" s="137">
        <f t="shared" si="26"/>
        <v>8805.7489572682334</v>
      </c>
      <c r="K160" s="137">
        <f>IF(C160="","",IF(Simul_ConstruRemo!$I$10=Simul_ConstruRemo!$BV$6,(Simul_ConstruRemo!$I$16*0.7+Simul_ConstruRemo!$I$17*0.5),Simul_ConstruRemo!$CO$27))</f>
        <v>2606295</v>
      </c>
      <c r="L160" s="137">
        <f>IFERROR(Q160*Simul_ConstruRemo!$BP$30/1000,"")</f>
        <v>451.10238802291781</v>
      </c>
      <c r="M160" s="137">
        <f>IFERROR(IF($E$7="Remodelación",K160*Simul_ConstruRemo!$BS$29,
IF(E160=1,MAX(K160,Q160)*Simul_ConstruRemo!$BS$29,K160*Simul_ConstruRemo!$BQ$29)),"")</f>
        <v>827.2389712662</v>
      </c>
      <c r="N160" s="13">
        <f>IF(C160="","",'Tabla_Puntual&amp;Relacionamiento'!$E$48)</f>
        <v>0.10249999999999999</v>
      </c>
      <c r="O160" s="183"/>
      <c r="P160" s="137">
        <f t="shared" si="31"/>
        <v>15768.341359289119</v>
      </c>
      <c r="Q160" s="137">
        <f t="shared" si="33"/>
        <v>1025232.7000520859</v>
      </c>
      <c r="R160" s="37">
        <f t="shared" si="25"/>
        <v>1</v>
      </c>
      <c r="S160" s="137"/>
      <c r="T160" s="137"/>
      <c r="Z160" s="63"/>
      <c r="AA160" s="35">
        <f t="shared" si="28"/>
        <v>15654.239432217919</v>
      </c>
      <c r="AB160" s="63">
        <f>IF(OR(Q160="",Q160&lt;=0.01),"",IF(SUM($F$23:F160)=Simul_ConstruRemo!$I$26,1,0))</f>
        <v>1</v>
      </c>
      <c r="AC160">
        <f t="shared" si="34"/>
        <v>133</v>
      </c>
      <c r="AD160" s="147">
        <f t="shared" si="35"/>
        <v>132</v>
      </c>
      <c r="AF160" t="str">
        <f t="shared" si="27"/>
        <v>Obra Concluida</v>
      </c>
      <c r="AI160">
        <f>IF(SUM($F$23:F159)&gt;=$K$9,1,0)</f>
        <v>1</v>
      </c>
    </row>
    <row r="161" spans="3:35" x14ac:dyDescent="0.25">
      <c r="C161" s="37">
        <f>IFERROR(IF(Q160&lt;=0.01,"",IF(C160+1&gt;Simul_ConstruRemo!$BN$11,"",C160+1)),"")</f>
        <v>139</v>
      </c>
      <c r="D161" s="37" t="str">
        <f>IF(C161&gt;Simul_ConstruRemo!$I$19,"",IF(Simul_ConstruRemo!I199=100%,"",IFERROR(VLOOKUP(C161,Simul_ConstruRemo!$AX$61:$AY$64,2,0),D160)))</f>
        <v/>
      </c>
      <c r="E161" s="136">
        <f>IF(C161="","",IF(AF161="Ministración",Simul_ConstruRemo!BM197,1))</f>
        <v>1</v>
      </c>
      <c r="F161" s="35">
        <f t="shared" si="24"/>
        <v>0</v>
      </c>
      <c r="G161" s="137">
        <f t="shared" si="32"/>
        <v>1025232.7000520859</v>
      </c>
      <c r="H161" s="137">
        <f t="shared" si="29"/>
        <v>14490</v>
      </c>
      <c r="I161" s="137">
        <f t="shared" si="30"/>
        <v>5732.8040203884339</v>
      </c>
      <c r="J161" s="137">
        <f t="shared" si="26"/>
        <v>8757.1959796115661</v>
      </c>
      <c r="K161" s="137">
        <f>IF(C161="","",IF(Simul_ConstruRemo!$I$10=Simul_ConstruRemo!$BV$6,(Simul_ConstruRemo!$I$16*0.7+Simul_ConstruRemo!$I$17*0.5),Simul_ConstruRemo!$CO$27))</f>
        <v>2606295</v>
      </c>
      <c r="L161" s="137">
        <f>IFERROR(Q161*Simul_ConstruRemo!$BP$30/1000,"")</f>
        <v>448.57995425394688</v>
      </c>
      <c r="M161" s="137">
        <f>IFERROR(IF($E$7="Remodelación",K161*Simul_ConstruRemo!$BS$29,
IF(E161=1,MAX(K161,Q161)*Simul_ConstruRemo!$BS$29,K161*Simul_ConstruRemo!$BQ$29)),"")</f>
        <v>827.2389712662</v>
      </c>
      <c r="N161" s="13">
        <f>IF(C161="","",'Tabla_Puntual&amp;Relacionamiento'!$E$48)</f>
        <v>0.10249999999999999</v>
      </c>
      <c r="O161" s="183"/>
      <c r="P161" s="137">
        <f t="shared" si="31"/>
        <v>15765.818925520147</v>
      </c>
      <c r="Q161" s="137">
        <f t="shared" si="33"/>
        <v>1019499.8960316975</v>
      </c>
      <c r="R161" s="37">
        <f t="shared" si="25"/>
        <v>1</v>
      </c>
      <c r="S161" s="137"/>
      <c r="T161" s="137"/>
      <c r="Z161" s="63"/>
      <c r="AA161" s="35">
        <f t="shared" si="28"/>
        <v>15651.716998448946</v>
      </c>
      <c r="AB161" s="63">
        <f>IF(OR(Q161="",Q161&lt;=0.01),"",IF(SUM($F$23:F161)=Simul_ConstruRemo!$I$26,1,0))</f>
        <v>1</v>
      </c>
      <c r="AC161">
        <f t="shared" si="34"/>
        <v>134</v>
      </c>
      <c r="AD161" s="147">
        <f t="shared" si="35"/>
        <v>133</v>
      </c>
      <c r="AF161" t="str">
        <f t="shared" si="27"/>
        <v>Obra Concluida</v>
      </c>
      <c r="AI161">
        <f>IF(SUM($F$23:F160)&gt;=$K$9,1,0)</f>
        <v>1</v>
      </c>
    </row>
    <row r="162" spans="3:35" x14ac:dyDescent="0.25">
      <c r="C162" s="37">
        <f>IFERROR(IF(Q161&lt;=0.01,"",IF(C161+1&gt;Simul_ConstruRemo!$BN$11,"",C161+1)),"")</f>
        <v>140</v>
      </c>
      <c r="D162" s="37" t="str">
        <f>IF(C162&gt;Simul_ConstruRemo!$I$19,"",IF(Simul_ConstruRemo!I200=100%,"",IFERROR(VLOOKUP(C162,Simul_ConstruRemo!$AX$61:$AY$64,2,0),D161)))</f>
        <v/>
      </c>
      <c r="E162" s="136">
        <f>IF(C162="","",IF(AF162="Ministración",Simul_ConstruRemo!BM198,1))</f>
        <v>1</v>
      </c>
      <c r="F162" s="35">
        <f t="shared" si="24"/>
        <v>0</v>
      </c>
      <c r="G162" s="137">
        <f t="shared" si="32"/>
        <v>1019499.8960316975</v>
      </c>
      <c r="H162" s="137">
        <f t="shared" si="29"/>
        <v>14490</v>
      </c>
      <c r="I162" s="137">
        <f t="shared" si="30"/>
        <v>5781.7717213959168</v>
      </c>
      <c r="J162" s="137">
        <f t="shared" si="26"/>
        <v>8708.2282786040832</v>
      </c>
      <c r="K162" s="137">
        <f>IF(C162="","",IF(Simul_ConstruRemo!$I$10=Simul_ConstruRemo!$BV$6,(Simul_ConstruRemo!$I$16*0.7+Simul_ConstruRemo!$I$17*0.5),Simul_ConstruRemo!$CO$27))</f>
        <v>2606295</v>
      </c>
      <c r="L162" s="137">
        <f>IFERROR(Q162*Simul_ConstruRemo!$BP$30/1000,"")</f>
        <v>446.03597469653272</v>
      </c>
      <c r="M162" s="137">
        <f>IFERROR(IF($E$7="Remodelación",K162*Simul_ConstruRemo!$BS$29,
IF(E162=1,MAX(K162,Q162)*Simul_ConstruRemo!$BS$29,K162*Simul_ConstruRemo!$BQ$29)),"")</f>
        <v>827.2389712662</v>
      </c>
      <c r="N162" s="13">
        <f>IF(C162="","",'Tabla_Puntual&amp;Relacionamiento'!$E$48)</f>
        <v>0.10249999999999999</v>
      </c>
      <c r="O162" s="183"/>
      <c r="P162" s="137">
        <f t="shared" si="31"/>
        <v>15763.274945962734</v>
      </c>
      <c r="Q162" s="137">
        <f t="shared" si="33"/>
        <v>1013718.1243103016</v>
      </c>
      <c r="R162" s="37">
        <f t="shared" si="25"/>
        <v>1</v>
      </c>
      <c r="S162" s="137"/>
      <c r="T162" s="137"/>
      <c r="Z162" s="63"/>
      <c r="AA162" s="35">
        <f t="shared" si="28"/>
        <v>15649.173018891534</v>
      </c>
      <c r="AB162" s="63">
        <f>IF(OR(Q162="",Q162&lt;=0.01),"",IF(SUM($F$23:F162)=Simul_ConstruRemo!$I$26,1,0))</f>
        <v>1</v>
      </c>
      <c r="AC162">
        <f t="shared" si="34"/>
        <v>135</v>
      </c>
      <c r="AD162" s="147">
        <f t="shared" si="35"/>
        <v>134</v>
      </c>
      <c r="AF162" t="str">
        <f t="shared" si="27"/>
        <v>Obra Concluida</v>
      </c>
      <c r="AI162">
        <f>IF(SUM($F$23:F161)&gt;=$K$9,1,0)</f>
        <v>1</v>
      </c>
    </row>
    <row r="163" spans="3:35" x14ac:dyDescent="0.25">
      <c r="C163" s="37">
        <f>IFERROR(IF(Q162&lt;=0.01,"",IF(C162+1&gt;Simul_ConstruRemo!$BN$11,"",C162+1)),"")</f>
        <v>141</v>
      </c>
      <c r="D163" s="37" t="str">
        <f>IF(C163&gt;Simul_ConstruRemo!$I$19,"",IF(Simul_ConstruRemo!I201=100%,"",IFERROR(VLOOKUP(C163,Simul_ConstruRemo!$AX$61:$AY$64,2,0),D162)))</f>
        <v/>
      </c>
      <c r="E163" s="136">
        <f>IF(C163="","",IF(AF163="Ministración",Simul_ConstruRemo!BM199,1))</f>
        <v>1</v>
      </c>
      <c r="F163" s="35">
        <f t="shared" si="24"/>
        <v>0</v>
      </c>
      <c r="G163" s="137">
        <f t="shared" si="32"/>
        <v>1013718.1243103016</v>
      </c>
      <c r="H163" s="137">
        <f t="shared" si="29"/>
        <v>14490</v>
      </c>
      <c r="I163" s="137">
        <f t="shared" si="30"/>
        <v>5831.1576881828405</v>
      </c>
      <c r="J163" s="137">
        <f t="shared" si="26"/>
        <v>8658.8423118171595</v>
      </c>
      <c r="K163" s="137">
        <f>IF(C163="","",IF(Simul_ConstruRemo!$I$10=Simul_ConstruRemo!$BV$6,(Simul_ConstruRemo!$I$16*0.7+Simul_ConstruRemo!$I$17*0.5),Simul_ConstruRemo!$CO$27))</f>
        <v>2606295</v>
      </c>
      <c r="L163" s="137">
        <f>IFERROR(Q163*Simul_ConstruRemo!$BP$30/1000,"")</f>
        <v>443.47026531373228</v>
      </c>
      <c r="M163" s="137">
        <f>IFERROR(IF($E$7="Remodelación",K163*Simul_ConstruRemo!$BS$29,
IF(E163=1,MAX(K163,Q163)*Simul_ConstruRemo!$BS$29,K163*Simul_ConstruRemo!$BQ$29)),"")</f>
        <v>827.2389712662</v>
      </c>
      <c r="N163" s="13">
        <f>IF(C163="","",'Tabla_Puntual&amp;Relacionamiento'!$E$48)</f>
        <v>0.10249999999999999</v>
      </c>
      <c r="O163" s="183"/>
      <c r="P163" s="137">
        <f t="shared" si="31"/>
        <v>15760.709236579933</v>
      </c>
      <c r="Q163" s="137">
        <f t="shared" si="33"/>
        <v>1007886.9666221187</v>
      </c>
      <c r="R163" s="37">
        <f t="shared" si="25"/>
        <v>1</v>
      </c>
      <c r="S163" s="137"/>
      <c r="T163" s="137"/>
      <c r="Z163" s="63"/>
      <c r="AA163" s="35">
        <f t="shared" si="28"/>
        <v>15646.607309508732</v>
      </c>
      <c r="AB163" s="63">
        <f>IF(OR(Q163="",Q163&lt;=0.01),"",IF(SUM($F$23:F163)=Simul_ConstruRemo!$I$26,1,0))</f>
        <v>1</v>
      </c>
      <c r="AC163">
        <f t="shared" si="34"/>
        <v>136</v>
      </c>
      <c r="AD163" s="147">
        <f t="shared" si="35"/>
        <v>135</v>
      </c>
      <c r="AF163" t="str">
        <f t="shared" si="27"/>
        <v>Obra Concluida</v>
      </c>
      <c r="AI163">
        <f>IF(SUM($F$23:F162)&gt;=$K$9,1,0)</f>
        <v>1</v>
      </c>
    </row>
    <row r="164" spans="3:35" x14ac:dyDescent="0.25">
      <c r="C164" s="37">
        <f>IFERROR(IF(Q163&lt;=0.01,"",IF(C163+1&gt;Simul_ConstruRemo!$BN$11,"",C163+1)),"")</f>
        <v>142</v>
      </c>
      <c r="D164" s="37" t="str">
        <f>IF(C164&gt;Simul_ConstruRemo!$I$19,"",IF(Simul_ConstruRemo!I202=100%,"",IFERROR(VLOOKUP(C164,Simul_ConstruRemo!$AX$61:$AY$64,2,0),D163)))</f>
        <v/>
      </c>
      <c r="E164" s="136">
        <f>IF(C164="","",IF(AF164="Ministración",Simul_ConstruRemo!BM200,1))</f>
        <v>1</v>
      </c>
      <c r="F164" s="35">
        <f t="shared" si="24"/>
        <v>0</v>
      </c>
      <c r="G164" s="137">
        <f t="shared" si="32"/>
        <v>1007886.9666221187</v>
      </c>
      <c r="H164" s="137">
        <f t="shared" si="29"/>
        <v>14490</v>
      </c>
      <c r="I164" s="137">
        <f t="shared" si="30"/>
        <v>5880.9654934360697</v>
      </c>
      <c r="J164" s="137">
        <f t="shared" si="26"/>
        <v>8609.0345065639303</v>
      </c>
      <c r="K164" s="137">
        <f>IF(C164="","",IF(Simul_ConstruRemo!$I$10=Simul_ConstruRemo!$BV$6,(Simul_ConstruRemo!$I$16*0.7+Simul_ConstruRemo!$I$17*0.5),Simul_ConstruRemo!$CO$27))</f>
        <v>2606295</v>
      </c>
      <c r="L164" s="137">
        <f>IFERROR(Q164*Simul_ConstruRemo!$BP$30/1000,"")</f>
        <v>440.88264049662041</v>
      </c>
      <c r="M164" s="137">
        <f>IFERROR(IF($E$7="Remodelación",K164*Simul_ConstruRemo!$BS$29,
IF(E164=1,MAX(K164,Q164)*Simul_ConstruRemo!$BS$29,K164*Simul_ConstruRemo!$BQ$29)),"")</f>
        <v>827.2389712662</v>
      </c>
      <c r="N164" s="13">
        <f>IF(C164="","",'Tabla_Puntual&amp;Relacionamiento'!$E$48)</f>
        <v>0.10249999999999999</v>
      </c>
      <c r="O164" s="183"/>
      <c r="P164" s="137">
        <f t="shared" si="31"/>
        <v>15758.121611762821</v>
      </c>
      <c r="Q164" s="137">
        <f t="shared" si="33"/>
        <v>1002006.0011286826</v>
      </c>
      <c r="R164" s="37">
        <f t="shared" si="25"/>
        <v>1</v>
      </c>
      <c r="S164" s="137"/>
      <c r="T164" s="137"/>
      <c r="Z164" s="63"/>
      <c r="AA164" s="35">
        <f t="shared" si="28"/>
        <v>15644.019684691621</v>
      </c>
      <c r="AB164" s="63">
        <f>IF(OR(Q164="",Q164&lt;=0.01),"",IF(SUM($F$23:F164)=Simul_ConstruRemo!$I$26,1,0))</f>
        <v>1</v>
      </c>
      <c r="AC164">
        <f t="shared" si="34"/>
        <v>137</v>
      </c>
      <c r="AD164" s="147">
        <f t="shared" si="35"/>
        <v>136</v>
      </c>
      <c r="AF164" t="str">
        <f t="shared" si="27"/>
        <v>Obra Concluida</v>
      </c>
      <c r="AI164">
        <f>IF(SUM($F$23:F163)&gt;=$K$9,1,0)</f>
        <v>1</v>
      </c>
    </row>
    <row r="165" spans="3:35" x14ac:dyDescent="0.25">
      <c r="C165" s="37">
        <f>IFERROR(IF(Q164&lt;=0.01,"",IF(C164+1&gt;Simul_ConstruRemo!$BN$11,"",C164+1)),"")</f>
        <v>143</v>
      </c>
      <c r="D165" s="37" t="str">
        <f>IF(C165&gt;Simul_ConstruRemo!$I$19,"",IF(Simul_ConstruRemo!I203=100%,"",IFERROR(VLOOKUP(C165,Simul_ConstruRemo!$AX$61:$AY$64,2,0),D164)))</f>
        <v/>
      </c>
      <c r="E165" s="136">
        <f>IF(C165="","",IF(AF165="Ministración",Simul_ConstruRemo!BM201,1))</f>
        <v>1</v>
      </c>
      <c r="F165" s="35">
        <f t="shared" si="24"/>
        <v>0</v>
      </c>
      <c r="G165" s="137">
        <f t="shared" si="32"/>
        <v>1002006.0011286826</v>
      </c>
      <c r="H165" s="137">
        <f t="shared" si="29"/>
        <v>14490</v>
      </c>
      <c r="I165" s="137">
        <f t="shared" si="30"/>
        <v>5931.1987403591702</v>
      </c>
      <c r="J165" s="137">
        <f t="shared" si="26"/>
        <v>8558.8012596408298</v>
      </c>
      <c r="K165" s="137">
        <f>IF(C165="","",IF(Simul_ConstruRemo!$I$10=Simul_ConstruRemo!$BV$6,(Simul_ConstruRemo!$I$16*0.7+Simul_ConstruRemo!$I$17*0.5),Simul_ConstruRemo!$CO$27))</f>
        <v>2606295</v>
      </c>
      <c r="L165" s="137">
        <f>IFERROR(Q165*Simul_ConstruRemo!$BP$30/1000,"")</f>
        <v>438.27291305086231</v>
      </c>
      <c r="M165" s="137">
        <f>IFERROR(IF($E$7="Remodelación",K165*Simul_ConstruRemo!$BS$29,
IF(E165=1,MAX(K165,Q165)*Simul_ConstruRemo!$BS$29,K165*Simul_ConstruRemo!$BQ$29)),"")</f>
        <v>827.2389712662</v>
      </c>
      <c r="N165" s="13">
        <f>IF(C165="","",'Tabla_Puntual&amp;Relacionamiento'!$E$48)</f>
        <v>0.10249999999999999</v>
      </c>
      <c r="O165" s="183"/>
      <c r="P165" s="137">
        <f t="shared" si="31"/>
        <v>15755.511884317062</v>
      </c>
      <c r="Q165" s="137">
        <f t="shared" si="33"/>
        <v>996074.80238832347</v>
      </c>
      <c r="R165" s="37">
        <f t="shared" si="25"/>
        <v>1</v>
      </c>
      <c r="S165" s="137"/>
      <c r="T165" s="137"/>
      <c r="Z165" s="63"/>
      <c r="AA165" s="35">
        <f t="shared" si="28"/>
        <v>15641.409957245862</v>
      </c>
      <c r="AB165" s="63">
        <f>IF(OR(Q165="",Q165&lt;=0.01),"",IF(SUM($F$23:F165)=Simul_ConstruRemo!$I$26,1,0))</f>
        <v>1</v>
      </c>
      <c r="AC165">
        <f t="shared" si="34"/>
        <v>138</v>
      </c>
      <c r="AD165" s="147">
        <f t="shared" si="35"/>
        <v>137</v>
      </c>
      <c r="AF165" t="str">
        <f t="shared" si="27"/>
        <v>Obra Concluida</v>
      </c>
      <c r="AI165">
        <f>IF(SUM($F$23:F164)&gt;=$K$9,1,0)</f>
        <v>1</v>
      </c>
    </row>
    <row r="166" spans="3:35" x14ac:dyDescent="0.25">
      <c r="C166" s="37">
        <f>IFERROR(IF(Q165&lt;=0.01,"",IF(C165+1&gt;Simul_ConstruRemo!$BN$11,"",C165+1)),"")</f>
        <v>144</v>
      </c>
      <c r="D166" s="37" t="str">
        <f>IF(C166&gt;Simul_ConstruRemo!$I$19,"",IF(Simul_ConstruRemo!I204=100%,"",IFERROR(VLOOKUP(C166,Simul_ConstruRemo!$AX$61:$AY$64,2,0),D165)))</f>
        <v/>
      </c>
      <c r="E166" s="136">
        <f>IF(C166="","",IF(AF166="Ministración",Simul_ConstruRemo!BM202,1))</f>
        <v>1</v>
      </c>
      <c r="F166" s="35">
        <f t="shared" si="24"/>
        <v>0</v>
      </c>
      <c r="G166" s="137">
        <f t="shared" si="32"/>
        <v>996074.80238832347</v>
      </c>
      <c r="H166" s="137">
        <f t="shared" si="29"/>
        <v>14490</v>
      </c>
      <c r="I166" s="137">
        <f t="shared" si="30"/>
        <v>5981.8610629330706</v>
      </c>
      <c r="J166" s="137">
        <f t="shared" si="26"/>
        <v>8508.1389370669294</v>
      </c>
      <c r="K166" s="137">
        <f>IF(C166="","",IF(Simul_ConstruRemo!$I$10=Simul_ConstruRemo!$BV$6,(Simul_ConstruRemo!$I$16*0.7+Simul_ConstruRemo!$I$17*0.5),Simul_ConstruRemo!$CO$27))</f>
        <v>2606295</v>
      </c>
      <c r="L166" s="137">
        <f>IFERROR(Q166*Simul_ConstruRemo!$BP$30/1000,"")</f>
        <v>435.64089418317172</v>
      </c>
      <c r="M166" s="137">
        <f>IFERROR(IF($E$7="Remodelación",K166*Simul_ConstruRemo!$BS$29,
IF(E166=1,MAX(K166,Q166)*Simul_ConstruRemo!$BS$29,K166*Simul_ConstruRemo!$BQ$29)),"")</f>
        <v>827.2389712662</v>
      </c>
      <c r="N166" s="13">
        <f>IF(C166="","",'Tabla_Puntual&amp;Relacionamiento'!$E$48)</f>
        <v>0.10249999999999999</v>
      </c>
      <c r="O166" s="183"/>
      <c r="P166" s="137">
        <f t="shared" si="31"/>
        <v>15752.879865449373</v>
      </c>
      <c r="Q166" s="137">
        <f t="shared" si="33"/>
        <v>990092.94132539036</v>
      </c>
      <c r="R166" s="37">
        <f t="shared" si="25"/>
        <v>1</v>
      </c>
      <c r="S166" s="137"/>
      <c r="T166" s="137"/>
      <c r="Z166" s="63"/>
      <c r="AA166" s="35">
        <f t="shared" si="28"/>
        <v>15638.777938378173</v>
      </c>
      <c r="AB166" s="63">
        <f>IF(OR(Q166="",Q166&lt;=0.01),"",IF(SUM($F$23:F166)=Simul_ConstruRemo!$I$26,1,0))</f>
        <v>1</v>
      </c>
      <c r="AC166">
        <f t="shared" si="34"/>
        <v>139</v>
      </c>
      <c r="AD166" s="147">
        <f t="shared" si="35"/>
        <v>138</v>
      </c>
      <c r="AF166" t="str">
        <f t="shared" si="27"/>
        <v>Obra Concluida</v>
      </c>
      <c r="AI166">
        <f>IF(SUM($F$23:F165)&gt;=$K$9,1,0)</f>
        <v>1</v>
      </c>
    </row>
    <row r="167" spans="3:35" x14ac:dyDescent="0.25">
      <c r="C167" s="37">
        <f>IFERROR(IF(Q166&lt;=0.01,"",IF(C166+1&gt;Simul_ConstruRemo!$BN$11,"",C166+1)),"")</f>
        <v>145</v>
      </c>
      <c r="D167" s="37" t="str">
        <f>IF(C167&gt;Simul_ConstruRemo!$I$19,"",IF(Simul_ConstruRemo!I205=100%,"",IFERROR(VLOOKUP(C167,Simul_ConstruRemo!$AX$61:$AY$64,2,0),D166)))</f>
        <v/>
      </c>
      <c r="E167" s="136">
        <f>IF(C167="","",IF(AF167="Ministración",Simul_ConstruRemo!BM203,1))</f>
        <v>1</v>
      </c>
      <c r="F167" s="35">
        <f t="shared" si="24"/>
        <v>0</v>
      </c>
      <c r="G167" s="137">
        <f t="shared" si="32"/>
        <v>990092.94132539036</v>
      </c>
      <c r="H167" s="137">
        <f t="shared" si="29"/>
        <v>14490</v>
      </c>
      <c r="I167" s="137">
        <f t="shared" si="30"/>
        <v>6032.9561261789586</v>
      </c>
      <c r="J167" s="137">
        <f t="shared" si="26"/>
        <v>8457.0438738210414</v>
      </c>
      <c r="K167" s="137">
        <f>IF(C167="","",IF(Simul_ConstruRemo!$I$10=Simul_ConstruRemo!$BV$6,(Simul_ConstruRemo!$I$16*0.7+Simul_ConstruRemo!$I$17*0.5),Simul_ConstruRemo!$CO$27))</f>
        <v>2606295</v>
      </c>
      <c r="L167" s="137">
        <f>IFERROR(Q167*Simul_ConstruRemo!$BP$30/1000,"")</f>
        <v>432.986393487653</v>
      </c>
      <c r="M167" s="137">
        <f>IFERROR(IF($E$7="Remodelación",K167*Simul_ConstruRemo!$BS$29,
IF(E167=1,MAX(K167,Q167)*Simul_ConstruRemo!$BS$29,K167*Simul_ConstruRemo!$BQ$29)),"")</f>
        <v>827.2389712662</v>
      </c>
      <c r="N167" s="13">
        <f>IF(C167="","",'Tabla_Puntual&amp;Relacionamiento'!$E$49)</f>
        <v>0.10249999999999999</v>
      </c>
      <c r="O167" s="183"/>
      <c r="P167" s="137">
        <f t="shared" si="31"/>
        <v>15750.225364753853</v>
      </c>
      <c r="Q167" s="137">
        <f t="shared" si="33"/>
        <v>984059.9851992114</v>
      </c>
      <c r="R167" s="37">
        <f t="shared" si="25"/>
        <v>1</v>
      </c>
      <c r="S167" s="137"/>
      <c r="T167" s="137"/>
      <c r="Z167" s="63"/>
      <c r="AA167" s="35">
        <f t="shared" si="28"/>
        <v>15636.123437682652</v>
      </c>
      <c r="AB167" s="63">
        <f>IF(OR(Q167="",Q167&lt;=0.01),"",IF(SUM($F$23:F167)=Simul_ConstruRemo!$I$26,1,0))</f>
        <v>1</v>
      </c>
      <c r="AC167">
        <f t="shared" si="34"/>
        <v>140</v>
      </c>
      <c r="AD167" s="147">
        <f t="shared" si="35"/>
        <v>139</v>
      </c>
      <c r="AF167" t="str">
        <f t="shared" si="27"/>
        <v>Obra Concluida</v>
      </c>
      <c r="AI167">
        <f>IF(SUM($F$23:F166)&gt;=$K$9,1,0)</f>
        <v>1</v>
      </c>
    </row>
    <row r="168" spans="3:35" x14ac:dyDescent="0.25">
      <c r="C168" s="37">
        <f>IFERROR(IF(Q167&lt;=0.01,"",IF(C167+1&gt;Simul_ConstruRemo!$BN$11,"",C167+1)),"")</f>
        <v>146</v>
      </c>
      <c r="D168" s="37" t="str">
        <f>IF(C168&gt;Simul_ConstruRemo!$I$19,"",IF(Simul_ConstruRemo!I206=100%,"",IFERROR(VLOOKUP(C168,Simul_ConstruRemo!$AX$61:$AY$64,2,0),D167)))</f>
        <v/>
      </c>
      <c r="E168" s="136">
        <f>IF(C168="","",IF(AF168="Ministración",Simul_ConstruRemo!BM204,1))</f>
        <v>1</v>
      </c>
      <c r="F168" s="35">
        <f t="shared" si="24"/>
        <v>0</v>
      </c>
      <c r="G168" s="137">
        <f t="shared" si="32"/>
        <v>984059.9851992114</v>
      </c>
      <c r="H168" s="137">
        <f t="shared" si="29"/>
        <v>14490</v>
      </c>
      <c r="I168" s="137">
        <f t="shared" si="30"/>
        <v>6084.4876264234026</v>
      </c>
      <c r="J168" s="137">
        <f t="shared" si="26"/>
        <v>8405.5123735765974</v>
      </c>
      <c r="K168" s="137">
        <f>IF(C168="","",IF(Simul_ConstruRemo!$I$10=Simul_ConstruRemo!$BV$6,(Simul_ConstruRemo!$I$16*0.7+Simul_ConstruRemo!$I$17*0.5),Simul_ConstruRemo!$CO$27))</f>
        <v>2606295</v>
      </c>
      <c r="L168" s="137">
        <f>IFERROR(Q168*Simul_ConstruRemo!$BP$30/1000,"")</f>
        <v>430.30921893202674</v>
      </c>
      <c r="M168" s="137">
        <f>IFERROR(IF($E$7="Remodelación",K168*Simul_ConstruRemo!$BS$29,
IF(E168=1,MAX(K168,Q168)*Simul_ConstruRemo!$BS$29,K168*Simul_ConstruRemo!$BQ$29)),"")</f>
        <v>827.2389712662</v>
      </c>
      <c r="N168" s="13">
        <f>IF(C168="","",'Tabla_Puntual&amp;Relacionamiento'!$E$49)</f>
        <v>0.10249999999999999</v>
      </c>
      <c r="O168" s="183"/>
      <c r="P168" s="137">
        <f t="shared" si="31"/>
        <v>15747.548190198228</v>
      </c>
      <c r="Q168" s="137">
        <f t="shared" si="33"/>
        <v>977975.49757278804</v>
      </c>
      <c r="R168" s="37">
        <f t="shared" si="25"/>
        <v>1</v>
      </c>
      <c r="S168" s="137"/>
      <c r="T168" s="137"/>
      <c r="Z168" s="63"/>
      <c r="AA168" s="35">
        <f t="shared" si="28"/>
        <v>15633.446263127027</v>
      </c>
      <c r="AB168" s="63">
        <f>IF(OR(Q168="",Q168&lt;=0.01),"",IF(SUM($F$23:F168)=Simul_ConstruRemo!$I$26,1,0))</f>
        <v>1</v>
      </c>
      <c r="AC168">
        <f t="shared" si="34"/>
        <v>141</v>
      </c>
      <c r="AD168" s="147">
        <f t="shared" si="35"/>
        <v>140</v>
      </c>
      <c r="AF168" t="str">
        <f t="shared" si="27"/>
        <v>Obra Concluida</v>
      </c>
      <c r="AI168">
        <f>IF(SUM($F$23:F167)&gt;=$K$9,1,0)</f>
        <v>1</v>
      </c>
    </row>
    <row r="169" spans="3:35" x14ac:dyDescent="0.25">
      <c r="C169" s="37">
        <f>IFERROR(IF(Q168&lt;=0.01,"",IF(C168+1&gt;Simul_ConstruRemo!$BN$11,"",C168+1)),"")</f>
        <v>147</v>
      </c>
      <c r="D169" s="37" t="str">
        <f>IF(C169&gt;Simul_ConstruRemo!$I$19,"",IF(Simul_ConstruRemo!I207=100%,"",IFERROR(VLOOKUP(C169,Simul_ConstruRemo!$AX$61:$AY$64,2,0),D168)))</f>
        <v/>
      </c>
      <c r="E169" s="136">
        <f>IF(C169="","",IF(AF169="Ministración",Simul_ConstruRemo!BM205,1))</f>
        <v>1</v>
      </c>
      <c r="F169" s="35">
        <f t="shared" si="24"/>
        <v>0</v>
      </c>
      <c r="G169" s="137">
        <f t="shared" si="32"/>
        <v>977975.49757278804</v>
      </c>
      <c r="H169" s="137">
        <f t="shared" si="29"/>
        <v>14490</v>
      </c>
      <c r="I169" s="137">
        <f t="shared" si="30"/>
        <v>6136.4592915657686</v>
      </c>
      <c r="J169" s="137">
        <f t="shared" si="26"/>
        <v>8353.5407084342314</v>
      </c>
      <c r="K169" s="137">
        <f>IF(C169="","",IF(Simul_ConstruRemo!$I$10=Simul_ConstruRemo!$BV$6,(Simul_ConstruRemo!$I$16*0.7+Simul_ConstruRemo!$I$17*0.5),Simul_ConstruRemo!$CO$27))</f>
        <v>2606295</v>
      </c>
      <c r="L169" s="137">
        <f>IFERROR(Q169*Simul_ConstruRemo!$BP$30/1000,"")</f>
        <v>427.60917684373777</v>
      </c>
      <c r="M169" s="137">
        <f>IFERROR(IF($E$7="Remodelación",K169*Simul_ConstruRemo!$BS$29,
IF(E169=1,MAX(K169,Q169)*Simul_ConstruRemo!$BS$29,K169*Simul_ConstruRemo!$BQ$29)),"")</f>
        <v>827.2389712662</v>
      </c>
      <c r="N169" s="13">
        <f>IF(C169="","",'Tabla_Puntual&amp;Relacionamiento'!$E$49)</f>
        <v>0.10249999999999999</v>
      </c>
      <c r="O169" s="183"/>
      <c r="P169" s="137">
        <f t="shared" si="31"/>
        <v>15744.848148109939</v>
      </c>
      <c r="Q169" s="137">
        <f t="shared" si="33"/>
        <v>971839.03828122222</v>
      </c>
      <c r="R169" s="37">
        <f t="shared" si="25"/>
        <v>1</v>
      </c>
      <c r="S169" s="137"/>
      <c r="T169" s="137"/>
      <c r="Z169" s="63"/>
      <c r="AA169" s="35">
        <f t="shared" si="28"/>
        <v>15630.746221038738</v>
      </c>
      <c r="AB169" s="63">
        <f>IF(OR(Q169="",Q169&lt;=0.01),"",IF(SUM($F$23:F169)=Simul_ConstruRemo!$I$26,1,0))</f>
        <v>1</v>
      </c>
      <c r="AC169">
        <f t="shared" si="34"/>
        <v>142</v>
      </c>
      <c r="AD169" s="147">
        <f t="shared" si="35"/>
        <v>141</v>
      </c>
      <c r="AF169" t="str">
        <f t="shared" ref="AF169:AF200" si="36">IF(C169="","","Obra Concluida")</f>
        <v>Obra Concluida</v>
      </c>
      <c r="AI169">
        <f>IF(SUM($F$23:F168)&gt;=$K$9,1,0)</f>
        <v>1</v>
      </c>
    </row>
    <row r="170" spans="3:35" x14ac:dyDescent="0.25">
      <c r="C170" s="37">
        <f>IFERROR(IF(Q169&lt;=0.01,"",IF(C169+1&gt;Simul_ConstruRemo!$BN$11,"",C169+1)),"")</f>
        <v>148</v>
      </c>
      <c r="D170" s="37" t="str">
        <f>IF(C170&gt;Simul_ConstruRemo!$I$19,"",IF(Simul_ConstruRemo!I208=100%,"",IFERROR(VLOOKUP(C170,Simul_ConstruRemo!$AX$61:$AY$64,2,0),D169)))</f>
        <v/>
      </c>
      <c r="E170" s="136">
        <f>IF(C170="","",IF(AF170="Ministración",Simul_ConstruRemo!BM206,1))</f>
        <v>1</v>
      </c>
      <c r="F170" s="35">
        <f t="shared" ref="F170:F233" si="37">IF(C170="","",IF(AF169="Obra Concluida",0,0))</f>
        <v>0</v>
      </c>
      <c r="G170" s="137">
        <f t="shared" si="32"/>
        <v>971839.03828122222</v>
      </c>
      <c r="H170" s="137">
        <f t="shared" si="29"/>
        <v>14490</v>
      </c>
      <c r="I170" s="137">
        <f t="shared" si="30"/>
        <v>6188.8748813478942</v>
      </c>
      <c r="J170" s="137">
        <f t="shared" si="26"/>
        <v>8301.1251186521058</v>
      </c>
      <c r="K170" s="137">
        <f>IF(C170="","",IF(Simul_ConstruRemo!$I$10=Simul_ConstruRemo!$BV$6,(Simul_ConstruRemo!$I$16*0.7+Simul_ConstruRemo!$I$17*0.5),Simul_ConstruRemo!$CO$27))</f>
        <v>2606295</v>
      </c>
      <c r="L170" s="137">
        <f>IFERROR(Q170*Simul_ConstruRemo!$BP$30/1000,"")</f>
        <v>424.88607189594472</v>
      </c>
      <c r="M170" s="137">
        <f>IFERROR(IF($E$7="Remodelación",K170*Simul_ConstruRemo!$BS$29,
IF(E170=1,MAX(K170,Q170)*Simul_ConstruRemo!$BS$29,K170*Simul_ConstruRemo!$BQ$29)),"")</f>
        <v>827.2389712662</v>
      </c>
      <c r="N170" s="13">
        <f>IF(C170="","",'Tabla_Puntual&amp;Relacionamiento'!$E$49)</f>
        <v>0.10249999999999999</v>
      </c>
      <c r="O170" s="183"/>
      <c r="P170" s="137">
        <f t="shared" si="31"/>
        <v>15742.125043162145</v>
      </c>
      <c r="Q170" s="137">
        <f t="shared" si="33"/>
        <v>965650.16339987435</v>
      </c>
      <c r="R170" s="37">
        <f t="shared" ref="R170:R233" si="38">IF(C170="","",1)</f>
        <v>1</v>
      </c>
      <c r="S170" s="137"/>
      <c r="T170" s="137"/>
      <c r="Z170" s="63"/>
      <c r="AA170" s="35">
        <f t="shared" si="28"/>
        <v>15628.023116090944</v>
      </c>
      <c r="AB170" s="63">
        <f>IF(OR(Q170="",Q170&lt;=0.01),"",IF(SUM($F$23:F170)=Simul_ConstruRemo!$I$26,1,0))</f>
        <v>1</v>
      </c>
      <c r="AC170">
        <f t="shared" si="34"/>
        <v>143</v>
      </c>
      <c r="AD170" s="147">
        <f t="shared" si="35"/>
        <v>142</v>
      </c>
      <c r="AF170" t="str">
        <f t="shared" si="36"/>
        <v>Obra Concluida</v>
      </c>
      <c r="AI170">
        <f>IF(SUM($F$23:F169)&gt;=$K$9,1,0)</f>
        <v>1</v>
      </c>
    </row>
    <row r="171" spans="3:35" x14ac:dyDescent="0.25">
      <c r="C171" s="37">
        <f>IFERROR(IF(Q170&lt;=0.01,"",IF(C170+1&gt;Simul_ConstruRemo!$BN$11,"",C170+1)),"")</f>
        <v>149</v>
      </c>
      <c r="D171" s="37" t="str">
        <f>IF(C171&gt;Simul_ConstruRemo!$I$19,"",IF(Simul_ConstruRemo!I209=100%,"",IFERROR(VLOOKUP(C171,Simul_ConstruRemo!$AX$61:$AY$64,2,0),D170)))</f>
        <v/>
      </c>
      <c r="E171" s="136">
        <f>IF(C171="","",IF(AF171="Ministración",Simul_ConstruRemo!BM207,1))</f>
        <v>1</v>
      </c>
      <c r="F171" s="35">
        <f t="shared" si="37"/>
        <v>0</v>
      </c>
      <c r="G171" s="137">
        <f t="shared" si="32"/>
        <v>965650.16339987435</v>
      </c>
      <c r="H171" s="137">
        <f t="shared" si="29"/>
        <v>14490</v>
      </c>
      <c r="I171" s="137">
        <f t="shared" si="30"/>
        <v>6241.7381876260733</v>
      </c>
      <c r="J171" s="137">
        <f t="shared" ref="J171:J234" si="39">IF(C171="","",IF(Q170*(N171/12)&lt;0,"",Q170*N171/12))</f>
        <v>8248.2618123739267</v>
      </c>
      <c r="K171" s="137">
        <f>IF(C171="","",IF(Simul_ConstruRemo!$I$10=Simul_ConstruRemo!$BV$6,(Simul_ConstruRemo!$I$16*0.7+Simul_ConstruRemo!$I$17*0.5),Simul_ConstruRemo!$CO$27))</f>
        <v>2606295</v>
      </c>
      <c r="L171" s="137">
        <f>IFERROR(Q171*Simul_ConstruRemo!$BP$30/1000,"")</f>
        <v>422.13970709338923</v>
      </c>
      <c r="M171" s="137">
        <f>IFERROR(IF($E$7="Remodelación",K171*Simul_ConstruRemo!$BS$29,
IF(E171=1,MAX(K171,Q171)*Simul_ConstruRemo!$BS$29,K171*Simul_ConstruRemo!$BQ$29)),"")</f>
        <v>827.2389712662</v>
      </c>
      <c r="N171" s="13">
        <f>IF(C171="","",'Tabla_Puntual&amp;Relacionamiento'!$E$49)</f>
        <v>0.10249999999999999</v>
      </c>
      <c r="O171" s="183"/>
      <c r="P171" s="137">
        <f t="shared" si="31"/>
        <v>15739.37867835959</v>
      </c>
      <c r="Q171" s="137">
        <f t="shared" si="33"/>
        <v>959408.42521224823</v>
      </c>
      <c r="R171" s="37">
        <f t="shared" si="38"/>
        <v>1</v>
      </c>
      <c r="S171" s="137"/>
      <c r="T171" s="137"/>
      <c r="Z171" s="63"/>
      <c r="AA171" s="35">
        <f t="shared" si="28"/>
        <v>15625.276751288389</v>
      </c>
      <c r="AB171" s="63">
        <f>IF(OR(Q171="",Q171&lt;=0.01),"",IF(SUM($F$23:F171)=Simul_ConstruRemo!$I$26,1,0))</f>
        <v>1</v>
      </c>
      <c r="AC171">
        <f t="shared" si="34"/>
        <v>144</v>
      </c>
      <c r="AD171" s="147">
        <f t="shared" si="35"/>
        <v>143</v>
      </c>
      <c r="AF171" t="str">
        <f t="shared" si="36"/>
        <v>Obra Concluida</v>
      </c>
      <c r="AI171">
        <f>IF(SUM($F$23:F170)&gt;=$K$9,1,0)</f>
        <v>1</v>
      </c>
    </row>
    <row r="172" spans="3:35" x14ac:dyDescent="0.25">
      <c r="C172" s="37">
        <f>IFERROR(IF(Q171&lt;=0.01,"",IF(C171+1&gt;Simul_ConstruRemo!$BN$11,"",C171+1)),"")</f>
        <v>150</v>
      </c>
      <c r="D172" s="37" t="str">
        <f>IF(C172&gt;Simul_ConstruRemo!$I$19,"",IF(Simul_ConstruRemo!I210=100%,"",IFERROR(VLOOKUP(C172,Simul_ConstruRemo!$AX$61:$AY$64,2,0),D171)))</f>
        <v/>
      </c>
      <c r="E172" s="136">
        <f>IF(C172="","",IF(AF172="Ministración",Simul_ConstruRemo!BM208,1))</f>
        <v>1</v>
      </c>
      <c r="F172" s="35">
        <f t="shared" si="37"/>
        <v>0</v>
      </c>
      <c r="G172" s="137">
        <f t="shared" si="32"/>
        <v>959408.42521224823</v>
      </c>
      <c r="H172" s="137">
        <f t="shared" si="29"/>
        <v>14490</v>
      </c>
      <c r="I172" s="137">
        <f t="shared" si="30"/>
        <v>6295.0530346453797</v>
      </c>
      <c r="J172" s="137">
        <f t="shared" si="39"/>
        <v>8194.9469653546203</v>
      </c>
      <c r="K172" s="137">
        <f>IF(C172="","",IF(Simul_ConstruRemo!$I$10=Simul_ConstruRemo!$BV$6,(Simul_ConstruRemo!$I$16*0.7+Simul_ConstruRemo!$I$17*0.5),Simul_ConstruRemo!$CO$27))</f>
        <v>2606295</v>
      </c>
      <c r="L172" s="137">
        <f>IFERROR(Q172*Simul_ConstruRemo!$BP$30/1000,"")</f>
        <v>419.36988375814525</v>
      </c>
      <c r="M172" s="137">
        <f>IFERROR(IF($E$7="Remodelación",K172*Simul_ConstruRemo!$BS$29,
IF(E172=1,MAX(K172,Q172)*Simul_ConstruRemo!$BS$29,K172*Simul_ConstruRemo!$BQ$29)),"")</f>
        <v>827.2389712662</v>
      </c>
      <c r="N172" s="13">
        <f>IF(C172="","",'Tabla_Puntual&amp;Relacionamiento'!$E$49)</f>
        <v>0.10249999999999999</v>
      </c>
      <c r="O172" s="183"/>
      <c r="P172" s="137">
        <f t="shared" si="31"/>
        <v>15736.608855024346</v>
      </c>
      <c r="Q172" s="137">
        <f t="shared" si="33"/>
        <v>953113.37217760284</v>
      </c>
      <c r="R172" s="37">
        <f t="shared" si="38"/>
        <v>1</v>
      </c>
      <c r="S172" s="137"/>
      <c r="T172" s="137"/>
      <c r="Z172" s="63"/>
      <c r="AA172" s="35">
        <f t="shared" si="28"/>
        <v>15622.506927953145</v>
      </c>
      <c r="AB172" s="63">
        <f>IF(OR(Q172="",Q172&lt;=0.01),"",IF(SUM($F$23:F172)=Simul_ConstruRemo!$I$26,1,0))</f>
        <v>1</v>
      </c>
      <c r="AC172">
        <f t="shared" si="34"/>
        <v>145</v>
      </c>
      <c r="AD172" s="147">
        <f t="shared" si="35"/>
        <v>144</v>
      </c>
      <c r="AF172" t="str">
        <f t="shared" si="36"/>
        <v>Obra Concluida</v>
      </c>
      <c r="AI172">
        <f>IF(SUM($F$23:F171)&gt;=$K$9,1,0)</f>
        <v>1</v>
      </c>
    </row>
    <row r="173" spans="3:35" x14ac:dyDescent="0.25">
      <c r="C173" s="37">
        <f>IFERROR(IF(Q172&lt;=0.01,"",IF(C172+1&gt;Simul_ConstruRemo!$BN$11,"",C172+1)),"")</f>
        <v>151</v>
      </c>
      <c r="D173" s="37" t="str">
        <f>IF(C173&gt;Simul_ConstruRemo!$I$19,"",IF(Simul_ConstruRemo!I211=100%,"",IFERROR(VLOOKUP(C173,Simul_ConstruRemo!$AX$61:$AY$64,2,0),D172)))</f>
        <v/>
      </c>
      <c r="E173" s="136">
        <f>IF(C173="","",IF(AF173="Ministración",Simul_ConstruRemo!BM209,1))</f>
        <v>1</v>
      </c>
      <c r="F173" s="35">
        <f t="shared" si="37"/>
        <v>0</v>
      </c>
      <c r="G173" s="137">
        <f t="shared" si="32"/>
        <v>953113.37217760284</v>
      </c>
      <c r="H173" s="137">
        <f t="shared" si="29"/>
        <v>14490</v>
      </c>
      <c r="I173" s="137">
        <f t="shared" si="30"/>
        <v>6348.8232793163088</v>
      </c>
      <c r="J173" s="137">
        <f t="shared" si="39"/>
        <v>8141.1767206836912</v>
      </c>
      <c r="K173" s="137">
        <f>IF(C173="","",IF(Simul_ConstruRemo!$I$10=Simul_ConstruRemo!$BV$6,(Simul_ConstruRemo!$I$16*0.7+Simul_ConstruRemo!$I$17*0.5),Simul_ConstruRemo!$CO$27))</f>
        <v>2606295</v>
      </c>
      <c r="L173" s="137">
        <f>IFERROR(Q173*Simul_ConstruRemo!$BP$30/1000,"")</f>
        <v>416.57640151524606</v>
      </c>
      <c r="M173" s="137">
        <f>IFERROR(IF($E$7="Remodelación",K173*Simul_ConstruRemo!$BS$29,
IF(E173=1,MAX(K173,Q173)*Simul_ConstruRemo!$BS$29,K173*Simul_ConstruRemo!$BQ$29)),"")</f>
        <v>827.2389712662</v>
      </c>
      <c r="N173" s="13">
        <f>IF(C173="","",'Tabla_Puntual&amp;Relacionamiento'!$E$49)</f>
        <v>0.10249999999999999</v>
      </c>
      <c r="O173" s="183"/>
      <c r="P173" s="137">
        <f t="shared" si="31"/>
        <v>15733.815372781446</v>
      </c>
      <c r="Q173" s="137">
        <f t="shared" si="33"/>
        <v>946764.54889828654</v>
      </c>
      <c r="R173" s="37">
        <f t="shared" si="38"/>
        <v>1</v>
      </c>
      <c r="S173" s="137"/>
      <c r="T173" s="137"/>
      <c r="Z173" s="63"/>
      <c r="AA173" s="35">
        <f t="shared" si="28"/>
        <v>15619.713445710246</v>
      </c>
      <c r="AB173" s="63">
        <f>IF(OR(Q173="",Q173&lt;=0.01),"",IF(SUM($F$23:F173)=Simul_ConstruRemo!$I$26,1,0))</f>
        <v>1</v>
      </c>
      <c r="AC173">
        <f t="shared" si="34"/>
        <v>146</v>
      </c>
      <c r="AD173" s="147">
        <f t="shared" si="35"/>
        <v>145</v>
      </c>
      <c r="AF173" t="str">
        <f t="shared" si="36"/>
        <v>Obra Concluida</v>
      </c>
      <c r="AI173">
        <f>IF(SUM($F$23:F172)&gt;=$K$9,1,0)</f>
        <v>1</v>
      </c>
    </row>
    <row r="174" spans="3:35" x14ac:dyDescent="0.25">
      <c r="C174" s="37">
        <f>IFERROR(IF(Q173&lt;=0.01,"",IF(C173+1&gt;Simul_ConstruRemo!$BN$11,"",C173+1)),"")</f>
        <v>152</v>
      </c>
      <c r="D174" s="37" t="str">
        <f>IF(C174&gt;Simul_ConstruRemo!$I$19,"",IF(Simul_ConstruRemo!I212=100%,"",IFERROR(VLOOKUP(C174,Simul_ConstruRemo!$AX$61:$AY$64,2,0),D173)))</f>
        <v/>
      </c>
      <c r="E174" s="136">
        <f>IF(C174="","",IF(AF174="Ministración",Simul_ConstruRemo!BM210,1))</f>
        <v>1</v>
      </c>
      <c r="F174" s="35">
        <f t="shared" si="37"/>
        <v>0</v>
      </c>
      <c r="G174" s="137">
        <f t="shared" si="32"/>
        <v>946764.54889828654</v>
      </c>
      <c r="H174" s="137">
        <f t="shared" si="29"/>
        <v>14490</v>
      </c>
      <c r="I174" s="137">
        <f t="shared" si="30"/>
        <v>6403.0528114938024</v>
      </c>
      <c r="J174" s="137">
        <f t="shared" si="39"/>
        <v>8086.9471885061976</v>
      </c>
      <c r="K174" s="137">
        <f>IF(C174="","",IF(Simul_ConstruRemo!$I$10=Simul_ConstruRemo!$BV$6,(Simul_ConstruRemo!$I$16*0.7+Simul_ConstruRemo!$I$17*0.5),Simul_ConstruRemo!$CO$27))</f>
        <v>2606295</v>
      </c>
      <c r="L174" s="137">
        <f>IFERROR(Q174*Simul_ConstruRemo!$BP$30/1000,"")</f>
        <v>413.75905827818883</v>
      </c>
      <c r="M174" s="137">
        <f>IFERROR(IF($E$7="Remodelación",K174*Simul_ConstruRemo!$BS$29,
IF(E174=1,MAX(K174,Q174)*Simul_ConstruRemo!$BS$29,K174*Simul_ConstruRemo!$BQ$29)),"")</f>
        <v>827.2389712662</v>
      </c>
      <c r="N174" s="13">
        <f>IF(C174="","",'Tabla_Puntual&amp;Relacionamiento'!$E$49)</f>
        <v>0.10249999999999999</v>
      </c>
      <c r="O174" s="183"/>
      <c r="P174" s="137">
        <f t="shared" si="31"/>
        <v>15730.998029544389</v>
      </c>
      <c r="Q174" s="137">
        <f t="shared" si="33"/>
        <v>940361.49608679279</v>
      </c>
      <c r="R174" s="37">
        <f t="shared" si="38"/>
        <v>1</v>
      </c>
      <c r="S174" s="137"/>
      <c r="T174" s="137"/>
      <c r="Z174" s="63"/>
      <c r="AA174" s="35">
        <f t="shared" si="28"/>
        <v>15616.896102473189</v>
      </c>
      <c r="AB174" s="63">
        <f>IF(OR(Q174="",Q174&lt;=0.01),"",IF(SUM($F$23:F174)=Simul_ConstruRemo!$I$26,1,0))</f>
        <v>1</v>
      </c>
      <c r="AC174">
        <f t="shared" si="34"/>
        <v>147</v>
      </c>
      <c r="AD174" s="147">
        <f t="shared" si="35"/>
        <v>146</v>
      </c>
      <c r="AF174" t="str">
        <f t="shared" si="36"/>
        <v>Obra Concluida</v>
      </c>
      <c r="AI174">
        <f>IF(SUM($F$23:F173)&gt;=$K$9,1,0)</f>
        <v>1</v>
      </c>
    </row>
    <row r="175" spans="3:35" x14ac:dyDescent="0.25">
      <c r="C175" s="37">
        <f>IFERROR(IF(Q174&lt;=0.01,"",IF(C174+1&gt;Simul_ConstruRemo!$BN$11,"",C174+1)),"")</f>
        <v>153</v>
      </c>
      <c r="D175" s="37" t="str">
        <f>IF(C175&gt;Simul_ConstruRemo!$I$19,"",IF(Simul_ConstruRemo!I213=100%,"",IFERROR(VLOOKUP(C175,Simul_ConstruRemo!$AX$61:$AY$64,2,0),D174)))</f>
        <v/>
      </c>
      <c r="E175" s="136">
        <f>IF(C175="","",IF(AF175="Ministración",Simul_ConstruRemo!BM211,1))</f>
        <v>1</v>
      </c>
      <c r="F175" s="35">
        <f t="shared" si="37"/>
        <v>0</v>
      </c>
      <c r="G175" s="137">
        <f t="shared" si="32"/>
        <v>940361.49608679279</v>
      </c>
      <c r="H175" s="137">
        <f t="shared" si="29"/>
        <v>14490</v>
      </c>
      <c r="I175" s="137">
        <f t="shared" si="30"/>
        <v>6457.7455542586458</v>
      </c>
      <c r="J175" s="137">
        <f t="shared" si="39"/>
        <v>8032.2544457413542</v>
      </c>
      <c r="K175" s="137">
        <f>IF(C175="","",IF(Simul_ConstruRemo!$I$10=Simul_ConstruRemo!$BV$6,(Simul_ConstruRemo!$I$16*0.7+Simul_ConstruRemo!$I$17*0.5),Simul_ConstruRemo!$CO$27))</f>
        <v>2606295</v>
      </c>
      <c r="L175" s="137">
        <f>IFERROR(Q175*Simul_ConstruRemo!$BP$30/1000,"")</f>
        <v>410.91765023431503</v>
      </c>
      <c r="M175" s="137">
        <f>IFERROR(IF($E$7="Remodelación",K175*Simul_ConstruRemo!$BS$29,
IF(E175=1,MAX(K175,Q175)*Simul_ConstruRemo!$BS$29,K175*Simul_ConstruRemo!$BQ$29)),"")</f>
        <v>827.2389712662</v>
      </c>
      <c r="N175" s="13">
        <f>IF(C175="","",'Tabla_Puntual&amp;Relacionamiento'!$E$49)</f>
        <v>0.10249999999999999</v>
      </c>
      <c r="O175" s="183"/>
      <c r="P175" s="137">
        <f t="shared" si="31"/>
        <v>15728.156621500515</v>
      </c>
      <c r="Q175" s="137">
        <f t="shared" si="33"/>
        <v>933903.75053253409</v>
      </c>
      <c r="R175" s="37">
        <f t="shared" si="38"/>
        <v>1</v>
      </c>
      <c r="S175" s="137"/>
      <c r="T175" s="137"/>
      <c r="Z175" s="63"/>
      <c r="AA175" s="35">
        <f t="shared" si="28"/>
        <v>15614.054694429315</v>
      </c>
      <c r="AB175" s="63">
        <f>IF(OR(Q175="",Q175&lt;=0.01),"",IF(SUM($F$23:F175)=Simul_ConstruRemo!$I$26,1,0))</f>
        <v>1</v>
      </c>
      <c r="AC175">
        <f t="shared" si="34"/>
        <v>148</v>
      </c>
      <c r="AD175" s="147">
        <f t="shared" si="35"/>
        <v>147</v>
      </c>
      <c r="AF175" t="str">
        <f t="shared" si="36"/>
        <v>Obra Concluida</v>
      </c>
      <c r="AI175">
        <f>IF(SUM($F$23:F174)&gt;=$K$9,1,0)</f>
        <v>1</v>
      </c>
    </row>
    <row r="176" spans="3:35" x14ac:dyDescent="0.25">
      <c r="C176" s="37">
        <f>IFERROR(IF(Q175&lt;=0.01,"",IF(C175+1&gt;Simul_ConstruRemo!$BN$11,"",C175+1)),"")</f>
        <v>154</v>
      </c>
      <c r="D176" s="37" t="str">
        <f>IF(C176&gt;Simul_ConstruRemo!$I$19,"",IF(Simul_ConstruRemo!I214=100%,"",IFERROR(VLOOKUP(C176,Simul_ConstruRemo!$AX$61:$AY$64,2,0),D175)))</f>
        <v/>
      </c>
      <c r="E176" s="136">
        <f>IF(C176="","",IF(AF176="Ministración",Simul_ConstruRemo!BM212,1))</f>
        <v>1</v>
      </c>
      <c r="F176" s="35">
        <f t="shared" si="37"/>
        <v>0</v>
      </c>
      <c r="G176" s="137">
        <f t="shared" si="32"/>
        <v>933903.75053253409</v>
      </c>
      <c r="H176" s="137">
        <f t="shared" si="29"/>
        <v>14490</v>
      </c>
      <c r="I176" s="137">
        <f t="shared" si="30"/>
        <v>6512.9054642012716</v>
      </c>
      <c r="J176" s="137">
        <f t="shared" si="39"/>
        <v>7977.0945357987284</v>
      </c>
      <c r="K176" s="137">
        <f>IF(C176="","",IF(Simul_ConstruRemo!$I$10=Simul_ConstruRemo!$BV$6,(Simul_ConstruRemo!$I$16*0.7+Simul_ConstruRemo!$I$17*0.5),Simul_ConstruRemo!$CO$27))</f>
        <v>2606295</v>
      </c>
      <c r="L176" s="137">
        <f>IFERROR(Q176*Simul_ConstruRemo!$BP$30/1000,"")</f>
        <v>408.05197183006646</v>
      </c>
      <c r="M176" s="137">
        <f>IFERROR(IF($E$7="Remodelación",K176*Simul_ConstruRemo!$BS$29,
IF(E176=1,MAX(K176,Q176)*Simul_ConstruRemo!$BS$29,K176*Simul_ConstruRemo!$BQ$29)),"")</f>
        <v>827.2389712662</v>
      </c>
      <c r="N176" s="13">
        <f>IF(C176="","",'Tabla_Puntual&amp;Relacionamiento'!$E$49)</f>
        <v>0.10249999999999999</v>
      </c>
      <c r="O176" s="183"/>
      <c r="P176" s="137">
        <f t="shared" si="31"/>
        <v>15725.290943096266</v>
      </c>
      <c r="Q176" s="137">
        <f t="shared" si="33"/>
        <v>927390.84506833286</v>
      </c>
      <c r="R176" s="37">
        <f t="shared" si="38"/>
        <v>1</v>
      </c>
      <c r="S176" s="137"/>
      <c r="T176" s="137"/>
      <c r="Z176" s="63"/>
      <c r="AA176" s="35">
        <f t="shared" si="28"/>
        <v>15611.189016025066</v>
      </c>
      <c r="AB176" s="63">
        <f>IF(OR(Q176="",Q176&lt;=0.01),"",IF(SUM($F$23:F176)=Simul_ConstruRemo!$I$26,1,0))</f>
        <v>1</v>
      </c>
      <c r="AC176">
        <f t="shared" si="34"/>
        <v>149</v>
      </c>
      <c r="AD176" s="147">
        <f t="shared" si="35"/>
        <v>148</v>
      </c>
      <c r="AF176" t="str">
        <f t="shared" si="36"/>
        <v>Obra Concluida</v>
      </c>
      <c r="AI176">
        <f>IF(SUM($F$23:F175)&gt;=$K$9,1,0)</f>
        <v>1</v>
      </c>
    </row>
    <row r="177" spans="3:35" x14ac:dyDescent="0.25">
      <c r="C177" s="37">
        <f>IFERROR(IF(Q176&lt;=0.01,"",IF(C176+1&gt;Simul_ConstruRemo!$BN$11,"",C176+1)),"")</f>
        <v>155</v>
      </c>
      <c r="D177" s="37" t="str">
        <f>IF(C177&gt;Simul_ConstruRemo!$I$19,"",IF(Simul_ConstruRemo!I215=100%,"",IFERROR(VLOOKUP(C177,Simul_ConstruRemo!$AX$61:$AY$64,2,0),D176)))</f>
        <v/>
      </c>
      <c r="E177" s="136">
        <f>IF(C177="","",IF(AF177="Ministración",Simul_ConstruRemo!BM213,1))</f>
        <v>1</v>
      </c>
      <c r="F177" s="35">
        <f t="shared" si="37"/>
        <v>0</v>
      </c>
      <c r="G177" s="137">
        <f t="shared" si="32"/>
        <v>927390.84506833286</v>
      </c>
      <c r="H177" s="137">
        <f t="shared" si="29"/>
        <v>14490</v>
      </c>
      <c r="I177" s="137">
        <f t="shared" si="30"/>
        <v>6568.5365317079913</v>
      </c>
      <c r="J177" s="137">
        <f t="shared" si="39"/>
        <v>7921.4634682920087</v>
      </c>
      <c r="K177" s="137">
        <f>IF(C177="","",IF(Simul_ConstruRemo!$I$10=Simul_ConstruRemo!$BV$6,(Simul_ConstruRemo!$I$16*0.7+Simul_ConstruRemo!$I$17*0.5),Simul_ConstruRemo!$CO$27))</f>
        <v>2606295</v>
      </c>
      <c r="L177" s="137">
        <f>IFERROR(Q177*Simul_ConstruRemo!$BP$30/1000,"")</f>
        <v>405.16181575611495</v>
      </c>
      <c r="M177" s="137">
        <f>IFERROR(IF($E$7="Remodelación",K177*Simul_ConstruRemo!$BS$29,
IF(E177=1,MAX(K177,Q177)*Simul_ConstruRemo!$BS$29,K177*Simul_ConstruRemo!$BQ$29)),"")</f>
        <v>827.2389712662</v>
      </c>
      <c r="N177" s="13">
        <f>IF(C177="","",'Tabla_Puntual&amp;Relacionamiento'!$E$49)</f>
        <v>0.10249999999999999</v>
      </c>
      <c r="O177" s="183"/>
      <c r="P177" s="137">
        <f t="shared" si="31"/>
        <v>15722.400787022316</v>
      </c>
      <c r="Q177" s="137">
        <f t="shared" si="33"/>
        <v>920822.30853662489</v>
      </c>
      <c r="R177" s="37">
        <f t="shared" si="38"/>
        <v>1</v>
      </c>
      <c r="S177" s="137"/>
      <c r="T177" s="137"/>
      <c r="Z177" s="63"/>
      <c r="AA177" s="35">
        <f t="shared" si="28"/>
        <v>15608.298859951115</v>
      </c>
      <c r="AB177" s="63">
        <f>IF(OR(Q177="",Q177&lt;=0.01),"",IF(SUM($F$23:F177)=Simul_ConstruRemo!$I$26,1,0))</f>
        <v>1</v>
      </c>
      <c r="AC177">
        <f t="shared" si="34"/>
        <v>150</v>
      </c>
      <c r="AD177" s="147">
        <f t="shared" si="35"/>
        <v>149</v>
      </c>
      <c r="AF177" t="str">
        <f t="shared" si="36"/>
        <v>Obra Concluida</v>
      </c>
      <c r="AI177">
        <f>IF(SUM($F$23:F176)&gt;=$K$9,1,0)</f>
        <v>1</v>
      </c>
    </row>
    <row r="178" spans="3:35" x14ac:dyDescent="0.25">
      <c r="C178" s="37">
        <f>IFERROR(IF(Q177&lt;=0.01,"",IF(C177+1&gt;Simul_ConstruRemo!$BN$11,"",C177+1)),"")</f>
        <v>156</v>
      </c>
      <c r="D178" s="37" t="str">
        <f>IF(C178&gt;Simul_ConstruRemo!$I$19,"",IF(Simul_ConstruRemo!I216=100%,"",IFERROR(VLOOKUP(C178,Simul_ConstruRemo!$AX$61:$AY$64,2,0),D177)))</f>
        <v/>
      </c>
      <c r="E178" s="136">
        <f>IF(C178="","",IF(AF178="Ministración",Simul_ConstruRemo!BM214,1))</f>
        <v>1</v>
      </c>
      <c r="F178" s="35">
        <f t="shared" si="37"/>
        <v>0</v>
      </c>
      <c r="G178" s="137">
        <f t="shared" si="32"/>
        <v>920822.30853662489</v>
      </c>
      <c r="H178" s="137">
        <f t="shared" si="29"/>
        <v>14490</v>
      </c>
      <c r="I178" s="137">
        <f t="shared" si="30"/>
        <v>6624.6427812496631</v>
      </c>
      <c r="J178" s="137">
        <f t="shared" si="39"/>
        <v>7865.3572187503369</v>
      </c>
      <c r="K178" s="137">
        <f>IF(C178="","",IF(Simul_ConstruRemo!$I$10=Simul_ConstruRemo!$BV$6,(Simul_ConstruRemo!$I$16*0.7+Simul_ConstruRemo!$I$17*0.5),Simul_ConstruRemo!$CO$27))</f>
        <v>2606295</v>
      </c>
      <c r="L178" s="137">
        <f>IFERROR(Q178*Simul_ConstruRemo!$BP$30/1000,"")</f>
        <v>402.24697293236511</v>
      </c>
      <c r="M178" s="137">
        <f>IFERROR(IF($E$7="Remodelación",K178*Simul_ConstruRemo!$BS$29,
IF(E178=1,MAX(K178,Q178)*Simul_ConstruRemo!$BS$29,K178*Simul_ConstruRemo!$BQ$29)),"")</f>
        <v>827.2389712662</v>
      </c>
      <c r="N178" s="13">
        <f>IF(C178="","",'Tabla_Puntual&amp;Relacionamiento'!$E$49)</f>
        <v>0.10249999999999999</v>
      </c>
      <c r="O178" s="183"/>
      <c r="P178" s="137">
        <f t="shared" si="31"/>
        <v>15719.485944198566</v>
      </c>
      <c r="Q178" s="137">
        <f t="shared" si="33"/>
        <v>914197.66575537517</v>
      </c>
      <c r="R178" s="37">
        <f t="shared" si="38"/>
        <v>1</v>
      </c>
      <c r="S178" s="137"/>
      <c r="T178" s="137"/>
      <c r="Z178" s="63"/>
      <c r="AA178" s="35">
        <f t="shared" si="28"/>
        <v>15605.384017127366</v>
      </c>
      <c r="AB178" s="63">
        <f>IF(OR(Q178="",Q178&lt;=0.01),"",IF(SUM($F$23:F178)=Simul_ConstruRemo!$I$26,1,0))</f>
        <v>1</v>
      </c>
      <c r="AC178">
        <f t="shared" si="34"/>
        <v>151</v>
      </c>
      <c r="AD178" s="147">
        <f t="shared" si="35"/>
        <v>150</v>
      </c>
      <c r="AF178" t="str">
        <f t="shared" si="36"/>
        <v>Obra Concluida</v>
      </c>
      <c r="AI178">
        <f>IF(SUM($F$23:F177)&gt;=$K$9,1,0)</f>
        <v>1</v>
      </c>
    </row>
    <row r="179" spans="3:35" x14ac:dyDescent="0.25">
      <c r="C179" s="37">
        <f>IFERROR(IF(Q178&lt;=0.01,"",IF(C178+1&gt;Simul_ConstruRemo!$BN$11,"",C178+1)),"")</f>
        <v>157</v>
      </c>
      <c r="D179" s="37" t="str">
        <f>IF(C179&gt;Simul_ConstruRemo!$I$19,"",IF(Simul_ConstruRemo!I217=100%,"",IFERROR(VLOOKUP(C179,Simul_ConstruRemo!$AX$61:$AY$64,2,0),D178)))</f>
        <v/>
      </c>
      <c r="E179" s="136">
        <f>IF(C179="","",IF(AF179="Ministración",Simul_ConstruRemo!BM215,1))</f>
        <v>1</v>
      </c>
      <c r="F179" s="35">
        <f t="shared" si="37"/>
        <v>0</v>
      </c>
      <c r="G179" s="137">
        <f t="shared" si="32"/>
        <v>914197.66575537517</v>
      </c>
      <c r="H179" s="137">
        <f t="shared" si="29"/>
        <v>14490</v>
      </c>
      <c r="I179" s="137">
        <f t="shared" si="30"/>
        <v>6681.2282716728378</v>
      </c>
      <c r="J179" s="137">
        <f t="shared" si="39"/>
        <v>7808.7717283271622</v>
      </c>
      <c r="K179" s="137">
        <f>IF(C179="","",IF(Simul_ConstruRemo!$I$10=Simul_ConstruRemo!$BV$6,(Simul_ConstruRemo!$I$16*0.7+Simul_ConstruRemo!$I$17*0.5),Simul_ConstruRemo!$CO$27))</f>
        <v>2606295</v>
      </c>
      <c r="L179" s="137">
        <f>IFERROR(Q179*Simul_ConstruRemo!$BP$30/1000,"")</f>
        <v>399.30723249282903</v>
      </c>
      <c r="M179" s="137">
        <f>IFERROR(IF($E$7="Remodelación",K179*Simul_ConstruRemo!$BS$29,
IF(E179=1,MAX(K179,Q179)*Simul_ConstruRemo!$BS$29,K179*Simul_ConstruRemo!$BQ$29)),"")</f>
        <v>827.2389712662</v>
      </c>
      <c r="N179" s="13">
        <f>IF(C179="","",'Tabla_Puntual&amp;Relacionamiento'!$E$50)</f>
        <v>0.10249999999999999</v>
      </c>
      <c r="O179" s="183"/>
      <c r="P179" s="137">
        <f t="shared" si="31"/>
        <v>15716.54620375903</v>
      </c>
      <c r="Q179" s="137">
        <f t="shared" si="33"/>
        <v>907516.43748370232</v>
      </c>
      <c r="R179" s="37">
        <f t="shared" si="38"/>
        <v>1</v>
      </c>
      <c r="S179" s="137"/>
      <c r="T179" s="137"/>
      <c r="Z179" s="63"/>
      <c r="AA179" s="35">
        <f t="shared" si="28"/>
        <v>15602.444276687829</v>
      </c>
      <c r="AB179" s="63">
        <f>IF(OR(Q179="",Q179&lt;=0.01),"",IF(SUM($F$23:F179)=Simul_ConstruRemo!$I$26,1,0))</f>
        <v>1</v>
      </c>
      <c r="AC179">
        <f t="shared" si="34"/>
        <v>152</v>
      </c>
      <c r="AD179" s="147">
        <f t="shared" si="35"/>
        <v>151</v>
      </c>
      <c r="AF179" t="str">
        <f t="shared" si="36"/>
        <v>Obra Concluida</v>
      </c>
      <c r="AI179">
        <f>IF(SUM($F$23:F178)&gt;=$K$9,1,0)</f>
        <v>1</v>
      </c>
    </row>
    <row r="180" spans="3:35" x14ac:dyDescent="0.25">
      <c r="C180" s="37">
        <f>IFERROR(IF(Q179&lt;=0.01,"",IF(C179+1&gt;Simul_ConstruRemo!$BN$11,"",C179+1)),"")</f>
        <v>158</v>
      </c>
      <c r="D180" s="37" t="str">
        <f>IF(C180&gt;Simul_ConstruRemo!$I$19,"",IF(Simul_ConstruRemo!I218=100%,"",IFERROR(VLOOKUP(C180,Simul_ConstruRemo!$AX$61:$AY$64,2,0),D179)))</f>
        <v/>
      </c>
      <c r="E180" s="136">
        <f>IF(C180="","",IF(AF180="Ministración",Simul_ConstruRemo!BM216,1))</f>
        <v>1</v>
      </c>
      <c r="F180" s="35">
        <f t="shared" si="37"/>
        <v>0</v>
      </c>
      <c r="G180" s="137">
        <f t="shared" si="32"/>
        <v>907516.43748370232</v>
      </c>
      <c r="H180" s="137">
        <f t="shared" si="29"/>
        <v>14490</v>
      </c>
      <c r="I180" s="137">
        <f t="shared" si="30"/>
        <v>6738.2970964933766</v>
      </c>
      <c r="J180" s="137">
        <f t="shared" si="39"/>
        <v>7751.7029035066234</v>
      </c>
      <c r="K180" s="137">
        <f>IF(C180="","",IF(Simul_ConstruRemo!$I$10=Simul_ConstruRemo!$BV$6,(Simul_ConstruRemo!$I$16*0.7+Simul_ConstruRemo!$I$17*0.5),Simul_ConstruRemo!$CO$27))</f>
        <v>2606295</v>
      </c>
      <c r="L180" s="137">
        <f>IFERROR(Q180*Simul_ConstruRemo!$BP$30/1000,"")</f>
        <v>396.3423817703719</v>
      </c>
      <c r="M180" s="137">
        <f>IFERROR(IF($E$7="Remodelación",K180*Simul_ConstruRemo!$BS$29,
IF(E180=1,MAX(K180,Q180)*Simul_ConstruRemo!$BS$29,K180*Simul_ConstruRemo!$BQ$29)),"")</f>
        <v>827.2389712662</v>
      </c>
      <c r="N180" s="13">
        <f>IF(C180="","",'Tabla_Puntual&amp;Relacionamiento'!$E$50)</f>
        <v>0.10249999999999999</v>
      </c>
      <c r="O180" s="183"/>
      <c r="P180" s="137">
        <f t="shared" si="31"/>
        <v>15713.581353036572</v>
      </c>
      <c r="Q180" s="137">
        <f t="shared" si="33"/>
        <v>900778.1403872089</v>
      </c>
      <c r="R180" s="37">
        <f t="shared" si="38"/>
        <v>1</v>
      </c>
      <c r="S180" s="137"/>
      <c r="T180" s="137"/>
      <c r="Z180" s="63"/>
      <c r="AA180" s="35">
        <f t="shared" si="28"/>
        <v>15599.479425965372</v>
      </c>
      <c r="AB180" s="63">
        <f>IF(OR(Q180="",Q180&lt;=0.01),"",IF(SUM($F$23:F180)=Simul_ConstruRemo!$I$26,1,0))</f>
        <v>1</v>
      </c>
      <c r="AC180">
        <f t="shared" si="34"/>
        <v>153</v>
      </c>
      <c r="AD180" s="147">
        <f t="shared" si="35"/>
        <v>152</v>
      </c>
      <c r="AF180" t="str">
        <f t="shared" si="36"/>
        <v>Obra Concluida</v>
      </c>
      <c r="AI180">
        <f>IF(SUM($F$23:F179)&gt;=$K$9,1,0)</f>
        <v>1</v>
      </c>
    </row>
    <row r="181" spans="3:35" x14ac:dyDescent="0.25">
      <c r="C181" s="37">
        <f>IFERROR(IF(Q180&lt;=0.01,"",IF(C180+1&gt;Simul_ConstruRemo!$BN$11,"",C180+1)),"")</f>
        <v>159</v>
      </c>
      <c r="D181" s="37" t="str">
        <f>IF(C181&gt;Simul_ConstruRemo!$I$19,"",IF(Simul_ConstruRemo!I219=100%,"",IFERROR(VLOOKUP(C181,Simul_ConstruRemo!$AX$61:$AY$64,2,0),D180)))</f>
        <v/>
      </c>
      <c r="E181" s="136">
        <f>IF(C181="","",IF(AF181="Ministración",Simul_ConstruRemo!BM217,1))</f>
        <v>1</v>
      </c>
      <c r="F181" s="35">
        <f t="shared" si="37"/>
        <v>0</v>
      </c>
      <c r="G181" s="137">
        <f t="shared" si="32"/>
        <v>900778.1403872089</v>
      </c>
      <c r="H181" s="137">
        <f t="shared" si="29"/>
        <v>14490</v>
      </c>
      <c r="I181" s="137">
        <f t="shared" si="30"/>
        <v>6795.8533841925919</v>
      </c>
      <c r="J181" s="137">
        <f t="shared" si="39"/>
        <v>7694.1466158074081</v>
      </c>
      <c r="K181" s="137">
        <f>IF(C181="","",IF(Simul_ConstruRemo!$I$10=Simul_ConstruRemo!$BV$6,(Simul_ConstruRemo!$I$16*0.7+Simul_ConstruRemo!$I$17*0.5),Simul_ConstruRemo!$CO$27))</f>
        <v>2606295</v>
      </c>
      <c r="L181" s="137">
        <f>IFERROR(Q181*Simul_ConstruRemo!$BP$30/1000,"")</f>
        <v>393.3522062813272</v>
      </c>
      <c r="M181" s="137">
        <f>IFERROR(IF($E$7="Remodelación",K181*Simul_ConstruRemo!$BS$29,
IF(E181=1,MAX(K181,Q181)*Simul_ConstruRemo!$BS$29,K181*Simul_ConstruRemo!$BQ$29)),"")</f>
        <v>827.2389712662</v>
      </c>
      <c r="N181" s="13">
        <f>IF(C181="","",'Tabla_Puntual&amp;Relacionamiento'!$E$50)</f>
        <v>0.10249999999999999</v>
      </c>
      <c r="O181" s="183"/>
      <c r="P181" s="137">
        <f t="shared" si="31"/>
        <v>15710.591177547529</v>
      </c>
      <c r="Q181" s="137">
        <f t="shared" si="33"/>
        <v>893982.28700301633</v>
      </c>
      <c r="R181" s="37">
        <f t="shared" si="38"/>
        <v>1</v>
      </c>
      <c r="S181" s="137"/>
      <c r="T181" s="137"/>
      <c r="Z181" s="63"/>
      <c r="AA181" s="35">
        <f t="shared" si="28"/>
        <v>15596.489250476328</v>
      </c>
      <c r="AB181" s="63">
        <f>IF(OR(Q181="",Q181&lt;=0.01),"",IF(SUM($F$23:F181)=Simul_ConstruRemo!$I$26,1,0))</f>
        <v>1</v>
      </c>
      <c r="AC181">
        <f t="shared" si="34"/>
        <v>154</v>
      </c>
      <c r="AD181" s="147">
        <f t="shared" si="35"/>
        <v>153</v>
      </c>
      <c r="AF181" t="str">
        <f t="shared" si="36"/>
        <v>Obra Concluida</v>
      </c>
      <c r="AI181">
        <f>IF(SUM($F$23:F180)&gt;=$K$9,1,0)</f>
        <v>1</v>
      </c>
    </row>
    <row r="182" spans="3:35" x14ac:dyDescent="0.25">
      <c r="C182" s="37">
        <f>IFERROR(IF(Q181&lt;=0.01,"",IF(C181+1&gt;Simul_ConstruRemo!$BN$11,"",C181+1)),"")</f>
        <v>160</v>
      </c>
      <c r="D182" s="37" t="str">
        <f>IF(C182&gt;Simul_ConstruRemo!$I$19,"",IF(Simul_ConstruRemo!I220=100%,"",IFERROR(VLOOKUP(C182,Simul_ConstruRemo!$AX$61:$AY$64,2,0),D181)))</f>
        <v/>
      </c>
      <c r="E182" s="136">
        <f>IF(C182="","",IF(AF182="Ministración",Simul_ConstruRemo!BM218,1))</f>
        <v>1</v>
      </c>
      <c r="F182" s="35">
        <f t="shared" si="37"/>
        <v>0</v>
      </c>
      <c r="G182" s="137">
        <f t="shared" si="32"/>
        <v>893982.28700301633</v>
      </c>
      <c r="H182" s="137">
        <f t="shared" si="29"/>
        <v>14490</v>
      </c>
      <c r="I182" s="137">
        <f t="shared" si="30"/>
        <v>6853.9012985159025</v>
      </c>
      <c r="J182" s="137">
        <f t="shared" si="39"/>
        <v>7636.0987014840975</v>
      </c>
      <c r="K182" s="137">
        <f>IF(C182="","",IF(Simul_ConstruRemo!$I$10=Simul_ConstruRemo!$BV$6,(Simul_ConstruRemo!$I$16*0.7+Simul_ConstruRemo!$I$17*0.5),Simul_ConstruRemo!$CO$27))</f>
        <v>2606295</v>
      </c>
      <c r="L182" s="137">
        <f>IFERROR(Q182*Simul_ConstruRemo!$BP$30/1000,"")</f>
        <v>390.33648970998019</v>
      </c>
      <c r="M182" s="137">
        <f>IFERROR(IF($E$7="Remodelación",K182*Simul_ConstruRemo!$BS$29,
IF(E182=1,MAX(K182,Q182)*Simul_ConstruRemo!$BS$29,K182*Simul_ConstruRemo!$BQ$29)),"")</f>
        <v>827.2389712662</v>
      </c>
      <c r="N182" s="13">
        <f>IF(C182="","",'Tabla_Puntual&amp;Relacionamiento'!$E$50)</f>
        <v>0.10249999999999999</v>
      </c>
      <c r="O182" s="183"/>
      <c r="P182" s="137">
        <f t="shared" si="31"/>
        <v>15707.575460976181</v>
      </c>
      <c r="Q182" s="137">
        <f t="shared" si="33"/>
        <v>887128.38570450048</v>
      </c>
      <c r="R182" s="37">
        <f t="shared" si="38"/>
        <v>1</v>
      </c>
      <c r="S182" s="137"/>
      <c r="T182" s="137"/>
      <c r="Z182" s="63"/>
      <c r="AA182" s="35">
        <f t="shared" si="28"/>
        <v>15593.47353390498</v>
      </c>
      <c r="AB182" s="63">
        <f>IF(OR(Q182="",Q182&lt;=0.01),"",IF(SUM($F$23:F182)=Simul_ConstruRemo!$I$26,1,0))</f>
        <v>1</v>
      </c>
      <c r="AC182">
        <f t="shared" si="34"/>
        <v>155</v>
      </c>
      <c r="AD182" s="147">
        <f t="shared" si="35"/>
        <v>154</v>
      </c>
      <c r="AF182" t="str">
        <f t="shared" si="36"/>
        <v>Obra Concluida</v>
      </c>
      <c r="AI182">
        <f>IF(SUM($F$23:F181)&gt;=$K$9,1,0)</f>
        <v>1</v>
      </c>
    </row>
    <row r="183" spans="3:35" x14ac:dyDescent="0.25">
      <c r="C183" s="37">
        <f>IFERROR(IF(Q182&lt;=0.01,"",IF(C182+1&gt;Simul_ConstruRemo!$BN$11,"",C182+1)),"")</f>
        <v>161</v>
      </c>
      <c r="D183" s="37" t="str">
        <f>IF(C183&gt;Simul_ConstruRemo!$I$19,"",IF(Simul_ConstruRemo!I221=100%,"",IFERROR(VLOOKUP(C183,Simul_ConstruRemo!$AX$61:$AY$64,2,0),D182)))</f>
        <v/>
      </c>
      <c r="E183" s="136">
        <f>IF(C183="","",IF(AF183="Ministración",Simul_ConstruRemo!BM219,1))</f>
        <v>1</v>
      </c>
      <c r="F183" s="35">
        <f t="shared" si="37"/>
        <v>0</v>
      </c>
      <c r="G183" s="137">
        <f t="shared" si="32"/>
        <v>887128.38570450048</v>
      </c>
      <c r="H183" s="137">
        <f t="shared" si="29"/>
        <v>14490</v>
      </c>
      <c r="I183" s="137">
        <f t="shared" si="30"/>
        <v>6912.445038774059</v>
      </c>
      <c r="J183" s="137">
        <f t="shared" si="39"/>
        <v>7577.554961225941</v>
      </c>
      <c r="K183" s="137">
        <f>IF(C183="","",IF(Simul_ConstruRemo!$I$10=Simul_ConstruRemo!$BV$6,(Simul_ConstruRemo!$I$16*0.7+Simul_ConstruRemo!$I$17*0.5),Simul_ConstruRemo!$CO$27))</f>
        <v>2606295</v>
      </c>
      <c r="L183" s="137">
        <f>IFERROR(Q183*Simul_ConstruRemo!$BP$30/1000,"")</f>
        <v>387.29501389291966</v>
      </c>
      <c r="M183" s="137">
        <f>IFERROR(IF($E$7="Remodelación",K183*Simul_ConstruRemo!$BS$29,
IF(E183=1,MAX(K183,Q183)*Simul_ConstruRemo!$BS$29,K183*Simul_ConstruRemo!$BQ$29)),"")</f>
        <v>827.2389712662</v>
      </c>
      <c r="N183" s="13">
        <f>IF(C183="","",'Tabla_Puntual&amp;Relacionamiento'!$E$50)</f>
        <v>0.10249999999999999</v>
      </c>
      <c r="O183" s="183"/>
      <c r="P183" s="137">
        <f t="shared" si="31"/>
        <v>15704.53398515912</v>
      </c>
      <c r="Q183" s="137">
        <f t="shared" si="33"/>
        <v>880215.94066572643</v>
      </c>
      <c r="R183" s="37">
        <f t="shared" si="38"/>
        <v>1</v>
      </c>
      <c r="S183" s="137"/>
      <c r="T183" s="137"/>
      <c r="Z183" s="63"/>
      <c r="AA183" s="35">
        <f t="shared" si="28"/>
        <v>15590.432058087919</v>
      </c>
      <c r="AB183" s="63">
        <f>IF(OR(Q183="",Q183&lt;=0.01),"",IF(SUM($F$23:F183)=Simul_ConstruRemo!$I$26,1,0))</f>
        <v>1</v>
      </c>
      <c r="AC183">
        <f t="shared" si="34"/>
        <v>156</v>
      </c>
      <c r="AD183" s="147">
        <f t="shared" si="35"/>
        <v>155</v>
      </c>
      <c r="AF183" t="str">
        <f t="shared" si="36"/>
        <v>Obra Concluida</v>
      </c>
      <c r="AI183">
        <f>IF(SUM($F$23:F182)&gt;=$K$9,1,0)</f>
        <v>1</v>
      </c>
    </row>
    <row r="184" spans="3:35" x14ac:dyDescent="0.25">
      <c r="C184" s="37">
        <f>IFERROR(IF(Q183&lt;=0.01,"",IF(C183+1&gt;Simul_ConstruRemo!$BN$11,"",C183+1)),"")</f>
        <v>162</v>
      </c>
      <c r="D184" s="37" t="str">
        <f>IF(C184&gt;Simul_ConstruRemo!$I$19,"",IF(Simul_ConstruRemo!I222=100%,"",IFERROR(VLOOKUP(C184,Simul_ConstruRemo!$AX$61:$AY$64,2,0),D183)))</f>
        <v/>
      </c>
      <c r="E184" s="136">
        <f>IF(C184="","",IF(AF184="Ministración",Simul_ConstruRemo!BM220,1))</f>
        <v>1</v>
      </c>
      <c r="F184" s="35">
        <f t="shared" si="37"/>
        <v>0</v>
      </c>
      <c r="G184" s="137">
        <f t="shared" si="32"/>
        <v>880215.94066572643</v>
      </c>
      <c r="H184" s="137">
        <f t="shared" si="29"/>
        <v>14490</v>
      </c>
      <c r="I184" s="137">
        <f t="shared" si="30"/>
        <v>6971.4888401469207</v>
      </c>
      <c r="J184" s="137">
        <f t="shared" si="39"/>
        <v>7518.5111598530793</v>
      </c>
      <c r="K184" s="137">
        <f>IF(C184="","",IF(Simul_ConstruRemo!$I$10=Simul_ConstruRemo!$BV$6,(Simul_ConstruRemo!$I$16*0.7+Simul_ConstruRemo!$I$17*0.5),Simul_ConstruRemo!$CO$27))</f>
        <v>2606295</v>
      </c>
      <c r="L184" s="137">
        <f>IFERROR(Q184*Simul_ConstruRemo!$BP$30/1000,"")</f>
        <v>384.22755880325496</v>
      </c>
      <c r="M184" s="137">
        <f>IFERROR(IF($E$7="Remodelación",K184*Simul_ConstruRemo!$BS$29,
IF(E184=1,MAX(K184,Q184)*Simul_ConstruRemo!$BS$29,K184*Simul_ConstruRemo!$BQ$29)),"")</f>
        <v>827.2389712662</v>
      </c>
      <c r="N184" s="13">
        <f>IF(C184="","",'Tabla_Puntual&amp;Relacionamiento'!$E$50)</f>
        <v>0.10249999999999999</v>
      </c>
      <c r="O184" s="183"/>
      <c r="P184" s="137">
        <f t="shared" si="31"/>
        <v>15701.466530069456</v>
      </c>
      <c r="Q184" s="137">
        <f t="shared" si="33"/>
        <v>873244.45182557951</v>
      </c>
      <c r="R184" s="37">
        <f t="shared" si="38"/>
        <v>1</v>
      </c>
      <c r="S184" s="137"/>
      <c r="T184" s="137"/>
      <c r="Z184" s="63"/>
      <c r="AA184" s="35">
        <f t="shared" si="28"/>
        <v>15587.364602998256</v>
      </c>
      <c r="AB184" s="63">
        <f>IF(OR(Q184="",Q184&lt;=0.01),"",IF(SUM($F$23:F184)=Simul_ConstruRemo!$I$26,1,0))</f>
        <v>1</v>
      </c>
      <c r="AC184">
        <f t="shared" si="34"/>
        <v>157</v>
      </c>
      <c r="AD184" s="147">
        <f t="shared" si="35"/>
        <v>156</v>
      </c>
      <c r="AF184" t="str">
        <f t="shared" si="36"/>
        <v>Obra Concluida</v>
      </c>
      <c r="AI184">
        <f>IF(SUM($F$23:F183)&gt;=$K$9,1,0)</f>
        <v>1</v>
      </c>
    </row>
    <row r="185" spans="3:35" x14ac:dyDescent="0.25">
      <c r="C185" s="37">
        <f>IFERROR(IF(Q184&lt;=0.01,"",IF(C184+1&gt;Simul_ConstruRemo!$BN$11,"",C184+1)),"")</f>
        <v>163</v>
      </c>
      <c r="D185" s="37" t="str">
        <f>IF(C185&gt;Simul_ConstruRemo!$I$19,"",IF(Simul_ConstruRemo!I223=100%,"",IFERROR(VLOOKUP(C185,Simul_ConstruRemo!$AX$61:$AY$64,2,0),D184)))</f>
        <v/>
      </c>
      <c r="E185" s="136">
        <f>IF(C185="","",IF(AF185="Ministración",Simul_ConstruRemo!BM221,1))</f>
        <v>1</v>
      </c>
      <c r="F185" s="35">
        <f t="shared" si="37"/>
        <v>0</v>
      </c>
      <c r="G185" s="137">
        <f t="shared" si="32"/>
        <v>873244.45182557951</v>
      </c>
      <c r="H185" s="137">
        <f t="shared" si="29"/>
        <v>14490</v>
      </c>
      <c r="I185" s="137">
        <f t="shared" si="30"/>
        <v>7031.0369739898424</v>
      </c>
      <c r="J185" s="137">
        <f t="shared" si="39"/>
        <v>7458.9630260101576</v>
      </c>
      <c r="K185" s="137">
        <f>IF(C185="","",IF(Simul_ConstruRemo!$I$10=Simul_ConstruRemo!$BV$6,(Simul_ConstruRemo!$I$16*0.7+Simul_ConstruRemo!$I$17*0.5),Simul_ConstruRemo!$CO$27))</f>
        <v>2606295</v>
      </c>
      <c r="L185" s="137">
        <f>IFERROR(Q185*Simul_ConstruRemo!$BP$30/1000,"")</f>
        <v>381.13390253469947</v>
      </c>
      <c r="M185" s="137">
        <f>IFERROR(IF($E$7="Remodelación",K185*Simul_ConstruRemo!$BS$29,
IF(E185=1,MAX(K185,Q185)*Simul_ConstruRemo!$BS$29,K185*Simul_ConstruRemo!$BQ$29)),"")</f>
        <v>827.2389712662</v>
      </c>
      <c r="N185" s="13">
        <f>IF(C185="","",'Tabla_Puntual&amp;Relacionamiento'!$E$50)</f>
        <v>0.10249999999999999</v>
      </c>
      <c r="O185" s="183"/>
      <c r="P185" s="137">
        <f t="shared" si="31"/>
        <v>15698.372873800899</v>
      </c>
      <c r="Q185" s="137">
        <f t="shared" si="33"/>
        <v>866213.41485158971</v>
      </c>
      <c r="R185" s="37">
        <f t="shared" si="38"/>
        <v>1</v>
      </c>
      <c r="S185" s="137"/>
      <c r="T185" s="137"/>
      <c r="Z185" s="63"/>
      <c r="AA185" s="35">
        <f t="shared" si="28"/>
        <v>15584.270946729699</v>
      </c>
      <c r="AB185" s="63">
        <f>IF(OR(Q185="",Q185&lt;=0.01),"",IF(SUM($F$23:F185)=Simul_ConstruRemo!$I$26,1,0))</f>
        <v>1</v>
      </c>
      <c r="AC185">
        <f t="shared" si="34"/>
        <v>158</v>
      </c>
      <c r="AD185" s="147">
        <f t="shared" si="35"/>
        <v>157</v>
      </c>
      <c r="AF185" t="str">
        <f t="shared" si="36"/>
        <v>Obra Concluida</v>
      </c>
      <c r="AI185">
        <f>IF(SUM($F$23:F184)&gt;=$K$9,1,0)</f>
        <v>1</v>
      </c>
    </row>
    <row r="186" spans="3:35" x14ac:dyDescent="0.25">
      <c r="C186" s="37">
        <f>IFERROR(IF(Q185&lt;=0.01,"",IF(C185+1&gt;Simul_ConstruRemo!$BN$11,"",C185+1)),"")</f>
        <v>164</v>
      </c>
      <c r="D186" s="37" t="str">
        <f>IF(C186&gt;Simul_ConstruRemo!$I$19,"",IF(Simul_ConstruRemo!I224=100%,"",IFERROR(VLOOKUP(C186,Simul_ConstruRemo!$AX$61:$AY$64,2,0),D185)))</f>
        <v/>
      </c>
      <c r="E186" s="136">
        <f>IF(C186="","",IF(AF186="Ministración",Simul_ConstruRemo!BM222,1))</f>
        <v>1</v>
      </c>
      <c r="F186" s="35">
        <f t="shared" si="37"/>
        <v>0</v>
      </c>
      <c r="G186" s="137">
        <f t="shared" si="32"/>
        <v>866213.41485158971</v>
      </c>
      <c r="H186" s="137">
        <f t="shared" si="29"/>
        <v>14490</v>
      </c>
      <c r="I186" s="137">
        <f t="shared" si="30"/>
        <v>7091.0937481426708</v>
      </c>
      <c r="J186" s="137">
        <f t="shared" si="39"/>
        <v>7398.9062518573292</v>
      </c>
      <c r="K186" s="137">
        <f>IF(C186="","",IF(Simul_ConstruRemo!$I$10=Simul_ConstruRemo!$BV$6,(Simul_ConstruRemo!$I$16*0.7+Simul_ConstruRemo!$I$17*0.5),Simul_ConstruRemo!$CO$27))</f>
        <v>2606295</v>
      </c>
      <c r="L186" s="137">
        <f>IFERROR(Q186*Simul_ConstruRemo!$BP$30/1000,"")</f>
        <v>378.01382128551666</v>
      </c>
      <c r="M186" s="137">
        <f>IFERROR(IF($E$7="Remodelación",K186*Simul_ConstruRemo!$BS$29,
IF(E186=1,MAX(K186,Q186)*Simul_ConstruRemo!$BS$29,K186*Simul_ConstruRemo!$BQ$29)),"")</f>
        <v>827.2389712662</v>
      </c>
      <c r="N186" s="13">
        <f>IF(C186="","",'Tabla_Puntual&amp;Relacionamiento'!$E$50)</f>
        <v>0.10249999999999999</v>
      </c>
      <c r="O186" s="183"/>
      <c r="P186" s="137">
        <f t="shared" si="31"/>
        <v>15695.252792551717</v>
      </c>
      <c r="Q186" s="137">
        <f t="shared" si="33"/>
        <v>859122.321103447</v>
      </c>
      <c r="R186" s="37">
        <f t="shared" si="38"/>
        <v>1</v>
      </c>
      <c r="S186" s="137"/>
      <c r="T186" s="137"/>
      <c r="Z186" s="63"/>
      <c r="AA186" s="35">
        <f t="shared" si="28"/>
        <v>15581.150865480517</v>
      </c>
      <c r="AB186" s="63">
        <f>IF(OR(Q186="",Q186&lt;=0.01),"",IF(SUM($F$23:F186)=Simul_ConstruRemo!$I$26,1,0))</f>
        <v>1</v>
      </c>
      <c r="AC186">
        <f t="shared" si="34"/>
        <v>159</v>
      </c>
      <c r="AD186" s="147">
        <f t="shared" si="35"/>
        <v>158</v>
      </c>
      <c r="AF186" t="str">
        <f t="shared" si="36"/>
        <v>Obra Concluida</v>
      </c>
      <c r="AI186">
        <f>IF(SUM($F$23:F185)&gt;=$K$9,1,0)</f>
        <v>1</v>
      </c>
    </row>
    <row r="187" spans="3:35" x14ac:dyDescent="0.25">
      <c r="C187" s="37">
        <f>IFERROR(IF(Q186&lt;=0.01,"",IF(C186+1&gt;Simul_ConstruRemo!$BN$11,"",C186+1)),"")</f>
        <v>165</v>
      </c>
      <c r="D187" s="37" t="str">
        <f>IF(C187&gt;Simul_ConstruRemo!$I$19,"",IF(Simul_ConstruRemo!I225=100%,"",IFERROR(VLOOKUP(C187,Simul_ConstruRemo!$AX$61:$AY$64,2,0),D186)))</f>
        <v/>
      </c>
      <c r="E187" s="136">
        <f>IF(C187="","",IF(AF187="Ministración",Simul_ConstruRemo!BM223,1))</f>
        <v>1</v>
      </c>
      <c r="F187" s="35">
        <f t="shared" si="37"/>
        <v>0</v>
      </c>
      <c r="G187" s="137">
        <f t="shared" si="32"/>
        <v>859122.321103447</v>
      </c>
      <c r="H187" s="137">
        <f t="shared" si="29"/>
        <v>14490</v>
      </c>
      <c r="I187" s="137">
        <f t="shared" si="30"/>
        <v>7151.663507241391</v>
      </c>
      <c r="J187" s="137">
        <f t="shared" si="39"/>
        <v>7338.336492758609</v>
      </c>
      <c r="K187" s="137">
        <f>IF(C187="","",IF(Simul_ConstruRemo!$I$10=Simul_ConstruRemo!$BV$6,(Simul_ConstruRemo!$I$16*0.7+Simul_ConstruRemo!$I$17*0.5),Simul_ConstruRemo!$CO$27))</f>
        <v>2606295</v>
      </c>
      <c r="L187" s="137">
        <f>IFERROR(Q187*Simul_ConstruRemo!$BP$30/1000,"")</f>
        <v>374.86708934233047</v>
      </c>
      <c r="M187" s="137">
        <f>IFERROR(IF($E$7="Remodelación",K187*Simul_ConstruRemo!$BS$29,
IF(E187=1,MAX(K187,Q187)*Simul_ConstruRemo!$BS$29,K187*Simul_ConstruRemo!$BQ$29)),"")</f>
        <v>827.2389712662</v>
      </c>
      <c r="N187" s="13">
        <f>IF(C187="","",'Tabla_Puntual&amp;Relacionamiento'!$E$50)</f>
        <v>0.10249999999999999</v>
      </c>
      <c r="O187" s="183"/>
      <c r="P187" s="137">
        <f t="shared" si="31"/>
        <v>15692.10606060853</v>
      </c>
      <c r="Q187" s="137">
        <f t="shared" si="33"/>
        <v>851970.65759620559</v>
      </c>
      <c r="R187" s="37">
        <f t="shared" si="38"/>
        <v>1</v>
      </c>
      <c r="S187" s="137"/>
      <c r="T187" s="137"/>
      <c r="Z187" s="63"/>
      <c r="AA187" s="35">
        <f t="shared" si="28"/>
        <v>15578.00413353733</v>
      </c>
      <c r="AB187" s="63">
        <f>IF(OR(Q187="",Q187&lt;=0.01),"",IF(SUM($F$23:F187)=Simul_ConstruRemo!$I$26,1,0))</f>
        <v>1</v>
      </c>
      <c r="AC187">
        <f t="shared" si="34"/>
        <v>160</v>
      </c>
      <c r="AD187" s="147">
        <f t="shared" si="35"/>
        <v>159</v>
      </c>
      <c r="AF187" t="str">
        <f t="shared" si="36"/>
        <v>Obra Concluida</v>
      </c>
      <c r="AI187">
        <f>IF(SUM($F$23:F186)&gt;=$K$9,1,0)</f>
        <v>1</v>
      </c>
    </row>
    <row r="188" spans="3:35" x14ac:dyDescent="0.25">
      <c r="C188" s="37">
        <f>IFERROR(IF(Q187&lt;=0.01,"",IF(C187+1&gt;Simul_ConstruRemo!$BN$11,"",C187+1)),"")</f>
        <v>166</v>
      </c>
      <c r="D188" s="37" t="str">
        <f>IF(C188&gt;Simul_ConstruRemo!$I$19,"",IF(Simul_ConstruRemo!I226=100%,"",IFERROR(VLOOKUP(C188,Simul_ConstruRemo!$AX$61:$AY$64,2,0),D187)))</f>
        <v/>
      </c>
      <c r="E188" s="136">
        <f>IF(C188="","",IF(AF188="Ministración",Simul_ConstruRemo!BM224,1))</f>
        <v>1</v>
      </c>
      <c r="F188" s="35">
        <f t="shared" si="37"/>
        <v>0</v>
      </c>
      <c r="G188" s="137">
        <f t="shared" si="32"/>
        <v>851970.65759620559</v>
      </c>
      <c r="H188" s="137">
        <f t="shared" si="29"/>
        <v>14490</v>
      </c>
      <c r="I188" s="137">
        <f t="shared" si="30"/>
        <v>7212.7506330324104</v>
      </c>
      <c r="J188" s="137">
        <f t="shared" si="39"/>
        <v>7277.2493669675896</v>
      </c>
      <c r="K188" s="137">
        <f>IF(C188="","",IF(Simul_ConstruRemo!$I$10=Simul_ConstruRemo!$BV$6,(Simul_ConstruRemo!$I$16*0.7+Simul_ConstruRemo!$I$17*0.5),Simul_ConstruRemo!$CO$27))</f>
        <v>2606295</v>
      </c>
      <c r="L188" s="137">
        <f>IFERROR(Q188*Simul_ConstruRemo!$BP$30/1000,"")</f>
        <v>371.69347906379625</v>
      </c>
      <c r="M188" s="137">
        <f>IFERROR(IF($E$7="Remodelación",K188*Simul_ConstruRemo!$BS$29,
IF(E188=1,MAX(K188,Q188)*Simul_ConstruRemo!$BS$29,K188*Simul_ConstruRemo!$BQ$29)),"")</f>
        <v>827.2389712662</v>
      </c>
      <c r="N188" s="13">
        <f>IF(C188="","",'Tabla_Puntual&amp;Relacionamiento'!$E$50)</f>
        <v>0.10249999999999999</v>
      </c>
      <c r="O188" s="183"/>
      <c r="P188" s="137">
        <f t="shared" si="31"/>
        <v>15688.932450329998</v>
      </c>
      <c r="Q188" s="137">
        <f t="shared" si="33"/>
        <v>844757.90696317318</v>
      </c>
      <c r="R188" s="37">
        <f t="shared" si="38"/>
        <v>1</v>
      </c>
      <c r="S188" s="137"/>
      <c r="T188" s="137"/>
      <c r="Z188" s="63"/>
      <c r="AA188" s="35">
        <f t="shared" si="28"/>
        <v>15574.830523258797</v>
      </c>
      <c r="AB188" s="63">
        <f>IF(OR(Q188="",Q188&lt;=0.01),"",IF(SUM($F$23:F188)=Simul_ConstruRemo!$I$26,1,0))</f>
        <v>1</v>
      </c>
      <c r="AC188">
        <f t="shared" si="34"/>
        <v>161</v>
      </c>
      <c r="AD188" s="147">
        <f t="shared" si="35"/>
        <v>160</v>
      </c>
      <c r="AF188" t="str">
        <f t="shared" si="36"/>
        <v>Obra Concluida</v>
      </c>
      <c r="AI188">
        <f>IF(SUM($F$23:F187)&gt;=$K$9,1,0)</f>
        <v>1</v>
      </c>
    </row>
    <row r="189" spans="3:35" x14ac:dyDescent="0.25">
      <c r="C189" s="37">
        <f>IFERROR(IF(Q188&lt;=0.01,"",IF(C188+1&gt;Simul_ConstruRemo!$BN$11,"",C188+1)),"")</f>
        <v>167</v>
      </c>
      <c r="D189" s="37" t="str">
        <f>IF(C189&gt;Simul_ConstruRemo!$I$19,"",IF(Simul_ConstruRemo!I227=100%,"",IFERROR(VLOOKUP(C189,Simul_ConstruRemo!$AX$61:$AY$64,2,0),D188)))</f>
        <v/>
      </c>
      <c r="E189" s="136">
        <f>IF(C189="","",IF(AF189="Ministración",Simul_ConstruRemo!BM225,1))</f>
        <v>1</v>
      </c>
      <c r="F189" s="35">
        <f t="shared" si="37"/>
        <v>0</v>
      </c>
      <c r="G189" s="137">
        <f t="shared" si="32"/>
        <v>844757.90696317318</v>
      </c>
      <c r="H189" s="137">
        <f t="shared" si="29"/>
        <v>14490</v>
      </c>
      <c r="I189" s="137">
        <f t="shared" si="30"/>
        <v>7274.3595446895633</v>
      </c>
      <c r="J189" s="137">
        <f t="shared" si="39"/>
        <v>7215.6404553104367</v>
      </c>
      <c r="K189" s="137">
        <f>IF(C189="","",IF(Simul_ConstruRemo!$I$10=Simul_ConstruRemo!$BV$6,(Simul_ConstruRemo!$I$16*0.7+Simul_ConstruRemo!$I$17*0.5),Simul_ConstruRemo!$CO$27))</f>
        <v>2606295</v>
      </c>
      <c r="L189" s="137">
        <f>IFERROR(Q189*Simul_ConstruRemo!$BP$30/1000,"")</f>
        <v>368.49276086413278</v>
      </c>
      <c r="M189" s="137">
        <f>IFERROR(IF($E$7="Remodelación",K189*Simul_ConstruRemo!$BS$29,
IF(E189=1,MAX(K189,Q189)*Simul_ConstruRemo!$BS$29,K189*Simul_ConstruRemo!$BQ$29)),"")</f>
        <v>827.2389712662</v>
      </c>
      <c r="N189" s="13">
        <f>IF(C189="","",'Tabla_Puntual&amp;Relacionamiento'!$E$50)</f>
        <v>0.10249999999999999</v>
      </c>
      <c r="O189" s="183"/>
      <c r="P189" s="137">
        <f t="shared" si="31"/>
        <v>15685.731732130333</v>
      </c>
      <c r="Q189" s="137">
        <f t="shared" si="33"/>
        <v>837483.54741848365</v>
      </c>
      <c r="R189" s="37">
        <f t="shared" si="38"/>
        <v>1</v>
      </c>
      <c r="S189" s="137"/>
      <c r="T189" s="137"/>
      <c r="Z189" s="63"/>
      <c r="AA189" s="35">
        <f t="shared" si="28"/>
        <v>15571.629805059132</v>
      </c>
      <c r="AB189" s="63">
        <f>IF(OR(Q189="",Q189&lt;=0.01),"",IF(SUM($F$23:F189)=Simul_ConstruRemo!$I$26,1,0))</f>
        <v>1</v>
      </c>
      <c r="AC189">
        <f t="shared" si="34"/>
        <v>162</v>
      </c>
      <c r="AD189" s="147">
        <f t="shared" si="35"/>
        <v>161</v>
      </c>
      <c r="AF189" t="str">
        <f t="shared" si="36"/>
        <v>Obra Concluida</v>
      </c>
      <c r="AI189">
        <f>IF(SUM($F$23:F188)&gt;=$K$9,1,0)</f>
        <v>1</v>
      </c>
    </row>
    <row r="190" spans="3:35" x14ac:dyDescent="0.25">
      <c r="C190" s="37">
        <f>IFERROR(IF(Q189&lt;=0.01,"",IF(C189+1&gt;Simul_ConstruRemo!$BN$11,"",C189+1)),"")</f>
        <v>168</v>
      </c>
      <c r="D190" s="37" t="str">
        <f>IF(C190&gt;Simul_ConstruRemo!$I$19,"",IF(Simul_ConstruRemo!I228=100%,"",IFERROR(VLOOKUP(C190,Simul_ConstruRemo!$AX$61:$AY$64,2,0),D189)))</f>
        <v/>
      </c>
      <c r="E190" s="136">
        <f>IF(C190="","",IF(AF190="Ministración",Simul_ConstruRemo!BM226,1))</f>
        <v>1</v>
      </c>
      <c r="F190" s="35">
        <f t="shared" si="37"/>
        <v>0</v>
      </c>
      <c r="G190" s="137">
        <f t="shared" si="32"/>
        <v>837483.54741848365</v>
      </c>
      <c r="H190" s="137">
        <f t="shared" si="29"/>
        <v>14490</v>
      </c>
      <c r="I190" s="137">
        <f t="shared" si="30"/>
        <v>7336.4946991337856</v>
      </c>
      <c r="J190" s="137">
        <f t="shared" si="39"/>
        <v>7153.5053008662144</v>
      </c>
      <c r="K190" s="137">
        <f>IF(C190="","",IF(Simul_ConstruRemo!$I$10=Simul_ConstruRemo!$BV$6,(Simul_ConstruRemo!$I$16*0.7+Simul_ConstruRemo!$I$17*0.5),Simul_ConstruRemo!$CO$27))</f>
        <v>2606295</v>
      </c>
      <c r="L190" s="137">
        <f>IFERROR(Q190*Simul_ConstruRemo!$BP$30/1000,"")</f>
        <v>365.26470319651395</v>
      </c>
      <c r="M190" s="137">
        <f>IFERROR(IF($E$7="Remodelación",K190*Simul_ConstruRemo!$BS$29,
IF(E190=1,MAX(K190,Q190)*Simul_ConstruRemo!$BS$29,K190*Simul_ConstruRemo!$BQ$29)),"")</f>
        <v>827.2389712662</v>
      </c>
      <c r="N190" s="13">
        <f>IF(C190="","",'Tabla_Puntual&amp;Relacionamiento'!$E$50)</f>
        <v>0.10249999999999999</v>
      </c>
      <c r="O190" s="183"/>
      <c r="P190" s="137">
        <f t="shared" si="31"/>
        <v>15682.503674462714</v>
      </c>
      <c r="Q190" s="137">
        <f t="shared" si="33"/>
        <v>830147.05271934986</v>
      </c>
      <c r="R190" s="37">
        <f t="shared" si="38"/>
        <v>1</v>
      </c>
      <c r="S190" s="137"/>
      <c r="T190" s="137"/>
      <c r="Z190" s="63"/>
      <c r="AA190" s="35">
        <f t="shared" si="28"/>
        <v>15568.401747391514</v>
      </c>
      <c r="AB190" s="63">
        <f>IF(OR(Q190="",Q190&lt;=0.01),"",IF(SUM($F$23:F190)=Simul_ConstruRemo!$I$26,1,0))</f>
        <v>1</v>
      </c>
      <c r="AC190">
        <f t="shared" si="34"/>
        <v>163</v>
      </c>
      <c r="AD190" s="147">
        <f t="shared" si="35"/>
        <v>162</v>
      </c>
      <c r="AF190" t="str">
        <f t="shared" si="36"/>
        <v>Obra Concluida</v>
      </c>
      <c r="AI190">
        <f>IF(SUM($F$23:F189)&gt;=$K$9,1,0)</f>
        <v>1</v>
      </c>
    </row>
    <row r="191" spans="3:35" x14ac:dyDescent="0.25">
      <c r="C191" s="37">
        <f>IFERROR(IF(Q190&lt;=0.01,"",IF(C190+1&gt;Simul_ConstruRemo!$BN$11,"",C190+1)),"")</f>
        <v>169</v>
      </c>
      <c r="D191" s="37" t="str">
        <f>IF(C191&gt;Simul_ConstruRemo!$I$19,"",IF(Simul_ConstruRemo!I229=100%,"",IFERROR(VLOOKUP(C191,Simul_ConstruRemo!$AX$61:$AY$64,2,0),D190)))</f>
        <v/>
      </c>
      <c r="E191" s="136">
        <f>IF(C191="","",IF(AF191="Ministración",Simul_ConstruRemo!BM227,1))</f>
        <v>1</v>
      </c>
      <c r="F191" s="35">
        <f t="shared" si="37"/>
        <v>0</v>
      </c>
      <c r="G191" s="137">
        <f t="shared" si="32"/>
        <v>830147.05271934986</v>
      </c>
      <c r="H191" s="137">
        <f t="shared" si="29"/>
        <v>14490</v>
      </c>
      <c r="I191" s="137">
        <f t="shared" si="30"/>
        <v>7399.1605913555541</v>
      </c>
      <c r="J191" s="137">
        <f t="shared" si="39"/>
        <v>7090.8394086444459</v>
      </c>
      <c r="K191" s="137">
        <f>IF(C191="","",IF(Simul_ConstruRemo!$I$10=Simul_ConstruRemo!$BV$6,(Simul_ConstruRemo!$I$16*0.7+Simul_ConstruRemo!$I$17*0.5),Simul_ConstruRemo!$CO$27))</f>
        <v>2606295</v>
      </c>
      <c r="L191" s="137">
        <f>IFERROR(Q191*Simul_ConstruRemo!$BP$30/1000,"")</f>
        <v>362.00907253631749</v>
      </c>
      <c r="M191" s="137">
        <f>IFERROR(IF($E$7="Remodelación",K191*Simul_ConstruRemo!$BS$29,
IF(E191=1,MAX(K191,Q191)*Simul_ConstruRemo!$BS$29,K191*Simul_ConstruRemo!$BQ$29)),"")</f>
        <v>827.2389712662</v>
      </c>
      <c r="N191" s="13">
        <f>IF(C191="","",'Tabla_Puntual&amp;Relacionamiento'!$E$51)</f>
        <v>0.10249999999999999</v>
      </c>
      <c r="O191" s="183"/>
      <c r="P191" s="137">
        <f t="shared" si="31"/>
        <v>15679.248043802518</v>
      </c>
      <c r="Q191" s="137">
        <f t="shared" si="33"/>
        <v>822747.89212799433</v>
      </c>
      <c r="R191" s="37">
        <f t="shared" si="38"/>
        <v>1</v>
      </c>
      <c r="S191" s="137"/>
      <c r="T191" s="137"/>
      <c r="Z191" s="63"/>
      <c r="AA191" s="35">
        <f t="shared" si="28"/>
        <v>15565.146116731317</v>
      </c>
      <c r="AB191" s="63">
        <f>IF(OR(Q191="",Q191&lt;=0.01),"",IF(SUM($F$23:F191)=Simul_ConstruRemo!$I$26,1,0))</f>
        <v>1</v>
      </c>
      <c r="AC191">
        <f t="shared" si="34"/>
        <v>164</v>
      </c>
      <c r="AD191" s="147">
        <f t="shared" si="35"/>
        <v>163</v>
      </c>
      <c r="AF191" t="str">
        <f t="shared" si="36"/>
        <v>Obra Concluida</v>
      </c>
      <c r="AI191">
        <f>IF(SUM($F$23:F190)&gt;=$K$9,1,0)</f>
        <v>1</v>
      </c>
    </row>
    <row r="192" spans="3:35" x14ac:dyDescent="0.25">
      <c r="C192" s="37">
        <f>IFERROR(IF(Q191&lt;=0.01,"",IF(C191+1&gt;Simul_ConstruRemo!$BN$11,"",C191+1)),"")</f>
        <v>170</v>
      </c>
      <c r="D192" s="37" t="str">
        <f>IF(C192&gt;Simul_ConstruRemo!$I$19,"",IF(Simul_ConstruRemo!I230=100%,"",IFERROR(VLOOKUP(C192,Simul_ConstruRemo!$AX$61:$AY$64,2,0),D191)))</f>
        <v/>
      </c>
      <c r="E192" s="136">
        <f>IF(C192="","",IF(AF192="Ministración",Simul_ConstruRemo!BM228,1))</f>
        <v>1</v>
      </c>
      <c r="F192" s="35">
        <f t="shared" si="37"/>
        <v>0</v>
      </c>
      <c r="G192" s="137">
        <f t="shared" si="32"/>
        <v>822747.89212799433</v>
      </c>
      <c r="H192" s="137">
        <f t="shared" si="29"/>
        <v>14490</v>
      </c>
      <c r="I192" s="137">
        <f t="shared" si="30"/>
        <v>7462.361754740049</v>
      </c>
      <c r="J192" s="137">
        <f t="shared" si="39"/>
        <v>7027.638245259951</v>
      </c>
      <c r="K192" s="137">
        <f>IF(C192="","",IF(Simul_ConstruRemo!$I$10=Simul_ConstruRemo!$BV$6,(Simul_ConstruRemo!$I$16*0.7+Simul_ConstruRemo!$I$17*0.5),Simul_ConstruRemo!$CO$27))</f>
        <v>2606295</v>
      </c>
      <c r="L192" s="137">
        <f>IFERROR(Q192*Simul_ConstruRemo!$BP$30/1000,"")</f>
        <v>358.7256333642319</v>
      </c>
      <c r="M192" s="137">
        <f>IFERROR(IF($E$7="Remodelación",K192*Simul_ConstruRemo!$BS$29,
IF(E192=1,MAX(K192,Q192)*Simul_ConstruRemo!$BS$29,K192*Simul_ConstruRemo!$BQ$29)),"")</f>
        <v>827.2389712662</v>
      </c>
      <c r="N192" s="13">
        <f>IF(C192="","",'Tabla_Puntual&amp;Relacionamiento'!$E$51)</f>
        <v>0.10249999999999999</v>
      </c>
      <c r="O192" s="183"/>
      <c r="P192" s="137">
        <f t="shared" si="31"/>
        <v>15675.964604630433</v>
      </c>
      <c r="Q192" s="137">
        <f t="shared" si="33"/>
        <v>815285.53037325433</v>
      </c>
      <c r="R192" s="37">
        <f t="shared" si="38"/>
        <v>1</v>
      </c>
      <c r="S192" s="137"/>
      <c r="T192" s="137"/>
      <c r="Z192" s="63"/>
      <c r="AA192" s="35">
        <f t="shared" si="28"/>
        <v>15561.862677559233</v>
      </c>
      <c r="AB192" s="63">
        <f>IF(OR(Q192="",Q192&lt;=0.01),"",IF(SUM($F$23:F192)=Simul_ConstruRemo!$I$26,1,0))</f>
        <v>1</v>
      </c>
      <c r="AC192">
        <f t="shared" si="34"/>
        <v>165</v>
      </c>
      <c r="AD192" s="147">
        <f t="shared" si="35"/>
        <v>164</v>
      </c>
      <c r="AF192" t="str">
        <f t="shared" si="36"/>
        <v>Obra Concluida</v>
      </c>
      <c r="AI192">
        <f>IF(SUM($F$23:F191)&gt;=$K$9,1,0)</f>
        <v>1</v>
      </c>
    </row>
    <row r="193" spans="3:35" x14ac:dyDescent="0.25">
      <c r="C193" s="37">
        <f>IFERROR(IF(Q192&lt;=0.01,"",IF(C192+1&gt;Simul_ConstruRemo!$BN$11,"",C192+1)),"")</f>
        <v>171</v>
      </c>
      <c r="D193" s="37" t="str">
        <f>IF(C193&gt;Simul_ConstruRemo!$I$19,"",IF(Simul_ConstruRemo!I231=100%,"",IFERROR(VLOOKUP(C193,Simul_ConstruRemo!$AX$61:$AY$64,2,0),D192)))</f>
        <v/>
      </c>
      <c r="E193" s="136">
        <f>IF(C193="","",IF(AF193="Ministración",Simul_ConstruRemo!BM229,1))</f>
        <v>1</v>
      </c>
      <c r="F193" s="35">
        <f t="shared" si="37"/>
        <v>0</v>
      </c>
      <c r="G193" s="137">
        <f t="shared" si="32"/>
        <v>815285.53037325433</v>
      </c>
      <c r="H193" s="137">
        <f t="shared" si="29"/>
        <v>14490</v>
      </c>
      <c r="I193" s="137">
        <f t="shared" si="30"/>
        <v>7526.1027613951192</v>
      </c>
      <c r="J193" s="137">
        <f t="shared" si="39"/>
        <v>6963.8972386048808</v>
      </c>
      <c r="K193" s="137">
        <f>IF(C193="","",IF(Simul_ConstruRemo!$I$10=Simul_ConstruRemo!$BV$6,(Simul_ConstruRemo!$I$16*0.7+Simul_ConstruRemo!$I$17*0.5),Simul_ConstruRemo!$CO$27))</f>
        <v>2606295</v>
      </c>
      <c r="L193" s="137">
        <f>IFERROR(Q193*Simul_ConstruRemo!$BP$30/1000,"")</f>
        <v>355.41414814921808</v>
      </c>
      <c r="M193" s="137">
        <f>IFERROR(IF($E$7="Remodelación",K193*Simul_ConstruRemo!$BS$29,
IF(E193=1,MAX(K193,Q193)*Simul_ConstruRemo!$BS$29,K193*Simul_ConstruRemo!$BQ$29)),"")</f>
        <v>827.2389712662</v>
      </c>
      <c r="N193" s="13">
        <f>IF(C193="","",'Tabla_Puntual&amp;Relacionamiento'!$E$51)</f>
        <v>0.10249999999999999</v>
      </c>
      <c r="O193" s="183"/>
      <c r="P193" s="137">
        <f t="shared" si="31"/>
        <v>15672.653119415419</v>
      </c>
      <c r="Q193" s="137">
        <f t="shared" si="33"/>
        <v>807759.42761185917</v>
      </c>
      <c r="R193" s="37">
        <f t="shared" si="38"/>
        <v>1</v>
      </c>
      <c r="S193" s="137"/>
      <c r="T193" s="137"/>
      <c r="Z193" s="63"/>
      <c r="AA193" s="35">
        <f t="shared" si="28"/>
        <v>15558.551192344219</v>
      </c>
      <c r="AB193" s="63">
        <f>IF(OR(Q193="",Q193&lt;=0.01),"",IF(SUM($F$23:F193)=Simul_ConstruRemo!$I$26,1,0))</f>
        <v>1</v>
      </c>
      <c r="AC193">
        <f t="shared" si="34"/>
        <v>166</v>
      </c>
      <c r="AD193" s="147">
        <f t="shared" si="35"/>
        <v>165</v>
      </c>
      <c r="AF193" t="str">
        <f t="shared" si="36"/>
        <v>Obra Concluida</v>
      </c>
      <c r="AI193">
        <f>IF(SUM($F$23:F192)&gt;=$K$9,1,0)</f>
        <v>1</v>
      </c>
    </row>
    <row r="194" spans="3:35" x14ac:dyDescent="0.25">
      <c r="C194" s="37">
        <f>IFERROR(IF(Q193&lt;=0.01,"",IF(C193+1&gt;Simul_ConstruRemo!$BN$11,"",C193+1)),"")</f>
        <v>172</v>
      </c>
      <c r="D194" s="37" t="str">
        <f>IF(C194&gt;Simul_ConstruRemo!$I$19,"",IF(Simul_ConstruRemo!I232=100%,"",IFERROR(VLOOKUP(C194,Simul_ConstruRemo!$AX$61:$AY$64,2,0),D193)))</f>
        <v/>
      </c>
      <c r="E194" s="136">
        <f>IF(C194="","",IF(AF194="Ministración",Simul_ConstruRemo!BM230,1))</f>
        <v>1</v>
      </c>
      <c r="F194" s="35">
        <f t="shared" si="37"/>
        <v>0</v>
      </c>
      <c r="G194" s="137">
        <f t="shared" si="32"/>
        <v>807759.42761185917</v>
      </c>
      <c r="H194" s="137">
        <f t="shared" si="29"/>
        <v>14490</v>
      </c>
      <c r="I194" s="137">
        <f t="shared" si="30"/>
        <v>7590.3882224820372</v>
      </c>
      <c r="J194" s="137">
        <f t="shared" si="39"/>
        <v>6899.6117775179628</v>
      </c>
      <c r="K194" s="137">
        <f>IF(C194="","",IF(Simul_ConstruRemo!$I$10=Simul_ConstruRemo!$BV$6,(Simul_ConstruRemo!$I$16*0.7+Simul_ConstruRemo!$I$17*0.5),Simul_ConstruRemo!$CO$27))</f>
        <v>2606295</v>
      </c>
      <c r="L194" s="137">
        <f>IFERROR(Q194*Simul_ConstruRemo!$BP$30/1000,"")</f>
        <v>352.07437733132593</v>
      </c>
      <c r="M194" s="137">
        <f>IFERROR(IF($E$7="Remodelación",K194*Simul_ConstruRemo!$BS$29,
IF(E194=1,MAX(K194,Q194)*Simul_ConstruRemo!$BS$29,K194*Simul_ConstruRemo!$BQ$29)),"")</f>
        <v>827.2389712662</v>
      </c>
      <c r="N194" s="13">
        <f>IF(C194="","",'Tabla_Puntual&amp;Relacionamiento'!$E$51)</f>
        <v>0.10249999999999999</v>
      </c>
      <c r="O194" s="183"/>
      <c r="P194" s="137">
        <f t="shared" si="31"/>
        <v>15669.313348597527</v>
      </c>
      <c r="Q194" s="137">
        <f t="shared" si="33"/>
        <v>800169.03938937711</v>
      </c>
      <c r="R194" s="37">
        <f t="shared" si="38"/>
        <v>1</v>
      </c>
      <c r="S194" s="137"/>
      <c r="T194" s="137"/>
      <c r="Z194" s="63"/>
      <c r="AA194" s="35">
        <f t="shared" si="28"/>
        <v>15555.211421526326</v>
      </c>
      <c r="AB194" s="63">
        <f>IF(OR(Q194="",Q194&lt;=0.01),"",IF(SUM($F$23:F194)=Simul_ConstruRemo!$I$26,1,0))</f>
        <v>1</v>
      </c>
      <c r="AC194">
        <f t="shared" si="34"/>
        <v>167</v>
      </c>
      <c r="AD194" s="147">
        <f t="shared" si="35"/>
        <v>166</v>
      </c>
      <c r="AF194" t="str">
        <f t="shared" si="36"/>
        <v>Obra Concluida</v>
      </c>
      <c r="AI194">
        <f>IF(SUM($F$23:F193)&gt;=$K$9,1,0)</f>
        <v>1</v>
      </c>
    </row>
    <row r="195" spans="3:35" x14ac:dyDescent="0.25">
      <c r="C195" s="37">
        <f>IFERROR(IF(Q194&lt;=0.01,"",IF(C194+1&gt;Simul_ConstruRemo!$BN$11,"",C194+1)),"")</f>
        <v>173</v>
      </c>
      <c r="D195" s="37" t="str">
        <f>IF(C195&gt;Simul_ConstruRemo!$I$19,"",IF(Simul_ConstruRemo!I233=100%,"",IFERROR(VLOOKUP(C195,Simul_ConstruRemo!$AX$61:$AY$64,2,0),D194)))</f>
        <v/>
      </c>
      <c r="E195" s="136">
        <f>IF(C195="","",IF(AF195="Ministración",Simul_ConstruRemo!BM231,1))</f>
        <v>1</v>
      </c>
      <c r="F195" s="35">
        <f t="shared" si="37"/>
        <v>0</v>
      </c>
      <c r="G195" s="137">
        <f t="shared" si="32"/>
        <v>800169.03938937711</v>
      </c>
      <c r="H195" s="137">
        <f t="shared" si="29"/>
        <v>14490</v>
      </c>
      <c r="I195" s="137">
        <f t="shared" si="30"/>
        <v>7655.2227885490711</v>
      </c>
      <c r="J195" s="137">
        <f t="shared" si="39"/>
        <v>6834.7772114509289</v>
      </c>
      <c r="K195" s="137">
        <f>IF(C195="","",IF(Simul_ConstruRemo!$I$10=Simul_ConstruRemo!$BV$6,(Simul_ConstruRemo!$I$16*0.7+Simul_ConstruRemo!$I$17*0.5),Simul_ConstruRemo!$CO$27))</f>
        <v>2606295</v>
      </c>
      <c r="L195" s="137">
        <f>IFERROR(Q195*Simul_ConstruRemo!$BP$30/1000,"")</f>
        <v>348.70607930436432</v>
      </c>
      <c r="M195" s="137">
        <f>IFERROR(IF($E$7="Remodelación",K195*Simul_ConstruRemo!$BS$29,
IF(E195=1,MAX(K195,Q195)*Simul_ConstruRemo!$BS$29,K195*Simul_ConstruRemo!$BQ$29)),"")</f>
        <v>827.2389712662</v>
      </c>
      <c r="N195" s="13">
        <f>IF(C195="","",'Tabla_Puntual&amp;Relacionamiento'!$E$51)</f>
        <v>0.10249999999999999</v>
      </c>
      <c r="O195" s="183"/>
      <c r="P195" s="137">
        <f t="shared" si="31"/>
        <v>15665.945050570564</v>
      </c>
      <c r="Q195" s="137">
        <f t="shared" si="33"/>
        <v>792513.81660082808</v>
      </c>
      <c r="R195" s="37">
        <f t="shared" si="38"/>
        <v>1</v>
      </c>
      <c r="S195" s="137"/>
      <c r="T195" s="137"/>
      <c r="Z195" s="63"/>
      <c r="AA195" s="35">
        <f t="shared" si="28"/>
        <v>15551.843123499364</v>
      </c>
      <c r="AB195" s="63">
        <f>IF(OR(Q195="",Q195&lt;=0.01),"",IF(SUM($F$23:F195)=Simul_ConstruRemo!$I$26,1,0))</f>
        <v>1</v>
      </c>
      <c r="AC195">
        <f t="shared" si="34"/>
        <v>168</v>
      </c>
      <c r="AD195" s="147">
        <f t="shared" si="35"/>
        <v>167</v>
      </c>
      <c r="AF195" t="str">
        <f t="shared" si="36"/>
        <v>Obra Concluida</v>
      </c>
      <c r="AI195">
        <f>IF(SUM($F$23:F194)&gt;=$K$9,1,0)</f>
        <v>1</v>
      </c>
    </row>
    <row r="196" spans="3:35" x14ac:dyDescent="0.25">
      <c r="C196" s="37">
        <f>IFERROR(IF(Q195&lt;=0.01,"",IF(C195+1&gt;Simul_ConstruRemo!$BN$11,"",C195+1)),"")</f>
        <v>174</v>
      </c>
      <c r="D196" s="37" t="str">
        <f>IF(C196&gt;Simul_ConstruRemo!$I$19,"",IF(Simul_ConstruRemo!I234=100%,"",IFERROR(VLOOKUP(C196,Simul_ConstruRemo!$AX$61:$AY$64,2,0),D195)))</f>
        <v/>
      </c>
      <c r="E196" s="136">
        <f>IF(C196="","",IF(AF196="Ministración",Simul_ConstruRemo!BM232,1))</f>
        <v>1</v>
      </c>
      <c r="F196" s="35">
        <f t="shared" si="37"/>
        <v>0</v>
      </c>
      <c r="G196" s="137">
        <f t="shared" si="32"/>
        <v>792513.81660082808</v>
      </c>
      <c r="H196" s="137">
        <f t="shared" si="29"/>
        <v>14490</v>
      </c>
      <c r="I196" s="137">
        <f t="shared" si="30"/>
        <v>7720.6111498679275</v>
      </c>
      <c r="J196" s="137">
        <f t="shared" si="39"/>
        <v>6769.3888501320725</v>
      </c>
      <c r="K196" s="137">
        <f>IF(C196="","",IF(Simul_ConstruRemo!$I$10=Simul_ConstruRemo!$BV$6,(Simul_ConstruRemo!$I$16*0.7+Simul_ConstruRemo!$I$17*0.5),Simul_ConstruRemo!$CO$27))</f>
        <v>2606295</v>
      </c>
      <c r="L196" s="137">
        <f>IFERROR(Q196*Simul_ConstruRemo!$BP$30/1000,"")</f>
        <v>345.30901039842246</v>
      </c>
      <c r="M196" s="137">
        <f>IFERROR(IF($E$7="Remodelación",K196*Simul_ConstruRemo!$BS$29,
IF(E196=1,MAX(K196,Q196)*Simul_ConstruRemo!$BS$29,K196*Simul_ConstruRemo!$BQ$29)),"")</f>
        <v>827.2389712662</v>
      </c>
      <c r="N196" s="13">
        <f>IF(C196="","",'Tabla_Puntual&amp;Relacionamiento'!$E$51)</f>
        <v>0.10249999999999999</v>
      </c>
      <c r="O196" s="183"/>
      <c r="P196" s="137">
        <f t="shared" si="31"/>
        <v>15662.547981664624</v>
      </c>
      <c r="Q196" s="137">
        <f t="shared" si="33"/>
        <v>784793.2054509602</v>
      </c>
      <c r="R196" s="37">
        <f t="shared" si="38"/>
        <v>1</v>
      </c>
      <c r="S196" s="137"/>
      <c r="T196" s="137"/>
      <c r="Z196" s="63"/>
      <c r="AA196" s="35">
        <f t="shared" si="28"/>
        <v>15548.446054593423</v>
      </c>
      <c r="AB196" s="63">
        <f>IF(OR(Q196="",Q196&lt;=0.01),"",IF(SUM($F$23:F196)=Simul_ConstruRemo!$I$26,1,0))</f>
        <v>1</v>
      </c>
      <c r="AC196">
        <f t="shared" si="34"/>
        <v>169</v>
      </c>
      <c r="AD196" s="147">
        <f t="shared" si="35"/>
        <v>168</v>
      </c>
      <c r="AF196" t="str">
        <f t="shared" si="36"/>
        <v>Obra Concluida</v>
      </c>
      <c r="AI196">
        <f>IF(SUM($F$23:F195)&gt;=$K$9,1,0)</f>
        <v>1</v>
      </c>
    </row>
    <row r="197" spans="3:35" x14ac:dyDescent="0.25">
      <c r="C197" s="37">
        <f>IFERROR(IF(Q196&lt;=0.01,"",IF(C196+1&gt;Simul_ConstruRemo!$BN$11,"",C196+1)),"")</f>
        <v>175</v>
      </c>
      <c r="D197" s="37" t="str">
        <f>IF(C197&gt;Simul_ConstruRemo!$I$19,"",IF(Simul_ConstruRemo!I235=100%,"",IFERROR(VLOOKUP(C197,Simul_ConstruRemo!$AX$61:$AY$64,2,0),D196)))</f>
        <v/>
      </c>
      <c r="E197" s="136">
        <f>IF(C197="","",IF(AF197="Ministración",Simul_ConstruRemo!BM233,1))</f>
        <v>1</v>
      </c>
      <c r="F197" s="35">
        <f t="shared" si="37"/>
        <v>0</v>
      </c>
      <c r="G197" s="137">
        <f t="shared" si="32"/>
        <v>784793.2054509602</v>
      </c>
      <c r="H197" s="137">
        <f t="shared" si="29"/>
        <v>14490</v>
      </c>
      <c r="I197" s="137">
        <f t="shared" si="30"/>
        <v>7786.5580367730481</v>
      </c>
      <c r="J197" s="137">
        <f t="shared" si="39"/>
        <v>6703.4419632269519</v>
      </c>
      <c r="K197" s="137">
        <f>IF(C197="","",IF(Simul_ConstruRemo!$I$10=Simul_ConstruRemo!$BV$6,(Simul_ConstruRemo!$I$16*0.7+Simul_ConstruRemo!$I$17*0.5),Simul_ConstruRemo!$CO$27))</f>
        <v>2606295</v>
      </c>
      <c r="L197" s="137">
        <f>IFERROR(Q197*Simul_ConstruRemo!$BP$30/1000,"")</f>
        <v>341.88292486224236</v>
      </c>
      <c r="M197" s="137">
        <f>IFERROR(IF($E$7="Remodelación",K197*Simul_ConstruRemo!$BS$29,
IF(E197=1,MAX(K197,Q197)*Simul_ConstruRemo!$BS$29,K197*Simul_ConstruRemo!$BQ$29)),"")</f>
        <v>827.2389712662</v>
      </c>
      <c r="N197" s="13">
        <f>IF(C197="","",'Tabla_Puntual&amp;Relacionamiento'!$E$51)</f>
        <v>0.10249999999999999</v>
      </c>
      <c r="O197" s="183"/>
      <c r="P197" s="137">
        <f t="shared" si="31"/>
        <v>15659.121896128443</v>
      </c>
      <c r="Q197" s="137">
        <f t="shared" si="33"/>
        <v>777006.6474141872</v>
      </c>
      <c r="R197" s="37">
        <f t="shared" si="38"/>
        <v>1</v>
      </c>
      <c r="S197" s="137"/>
      <c r="T197" s="137"/>
      <c r="Z197" s="63"/>
      <c r="AA197" s="35">
        <f t="shared" si="28"/>
        <v>15545.019969057243</v>
      </c>
      <c r="AB197" s="63">
        <f>IF(OR(Q197="",Q197&lt;=0.01),"",IF(SUM($F$23:F197)=Simul_ConstruRemo!$I$26,1,0))</f>
        <v>1</v>
      </c>
      <c r="AC197">
        <f t="shared" si="34"/>
        <v>170</v>
      </c>
      <c r="AD197" s="147">
        <f t="shared" si="35"/>
        <v>169</v>
      </c>
      <c r="AF197" t="str">
        <f t="shared" si="36"/>
        <v>Obra Concluida</v>
      </c>
      <c r="AI197">
        <f>IF(SUM($F$23:F196)&gt;=$K$9,1,0)</f>
        <v>1</v>
      </c>
    </row>
    <row r="198" spans="3:35" x14ac:dyDescent="0.25">
      <c r="C198" s="37">
        <f>IFERROR(IF(Q197&lt;=0.01,"",IF(C197+1&gt;Simul_ConstruRemo!$BN$11,"",C197+1)),"")</f>
        <v>176</v>
      </c>
      <c r="D198" s="37" t="str">
        <f>IF(C198&gt;Simul_ConstruRemo!$I$19,"",IF(Simul_ConstruRemo!I236=100%,"",IFERROR(VLOOKUP(C198,Simul_ConstruRemo!$AX$61:$AY$64,2,0),D197)))</f>
        <v/>
      </c>
      <c r="E198" s="136">
        <f>IF(C198="","",IF(AF198="Ministración",Simul_ConstruRemo!BM234,1))</f>
        <v>1</v>
      </c>
      <c r="F198" s="35">
        <f t="shared" si="37"/>
        <v>0</v>
      </c>
      <c r="G198" s="137">
        <f t="shared" si="32"/>
        <v>777006.6474141872</v>
      </c>
      <c r="H198" s="137">
        <f t="shared" si="29"/>
        <v>14490</v>
      </c>
      <c r="I198" s="137">
        <f t="shared" si="30"/>
        <v>7853.0682200038182</v>
      </c>
      <c r="J198" s="137">
        <f t="shared" si="39"/>
        <v>6636.9317799961818</v>
      </c>
      <c r="K198" s="137">
        <f>IF(C198="","",IF(Simul_ConstruRemo!$I$10=Simul_ConstruRemo!$BV$6,(Simul_ConstruRemo!$I$16*0.7+Simul_ConstruRemo!$I$17*0.5),Simul_ConstruRemo!$CO$27))</f>
        <v>2606295</v>
      </c>
      <c r="L198" s="137">
        <f>IFERROR(Q198*Simul_ConstruRemo!$BP$30/1000,"")</f>
        <v>338.42757484544069</v>
      </c>
      <c r="M198" s="137">
        <f>IFERROR(IF($E$7="Remodelación",K198*Simul_ConstruRemo!$BS$29,
IF(E198=1,MAX(K198,Q198)*Simul_ConstruRemo!$BS$29,K198*Simul_ConstruRemo!$BQ$29)),"")</f>
        <v>827.2389712662</v>
      </c>
      <c r="N198" s="13">
        <f>IF(C198="","",'Tabla_Puntual&amp;Relacionamiento'!$E$51)</f>
        <v>0.10249999999999999</v>
      </c>
      <c r="O198" s="183"/>
      <c r="P198" s="137">
        <f t="shared" si="31"/>
        <v>15655.666546111641</v>
      </c>
      <c r="Q198" s="137">
        <f t="shared" si="33"/>
        <v>769153.57919418334</v>
      </c>
      <c r="R198" s="37">
        <f t="shared" si="38"/>
        <v>1</v>
      </c>
      <c r="S198" s="137"/>
      <c r="T198" s="137"/>
      <c r="Z198" s="63"/>
      <c r="AA198" s="35">
        <f t="shared" si="28"/>
        <v>15541.56461904044</v>
      </c>
      <c r="AB198" s="63">
        <f>IF(OR(Q198="",Q198&lt;=0.01),"",IF(SUM($F$23:F198)=Simul_ConstruRemo!$I$26,1,0))</f>
        <v>1</v>
      </c>
      <c r="AC198">
        <f t="shared" si="34"/>
        <v>171</v>
      </c>
      <c r="AD198" s="147">
        <f t="shared" si="35"/>
        <v>170</v>
      </c>
      <c r="AF198" t="str">
        <f t="shared" si="36"/>
        <v>Obra Concluida</v>
      </c>
      <c r="AI198">
        <f>IF(SUM($F$23:F197)&gt;=$K$9,1,0)</f>
        <v>1</v>
      </c>
    </row>
    <row r="199" spans="3:35" x14ac:dyDescent="0.25">
      <c r="C199" s="37">
        <f>IFERROR(IF(Q198&lt;=0.01,"",IF(C198+1&gt;Simul_ConstruRemo!$BN$11,"",C198+1)),"")</f>
        <v>177</v>
      </c>
      <c r="D199" s="37" t="str">
        <f>IF(C199&gt;Simul_ConstruRemo!$I$19,"",IF(Simul_ConstruRemo!I237=100%,"",IFERROR(VLOOKUP(C199,Simul_ConstruRemo!$AX$61:$AY$64,2,0),D198)))</f>
        <v/>
      </c>
      <c r="E199" s="136">
        <f>IF(C199="","",IF(AF199="Ministración",Simul_ConstruRemo!BM235,1))</f>
        <v>1</v>
      </c>
      <c r="F199" s="35">
        <f t="shared" si="37"/>
        <v>0</v>
      </c>
      <c r="G199" s="137">
        <f t="shared" si="32"/>
        <v>769153.57919418334</v>
      </c>
      <c r="H199" s="137">
        <f t="shared" si="29"/>
        <v>14490</v>
      </c>
      <c r="I199" s="137">
        <f t="shared" si="30"/>
        <v>7920.1465110496838</v>
      </c>
      <c r="J199" s="137">
        <f t="shared" si="39"/>
        <v>6569.8534889503162</v>
      </c>
      <c r="K199" s="137">
        <f>IF(C199="","",IF(Simul_ConstruRemo!$I$10=Simul_ConstruRemo!$BV$6,(Simul_ConstruRemo!$I$16*0.7+Simul_ConstruRemo!$I$17*0.5),Simul_ConstruRemo!$CO$27))</f>
        <v>2606295</v>
      </c>
      <c r="L199" s="137">
        <f>IFERROR(Q199*Simul_ConstruRemo!$BP$30/1000,"")</f>
        <v>334.94271038057883</v>
      </c>
      <c r="M199" s="137">
        <f>IFERROR(IF($E$7="Remodelación",K199*Simul_ConstruRemo!$BS$29,
IF(E199=1,MAX(K199,Q199)*Simul_ConstruRemo!$BS$29,K199*Simul_ConstruRemo!$BQ$29)),"")</f>
        <v>827.2389712662</v>
      </c>
      <c r="N199" s="13">
        <f>IF(C199="","",'Tabla_Puntual&amp;Relacionamiento'!$E$51)</f>
        <v>0.10249999999999999</v>
      </c>
      <c r="O199" s="183"/>
      <c r="P199" s="137">
        <f t="shared" si="31"/>
        <v>15652.18168164678</v>
      </c>
      <c r="Q199" s="137">
        <f t="shared" si="33"/>
        <v>761233.43268313364</v>
      </c>
      <c r="R199" s="37">
        <f t="shared" si="38"/>
        <v>1</v>
      </c>
      <c r="S199" s="137"/>
      <c r="T199" s="137"/>
      <c r="Z199" s="63"/>
      <c r="AA199" s="35">
        <f t="shared" si="28"/>
        <v>15538.079754575579</v>
      </c>
      <c r="AB199" s="63">
        <f>IF(OR(Q199="",Q199&lt;=0.01),"",IF(SUM($F$23:F199)=Simul_ConstruRemo!$I$26,1,0))</f>
        <v>1</v>
      </c>
      <c r="AC199">
        <f t="shared" si="34"/>
        <v>172</v>
      </c>
      <c r="AD199" s="147">
        <f t="shared" si="35"/>
        <v>171</v>
      </c>
      <c r="AF199" t="str">
        <f t="shared" si="36"/>
        <v>Obra Concluida</v>
      </c>
      <c r="AI199">
        <f>IF(SUM($F$23:F198)&gt;=$K$9,1,0)</f>
        <v>1</v>
      </c>
    </row>
    <row r="200" spans="3:35" x14ac:dyDescent="0.25">
      <c r="C200" s="37">
        <f>IFERROR(IF(Q199&lt;=0.01,"",IF(C199+1&gt;Simul_ConstruRemo!$BN$11,"",C199+1)),"")</f>
        <v>178</v>
      </c>
      <c r="D200" s="37" t="str">
        <f>IF(C200&gt;Simul_ConstruRemo!$I$19,"",IF(Simul_ConstruRemo!I238=100%,"",IFERROR(VLOOKUP(C200,Simul_ConstruRemo!$AX$61:$AY$64,2,0),D199)))</f>
        <v/>
      </c>
      <c r="E200" s="136">
        <f>IF(C200="","",IF(AF200="Ministración",Simul_ConstruRemo!BM236,1))</f>
        <v>1</v>
      </c>
      <c r="F200" s="35">
        <f t="shared" si="37"/>
        <v>0</v>
      </c>
      <c r="G200" s="137">
        <f t="shared" si="32"/>
        <v>761233.43268313364</v>
      </c>
      <c r="H200" s="137">
        <f t="shared" si="29"/>
        <v>14490</v>
      </c>
      <c r="I200" s="137">
        <f t="shared" si="30"/>
        <v>7987.7977624982341</v>
      </c>
      <c r="J200" s="137">
        <f t="shared" si="39"/>
        <v>6502.2022375017659</v>
      </c>
      <c r="K200" s="137">
        <f>IF(C200="","",IF(Simul_ConstruRemo!$I$10=Simul_ConstruRemo!$BV$6,(Simul_ConstruRemo!$I$16*0.7+Simul_ConstruRemo!$I$17*0.5),Simul_ConstruRemo!$CO$27))</f>
        <v>2606295</v>
      </c>
      <c r="L200" s="137">
        <f>IFERROR(Q200*Simul_ConstruRemo!$BP$30/1000,"")</f>
        <v>331.42807936507955</v>
      </c>
      <c r="M200" s="137">
        <f>IFERROR(IF($E$7="Remodelación",K200*Simul_ConstruRemo!$BS$29,
IF(E200=1,MAX(K200,Q200)*Simul_ConstruRemo!$BS$29,K200*Simul_ConstruRemo!$BQ$29)),"")</f>
        <v>827.2389712662</v>
      </c>
      <c r="N200" s="13">
        <f>IF(C200="","",'Tabla_Puntual&amp;Relacionamiento'!$E$51)</f>
        <v>0.10249999999999999</v>
      </c>
      <c r="O200" s="183"/>
      <c r="P200" s="137">
        <f t="shared" si="31"/>
        <v>15648.66705063128</v>
      </c>
      <c r="Q200" s="137">
        <f t="shared" si="33"/>
        <v>753245.63492063538</v>
      </c>
      <c r="R200" s="37">
        <f t="shared" si="38"/>
        <v>1</v>
      </c>
      <c r="S200" s="137"/>
      <c r="T200" s="137"/>
      <c r="Z200" s="63"/>
      <c r="AA200" s="35">
        <f t="shared" si="28"/>
        <v>15534.56512356008</v>
      </c>
      <c r="AB200" s="63">
        <f>IF(OR(Q200="",Q200&lt;=0.01),"",IF(SUM($F$23:F200)=Simul_ConstruRemo!$I$26,1,0))</f>
        <v>1</v>
      </c>
      <c r="AC200">
        <f t="shared" si="34"/>
        <v>173</v>
      </c>
      <c r="AD200" s="147">
        <f t="shared" si="35"/>
        <v>172</v>
      </c>
      <c r="AF200" t="str">
        <f t="shared" si="36"/>
        <v>Obra Concluida</v>
      </c>
      <c r="AI200">
        <f>IF(SUM($F$23:F199)&gt;=$K$9,1,0)</f>
        <v>1</v>
      </c>
    </row>
    <row r="201" spans="3:35" x14ac:dyDescent="0.25">
      <c r="C201" s="37">
        <f>IFERROR(IF(Q200&lt;=0.01,"",IF(C200+1&gt;Simul_ConstruRemo!$BN$11,"",C200+1)),"")</f>
        <v>179</v>
      </c>
      <c r="D201" s="37" t="str">
        <f>IF(C201&gt;Simul_ConstruRemo!$I$19,"",IF(Simul_ConstruRemo!I239=100%,"",IFERROR(VLOOKUP(C201,Simul_ConstruRemo!$AX$61:$AY$64,2,0),D200)))</f>
        <v/>
      </c>
      <c r="E201" s="136">
        <f>IF(C201="","",IF(AF201="Ministración",Simul_ConstruRemo!BM237,1))</f>
        <v>1</v>
      </c>
      <c r="F201" s="35">
        <f t="shared" si="37"/>
        <v>0</v>
      </c>
      <c r="G201" s="137">
        <f t="shared" si="32"/>
        <v>753245.63492063538</v>
      </c>
      <c r="H201" s="137">
        <f t="shared" si="29"/>
        <v>14490</v>
      </c>
      <c r="I201" s="137">
        <f t="shared" si="30"/>
        <v>8056.0268683862405</v>
      </c>
      <c r="J201" s="137">
        <f t="shared" si="39"/>
        <v>6433.9731316137595</v>
      </c>
      <c r="K201" s="137">
        <f>IF(C201="","",IF(Simul_ConstruRemo!$I$10=Simul_ConstruRemo!$BV$6,(Simul_ConstruRemo!$I$16*0.7+Simul_ConstruRemo!$I$17*0.5),Simul_ConstruRemo!$CO$27))</f>
        <v>2606295</v>
      </c>
      <c r="L201" s="137">
        <f>IFERROR(Q201*Simul_ConstruRemo!$BP$30/1000,"")</f>
        <v>327.88342754298969</v>
      </c>
      <c r="M201" s="137">
        <f>IFERROR(IF($E$7="Remodelación",K201*Simul_ConstruRemo!$BS$29,
IF(E201=1,MAX(K201,Q201)*Simul_ConstruRemo!$BS$29,K201*Simul_ConstruRemo!$BQ$29)),"")</f>
        <v>827.2389712662</v>
      </c>
      <c r="N201" s="13">
        <f>IF(C201="","",'Tabla_Puntual&amp;Relacionamiento'!$E$51)</f>
        <v>0.10249999999999999</v>
      </c>
      <c r="O201" s="183"/>
      <c r="P201" s="137">
        <f t="shared" si="31"/>
        <v>15645.12239880919</v>
      </c>
      <c r="Q201" s="137">
        <f t="shared" si="33"/>
        <v>745189.60805224918</v>
      </c>
      <c r="R201" s="37">
        <f t="shared" si="38"/>
        <v>1</v>
      </c>
      <c r="S201" s="137"/>
      <c r="T201" s="137"/>
      <c r="Z201" s="63"/>
      <c r="AA201" s="35">
        <f t="shared" si="28"/>
        <v>15531.020471737989</v>
      </c>
      <c r="AB201" s="63">
        <f>IF(OR(Q201="",Q201&lt;=0.01),"",IF(SUM($F$23:F201)=Simul_ConstruRemo!$I$26,1,0))</f>
        <v>1</v>
      </c>
      <c r="AC201">
        <f t="shared" si="34"/>
        <v>174</v>
      </c>
      <c r="AD201" s="147">
        <f t="shared" si="35"/>
        <v>173</v>
      </c>
      <c r="AF201" t="str">
        <f t="shared" ref="AF201:AF233" si="40">IF(C201="","","Obra Concluida")</f>
        <v>Obra Concluida</v>
      </c>
      <c r="AI201">
        <f>IF(SUM($F$23:F200)&gt;=$K$9,1,0)</f>
        <v>1</v>
      </c>
    </row>
    <row r="202" spans="3:35" x14ac:dyDescent="0.25">
      <c r="C202" s="37">
        <f>IFERROR(IF(Q201&lt;=0.01,"",IF(C201+1&gt;Simul_ConstruRemo!$BN$11,"",C201+1)),"")</f>
        <v>180</v>
      </c>
      <c r="D202" s="37" t="str">
        <f>IF(C202&gt;Simul_ConstruRemo!$I$19,"",IF(Simul_ConstruRemo!I240=100%,"",IFERROR(VLOOKUP(C202,Simul_ConstruRemo!$AX$61:$AY$64,2,0),D201)))</f>
        <v/>
      </c>
      <c r="E202" s="136">
        <f>IF(C202="","",IF(AF202="Ministración",Simul_ConstruRemo!BM238,1))</f>
        <v>1</v>
      </c>
      <c r="F202" s="35">
        <f t="shared" si="37"/>
        <v>0</v>
      </c>
      <c r="G202" s="137">
        <f t="shared" si="32"/>
        <v>745189.60805224918</v>
      </c>
      <c r="H202" s="137">
        <f t="shared" si="29"/>
        <v>14490</v>
      </c>
      <c r="I202" s="137">
        <f t="shared" si="30"/>
        <v>8124.838764553705</v>
      </c>
      <c r="J202" s="137">
        <f t="shared" si="39"/>
        <v>6365.161235446295</v>
      </c>
      <c r="K202" s="137">
        <f>IF(C202="","",IF(Simul_ConstruRemo!$I$10=Simul_ConstruRemo!$BV$6,(Simul_ConstruRemo!$I$16*0.7+Simul_ConstruRemo!$I$17*0.5),Simul_ConstruRemo!$CO$27))</f>
        <v>2606295</v>
      </c>
      <c r="L202" s="137">
        <f>IFERROR(Q202*Simul_ConstruRemo!$BP$30/1000,"")</f>
        <v>324.30849848658602</v>
      </c>
      <c r="M202" s="137">
        <f>IFERROR(IF($E$7="Remodelación",K202*Simul_ConstruRemo!$BS$29,
IF(E202=1,MAX(K202,Q202)*Simul_ConstruRemo!$BS$29,K202*Simul_ConstruRemo!$BQ$29)),"")</f>
        <v>827.2389712662</v>
      </c>
      <c r="N202" s="13">
        <f>IF(C202="","",'Tabla_Puntual&amp;Relacionamiento'!$E$51)</f>
        <v>0.10249999999999999</v>
      </c>
      <c r="O202" s="183"/>
      <c r="P202" s="137">
        <f t="shared" si="31"/>
        <v>15641.547469752786</v>
      </c>
      <c r="Q202" s="137">
        <f t="shared" si="33"/>
        <v>737064.76928769553</v>
      </c>
      <c r="R202" s="37">
        <f t="shared" si="38"/>
        <v>1</v>
      </c>
      <c r="S202" s="137"/>
      <c r="T202" s="137"/>
      <c r="Z202" s="63"/>
      <c r="AA202" s="35">
        <f t="shared" si="28"/>
        <v>15527.445542681586</v>
      </c>
      <c r="AB202" s="63">
        <f>IF(OR(Q202="",Q202&lt;=0.01),"",IF(SUM($F$23:F202)=Simul_ConstruRemo!$I$26,1,0))</f>
        <v>1</v>
      </c>
      <c r="AC202">
        <f t="shared" si="34"/>
        <v>175</v>
      </c>
      <c r="AD202" s="147">
        <f t="shared" si="35"/>
        <v>174</v>
      </c>
      <c r="AF202" t="str">
        <f t="shared" si="40"/>
        <v>Obra Concluida</v>
      </c>
      <c r="AI202">
        <f>IF(SUM($F$23:F201)&gt;=$K$9,1,0)</f>
        <v>1</v>
      </c>
    </row>
    <row r="203" spans="3:35" x14ac:dyDescent="0.25">
      <c r="C203" s="37">
        <f>IFERROR(IF(Q202&lt;=0.01,"",IF(C202+1&gt;Simul_ConstruRemo!$BN$11,"",C202+1)),"")</f>
        <v>181</v>
      </c>
      <c r="D203" s="37" t="str">
        <f>IF(C203&gt;Simul_ConstruRemo!$I$19,"",IF(Simul_ConstruRemo!I241=100%,"",IFERROR(VLOOKUP(C203,Simul_ConstruRemo!$AX$61:$AY$64,2,0),D202)))</f>
        <v/>
      </c>
      <c r="E203" s="136">
        <f>IF(C203="","",IF(AF203="Ministración",Simul_ConstruRemo!BM239,1))</f>
        <v>1</v>
      </c>
      <c r="F203" s="35">
        <f t="shared" si="37"/>
        <v>0</v>
      </c>
      <c r="G203" s="137">
        <f t="shared" si="32"/>
        <v>737064.76928769553</v>
      </c>
      <c r="H203" s="137">
        <f t="shared" si="29"/>
        <v>14490</v>
      </c>
      <c r="I203" s="137">
        <f t="shared" si="30"/>
        <v>8194.2384290009359</v>
      </c>
      <c r="J203" s="137">
        <f t="shared" si="39"/>
        <v>6295.761570999065</v>
      </c>
      <c r="K203" s="137">
        <f>IF(C203="","",IF(Simul_ConstruRemo!$I$10=Simul_ConstruRemo!$BV$6,(Simul_ConstruRemo!$I$16*0.7+Simul_ConstruRemo!$I$17*0.5),Simul_ConstruRemo!$CO$27))</f>
        <v>2606295</v>
      </c>
      <c r="L203" s="137">
        <f>IFERROR(Q203*Simul_ConstruRemo!$BP$30/1000,"")</f>
        <v>320.70303357782564</v>
      </c>
      <c r="M203" s="137">
        <f>IFERROR(IF($E$7="Remodelación",K203*Simul_ConstruRemo!$BS$29,
IF(E203=1,MAX(K203,Q203)*Simul_ConstruRemo!$BS$29,K203*Simul_ConstruRemo!$BQ$29)),"")</f>
        <v>827.2389712662</v>
      </c>
      <c r="N203" s="13">
        <f>IF(C203="","",'Tabla_Puntual&amp;Relacionamiento'!$E$52)</f>
        <v>0.10249999999999999</v>
      </c>
      <c r="O203" s="183"/>
      <c r="P203" s="137">
        <f t="shared" si="31"/>
        <v>15637.942004844026</v>
      </c>
      <c r="Q203" s="137">
        <f t="shared" si="33"/>
        <v>728870.53085869458</v>
      </c>
      <c r="R203" s="37">
        <f t="shared" si="38"/>
        <v>1</v>
      </c>
      <c r="S203" s="137"/>
      <c r="T203" s="137"/>
      <c r="Z203" s="63"/>
      <c r="AA203" s="35">
        <f t="shared" si="28"/>
        <v>15523.840077772826</v>
      </c>
      <c r="AB203" s="63">
        <f>IF(OR(Q203="",Q203&lt;=0.01),"",IF(SUM($F$23:F203)=Simul_ConstruRemo!$I$26,1,0))</f>
        <v>1</v>
      </c>
      <c r="AC203">
        <f t="shared" si="34"/>
        <v>176</v>
      </c>
      <c r="AD203" s="147">
        <f t="shared" si="35"/>
        <v>175</v>
      </c>
      <c r="AF203" t="str">
        <f t="shared" si="40"/>
        <v>Obra Concluida</v>
      </c>
      <c r="AI203">
        <f>IF(SUM($F$23:F202)&gt;=$K$9,1,0)</f>
        <v>1</v>
      </c>
    </row>
    <row r="204" spans="3:35" x14ac:dyDescent="0.25">
      <c r="C204" s="37">
        <f>IFERROR(IF(Q203&lt;=0.01,"",IF(C203+1&gt;Simul_ConstruRemo!$BN$11,"",C203+1)),"")</f>
        <v>182</v>
      </c>
      <c r="D204" s="37" t="str">
        <f>IF(C204&gt;Simul_ConstruRemo!$I$19,"",IF(Simul_ConstruRemo!I242=100%,"",IFERROR(VLOOKUP(C204,Simul_ConstruRemo!$AX$61:$AY$64,2,0),D203)))</f>
        <v/>
      </c>
      <c r="E204" s="136">
        <f>IF(C204="","",IF(AF204="Ministración",Simul_ConstruRemo!BM240,1))</f>
        <v>1</v>
      </c>
      <c r="F204" s="35">
        <f t="shared" si="37"/>
        <v>0</v>
      </c>
      <c r="G204" s="137">
        <f t="shared" si="32"/>
        <v>728870.53085869458</v>
      </c>
      <c r="H204" s="137">
        <f t="shared" si="29"/>
        <v>14490</v>
      </c>
      <c r="I204" s="137">
        <f t="shared" si="30"/>
        <v>8264.2308822486521</v>
      </c>
      <c r="J204" s="137">
        <f t="shared" si="39"/>
        <v>6225.7691177513489</v>
      </c>
      <c r="K204" s="137">
        <f>IF(C204="","",IF(Simul_ConstruRemo!$I$10=Simul_ConstruRemo!$BV$6,(Simul_ConstruRemo!$I$16*0.7+Simul_ConstruRemo!$I$17*0.5),Simul_ConstruRemo!$CO$27))</f>
        <v>2606295</v>
      </c>
      <c r="L204" s="137">
        <f>IFERROR(Q204*Simul_ConstruRemo!$BP$30/1000,"")</f>
        <v>317.06677198963627</v>
      </c>
      <c r="M204" s="137">
        <f>IFERROR(IF($E$7="Remodelación",K204*Simul_ConstruRemo!$BS$29,
IF(E204=1,MAX(K204,Q204)*Simul_ConstruRemo!$BS$29,K204*Simul_ConstruRemo!$BQ$29)),"")</f>
        <v>827.2389712662</v>
      </c>
      <c r="N204" s="13">
        <f>IF(C204="","",'Tabla_Puntual&amp;Relacionamiento'!$E$52)</f>
        <v>0.10249999999999999</v>
      </c>
      <c r="O204" s="183"/>
      <c r="P204" s="137">
        <f t="shared" si="31"/>
        <v>15634.305743255836</v>
      </c>
      <c r="Q204" s="137">
        <f t="shared" si="33"/>
        <v>720606.29997644597</v>
      </c>
      <c r="R204" s="37">
        <f t="shared" si="38"/>
        <v>1</v>
      </c>
      <c r="S204" s="137"/>
      <c r="T204" s="137"/>
      <c r="Z204" s="63"/>
      <c r="AA204" s="35">
        <f t="shared" si="28"/>
        <v>15520.203816184636</v>
      </c>
      <c r="AB204" s="63">
        <f>IF(OR(Q204="",Q204&lt;=0.01),"",IF(SUM($F$23:F204)=Simul_ConstruRemo!$I$26,1,0))</f>
        <v>1</v>
      </c>
      <c r="AC204">
        <f t="shared" si="34"/>
        <v>177</v>
      </c>
      <c r="AD204" s="147">
        <f t="shared" si="35"/>
        <v>176</v>
      </c>
      <c r="AF204" t="str">
        <f t="shared" si="40"/>
        <v>Obra Concluida</v>
      </c>
      <c r="AI204">
        <f>IF(SUM($F$23:F203)&gt;=$K$9,1,0)</f>
        <v>1</v>
      </c>
    </row>
    <row r="205" spans="3:35" x14ac:dyDescent="0.25">
      <c r="C205" s="37">
        <f>IFERROR(IF(Q204&lt;=0.01,"",IF(C204+1&gt;Simul_ConstruRemo!$BN$11,"",C204+1)),"")</f>
        <v>183</v>
      </c>
      <c r="D205" s="37" t="str">
        <f>IF(C205&gt;Simul_ConstruRemo!$I$19,"",IF(Simul_ConstruRemo!I243=100%,"",IFERROR(VLOOKUP(C205,Simul_ConstruRemo!$AX$61:$AY$64,2,0),D204)))</f>
        <v/>
      </c>
      <c r="E205" s="136">
        <f>IF(C205="","",IF(AF205="Ministración",Simul_ConstruRemo!BM241,1))</f>
        <v>1</v>
      </c>
      <c r="F205" s="35">
        <f t="shared" si="37"/>
        <v>0</v>
      </c>
      <c r="G205" s="137">
        <f t="shared" si="32"/>
        <v>720606.29997644597</v>
      </c>
      <c r="H205" s="137">
        <f t="shared" si="29"/>
        <v>14490</v>
      </c>
      <c r="I205" s="137">
        <f t="shared" si="30"/>
        <v>8334.8211877011927</v>
      </c>
      <c r="J205" s="137">
        <f t="shared" si="39"/>
        <v>6155.1788122988082</v>
      </c>
      <c r="K205" s="137">
        <f>IF(C205="","",IF(Simul_ConstruRemo!$I$10=Simul_ConstruRemo!$BV$6,(Simul_ConstruRemo!$I$16*0.7+Simul_ConstruRemo!$I$17*0.5),Simul_ConstruRemo!$CO$27))</f>
        <v>2606295</v>
      </c>
      <c r="L205" s="137">
        <f>IFERROR(Q205*Simul_ConstruRemo!$BP$30/1000,"")</f>
        <v>313.39945066704769</v>
      </c>
      <c r="M205" s="137">
        <f>IFERROR(IF($E$7="Remodelación",K205*Simul_ConstruRemo!$BS$29,
IF(E205=1,MAX(K205,Q205)*Simul_ConstruRemo!$BS$29,K205*Simul_ConstruRemo!$BQ$29)),"")</f>
        <v>827.2389712662</v>
      </c>
      <c r="N205" s="13">
        <f>IF(C205="","",'Tabla_Puntual&amp;Relacionamiento'!$E$52)</f>
        <v>0.10249999999999999</v>
      </c>
      <c r="O205" s="183"/>
      <c r="P205" s="137">
        <f t="shared" si="31"/>
        <v>15630.638421933249</v>
      </c>
      <c r="Q205" s="137">
        <f t="shared" si="33"/>
        <v>712271.47878874477</v>
      </c>
      <c r="R205" s="37">
        <f t="shared" si="38"/>
        <v>1</v>
      </c>
      <c r="S205" s="137"/>
      <c r="T205" s="137"/>
      <c r="Z205" s="63"/>
      <c r="AA205" s="35">
        <f t="shared" si="28"/>
        <v>15516.536494862048</v>
      </c>
      <c r="AB205" s="63">
        <f>IF(OR(Q205="",Q205&lt;=0.01),"",IF(SUM($F$23:F205)=Simul_ConstruRemo!$I$26,1,0))</f>
        <v>1</v>
      </c>
      <c r="AC205">
        <f t="shared" si="34"/>
        <v>178</v>
      </c>
      <c r="AD205" s="147">
        <f t="shared" si="35"/>
        <v>177</v>
      </c>
      <c r="AF205" t="str">
        <f t="shared" si="40"/>
        <v>Obra Concluida</v>
      </c>
      <c r="AI205">
        <f>IF(SUM($F$23:F204)&gt;=$K$9,1,0)</f>
        <v>1</v>
      </c>
    </row>
    <row r="206" spans="3:35" x14ac:dyDescent="0.25">
      <c r="C206" s="37">
        <f>IFERROR(IF(Q205&lt;=0.01,"",IF(C205+1&gt;Simul_ConstruRemo!$BN$11,"",C205+1)),"")</f>
        <v>184</v>
      </c>
      <c r="D206" s="37" t="str">
        <f>IF(C206&gt;Simul_ConstruRemo!$I$19,"",IF(Simul_ConstruRemo!I244=100%,"",IFERROR(VLOOKUP(C206,Simul_ConstruRemo!$AX$61:$AY$64,2,0),D205)))</f>
        <v/>
      </c>
      <c r="E206" s="136">
        <f>IF(C206="","",IF(AF206="Ministración",Simul_ConstruRemo!BM242,1))</f>
        <v>1</v>
      </c>
      <c r="F206" s="35">
        <f t="shared" si="37"/>
        <v>0</v>
      </c>
      <c r="G206" s="137">
        <f t="shared" si="32"/>
        <v>712271.47878874477</v>
      </c>
      <c r="H206" s="137">
        <f t="shared" si="29"/>
        <v>14490</v>
      </c>
      <c r="I206" s="137">
        <f t="shared" si="30"/>
        <v>8406.0144520128051</v>
      </c>
      <c r="J206" s="137">
        <f t="shared" si="39"/>
        <v>6083.9855479871949</v>
      </c>
      <c r="K206" s="137">
        <f>IF(C206="","",IF(Simul_ConstruRemo!$I$10=Simul_ConstruRemo!$BV$6,(Simul_ConstruRemo!$I$16*0.7+Simul_ConstruRemo!$I$17*0.5),Simul_ConstruRemo!$CO$27))</f>
        <v>2606295</v>
      </c>
      <c r="L206" s="137">
        <f>IFERROR(Q206*Simul_ConstruRemo!$BP$30/1000,"")</f>
        <v>309.70080430816205</v>
      </c>
      <c r="M206" s="137">
        <f>IFERROR(IF($E$7="Remodelación",K206*Simul_ConstruRemo!$BS$29,
IF(E206=1,MAX(K206,Q206)*Simul_ConstruRemo!$BS$29,K206*Simul_ConstruRemo!$BQ$29)),"")</f>
        <v>827.2389712662</v>
      </c>
      <c r="N206" s="13">
        <f>IF(C206="","",'Tabla_Puntual&amp;Relacionamiento'!$E$52)</f>
        <v>0.10249999999999999</v>
      </c>
      <c r="O206" s="183"/>
      <c r="P206" s="137">
        <f t="shared" si="31"/>
        <v>15626.939775574363</v>
      </c>
      <c r="Q206" s="137">
        <f t="shared" si="33"/>
        <v>703865.46433673194</v>
      </c>
      <c r="R206" s="37">
        <f t="shared" si="38"/>
        <v>1</v>
      </c>
      <c r="S206" s="137"/>
      <c r="T206" s="137"/>
      <c r="Z206" s="63"/>
      <c r="AA206" s="35">
        <f t="shared" si="28"/>
        <v>15512.837848503163</v>
      </c>
      <c r="AB206" s="63">
        <f>IF(OR(Q206="",Q206&lt;=0.01),"",IF(SUM($F$23:F206)=Simul_ConstruRemo!$I$26,1,0))</f>
        <v>1</v>
      </c>
      <c r="AC206">
        <f t="shared" si="34"/>
        <v>179</v>
      </c>
      <c r="AD206" s="147">
        <f t="shared" si="35"/>
        <v>178</v>
      </c>
      <c r="AF206" t="str">
        <f t="shared" si="40"/>
        <v>Obra Concluida</v>
      </c>
      <c r="AI206">
        <f>IF(SUM($F$23:F205)&gt;=$K$9,1,0)</f>
        <v>1</v>
      </c>
    </row>
    <row r="207" spans="3:35" x14ac:dyDescent="0.25">
      <c r="C207" s="37">
        <f>IFERROR(IF(Q206&lt;=0.01,"",IF(C206+1&gt;Simul_ConstruRemo!$BN$11,"",C206+1)),"")</f>
        <v>185</v>
      </c>
      <c r="D207" s="37" t="str">
        <f>IF(C207&gt;Simul_ConstruRemo!$I$19,"",IF(Simul_ConstruRemo!I245=100%,"",IFERROR(VLOOKUP(C207,Simul_ConstruRemo!$AX$61:$AY$64,2,0),D206)))</f>
        <v/>
      </c>
      <c r="E207" s="136">
        <f>IF(C207="","",IF(AF207="Ministración",Simul_ConstruRemo!BM243,1))</f>
        <v>1</v>
      </c>
      <c r="F207" s="35">
        <f t="shared" si="37"/>
        <v>0</v>
      </c>
      <c r="G207" s="137">
        <f t="shared" si="32"/>
        <v>703865.46433673194</v>
      </c>
      <c r="H207" s="137">
        <f t="shared" si="29"/>
        <v>14490</v>
      </c>
      <c r="I207" s="137">
        <f t="shared" si="30"/>
        <v>8477.8158254570808</v>
      </c>
      <c r="J207" s="137">
        <f t="shared" si="39"/>
        <v>6012.1841745429183</v>
      </c>
      <c r="K207" s="137">
        <f>IF(C207="","",IF(Simul_ConstruRemo!$I$10=Simul_ConstruRemo!$BV$6,(Simul_ConstruRemo!$I$16*0.7+Simul_ConstruRemo!$I$17*0.5),Simul_ConstruRemo!$CO$27))</f>
        <v>2606295</v>
      </c>
      <c r="L207" s="137">
        <f>IFERROR(Q207*Simul_ConstruRemo!$BP$30/1000,"")</f>
        <v>305.97056534496096</v>
      </c>
      <c r="M207" s="137">
        <f>IFERROR(IF($E$7="Remodelación",K207*Simul_ConstruRemo!$BS$29,
IF(E207=1,MAX(K207,Q207)*Simul_ConstruRemo!$BS$29,K207*Simul_ConstruRemo!$BQ$29)),"")</f>
        <v>827.2389712662</v>
      </c>
      <c r="N207" s="13">
        <f>IF(C207="","",'Tabla_Puntual&amp;Relacionamiento'!$E$52)</f>
        <v>0.10249999999999999</v>
      </c>
      <c r="O207" s="183"/>
      <c r="P207" s="137">
        <f t="shared" si="31"/>
        <v>15623.209536611161</v>
      </c>
      <c r="Q207" s="137">
        <f t="shared" si="33"/>
        <v>695387.64851127483</v>
      </c>
      <c r="R207" s="37">
        <f t="shared" si="38"/>
        <v>1</v>
      </c>
      <c r="S207" s="137"/>
      <c r="T207" s="137"/>
      <c r="Z207" s="63"/>
      <c r="AA207" s="35">
        <f t="shared" si="28"/>
        <v>15509.10760953996</v>
      </c>
      <c r="AB207" s="63">
        <f>IF(OR(Q207="",Q207&lt;=0.01),"",IF(SUM($F$23:F207)=Simul_ConstruRemo!$I$26,1,0))</f>
        <v>1</v>
      </c>
      <c r="AC207">
        <f t="shared" si="34"/>
        <v>180</v>
      </c>
      <c r="AD207" s="147">
        <f t="shared" si="35"/>
        <v>179</v>
      </c>
      <c r="AF207" t="str">
        <f t="shared" si="40"/>
        <v>Obra Concluida</v>
      </c>
      <c r="AI207">
        <f>IF(SUM($F$23:F206)&gt;=$K$9,1,0)</f>
        <v>1</v>
      </c>
    </row>
    <row r="208" spans="3:35" x14ac:dyDescent="0.25">
      <c r="C208" s="37">
        <f>IFERROR(IF(Q207&lt;=0.01,"",IF(C207+1&gt;Simul_ConstruRemo!$BN$11,"",C207+1)),"")</f>
        <v>186</v>
      </c>
      <c r="D208" s="37" t="str">
        <f>IF(C208&gt;Simul_ConstruRemo!$I$19,"",IF(Simul_ConstruRemo!I246=100%,"",IFERROR(VLOOKUP(C208,Simul_ConstruRemo!$AX$61:$AY$64,2,0),D207)))</f>
        <v/>
      </c>
      <c r="E208" s="136">
        <f>IF(C208="","",IF(AF208="Ministración",Simul_ConstruRemo!BM244,1))</f>
        <v>1</v>
      </c>
      <c r="F208" s="35">
        <f t="shared" si="37"/>
        <v>0</v>
      </c>
      <c r="G208" s="137">
        <f t="shared" si="32"/>
        <v>695387.64851127483</v>
      </c>
      <c r="H208" s="137">
        <f t="shared" si="29"/>
        <v>14490</v>
      </c>
      <c r="I208" s="137">
        <f t="shared" si="30"/>
        <v>8550.2305022995279</v>
      </c>
      <c r="J208" s="137">
        <f t="shared" si="39"/>
        <v>5939.7694977004721</v>
      </c>
      <c r="K208" s="137">
        <f>IF(C208="","",IF(Simul_ConstruRemo!$I$10=Simul_ConstruRemo!$BV$6,(Simul_ConstruRemo!$I$16*0.7+Simul_ConstruRemo!$I$17*0.5),Simul_ConstruRemo!$CO$27))</f>
        <v>2606295</v>
      </c>
      <c r="L208" s="137">
        <f>IFERROR(Q208*Simul_ConstruRemo!$BP$30/1000,"")</f>
        <v>302.20846392394918</v>
      </c>
      <c r="M208" s="137">
        <f>IFERROR(IF($E$7="Remodelación",K208*Simul_ConstruRemo!$BS$29,
IF(E208=1,MAX(K208,Q208)*Simul_ConstruRemo!$BS$29,K208*Simul_ConstruRemo!$BQ$29)),"")</f>
        <v>827.2389712662</v>
      </c>
      <c r="N208" s="13">
        <f>IF(C208="","",'Tabla_Puntual&amp;Relacionamiento'!$E$52)</f>
        <v>0.10249999999999999</v>
      </c>
      <c r="O208" s="183"/>
      <c r="P208" s="137">
        <f t="shared" si="31"/>
        <v>15619.44743519015</v>
      </c>
      <c r="Q208" s="137">
        <f t="shared" si="33"/>
        <v>686837.41800897534</v>
      </c>
      <c r="R208" s="37">
        <f t="shared" si="38"/>
        <v>1</v>
      </c>
      <c r="S208" s="137"/>
      <c r="T208" s="137"/>
      <c r="Z208" s="63"/>
      <c r="AA208" s="35">
        <f t="shared" si="28"/>
        <v>15505.34550811895</v>
      </c>
      <c r="AB208" s="63">
        <f>IF(OR(Q208="",Q208&lt;=0.01),"",IF(SUM($F$23:F208)=Simul_ConstruRemo!$I$26,1,0))</f>
        <v>1</v>
      </c>
      <c r="AC208">
        <f t="shared" si="34"/>
        <v>181</v>
      </c>
      <c r="AD208" s="147">
        <f t="shared" si="35"/>
        <v>180</v>
      </c>
      <c r="AF208" t="str">
        <f t="shared" si="40"/>
        <v>Obra Concluida</v>
      </c>
      <c r="AI208">
        <f>IF(SUM($F$23:F207)&gt;=$K$9,1,0)</f>
        <v>1</v>
      </c>
    </row>
    <row r="209" spans="3:35" x14ac:dyDescent="0.25">
      <c r="C209" s="37">
        <f>IFERROR(IF(Q208&lt;=0.01,"",IF(C208+1&gt;Simul_ConstruRemo!$BN$11,"",C208+1)),"")</f>
        <v>187</v>
      </c>
      <c r="D209" s="37" t="str">
        <f>IF(C209&gt;Simul_ConstruRemo!$I$19,"",IF(Simul_ConstruRemo!I247=100%,"",IFERROR(VLOOKUP(C209,Simul_ConstruRemo!$AX$61:$AY$64,2,0),D208)))</f>
        <v/>
      </c>
      <c r="E209" s="136">
        <f>IF(C209="","",IF(AF209="Ministración",Simul_ConstruRemo!BM245,1))</f>
        <v>1</v>
      </c>
      <c r="F209" s="35">
        <f t="shared" si="37"/>
        <v>0</v>
      </c>
      <c r="G209" s="137">
        <f t="shared" si="32"/>
        <v>686837.41800897534</v>
      </c>
      <c r="H209" s="137">
        <f t="shared" si="29"/>
        <v>14490</v>
      </c>
      <c r="I209" s="137">
        <f t="shared" si="30"/>
        <v>8623.2637211733345</v>
      </c>
      <c r="J209" s="137">
        <f t="shared" si="39"/>
        <v>5866.7362788266646</v>
      </c>
      <c r="K209" s="137">
        <f>IF(C209="","",IF(Simul_ConstruRemo!$I$10=Simul_ConstruRemo!$BV$6,(Simul_ConstruRemo!$I$16*0.7+Simul_ConstruRemo!$I$17*0.5),Simul_ConstruRemo!$CO$27))</f>
        <v>2606295</v>
      </c>
      <c r="L209" s="137">
        <f>IFERROR(Q209*Simul_ConstruRemo!$BP$30/1000,"")</f>
        <v>298.41422788663289</v>
      </c>
      <c r="M209" s="137">
        <f>IFERROR(IF($E$7="Remodelación",K209*Simul_ConstruRemo!$BS$29,
IF(E209=1,MAX(K209,Q209)*Simul_ConstruRemo!$BS$29,K209*Simul_ConstruRemo!$BQ$29)),"")</f>
        <v>827.2389712662</v>
      </c>
      <c r="N209" s="13">
        <f>IF(C209="","",'Tabla_Puntual&amp;Relacionamiento'!$E$52)</f>
        <v>0.10249999999999999</v>
      </c>
      <c r="O209" s="183"/>
      <c r="P209" s="137">
        <f t="shared" si="31"/>
        <v>15615.653199152834</v>
      </c>
      <c r="Q209" s="137">
        <f t="shared" si="33"/>
        <v>678214.15428780206</v>
      </c>
      <c r="R209" s="37">
        <f t="shared" si="38"/>
        <v>1</v>
      </c>
      <c r="S209" s="137"/>
      <c r="T209" s="137"/>
      <c r="Z209" s="63"/>
      <c r="AA209" s="35">
        <f t="shared" si="28"/>
        <v>15501.551272081633</v>
      </c>
      <c r="AB209" s="63">
        <f>IF(OR(Q209="",Q209&lt;=0.01),"",IF(SUM($F$23:F209)=Simul_ConstruRemo!$I$26,1,0))</f>
        <v>1</v>
      </c>
      <c r="AC209">
        <f t="shared" si="34"/>
        <v>182</v>
      </c>
      <c r="AD209" s="147">
        <f t="shared" si="35"/>
        <v>181</v>
      </c>
      <c r="AF209" t="str">
        <f t="shared" si="40"/>
        <v>Obra Concluida</v>
      </c>
      <c r="AI209">
        <f>IF(SUM($F$23:F208)&gt;=$K$9,1,0)</f>
        <v>1</v>
      </c>
    </row>
    <row r="210" spans="3:35" x14ac:dyDescent="0.25">
      <c r="C210" s="37">
        <f>IFERROR(IF(Q209&lt;=0.01,"",IF(C209+1&gt;Simul_ConstruRemo!$BN$11,"",C209+1)),"")</f>
        <v>188</v>
      </c>
      <c r="D210" s="37" t="str">
        <f>IF(C210&gt;Simul_ConstruRemo!$I$19,"",IF(Simul_ConstruRemo!I248=100%,"",IFERROR(VLOOKUP(C210,Simul_ConstruRemo!$AX$61:$AY$64,2,0),D209)))</f>
        <v/>
      </c>
      <c r="E210" s="136">
        <f>IF(C210="","",IF(AF210="Ministración",Simul_ConstruRemo!BM246,1))</f>
        <v>1</v>
      </c>
      <c r="F210" s="35">
        <f t="shared" si="37"/>
        <v>0</v>
      </c>
      <c r="G210" s="137">
        <f t="shared" si="32"/>
        <v>678214.15428780206</v>
      </c>
      <c r="H210" s="137">
        <f t="shared" si="29"/>
        <v>14490</v>
      </c>
      <c r="I210" s="137">
        <f t="shared" si="30"/>
        <v>8696.9207654583588</v>
      </c>
      <c r="J210" s="137">
        <f t="shared" si="39"/>
        <v>5793.0792345416421</v>
      </c>
      <c r="K210" s="137">
        <f>IF(C210="","",IF(Simul_ConstruRemo!$I$10=Simul_ConstruRemo!$BV$6,(Simul_ConstruRemo!$I$16*0.7+Simul_ConstruRemo!$I$17*0.5),Simul_ConstruRemo!$CO$27))</f>
        <v>2606295</v>
      </c>
      <c r="L210" s="137">
        <f>IFERROR(Q210*Simul_ConstruRemo!$BP$30/1000,"")</f>
        <v>294.5875827498312</v>
      </c>
      <c r="M210" s="137">
        <f>IFERROR(IF($E$7="Remodelación",K210*Simul_ConstruRemo!$BS$29,
IF(E210=1,MAX(K210,Q210)*Simul_ConstruRemo!$BS$29,K210*Simul_ConstruRemo!$BQ$29)),"")</f>
        <v>827.2389712662</v>
      </c>
      <c r="N210" s="13">
        <f>IF(C210="","",'Tabla_Puntual&amp;Relacionamiento'!$E$52)</f>
        <v>0.10249999999999999</v>
      </c>
      <c r="O210" s="183"/>
      <c r="P210" s="137">
        <f t="shared" si="31"/>
        <v>15611.826554016032</v>
      </c>
      <c r="Q210" s="137">
        <f t="shared" si="33"/>
        <v>669517.23352234368</v>
      </c>
      <c r="R210" s="37">
        <f t="shared" si="38"/>
        <v>1</v>
      </c>
      <c r="S210" s="137"/>
      <c r="T210" s="137"/>
      <c r="Z210" s="63"/>
      <c r="AA210" s="35">
        <f t="shared" si="28"/>
        <v>15497.724626944831</v>
      </c>
      <c r="AB210" s="63">
        <f>IF(OR(Q210="",Q210&lt;=0.01),"",IF(SUM($F$23:F210)=Simul_ConstruRemo!$I$26,1,0))</f>
        <v>1</v>
      </c>
      <c r="AC210">
        <f t="shared" si="34"/>
        <v>183</v>
      </c>
      <c r="AD210" s="147">
        <f t="shared" si="35"/>
        <v>182</v>
      </c>
      <c r="AF210" t="str">
        <f t="shared" si="40"/>
        <v>Obra Concluida</v>
      </c>
      <c r="AI210">
        <f>IF(SUM($F$23:F209)&gt;=$K$9,1,0)</f>
        <v>1</v>
      </c>
    </row>
    <row r="211" spans="3:35" x14ac:dyDescent="0.25">
      <c r="C211" s="37">
        <f>IFERROR(IF(Q210&lt;=0.01,"",IF(C210+1&gt;Simul_ConstruRemo!$BN$11,"",C210+1)),"")</f>
        <v>189</v>
      </c>
      <c r="D211" s="37" t="str">
        <f>IF(C211&gt;Simul_ConstruRemo!$I$19,"",IF(Simul_ConstruRemo!I249=100%,"",IFERROR(VLOOKUP(C211,Simul_ConstruRemo!$AX$61:$AY$64,2,0),D210)))</f>
        <v/>
      </c>
      <c r="E211" s="136">
        <f>IF(C211="","",IF(AF211="Ministración",Simul_ConstruRemo!BM247,1))</f>
        <v>1</v>
      </c>
      <c r="F211" s="35">
        <f t="shared" si="37"/>
        <v>0</v>
      </c>
      <c r="G211" s="137">
        <f t="shared" si="32"/>
        <v>669517.23352234368</v>
      </c>
      <c r="H211" s="137">
        <f t="shared" si="29"/>
        <v>14490</v>
      </c>
      <c r="I211" s="137">
        <f t="shared" si="30"/>
        <v>8771.2069636633132</v>
      </c>
      <c r="J211" s="137">
        <f t="shared" si="39"/>
        <v>5718.7930363366859</v>
      </c>
      <c r="K211" s="137">
        <f>IF(C211="","",IF(Simul_ConstruRemo!$I$10=Simul_ConstruRemo!$BV$6,(Simul_ConstruRemo!$I$16*0.7+Simul_ConstruRemo!$I$17*0.5),Simul_ConstruRemo!$CO$27))</f>
        <v>2606295</v>
      </c>
      <c r="L211" s="137">
        <f>IFERROR(Q211*Simul_ConstruRemo!$BP$30/1000,"")</f>
        <v>290.72825168581937</v>
      </c>
      <c r="M211" s="137">
        <f>IFERROR(IF($E$7="Remodelación",K211*Simul_ConstruRemo!$BS$29,
IF(E211=1,MAX(K211,Q211)*Simul_ConstruRemo!$BS$29,K211*Simul_ConstruRemo!$BQ$29)),"")</f>
        <v>827.2389712662</v>
      </c>
      <c r="N211" s="13">
        <f>IF(C211="","",'Tabla_Puntual&amp;Relacionamiento'!$E$52)</f>
        <v>0.10249999999999999</v>
      </c>
      <c r="O211" s="183"/>
      <c r="P211" s="137">
        <f t="shared" si="31"/>
        <v>15607.96722295202</v>
      </c>
      <c r="Q211" s="137">
        <f t="shared" si="33"/>
        <v>660746.02655868034</v>
      </c>
      <c r="R211" s="37">
        <f t="shared" si="38"/>
        <v>1</v>
      </c>
      <c r="S211" s="137"/>
      <c r="T211" s="137"/>
      <c r="Z211" s="63"/>
      <c r="AA211" s="35">
        <f t="shared" si="28"/>
        <v>15493.86529588082</v>
      </c>
      <c r="AB211" s="63">
        <f>IF(OR(Q211="",Q211&lt;=0.01),"",IF(SUM($F$23:F211)=Simul_ConstruRemo!$I$26,1,0))</f>
        <v>1</v>
      </c>
      <c r="AC211">
        <f t="shared" si="34"/>
        <v>184</v>
      </c>
      <c r="AD211" s="147">
        <f t="shared" si="35"/>
        <v>183</v>
      </c>
      <c r="AF211" t="str">
        <f t="shared" si="40"/>
        <v>Obra Concluida</v>
      </c>
      <c r="AI211">
        <f>IF(SUM($F$23:F210)&gt;=$K$9,1,0)</f>
        <v>1</v>
      </c>
    </row>
    <row r="212" spans="3:35" x14ac:dyDescent="0.25">
      <c r="C212" s="37">
        <f>IFERROR(IF(Q211&lt;=0.01,"",IF(C211+1&gt;Simul_ConstruRemo!$BN$11,"",C211+1)),"")</f>
        <v>190</v>
      </c>
      <c r="D212" s="37" t="str">
        <f>IF(C212&gt;Simul_ConstruRemo!$I$19,"",IF(Simul_ConstruRemo!I250=100%,"",IFERROR(VLOOKUP(C212,Simul_ConstruRemo!$AX$61:$AY$64,2,0),D211)))</f>
        <v/>
      </c>
      <c r="E212" s="136">
        <f>IF(C212="","",IF(AF212="Ministración",Simul_ConstruRemo!BM248,1))</f>
        <v>1</v>
      </c>
      <c r="F212" s="35">
        <f t="shared" si="37"/>
        <v>0</v>
      </c>
      <c r="G212" s="137">
        <f t="shared" si="32"/>
        <v>660746.02655868034</v>
      </c>
      <c r="H212" s="137">
        <f t="shared" si="29"/>
        <v>14490</v>
      </c>
      <c r="I212" s="137">
        <f t="shared" si="30"/>
        <v>8846.1276898112737</v>
      </c>
      <c r="J212" s="137">
        <f t="shared" si="39"/>
        <v>5643.8723101887272</v>
      </c>
      <c r="K212" s="137">
        <f>IF(C212="","",IF(Simul_ConstruRemo!$I$10=Simul_ConstruRemo!$BV$6,(Simul_ConstruRemo!$I$16*0.7+Simul_ConstruRemo!$I$17*0.5),Simul_ConstruRemo!$CO$27))</f>
        <v>2606295</v>
      </c>
      <c r="L212" s="137">
        <f>IFERROR(Q212*Simul_ConstruRemo!$BP$30/1000,"")</f>
        <v>286.8359555023024</v>
      </c>
      <c r="M212" s="137">
        <f>IFERROR(IF($E$7="Remodelación",K212*Simul_ConstruRemo!$BS$29,
IF(E212=1,MAX(K212,Q212)*Simul_ConstruRemo!$BS$29,K212*Simul_ConstruRemo!$BQ$29)),"")</f>
        <v>827.2389712662</v>
      </c>
      <c r="N212" s="13">
        <f>IF(C212="","",'Tabla_Puntual&amp;Relacionamiento'!$E$52)</f>
        <v>0.10249999999999999</v>
      </c>
      <c r="O212" s="183"/>
      <c r="P212" s="137">
        <f t="shared" si="31"/>
        <v>15604.074926768502</v>
      </c>
      <c r="Q212" s="137">
        <f t="shared" si="33"/>
        <v>651899.89886886906</v>
      </c>
      <c r="R212" s="37">
        <f t="shared" si="38"/>
        <v>1</v>
      </c>
      <c r="S212" s="137"/>
      <c r="T212" s="137"/>
      <c r="Z212" s="63"/>
      <c r="AA212" s="35">
        <f t="shared" si="28"/>
        <v>15489.972999697302</v>
      </c>
      <c r="AB212" s="63">
        <f>IF(OR(Q212="",Q212&lt;=0.01),"",IF(SUM($F$23:F212)=Simul_ConstruRemo!$I$26,1,0))</f>
        <v>1</v>
      </c>
      <c r="AC212">
        <f t="shared" si="34"/>
        <v>185</v>
      </c>
      <c r="AD212" s="147">
        <f t="shared" si="35"/>
        <v>184</v>
      </c>
      <c r="AF212" t="str">
        <f t="shared" si="40"/>
        <v>Obra Concluida</v>
      </c>
      <c r="AI212">
        <f>IF(SUM($F$23:F211)&gt;=$K$9,1,0)</f>
        <v>1</v>
      </c>
    </row>
    <row r="213" spans="3:35" x14ac:dyDescent="0.25">
      <c r="C213" s="37">
        <f>IFERROR(IF(Q212&lt;=0.01,"",IF(C212+1&gt;Simul_ConstruRemo!$BN$11,"",C212+1)),"")</f>
        <v>191</v>
      </c>
      <c r="D213" s="37" t="str">
        <f>IF(C213&gt;Simul_ConstruRemo!$I$19,"",IF(Simul_ConstruRemo!I251=100%,"",IFERROR(VLOOKUP(C213,Simul_ConstruRemo!$AX$61:$AY$64,2,0),D212)))</f>
        <v/>
      </c>
      <c r="E213" s="136">
        <f>IF(C213="","",IF(AF213="Ministración",Simul_ConstruRemo!BM249,1))</f>
        <v>1</v>
      </c>
      <c r="F213" s="35">
        <f t="shared" si="37"/>
        <v>0</v>
      </c>
      <c r="G213" s="137">
        <f t="shared" si="32"/>
        <v>651899.89886886906</v>
      </c>
      <c r="H213" s="137">
        <f t="shared" si="29"/>
        <v>14490</v>
      </c>
      <c r="I213" s="137">
        <f t="shared" si="30"/>
        <v>8921.6883638284089</v>
      </c>
      <c r="J213" s="137">
        <f t="shared" si="39"/>
        <v>5568.3116361715902</v>
      </c>
      <c r="K213" s="137">
        <f>IF(C213="","",IF(Simul_ConstruRemo!$I$10=Simul_ConstruRemo!$BV$6,(Simul_ConstruRemo!$I$16*0.7+Simul_ConstruRemo!$I$17*0.5),Simul_ConstruRemo!$CO$27))</f>
        <v>2606295</v>
      </c>
      <c r="L213" s="137">
        <f>IFERROR(Q213*Simul_ConstruRemo!$BP$30/1000,"")</f>
        <v>282.91041262221785</v>
      </c>
      <c r="M213" s="137">
        <f>IFERROR(IF($E$7="Remodelación",K213*Simul_ConstruRemo!$BS$29,
IF(E213=1,MAX(K213,Q213)*Simul_ConstruRemo!$BS$29,K213*Simul_ConstruRemo!$BQ$29)),"")</f>
        <v>827.2389712662</v>
      </c>
      <c r="N213" s="13">
        <f>IF(C213="","",'Tabla_Puntual&amp;Relacionamiento'!$E$52)</f>
        <v>0.10249999999999999</v>
      </c>
      <c r="O213" s="183"/>
      <c r="P213" s="137">
        <f t="shared" si="31"/>
        <v>15600.149383888418</v>
      </c>
      <c r="Q213" s="137">
        <f t="shared" si="33"/>
        <v>642978.2105050406</v>
      </c>
      <c r="R213" s="37">
        <f t="shared" si="38"/>
        <v>1</v>
      </c>
      <c r="S213" s="137"/>
      <c r="T213" s="137"/>
      <c r="Z213" s="63"/>
      <c r="AA213" s="35">
        <f t="shared" si="28"/>
        <v>15486.047456817218</v>
      </c>
      <c r="AB213" s="63">
        <f>IF(OR(Q213="",Q213&lt;=0.01),"",IF(SUM($F$23:F213)=Simul_ConstruRemo!$I$26,1,0))</f>
        <v>1</v>
      </c>
      <c r="AC213">
        <f t="shared" si="34"/>
        <v>186</v>
      </c>
      <c r="AD213" s="147">
        <f t="shared" si="35"/>
        <v>185</v>
      </c>
      <c r="AF213" t="str">
        <f t="shared" si="40"/>
        <v>Obra Concluida</v>
      </c>
      <c r="AI213">
        <f>IF(SUM($F$23:F212)&gt;=$K$9,1,0)</f>
        <v>1</v>
      </c>
    </row>
    <row r="214" spans="3:35" x14ac:dyDescent="0.25">
      <c r="C214" s="37">
        <f>IFERROR(IF(Q213&lt;=0.01,"",IF(C213+1&gt;Simul_ConstruRemo!$BN$11,"",C213+1)),"")</f>
        <v>192</v>
      </c>
      <c r="D214" s="37" t="str">
        <f>IF(C214&gt;Simul_ConstruRemo!$I$19,"",IF(Simul_ConstruRemo!I252=100%,"",IFERROR(VLOOKUP(C214,Simul_ConstruRemo!$AX$61:$AY$64,2,0),D213)))</f>
        <v/>
      </c>
      <c r="E214" s="136">
        <f>IF(C214="","",IF(AF214="Ministración",Simul_ConstruRemo!BM250,1))</f>
        <v>1</v>
      </c>
      <c r="F214" s="35">
        <f t="shared" si="37"/>
        <v>0</v>
      </c>
      <c r="G214" s="137">
        <f t="shared" si="32"/>
        <v>642978.2105050406</v>
      </c>
      <c r="H214" s="137">
        <f t="shared" si="29"/>
        <v>14490</v>
      </c>
      <c r="I214" s="137">
        <f t="shared" si="30"/>
        <v>8997.8944519361103</v>
      </c>
      <c r="J214" s="137">
        <f t="shared" si="39"/>
        <v>5492.1055480638888</v>
      </c>
      <c r="K214" s="137">
        <f>IF(C214="","",IF(Simul_ConstruRemo!$I$10=Simul_ConstruRemo!$BV$6,(Simul_ConstruRemo!$I$16*0.7+Simul_ConstruRemo!$I$17*0.5),Simul_ConstruRemo!$CO$27))</f>
        <v>2606295</v>
      </c>
      <c r="L214" s="137">
        <f>IFERROR(Q214*Simul_ConstruRemo!$BP$30/1000,"")</f>
        <v>278.95133906336594</v>
      </c>
      <c r="M214" s="137">
        <f>IFERROR(IF($E$7="Remodelación",K214*Simul_ConstruRemo!$BS$29,
IF(E214=1,MAX(K214,Q214)*Simul_ConstruRemo!$BS$29,K214*Simul_ConstruRemo!$BQ$29)),"")</f>
        <v>827.2389712662</v>
      </c>
      <c r="N214" s="13">
        <f>IF(C214="","",'Tabla_Puntual&amp;Relacionamiento'!$E$52)</f>
        <v>0.10249999999999999</v>
      </c>
      <c r="O214" s="183"/>
      <c r="P214" s="137">
        <f t="shared" si="31"/>
        <v>15596.190310329566</v>
      </c>
      <c r="Q214" s="137">
        <f t="shared" si="33"/>
        <v>633980.31605310447</v>
      </c>
      <c r="R214" s="37">
        <f t="shared" si="38"/>
        <v>1</v>
      </c>
      <c r="S214" s="137"/>
      <c r="T214" s="137"/>
      <c r="Z214" s="63"/>
      <c r="AA214" s="35">
        <f t="shared" si="28"/>
        <v>15482.088383258366</v>
      </c>
      <c r="AB214" s="63">
        <f>IF(OR(Q214="",Q214&lt;=0.01),"",IF(SUM($F$23:F214)=Simul_ConstruRemo!$I$26,1,0))</f>
        <v>1</v>
      </c>
      <c r="AC214">
        <f t="shared" si="34"/>
        <v>187</v>
      </c>
      <c r="AD214" s="147">
        <f t="shared" si="35"/>
        <v>186</v>
      </c>
      <c r="AF214" t="str">
        <f t="shared" si="40"/>
        <v>Obra Concluida</v>
      </c>
      <c r="AI214">
        <f>IF(SUM($F$23:F213)&gt;=$K$9,1,0)</f>
        <v>1</v>
      </c>
    </row>
    <row r="215" spans="3:35" x14ac:dyDescent="0.25">
      <c r="C215" s="37">
        <f>IFERROR(IF(Q214&lt;=0.01,"",IF(C214+1&gt;Simul_ConstruRemo!$BN$11,"",C214+1)),"")</f>
        <v>193</v>
      </c>
      <c r="D215" s="37" t="str">
        <f>IF(C215&gt;Simul_ConstruRemo!$I$19,"",IF(Simul_ConstruRemo!I253=100%,"",IFERROR(VLOOKUP(C215,Simul_ConstruRemo!$AX$61:$AY$64,2,0),D214)))</f>
        <v/>
      </c>
      <c r="E215" s="136">
        <f>IF(C215="","",IF(AF215="Ministración",Simul_ConstruRemo!BM251,1))</f>
        <v>1</v>
      </c>
      <c r="F215" s="35">
        <f t="shared" si="37"/>
        <v>0</v>
      </c>
      <c r="G215" s="137">
        <f t="shared" si="32"/>
        <v>633980.31605310447</v>
      </c>
      <c r="H215" s="137">
        <f t="shared" si="29"/>
        <v>14490</v>
      </c>
      <c r="I215" s="137">
        <f t="shared" si="30"/>
        <v>9074.7514670464006</v>
      </c>
      <c r="J215" s="137">
        <f t="shared" si="39"/>
        <v>5415.2485329536003</v>
      </c>
      <c r="K215" s="137">
        <f>IF(C215="","",IF(Simul_ConstruRemo!$I$10=Simul_ConstruRemo!$BV$6,(Simul_ConstruRemo!$I$16*0.7+Simul_ConstruRemo!$I$17*0.5),Simul_ConstruRemo!$CO$27))</f>
        <v>2606295</v>
      </c>
      <c r="L215" s="137">
        <f>IFERROR(Q215*Simul_ConstruRemo!$BP$30/1000,"")</f>
        <v>274.95844841786555</v>
      </c>
      <c r="M215" s="137">
        <f>IFERROR(IF($E$7="Remodelación",K215*Simul_ConstruRemo!$BS$29,
IF(E215=1,MAX(K215,Q215)*Simul_ConstruRemo!$BS$29,K215*Simul_ConstruRemo!$BQ$29)),"")</f>
        <v>827.2389712662</v>
      </c>
      <c r="N215" s="13">
        <f>IF(C215="","",'Tabla_Puntual&amp;Relacionamiento'!$E$53)</f>
        <v>0.10249999999999999</v>
      </c>
      <c r="O215" s="183"/>
      <c r="P215" s="137">
        <f t="shared" si="31"/>
        <v>15592.197419684066</v>
      </c>
      <c r="Q215" s="137">
        <f t="shared" si="33"/>
        <v>624905.56458605803</v>
      </c>
      <c r="R215" s="37">
        <f t="shared" si="38"/>
        <v>1</v>
      </c>
      <c r="S215" s="137"/>
      <c r="T215" s="137"/>
      <c r="Z215" s="63"/>
      <c r="AA215" s="35">
        <f t="shared" ref="AA215:AA278" si="41">IF(P215="","",P215-(M215-(M215/1.16)))</f>
        <v>15478.095492612865</v>
      </c>
      <c r="AB215" s="63">
        <f>IF(OR(Q215="",Q215&lt;=0.01),"",IF(SUM($F$23:F215)=Simul_ConstruRemo!$I$26,1,0))</f>
        <v>1</v>
      </c>
      <c r="AC215">
        <f t="shared" si="34"/>
        <v>188</v>
      </c>
      <c r="AD215" s="147">
        <f t="shared" si="35"/>
        <v>187</v>
      </c>
      <c r="AF215" t="str">
        <f t="shared" si="40"/>
        <v>Obra Concluida</v>
      </c>
      <c r="AI215">
        <f>IF(SUM($F$23:F214)&gt;=$K$9,1,0)</f>
        <v>1</v>
      </c>
    </row>
    <row r="216" spans="3:35" x14ac:dyDescent="0.25">
      <c r="C216" s="37">
        <f>IFERROR(IF(Q215&lt;=0.01,"",IF(C215+1&gt;Simul_ConstruRemo!$BN$11,"",C215+1)),"")</f>
        <v>194</v>
      </c>
      <c r="D216" s="37" t="str">
        <f>IF(C216&gt;Simul_ConstruRemo!$I$19,"",IF(Simul_ConstruRemo!I254=100%,"",IFERROR(VLOOKUP(C216,Simul_ConstruRemo!$AX$61:$AY$64,2,0),D215)))</f>
        <v/>
      </c>
      <c r="E216" s="136">
        <f>IF(C216="","",IF(AF216="Ministración",Simul_ConstruRemo!BM252,1))</f>
        <v>1</v>
      </c>
      <c r="F216" s="35">
        <f t="shared" si="37"/>
        <v>0</v>
      </c>
      <c r="G216" s="137">
        <f t="shared" si="32"/>
        <v>624905.56458605803</v>
      </c>
      <c r="H216" s="137">
        <f t="shared" ref="H216:H280" si="42">IF(C216="","",IF(AI216=0,J216,$K$9*$K$15/1000))</f>
        <v>14490</v>
      </c>
      <c r="I216" s="137">
        <f t="shared" ref="I216:I279" si="43">IF(C216="","",H216-J216)</f>
        <v>9152.2649691607548</v>
      </c>
      <c r="J216" s="137">
        <f t="shared" si="39"/>
        <v>5337.7350308392452</v>
      </c>
      <c r="K216" s="137">
        <f>IF(C216="","",IF(Simul_ConstruRemo!$I$10=Simul_ConstruRemo!$BV$6,(Simul_ConstruRemo!$I$16*0.7+Simul_ConstruRemo!$I$17*0.5),Simul_ConstruRemo!$CO$27))</f>
        <v>2606295</v>
      </c>
      <c r="L216" s="137">
        <f>IFERROR(Q216*Simul_ConstruRemo!$BP$30/1000,"")</f>
        <v>270.9314518314348</v>
      </c>
      <c r="M216" s="137">
        <f>IFERROR(IF($E$7="Remodelación",K216*Simul_ConstruRemo!$BS$29,
IF(E216=1,MAX(K216,Q216)*Simul_ConstruRemo!$BS$29,K216*Simul_ConstruRemo!$BQ$29)),"")</f>
        <v>827.2389712662</v>
      </c>
      <c r="N216" s="13">
        <f>IF(C216="","",'Tabla_Puntual&amp;Relacionamiento'!$E$53)</f>
        <v>0.10249999999999999</v>
      </c>
      <c r="O216" s="183"/>
      <c r="P216" s="137">
        <f t="shared" ref="P216:P279" si="44">IFERROR(H216+M216+L216,"")</f>
        <v>15588.170423097636</v>
      </c>
      <c r="Q216" s="137">
        <f t="shared" si="33"/>
        <v>615753.29961689725</v>
      </c>
      <c r="R216" s="37">
        <f t="shared" si="38"/>
        <v>1</v>
      </c>
      <c r="S216" s="137"/>
      <c r="T216" s="137"/>
      <c r="Z216" s="63"/>
      <c r="AA216" s="35">
        <f t="shared" si="41"/>
        <v>15474.068496026435</v>
      </c>
      <c r="AB216" s="63">
        <f>IF(OR(Q216="",Q216&lt;=0.01),"",IF(SUM($F$23:F216)=Simul_ConstruRemo!$I$26,1,0))</f>
        <v>1</v>
      </c>
      <c r="AC216">
        <f t="shared" si="34"/>
        <v>189</v>
      </c>
      <c r="AD216" s="147">
        <f t="shared" si="35"/>
        <v>188</v>
      </c>
      <c r="AF216" t="str">
        <f t="shared" si="40"/>
        <v>Obra Concluida</v>
      </c>
      <c r="AI216">
        <f>IF(SUM($F$23:F215)&gt;=$K$9,1,0)</f>
        <v>1</v>
      </c>
    </row>
    <row r="217" spans="3:35" x14ac:dyDescent="0.25">
      <c r="C217" s="37">
        <f>IFERROR(IF(Q216&lt;=0.01,"",IF(C216+1&gt;Simul_ConstruRemo!$BN$11,"",C216+1)),"")</f>
        <v>195</v>
      </c>
      <c r="D217" s="37" t="str">
        <f>IF(C217&gt;Simul_ConstruRemo!$I$19,"",IF(Simul_ConstruRemo!I255=100%,"",IFERROR(VLOOKUP(C217,Simul_ConstruRemo!$AX$61:$AY$64,2,0),D216)))</f>
        <v/>
      </c>
      <c r="E217" s="136">
        <f>IF(C217="","",IF(AF217="Ministración",Simul_ConstruRemo!BM253,1))</f>
        <v>1</v>
      </c>
      <c r="F217" s="35">
        <f t="shared" si="37"/>
        <v>0</v>
      </c>
      <c r="G217" s="137">
        <f t="shared" ref="G217:G280" si="45">IF(C217="","",Q216)</f>
        <v>615753.29961689725</v>
      </c>
      <c r="H217" s="137">
        <f t="shared" si="42"/>
        <v>14490</v>
      </c>
      <c r="I217" s="137">
        <f t="shared" si="43"/>
        <v>9230.4405657723364</v>
      </c>
      <c r="J217" s="137">
        <f t="shared" si="39"/>
        <v>5259.5594342276636</v>
      </c>
      <c r="K217" s="137">
        <f>IF(C217="","",IF(Simul_ConstruRemo!$I$10=Simul_ConstruRemo!$BV$6,(Simul_ConstruRemo!$I$16*0.7+Simul_ConstruRemo!$I$17*0.5),Simul_ConstruRemo!$CO$27))</f>
        <v>2606295</v>
      </c>
      <c r="L217" s="137">
        <f>IFERROR(Q217*Simul_ConstruRemo!$BP$30/1000,"")</f>
        <v>266.87005798249493</v>
      </c>
      <c r="M217" s="137">
        <f>IFERROR(IF($E$7="Remodelación",K217*Simul_ConstruRemo!$BS$29,
IF(E217=1,MAX(K217,Q217)*Simul_ConstruRemo!$BS$29,K217*Simul_ConstruRemo!$BQ$29)),"")</f>
        <v>827.2389712662</v>
      </c>
      <c r="N217" s="13">
        <f>IF(C217="","",'Tabla_Puntual&amp;Relacionamiento'!$E$53)</f>
        <v>0.10249999999999999</v>
      </c>
      <c r="O217" s="183"/>
      <c r="P217" s="137">
        <f t="shared" si="44"/>
        <v>15584.109029248695</v>
      </c>
      <c r="Q217" s="137">
        <f t="shared" ref="Q217:Q280" si="46">IFERROR(IF(Q216+F217-I217-O217&lt;=0,0,Q216+F217-I217-O217),"")</f>
        <v>606522.85905112489</v>
      </c>
      <c r="R217" s="37">
        <f t="shared" si="38"/>
        <v>1</v>
      </c>
      <c r="S217" s="137"/>
      <c r="T217" s="137"/>
      <c r="Z217" s="63"/>
      <c r="AA217" s="35">
        <f t="shared" si="41"/>
        <v>15470.007102177495</v>
      </c>
      <c r="AB217" s="63">
        <f>IF(OR(Q217="",Q217&lt;=0.01),"",IF(SUM($F$23:F217)=Simul_ConstruRemo!$I$26,1,0))</f>
        <v>1</v>
      </c>
      <c r="AC217">
        <f t="shared" ref="AC217:AC280" si="47">IFERROR(AC216+AB217,0)</f>
        <v>190</v>
      </c>
      <c r="AD217" s="147">
        <f t="shared" si="35"/>
        <v>189</v>
      </c>
      <c r="AF217" t="str">
        <f t="shared" si="40"/>
        <v>Obra Concluida</v>
      </c>
      <c r="AI217">
        <f>IF(SUM($F$23:F216)&gt;=$K$9,1,0)</f>
        <v>1</v>
      </c>
    </row>
    <row r="218" spans="3:35" x14ac:dyDescent="0.25">
      <c r="C218" s="37">
        <f>IFERROR(IF(Q217&lt;=0.01,"",IF(C217+1&gt;Simul_ConstruRemo!$BN$11,"",C217+1)),"")</f>
        <v>196</v>
      </c>
      <c r="D218" s="37" t="str">
        <f>IF(C218&gt;Simul_ConstruRemo!$I$19,"",IF(Simul_ConstruRemo!I256=100%,"",IFERROR(VLOOKUP(C218,Simul_ConstruRemo!$AX$61:$AY$64,2,0),D217)))</f>
        <v/>
      </c>
      <c r="E218" s="136">
        <f>IF(C218="","",IF(AF218="Ministración",Simul_ConstruRemo!BM254,1))</f>
        <v>1</v>
      </c>
      <c r="F218" s="35">
        <f t="shared" si="37"/>
        <v>0</v>
      </c>
      <c r="G218" s="137">
        <f t="shared" si="45"/>
        <v>606522.85905112489</v>
      </c>
      <c r="H218" s="137">
        <f t="shared" si="42"/>
        <v>14490</v>
      </c>
      <c r="I218" s="137">
        <f t="shared" si="43"/>
        <v>9309.2839122716432</v>
      </c>
      <c r="J218" s="137">
        <f t="shared" si="39"/>
        <v>5180.7160877283577</v>
      </c>
      <c r="K218" s="137">
        <f>IF(C218="","",IF(Simul_ConstruRemo!$I$10=Simul_ConstruRemo!$BV$6,(Simul_ConstruRemo!$I$16*0.7+Simul_ConstruRemo!$I$17*0.5),Simul_ConstruRemo!$CO$27))</f>
        <v>2606295</v>
      </c>
      <c r="L218" s="137">
        <f>IFERROR(Q218*Simul_ConstruRemo!$BP$30/1000,"")</f>
        <v>262.77397306109543</v>
      </c>
      <c r="M218" s="137">
        <f>IFERROR(IF($E$7="Remodelación",K218*Simul_ConstruRemo!$BS$29,
IF(E218=1,MAX(K218,Q218)*Simul_ConstruRemo!$BS$29,K218*Simul_ConstruRemo!$BQ$29)),"")</f>
        <v>827.2389712662</v>
      </c>
      <c r="N218" s="13">
        <f>IF(C218="","",'Tabla_Puntual&amp;Relacionamiento'!$E$53)</f>
        <v>0.10249999999999999</v>
      </c>
      <c r="O218" s="183"/>
      <c r="P218" s="137">
        <f t="shared" si="44"/>
        <v>15580.012944327296</v>
      </c>
      <c r="Q218" s="137">
        <f t="shared" si="46"/>
        <v>597213.57513885328</v>
      </c>
      <c r="R218" s="37">
        <f t="shared" si="38"/>
        <v>1</v>
      </c>
      <c r="S218" s="137"/>
      <c r="T218" s="137"/>
      <c r="Z218" s="63"/>
      <c r="AA218" s="35">
        <f t="shared" si="41"/>
        <v>15465.911017256096</v>
      </c>
      <c r="AB218" s="63">
        <f>IF(OR(Q218="",Q218&lt;=0.01),"",IF(SUM($F$23:F218)=Simul_ConstruRemo!$I$26,1,0))</f>
        <v>1</v>
      </c>
      <c r="AC218">
        <f t="shared" si="47"/>
        <v>191</v>
      </c>
      <c r="AD218" s="147">
        <f t="shared" ref="AD218:AD280" si="48">IF(AC218&gt;0,AC218-1,AC218)</f>
        <v>190</v>
      </c>
      <c r="AF218" t="str">
        <f t="shared" si="40"/>
        <v>Obra Concluida</v>
      </c>
      <c r="AI218">
        <f>IF(SUM($F$23:F217)&gt;=$K$9,1,0)</f>
        <v>1</v>
      </c>
    </row>
    <row r="219" spans="3:35" x14ac:dyDescent="0.25">
      <c r="C219" s="37">
        <f>IFERROR(IF(Q218&lt;=0.01,"",IF(C218+1&gt;Simul_ConstruRemo!$BN$11,"",C218+1)),"")</f>
        <v>197</v>
      </c>
      <c r="D219" s="37" t="str">
        <f>IF(C219&gt;Simul_ConstruRemo!$I$19,"",IF(Simul_ConstruRemo!I257=100%,"",IFERROR(VLOOKUP(C219,Simul_ConstruRemo!$AX$61:$AY$64,2,0),D218)))</f>
        <v/>
      </c>
      <c r="E219" s="136">
        <f>IF(C219="","",IF(AF219="Ministración",Simul_ConstruRemo!BM255,1))</f>
        <v>1</v>
      </c>
      <c r="F219" s="35">
        <f t="shared" si="37"/>
        <v>0</v>
      </c>
      <c r="G219" s="137">
        <f t="shared" si="45"/>
        <v>597213.57513885328</v>
      </c>
      <c r="H219" s="137">
        <f t="shared" si="42"/>
        <v>14490</v>
      </c>
      <c r="I219" s="137">
        <f t="shared" si="43"/>
        <v>9388.8007123556272</v>
      </c>
      <c r="J219" s="137">
        <f t="shared" si="39"/>
        <v>5101.1992876443719</v>
      </c>
      <c r="K219" s="137">
        <f>IF(C219="","",IF(Simul_ConstruRemo!$I$10=Simul_ConstruRemo!$BV$6,(Simul_ConstruRemo!$I$16*0.7+Simul_ConstruRemo!$I$17*0.5),Simul_ConstruRemo!$CO$27))</f>
        <v>2606295</v>
      </c>
      <c r="L219" s="137">
        <f>IFERROR(Q219*Simul_ConstruRemo!$BP$30/1000,"")</f>
        <v>258.64290074765893</v>
      </c>
      <c r="M219" s="137">
        <f>IFERROR(IF($E$7="Remodelación",K219*Simul_ConstruRemo!$BS$29,
IF(E219=1,MAX(K219,Q219)*Simul_ConstruRemo!$BS$29,K219*Simul_ConstruRemo!$BQ$29)),"")</f>
        <v>827.2389712662</v>
      </c>
      <c r="N219" s="13">
        <f>IF(C219="","",'Tabla_Puntual&amp;Relacionamiento'!$E$53)</f>
        <v>0.10249999999999999</v>
      </c>
      <c r="O219" s="183"/>
      <c r="P219" s="137">
        <f t="shared" si="44"/>
        <v>15575.881872013859</v>
      </c>
      <c r="Q219" s="137">
        <f t="shared" si="46"/>
        <v>587824.77442649764</v>
      </c>
      <c r="R219" s="37">
        <f t="shared" si="38"/>
        <v>1</v>
      </c>
      <c r="S219" s="137"/>
      <c r="T219" s="137"/>
      <c r="Z219" s="63"/>
      <c r="AA219" s="35">
        <f t="shared" si="41"/>
        <v>15461.779944942658</v>
      </c>
      <c r="AB219" s="63">
        <f>IF(OR(Q219="",Q219&lt;=0.01),"",IF(SUM($F$23:F219)=Simul_ConstruRemo!$I$26,1,0))</f>
        <v>1</v>
      </c>
      <c r="AC219">
        <f t="shared" si="47"/>
        <v>192</v>
      </c>
      <c r="AD219" s="147">
        <f t="shared" si="48"/>
        <v>191</v>
      </c>
      <c r="AF219" t="str">
        <f t="shared" si="40"/>
        <v>Obra Concluida</v>
      </c>
      <c r="AI219">
        <f>IF(SUM($F$23:F218)&gt;=$K$9,1,0)</f>
        <v>1</v>
      </c>
    </row>
    <row r="220" spans="3:35" x14ac:dyDescent="0.25">
      <c r="C220" s="37">
        <f>IFERROR(IF(Q219&lt;=0.01,"",IF(C219+1&gt;Simul_ConstruRemo!$BN$11,"",C219+1)),"")</f>
        <v>198</v>
      </c>
      <c r="D220" s="37" t="str">
        <f>IF(C220&gt;Simul_ConstruRemo!$I$19,"",IF(Simul_ConstruRemo!I258=100%,"",IFERROR(VLOOKUP(C220,Simul_ConstruRemo!$AX$61:$AY$64,2,0),D219)))</f>
        <v/>
      </c>
      <c r="E220" s="136">
        <f>IF(C220="","",IF(AF220="Ministración",Simul_ConstruRemo!BM256,1))</f>
        <v>1</v>
      </c>
      <c r="F220" s="35">
        <f t="shared" si="37"/>
        <v>0</v>
      </c>
      <c r="G220" s="137">
        <f t="shared" si="45"/>
        <v>587824.77442649764</v>
      </c>
      <c r="H220" s="137">
        <f t="shared" si="42"/>
        <v>14490</v>
      </c>
      <c r="I220" s="137">
        <f t="shared" si="43"/>
        <v>9468.9967184403322</v>
      </c>
      <c r="J220" s="137">
        <f t="shared" si="39"/>
        <v>5021.0032815596669</v>
      </c>
      <c r="K220" s="137">
        <f>IF(C220="","",IF(Simul_ConstruRemo!$I$10=Simul_ConstruRemo!$BV$6,(Simul_ConstruRemo!$I$16*0.7+Simul_ConstruRemo!$I$17*0.5),Simul_ConstruRemo!$CO$27))</f>
        <v>2606295</v>
      </c>
      <c r="L220" s="137">
        <f>IFERROR(Q220*Simul_ConstruRemo!$BP$30/1000,"")</f>
        <v>254.47654219154521</v>
      </c>
      <c r="M220" s="137">
        <f>IFERROR(IF($E$7="Remodelación",K220*Simul_ConstruRemo!$BS$29,
IF(E220=1,MAX(K220,Q220)*Simul_ConstruRemo!$BS$29,K220*Simul_ConstruRemo!$BQ$29)),"")</f>
        <v>827.2389712662</v>
      </c>
      <c r="N220" s="13">
        <f>IF(C220="","",'Tabla_Puntual&amp;Relacionamiento'!$E$53)</f>
        <v>0.10249999999999999</v>
      </c>
      <c r="O220" s="183"/>
      <c r="P220" s="137">
        <f t="shared" si="44"/>
        <v>15571.715513457746</v>
      </c>
      <c r="Q220" s="137">
        <f t="shared" si="46"/>
        <v>578355.77770805731</v>
      </c>
      <c r="R220" s="37">
        <f t="shared" si="38"/>
        <v>1</v>
      </c>
      <c r="S220" s="137"/>
      <c r="T220" s="137"/>
      <c r="Z220" s="63"/>
      <c r="AA220" s="35">
        <f t="shared" si="41"/>
        <v>15457.613586386546</v>
      </c>
      <c r="AB220" s="63">
        <f>IF(OR(Q220="",Q220&lt;=0.01),"",IF(SUM($F$23:F220)=Simul_ConstruRemo!$I$26,1,0))</f>
        <v>1</v>
      </c>
      <c r="AC220">
        <f t="shared" si="47"/>
        <v>193</v>
      </c>
      <c r="AD220" s="147">
        <f t="shared" si="48"/>
        <v>192</v>
      </c>
      <c r="AF220" t="str">
        <f t="shared" si="40"/>
        <v>Obra Concluida</v>
      </c>
      <c r="AI220">
        <f>IF(SUM($F$23:F219)&gt;=$K$9,1,0)</f>
        <v>1</v>
      </c>
    </row>
    <row r="221" spans="3:35" x14ac:dyDescent="0.25">
      <c r="C221" s="37">
        <f>IFERROR(IF(Q220&lt;=0.01,"",IF(C220+1&gt;Simul_ConstruRemo!$BN$11,"",C220+1)),"")</f>
        <v>199</v>
      </c>
      <c r="D221" s="37" t="str">
        <f>IF(C221&gt;Simul_ConstruRemo!$I$19,"",IF(Simul_ConstruRemo!I259=100%,"",IFERROR(VLOOKUP(C221,Simul_ConstruRemo!$AX$61:$AY$64,2,0),D220)))</f>
        <v/>
      </c>
      <c r="E221" s="136">
        <f>IF(C221="","",IF(AF221="Ministración",Simul_ConstruRemo!BM257,1))</f>
        <v>1</v>
      </c>
      <c r="F221" s="35">
        <f t="shared" si="37"/>
        <v>0</v>
      </c>
      <c r="G221" s="137">
        <f t="shared" si="45"/>
        <v>578355.77770805731</v>
      </c>
      <c r="H221" s="137">
        <f t="shared" si="42"/>
        <v>14490</v>
      </c>
      <c r="I221" s="137">
        <f t="shared" si="43"/>
        <v>9549.8777320770096</v>
      </c>
      <c r="J221" s="137">
        <f t="shared" si="39"/>
        <v>4940.1222679229895</v>
      </c>
      <c r="K221" s="137">
        <f>IF(C221="","",IF(Simul_ConstruRemo!$I$10=Simul_ConstruRemo!$BV$6,(Simul_ConstruRemo!$I$16*0.7+Simul_ConstruRemo!$I$17*0.5),Simul_ConstruRemo!$CO$27))</f>
        <v>2606295</v>
      </c>
      <c r="L221" s="137">
        <f>IFERROR(Q221*Simul_ConstruRemo!$BP$30/1000,"")</f>
        <v>250.2745959894313</v>
      </c>
      <c r="M221" s="137">
        <f>IFERROR(IF($E$7="Remodelación",K221*Simul_ConstruRemo!$BS$29,
IF(E221=1,MAX(K221,Q221)*Simul_ConstruRemo!$BS$29,K221*Simul_ConstruRemo!$BQ$29)),"")</f>
        <v>827.2389712662</v>
      </c>
      <c r="N221" s="13">
        <f>IF(C221="","",'Tabla_Puntual&amp;Relacionamiento'!$E$53)</f>
        <v>0.10249999999999999</v>
      </c>
      <c r="O221" s="183"/>
      <c r="P221" s="137">
        <f t="shared" si="44"/>
        <v>15567.513567255632</v>
      </c>
      <c r="Q221" s="137">
        <f t="shared" si="46"/>
        <v>568805.89997598028</v>
      </c>
      <c r="R221" s="37">
        <f t="shared" si="38"/>
        <v>1</v>
      </c>
      <c r="S221" s="137"/>
      <c r="T221" s="137"/>
      <c r="Z221" s="63"/>
      <c r="AA221" s="35">
        <f t="shared" si="41"/>
        <v>15453.411640184431</v>
      </c>
      <c r="AB221" s="63">
        <f>IF(OR(Q221="",Q221&lt;=0.01),"",IF(SUM($F$23:F221)=Simul_ConstruRemo!$I$26,1,0))</f>
        <v>1</v>
      </c>
      <c r="AC221">
        <f t="shared" si="47"/>
        <v>194</v>
      </c>
      <c r="AD221" s="147">
        <f t="shared" si="48"/>
        <v>193</v>
      </c>
      <c r="AF221" t="str">
        <f t="shared" si="40"/>
        <v>Obra Concluida</v>
      </c>
      <c r="AI221">
        <f>IF(SUM($F$23:F220)&gt;=$K$9,1,0)</f>
        <v>1</v>
      </c>
    </row>
    <row r="222" spans="3:35" x14ac:dyDescent="0.25">
      <c r="C222" s="37">
        <f>IFERROR(IF(Q221&lt;=0.01,"",IF(C221+1&gt;Simul_ConstruRemo!$BN$11,"",C221+1)),"")</f>
        <v>200</v>
      </c>
      <c r="D222" s="37" t="str">
        <f>IF(C222&gt;Simul_ConstruRemo!$I$19,"",IF(Simul_ConstruRemo!I260=100%,"",IFERROR(VLOOKUP(C222,Simul_ConstruRemo!$AX$61:$AY$64,2,0),D221)))</f>
        <v/>
      </c>
      <c r="E222" s="136">
        <f>IF(C222="","",IF(AF222="Ministración",Simul_ConstruRemo!BM258,1))</f>
        <v>1</v>
      </c>
      <c r="F222" s="35">
        <f t="shared" si="37"/>
        <v>0</v>
      </c>
      <c r="G222" s="137">
        <f t="shared" si="45"/>
        <v>568805.89997598028</v>
      </c>
      <c r="H222" s="137">
        <f t="shared" si="42"/>
        <v>14490</v>
      </c>
      <c r="I222" s="137">
        <f t="shared" si="43"/>
        <v>9631.4496043718354</v>
      </c>
      <c r="J222" s="137">
        <f t="shared" si="39"/>
        <v>4858.5503956281646</v>
      </c>
      <c r="K222" s="137">
        <f>IF(C222="","",IF(Simul_ConstruRemo!$I$10=Simul_ConstruRemo!$BV$6,(Simul_ConstruRemo!$I$16*0.7+Simul_ConstruRemo!$I$17*0.5),Simul_ConstruRemo!$CO$27))</f>
        <v>2606295</v>
      </c>
      <c r="L222" s="137">
        <f>IFERROR(Q222*Simul_ConstruRemo!$BP$30/1000,"")</f>
        <v>246.03675816350773</v>
      </c>
      <c r="M222" s="137">
        <f>IFERROR(IF($E$7="Remodelación",K222*Simul_ConstruRemo!$BS$29,
IF(E222=1,MAX(K222,Q222)*Simul_ConstruRemo!$BS$29,K222*Simul_ConstruRemo!$BQ$29)),"")</f>
        <v>827.2389712662</v>
      </c>
      <c r="N222" s="13">
        <f>IF(C222="","",'Tabla_Puntual&amp;Relacionamiento'!$E$53)</f>
        <v>0.10249999999999999</v>
      </c>
      <c r="O222" s="183"/>
      <c r="P222" s="137">
        <f t="shared" si="44"/>
        <v>15563.275729429708</v>
      </c>
      <c r="Q222" s="137">
        <f t="shared" si="46"/>
        <v>559174.45037160849</v>
      </c>
      <c r="R222" s="37">
        <f t="shared" si="38"/>
        <v>1</v>
      </c>
      <c r="S222" s="137"/>
      <c r="T222" s="137"/>
      <c r="Z222" s="63"/>
      <c r="AA222" s="35">
        <f t="shared" si="41"/>
        <v>15449.173802358508</v>
      </c>
      <c r="AB222" s="63">
        <f>IF(OR(Q222="",Q222&lt;=0.01),"",IF(SUM($F$23:F222)=Simul_ConstruRemo!$I$26,1,0))</f>
        <v>1</v>
      </c>
      <c r="AC222">
        <f t="shared" si="47"/>
        <v>195</v>
      </c>
      <c r="AD222" s="147">
        <f t="shared" si="48"/>
        <v>194</v>
      </c>
      <c r="AF222" t="str">
        <f t="shared" si="40"/>
        <v>Obra Concluida</v>
      </c>
      <c r="AI222">
        <f>IF(SUM($F$23:F221)&gt;=$K$9,1,0)</f>
        <v>1</v>
      </c>
    </row>
    <row r="223" spans="3:35" x14ac:dyDescent="0.25">
      <c r="C223" s="37">
        <f>IFERROR(IF(Q222&lt;=0.01,"",IF(C222+1&gt;Simul_ConstruRemo!$BN$11,"",C222+1)),"")</f>
        <v>201</v>
      </c>
      <c r="D223" s="37" t="str">
        <f>IF(C223&gt;Simul_ConstruRemo!$I$19,"",IF(Simul_ConstruRemo!I261=100%,"",IFERROR(VLOOKUP(C223,Simul_ConstruRemo!$AX$61:$AY$64,2,0),D222)))</f>
        <v/>
      </c>
      <c r="E223" s="136">
        <f>IF(C223="","",IF(AF223="Ministración",Simul_ConstruRemo!BM259,1))</f>
        <v>1</v>
      </c>
      <c r="F223" s="35">
        <f t="shared" si="37"/>
        <v>0</v>
      </c>
      <c r="G223" s="137">
        <f t="shared" si="45"/>
        <v>559174.45037160849</v>
      </c>
      <c r="H223" s="137">
        <f t="shared" si="42"/>
        <v>14490</v>
      </c>
      <c r="I223" s="137">
        <f t="shared" si="43"/>
        <v>9713.7182364091786</v>
      </c>
      <c r="J223" s="137">
        <f t="shared" si="39"/>
        <v>4776.2817635908223</v>
      </c>
      <c r="K223" s="137">
        <f>IF(C223="","",IF(Simul_ConstruRemo!$I$10=Simul_ConstruRemo!$BV$6,(Simul_ConstruRemo!$I$16*0.7+Simul_ConstruRemo!$I$17*0.5),Simul_ConstruRemo!$CO$27))</f>
        <v>2606295</v>
      </c>
      <c r="L223" s="137">
        <f>IFERROR(Q223*Simul_ConstruRemo!$BP$30/1000,"")</f>
        <v>241.76272213948772</v>
      </c>
      <c r="M223" s="137">
        <f>IFERROR(IF($E$7="Remodelación",K223*Simul_ConstruRemo!$BS$29,
IF(E223=1,MAX(K223,Q223)*Simul_ConstruRemo!$BS$29,K223*Simul_ConstruRemo!$BQ$29)),"")</f>
        <v>827.2389712662</v>
      </c>
      <c r="N223" s="13">
        <f>IF(C223="","",'Tabla_Puntual&amp;Relacionamiento'!$E$53)</f>
        <v>0.10249999999999999</v>
      </c>
      <c r="O223" s="183"/>
      <c r="P223" s="137">
        <f t="shared" si="44"/>
        <v>15559.001693405688</v>
      </c>
      <c r="Q223" s="137">
        <f t="shared" si="46"/>
        <v>549460.73213519936</v>
      </c>
      <c r="R223" s="37">
        <f t="shared" si="38"/>
        <v>1</v>
      </c>
      <c r="S223" s="137"/>
      <c r="T223" s="137"/>
      <c r="Z223" s="63"/>
      <c r="AA223" s="35">
        <f t="shared" si="41"/>
        <v>15444.899766334487</v>
      </c>
      <c r="AB223" s="63">
        <f>IF(OR(Q223="",Q223&lt;=0.01),"",IF(SUM($F$23:F223)=Simul_ConstruRemo!$I$26,1,0))</f>
        <v>1</v>
      </c>
      <c r="AC223">
        <f t="shared" si="47"/>
        <v>196</v>
      </c>
      <c r="AD223" s="147">
        <f t="shared" si="48"/>
        <v>195</v>
      </c>
      <c r="AF223" t="str">
        <f t="shared" si="40"/>
        <v>Obra Concluida</v>
      </c>
      <c r="AI223">
        <f>IF(SUM($F$23:F222)&gt;=$K$9,1,0)</f>
        <v>1</v>
      </c>
    </row>
    <row r="224" spans="3:35" x14ac:dyDescent="0.25">
      <c r="C224" s="37">
        <f>IFERROR(IF(Q223&lt;=0.01,"",IF(C223+1&gt;Simul_ConstruRemo!$BN$11,"",C223+1)),"")</f>
        <v>202</v>
      </c>
      <c r="D224" s="37" t="str">
        <f>IF(C224&gt;Simul_ConstruRemo!$I$19,"",IF(Simul_ConstruRemo!I262=100%,"",IFERROR(VLOOKUP(C224,Simul_ConstruRemo!$AX$61:$AY$64,2,0),D223)))</f>
        <v/>
      </c>
      <c r="E224" s="136">
        <f>IF(C224="","",IF(AF224="Ministración",Simul_ConstruRemo!BM260,1))</f>
        <v>1</v>
      </c>
      <c r="F224" s="35">
        <f t="shared" si="37"/>
        <v>0</v>
      </c>
      <c r="G224" s="137">
        <f t="shared" si="45"/>
        <v>549460.73213519936</v>
      </c>
      <c r="H224" s="137">
        <f t="shared" si="42"/>
        <v>14490</v>
      </c>
      <c r="I224" s="137">
        <f t="shared" si="43"/>
        <v>9796.6895796785066</v>
      </c>
      <c r="J224" s="137">
        <f t="shared" si="39"/>
        <v>4693.3104203214943</v>
      </c>
      <c r="K224" s="137">
        <f>IF(C224="","",IF(Simul_ConstruRemo!$I$10=Simul_ConstruRemo!$BV$6,(Simul_ConstruRemo!$I$16*0.7+Simul_ConstruRemo!$I$17*0.5),Simul_ConstruRemo!$CO$27))</f>
        <v>2606295</v>
      </c>
      <c r="L224" s="137">
        <f>IFERROR(Q224*Simul_ConstruRemo!$BP$30/1000,"")</f>
        <v>237.45217872442919</v>
      </c>
      <c r="M224" s="137">
        <f>IFERROR(IF($E$7="Remodelación",K224*Simul_ConstruRemo!$BS$29,
IF(E224=1,MAX(K224,Q224)*Simul_ConstruRemo!$BS$29,K224*Simul_ConstruRemo!$BQ$29)),"")</f>
        <v>827.2389712662</v>
      </c>
      <c r="N224" s="13">
        <f>IF(C224="","",'Tabla_Puntual&amp;Relacionamiento'!$E$53)</f>
        <v>0.10249999999999999</v>
      </c>
      <c r="O224" s="183"/>
      <c r="P224" s="137">
        <f t="shared" si="44"/>
        <v>15554.691149990629</v>
      </c>
      <c r="Q224" s="137">
        <f t="shared" si="46"/>
        <v>539664.04255552089</v>
      </c>
      <c r="R224" s="37">
        <f t="shared" si="38"/>
        <v>1</v>
      </c>
      <c r="S224" s="137"/>
      <c r="T224" s="137"/>
      <c r="Z224" s="63"/>
      <c r="AA224" s="35">
        <f t="shared" si="41"/>
        <v>15440.589222919429</v>
      </c>
      <c r="AB224" s="63">
        <f>IF(OR(Q224="",Q224&lt;=0.01),"",IF(SUM($F$23:F224)=Simul_ConstruRemo!$I$26,1,0))</f>
        <v>1</v>
      </c>
      <c r="AC224">
        <f t="shared" si="47"/>
        <v>197</v>
      </c>
      <c r="AD224" s="147">
        <f t="shared" si="48"/>
        <v>196</v>
      </c>
      <c r="AF224" t="str">
        <f t="shared" si="40"/>
        <v>Obra Concluida</v>
      </c>
      <c r="AI224">
        <f>IF(SUM($F$23:F223)&gt;=$K$9,1,0)</f>
        <v>1</v>
      </c>
    </row>
    <row r="225" spans="3:35" x14ac:dyDescent="0.25">
      <c r="C225" s="37">
        <f>IFERROR(IF(Q224&lt;=0.01,"",IF(C224+1&gt;Simul_ConstruRemo!$BN$11,"",C224+1)),"")</f>
        <v>203</v>
      </c>
      <c r="D225" s="37" t="str">
        <f>IF(C225&gt;Simul_ConstruRemo!$I$19,"",IF(Simul_ConstruRemo!I263=100%,"",IFERROR(VLOOKUP(C225,Simul_ConstruRemo!$AX$61:$AY$64,2,0),D224)))</f>
        <v/>
      </c>
      <c r="E225" s="136">
        <f>IF(C225="","",IF(AF225="Ministración",Simul_ConstruRemo!BM261,1))</f>
        <v>1</v>
      </c>
      <c r="F225" s="35">
        <f t="shared" si="37"/>
        <v>0</v>
      </c>
      <c r="G225" s="137">
        <f t="shared" si="45"/>
        <v>539664.04255552089</v>
      </c>
      <c r="H225" s="137">
        <f t="shared" si="42"/>
        <v>14490</v>
      </c>
      <c r="I225" s="137">
        <f t="shared" si="43"/>
        <v>9880.3696365049254</v>
      </c>
      <c r="J225" s="137">
        <f t="shared" si="39"/>
        <v>4609.6303634950737</v>
      </c>
      <c r="K225" s="137">
        <f>IF(C225="","",IF(Simul_ConstruRemo!$I$10=Simul_ConstruRemo!$BV$6,(Simul_ConstruRemo!$I$16*0.7+Simul_ConstruRemo!$I$17*0.5),Simul_ConstruRemo!$CO$27))</f>
        <v>2606295</v>
      </c>
      <c r="L225" s="137">
        <f>IFERROR(Q225*Simul_ConstruRemo!$BP$30/1000,"")</f>
        <v>233.10481608436703</v>
      </c>
      <c r="M225" s="137">
        <f>IFERROR(IF($E$7="Remodelación",K225*Simul_ConstruRemo!$BS$29,
IF(E225=1,MAX(K225,Q225)*Simul_ConstruRemo!$BS$29,K225*Simul_ConstruRemo!$BQ$29)),"")</f>
        <v>827.2389712662</v>
      </c>
      <c r="N225" s="13">
        <f>IF(C225="","",'Tabla_Puntual&amp;Relacionamiento'!$E$53)</f>
        <v>0.10249999999999999</v>
      </c>
      <c r="O225" s="183"/>
      <c r="P225" s="137">
        <f t="shared" si="44"/>
        <v>15550.343787350568</v>
      </c>
      <c r="Q225" s="137">
        <f t="shared" si="46"/>
        <v>529783.67291901598</v>
      </c>
      <c r="R225" s="37">
        <f t="shared" si="38"/>
        <v>1</v>
      </c>
      <c r="S225" s="137"/>
      <c r="T225" s="137"/>
      <c r="Z225" s="63"/>
      <c r="AA225" s="35">
        <f t="shared" si="41"/>
        <v>15436.241860279368</v>
      </c>
      <c r="AB225" s="63">
        <f>IF(OR(Q225="",Q225&lt;=0.01),"",IF(SUM($F$23:F225)=Simul_ConstruRemo!$I$26,1,0))</f>
        <v>1</v>
      </c>
      <c r="AC225">
        <f t="shared" si="47"/>
        <v>198</v>
      </c>
      <c r="AD225" s="147">
        <f t="shared" si="48"/>
        <v>197</v>
      </c>
      <c r="AF225" t="str">
        <f t="shared" si="40"/>
        <v>Obra Concluida</v>
      </c>
      <c r="AI225">
        <f>IF(SUM($F$23:F224)&gt;=$K$9,1,0)</f>
        <v>1</v>
      </c>
    </row>
    <row r="226" spans="3:35" x14ac:dyDescent="0.25">
      <c r="C226" s="37">
        <f>IFERROR(IF(Q225&lt;=0.01,"",IF(C225+1&gt;Simul_ConstruRemo!$BN$11,"",C225+1)),"")</f>
        <v>204</v>
      </c>
      <c r="D226" s="37" t="str">
        <f>IF(C226&gt;Simul_ConstruRemo!$I$19,"",IF(Simul_ConstruRemo!I264=100%,"",IFERROR(VLOOKUP(C226,Simul_ConstruRemo!$AX$61:$AY$64,2,0),D225)))</f>
        <v/>
      </c>
      <c r="E226" s="136">
        <f>IF(C226="","",IF(AF226="Ministración",Simul_ConstruRemo!BM262,1))</f>
        <v>1</v>
      </c>
      <c r="F226" s="35">
        <f t="shared" si="37"/>
        <v>0</v>
      </c>
      <c r="G226" s="137">
        <f t="shared" si="45"/>
        <v>529783.67291901598</v>
      </c>
      <c r="H226" s="137">
        <f t="shared" si="42"/>
        <v>14490</v>
      </c>
      <c r="I226" s="137">
        <f t="shared" si="43"/>
        <v>9964.7644604834059</v>
      </c>
      <c r="J226" s="137">
        <f t="shared" si="39"/>
        <v>4525.2355395165951</v>
      </c>
      <c r="K226" s="137">
        <f>IF(C226="","",IF(Simul_ConstruRemo!$I$10=Simul_ConstruRemo!$BV$6,(Simul_ConstruRemo!$I$16*0.7+Simul_ConstruRemo!$I$17*0.5),Simul_ConstruRemo!$CO$27))</f>
        <v>2606295</v>
      </c>
      <c r="L226" s="137">
        <f>IFERROR(Q226*Simul_ConstruRemo!$BP$30/1000,"")</f>
        <v>228.72031972175435</v>
      </c>
      <c r="M226" s="137">
        <f>IFERROR(IF($E$7="Remodelación",K226*Simul_ConstruRemo!$BS$29,
IF(E226=1,MAX(K226,Q226)*Simul_ConstruRemo!$BS$29,K226*Simul_ConstruRemo!$BQ$29)),"")</f>
        <v>827.2389712662</v>
      </c>
      <c r="N226" s="13">
        <f>IF(C226="","",'Tabla_Puntual&amp;Relacionamiento'!$E$53)</f>
        <v>0.10249999999999999</v>
      </c>
      <c r="O226" s="183"/>
      <c r="P226" s="137">
        <f t="shared" si="44"/>
        <v>15545.959290987956</v>
      </c>
      <c r="Q226" s="137">
        <f t="shared" si="46"/>
        <v>519818.90845853259</v>
      </c>
      <c r="R226" s="37">
        <f t="shared" si="38"/>
        <v>1</v>
      </c>
      <c r="S226" s="137"/>
      <c r="T226" s="137"/>
      <c r="Z226" s="63"/>
      <c r="AA226" s="35">
        <f t="shared" si="41"/>
        <v>15431.857363916755</v>
      </c>
      <c r="AB226" s="63">
        <f>IF(OR(Q226="",Q226&lt;=0.01),"",IF(SUM($F$23:F226)=Simul_ConstruRemo!$I$26,1,0))</f>
        <v>1</v>
      </c>
      <c r="AC226">
        <f t="shared" si="47"/>
        <v>199</v>
      </c>
      <c r="AD226" s="147">
        <f t="shared" si="48"/>
        <v>198</v>
      </c>
      <c r="AF226" t="str">
        <f t="shared" si="40"/>
        <v>Obra Concluida</v>
      </c>
      <c r="AI226">
        <f>IF(SUM($F$23:F225)&gt;=$K$9,1,0)</f>
        <v>1</v>
      </c>
    </row>
    <row r="227" spans="3:35" x14ac:dyDescent="0.25">
      <c r="C227" s="37">
        <f>IFERROR(IF(Q226&lt;=0.01,"",IF(C226+1&gt;Simul_ConstruRemo!$BN$11,"",C226+1)),"")</f>
        <v>205</v>
      </c>
      <c r="D227" s="37" t="str">
        <f>IF(C227&gt;Simul_ConstruRemo!$I$19,"",IF(Simul_ConstruRemo!I265=100%,"",IFERROR(VLOOKUP(C227,Simul_ConstruRemo!$AX$61:$AY$64,2,0),D226)))</f>
        <v/>
      </c>
      <c r="E227" s="136">
        <f>IF(C227="","",IF(AF227="Ministración",Simul_ConstruRemo!BM263,1))</f>
        <v>1</v>
      </c>
      <c r="F227" s="35">
        <f t="shared" si="37"/>
        <v>0</v>
      </c>
      <c r="G227" s="137">
        <f t="shared" si="45"/>
        <v>519818.90845853259</v>
      </c>
      <c r="H227" s="137">
        <f t="shared" si="42"/>
        <v>14490</v>
      </c>
      <c r="I227" s="137">
        <f t="shared" si="43"/>
        <v>10049.880156916701</v>
      </c>
      <c r="J227" s="137">
        <f t="shared" si="39"/>
        <v>4440.1198430832992</v>
      </c>
      <c r="K227" s="137">
        <f>IF(C227="","",IF(Simul_ConstruRemo!$I$10=Simul_ConstruRemo!$BV$6,(Simul_ConstruRemo!$I$16*0.7+Simul_ConstruRemo!$I$17*0.5),Simul_ConstruRemo!$CO$27))</f>
        <v>2606295</v>
      </c>
      <c r="L227" s="137">
        <f>IFERROR(Q227*Simul_ConstruRemo!$BP$30/1000,"")</f>
        <v>224.29837245271099</v>
      </c>
      <c r="M227" s="137">
        <f>IFERROR(IF($E$7="Remodelación",K227*Simul_ConstruRemo!$BS$29,
IF(E227=1,MAX(K227,Q227)*Simul_ConstruRemo!$BS$29,K227*Simul_ConstruRemo!$BQ$29)),"")</f>
        <v>827.2389712662</v>
      </c>
      <c r="N227" s="13">
        <f>IF(C227="","",'Tabla_Puntual&amp;Relacionamiento'!$E$54)</f>
        <v>0.10249999999999999</v>
      </c>
      <c r="O227" s="183"/>
      <c r="P227" s="137">
        <f t="shared" si="44"/>
        <v>15541.537343718912</v>
      </c>
      <c r="Q227" s="137">
        <f t="shared" si="46"/>
        <v>509769.02830161591</v>
      </c>
      <c r="R227" s="37">
        <f t="shared" si="38"/>
        <v>1</v>
      </c>
      <c r="S227" s="137"/>
      <c r="T227" s="137"/>
      <c r="Z227" s="63"/>
      <c r="AA227" s="35">
        <f t="shared" si="41"/>
        <v>15427.435416647711</v>
      </c>
      <c r="AB227" s="63">
        <f>IF(OR(Q227="",Q227&lt;=0.01),"",IF(SUM($F$23:F227)=Simul_ConstruRemo!$I$26,1,0))</f>
        <v>1</v>
      </c>
      <c r="AC227">
        <f t="shared" si="47"/>
        <v>200</v>
      </c>
      <c r="AD227" s="147">
        <f t="shared" si="48"/>
        <v>199</v>
      </c>
      <c r="AF227" t="str">
        <f t="shared" si="40"/>
        <v>Obra Concluida</v>
      </c>
      <c r="AI227">
        <f>IF(SUM($F$23:F226)&gt;=$K$9,1,0)</f>
        <v>1</v>
      </c>
    </row>
    <row r="228" spans="3:35" x14ac:dyDescent="0.25">
      <c r="C228" s="37">
        <f>IFERROR(IF(Q227&lt;=0.01,"",IF(C227+1&gt;Simul_ConstruRemo!$BN$11,"",C227+1)),"")</f>
        <v>206</v>
      </c>
      <c r="D228" s="37" t="str">
        <f>IF(C228&gt;Simul_ConstruRemo!$I$19,"",IF(Simul_ConstruRemo!I266=100%,"",IFERROR(VLOOKUP(C228,Simul_ConstruRemo!$AX$61:$AY$64,2,0),D227)))</f>
        <v/>
      </c>
      <c r="E228" s="136">
        <f>IF(C228="","",IF(AF228="Ministración",Simul_ConstruRemo!BM264,1))</f>
        <v>1</v>
      </c>
      <c r="F228" s="35">
        <f t="shared" si="37"/>
        <v>0</v>
      </c>
      <c r="G228" s="137">
        <f t="shared" si="45"/>
        <v>509769.02830161591</v>
      </c>
      <c r="H228" s="137">
        <f t="shared" si="42"/>
        <v>14490</v>
      </c>
      <c r="I228" s="137">
        <f t="shared" si="43"/>
        <v>10135.722883257031</v>
      </c>
      <c r="J228" s="137">
        <f t="shared" si="39"/>
        <v>4354.2771167429692</v>
      </c>
      <c r="K228" s="137">
        <f>IF(C228="","",IF(Simul_ConstruRemo!$I$10=Simul_ConstruRemo!$BV$6,(Simul_ConstruRemo!$I$16*0.7+Simul_ConstruRemo!$I$17*0.5),Simul_ConstruRemo!$CO$27))</f>
        <v>2606295</v>
      </c>
      <c r="L228" s="137">
        <f>IFERROR(Q228*Simul_ConstruRemo!$BP$30/1000,"")</f>
        <v>219.8386543840779</v>
      </c>
      <c r="M228" s="137">
        <f>IFERROR(IF($E$7="Remodelación",K228*Simul_ConstruRemo!$BS$29,
IF(E228=1,MAX(K228,Q228)*Simul_ConstruRemo!$BS$29,K228*Simul_ConstruRemo!$BQ$29)),"")</f>
        <v>827.2389712662</v>
      </c>
      <c r="N228" s="13">
        <f>IF(C228="","",'Tabla_Puntual&amp;Relacionamiento'!$E$54)</f>
        <v>0.10249999999999999</v>
      </c>
      <c r="O228" s="183"/>
      <c r="P228" s="137">
        <f t="shared" si="44"/>
        <v>15537.077625650278</v>
      </c>
      <c r="Q228" s="137">
        <f t="shared" si="46"/>
        <v>499633.30541835888</v>
      </c>
      <c r="R228" s="37">
        <f t="shared" si="38"/>
        <v>1</v>
      </c>
      <c r="S228" s="137"/>
      <c r="T228" s="137"/>
      <c r="Z228" s="63"/>
      <c r="AA228" s="35">
        <f t="shared" si="41"/>
        <v>15422.975698579077</v>
      </c>
      <c r="AB228" s="63">
        <f>IF(OR(Q228="",Q228&lt;=0.01),"",IF(SUM($F$23:F228)=Simul_ConstruRemo!$I$26,1,0))</f>
        <v>1</v>
      </c>
      <c r="AC228">
        <f t="shared" si="47"/>
        <v>201</v>
      </c>
      <c r="AD228" s="147">
        <f t="shared" si="48"/>
        <v>200</v>
      </c>
      <c r="AF228" t="str">
        <f t="shared" si="40"/>
        <v>Obra Concluida</v>
      </c>
      <c r="AI228">
        <f>IF(SUM($F$23:F227)&gt;=$K$9,1,0)</f>
        <v>1</v>
      </c>
    </row>
    <row r="229" spans="3:35" x14ac:dyDescent="0.25">
      <c r="C229" s="37">
        <f>IFERROR(IF(Q228&lt;=0.01,"",IF(C228+1&gt;Simul_ConstruRemo!$BN$11,"",C228+1)),"")</f>
        <v>207</v>
      </c>
      <c r="D229" s="37" t="str">
        <f>IF(C229&gt;Simul_ConstruRemo!$I$19,"",IF(Simul_ConstruRemo!I267=100%,"",IFERROR(VLOOKUP(C229,Simul_ConstruRemo!$AX$61:$AY$64,2,0),D228)))</f>
        <v/>
      </c>
      <c r="E229" s="136">
        <f>IF(C229="","",IF(AF229="Ministración",Simul_ConstruRemo!BM265,1))</f>
        <v>1</v>
      </c>
      <c r="F229" s="35">
        <f t="shared" si="37"/>
        <v>0</v>
      </c>
      <c r="G229" s="137">
        <f t="shared" si="45"/>
        <v>499633.30541835888</v>
      </c>
      <c r="H229" s="137">
        <f t="shared" si="42"/>
        <v>14490</v>
      </c>
      <c r="I229" s="137">
        <f t="shared" si="43"/>
        <v>10222.298849551518</v>
      </c>
      <c r="J229" s="137">
        <f t="shared" si="39"/>
        <v>4267.7011504484817</v>
      </c>
      <c r="K229" s="137">
        <f>IF(C229="","",IF(Simul_ConstruRemo!$I$10=Simul_ConstruRemo!$BV$6,(Simul_ConstruRemo!$I$16*0.7+Simul_ConstruRemo!$I$17*0.5),Simul_ConstruRemo!$CO$27))</f>
        <v>2606295</v>
      </c>
      <c r="L229" s="137">
        <f>IFERROR(Q229*Simul_ConstruRemo!$BP$30/1000,"")</f>
        <v>215.34084289027524</v>
      </c>
      <c r="M229" s="137">
        <f>IFERROR(IF($E$7="Remodelación",K229*Simul_ConstruRemo!$BS$29,
IF(E229=1,MAX(K229,Q229)*Simul_ConstruRemo!$BS$29,K229*Simul_ConstruRemo!$BQ$29)),"")</f>
        <v>827.2389712662</v>
      </c>
      <c r="N229" s="13">
        <f>IF(C229="","",'Tabla_Puntual&amp;Relacionamiento'!$E$54)</f>
        <v>0.10249999999999999</v>
      </c>
      <c r="O229" s="183"/>
      <c r="P229" s="137">
        <f t="shared" si="44"/>
        <v>15532.579814156476</v>
      </c>
      <c r="Q229" s="137">
        <f t="shared" si="46"/>
        <v>489411.00656880735</v>
      </c>
      <c r="R229" s="37">
        <f t="shared" si="38"/>
        <v>1</v>
      </c>
      <c r="S229" s="137"/>
      <c r="T229" s="137"/>
      <c r="Z229" s="63"/>
      <c r="AA229" s="35">
        <f t="shared" si="41"/>
        <v>15418.477887085275</v>
      </c>
      <c r="AB229" s="63">
        <f>IF(OR(Q229="",Q229&lt;=0.01),"",IF(SUM($F$23:F229)=Simul_ConstruRemo!$I$26,1,0))</f>
        <v>1</v>
      </c>
      <c r="AC229">
        <f t="shared" si="47"/>
        <v>202</v>
      </c>
      <c r="AD229" s="147">
        <f t="shared" si="48"/>
        <v>201</v>
      </c>
      <c r="AF229" t="str">
        <f t="shared" si="40"/>
        <v>Obra Concluida</v>
      </c>
      <c r="AI229">
        <f>IF(SUM($F$23:F228)&gt;=$K$9,1,0)</f>
        <v>1</v>
      </c>
    </row>
    <row r="230" spans="3:35" x14ac:dyDescent="0.25">
      <c r="C230" s="37">
        <f>IFERROR(IF(Q229&lt;=0.01,"",IF(C229+1&gt;Simul_ConstruRemo!$BN$11,"",C229+1)),"")</f>
        <v>208</v>
      </c>
      <c r="D230" s="37" t="str">
        <f>IF(C230&gt;Simul_ConstruRemo!$I$19,"",IF(Simul_ConstruRemo!I268=100%,"",IFERROR(VLOOKUP(C230,Simul_ConstruRemo!$AX$61:$AY$64,2,0),D229)))</f>
        <v/>
      </c>
      <c r="E230" s="136">
        <f>IF(C230="","",IF(AF230="Ministración",Simul_ConstruRemo!BM266,1))</f>
        <v>1</v>
      </c>
      <c r="F230" s="35">
        <f t="shared" si="37"/>
        <v>0</v>
      </c>
      <c r="G230" s="137">
        <f t="shared" si="45"/>
        <v>489411.00656880735</v>
      </c>
      <c r="H230" s="137">
        <f t="shared" si="42"/>
        <v>14490</v>
      </c>
      <c r="I230" s="137">
        <f t="shared" si="43"/>
        <v>10309.614318891438</v>
      </c>
      <c r="J230" s="137">
        <f t="shared" si="39"/>
        <v>4180.3856811085625</v>
      </c>
      <c r="K230" s="137">
        <f>IF(C230="","",IF(Simul_ConstruRemo!$I$10=Simul_ConstruRemo!$BV$6,(Simul_ConstruRemo!$I$16*0.7+Simul_ConstruRemo!$I$17*0.5),Simul_ConstruRemo!$CO$27))</f>
        <v>2606295</v>
      </c>
      <c r="L230" s="137">
        <f>IFERROR(Q230*Simul_ConstruRemo!$BP$30/1000,"")</f>
        <v>210.804612589963</v>
      </c>
      <c r="M230" s="137">
        <f>IFERROR(IF($E$7="Remodelación",K230*Simul_ConstruRemo!$BS$29,
IF(E230=1,MAX(K230,Q230)*Simul_ConstruRemo!$BS$29,K230*Simul_ConstruRemo!$BQ$29)),"")</f>
        <v>827.2389712662</v>
      </c>
      <c r="N230" s="13">
        <f>IF(C230="","",'Tabla_Puntual&amp;Relacionamiento'!$E$54)</f>
        <v>0.10249999999999999</v>
      </c>
      <c r="O230" s="183"/>
      <c r="P230" s="137">
        <f t="shared" si="44"/>
        <v>15528.043583856164</v>
      </c>
      <c r="Q230" s="137">
        <f t="shared" si="46"/>
        <v>479101.39224991592</v>
      </c>
      <c r="R230" s="37">
        <f t="shared" si="38"/>
        <v>1</v>
      </c>
      <c r="S230" s="137"/>
      <c r="T230" s="137"/>
      <c r="Z230" s="63"/>
      <c r="AA230" s="35">
        <f t="shared" si="41"/>
        <v>15413.941656784964</v>
      </c>
      <c r="AB230" s="63">
        <f>IF(OR(Q230="",Q230&lt;=0.01),"",IF(SUM($F$23:F230)=Simul_ConstruRemo!$I$26,1,0))</f>
        <v>1</v>
      </c>
      <c r="AC230">
        <f t="shared" si="47"/>
        <v>203</v>
      </c>
      <c r="AD230" s="147">
        <f t="shared" si="48"/>
        <v>202</v>
      </c>
      <c r="AF230" t="str">
        <f t="shared" si="40"/>
        <v>Obra Concluida</v>
      </c>
      <c r="AI230">
        <f>IF(SUM($F$23:F229)&gt;=$K$9,1,0)</f>
        <v>1</v>
      </c>
    </row>
    <row r="231" spans="3:35" x14ac:dyDescent="0.25">
      <c r="C231" s="37">
        <f>IFERROR(IF(Q230&lt;=0.01,"",IF(C230+1&gt;Simul_ConstruRemo!$BN$11,"",C230+1)),"")</f>
        <v>209</v>
      </c>
      <c r="D231" s="37" t="str">
        <f>IF(C231&gt;Simul_ConstruRemo!$I$19,"",IF(Simul_ConstruRemo!I269=100%,"",IFERROR(VLOOKUP(C231,Simul_ConstruRemo!$AX$61:$AY$64,2,0),D230)))</f>
        <v/>
      </c>
      <c r="E231" s="136">
        <f>IF(C231="","",IF(AF231="Ministración",Simul_ConstruRemo!BM267,1))</f>
        <v>1</v>
      </c>
      <c r="F231" s="35">
        <f t="shared" si="37"/>
        <v>0</v>
      </c>
      <c r="G231" s="137">
        <f t="shared" si="45"/>
        <v>479101.39224991592</v>
      </c>
      <c r="H231" s="137">
        <f t="shared" si="42"/>
        <v>14490</v>
      </c>
      <c r="I231" s="137">
        <f t="shared" si="43"/>
        <v>10397.675607865302</v>
      </c>
      <c r="J231" s="137">
        <f t="shared" si="39"/>
        <v>4092.3243921346984</v>
      </c>
      <c r="K231" s="137">
        <f>IF(C231="","",IF(Simul_ConstruRemo!$I$10=Simul_ConstruRemo!$BV$6,(Simul_ConstruRemo!$I$16*0.7+Simul_ConstruRemo!$I$17*0.5),Simul_ConstruRemo!$CO$27))</f>
        <v>2606295</v>
      </c>
      <c r="L231" s="137">
        <f>IFERROR(Q231*Simul_ConstruRemo!$BP$30/1000,"")</f>
        <v>206.22963532250225</v>
      </c>
      <c r="M231" s="137">
        <f>IFERROR(IF($E$7="Remodelación",K231*Simul_ConstruRemo!$BS$29,
IF(E231=1,MAX(K231,Q231)*Simul_ConstruRemo!$BS$29,K231*Simul_ConstruRemo!$BQ$29)),"")</f>
        <v>827.2389712662</v>
      </c>
      <c r="N231" s="13">
        <f>IF(C231="","",'Tabla_Puntual&amp;Relacionamiento'!$E$54)</f>
        <v>0.10249999999999999</v>
      </c>
      <c r="O231" s="183"/>
      <c r="P231" s="137">
        <f t="shared" si="44"/>
        <v>15523.468606588704</v>
      </c>
      <c r="Q231" s="137">
        <f t="shared" si="46"/>
        <v>468703.7166420506</v>
      </c>
      <c r="R231" s="37">
        <f t="shared" si="38"/>
        <v>1</v>
      </c>
      <c r="S231" s="137"/>
      <c r="T231" s="137"/>
      <c r="Z231" s="63"/>
      <c r="AA231" s="35">
        <f t="shared" si="41"/>
        <v>15409.366679517503</v>
      </c>
      <c r="AB231" s="63">
        <f>IF(OR(Q231="",Q231&lt;=0.01),"",IF(SUM($F$23:F231)=Simul_ConstruRemo!$I$26,1,0))</f>
        <v>1</v>
      </c>
      <c r="AC231">
        <f t="shared" si="47"/>
        <v>204</v>
      </c>
      <c r="AD231" s="147">
        <f t="shared" si="48"/>
        <v>203</v>
      </c>
      <c r="AF231" t="str">
        <f t="shared" si="40"/>
        <v>Obra Concluida</v>
      </c>
      <c r="AI231">
        <f>IF(SUM($F$23:F230)&gt;=$K$9,1,0)</f>
        <v>1</v>
      </c>
    </row>
    <row r="232" spans="3:35" x14ac:dyDescent="0.25">
      <c r="C232" s="37">
        <f>IFERROR(IF(Q231&lt;=0.01,"",IF(C231+1&gt;Simul_ConstruRemo!$BN$11,"",C231+1)),"")</f>
        <v>210</v>
      </c>
      <c r="D232" s="37" t="str">
        <f>IF(C232&gt;Simul_ConstruRemo!$I$19,"",IF(Simul_ConstruRemo!I270=100%,"",IFERROR(VLOOKUP(C232,Simul_ConstruRemo!$AX$61:$AY$64,2,0),D231)))</f>
        <v/>
      </c>
      <c r="E232" s="136">
        <f>IF(C232="","",IF(AF232="Ministración",Simul_ConstruRemo!BM268,1))</f>
        <v>1</v>
      </c>
      <c r="F232" s="35">
        <f t="shared" si="37"/>
        <v>0</v>
      </c>
      <c r="G232" s="137">
        <f t="shared" si="45"/>
        <v>468703.7166420506</v>
      </c>
      <c r="H232" s="137">
        <f t="shared" si="42"/>
        <v>14490</v>
      </c>
      <c r="I232" s="137">
        <f t="shared" si="43"/>
        <v>10486.489087015818</v>
      </c>
      <c r="J232" s="137">
        <f t="shared" si="39"/>
        <v>4003.5109129841821</v>
      </c>
      <c r="K232" s="137">
        <f>IF(C232="","",IF(Simul_ConstruRemo!$I$10=Simul_ConstruRemo!$BV$6,(Simul_ConstruRemo!$I$16*0.7+Simul_ConstruRemo!$I$17*0.5),Simul_ConstruRemo!$CO$27))</f>
        <v>2606295</v>
      </c>
      <c r="L232" s="137">
        <f>IFERROR(Q232*Simul_ConstruRemo!$BP$30/1000,"")</f>
        <v>201.61558012421531</v>
      </c>
      <c r="M232" s="137">
        <f>IFERROR(IF($E$7="Remodelación",K232*Simul_ConstruRemo!$BS$29,
IF(E232=1,MAX(K232,Q232)*Simul_ConstruRemo!$BS$29,K232*Simul_ConstruRemo!$BQ$29)),"")</f>
        <v>827.2389712662</v>
      </c>
      <c r="N232" s="13">
        <f>IF(C232="","",'Tabla_Puntual&amp;Relacionamiento'!$E$54)</f>
        <v>0.10249999999999999</v>
      </c>
      <c r="O232" s="183"/>
      <c r="P232" s="137">
        <f t="shared" si="44"/>
        <v>15518.854551390416</v>
      </c>
      <c r="Q232" s="137">
        <f t="shared" si="46"/>
        <v>458217.2275550348</v>
      </c>
      <c r="R232" s="37">
        <f t="shared" si="38"/>
        <v>1</v>
      </c>
      <c r="S232" s="137"/>
      <c r="T232" s="137"/>
      <c r="Z232" s="63"/>
      <c r="AA232" s="35">
        <f t="shared" si="41"/>
        <v>15404.752624319215</v>
      </c>
      <c r="AB232" s="63">
        <f>IF(OR(Q232="",Q232&lt;=0.01),"",IF(SUM($F$23:F232)=Simul_ConstruRemo!$I$26,1,0))</f>
        <v>1</v>
      </c>
      <c r="AC232">
        <f t="shared" si="47"/>
        <v>205</v>
      </c>
      <c r="AD232" s="147">
        <f t="shared" si="48"/>
        <v>204</v>
      </c>
      <c r="AF232" t="str">
        <f t="shared" si="40"/>
        <v>Obra Concluida</v>
      </c>
      <c r="AI232">
        <f>IF(SUM($F$23:F231)&gt;=$K$9,1,0)</f>
        <v>1</v>
      </c>
    </row>
    <row r="233" spans="3:35" x14ac:dyDescent="0.25">
      <c r="C233" s="37">
        <f>IFERROR(IF(Q232&lt;=0.01,"",IF(C232+1&gt;Simul_ConstruRemo!$BN$11,"",C232+1)),"")</f>
        <v>211</v>
      </c>
      <c r="D233" s="37" t="str">
        <f>IF(C233&gt;Simul_ConstruRemo!$I$19,"",IF(Simul_ConstruRemo!I271=100%,"",IFERROR(VLOOKUP(C233,Simul_ConstruRemo!$AX$61:$AY$64,2,0),D232)))</f>
        <v/>
      </c>
      <c r="E233" s="136">
        <f>IF(C233="","",IF(AF233="Ministración",Simul_ConstruRemo!BM269,1))</f>
        <v>1</v>
      </c>
      <c r="F233" s="35">
        <f t="shared" si="37"/>
        <v>0</v>
      </c>
      <c r="G233" s="137">
        <f t="shared" si="45"/>
        <v>458217.2275550348</v>
      </c>
      <c r="H233" s="137">
        <f t="shared" si="42"/>
        <v>14490</v>
      </c>
      <c r="I233" s="137">
        <f t="shared" si="43"/>
        <v>10576.061181300745</v>
      </c>
      <c r="J233" s="137">
        <f t="shared" si="39"/>
        <v>3913.9388186992551</v>
      </c>
      <c r="K233" s="137">
        <f>IF(C233="","",IF(Simul_ConstruRemo!$I$10=Simul_ConstruRemo!$BV$6,(Simul_ConstruRemo!$I$16*0.7+Simul_ConstruRemo!$I$17*0.5),Simul_ConstruRemo!$CO$27))</f>
        <v>2606295</v>
      </c>
      <c r="L233" s="137">
        <f>IFERROR(Q233*Simul_ConstruRemo!$BP$30/1000,"")</f>
        <v>196.96211320444297</v>
      </c>
      <c r="M233" s="137">
        <f>IFERROR(IF($E$7="Remodelación",K233*Simul_ConstruRemo!$BS$29,
IF(E233=1,MAX(K233,Q233)*Simul_ConstruRemo!$BS$29,K233*Simul_ConstruRemo!$BQ$29)),"")</f>
        <v>827.2389712662</v>
      </c>
      <c r="N233" s="13">
        <f>IF(C233="","",'Tabla_Puntual&amp;Relacionamiento'!$E$54)</f>
        <v>0.10249999999999999</v>
      </c>
      <c r="O233" s="183"/>
      <c r="P233" s="137">
        <f t="shared" si="44"/>
        <v>15514.201084470644</v>
      </c>
      <c r="Q233" s="137">
        <f t="shared" si="46"/>
        <v>447641.16637373407</v>
      </c>
      <c r="R233" s="37">
        <f t="shared" si="38"/>
        <v>1</v>
      </c>
      <c r="S233" s="137"/>
      <c r="T233" s="137"/>
      <c r="Z233" s="63"/>
      <c r="AA233" s="35">
        <f t="shared" si="41"/>
        <v>15400.099157399443</v>
      </c>
      <c r="AB233" s="63">
        <f>IF(OR(Q233="",Q233&lt;=0.01),"",IF(SUM($F$23:F233)=Simul_ConstruRemo!$I$26,1,0))</f>
        <v>1</v>
      </c>
      <c r="AC233">
        <f t="shared" si="47"/>
        <v>206</v>
      </c>
      <c r="AD233" s="147">
        <f t="shared" si="48"/>
        <v>205</v>
      </c>
      <c r="AF233" t="str">
        <f t="shared" si="40"/>
        <v>Obra Concluida</v>
      </c>
      <c r="AI233">
        <f>IF(SUM($F$23:F232)&gt;=$K$9,1,0)</f>
        <v>1</v>
      </c>
    </row>
    <row r="234" spans="3:35" x14ac:dyDescent="0.25">
      <c r="C234" s="37">
        <f>IFERROR(IF(Q233&lt;=0.01,"",IF(C233+1&gt;Simul_ConstruRemo!$BN$11,"",C233+1)),"")</f>
        <v>212</v>
      </c>
      <c r="D234" s="37" t="str">
        <f>IF(C234&gt;Simul_ConstruRemo!$I$19,"",IF(Simul_ConstruRemo!I272=100%,"",IFERROR(VLOOKUP(C234,Simul_ConstruRemo!$AX$61:$AY$64,2,0),D233)))</f>
        <v/>
      </c>
      <c r="E234" s="136">
        <f>IF(C234="","",IF(AF234="Ministración",Simul_ConstruRemo!BM270,1))</f>
        <v>1</v>
      </c>
      <c r="F234" s="35">
        <f t="shared" ref="F234:F280" si="49">IF(C234="","",IF(AF233="Obra Concluida",0,0))</f>
        <v>0</v>
      </c>
      <c r="G234" s="137">
        <f t="shared" si="45"/>
        <v>447641.16637373407</v>
      </c>
      <c r="H234" s="137">
        <f t="shared" si="42"/>
        <v>14490</v>
      </c>
      <c r="I234" s="137">
        <f t="shared" si="43"/>
        <v>10666.398370557688</v>
      </c>
      <c r="J234" s="137">
        <f t="shared" si="39"/>
        <v>3823.6016294423116</v>
      </c>
      <c r="K234" s="137">
        <f>IF(C234="","",IF(Simul_ConstruRemo!$I$10=Simul_ConstruRemo!$BV$6,(Simul_ConstruRemo!$I$16*0.7+Simul_ConstruRemo!$I$17*0.5),Simul_ConstruRemo!$CO$27))</f>
        <v>2606295</v>
      </c>
      <c r="L234" s="137">
        <f>IFERROR(Q234*Simul_ConstruRemo!$BP$30/1000,"")</f>
        <v>192.26889792139761</v>
      </c>
      <c r="M234" s="137">
        <f>IFERROR(IF($E$7="Remodelación",K234*Simul_ConstruRemo!$BS$29,
IF(E234=1,MAX(K234,Q234)*Simul_ConstruRemo!$BS$29,K234*Simul_ConstruRemo!$BQ$29)),"")</f>
        <v>827.2389712662</v>
      </c>
      <c r="N234" s="13">
        <f>IF(C234="","",'Tabla_Puntual&amp;Relacionamiento'!$E$54)</f>
        <v>0.10249999999999999</v>
      </c>
      <c r="O234" s="183"/>
      <c r="P234" s="137">
        <f t="shared" si="44"/>
        <v>15509.507869187599</v>
      </c>
      <c r="Q234" s="137">
        <f t="shared" si="46"/>
        <v>436974.76800317637</v>
      </c>
      <c r="R234" s="37">
        <f t="shared" ref="R234:R280" si="50">IF(C234="","",1)</f>
        <v>1</v>
      </c>
      <c r="S234" s="137"/>
      <c r="T234" s="137"/>
      <c r="Z234" s="63"/>
      <c r="AA234" s="35">
        <f t="shared" si="41"/>
        <v>15395.405942116398</v>
      </c>
      <c r="AB234" s="63">
        <f>IF(OR(Q234="",Q234&lt;=0.01),"",IF(SUM($F$23:F234)=Simul_ConstruRemo!$I$26,1,0))</f>
        <v>1</v>
      </c>
      <c r="AC234">
        <f t="shared" si="47"/>
        <v>207</v>
      </c>
      <c r="AD234" s="147">
        <f t="shared" si="48"/>
        <v>206</v>
      </c>
      <c r="AF234" t="str">
        <f t="shared" ref="AF234:AF280" si="51">IF(C234="","","Obra Concluida")</f>
        <v>Obra Concluida</v>
      </c>
      <c r="AI234">
        <f>IF(SUM($F$23:F233)&gt;=$K$9,1,0)</f>
        <v>1</v>
      </c>
    </row>
    <row r="235" spans="3:35" x14ac:dyDescent="0.25">
      <c r="C235" s="37">
        <f>IFERROR(IF(Q234&lt;=0.01,"",IF(C234+1&gt;Simul_ConstruRemo!$BN$11,"",C234+1)),"")</f>
        <v>213</v>
      </c>
      <c r="D235" s="37" t="str">
        <f>IF(C235&gt;Simul_ConstruRemo!$I$19,"",IF(Simul_ConstruRemo!I273=100%,"",IFERROR(VLOOKUP(C235,Simul_ConstruRemo!$AX$61:$AY$64,2,0),D234)))</f>
        <v/>
      </c>
      <c r="E235" s="136">
        <f>IF(C235="","",IF(AF235="Ministración",Simul_ConstruRemo!BM271,1))</f>
        <v>1</v>
      </c>
      <c r="F235" s="35">
        <f t="shared" si="49"/>
        <v>0</v>
      </c>
      <c r="G235" s="137">
        <f t="shared" si="45"/>
        <v>436974.76800317637</v>
      </c>
      <c r="H235" s="137">
        <f t="shared" si="42"/>
        <v>14490</v>
      </c>
      <c r="I235" s="137">
        <f t="shared" si="43"/>
        <v>10757.507189972868</v>
      </c>
      <c r="J235" s="137">
        <f t="shared" ref="J235:J280" si="52">IF(C235="","",IF(Q234*(N235/12)&lt;0,"",Q234*N235/12))</f>
        <v>3732.4928100271313</v>
      </c>
      <c r="K235" s="137">
        <f>IF(C235="","",IF(Simul_ConstruRemo!$I$10=Simul_ConstruRemo!$BV$6,(Simul_ConstruRemo!$I$16*0.7+Simul_ConstruRemo!$I$17*0.5),Simul_ConstruRemo!$CO$27))</f>
        <v>2606295</v>
      </c>
      <c r="L235" s="137">
        <f>IFERROR(Q235*Simul_ConstruRemo!$BP$30/1000,"")</f>
        <v>187.53559475780958</v>
      </c>
      <c r="M235" s="137">
        <f>IFERROR(IF($E$7="Remodelación",K235*Simul_ConstruRemo!$BS$29,
IF(E235=1,MAX(K235,Q235)*Simul_ConstruRemo!$BS$29,K235*Simul_ConstruRemo!$BQ$29)),"")</f>
        <v>827.2389712662</v>
      </c>
      <c r="N235" s="13">
        <f>IF(C235="","",'Tabla_Puntual&amp;Relacionamiento'!$E$54)</f>
        <v>0.10249999999999999</v>
      </c>
      <c r="O235" s="183"/>
      <c r="P235" s="137">
        <f t="shared" si="44"/>
        <v>15504.774566024011</v>
      </c>
      <c r="Q235" s="137">
        <f t="shared" si="46"/>
        <v>426217.26081320352</v>
      </c>
      <c r="R235" s="37">
        <f t="shared" si="50"/>
        <v>1</v>
      </c>
      <c r="S235" s="137"/>
      <c r="T235" s="137"/>
      <c r="Z235" s="63"/>
      <c r="AA235" s="35">
        <f t="shared" si="41"/>
        <v>15390.67263895281</v>
      </c>
      <c r="AB235" s="63">
        <f>IF(OR(Q235="",Q235&lt;=0.01),"",IF(SUM($F$23:F235)=Simul_ConstruRemo!$I$26,1,0))</f>
        <v>1</v>
      </c>
      <c r="AC235">
        <f t="shared" si="47"/>
        <v>208</v>
      </c>
      <c r="AD235" s="147">
        <f t="shared" si="48"/>
        <v>207</v>
      </c>
      <c r="AF235" t="str">
        <f t="shared" si="51"/>
        <v>Obra Concluida</v>
      </c>
      <c r="AI235">
        <f>IF(SUM($F$23:F234)&gt;=$K$9,1,0)</f>
        <v>1</v>
      </c>
    </row>
    <row r="236" spans="3:35" x14ac:dyDescent="0.25">
      <c r="C236" s="37">
        <f>IFERROR(IF(Q235&lt;=0.01,"",IF(C235+1&gt;Simul_ConstruRemo!$BN$11,"",C235+1)),"")</f>
        <v>214</v>
      </c>
      <c r="D236" s="37" t="str">
        <f>IF(C236&gt;Simul_ConstruRemo!$I$19,"",IF(Simul_ConstruRemo!I274=100%,"",IFERROR(VLOOKUP(C236,Simul_ConstruRemo!$AX$61:$AY$64,2,0),D235)))</f>
        <v/>
      </c>
      <c r="E236" s="136">
        <f>IF(C236="","",IF(AF236="Ministración",Simul_ConstruRemo!BM272,1))</f>
        <v>1</v>
      </c>
      <c r="F236" s="35">
        <f t="shared" si="49"/>
        <v>0</v>
      </c>
      <c r="G236" s="137">
        <f t="shared" si="45"/>
        <v>426217.26081320352</v>
      </c>
      <c r="H236" s="137">
        <f t="shared" si="42"/>
        <v>14490</v>
      </c>
      <c r="I236" s="137">
        <f t="shared" si="43"/>
        <v>10849.394230553888</v>
      </c>
      <c r="J236" s="137">
        <f t="shared" si="52"/>
        <v>3640.6057694461128</v>
      </c>
      <c r="K236" s="137">
        <f>IF(C236="","",IF(Simul_ConstruRemo!$I$10=Simul_ConstruRemo!$BV$6,(Simul_ConstruRemo!$I$16*0.7+Simul_ConstruRemo!$I$17*0.5),Simul_ConstruRemo!$CO$27))</f>
        <v>2606295</v>
      </c>
      <c r="L236" s="137">
        <f>IFERROR(Q236*Simul_ConstruRemo!$BP$30/1000,"")</f>
        <v>182.76186129636585</v>
      </c>
      <c r="M236" s="137">
        <f>IFERROR(IF($E$7="Remodelación",K236*Simul_ConstruRemo!$BS$29,
IF(E236=1,MAX(K236,Q236)*Simul_ConstruRemo!$BS$29,K236*Simul_ConstruRemo!$BQ$29)),"")</f>
        <v>827.2389712662</v>
      </c>
      <c r="N236" s="13">
        <f>IF(C236="","",'Tabla_Puntual&amp;Relacionamiento'!$E$54)</f>
        <v>0.10249999999999999</v>
      </c>
      <c r="O236" s="183"/>
      <c r="P236" s="137">
        <f t="shared" si="44"/>
        <v>15500.000832562566</v>
      </c>
      <c r="Q236" s="137">
        <f t="shared" si="46"/>
        <v>415367.86658264964</v>
      </c>
      <c r="R236" s="37">
        <f t="shared" si="50"/>
        <v>1</v>
      </c>
      <c r="S236" s="137"/>
      <c r="T236" s="137"/>
      <c r="Z236" s="63"/>
      <c r="AA236" s="35">
        <f t="shared" si="41"/>
        <v>15385.898905491365</v>
      </c>
      <c r="AB236" s="63">
        <f>IF(OR(Q236="",Q236&lt;=0.01),"",IF(SUM($F$23:F236)=Simul_ConstruRemo!$I$26,1,0))</f>
        <v>1</v>
      </c>
      <c r="AC236">
        <f t="shared" si="47"/>
        <v>209</v>
      </c>
      <c r="AD236" s="147">
        <f t="shared" si="48"/>
        <v>208</v>
      </c>
      <c r="AF236" t="str">
        <f t="shared" si="51"/>
        <v>Obra Concluida</v>
      </c>
      <c r="AI236">
        <f>IF(SUM($F$23:F235)&gt;=$K$9,1,0)</f>
        <v>1</v>
      </c>
    </row>
    <row r="237" spans="3:35" x14ac:dyDescent="0.25">
      <c r="C237" s="37">
        <f>IFERROR(IF(Q236&lt;=0.01,"",IF(C236+1&gt;Simul_ConstruRemo!$BN$11,"",C236+1)),"")</f>
        <v>215</v>
      </c>
      <c r="D237" s="37" t="str">
        <f>IF(C237&gt;Simul_ConstruRemo!$I$19,"",IF(Simul_ConstruRemo!I275=100%,"",IFERROR(VLOOKUP(C237,Simul_ConstruRemo!$AX$61:$AY$64,2,0),D236)))</f>
        <v/>
      </c>
      <c r="E237" s="136">
        <f>IF(C237="","",IF(AF237="Ministración",Simul_ConstruRemo!BM273,1))</f>
        <v>1</v>
      </c>
      <c r="F237" s="35">
        <f t="shared" si="49"/>
        <v>0</v>
      </c>
      <c r="G237" s="137">
        <f t="shared" si="45"/>
        <v>415367.86658264964</v>
      </c>
      <c r="H237" s="137">
        <f t="shared" si="42"/>
        <v>14490</v>
      </c>
      <c r="I237" s="137">
        <f t="shared" si="43"/>
        <v>10942.066139606535</v>
      </c>
      <c r="J237" s="137">
        <f t="shared" si="52"/>
        <v>3547.9338603934652</v>
      </c>
      <c r="K237" s="137">
        <f>IF(C237="","",IF(Simul_ConstruRemo!$I$10=Simul_ConstruRemo!$BV$6,(Simul_ConstruRemo!$I$16*0.7+Simul_ConstruRemo!$I$17*0.5),Simul_ConstruRemo!$CO$27))</f>
        <v>2606295</v>
      </c>
      <c r="L237" s="137">
        <f>IFERROR(Q237*Simul_ConstruRemo!$BP$30/1000,"")</f>
        <v>177.94735219493899</v>
      </c>
      <c r="M237" s="137">
        <f>IFERROR(IF($E$7="Remodelación",K237*Simul_ConstruRemo!$BS$29,
IF(E237=1,MAX(K237,Q237)*Simul_ConstruRemo!$BS$29,K237*Simul_ConstruRemo!$BQ$29)),"")</f>
        <v>827.2389712662</v>
      </c>
      <c r="N237" s="13">
        <f>IF(C237="","",'Tabla_Puntual&amp;Relacionamiento'!$E$54)</f>
        <v>0.10249999999999999</v>
      </c>
      <c r="O237" s="183"/>
      <c r="P237" s="137">
        <f t="shared" si="44"/>
        <v>15495.186323461139</v>
      </c>
      <c r="Q237" s="137">
        <f t="shared" si="46"/>
        <v>404425.80044304312</v>
      </c>
      <c r="R237" s="37">
        <f t="shared" si="50"/>
        <v>1</v>
      </c>
      <c r="S237" s="137"/>
      <c r="T237" s="137"/>
      <c r="Z237" s="63"/>
      <c r="AA237" s="35">
        <f t="shared" si="41"/>
        <v>15381.084396389939</v>
      </c>
      <c r="AB237" s="63">
        <f>IF(OR(Q237="",Q237&lt;=0.01),"",IF(SUM($F$23:F237)=Simul_ConstruRemo!$I$26,1,0))</f>
        <v>1</v>
      </c>
      <c r="AC237">
        <f t="shared" si="47"/>
        <v>210</v>
      </c>
      <c r="AD237" s="147">
        <f t="shared" si="48"/>
        <v>209</v>
      </c>
      <c r="AF237" t="str">
        <f t="shared" si="51"/>
        <v>Obra Concluida</v>
      </c>
      <c r="AI237">
        <f>IF(SUM($F$23:F236)&gt;=$K$9,1,0)</f>
        <v>1</v>
      </c>
    </row>
    <row r="238" spans="3:35" x14ac:dyDescent="0.25">
      <c r="C238" s="37">
        <f>IFERROR(IF(Q237&lt;=0.01,"",IF(C237+1&gt;Simul_ConstruRemo!$BN$11,"",C237+1)),"")</f>
        <v>216</v>
      </c>
      <c r="D238" s="37" t="str">
        <f>IF(C238&gt;Simul_ConstruRemo!$I$19,"",IF(Simul_ConstruRemo!I276=100%,"",IFERROR(VLOOKUP(C238,Simul_ConstruRemo!$AX$61:$AY$64,2,0),D237)))</f>
        <v/>
      </c>
      <c r="E238" s="136">
        <f>IF(C238="","",IF(AF238="Ministración",Simul_ConstruRemo!BM274,1))</f>
        <v>1</v>
      </c>
      <c r="F238" s="35">
        <f t="shared" si="49"/>
        <v>0</v>
      </c>
      <c r="G238" s="137">
        <f t="shared" si="45"/>
        <v>404425.80044304312</v>
      </c>
      <c r="H238" s="137">
        <f t="shared" si="42"/>
        <v>14490</v>
      </c>
      <c r="I238" s="137">
        <f t="shared" si="43"/>
        <v>11035.529621215674</v>
      </c>
      <c r="J238" s="137">
        <f t="shared" si="52"/>
        <v>3454.4703787843264</v>
      </c>
      <c r="K238" s="137">
        <f>IF(C238="","",IF(Simul_ConstruRemo!$I$10=Simul_ConstruRemo!$BV$6,(Simul_ConstruRemo!$I$16*0.7+Simul_ConstruRemo!$I$17*0.5),Simul_ConstruRemo!$CO$27))</f>
        <v>2606295</v>
      </c>
      <c r="L238" s="137">
        <f>IFERROR(Q238*Simul_ConstruRemo!$BP$30/1000,"")</f>
        <v>173.09171916160409</v>
      </c>
      <c r="M238" s="137">
        <f>IFERROR(IF($E$7="Remodelación",K238*Simul_ConstruRemo!$BS$29,
IF(E238=1,MAX(K238,Q238)*Simul_ConstruRemo!$BS$29,K238*Simul_ConstruRemo!$BQ$29)),"")</f>
        <v>827.2389712662</v>
      </c>
      <c r="N238" s="13">
        <f>IF(C238="","",'Tabla_Puntual&amp;Relacionamiento'!$E$54)</f>
        <v>0.10249999999999999</v>
      </c>
      <c r="O238" s="183"/>
      <c r="P238" s="137">
        <f t="shared" si="44"/>
        <v>15490.330690427805</v>
      </c>
      <c r="Q238" s="137">
        <f t="shared" si="46"/>
        <v>393390.27082182746</v>
      </c>
      <c r="R238" s="37">
        <f t="shared" si="50"/>
        <v>1</v>
      </c>
      <c r="S238" s="137"/>
      <c r="T238" s="137"/>
      <c r="Z238" s="63"/>
      <c r="AA238" s="35">
        <f t="shared" si="41"/>
        <v>15376.228763356605</v>
      </c>
      <c r="AB238" s="63">
        <f>IF(OR(Q238="",Q238&lt;=0.01),"",IF(SUM($F$23:F238)=Simul_ConstruRemo!$I$26,1,0))</f>
        <v>1</v>
      </c>
      <c r="AC238">
        <f t="shared" si="47"/>
        <v>211</v>
      </c>
      <c r="AD238" s="147">
        <f t="shared" si="48"/>
        <v>210</v>
      </c>
      <c r="AF238" t="str">
        <f t="shared" si="51"/>
        <v>Obra Concluida</v>
      </c>
      <c r="AI238">
        <f>IF(SUM($F$23:F237)&gt;=$K$9,1,0)</f>
        <v>1</v>
      </c>
    </row>
    <row r="239" spans="3:35" x14ac:dyDescent="0.25">
      <c r="C239" s="37">
        <f>IFERROR(IF(Q238&lt;=0.01,"",IF(C238+1&gt;Simul_ConstruRemo!$BN$11,"",C238+1)),"")</f>
        <v>217</v>
      </c>
      <c r="D239" s="37" t="str">
        <f>IF(C239&gt;Simul_ConstruRemo!$I$19,"",IF(Simul_ConstruRemo!I277=100%,"",IFERROR(VLOOKUP(C239,Simul_ConstruRemo!$AX$61:$AY$64,2,0),D238)))</f>
        <v/>
      </c>
      <c r="E239" s="136">
        <f>IF(C239="","",IF(AF239="Ministración",Simul_ConstruRemo!BM275,1))</f>
        <v>1</v>
      </c>
      <c r="F239" s="35">
        <f t="shared" si="49"/>
        <v>0</v>
      </c>
      <c r="G239" s="137">
        <f t="shared" si="45"/>
        <v>393390.27082182746</v>
      </c>
      <c r="H239" s="137">
        <f t="shared" si="42"/>
        <v>14490</v>
      </c>
      <c r="I239" s="137">
        <f t="shared" si="43"/>
        <v>11129.791436730224</v>
      </c>
      <c r="J239" s="137">
        <f t="shared" si="52"/>
        <v>3360.2085632697763</v>
      </c>
      <c r="K239" s="137">
        <f>IF(C239="","",IF(Simul_ConstruRemo!$I$10=Simul_ConstruRemo!$BV$6,(Simul_ConstruRemo!$I$16*0.7+Simul_ConstruRemo!$I$17*0.5),Simul_ConstruRemo!$CO$27))</f>
        <v>2606295</v>
      </c>
      <c r="L239" s="137">
        <f>IFERROR(Q239*Simul_ConstruRemo!$BP$30/1000,"")</f>
        <v>168.19461092944277</v>
      </c>
      <c r="M239" s="137">
        <f>IFERROR(IF($E$7="Remodelación",K239*Simul_ConstruRemo!$BS$29,
IF(E239=1,MAX(K239,Q239)*Simul_ConstruRemo!$BS$29,K239*Simul_ConstruRemo!$BQ$29)),"")</f>
        <v>827.2389712662</v>
      </c>
      <c r="N239" s="13">
        <f>IF(C239="","",'Tabla_Puntual&amp;Relacionamiento'!$E$55)</f>
        <v>0.10249999999999999</v>
      </c>
      <c r="O239" s="183"/>
      <c r="P239" s="137">
        <f t="shared" si="44"/>
        <v>15485.433582195643</v>
      </c>
      <c r="Q239" s="137">
        <f t="shared" si="46"/>
        <v>382260.47938509722</v>
      </c>
      <c r="R239" s="37">
        <f t="shared" si="50"/>
        <v>1</v>
      </c>
      <c r="S239" s="137"/>
      <c r="T239" s="137"/>
      <c r="Z239" s="63"/>
      <c r="AA239" s="35">
        <f t="shared" si="41"/>
        <v>15371.331655124442</v>
      </c>
      <c r="AB239" s="63">
        <f>IF(OR(Q239="",Q239&lt;=0.01),"",IF(SUM($F$23:F239)=Simul_ConstruRemo!$I$26,1,0))</f>
        <v>1</v>
      </c>
      <c r="AC239">
        <f t="shared" si="47"/>
        <v>212</v>
      </c>
      <c r="AD239" s="147">
        <f t="shared" si="48"/>
        <v>211</v>
      </c>
      <c r="AF239" t="str">
        <f t="shared" si="51"/>
        <v>Obra Concluida</v>
      </c>
      <c r="AI239">
        <f>IF(SUM($F$23:F238)&gt;=$K$9,1,0)</f>
        <v>1</v>
      </c>
    </row>
    <row r="240" spans="3:35" x14ac:dyDescent="0.25">
      <c r="C240" s="37">
        <f>IFERROR(IF(Q239&lt;=0.01,"",IF(C239+1&gt;Simul_ConstruRemo!$BN$11,"",C239+1)),"")</f>
        <v>218</v>
      </c>
      <c r="D240" s="37" t="str">
        <f>IF(C240&gt;Simul_ConstruRemo!$I$19,"",IF(Simul_ConstruRemo!I278=100%,"",IFERROR(VLOOKUP(C240,Simul_ConstruRemo!$AX$61:$AY$64,2,0),D239)))</f>
        <v/>
      </c>
      <c r="E240" s="136">
        <f>IF(C240="","",IF(AF240="Ministración",Simul_ConstruRemo!BM276,1))</f>
        <v>1</v>
      </c>
      <c r="F240" s="35">
        <f t="shared" si="49"/>
        <v>0</v>
      </c>
      <c r="G240" s="137">
        <f t="shared" si="45"/>
        <v>382260.47938509722</v>
      </c>
      <c r="H240" s="137">
        <f t="shared" si="42"/>
        <v>14490</v>
      </c>
      <c r="I240" s="137">
        <f t="shared" si="43"/>
        <v>11224.858405252295</v>
      </c>
      <c r="J240" s="137">
        <f t="shared" si="52"/>
        <v>3265.1415947477053</v>
      </c>
      <c r="K240" s="137">
        <f>IF(C240="","",IF(Simul_ConstruRemo!$I$10=Simul_ConstruRemo!$BV$6,(Simul_ConstruRemo!$I$16*0.7+Simul_ConstruRemo!$I$17*0.5),Simul_ConstruRemo!$CO$27))</f>
        <v>2606295</v>
      </c>
      <c r="L240" s="137">
        <f>IFERROR(Q240*Simul_ConstruRemo!$BP$30/1000,"")</f>
        <v>163.25567323113177</v>
      </c>
      <c r="M240" s="137">
        <f>IFERROR(IF($E$7="Remodelación",K240*Simul_ConstruRemo!$BS$29,
IF(E240=1,MAX(K240,Q240)*Simul_ConstruRemo!$BS$29,K240*Simul_ConstruRemo!$BQ$29)),"")</f>
        <v>827.2389712662</v>
      </c>
      <c r="N240" s="13">
        <f>IF(C240="","",'Tabla_Puntual&amp;Relacionamiento'!$E$55)</f>
        <v>0.10249999999999999</v>
      </c>
      <c r="O240" s="183"/>
      <c r="P240" s="137">
        <f t="shared" si="44"/>
        <v>15480.494644497332</v>
      </c>
      <c r="Q240" s="137">
        <f t="shared" si="46"/>
        <v>371035.62097984494</v>
      </c>
      <c r="R240" s="37">
        <f t="shared" si="50"/>
        <v>1</v>
      </c>
      <c r="S240" s="137"/>
      <c r="T240" s="137"/>
      <c r="Z240" s="63"/>
      <c r="AA240" s="35">
        <f t="shared" si="41"/>
        <v>15366.392717426132</v>
      </c>
      <c r="AB240" s="63">
        <f>IF(OR(Q240="",Q240&lt;=0.01),"",IF(SUM($F$23:F240)=Simul_ConstruRemo!$I$26,1,0))</f>
        <v>1</v>
      </c>
      <c r="AC240">
        <f t="shared" si="47"/>
        <v>213</v>
      </c>
      <c r="AD240" s="147">
        <f t="shared" si="48"/>
        <v>212</v>
      </c>
      <c r="AF240" t="str">
        <f t="shared" si="51"/>
        <v>Obra Concluida</v>
      </c>
      <c r="AI240">
        <f>IF(SUM($F$23:F239)&gt;=$K$9,1,0)</f>
        <v>1</v>
      </c>
    </row>
    <row r="241" spans="3:35" x14ac:dyDescent="0.25">
      <c r="C241" s="37">
        <f>IFERROR(IF(Q240&lt;=0.01,"",IF(C240+1&gt;Simul_ConstruRemo!$BN$11,"",C240+1)),"")</f>
        <v>219</v>
      </c>
      <c r="D241" s="37" t="str">
        <f>IF(C241&gt;Simul_ConstruRemo!$I$19,"",IF(Simul_ConstruRemo!I279=100%,"",IFERROR(VLOOKUP(C241,Simul_ConstruRemo!$AX$61:$AY$64,2,0),D240)))</f>
        <v/>
      </c>
      <c r="E241" s="136">
        <f>IF(C241="","",IF(AF241="Ministración",Simul_ConstruRemo!BM277,1))</f>
        <v>1</v>
      </c>
      <c r="F241" s="35">
        <f t="shared" si="49"/>
        <v>0</v>
      </c>
      <c r="G241" s="137">
        <f t="shared" si="45"/>
        <v>371035.62097984494</v>
      </c>
      <c r="H241" s="137">
        <f t="shared" si="42"/>
        <v>14490</v>
      </c>
      <c r="I241" s="137">
        <f t="shared" si="43"/>
        <v>11320.737404130492</v>
      </c>
      <c r="J241" s="137">
        <f t="shared" si="52"/>
        <v>3169.2625958695085</v>
      </c>
      <c r="K241" s="137">
        <f>IF(C241="","",IF(Simul_ConstruRemo!$I$10=Simul_ConstruRemo!$BV$6,(Simul_ConstruRemo!$I$16*0.7+Simul_ConstruRemo!$I$17*0.5),Simul_ConstruRemo!$CO$27))</f>
        <v>2606295</v>
      </c>
      <c r="L241" s="137">
        <f>IFERROR(Q241*Simul_ConstruRemo!$BP$30/1000,"")</f>
        <v>158.27454877331434</v>
      </c>
      <c r="M241" s="137">
        <f>IFERROR(IF($E$7="Remodelación",K241*Simul_ConstruRemo!$BS$29,
IF(E241=1,MAX(K241,Q241)*Simul_ConstruRemo!$BS$29,K241*Simul_ConstruRemo!$BQ$29)),"")</f>
        <v>827.2389712662</v>
      </c>
      <c r="N241" s="13">
        <f>IF(C241="","",'Tabla_Puntual&amp;Relacionamiento'!$E$55)</f>
        <v>0.10249999999999999</v>
      </c>
      <c r="O241" s="183"/>
      <c r="P241" s="137">
        <f t="shared" si="44"/>
        <v>15475.513520039514</v>
      </c>
      <c r="Q241" s="137">
        <f t="shared" si="46"/>
        <v>359714.88357571443</v>
      </c>
      <c r="R241" s="37">
        <f t="shared" si="50"/>
        <v>1</v>
      </c>
      <c r="S241" s="137"/>
      <c r="T241" s="137"/>
      <c r="Z241" s="63"/>
      <c r="AA241" s="35">
        <f t="shared" si="41"/>
        <v>15361.411592968314</v>
      </c>
      <c r="AB241" s="63">
        <f>IF(OR(Q241="",Q241&lt;=0.01),"",IF(SUM($F$23:F241)=Simul_ConstruRemo!$I$26,1,0))</f>
        <v>1</v>
      </c>
      <c r="AC241">
        <f t="shared" si="47"/>
        <v>214</v>
      </c>
      <c r="AD241" s="147">
        <f t="shared" si="48"/>
        <v>213</v>
      </c>
      <c r="AF241" t="str">
        <f t="shared" si="51"/>
        <v>Obra Concluida</v>
      </c>
      <c r="AI241">
        <f>IF(SUM($F$23:F240)&gt;=$K$9,1,0)</f>
        <v>1</v>
      </c>
    </row>
    <row r="242" spans="3:35" x14ac:dyDescent="0.25">
      <c r="C242" s="37">
        <f>IFERROR(IF(Q241&lt;=0.01,"",IF(C241+1&gt;Simul_ConstruRemo!$BN$11,"",C241+1)),"")</f>
        <v>220</v>
      </c>
      <c r="D242" s="37" t="str">
        <f>IF(C242&gt;Simul_ConstruRemo!$I$19,"",IF(Simul_ConstruRemo!I280=100%,"",IFERROR(VLOOKUP(C242,Simul_ConstruRemo!$AX$61:$AY$64,2,0),D241)))</f>
        <v/>
      </c>
      <c r="E242" s="136">
        <f>IF(C242="","",IF(AF242="Ministración",Simul_ConstruRemo!BM278,1))</f>
        <v>1</v>
      </c>
      <c r="F242" s="35">
        <f t="shared" si="49"/>
        <v>0</v>
      </c>
      <c r="G242" s="137">
        <f t="shared" si="45"/>
        <v>359714.88357571443</v>
      </c>
      <c r="H242" s="137">
        <f t="shared" si="42"/>
        <v>14490</v>
      </c>
      <c r="I242" s="137">
        <f t="shared" si="43"/>
        <v>11417.43536945744</v>
      </c>
      <c r="J242" s="137">
        <f t="shared" si="52"/>
        <v>3072.5646305425603</v>
      </c>
      <c r="K242" s="137">
        <f>IF(C242="","",IF(Simul_ConstruRemo!$I$10=Simul_ConstruRemo!$BV$6,(Simul_ConstruRemo!$I$16*0.7+Simul_ConstruRemo!$I$17*0.5),Simul_ConstruRemo!$CO$27))</f>
        <v>2606295</v>
      </c>
      <c r="L242" s="137">
        <f>IFERROR(Q242*Simul_ConstruRemo!$BP$30/1000,"")</f>
        <v>153.25087721075306</v>
      </c>
      <c r="M242" s="137">
        <f>IFERROR(IF($E$7="Remodelación",K242*Simul_ConstruRemo!$BS$29,
IF(E242=1,MAX(K242,Q242)*Simul_ConstruRemo!$BS$29,K242*Simul_ConstruRemo!$BQ$29)),"")</f>
        <v>827.2389712662</v>
      </c>
      <c r="N242" s="13">
        <f>IF(C242="","",'Tabla_Puntual&amp;Relacionamiento'!$E$55)</f>
        <v>0.10249999999999999</v>
      </c>
      <c r="O242" s="183"/>
      <c r="P242" s="137">
        <f t="shared" si="44"/>
        <v>15470.489848476955</v>
      </c>
      <c r="Q242" s="137">
        <f t="shared" si="46"/>
        <v>348297.44820625696</v>
      </c>
      <c r="R242" s="37">
        <f t="shared" si="50"/>
        <v>1</v>
      </c>
      <c r="S242" s="137"/>
      <c r="T242" s="137"/>
      <c r="Z242" s="63"/>
      <c r="AA242" s="35">
        <f t="shared" si="41"/>
        <v>15356.387921405754</v>
      </c>
      <c r="AB242" s="63">
        <f>IF(OR(Q242="",Q242&lt;=0.01),"",IF(SUM($F$23:F242)=Simul_ConstruRemo!$I$26,1,0))</f>
        <v>1</v>
      </c>
      <c r="AC242">
        <f t="shared" si="47"/>
        <v>215</v>
      </c>
      <c r="AD242" s="147">
        <f t="shared" si="48"/>
        <v>214</v>
      </c>
      <c r="AF242" t="str">
        <f t="shared" si="51"/>
        <v>Obra Concluida</v>
      </c>
      <c r="AI242">
        <f>IF(SUM($F$23:F241)&gt;=$K$9,1,0)</f>
        <v>1</v>
      </c>
    </row>
    <row r="243" spans="3:35" x14ac:dyDescent="0.25">
      <c r="C243" s="37">
        <f>IFERROR(IF(Q242&lt;=0.01,"",IF(C242+1&gt;Simul_ConstruRemo!$BN$11,"",C242+1)),"")</f>
        <v>221</v>
      </c>
      <c r="D243" s="37" t="str">
        <f>IF(C243&gt;Simul_ConstruRemo!$I$19,"",IF(Simul_ConstruRemo!I281=100%,"",IFERROR(VLOOKUP(C243,Simul_ConstruRemo!$AX$61:$AY$64,2,0),D242)))</f>
        <v/>
      </c>
      <c r="E243" s="136">
        <f>IF(C243="","",IF(AF243="Ministración",Simul_ConstruRemo!BM279,1))</f>
        <v>1</v>
      </c>
      <c r="F243" s="35">
        <f t="shared" si="49"/>
        <v>0</v>
      </c>
      <c r="G243" s="137">
        <f t="shared" si="45"/>
        <v>348297.44820625696</v>
      </c>
      <c r="H243" s="137">
        <f t="shared" si="42"/>
        <v>14490</v>
      </c>
      <c r="I243" s="137">
        <f t="shared" si="43"/>
        <v>11514.959296571555</v>
      </c>
      <c r="J243" s="137">
        <f t="shared" si="52"/>
        <v>2975.0407034284449</v>
      </c>
      <c r="K243" s="137">
        <f>IF(C243="","",IF(Simul_ConstruRemo!$I$10=Simul_ConstruRemo!$BV$6,(Simul_ConstruRemo!$I$16*0.7+Simul_ConstruRemo!$I$17*0.5),Simul_ConstruRemo!$CO$27))</f>
        <v>2606295</v>
      </c>
      <c r="L243" s="137">
        <f>IFERROR(Q243*Simul_ConstruRemo!$BP$30/1000,"")</f>
        <v>148.18429512026157</v>
      </c>
      <c r="M243" s="137">
        <f>IFERROR(IF($E$7="Remodelación",K243*Simul_ConstruRemo!$BS$29,
IF(E243=1,MAX(K243,Q243)*Simul_ConstruRemo!$BS$29,K243*Simul_ConstruRemo!$BQ$29)),"")</f>
        <v>827.2389712662</v>
      </c>
      <c r="N243" s="13">
        <f>IF(C243="","",'Tabla_Puntual&amp;Relacionamiento'!$E$55)</f>
        <v>0.10249999999999999</v>
      </c>
      <c r="O243" s="183"/>
      <c r="P243" s="137">
        <f t="shared" si="44"/>
        <v>15465.423266386462</v>
      </c>
      <c r="Q243" s="137">
        <f t="shared" si="46"/>
        <v>336782.4889096854</v>
      </c>
      <c r="R243" s="37">
        <f t="shared" si="50"/>
        <v>1</v>
      </c>
      <c r="S243" s="137"/>
      <c r="T243" s="137"/>
      <c r="Z243" s="63"/>
      <c r="AA243" s="35">
        <f t="shared" si="41"/>
        <v>15351.321339315262</v>
      </c>
      <c r="AB243" s="63">
        <f>IF(OR(Q243="",Q243&lt;=0.01),"",IF(SUM($F$23:F243)=Simul_ConstruRemo!$I$26,1,0))</f>
        <v>1</v>
      </c>
      <c r="AC243">
        <f t="shared" si="47"/>
        <v>216</v>
      </c>
      <c r="AD243" s="147">
        <f t="shared" si="48"/>
        <v>215</v>
      </c>
      <c r="AF243" t="str">
        <f t="shared" si="51"/>
        <v>Obra Concluida</v>
      </c>
      <c r="AI243">
        <f>IF(SUM($F$23:F242)&gt;=$K$9,1,0)</f>
        <v>1</v>
      </c>
    </row>
    <row r="244" spans="3:35" x14ac:dyDescent="0.25">
      <c r="C244" s="37">
        <f>IFERROR(IF(Q243&lt;=0.01,"",IF(C243+1&gt;Simul_ConstruRemo!$BN$11,"",C243+1)),"")</f>
        <v>222</v>
      </c>
      <c r="D244" s="37" t="str">
        <f>IF(C244&gt;Simul_ConstruRemo!$I$19,"",IF(Simul_ConstruRemo!I282=100%,"",IFERROR(VLOOKUP(C244,Simul_ConstruRemo!$AX$61:$AY$64,2,0),D243)))</f>
        <v/>
      </c>
      <c r="E244" s="136">
        <f>IF(C244="","",IF(AF244="Ministración",Simul_ConstruRemo!BM280,1))</f>
        <v>1</v>
      </c>
      <c r="F244" s="35">
        <f t="shared" si="49"/>
        <v>0</v>
      </c>
      <c r="G244" s="137">
        <f t="shared" si="45"/>
        <v>336782.4889096854</v>
      </c>
      <c r="H244" s="137">
        <f t="shared" si="42"/>
        <v>14490</v>
      </c>
      <c r="I244" s="137">
        <f t="shared" si="43"/>
        <v>11613.316240563105</v>
      </c>
      <c r="J244" s="137">
        <f t="shared" si="52"/>
        <v>2876.6837594368958</v>
      </c>
      <c r="K244" s="137">
        <f>IF(C244="","",IF(Simul_ConstruRemo!$I$10=Simul_ConstruRemo!$BV$6,(Simul_ConstruRemo!$I$16*0.7+Simul_ConstruRemo!$I$17*0.5),Simul_ConstruRemo!$CO$27))</f>
        <v>2606295</v>
      </c>
      <c r="L244" s="137">
        <f>IFERROR(Q244*Simul_ConstruRemo!$BP$30/1000,"")</f>
        <v>143.07443597441383</v>
      </c>
      <c r="M244" s="137">
        <f>IFERROR(IF($E$7="Remodelación",K244*Simul_ConstruRemo!$BS$29,
IF(E244=1,MAX(K244,Q244)*Simul_ConstruRemo!$BS$29,K244*Simul_ConstruRemo!$BQ$29)),"")</f>
        <v>827.2389712662</v>
      </c>
      <c r="N244" s="13">
        <f>IF(C244="","",'Tabla_Puntual&amp;Relacionamiento'!$E$55)</f>
        <v>0.10249999999999999</v>
      </c>
      <c r="O244" s="183"/>
      <c r="P244" s="137">
        <f t="shared" si="44"/>
        <v>15460.313407240614</v>
      </c>
      <c r="Q244" s="137">
        <f t="shared" si="46"/>
        <v>325169.17266912229</v>
      </c>
      <c r="R244" s="37">
        <f t="shared" si="50"/>
        <v>1</v>
      </c>
      <c r="S244" s="137"/>
      <c r="T244" s="137"/>
      <c r="Z244" s="63"/>
      <c r="AA244" s="35">
        <f t="shared" si="41"/>
        <v>15346.211480169413</v>
      </c>
      <c r="AB244" s="63">
        <f>IF(OR(Q244="",Q244&lt;=0.01),"",IF(SUM($F$23:F244)=Simul_ConstruRemo!$I$26,1,0))</f>
        <v>1</v>
      </c>
      <c r="AC244">
        <f t="shared" si="47"/>
        <v>217</v>
      </c>
      <c r="AD244" s="147">
        <f t="shared" si="48"/>
        <v>216</v>
      </c>
      <c r="AF244" t="str">
        <f t="shared" si="51"/>
        <v>Obra Concluida</v>
      </c>
      <c r="AI244">
        <f>IF(SUM($F$23:F243)&gt;=$K$9,1,0)</f>
        <v>1</v>
      </c>
    </row>
    <row r="245" spans="3:35" x14ac:dyDescent="0.25">
      <c r="C245" s="37">
        <f>IFERROR(IF(Q244&lt;=0.01,"",IF(C244+1&gt;Simul_ConstruRemo!$BN$11,"",C244+1)),"")</f>
        <v>223</v>
      </c>
      <c r="D245" s="37" t="str">
        <f>IF(C245&gt;Simul_ConstruRemo!$I$19,"",IF(Simul_ConstruRemo!I283=100%,"",IFERROR(VLOOKUP(C245,Simul_ConstruRemo!$AX$61:$AY$64,2,0),D244)))</f>
        <v/>
      </c>
      <c r="E245" s="136">
        <f>IF(C245="","",IF(AF245="Ministración",Simul_ConstruRemo!BM281,1))</f>
        <v>1</v>
      </c>
      <c r="F245" s="35">
        <f t="shared" si="49"/>
        <v>0</v>
      </c>
      <c r="G245" s="137">
        <f t="shared" si="45"/>
        <v>325169.17266912229</v>
      </c>
      <c r="H245" s="137">
        <f t="shared" si="42"/>
        <v>14490</v>
      </c>
      <c r="I245" s="137">
        <f t="shared" si="43"/>
        <v>11712.51331678458</v>
      </c>
      <c r="J245" s="137">
        <f t="shared" si="52"/>
        <v>2777.4866832154198</v>
      </c>
      <c r="K245" s="137">
        <f>IF(C245="","",IF(Simul_ConstruRemo!$I$10=Simul_ConstruRemo!$BV$6,(Simul_ConstruRemo!$I$16*0.7+Simul_ConstruRemo!$I$17*0.5),Simul_ConstruRemo!$CO$27))</f>
        <v>2606295</v>
      </c>
      <c r="L245" s="137">
        <f>IFERROR(Q245*Simul_ConstruRemo!$BP$30/1000,"")</f>
        <v>137.9209301150286</v>
      </c>
      <c r="M245" s="137">
        <f>IFERROR(IF($E$7="Remodelación",K245*Simul_ConstruRemo!$BS$29,
IF(E245=1,MAX(K245,Q245)*Simul_ConstruRemo!$BS$29,K245*Simul_ConstruRemo!$BQ$29)),"")</f>
        <v>827.2389712662</v>
      </c>
      <c r="N245" s="13">
        <f>IF(C245="","",'Tabla_Puntual&amp;Relacionamiento'!$E$55)</f>
        <v>0.10249999999999999</v>
      </c>
      <c r="O245" s="183"/>
      <c r="P245" s="137">
        <f t="shared" si="44"/>
        <v>15455.15990138123</v>
      </c>
      <c r="Q245" s="137">
        <f t="shared" si="46"/>
        <v>313456.65935233771</v>
      </c>
      <c r="R245" s="37">
        <f t="shared" si="50"/>
        <v>1</v>
      </c>
      <c r="S245" s="137"/>
      <c r="T245" s="137"/>
      <c r="Z245" s="63"/>
      <c r="AA245" s="35">
        <f t="shared" si="41"/>
        <v>15341.05797431003</v>
      </c>
      <c r="AB245" s="63">
        <f>IF(OR(Q245="",Q245&lt;=0.01),"",IF(SUM($F$23:F245)=Simul_ConstruRemo!$I$26,1,0))</f>
        <v>1</v>
      </c>
      <c r="AC245">
        <f t="shared" si="47"/>
        <v>218</v>
      </c>
      <c r="AD245" s="147">
        <f t="shared" si="48"/>
        <v>217</v>
      </c>
      <c r="AF245" t="str">
        <f t="shared" si="51"/>
        <v>Obra Concluida</v>
      </c>
      <c r="AI245">
        <f>IF(SUM($F$23:F244)&gt;=$K$9,1,0)</f>
        <v>1</v>
      </c>
    </row>
    <row r="246" spans="3:35" x14ac:dyDescent="0.25">
      <c r="C246" s="37">
        <f>IFERROR(IF(Q245&lt;=0.01,"",IF(C245+1&gt;Simul_ConstruRemo!$BN$11,"",C245+1)),"")</f>
        <v>224</v>
      </c>
      <c r="D246" s="37" t="str">
        <f>IF(C246&gt;Simul_ConstruRemo!$I$19,"",IF(Simul_ConstruRemo!I284=100%,"",IFERROR(VLOOKUP(C246,Simul_ConstruRemo!$AX$61:$AY$64,2,0),D245)))</f>
        <v/>
      </c>
      <c r="E246" s="136">
        <f>IF(C246="","",IF(AF246="Ministración",Simul_ConstruRemo!BM282,1))</f>
        <v>1</v>
      </c>
      <c r="F246" s="35">
        <f t="shared" si="49"/>
        <v>0</v>
      </c>
      <c r="G246" s="137">
        <f t="shared" si="45"/>
        <v>313456.65935233771</v>
      </c>
      <c r="H246" s="137">
        <f t="shared" si="42"/>
        <v>14490</v>
      </c>
      <c r="I246" s="137">
        <f t="shared" si="43"/>
        <v>11812.557701365449</v>
      </c>
      <c r="J246" s="137">
        <f t="shared" si="52"/>
        <v>2677.4422986345512</v>
      </c>
      <c r="K246" s="137">
        <f>IF(C246="","",IF(Simul_ConstruRemo!$I$10=Simul_ConstruRemo!$BV$6,(Simul_ConstruRemo!$I$16*0.7+Simul_ConstruRemo!$I$17*0.5),Simul_ConstruRemo!$CO$27))</f>
        <v>2606295</v>
      </c>
      <c r="L246" s="137">
        <f>IFERROR(Q246*Simul_ConstruRemo!$BP$30/1000,"")</f>
        <v>132.72340472642782</v>
      </c>
      <c r="M246" s="137">
        <f>IFERROR(IF($E$7="Remodelación",K246*Simul_ConstruRemo!$BS$29,
IF(E246=1,MAX(K246,Q246)*Simul_ConstruRemo!$BS$29,K246*Simul_ConstruRemo!$BQ$29)),"")</f>
        <v>827.2389712662</v>
      </c>
      <c r="N246" s="13">
        <f>IF(C246="","",'Tabla_Puntual&amp;Relacionamiento'!$E$55)</f>
        <v>0.10249999999999999</v>
      </c>
      <c r="O246" s="183"/>
      <c r="P246" s="137">
        <f t="shared" si="44"/>
        <v>15449.962375992629</v>
      </c>
      <c r="Q246" s="137">
        <f t="shared" si="46"/>
        <v>301644.10165097227</v>
      </c>
      <c r="R246" s="37">
        <f t="shared" si="50"/>
        <v>1</v>
      </c>
      <c r="S246" s="137"/>
      <c r="T246" s="137"/>
      <c r="Z246" s="63"/>
      <c r="AA246" s="35">
        <f t="shared" si="41"/>
        <v>15335.860448921429</v>
      </c>
      <c r="AB246" s="63">
        <f>IF(OR(Q246="",Q246&lt;=0.01),"",IF(SUM($F$23:F246)=Simul_ConstruRemo!$I$26,1,0))</f>
        <v>1</v>
      </c>
      <c r="AC246">
        <f t="shared" si="47"/>
        <v>219</v>
      </c>
      <c r="AD246" s="147">
        <f t="shared" si="48"/>
        <v>218</v>
      </c>
      <c r="AF246" t="str">
        <f t="shared" si="51"/>
        <v>Obra Concluida</v>
      </c>
      <c r="AI246">
        <f>IF(SUM($F$23:F245)&gt;=$K$9,1,0)</f>
        <v>1</v>
      </c>
    </row>
    <row r="247" spans="3:35" x14ac:dyDescent="0.25">
      <c r="C247" s="37">
        <f>IFERROR(IF(Q246&lt;=0.01,"",IF(C246+1&gt;Simul_ConstruRemo!$BN$11,"",C246+1)),"")</f>
        <v>225</v>
      </c>
      <c r="D247" s="37" t="str">
        <f>IF(C247&gt;Simul_ConstruRemo!$I$19,"",IF(Simul_ConstruRemo!I285=100%,"",IFERROR(VLOOKUP(C247,Simul_ConstruRemo!$AX$61:$AY$64,2,0),D246)))</f>
        <v/>
      </c>
      <c r="E247" s="136">
        <f>IF(C247="","",IF(AF247="Ministración",Simul_ConstruRemo!BM283,1))</f>
        <v>1</v>
      </c>
      <c r="F247" s="35">
        <f t="shared" si="49"/>
        <v>0</v>
      </c>
      <c r="G247" s="137">
        <f t="shared" si="45"/>
        <v>301644.10165097227</v>
      </c>
      <c r="H247" s="137">
        <f t="shared" si="42"/>
        <v>14490</v>
      </c>
      <c r="I247" s="137">
        <f t="shared" si="43"/>
        <v>11913.456631731278</v>
      </c>
      <c r="J247" s="137">
        <f t="shared" si="52"/>
        <v>2576.5433682687212</v>
      </c>
      <c r="K247" s="137">
        <f>IF(C247="","",IF(Simul_ConstruRemo!$I$10=Simul_ConstruRemo!$BV$6,(Simul_ConstruRemo!$I$16*0.7+Simul_ConstruRemo!$I$17*0.5),Simul_ConstruRemo!$CO$27))</f>
        <v>2606295</v>
      </c>
      <c r="L247" s="137">
        <f>IFERROR(Q247*Simul_ConstruRemo!$BP$30/1000,"")</f>
        <v>127.48148380846602</v>
      </c>
      <c r="M247" s="137">
        <f>IFERROR(IF($E$7="Remodelación",K247*Simul_ConstruRemo!$BS$29,
IF(E247=1,MAX(K247,Q247)*Simul_ConstruRemo!$BS$29,K247*Simul_ConstruRemo!$BQ$29)),"")</f>
        <v>827.2389712662</v>
      </c>
      <c r="N247" s="13">
        <f>IF(C247="","",'Tabla_Puntual&amp;Relacionamiento'!$E$55)</f>
        <v>0.10249999999999999</v>
      </c>
      <c r="O247" s="183"/>
      <c r="P247" s="137">
        <f t="shared" si="44"/>
        <v>15444.720455074666</v>
      </c>
      <c r="Q247" s="137">
        <f t="shared" si="46"/>
        <v>289730.64501924097</v>
      </c>
      <c r="R247" s="37">
        <f t="shared" si="50"/>
        <v>1</v>
      </c>
      <c r="S247" s="137"/>
      <c r="T247" s="137"/>
      <c r="Z247" s="63"/>
      <c r="AA247" s="35">
        <f t="shared" si="41"/>
        <v>15330.618528003466</v>
      </c>
      <c r="AB247" s="63">
        <f>IF(OR(Q247="",Q247&lt;=0.01),"",IF(SUM($F$23:F247)=Simul_ConstruRemo!$I$26,1,0))</f>
        <v>1</v>
      </c>
      <c r="AC247">
        <f t="shared" si="47"/>
        <v>220</v>
      </c>
      <c r="AD247" s="147">
        <f t="shared" si="48"/>
        <v>219</v>
      </c>
      <c r="AF247" t="str">
        <f t="shared" si="51"/>
        <v>Obra Concluida</v>
      </c>
      <c r="AI247">
        <f>IF(SUM($F$23:F246)&gt;=$K$9,1,0)</f>
        <v>1</v>
      </c>
    </row>
    <row r="248" spans="3:35" x14ac:dyDescent="0.25">
      <c r="C248" s="37">
        <f>IFERROR(IF(Q247&lt;=0.01,"",IF(C247+1&gt;Simul_ConstruRemo!$BN$11,"",C247+1)),"")</f>
        <v>226</v>
      </c>
      <c r="D248" s="37" t="str">
        <f>IF(C248&gt;Simul_ConstruRemo!$I$19,"",IF(Simul_ConstruRemo!I286=100%,"",IFERROR(VLOOKUP(C248,Simul_ConstruRemo!$AX$61:$AY$64,2,0),D247)))</f>
        <v/>
      </c>
      <c r="E248" s="136">
        <f>IF(C248="","",IF(AF248="Ministración",Simul_ConstruRemo!BM284,1))</f>
        <v>1</v>
      </c>
      <c r="F248" s="35">
        <f t="shared" si="49"/>
        <v>0</v>
      </c>
      <c r="G248" s="137">
        <f t="shared" si="45"/>
        <v>289730.64501924097</v>
      </c>
      <c r="H248" s="137">
        <f t="shared" si="42"/>
        <v>14490</v>
      </c>
      <c r="I248" s="137">
        <f t="shared" si="43"/>
        <v>12015.217407127317</v>
      </c>
      <c r="J248" s="137">
        <f t="shared" si="52"/>
        <v>2474.7825928726829</v>
      </c>
      <c r="K248" s="137">
        <f>IF(C248="","",IF(Simul_ConstruRemo!$I$10=Simul_ConstruRemo!$BV$6,(Simul_ConstruRemo!$I$16*0.7+Simul_ConstruRemo!$I$17*0.5),Simul_ConstruRemo!$CO$27))</f>
        <v>2606295</v>
      </c>
      <c r="L248" s="137">
        <f>IFERROR(Q248*Simul_ConstruRemo!$BP$30/1000,"")</f>
        <v>122.19478814933001</v>
      </c>
      <c r="M248" s="137">
        <f>IFERROR(IF($E$7="Remodelación",K248*Simul_ConstruRemo!$BS$29,
IF(E248=1,MAX(K248,Q248)*Simul_ConstruRemo!$BS$29,K248*Simul_ConstruRemo!$BQ$29)),"")</f>
        <v>827.2389712662</v>
      </c>
      <c r="N248" s="13">
        <f>IF(C248="","",'Tabla_Puntual&amp;Relacionamiento'!$E$55)</f>
        <v>0.10249999999999999</v>
      </c>
      <c r="O248" s="183"/>
      <c r="P248" s="137">
        <f t="shared" si="44"/>
        <v>15439.433759415531</v>
      </c>
      <c r="Q248" s="137">
        <f t="shared" si="46"/>
        <v>277715.42761211365</v>
      </c>
      <c r="R248" s="37">
        <f t="shared" si="50"/>
        <v>1</v>
      </c>
      <c r="S248" s="137"/>
      <c r="T248" s="137"/>
      <c r="Z248" s="63"/>
      <c r="AA248" s="35">
        <f t="shared" si="41"/>
        <v>15325.331832344331</v>
      </c>
      <c r="AB248" s="63">
        <f>IF(OR(Q248="",Q248&lt;=0.01),"",IF(SUM($F$23:F248)=Simul_ConstruRemo!$I$26,1,0))</f>
        <v>1</v>
      </c>
      <c r="AC248">
        <f t="shared" si="47"/>
        <v>221</v>
      </c>
      <c r="AD248" s="147">
        <f t="shared" si="48"/>
        <v>220</v>
      </c>
      <c r="AF248" t="str">
        <f t="shared" si="51"/>
        <v>Obra Concluida</v>
      </c>
      <c r="AI248">
        <f>IF(SUM($F$23:F247)&gt;=$K$9,1,0)</f>
        <v>1</v>
      </c>
    </row>
    <row r="249" spans="3:35" x14ac:dyDescent="0.25">
      <c r="C249" s="37">
        <f>IFERROR(IF(Q248&lt;=0.01,"",IF(C248+1&gt;Simul_ConstruRemo!$BN$11,"",C248+1)),"")</f>
        <v>227</v>
      </c>
      <c r="D249" s="37" t="str">
        <f>IF(C249&gt;Simul_ConstruRemo!$I$19,"",IF(Simul_ConstruRemo!I287=100%,"",IFERROR(VLOOKUP(C249,Simul_ConstruRemo!$AX$61:$AY$64,2,0),D248)))</f>
        <v/>
      </c>
      <c r="E249" s="136">
        <f>IF(C249="","",IF(AF249="Ministración",Simul_ConstruRemo!BM285,1))</f>
        <v>1</v>
      </c>
      <c r="F249" s="35">
        <f t="shared" si="49"/>
        <v>0</v>
      </c>
      <c r="G249" s="137">
        <f t="shared" si="45"/>
        <v>277715.42761211365</v>
      </c>
      <c r="H249" s="137">
        <f t="shared" si="42"/>
        <v>14490</v>
      </c>
      <c r="I249" s="137">
        <f t="shared" si="43"/>
        <v>12117.847389146529</v>
      </c>
      <c r="J249" s="137">
        <f t="shared" si="52"/>
        <v>2372.1526108534704</v>
      </c>
      <c r="K249" s="137">
        <f>IF(C249="","",IF(Simul_ConstruRemo!$I$10=Simul_ConstruRemo!$BV$6,(Simul_ConstruRemo!$I$16*0.7+Simul_ConstruRemo!$I$17*0.5),Simul_ConstruRemo!$CO$27))</f>
        <v>2606295</v>
      </c>
      <c r="L249" s="137">
        <f>IFERROR(Q249*Simul_ConstruRemo!$BP$30/1000,"")</f>
        <v>116.86293529810554</v>
      </c>
      <c r="M249" s="137">
        <f>IFERROR(IF($E$7="Remodelación",K249*Simul_ConstruRemo!$BS$29,
IF(E249=1,MAX(K249,Q249)*Simul_ConstruRemo!$BS$29,K249*Simul_ConstruRemo!$BQ$29)),"")</f>
        <v>827.2389712662</v>
      </c>
      <c r="N249" s="13">
        <f>IF(C249="","",'Tabla_Puntual&amp;Relacionamiento'!$E$55)</f>
        <v>0.10249999999999999</v>
      </c>
      <c r="O249" s="183"/>
      <c r="P249" s="137">
        <f t="shared" si="44"/>
        <v>15434.101906564307</v>
      </c>
      <c r="Q249" s="137">
        <f t="shared" si="46"/>
        <v>265597.58022296714</v>
      </c>
      <c r="R249" s="37">
        <f t="shared" si="50"/>
        <v>1</v>
      </c>
      <c r="S249" s="137"/>
      <c r="T249" s="137"/>
      <c r="Z249" s="63"/>
      <c r="AA249" s="35">
        <f t="shared" si="41"/>
        <v>15319.999979493106</v>
      </c>
      <c r="AB249" s="63">
        <f>IF(OR(Q249="",Q249&lt;=0.01),"",IF(SUM($F$23:F249)=Simul_ConstruRemo!$I$26,1,0))</f>
        <v>1</v>
      </c>
      <c r="AC249">
        <f t="shared" si="47"/>
        <v>222</v>
      </c>
      <c r="AD249" s="147">
        <f t="shared" si="48"/>
        <v>221</v>
      </c>
      <c r="AF249" t="str">
        <f t="shared" si="51"/>
        <v>Obra Concluida</v>
      </c>
      <c r="AI249">
        <f>IF(SUM($F$23:F248)&gt;=$K$9,1,0)</f>
        <v>1</v>
      </c>
    </row>
    <row r="250" spans="3:35" x14ac:dyDescent="0.25">
      <c r="C250" s="37">
        <f>IFERROR(IF(Q249&lt;=0.01,"",IF(C249+1&gt;Simul_ConstruRemo!$BN$11,"",C249+1)),"")</f>
        <v>228</v>
      </c>
      <c r="D250" s="37" t="str">
        <f>IF(C250&gt;Simul_ConstruRemo!$I$19,"",IF(Simul_ConstruRemo!I288=100%,"",IFERROR(VLOOKUP(C250,Simul_ConstruRemo!$AX$61:$AY$64,2,0),D249)))</f>
        <v/>
      </c>
      <c r="E250" s="136">
        <f>IF(C250="","",IF(AF250="Ministración",Simul_ConstruRemo!BM286,1))</f>
        <v>1</v>
      </c>
      <c r="F250" s="35">
        <f t="shared" si="49"/>
        <v>0</v>
      </c>
      <c r="G250" s="137">
        <f t="shared" si="45"/>
        <v>265597.58022296714</v>
      </c>
      <c r="H250" s="137">
        <f t="shared" si="42"/>
        <v>14490</v>
      </c>
      <c r="I250" s="137">
        <f t="shared" si="43"/>
        <v>12221.354002262156</v>
      </c>
      <c r="J250" s="137">
        <f t="shared" si="52"/>
        <v>2268.645997737844</v>
      </c>
      <c r="K250" s="137">
        <f>IF(C250="","",IF(Simul_ConstruRemo!$I$10=Simul_ConstruRemo!$BV$6,(Simul_ConstruRemo!$I$16*0.7+Simul_ConstruRemo!$I$17*0.5),Simul_ConstruRemo!$CO$27))</f>
        <v>2606295</v>
      </c>
      <c r="L250" s="137">
        <f>IFERROR(Q250*Simul_ConstruRemo!$BP$30/1000,"")</f>
        <v>111.48553953711018</v>
      </c>
      <c r="M250" s="137">
        <f>IFERROR(IF($E$7="Remodelación",K250*Simul_ConstruRemo!$BS$29,
IF(E250=1,MAX(K250,Q250)*Simul_ConstruRemo!$BS$29,K250*Simul_ConstruRemo!$BQ$29)),"")</f>
        <v>827.2389712662</v>
      </c>
      <c r="N250" s="13">
        <f>IF(C250="","",'Tabla_Puntual&amp;Relacionamiento'!$E$55)</f>
        <v>0.10249999999999999</v>
      </c>
      <c r="O250" s="183"/>
      <c r="P250" s="137">
        <f t="shared" si="44"/>
        <v>15428.724510803311</v>
      </c>
      <c r="Q250" s="137">
        <f t="shared" si="46"/>
        <v>253376.22622070499</v>
      </c>
      <c r="R250" s="37">
        <f t="shared" si="50"/>
        <v>1</v>
      </c>
      <c r="S250" s="137"/>
      <c r="T250" s="137"/>
      <c r="Z250" s="63"/>
      <c r="AA250" s="35">
        <f t="shared" si="41"/>
        <v>15314.622583732111</v>
      </c>
      <c r="AB250" s="63">
        <f>IF(OR(Q250="",Q250&lt;=0.01),"",IF(SUM($F$23:F250)=Simul_ConstruRemo!$I$26,1,0))</f>
        <v>1</v>
      </c>
      <c r="AC250">
        <f t="shared" si="47"/>
        <v>223</v>
      </c>
      <c r="AD250" s="147">
        <f t="shared" si="48"/>
        <v>222</v>
      </c>
      <c r="AF250" t="str">
        <f t="shared" si="51"/>
        <v>Obra Concluida</v>
      </c>
      <c r="AI250">
        <f>IF(SUM($F$23:F249)&gt;=$K$9,1,0)</f>
        <v>1</v>
      </c>
    </row>
    <row r="251" spans="3:35" x14ac:dyDescent="0.25">
      <c r="C251" s="37">
        <f>IFERROR(IF(Q250&lt;=0.01,"",IF(C250+1&gt;Simul_ConstruRemo!$BN$11,"",C250+1)),"")</f>
        <v>229</v>
      </c>
      <c r="D251" s="37" t="str">
        <f>IF(C251&gt;Simul_ConstruRemo!$I$19,"",IF(Simul_ConstruRemo!I289=100%,"",IFERROR(VLOOKUP(C251,Simul_ConstruRemo!$AX$61:$AY$64,2,0),D250)))</f>
        <v/>
      </c>
      <c r="E251" s="136">
        <f>IF(C251="","",IF(AF251="Ministración",Simul_ConstruRemo!BM287,1))</f>
        <v>1</v>
      </c>
      <c r="F251" s="35">
        <f t="shared" si="49"/>
        <v>0</v>
      </c>
      <c r="G251" s="137">
        <f t="shared" si="45"/>
        <v>253376.22622070499</v>
      </c>
      <c r="H251" s="137">
        <f t="shared" si="42"/>
        <v>14490</v>
      </c>
      <c r="I251" s="137">
        <f t="shared" si="43"/>
        <v>12325.744734364811</v>
      </c>
      <c r="J251" s="137">
        <f t="shared" si="52"/>
        <v>2164.2552656351886</v>
      </c>
      <c r="K251" s="137">
        <f>IF(C251="","",IF(Simul_ConstruRemo!$I$10=Simul_ConstruRemo!$BV$6,(Simul_ConstruRemo!$I$16*0.7+Simul_ConstruRemo!$I$17*0.5),Simul_ConstruRemo!$CO$27))</f>
        <v>2606295</v>
      </c>
      <c r="L251" s="137">
        <f>IFERROR(Q251*Simul_ConstruRemo!$BP$30/1000,"")</f>
        <v>106.06221185398968</v>
      </c>
      <c r="M251" s="137">
        <f>IFERROR(IF($E$7="Remodelación",K251*Simul_ConstruRemo!$BS$29,
IF(E251=1,MAX(K251,Q251)*Simul_ConstruRemo!$BS$29,K251*Simul_ConstruRemo!$BQ$29)),"")</f>
        <v>827.2389712662</v>
      </c>
      <c r="N251" s="13">
        <f>IF(C251="","",'Tabla_Puntual&amp;Relacionamiento'!$E$56)</f>
        <v>0.10249999999999999</v>
      </c>
      <c r="O251" s="183"/>
      <c r="P251" s="137">
        <f t="shared" si="44"/>
        <v>15423.301183120191</v>
      </c>
      <c r="Q251" s="137">
        <f t="shared" si="46"/>
        <v>241050.48148634017</v>
      </c>
      <c r="R251" s="37">
        <f t="shared" si="50"/>
        <v>1</v>
      </c>
      <c r="S251" s="137"/>
      <c r="T251" s="137"/>
      <c r="Z251" s="63"/>
      <c r="AA251" s="35">
        <f t="shared" si="41"/>
        <v>15309.199256048991</v>
      </c>
      <c r="AB251" s="63">
        <f>IF(OR(Q251="",Q251&lt;=0.01),"",IF(SUM($F$23:F251)=Simul_ConstruRemo!$I$26,1,0))</f>
        <v>1</v>
      </c>
      <c r="AC251">
        <f t="shared" si="47"/>
        <v>224</v>
      </c>
      <c r="AD251" s="147">
        <f t="shared" si="48"/>
        <v>223</v>
      </c>
      <c r="AF251" t="str">
        <f t="shared" si="51"/>
        <v>Obra Concluida</v>
      </c>
      <c r="AI251">
        <f>IF(SUM($F$23:F250)&gt;=$K$9,1,0)</f>
        <v>1</v>
      </c>
    </row>
    <row r="252" spans="3:35" x14ac:dyDescent="0.25">
      <c r="C252" s="37">
        <f>IFERROR(IF(Q251&lt;=0.01,"",IF(C251+1&gt;Simul_ConstruRemo!$BN$11,"",C251+1)),"")</f>
        <v>230</v>
      </c>
      <c r="D252" s="37" t="str">
        <f>IF(C252&gt;Simul_ConstruRemo!$I$19,"",IF(Simul_ConstruRemo!I290=100%,"",IFERROR(VLOOKUP(C252,Simul_ConstruRemo!$AX$61:$AY$64,2,0),D251)))</f>
        <v/>
      </c>
      <c r="E252" s="136">
        <f>IF(C252="","",IF(AF252="Ministración",Simul_ConstruRemo!BM288,1))</f>
        <v>1</v>
      </c>
      <c r="F252" s="35">
        <f t="shared" si="49"/>
        <v>0</v>
      </c>
      <c r="G252" s="137">
        <f t="shared" si="45"/>
        <v>241050.48148634017</v>
      </c>
      <c r="H252" s="137">
        <f t="shared" si="42"/>
        <v>14490</v>
      </c>
      <c r="I252" s="137">
        <f t="shared" si="43"/>
        <v>12431.027137304178</v>
      </c>
      <c r="J252" s="137">
        <f t="shared" si="52"/>
        <v>2058.9728626958222</v>
      </c>
      <c r="K252" s="137">
        <f>IF(C252="","",IF(Simul_ConstruRemo!$I$10=Simul_ConstruRemo!$BV$6,(Simul_ConstruRemo!$I$16*0.7+Simul_ConstruRemo!$I$17*0.5),Simul_ConstruRemo!$CO$27))</f>
        <v>2606295</v>
      </c>
      <c r="L252" s="137">
        <f>IFERROR(Q252*Simul_ConstruRemo!$BP$30/1000,"")</f>
        <v>100.59255991357584</v>
      </c>
      <c r="M252" s="137">
        <f>IFERROR(IF($E$7="Remodelación",K252*Simul_ConstruRemo!$BS$29,
IF(E252=1,MAX(K252,Q252)*Simul_ConstruRemo!$BS$29,K252*Simul_ConstruRemo!$BQ$29)),"")</f>
        <v>827.2389712662</v>
      </c>
      <c r="N252" s="13">
        <f>IF(C252="","",'Tabla_Puntual&amp;Relacionamiento'!$E$56)</f>
        <v>0.10249999999999999</v>
      </c>
      <c r="O252" s="183"/>
      <c r="P252" s="137">
        <f t="shared" si="44"/>
        <v>15417.831531179776</v>
      </c>
      <c r="Q252" s="137">
        <f t="shared" si="46"/>
        <v>228619.45434903598</v>
      </c>
      <c r="R252" s="37">
        <f t="shared" si="50"/>
        <v>1</v>
      </c>
      <c r="S252" s="137"/>
      <c r="T252" s="137"/>
      <c r="Z252" s="63"/>
      <c r="AA252" s="35">
        <f t="shared" si="41"/>
        <v>15303.729604108576</v>
      </c>
      <c r="AB252" s="63">
        <f>IF(OR(Q252="",Q252&lt;=0.01),"",IF(SUM($F$23:F252)=Simul_ConstruRemo!$I$26,1,0))</f>
        <v>1</v>
      </c>
      <c r="AC252">
        <f t="shared" si="47"/>
        <v>225</v>
      </c>
      <c r="AD252" s="147">
        <f t="shared" si="48"/>
        <v>224</v>
      </c>
      <c r="AF252" t="str">
        <f t="shared" si="51"/>
        <v>Obra Concluida</v>
      </c>
      <c r="AI252">
        <f>IF(SUM($F$23:F251)&gt;=$K$9,1,0)</f>
        <v>1</v>
      </c>
    </row>
    <row r="253" spans="3:35" x14ac:dyDescent="0.25">
      <c r="C253" s="37">
        <f>IFERROR(IF(Q252&lt;=0.01,"",IF(C252+1&gt;Simul_ConstruRemo!$BN$11,"",C252+1)),"")</f>
        <v>231</v>
      </c>
      <c r="D253" s="37" t="str">
        <f>IF(C253&gt;Simul_ConstruRemo!$I$19,"",IF(Simul_ConstruRemo!I291=100%,"",IFERROR(VLOOKUP(C253,Simul_ConstruRemo!$AX$61:$AY$64,2,0),D252)))</f>
        <v/>
      </c>
      <c r="E253" s="136">
        <f>IF(C253="","",IF(AF253="Ministración",Simul_ConstruRemo!BM289,1))</f>
        <v>1</v>
      </c>
      <c r="F253" s="35">
        <f t="shared" si="49"/>
        <v>0</v>
      </c>
      <c r="G253" s="137">
        <f t="shared" si="45"/>
        <v>228619.45434903598</v>
      </c>
      <c r="H253" s="137">
        <f t="shared" si="42"/>
        <v>14490</v>
      </c>
      <c r="I253" s="137">
        <f t="shared" si="43"/>
        <v>12537.208827435317</v>
      </c>
      <c r="J253" s="137">
        <f t="shared" si="52"/>
        <v>1952.791172564682</v>
      </c>
      <c r="K253" s="137">
        <f>IF(C253="","",IF(Simul_ConstruRemo!$I$10=Simul_ConstruRemo!$BV$6,(Simul_ConstruRemo!$I$16*0.7+Simul_ConstruRemo!$I$17*0.5),Simul_ConstruRemo!$CO$27))</f>
        <v>2606295</v>
      </c>
      <c r="L253" s="137">
        <f>IFERROR(Q253*Simul_ConstruRemo!$BP$30/1000,"")</f>
        <v>95.07618802950428</v>
      </c>
      <c r="M253" s="137">
        <f>IFERROR(IF($E$7="Remodelación",K253*Simul_ConstruRemo!$BS$29,
IF(E253=1,MAX(K253,Q253)*Simul_ConstruRemo!$BS$29,K253*Simul_ConstruRemo!$BQ$29)),"")</f>
        <v>827.2389712662</v>
      </c>
      <c r="N253" s="13">
        <f>IF(C253="","",'Tabla_Puntual&amp;Relacionamiento'!$E$56)</f>
        <v>0.10249999999999999</v>
      </c>
      <c r="O253" s="183"/>
      <c r="P253" s="137">
        <f t="shared" si="44"/>
        <v>15412.315159295706</v>
      </c>
      <c r="Q253" s="137">
        <f t="shared" si="46"/>
        <v>216082.24552160065</v>
      </c>
      <c r="R253" s="37">
        <f t="shared" si="50"/>
        <v>1</v>
      </c>
      <c r="S253" s="137"/>
      <c r="T253" s="137"/>
      <c r="Z253" s="63"/>
      <c r="AA253" s="35">
        <f t="shared" si="41"/>
        <v>15298.213232224505</v>
      </c>
      <c r="AB253" s="63">
        <f>IF(OR(Q253="",Q253&lt;=0.01),"",IF(SUM($F$23:F253)=Simul_ConstruRemo!$I$26,1,0))</f>
        <v>1</v>
      </c>
      <c r="AC253">
        <f t="shared" si="47"/>
        <v>226</v>
      </c>
      <c r="AD253" s="147">
        <f t="shared" si="48"/>
        <v>225</v>
      </c>
      <c r="AF253" t="str">
        <f t="shared" si="51"/>
        <v>Obra Concluida</v>
      </c>
      <c r="AI253">
        <f>IF(SUM($F$23:F252)&gt;=$K$9,1,0)</f>
        <v>1</v>
      </c>
    </row>
    <row r="254" spans="3:35" x14ac:dyDescent="0.25">
      <c r="C254" s="37">
        <f>IFERROR(IF(Q253&lt;=0.01,"",IF(C253+1&gt;Simul_ConstruRemo!$BN$11,"",C253+1)),"")</f>
        <v>232</v>
      </c>
      <c r="D254" s="37" t="str">
        <f>IF(C254&gt;Simul_ConstruRemo!$I$19,"",IF(Simul_ConstruRemo!I292=100%,"",IFERROR(VLOOKUP(C254,Simul_ConstruRemo!$AX$61:$AY$64,2,0),D253)))</f>
        <v/>
      </c>
      <c r="E254" s="136">
        <f>IF(C254="","",IF(AF254="Ministración",Simul_ConstruRemo!BM290,1))</f>
        <v>1</v>
      </c>
      <c r="F254" s="35">
        <f t="shared" si="49"/>
        <v>0</v>
      </c>
      <c r="G254" s="137">
        <f t="shared" si="45"/>
        <v>216082.24552160065</v>
      </c>
      <c r="H254" s="137">
        <f t="shared" si="42"/>
        <v>14490</v>
      </c>
      <c r="I254" s="137">
        <f t="shared" si="43"/>
        <v>12644.29748616966</v>
      </c>
      <c r="J254" s="137">
        <f t="shared" si="52"/>
        <v>1845.7025138303388</v>
      </c>
      <c r="K254" s="137">
        <f>IF(C254="","",IF(Simul_ConstruRemo!$I$10=Simul_ConstruRemo!$BV$6,(Simul_ConstruRemo!$I$16*0.7+Simul_ConstruRemo!$I$17*0.5),Simul_ConstruRemo!$CO$27))</f>
        <v>2606295</v>
      </c>
      <c r="L254" s="137">
        <f>IFERROR(Q254*Simul_ConstruRemo!$BP$30/1000,"")</f>
        <v>89.512697135589619</v>
      </c>
      <c r="M254" s="137">
        <f>IFERROR(IF($E$7="Remodelación",K254*Simul_ConstruRemo!$BS$29,
IF(E254=1,MAX(K254,Q254)*Simul_ConstruRemo!$BS$29,K254*Simul_ConstruRemo!$BQ$29)),"")</f>
        <v>827.2389712662</v>
      </c>
      <c r="N254" s="13">
        <f>IF(C254="","",'Tabla_Puntual&amp;Relacionamiento'!$E$56)</f>
        <v>0.10249999999999999</v>
      </c>
      <c r="O254" s="183"/>
      <c r="P254" s="137">
        <f t="shared" si="44"/>
        <v>15406.75166840179</v>
      </c>
      <c r="Q254" s="137">
        <f t="shared" si="46"/>
        <v>203437.94803543098</v>
      </c>
      <c r="R254" s="37">
        <f t="shared" si="50"/>
        <v>1</v>
      </c>
      <c r="S254" s="137"/>
      <c r="T254" s="137"/>
      <c r="Z254" s="63"/>
      <c r="AA254" s="35">
        <f t="shared" si="41"/>
        <v>15292.64974133059</v>
      </c>
      <c r="AB254" s="63">
        <f>IF(OR(Q254="",Q254&lt;=0.01),"",IF(SUM($F$23:F254)=Simul_ConstruRemo!$I$26,1,0))</f>
        <v>1</v>
      </c>
      <c r="AC254">
        <f t="shared" si="47"/>
        <v>227</v>
      </c>
      <c r="AD254" s="147">
        <f t="shared" si="48"/>
        <v>226</v>
      </c>
      <c r="AF254" t="str">
        <f t="shared" si="51"/>
        <v>Obra Concluida</v>
      </c>
      <c r="AI254">
        <f>IF(SUM($F$23:F253)&gt;=$K$9,1,0)</f>
        <v>1</v>
      </c>
    </row>
    <row r="255" spans="3:35" x14ac:dyDescent="0.25">
      <c r="C255" s="37">
        <f>IFERROR(IF(Q254&lt;=0.01,"",IF(C254+1&gt;Simul_ConstruRemo!$BN$11,"",C254+1)),"")</f>
        <v>233</v>
      </c>
      <c r="D255" s="37" t="str">
        <f>IF(C255&gt;Simul_ConstruRemo!$I$19,"",IF(Simul_ConstruRemo!I293=100%,"",IFERROR(VLOOKUP(C255,Simul_ConstruRemo!$AX$61:$AY$64,2,0),D254)))</f>
        <v/>
      </c>
      <c r="E255" s="136">
        <f>IF(C255="","",IF(AF255="Ministración",Simul_ConstruRemo!BM291,1))</f>
        <v>1</v>
      </c>
      <c r="F255" s="35">
        <f t="shared" si="49"/>
        <v>0</v>
      </c>
      <c r="G255" s="137">
        <f t="shared" si="45"/>
        <v>203437.94803543098</v>
      </c>
      <c r="H255" s="137">
        <f t="shared" si="42"/>
        <v>14490</v>
      </c>
      <c r="I255" s="137">
        <f t="shared" si="43"/>
        <v>12752.300860530693</v>
      </c>
      <c r="J255" s="137">
        <f t="shared" si="52"/>
        <v>1737.6991394693061</v>
      </c>
      <c r="K255" s="137">
        <f>IF(C255="","",IF(Simul_ConstruRemo!$I$10=Simul_ConstruRemo!$BV$6,(Simul_ConstruRemo!$I$16*0.7+Simul_ConstruRemo!$I$17*0.5),Simul_ConstruRemo!$CO$27))</f>
        <v>2606295</v>
      </c>
      <c r="L255" s="137">
        <f>IFERROR(Q255*Simul_ConstruRemo!$BP$30/1000,"")</f>
        <v>83.901684756956115</v>
      </c>
      <c r="M255" s="137">
        <f>IFERROR(IF($E$7="Remodelación",K255*Simul_ConstruRemo!$BS$29,
IF(E255=1,MAX(K255,Q255)*Simul_ConstruRemo!$BS$29,K255*Simul_ConstruRemo!$BQ$29)),"")</f>
        <v>827.2389712662</v>
      </c>
      <c r="N255" s="13">
        <f>IF(C255="","",'Tabla_Puntual&amp;Relacionamiento'!$E$56)</f>
        <v>0.10249999999999999</v>
      </c>
      <c r="O255" s="183"/>
      <c r="P255" s="137">
        <f t="shared" si="44"/>
        <v>15401.140656023157</v>
      </c>
      <c r="Q255" s="137">
        <f t="shared" si="46"/>
        <v>190685.64717490028</v>
      </c>
      <c r="R255" s="37">
        <f t="shared" si="50"/>
        <v>1</v>
      </c>
      <c r="S255" s="137"/>
      <c r="T255" s="137"/>
      <c r="Z255" s="63"/>
      <c r="AA255" s="35">
        <f t="shared" si="41"/>
        <v>15287.038728951957</v>
      </c>
      <c r="AB255" s="63">
        <f>IF(OR(Q255="",Q255&lt;=0.01),"",IF(SUM($F$23:F255)=Simul_ConstruRemo!$I$26,1,0))</f>
        <v>1</v>
      </c>
      <c r="AC255">
        <f t="shared" si="47"/>
        <v>228</v>
      </c>
      <c r="AD255" s="147">
        <f t="shared" si="48"/>
        <v>227</v>
      </c>
      <c r="AF255" t="str">
        <f t="shared" si="51"/>
        <v>Obra Concluida</v>
      </c>
      <c r="AI255">
        <f>IF(SUM($F$23:F254)&gt;=$K$9,1,0)</f>
        <v>1</v>
      </c>
    </row>
    <row r="256" spans="3:35" x14ac:dyDescent="0.25">
      <c r="C256" s="37">
        <f>IFERROR(IF(Q255&lt;=0.01,"",IF(C255+1&gt;Simul_ConstruRemo!$BN$11,"",C255+1)),"")</f>
        <v>234</v>
      </c>
      <c r="D256" s="37" t="str">
        <f>IF(C256&gt;Simul_ConstruRemo!$I$19,"",IF(Simul_ConstruRemo!I294=100%,"",IFERROR(VLOOKUP(C256,Simul_ConstruRemo!$AX$61:$AY$64,2,0),D255)))</f>
        <v/>
      </c>
      <c r="E256" s="136">
        <f>IF(C256="","",IF(AF256="Ministración",Simul_ConstruRemo!BM292,1))</f>
        <v>1</v>
      </c>
      <c r="F256" s="35">
        <f t="shared" si="49"/>
        <v>0</v>
      </c>
      <c r="G256" s="137">
        <f t="shared" si="45"/>
        <v>190685.64717490028</v>
      </c>
      <c r="H256" s="137">
        <f t="shared" si="42"/>
        <v>14490</v>
      </c>
      <c r="I256" s="137">
        <f t="shared" si="43"/>
        <v>12861.226763714394</v>
      </c>
      <c r="J256" s="137">
        <f t="shared" si="52"/>
        <v>1628.7732362856066</v>
      </c>
      <c r="K256" s="137">
        <f>IF(C256="","",IF(Simul_ConstruRemo!$I$10=Simul_ConstruRemo!$BV$6,(Simul_ConstruRemo!$I$16*0.7+Simul_ConstruRemo!$I$17*0.5),Simul_ConstruRemo!$CO$27))</f>
        <v>2606295</v>
      </c>
      <c r="L256" s="137">
        <f>IFERROR(Q256*Simul_ConstruRemo!$BP$30/1000,"")</f>
        <v>78.242744980921799</v>
      </c>
      <c r="M256" s="137">
        <f>IFERROR(IF($E$7="Remodelación",K256*Simul_ConstruRemo!$BS$29,
IF(E256=1,MAX(K256,Q256)*Simul_ConstruRemo!$BS$29,K256*Simul_ConstruRemo!$BQ$29)),"")</f>
        <v>827.2389712662</v>
      </c>
      <c r="N256" s="13">
        <f>IF(C256="","",'Tabla_Puntual&amp;Relacionamiento'!$E$56)</f>
        <v>0.10249999999999999</v>
      </c>
      <c r="O256" s="183"/>
      <c r="P256" s="137">
        <f t="shared" si="44"/>
        <v>15395.481716247123</v>
      </c>
      <c r="Q256" s="137">
        <f t="shared" si="46"/>
        <v>177824.42041118589</v>
      </c>
      <c r="R256" s="37">
        <f t="shared" si="50"/>
        <v>1</v>
      </c>
      <c r="S256" s="137"/>
      <c r="T256" s="137"/>
      <c r="Z256" s="63"/>
      <c r="AA256" s="35">
        <f t="shared" si="41"/>
        <v>15281.379789175922</v>
      </c>
      <c r="AB256" s="63">
        <f>IF(OR(Q256="",Q256&lt;=0.01),"",IF(SUM($F$23:F256)=Simul_ConstruRemo!$I$26,1,0))</f>
        <v>1</v>
      </c>
      <c r="AC256">
        <f t="shared" si="47"/>
        <v>229</v>
      </c>
      <c r="AD256" s="147">
        <f t="shared" si="48"/>
        <v>228</v>
      </c>
      <c r="AF256" t="str">
        <f t="shared" si="51"/>
        <v>Obra Concluida</v>
      </c>
      <c r="AI256">
        <f>IF(SUM($F$23:F255)&gt;=$K$9,1,0)</f>
        <v>1</v>
      </c>
    </row>
    <row r="257" spans="3:35" x14ac:dyDescent="0.25">
      <c r="C257" s="37">
        <f>IFERROR(IF(Q256&lt;=0.01,"",IF(C256+1&gt;Simul_ConstruRemo!$BN$11,"",C256+1)),"")</f>
        <v>235</v>
      </c>
      <c r="D257" s="37" t="str">
        <f>IF(C257&gt;Simul_ConstruRemo!$I$19,"",IF(Simul_ConstruRemo!I295=100%,"",IFERROR(VLOOKUP(C257,Simul_ConstruRemo!$AX$61:$AY$64,2,0),D256)))</f>
        <v/>
      </c>
      <c r="E257" s="136">
        <f>IF(C257="","",IF(AF257="Ministración",Simul_ConstruRemo!BM293,1))</f>
        <v>1</v>
      </c>
      <c r="F257" s="35">
        <f t="shared" si="49"/>
        <v>0</v>
      </c>
      <c r="G257" s="137">
        <f t="shared" si="45"/>
        <v>177824.42041118589</v>
      </c>
      <c r="H257" s="137">
        <f t="shared" si="42"/>
        <v>14490</v>
      </c>
      <c r="I257" s="137">
        <f t="shared" si="43"/>
        <v>12971.083075654455</v>
      </c>
      <c r="J257" s="137">
        <f t="shared" si="52"/>
        <v>1518.916924345546</v>
      </c>
      <c r="K257" s="137">
        <f>IF(C257="","",IF(Simul_ConstruRemo!$I$10=Simul_ConstruRemo!$BV$6,(Simul_ConstruRemo!$I$16*0.7+Simul_ConstruRemo!$I$17*0.5),Simul_ConstruRemo!$CO$27))</f>
        <v>2606295</v>
      </c>
      <c r="L257" s="137">
        <f>IFERROR(Q257*Simul_ConstruRemo!$BP$30/1000,"")</f>
        <v>72.535468427633816</v>
      </c>
      <c r="M257" s="137">
        <f>IFERROR(IF($E$7="Remodelación",K257*Simul_ConstruRemo!$BS$29,
IF(E257=1,MAX(K257,Q257)*Simul_ConstruRemo!$BS$29,K257*Simul_ConstruRemo!$BQ$29)),"")</f>
        <v>827.2389712662</v>
      </c>
      <c r="N257" s="13">
        <f>IF(C257="","",'Tabla_Puntual&amp;Relacionamiento'!$E$56)</f>
        <v>0.10249999999999999</v>
      </c>
      <c r="O257" s="183"/>
      <c r="P257" s="137">
        <f t="shared" si="44"/>
        <v>15389.774439693834</v>
      </c>
      <c r="Q257" s="137">
        <f t="shared" si="46"/>
        <v>164853.33733553143</v>
      </c>
      <c r="R257" s="37">
        <f t="shared" si="50"/>
        <v>1</v>
      </c>
      <c r="S257" s="137"/>
      <c r="T257" s="137"/>
      <c r="Z257" s="63"/>
      <c r="AA257" s="35">
        <f t="shared" si="41"/>
        <v>15275.672512622634</v>
      </c>
      <c r="AB257" s="63">
        <f>IF(OR(Q257="",Q257&lt;=0.01),"",IF(SUM($F$23:F257)=Simul_ConstruRemo!$I$26,1,0))</f>
        <v>1</v>
      </c>
      <c r="AC257">
        <f t="shared" si="47"/>
        <v>230</v>
      </c>
      <c r="AD257" s="147">
        <f t="shared" si="48"/>
        <v>229</v>
      </c>
      <c r="AF257" t="str">
        <f t="shared" si="51"/>
        <v>Obra Concluida</v>
      </c>
      <c r="AI257">
        <f>IF(SUM($F$23:F256)&gt;=$K$9,1,0)</f>
        <v>1</v>
      </c>
    </row>
    <row r="258" spans="3:35" x14ac:dyDescent="0.25">
      <c r="C258" s="37">
        <f>IFERROR(IF(Q257&lt;=0.01,"",IF(C257+1&gt;Simul_ConstruRemo!$BN$11,"",C257+1)),"")</f>
        <v>236</v>
      </c>
      <c r="D258" s="37" t="str">
        <f>IF(C258&gt;Simul_ConstruRemo!$I$19,"",IF(Simul_ConstruRemo!I296=100%,"",IFERROR(VLOOKUP(C258,Simul_ConstruRemo!$AX$61:$AY$64,2,0),D257)))</f>
        <v/>
      </c>
      <c r="E258" s="136">
        <f>IF(C258="","",IF(AF258="Ministración",Simul_ConstruRemo!BM294,1))</f>
        <v>1</v>
      </c>
      <c r="F258" s="35">
        <f t="shared" si="49"/>
        <v>0</v>
      </c>
      <c r="G258" s="137">
        <f t="shared" si="45"/>
        <v>164853.33733553143</v>
      </c>
      <c r="H258" s="137">
        <f t="shared" si="42"/>
        <v>14490</v>
      </c>
      <c r="I258" s="137">
        <f t="shared" si="43"/>
        <v>13081.877743592337</v>
      </c>
      <c r="J258" s="137">
        <f t="shared" si="52"/>
        <v>1408.1222564076643</v>
      </c>
      <c r="K258" s="137">
        <f>IF(C258="","",IF(Simul_ConstruRemo!$I$10=Simul_ConstruRemo!$BV$6,(Simul_ConstruRemo!$I$16*0.7+Simul_ConstruRemo!$I$17*0.5),Simul_ConstruRemo!$CO$27))</f>
        <v>2606295</v>
      </c>
      <c r="L258" s="137">
        <f>IFERROR(Q258*Simul_ConstruRemo!$BP$30/1000,"")</f>
        <v>66.779442220453205</v>
      </c>
      <c r="M258" s="137">
        <f>IFERROR(IF($E$7="Remodelación",K258*Simul_ConstruRemo!$BS$29,
IF(E258=1,MAX(K258,Q258)*Simul_ConstruRemo!$BS$29,K258*Simul_ConstruRemo!$BQ$29)),"")</f>
        <v>827.2389712662</v>
      </c>
      <c r="N258" s="13">
        <f>IF(C258="","",'Tabla_Puntual&amp;Relacionamiento'!$E$56)</f>
        <v>0.10249999999999999</v>
      </c>
      <c r="O258" s="183"/>
      <c r="P258" s="137">
        <f t="shared" si="44"/>
        <v>15384.018413486654</v>
      </c>
      <c r="Q258" s="137">
        <f t="shared" si="46"/>
        <v>151771.45959193908</v>
      </c>
      <c r="R258" s="37">
        <f t="shared" si="50"/>
        <v>1</v>
      </c>
      <c r="S258" s="137"/>
      <c r="T258" s="137"/>
      <c r="Z258" s="63"/>
      <c r="AA258" s="35">
        <f t="shared" si="41"/>
        <v>15269.916486415454</v>
      </c>
      <c r="AB258" s="63">
        <f>IF(OR(Q258="",Q258&lt;=0.01),"",IF(SUM($F$23:F258)=Simul_ConstruRemo!$I$26,1,0))</f>
        <v>1</v>
      </c>
      <c r="AC258">
        <f t="shared" si="47"/>
        <v>231</v>
      </c>
      <c r="AD258" s="147">
        <f t="shared" si="48"/>
        <v>230</v>
      </c>
      <c r="AF258" t="str">
        <f t="shared" si="51"/>
        <v>Obra Concluida</v>
      </c>
      <c r="AI258">
        <f>IF(SUM($F$23:F257)&gt;=$K$9,1,0)</f>
        <v>1</v>
      </c>
    </row>
    <row r="259" spans="3:35" x14ac:dyDescent="0.25">
      <c r="C259" s="37">
        <f>IFERROR(IF(Q258&lt;=0.01,"",IF(C258+1&gt;Simul_ConstruRemo!$BN$11,"",C258+1)),"")</f>
        <v>237</v>
      </c>
      <c r="D259" s="37" t="str">
        <f>IF(C259&gt;Simul_ConstruRemo!$I$19,"",IF(Simul_ConstruRemo!I297=100%,"",IFERROR(VLOOKUP(C259,Simul_ConstruRemo!$AX$61:$AY$64,2,0),D258)))</f>
        <v/>
      </c>
      <c r="E259" s="136">
        <f>IF(C259="","",IF(AF259="Ministración",Simul_ConstruRemo!BM295,1))</f>
        <v>1</v>
      </c>
      <c r="F259" s="35">
        <f t="shared" si="49"/>
        <v>0</v>
      </c>
      <c r="G259" s="137">
        <f t="shared" si="45"/>
        <v>151771.45959193908</v>
      </c>
      <c r="H259" s="137">
        <f t="shared" si="42"/>
        <v>14490</v>
      </c>
      <c r="I259" s="137">
        <f t="shared" si="43"/>
        <v>13193.618782652187</v>
      </c>
      <c r="J259" s="137">
        <f t="shared" si="52"/>
        <v>1296.3812173478129</v>
      </c>
      <c r="K259" s="137">
        <f>IF(C259="","",IF(Simul_ConstruRemo!$I$10=Simul_ConstruRemo!$BV$6,(Simul_ConstruRemo!$I$16*0.7+Simul_ConstruRemo!$I$17*0.5),Simul_ConstruRemo!$CO$27))</f>
        <v>2606295</v>
      </c>
      <c r="L259" s="137">
        <f>IFERROR(Q259*Simul_ConstruRemo!$BP$30/1000,"")</f>
        <v>60.974249956086233</v>
      </c>
      <c r="M259" s="137">
        <f>IFERROR(IF($E$7="Remodelación",K259*Simul_ConstruRemo!$BS$29,
IF(E259=1,MAX(K259,Q259)*Simul_ConstruRemo!$BS$29,K259*Simul_ConstruRemo!$BQ$29)),"")</f>
        <v>827.2389712662</v>
      </c>
      <c r="N259" s="13">
        <f>IF(C259="","",'Tabla_Puntual&amp;Relacionamiento'!$E$56)</f>
        <v>0.10249999999999999</v>
      </c>
      <c r="O259" s="183"/>
      <c r="P259" s="137">
        <f t="shared" si="44"/>
        <v>15378.213221222288</v>
      </c>
      <c r="Q259" s="137">
        <f t="shared" si="46"/>
        <v>138577.84080928689</v>
      </c>
      <c r="R259" s="37">
        <f t="shared" si="50"/>
        <v>1</v>
      </c>
      <c r="S259" s="137"/>
      <c r="T259" s="137"/>
      <c r="Z259" s="63"/>
      <c r="AA259" s="35">
        <f t="shared" si="41"/>
        <v>15264.111294151087</v>
      </c>
      <c r="AB259" s="63">
        <f>IF(OR(Q259="",Q259&lt;=0.01),"",IF(SUM($F$23:F259)=Simul_ConstruRemo!$I$26,1,0))</f>
        <v>1</v>
      </c>
      <c r="AC259">
        <f t="shared" si="47"/>
        <v>232</v>
      </c>
      <c r="AD259" s="147">
        <f t="shared" si="48"/>
        <v>231</v>
      </c>
      <c r="AF259" t="str">
        <f t="shared" si="51"/>
        <v>Obra Concluida</v>
      </c>
      <c r="AI259">
        <f>IF(SUM($F$23:F258)&gt;=$K$9,1,0)</f>
        <v>1</v>
      </c>
    </row>
    <row r="260" spans="3:35" x14ac:dyDescent="0.25">
      <c r="C260" s="37">
        <f>IFERROR(IF(Q259&lt;=0.01,"",IF(C259+1&gt;Simul_ConstruRemo!$BN$11,"",C259+1)),"")</f>
        <v>238</v>
      </c>
      <c r="D260" s="37" t="str">
        <f>IF(C260&gt;Simul_ConstruRemo!$I$19,"",IF(Simul_ConstruRemo!I298=100%,"",IFERROR(VLOOKUP(C260,Simul_ConstruRemo!$AX$61:$AY$64,2,0),D259)))</f>
        <v/>
      </c>
      <c r="E260" s="136">
        <f>IF(C260="","",IF(AF260="Ministración",Simul_ConstruRemo!BM296,1))</f>
        <v>1</v>
      </c>
      <c r="F260" s="35">
        <f t="shared" si="49"/>
        <v>0</v>
      </c>
      <c r="G260" s="137">
        <f t="shared" si="45"/>
        <v>138577.84080928689</v>
      </c>
      <c r="H260" s="137">
        <f t="shared" si="42"/>
        <v>14490</v>
      </c>
      <c r="I260" s="137">
        <f t="shared" si="43"/>
        <v>13306.314276420675</v>
      </c>
      <c r="J260" s="137">
        <f t="shared" si="52"/>
        <v>1183.6857235793254</v>
      </c>
      <c r="K260" s="137">
        <f>IF(C260="","",IF(Simul_ConstruRemo!$I$10=Simul_ConstruRemo!$BV$6,(Simul_ConstruRemo!$I$16*0.7+Simul_ConstruRemo!$I$17*0.5),Simul_ConstruRemo!$CO$27))</f>
        <v>2606295</v>
      </c>
      <c r="L260" s="137">
        <f>IFERROR(Q260*Simul_ConstruRemo!$BP$30/1000,"")</f>
        <v>55.119471674461138</v>
      </c>
      <c r="M260" s="137">
        <f>IFERROR(IF($E$7="Remodelación",K260*Simul_ConstruRemo!$BS$29,
IF(E260=1,MAX(K260,Q260)*Simul_ConstruRemo!$BS$29,K260*Simul_ConstruRemo!$BQ$29)),"")</f>
        <v>827.2389712662</v>
      </c>
      <c r="N260" s="13">
        <f>IF(C260="","",'Tabla_Puntual&amp;Relacionamiento'!$E$56)</f>
        <v>0.10249999999999999</v>
      </c>
      <c r="O260" s="183"/>
      <c r="P260" s="137">
        <f t="shared" si="44"/>
        <v>15372.358442940662</v>
      </c>
      <c r="Q260" s="137">
        <f t="shared" si="46"/>
        <v>125271.52653286622</v>
      </c>
      <c r="R260" s="37">
        <f t="shared" si="50"/>
        <v>1</v>
      </c>
      <c r="S260" s="137"/>
      <c r="T260" s="137"/>
      <c r="Z260" s="63"/>
      <c r="AA260" s="35">
        <f t="shared" si="41"/>
        <v>15258.256515869462</v>
      </c>
      <c r="AB260" s="63">
        <f>IF(OR(Q260="",Q260&lt;=0.01),"",IF(SUM($F$23:F260)=Simul_ConstruRemo!$I$26,1,0))</f>
        <v>1</v>
      </c>
      <c r="AC260">
        <f t="shared" si="47"/>
        <v>233</v>
      </c>
      <c r="AD260" s="147">
        <f t="shared" si="48"/>
        <v>232</v>
      </c>
      <c r="AF260" t="str">
        <f t="shared" si="51"/>
        <v>Obra Concluida</v>
      </c>
      <c r="AI260">
        <f>IF(SUM($F$23:F259)&gt;=$K$9,1,0)</f>
        <v>1</v>
      </c>
    </row>
    <row r="261" spans="3:35" x14ac:dyDescent="0.25">
      <c r="C261" s="37">
        <f>IFERROR(IF(Q260&lt;=0.01,"",IF(C260+1&gt;Simul_ConstruRemo!$BN$11,"",C260+1)),"")</f>
        <v>239</v>
      </c>
      <c r="D261" s="37" t="str">
        <f>IF(C261&gt;Simul_ConstruRemo!$I$19,"",IF(Simul_ConstruRemo!I299=100%,"",IFERROR(VLOOKUP(C261,Simul_ConstruRemo!$AX$61:$AY$64,2,0),D260)))</f>
        <v/>
      </c>
      <c r="E261" s="136">
        <f>IF(C261="","",IF(AF261="Ministración",Simul_ConstruRemo!BM297,1))</f>
        <v>1</v>
      </c>
      <c r="F261" s="35">
        <f t="shared" si="49"/>
        <v>0</v>
      </c>
      <c r="G261" s="137">
        <f t="shared" si="45"/>
        <v>125271.52653286622</v>
      </c>
      <c r="H261" s="137">
        <f t="shared" si="42"/>
        <v>14490</v>
      </c>
      <c r="I261" s="137">
        <f t="shared" si="43"/>
        <v>13419.972377531767</v>
      </c>
      <c r="J261" s="137">
        <f t="shared" si="52"/>
        <v>1070.0276224682323</v>
      </c>
      <c r="K261" s="137">
        <f>IF(C261="","",IF(Simul_ConstruRemo!$I$10=Simul_ConstruRemo!$BV$6,(Simul_ConstruRemo!$I$16*0.7+Simul_ConstruRemo!$I$17*0.5),Simul_ConstruRemo!$CO$27))</f>
        <v>2606295</v>
      </c>
      <c r="L261" s="137">
        <f>IFERROR(Q261*Simul_ConstruRemo!$BP$30/1000,"")</f>
        <v>49.214683828347162</v>
      </c>
      <c r="M261" s="137">
        <f>IFERROR(IF($E$7="Remodelación",K261*Simul_ConstruRemo!$BS$29,
IF(E261=1,MAX(K261,Q261)*Simul_ConstruRemo!$BS$29,K261*Simul_ConstruRemo!$BQ$29)),"")</f>
        <v>827.2389712662</v>
      </c>
      <c r="N261" s="13">
        <f>IF(C261="","",'Tabla_Puntual&amp;Relacionamiento'!$E$56)</f>
        <v>0.10249999999999999</v>
      </c>
      <c r="O261" s="183"/>
      <c r="P261" s="137">
        <f t="shared" si="44"/>
        <v>15366.453655094549</v>
      </c>
      <c r="Q261" s="137">
        <f t="shared" si="46"/>
        <v>111851.55415533445</v>
      </c>
      <c r="R261" s="37">
        <f t="shared" si="50"/>
        <v>1</v>
      </c>
      <c r="S261" s="137"/>
      <c r="T261" s="137"/>
      <c r="Z261" s="63"/>
      <c r="AA261" s="35">
        <f t="shared" si="41"/>
        <v>15252.351728023348</v>
      </c>
      <c r="AB261" s="63">
        <f>IF(OR(Q261="",Q261&lt;=0.01),"",IF(SUM($F$23:F261)=Simul_ConstruRemo!$I$26,1,0))</f>
        <v>1</v>
      </c>
      <c r="AC261">
        <f t="shared" si="47"/>
        <v>234</v>
      </c>
      <c r="AD261" s="147">
        <f t="shared" si="48"/>
        <v>233</v>
      </c>
      <c r="AF261" t="str">
        <f t="shared" si="51"/>
        <v>Obra Concluida</v>
      </c>
      <c r="AI261">
        <f>IF(SUM($F$23:F260)&gt;=$K$9,1,0)</f>
        <v>1</v>
      </c>
    </row>
    <row r="262" spans="3:35" x14ac:dyDescent="0.25">
      <c r="C262" s="37">
        <f>IFERROR(IF(Q261&lt;=0.01,"",IF(C261+1&gt;Simul_ConstruRemo!$BN$11,"",C261+1)),"")</f>
        <v>240</v>
      </c>
      <c r="D262" s="37" t="str">
        <f>IF(C262&gt;Simul_ConstruRemo!$I$19,"",IF(Simul_ConstruRemo!I300=100%,"",IFERROR(VLOOKUP(C262,Simul_ConstruRemo!$AX$61:$AY$64,2,0),D261)))</f>
        <v/>
      </c>
      <c r="E262" s="136">
        <f>IF(C262="","",IF(AF262="Ministración",Simul_ConstruRemo!BM298,1))</f>
        <v>1</v>
      </c>
      <c r="F262" s="35">
        <f t="shared" si="49"/>
        <v>0</v>
      </c>
      <c r="G262" s="137">
        <f t="shared" si="45"/>
        <v>111851.55415533445</v>
      </c>
      <c r="H262" s="137">
        <f t="shared" si="42"/>
        <v>14490</v>
      </c>
      <c r="I262" s="137">
        <f t="shared" si="43"/>
        <v>13534.601308256519</v>
      </c>
      <c r="J262" s="137">
        <f t="shared" si="52"/>
        <v>955.39869174348178</v>
      </c>
      <c r="K262" s="137">
        <f>IF(C262="","",IF(Simul_ConstruRemo!$I$10=Simul_ConstruRemo!$BV$6,(Simul_ConstruRemo!$I$16*0.7+Simul_ConstruRemo!$I$17*0.5),Simul_ConstruRemo!$CO$27))</f>
        <v>2606295</v>
      </c>
      <c r="L262" s="137">
        <f>IFERROR(Q262*Simul_ConstruRemo!$BP$30/1000,"")</f>
        <v>43.259459252714286</v>
      </c>
      <c r="M262" s="137">
        <f>IFERROR(IF($E$7="Remodelación",K262*Simul_ConstruRemo!$BS$29,
IF(E262=1,MAX(K262,Q262)*Simul_ConstruRemo!$BS$29,K262*Simul_ConstruRemo!$BQ$29)),"")</f>
        <v>827.2389712662</v>
      </c>
      <c r="N262" s="13">
        <f>IF(C262="","",'Tabla_Puntual&amp;Relacionamiento'!$E$56)</f>
        <v>0.10249999999999999</v>
      </c>
      <c r="O262" s="183"/>
      <c r="P262" s="137">
        <f t="shared" si="44"/>
        <v>15360.498430518915</v>
      </c>
      <c r="Q262" s="137">
        <f t="shared" si="46"/>
        <v>98316.952847077933</v>
      </c>
      <c r="R262" s="37">
        <f t="shared" si="50"/>
        <v>1</v>
      </c>
      <c r="S262" s="137"/>
      <c r="T262" s="137"/>
      <c r="Z262" s="63"/>
      <c r="AA262" s="35">
        <f t="shared" si="41"/>
        <v>15246.396503447715</v>
      </c>
      <c r="AB262" s="63">
        <f>IF(OR(Q262="",Q262&lt;=0.01),"",IF(SUM($F$23:F262)=Simul_ConstruRemo!$I$26,1,0))</f>
        <v>1</v>
      </c>
      <c r="AC262">
        <f t="shared" si="47"/>
        <v>235</v>
      </c>
      <c r="AD262" s="147">
        <f t="shared" si="48"/>
        <v>234</v>
      </c>
      <c r="AF262" t="str">
        <f t="shared" si="51"/>
        <v>Obra Concluida</v>
      </c>
      <c r="AI262">
        <f>IF(SUM($F$23:F261)&gt;=$K$9,1,0)</f>
        <v>1</v>
      </c>
    </row>
    <row r="263" spans="3:35" x14ac:dyDescent="0.25">
      <c r="C263" s="37">
        <f>IFERROR(IF(Q262&lt;=0.01,"",IF(C262+1&gt;Simul_ConstruRemo!$BN$11,"",C262+1)),"")</f>
        <v>241</v>
      </c>
      <c r="D263" s="37" t="str">
        <f>IF(C263&gt;Simul_ConstruRemo!$I$19,"",IF(Simul_ConstruRemo!I301=100%,"",IFERROR(VLOOKUP(C263,Simul_ConstruRemo!$AX$61:$AY$64,2,0),D262)))</f>
        <v/>
      </c>
      <c r="E263" s="136">
        <f>IF(C263="","",IF(AF263="Ministración",Simul_ConstruRemo!BM299,1))</f>
        <v>1</v>
      </c>
      <c r="F263" s="35">
        <f t="shared" si="49"/>
        <v>0</v>
      </c>
      <c r="G263" s="137">
        <f t="shared" si="45"/>
        <v>98316.952847077933</v>
      </c>
      <c r="H263" s="137">
        <f t="shared" si="42"/>
        <v>14490</v>
      </c>
      <c r="I263" s="137">
        <f t="shared" si="43"/>
        <v>13650.209361097875</v>
      </c>
      <c r="J263" s="137">
        <f t="shared" si="52"/>
        <v>839.79063890212399</v>
      </c>
      <c r="K263" s="137">
        <f>IF(C263="","",IF(Simul_ConstruRemo!$I$10=Simul_ConstruRemo!$BV$6,(Simul_ConstruRemo!$I$16*0.7+Simul_ConstruRemo!$I$17*0.5),Simul_ConstruRemo!$CO$27))</f>
        <v>2606295</v>
      </c>
      <c r="L263" s="137">
        <f>IFERROR(Q263*Simul_ConstruRemo!$BP$30/1000,"")</f>
        <v>37.253367133831226</v>
      </c>
      <c r="M263" s="137">
        <f>IFERROR(IF($E$7="Remodelación",K263*Simul_ConstruRemo!$BS$29,
IF(E263=1,MAX(K263,Q263)*Simul_ConstruRemo!$BS$29,K263*Simul_ConstruRemo!$BQ$29)),"")</f>
        <v>827.2389712662</v>
      </c>
      <c r="N263" s="13">
        <f>IF(C263="","",'Tabla_Puntual&amp;Relacionamiento'!$E$57)</f>
        <v>0.10249999999999999</v>
      </c>
      <c r="O263" s="183"/>
      <c r="P263" s="137">
        <f t="shared" si="44"/>
        <v>15354.492338400032</v>
      </c>
      <c r="Q263" s="137">
        <f t="shared" si="46"/>
        <v>84666.743485980056</v>
      </c>
      <c r="R263" s="37">
        <f t="shared" si="50"/>
        <v>1</v>
      </c>
      <c r="S263" s="137"/>
      <c r="T263" s="137"/>
      <c r="Z263" s="63"/>
      <c r="AA263" s="35">
        <f t="shared" si="41"/>
        <v>15240.390411328832</v>
      </c>
      <c r="AB263" s="63">
        <f>IF(OR(Q263="",Q263&lt;=0.01),"",IF(SUM($F$23:F263)=Simul_ConstruRemo!$I$26,1,0))</f>
        <v>1</v>
      </c>
      <c r="AC263">
        <f t="shared" si="47"/>
        <v>236</v>
      </c>
      <c r="AD263" s="147">
        <f t="shared" si="48"/>
        <v>235</v>
      </c>
      <c r="AF263" t="str">
        <f t="shared" si="51"/>
        <v>Obra Concluida</v>
      </c>
      <c r="AI263">
        <f>IF(SUM($F$23:F262)&gt;=$K$9,1,0)</f>
        <v>1</v>
      </c>
    </row>
    <row r="264" spans="3:35" x14ac:dyDescent="0.25">
      <c r="C264" s="37">
        <f>IFERROR(IF(Q263&lt;=0.01,"",IF(C263+1&gt;Simul_ConstruRemo!$BN$11,"",C263+1)),"")</f>
        <v>242</v>
      </c>
      <c r="D264" s="37" t="str">
        <f>IF(C264&gt;Simul_ConstruRemo!$I$19,"",IF(Simul_ConstruRemo!I302=100%,"",IFERROR(VLOOKUP(C264,Simul_ConstruRemo!$AX$61:$AY$64,2,0),D263)))</f>
        <v/>
      </c>
      <c r="E264" s="136">
        <f>IF(C264="","",IF(AF264="Ministración",Simul_ConstruRemo!BM300,1))</f>
        <v>1</v>
      </c>
      <c r="F264" s="35">
        <f t="shared" si="49"/>
        <v>0</v>
      </c>
      <c r="G264" s="137">
        <f t="shared" si="45"/>
        <v>84666.743485980056</v>
      </c>
      <c r="H264" s="137">
        <f t="shared" si="42"/>
        <v>14490</v>
      </c>
      <c r="I264" s="137">
        <f t="shared" si="43"/>
        <v>13766.804899390587</v>
      </c>
      <c r="J264" s="137">
        <f t="shared" si="52"/>
        <v>723.19510060941286</v>
      </c>
      <c r="K264" s="137">
        <f>IF(C264="","",IF(Simul_ConstruRemo!$I$10=Simul_ConstruRemo!$BV$6,(Simul_ConstruRemo!$I$16*0.7+Simul_ConstruRemo!$I$17*0.5),Simul_ConstruRemo!$CO$27))</f>
        <v>2606295</v>
      </c>
      <c r="L264" s="137">
        <f>IFERROR(Q264*Simul_ConstruRemo!$BP$30/1000,"")</f>
        <v>31.19597297809937</v>
      </c>
      <c r="M264" s="137">
        <f>IFERROR(IF($E$7="Remodelación",K264*Simul_ConstruRemo!$BS$29,
IF(E264=1,MAX(K264,Q264)*Simul_ConstruRemo!$BS$29,K264*Simul_ConstruRemo!$BQ$29)),"")</f>
        <v>827.2389712662</v>
      </c>
      <c r="N264" s="13">
        <f>IF(C264="","",'Tabla_Puntual&amp;Relacionamiento'!$E$57)</f>
        <v>0.10249999999999999</v>
      </c>
      <c r="O264" s="183"/>
      <c r="P264" s="137">
        <f t="shared" si="44"/>
        <v>15348.4349442443</v>
      </c>
      <c r="Q264" s="137">
        <f t="shared" si="46"/>
        <v>70899.938586589473</v>
      </c>
      <c r="R264" s="37">
        <f t="shared" si="50"/>
        <v>1</v>
      </c>
      <c r="S264" s="137"/>
      <c r="T264" s="137"/>
      <c r="Z264" s="63"/>
      <c r="AA264" s="35">
        <f t="shared" si="41"/>
        <v>15234.3330171731</v>
      </c>
      <c r="AB264" s="63">
        <f>IF(OR(Q264="",Q264&lt;=0.01),"",IF(SUM($F$23:F264)=Simul_ConstruRemo!$I$26,1,0))</f>
        <v>1</v>
      </c>
      <c r="AC264">
        <f t="shared" si="47"/>
        <v>237</v>
      </c>
      <c r="AD264" s="147">
        <f t="shared" si="48"/>
        <v>236</v>
      </c>
      <c r="AF264" t="str">
        <f t="shared" si="51"/>
        <v>Obra Concluida</v>
      </c>
      <c r="AI264">
        <f>IF(SUM($F$23:F263)&gt;=$K$9,1,0)</f>
        <v>1</v>
      </c>
    </row>
    <row r="265" spans="3:35" x14ac:dyDescent="0.25">
      <c r="C265" s="37">
        <f>IFERROR(IF(Q264&lt;=0.01,"",IF(C264+1&gt;Simul_ConstruRemo!$BN$11,"",C264+1)),"")</f>
        <v>243</v>
      </c>
      <c r="D265" s="37" t="str">
        <f>IF(C265&gt;Simul_ConstruRemo!$I$19,"",IF(Simul_ConstruRemo!I303=100%,"",IFERROR(VLOOKUP(C265,Simul_ConstruRemo!$AX$61:$AY$64,2,0),D264)))</f>
        <v/>
      </c>
      <c r="E265" s="136">
        <f>IF(C265="","",IF(AF265="Ministración",Simul_ConstruRemo!BM301,1))</f>
        <v>1</v>
      </c>
      <c r="F265" s="35">
        <f t="shared" si="49"/>
        <v>0</v>
      </c>
      <c r="G265" s="137">
        <f t="shared" si="45"/>
        <v>70899.938586589473</v>
      </c>
      <c r="H265" s="137">
        <f t="shared" si="42"/>
        <v>14490</v>
      </c>
      <c r="I265" s="137">
        <f t="shared" si="43"/>
        <v>13884.396357906215</v>
      </c>
      <c r="J265" s="137">
        <f t="shared" si="52"/>
        <v>605.60364209378497</v>
      </c>
      <c r="K265" s="137">
        <f>IF(C265="","",IF(Simul_ConstruRemo!$I$10=Simul_ConstruRemo!$BV$6,(Simul_ConstruRemo!$I$16*0.7+Simul_ConstruRemo!$I$17*0.5),Simul_ConstruRemo!$CO$27))</f>
        <v>2606295</v>
      </c>
      <c r="L265" s="137">
        <f>IFERROR(Q265*Simul_ConstruRemo!$BP$30/1000,"")</f>
        <v>25.086838580620636</v>
      </c>
      <c r="M265" s="137">
        <f>IFERROR(IF($E$7="Remodelación",K265*Simul_ConstruRemo!$BS$29,
IF(E265=1,MAX(K265,Q265)*Simul_ConstruRemo!$BS$29,K265*Simul_ConstruRemo!$BQ$29)),"")</f>
        <v>827.2389712662</v>
      </c>
      <c r="N265" s="13">
        <f>IF(C265="","",'Tabla_Puntual&amp;Relacionamiento'!$E$57)</f>
        <v>0.10249999999999999</v>
      </c>
      <c r="O265" s="183"/>
      <c r="P265" s="137">
        <f t="shared" si="44"/>
        <v>15342.325809846821</v>
      </c>
      <c r="Q265" s="137">
        <f t="shared" si="46"/>
        <v>57015.542228683262</v>
      </c>
      <c r="R265" s="37">
        <f t="shared" si="50"/>
        <v>1</v>
      </c>
      <c r="S265" s="137"/>
      <c r="T265" s="137"/>
      <c r="Z265" s="63"/>
      <c r="AA265" s="35">
        <f t="shared" si="41"/>
        <v>15228.223882775621</v>
      </c>
      <c r="AB265" s="63">
        <f>IF(OR(Q265="",Q265&lt;=0.01),"",IF(SUM($F$23:F265)=Simul_ConstruRemo!$I$26,1,0))</f>
        <v>1</v>
      </c>
      <c r="AC265">
        <f t="shared" si="47"/>
        <v>238</v>
      </c>
      <c r="AD265" s="147">
        <f t="shared" si="48"/>
        <v>237</v>
      </c>
      <c r="AF265" t="str">
        <f t="shared" si="51"/>
        <v>Obra Concluida</v>
      </c>
      <c r="AI265">
        <f>IF(SUM($F$23:F264)&gt;=$K$9,1,0)</f>
        <v>1</v>
      </c>
    </row>
    <row r="266" spans="3:35" x14ac:dyDescent="0.25">
      <c r="C266" s="37">
        <f>IFERROR(IF(Q265&lt;=0.01,"",IF(C265+1&gt;Simul_ConstruRemo!$BN$11,"",C265+1)),"")</f>
        <v>244</v>
      </c>
      <c r="D266" s="37" t="str">
        <f>IF(C266&gt;Simul_ConstruRemo!$I$19,"",IF(Simul_ConstruRemo!I304=100%,"",IFERROR(VLOOKUP(C266,Simul_ConstruRemo!$AX$61:$AY$64,2,0),D265)))</f>
        <v/>
      </c>
      <c r="E266" s="136">
        <f>IF(C266="","",IF(AF266="Ministración",Simul_ConstruRemo!BM302,1))</f>
        <v>1</v>
      </c>
      <c r="F266" s="35">
        <f t="shared" si="49"/>
        <v>0</v>
      </c>
      <c r="G266" s="137">
        <f t="shared" si="45"/>
        <v>57015.542228683262</v>
      </c>
      <c r="H266" s="137">
        <f t="shared" si="42"/>
        <v>14490</v>
      </c>
      <c r="I266" s="137">
        <f t="shared" si="43"/>
        <v>14002.99224346333</v>
      </c>
      <c r="J266" s="137">
        <f t="shared" si="52"/>
        <v>487.00775653666955</v>
      </c>
      <c r="K266" s="137">
        <f>IF(C266="","",IF(Simul_ConstruRemo!$I$10=Simul_ConstruRemo!$BV$6,(Simul_ConstruRemo!$I$16*0.7+Simul_ConstruRemo!$I$17*0.5),Simul_ConstruRemo!$CO$27))</f>
        <v>2606295</v>
      </c>
      <c r="L266" s="137">
        <f>IFERROR(Q266*Simul_ConstruRemo!$BP$30/1000,"")</f>
        <v>18.925521993496769</v>
      </c>
      <c r="M266" s="137">
        <f>IFERROR(IF($E$7="Remodelación",K266*Simul_ConstruRemo!$BS$29,
IF(E266=1,MAX(K266,Q266)*Simul_ConstruRemo!$BS$29,K266*Simul_ConstruRemo!$BQ$29)),"")</f>
        <v>827.2389712662</v>
      </c>
      <c r="N266" s="13">
        <f>IF(C266="","",'Tabla_Puntual&amp;Relacionamiento'!$E$57)</f>
        <v>0.10249999999999999</v>
      </c>
      <c r="O266" s="183"/>
      <c r="P266" s="137">
        <f t="shared" si="44"/>
        <v>15336.164493259697</v>
      </c>
      <c r="Q266" s="137">
        <f t="shared" si="46"/>
        <v>43012.549985219928</v>
      </c>
      <c r="R266" s="37">
        <f t="shared" si="50"/>
        <v>1</v>
      </c>
      <c r="S266" s="137"/>
      <c r="T266" s="137"/>
      <c r="Z266" s="63"/>
      <c r="AA266" s="35">
        <f t="shared" si="41"/>
        <v>15222.062566188497</v>
      </c>
      <c r="AB266" s="63">
        <f>IF(OR(Q266="",Q266&lt;=0.01),"",IF(SUM($F$23:F266)=Simul_ConstruRemo!$I$26,1,0))</f>
        <v>1</v>
      </c>
      <c r="AC266">
        <f t="shared" si="47"/>
        <v>239</v>
      </c>
      <c r="AD266" s="147">
        <f t="shared" si="48"/>
        <v>238</v>
      </c>
      <c r="AF266" t="str">
        <f t="shared" si="51"/>
        <v>Obra Concluida</v>
      </c>
      <c r="AI266">
        <f>IF(SUM($F$23:F265)&gt;=$K$9,1,0)</f>
        <v>1</v>
      </c>
    </row>
    <row r="267" spans="3:35" x14ac:dyDescent="0.25">
      <c r="C267" s="37">
        <f>IFERROR(IF(Q266&lt;=0.01,"",IF(C266+1&gt;Simul_ConstruRemo!$BN$11,"",C266+1)),"")</f>
        <v>245</v>
      </c>
      <c r="D267" s="37" t="str">
        <f>IF(C267&gt;Simul_ConstruRemo!$I$19,"",IF(Simul_ConstruRemo!I305=100%,"",IFERROR(VLOOKUP(C267,Simul_ConstruRemo!$AX$61:$AY$64,2,0),D266)))</f>
        <v/>
      </c>
      <c r="E267" s="136">
        <f>IF(C267="","",IF(AF267="Ministración",Simul_ConstruRemo!BM303,1))</f>
        <v>1</v>
      </c>
      <c r="F267" s="35">
        <f t="shared" si="49"/>
        <v>0</v>
      </c>
      <c r="G267" s="137">
        <f t="shared" si="45"/>
        <v>43012.549985219928</v>
      </c>
      <c r="H267" s="137">
        <f t="shared" si="42"/>
        <v>14490</v>
      </c>
      <c r="I267" s="137">
        <f t="shared" si="43"/>
        <v>14122.601135542913</v>
      </c>
      <c r="J267" s="137">
        <f t="shared" si="52"/>
        <v>367.39886445708686</v>
      </c>
      <c r="K267" s="137">
        <f>IF(C267="","",IF(Simul_ConstruRemo!$I$10=Simul_ConstruRemo!$BV$6,(Simul_ConstruRemo!$I$16*0.7+Simul_ConstruRemo!$I$17*0.5),Simul_ConstruRemo!$CO$27))</f>
        <v>2606295</v>
      </c>
      <c r="L267" s="137">
        <f>IFERROR(Q267*Simul_ConstruRemo!$BP$30/1000,"")</f>
        <v>12.711577493857884</v>
      </c>
      <c r="M267" s="137">
        <f>IFERROR(IF($E$7="Remodelación",K267*Simul_ConstruRemo!$BS$29,
IF(E267=1,MAX(K267,Q267)*Simul_ConstruRemo!$BS$29,K267*Simul_ConstruRemo!$BQ$29)),"")</f>
        <v>827.2389712662</v>
      </c>
      <c r="N267" s="13">
        <f>IF(C267="","",'Tabla_Puntual&amp;Relacionamiento'!$E$57)</f>
        <v>0.10249999999999999</v>
      </c>
      <c r="O267" s="183"/>
      <c r="P267" s="137">
        <f t="shared" si="44"/>
        <v>15329.950548760058</v>
      </c>
      <c r="Q267" s="137">
        <f t="shared" si="46"/>
        <v>28889.948849677014</v>
      </c>
      <c r="R267" s="37">
        <f t="shared" si="50"/>
        <v>1</v>
      </c>
      <c r="S267" s="137"/>
      <c r="T267" s="137"/>
      <c r="Z267" s="63"/>
      <c r="AA267" s="35">
        <f t="shared" si="41"/>
        <v>15215.848621688858</v>
      </c>
      <c r="AB267" s="63">
        <f>IF(OR(Q267="",Q267&lt;=0.01),"",IF(SUM($F$23:F267)=Simul_ConstruRemo!$I$26,1,0))</f>
        <v>1</v>
      </c>
      <c r="AC267">
        <f t="shared" si="47"/>
        <v>240</v>
      </c>
      <c r="AD267" s="147">
        <f t="shared" si="48"/>
        <v>239</v>
      </c>
      <c r="AF267" t="str">
        <f t="shared" si="51"/>
        <v>Obra Concluida</v>
      </c>
      <c r="AI267">
        <f>IF(SUM($F$23:F266)&gt;=$K$9,1,0)</f>
        <v>1</v>
      </c>
    </row>
    <row r="268" spans="3:35" x14ac:dyDescent="0.25">
      <c r="C268" s="37">
        <f>IFERROR(IF(Q267&lt;=0.01,"",IF(C267+1&gt;Simul_ConstruRemo!$BN$11,"",C267+1)),"")</f>
        <v>246</v>
      </c>
      <c r="D268" s="37" t="str">
        <f>IF(C268&gt;Simul_ConstruRemo!$I$19,"",IF(Simul_ConstruRemo!I306=100%,"",IFERROR(VLOOKUP(C268,Simul_ConstruRemo!$AX$61:$AY$64,2,0),D267)))</f>
        <v/>
      </c>
      <c r="E268" s="136">
        <f>IF(C268="","",IF(AF268="Ministración",Simul_ConstruRemo!BM304,1))</f>
        <v>1</v>
      </c>
      <c r="F268" s="35">
        <f t="shared" si="49"/>
        <v>0</v>
      </c>
      <c r="G268" s="137">
        <f t="shared" si="45"/>
        <v>28889.948849677014</v>
      </c>
      <c r="H268" s="137">
        <f t="shared" si="42"/>
        <v>14490</v>
      </c>
      <c r="I268" s="137">
        <f t="shared" si="43"/>
        <v>14243.231686909008</v>
      </c>
      <c r="J268" s="137">
        <f t="shared" si="52"/>
        <v>246.76831309099114</v>
      </c>
      <c r="K268" s="137">
        <f>IF(C268="","",IF(Simul_ConstruRemo!$I$10=Simul_ConstruRemo!$BV$6,(Simul_ConstruRemo!$I$16*0.7+Simul_ConstruRemo!$I$17*0.5),Simul_ConstruRemo!$CO$27))</f>
        <v>2606295</v>
      </c>
      <c r="L268" s="137">
        <f>IFERROR(Q268*Simul_ConstruRemo!$BP$30/1000,"")</f>
        <v>6.4445555516179223</v>
      </c>
      <c r="M268" s="137">
        <f>IFERROR(IF($E$7="Remodelación",K268*Simul_ConstruRemo!$BS$29,
IF(E268=1,MAX(K268,Q268)*Simul_ConstruRemo!$BS$29,K268*Simul_ConstruRemo!$BQ$29)),"")</f>
        <v>827.2389712662</v>
      </c>
      <c r="N268" s="13">
        <f>IF(C268="","",'Tabla_Puntual&amp;Relacionamiento'!$E$57)</f>
        <v>0.10249999999999999</v>
      </c>
      <c r="O268" s="183"/>
      <c r="P268" s="137">
        <f t="shared" si="44"/>
        <v>15323.683526817818</v>
      </c>
      <c r="Q268" s="137">
        <f t="shared" si="46"/>
        <v>14646.717162768005</v>
      </c>
      <c r="R268" s="37">
        <f t="shared" si="50"/>
        <v>1</v>
      </c>
      <c r="S268" s="137"/>
      <c r="T268" s="137"/>
      <c r="Z268" s="63"/>
      <c r="AA268" s="35">
        <f t="shared" si="41"/>
        <v>15209.581599746618</v>
      </c>
      <c r="AB268" s="63">
        <f>IF(OR(Q268="",Q268&lt;=0.01),"",IF(SUM($F$23:F268)=Simul_ConstruRemo!$I$26,1,0))</f>
        <v>1</v>
      </c>
      <c r="AC268">
        <f t="shared" si="47"/>
        <v>241</v>
      </c>
      <c r="AD268" s="147">
        <f t="shared" si="48"/>
        <v>240</v>
      </c>
      <c r="AF268" t="str">
        <f t="shared" si="51"/>
        <v>Obra Concluida</v>
      </c>
      <c r="AI268">
        <f>IF(SUM($F$23:F267)&gt;=$K$9,1,0)</f>
        <v>1</v>
      </c>
    </row>
    <row r="269" spans="3:35" x14ac:dyDescent="0.25">
      <c r="C269" s="37">
        <f>IFERROR(IF(Q268&lt;=0.01,"",IF(C268+1&gt;Simul_ConstruRemo!$BN$11,"",C268+1)),"")</f>
        <v>247</v>
      </c>
      <c r="D269" s="37" t="str">
        <f>IF(C269&gt;Simul_ConstruRemo!$I$19,"",IF(Simul_ConstruRemo!I307=100%,"",IFERROR(VLOOKUP(C269,Simul_ConstruRemo!$AX$61:$AY$64,2,0),D268)))</f>
        <v/>
      </c>
      <c r="E269" s="136">
        <f>IF(C269="","",IF(AF269="Ministración",Simul_ConstruRemo!BM305,1))</f>
        <v>1</v>
      </c>
      <c r="F269" s="35">
        <f t="shared" si="49"/>
        <v>0</v>
      </c>
      <c r="G269" s="137">
        <f t="shared" si="45"/>
        <v>14646.717162768005</v>
      </c>
      <c r="H269" s="137">
        <f t="shared" si="42"/>
        <v>14490</v>
      </c>
      <c r="I269" s="137">
        <f t="shared" si="43"/>
        <v>14364.89262423469</v>
      </c>
      <c r="J269" s="137">
        <f t="shared" si="52"/>
        <v>125.10737576531004</v>
      </c>
      <c r="K269" s="137">
        <f>IF(C269="","",IF(Simul_ConstruRemo!$I$10=Simul_ConstruRemo!$BV$6,(Simul_ConstruRemo!$I$16*0.7+Simul_ConstruRemo!$I$17*0.5),Simul_ConstruRemo!$CO$27))</f>
        <v>2606295</v>
      </c>
      <c r="L269" s="137">
        <f>IFERROR(Q269*Simul_ConstruRemo!$BP$30/1000,"")</f>
        <v>0.12400279695465892</v>
      </c>
      <c r="M269" s="137">
        <f>IFERROR(IF($E$7="Remodelación",K269*Simul_ConstruRemo!$BS$29,
IF(E269=1,MAX(K269,Q269)*Simul_ConstruRemo!$BS$29,K269*Simul_ConstruRemo!$BQ$29)),"")</f>
        <v>827.2389712662</v>
      </c>
      <c r="N269" s="13">
        <f>IF(C269="","",'Tabla_Puntual&amp;Relacionamiento'!$E$57)</f>
        <v>0.10249999999999999</v>
      </c>
      <c r="O269" s="183"/>
      <c r="P269" s="137">
        <f t="shared" si="44"/>
        <v>15317.362974063155</v>
      </c>
      <c r="Q269" s="137">
        <f t="shared" si="46"/>
        <v>281.82453853331572</v>
      </c>
      <c r="R269" s="37">
        <f t="shared" si="50"/>
        <v>1</v>
      </c>
      <c r="S269" s="137"/>
      <c r="T269" s="137"/>
      <c r="Z269" s="63"/>
      <c r="AA269" s="35">
        <f t="shared" si="41"/>
        <v>15203.261046991955</v>
      </c>
      <c r="AB269" s="63">
        <f>IF(OR(Q269="",Q269&lt;=0.01),"",IF(SUM($F$23:F269)=Simul_ConstruRemo!$I$26,1,0))</f>
        <v>1</v>
      </c>
      <c r="AC269">
        <f t="shared" si="47"/>
        <v>242</v>
      </c>
      <c r="AD269" s="147">
        <f t="shared" si="48"/>
        <v>241</v>
      </c>
      <c r="AF269" t="str">
        <f t="shared" si="51"/>
        <v>Obra Concluida</v>
      </c>
      <c r="AI269">
        <f>IF(SUM($F$23:F268)&gt;=$K$9,1,0)</f>
        <v>1</v>
      </c>
    </row>
    <row r="270" spans="3:35" x14ac:dyDescent="0.25">
      <c r="C270" s="37">
        <f>IFERROR(IF(Q269&lt;=0.01,"",IF(C269+1&gt;Simul_ConstruRemo!$BN$11,"",C269+1)),"")</f>
        <v>248</v>
      </c>
      <c r="D270" s="37" t="str">
        <f>IF(C270&gt;Simul_ConstruRemo!$I$19,"",IF(Simul_ConstruRemo!I308=100%,"",IFERROR(VLOOKUP(C270,Simul_ConstruRemo!$AX$61:$AY$64,2,0),D269)))</f>
        <v/>
      </c>
      <c r="E270" s="136">
        <f>IF(C270="","",IF(AF270="Ministración",Simul_ConstruRemo!BM306,1))</f>
        <v>1</v>
      </c>
      <c r="F270" s="35">
        <f t="shared" si="49"/>
        <v>0</v>
      </c>
      <c r="G270" s="137">
        <f t="shared" si="45"/>
        <v>281.82453853331572</v>
      </c>
      <c r="H270" s="137">
        <f t="shared" si="42"/>
        <v>14490</v>
      </c>
      <c r="I270" s="137">
        <f t="shared" si="43"/>
        <v>14487.592748733361</v>
      </c>
      <c r="J270" s="137">
        <f t="shared" si="52"/>
        <v>2.4072512666387382</v>
      </c>
      <c r="K270" s="137">
        <f>IF(C270="","",IF(Simul_ConstruRemo!$I$10=Simul_ConstruRemo!$BV$6,(Simul_ConstruRemo!$I$16*0.7+Simul_ConstruRemo!$I$17*0.5),Simul_ConstruRemo!$CO$27))</f>
        <v>2606295</v>
      </c>
      <c r="L270" s="137">
        <f>IFERROR(Q270*Simul_ConstruRemo!$BP$30/1000,"")</f>
        <v>0</v>
      </c>
      <c r="M270" s="137">
        <f>IFERROR(IF($E$7="Remodelación",K270*Simul_ConstruRemo!$BS$29,
IF(E270=1,MAX(K270,Q270)*Simul_ConstruRemo!$BS$29,K270*Simul_ConstruRemo!$BQ$29)),"")</f>
        <v>827.2389712662</v>
      </c>
      <c r="N270" s="13">
        <f>IF(C270="","",'Tabla_Puntual&amp;Relacionamiento'!$E$57)</f>
        <v>0.10249999999999999</v>
      </c>
      <c r="O270" s="183"/>
      <c r="P270" s="137">
        <f t="shared" si="44"/>
        <v>15317.238971266201</v>
      </c>
      <c r="Q270" s="137">
        <f t="shared" si="46"/>
        <v>0</v>
      </c>
      <c r="R270" s="37">
        <f t="shared" si="50"/>
        <v>1</v>
      </c>
      <c r="S270" s="137"/>
      <c r="T270" s="137"/>
      <c r="Z270" s="63"/>
      <c r="AA270" s="35">
        <f t="shared" si="41"/>
        <v>15203.137044195</v>
      </c>
      <c r="AB270" s="63" t="str">
        <f>IF(OR(Q270="",Q270&lt;=0.01),"",IF(SUM($F$23:F270)=Simul_ConstruRemo!$I$26,1,0))</f>
        <v/>
      </c>
      <c r="AC270">
        <f t="shared" si="47"/>
        <v>0</v>
      </c>
      <c r="AD270" s="147">
        <f t="shared" si="48"/>
        <v>0</v>
      </c>
      <c r="AF270" t="str">
        <f t="shared" si="51"/>
        <v>Obra Concluida</v>
      </c>
      <c r="AI270">
        <f>IF(SUM($F$23:F269)&gt;=$K$9,1,0)</f>
        <v>1</v>
      </c>
    </row>
    <row r="271" spans="3:35" x14ac:dyDescent="0.25">
      <c r="C271" s="37" t="str">
        <f>IFERROR(IF(Q270&lt;=0.01,"",IF(C270+1&gt;Simul_ConstruRemo!$BN$11,"",C270+1)),"")</f>
        <v/>
      </c>
      <c r="D271" s="37" t="str">
        <f>IF(C271&gt;Simul_ConstruRemo!$I$19,"",IF(Simul_ConstruRemo!I309=100%,"",IFERROR(VLOOKUP(C271,Simul_ConstruRemo!$AX$61:$AY$64,2,0),D270)))</f>
        <v/>
      </c>
      <c r="E271" s="136" t="str">
        <f>IF(C271="","",IF(AF271="Ministración",Simul_ConstruRemo!BM307,1))</f>
        <v/>
      </c>
      <c r="F271" s="35" t="str">
        <f t="shared" si="49"/>
        <v/>
      </c>
      <c r="G271" s="137" t="str">
        <f t="shared" si="45"/>
        <v/>
      </c>
      <c r="H271" s="137" t="str">
        <f t="shared" si="42"/>
        <v/>
      </c>
      <c r="I271" s="137" t="str">
        <f t="shared" si="43"/>
        <v/>
      </c>
      <c r="J271" s="137" t="str">
        <f t="shared" si="52"/>
        <v/>
      </c>
      <c r="K271" s="137" t="str">
        <f>IF(C271="","",IF(Simul_ConstruRemo!$I$10=Simul_ConstruRemo!$BV$6,(Simul_ConstruRemo!$I$16*0.7+Simul_ConstruRemo!$I$17*0.5),Simul_ConstruRemo!$CO$27))</f>
        <v/>
      </c>
      <c r="L271" s="137" t="str">
        <f>IFERROR(Q271*Simul_ConstruRemo!$BP$30/1000,"")</f>
        <v/>
      </c>
      <c r="M271" s="137" t="str">
        <f>IFERROR(IF($E$7="Remodelación",K271*Simul_ConstruRemo!$BS$29,
IF(E271=1,MAX(K271,Q271)*Simul_ConstruRemo!$BS$29,K271*Simul_ConstruRemo!$BQ$29)),"")</f>
        <v/>
      </c>
      <c r="N271" s="13" t="str">
        <f>IF(C271="","",'Tabla_Puntual&amp;Relacionamiento'!$E$57)</f>
        <v/>
      </c>
      <c r="O271" s="183"/>
      <c r="P271" s="137" t="str">
        <f t="shared" si="44"/>
        <v/>
      </c>
      <c r="Q271" s="137" t="str">
        <f t="shared" si="46"/>
        <v/>
      </c>
      <c r="R271" s="37" t="str">
        <f t="shared" si="50"/>
        <v/>
      </c>
      <c r="S271" s="137"/>
      <c r="T271" s="137"/>
      <c r="Z271" s="63"/>
      <c r="AA271" s="35" t="str">
        <f t="shared" si="41"/>
        <v/>
      </c>
      <c r="AB271" s="63" t="str">
        <f>IF(OR(Q271="",Q271&lt;=0.01),"",IF(SUM($F$23:F271)=Simul_ConstruRemo!$I$26,1,0))</f>
        <v/>
      </c>
      <c r="AC271">
        <f t="shared" si="47"/>
        <v>0</v>
      </c>
      <c r="AD271" s="147">
        <f t="shared" si="48"/>
        <v>0</v>
      </c>
      <c r="AF271" t="str">
        <f t="shared" si="51"/>
        <v/>
      </c>
      <c r="AI271">
        <f>IF(SUM($F$23:F270)&gt;=$K$9,1,0)</f>
        <v>1</v>
      </c>
    </row>
    <row r="272" spans="3:35" x14ac:dyDescent="0.25">
      <c r="C272" s="37" t="str">
        <f>IFERROR(IF(Q271&lt;=0.01,"",IF(C271+1&gt;Simul_ConstruRemo!$BN$11,"",C271+1)),"")</f>
        <v/>
      </c>
      <c r="D272" s="37" t="str">
        <f>IF(C272&gt;Simul_ConstruRemo!$I$19,"",IF(Simul_ConstruRemo!I310=100%,"",IFERROR(VLOOKUP(C272,Simul_ConstruRemo!$AX$61:$AY$64,2,0),D271)))</f>
        <v/>
      </c>
      <c r="E272" s="136" t="str">
        <f>IF(C272="","",IF(AF272="Ministración",Simul_ConstruRemo!BM308,1))</f>
        <v/>
      </c>
      <c r="F272" s="35" t="str">
        <f t="shared" si="49"/>
        <v/>
      </c>
      <c r="G272" s="137" t="str">
        <f t="shared" si="45"/>
        <v/>
      </c>
      <c r="H272" s="137" t="str">
        <f t="shared" si="42"/>
        <v/>
      </c>
      <c r="I272" s="137" t="str">
        <f t="shared" si="43"/>
        <v/>
      </c>
      <c r="J272" s="137" t="str">
        <f t="shared" si="52"/>
        <v/>
      </c>
      <c r="K272" s="137" t="str">
        <f>IF(C272="","",IF(Simul_ConstruRemo!$I$10=Simul_ConstruRemo!$BV$6,(Simul_ConstruRemo!$I$16*0.7+Simul_ConstruRemo!$I$17*0.5),Simul_ConstruRemo!$CO$27))</f>
        <v/>
      </c>
      <c r="L272" s="137" t="str">
        <f>IFERROR(Q272*Simul_ConstruRemo!$BP$30/1000,"")</f>
        <v/>
      </c>
      <c r="M272" s="137" t="str">
        <f>IFERROR(IF($E$7="Remodelación",K272*Simul_ConstruRemo!$BS$29,
IF(E272=1,MAX(K272,Q272)*Simul_ConstruRemo!$BS$29,K272*Simul_ConstruRemo!$BQ$29)),"")</f>
        <v/>
      </c>
      <c r="N272" s="13" t="str">
        <f>IF(C272="","",'Tabla_Puntual&amp;Relacionamiento'!$E$57)</f>
        <v/>
      </c>
      <c r="O272" s="183"/>
      <c r="P272" s="137" t="str">
        <f t="shared" si="44"/>
        <v/>
      </c>
      <c r="Q272" s="137" t="str">
        <f t="shared" si="46"/>
        <v/>
      </c>
      <c r="R272" s="37" t="str">
        <f t="shared" si="50"/>
        <v/>
      </c>
      <c r="S272" s="137"/>
      <c r="T272" s="137"/>
      <c r="Z272" s="63"/>
      <c r="AA272" s="35" t="str">
        <f t="shared" si="41"/>
        <v/>
      </c>
      <c r="AB272" s="63" t="str">
        <f>IF(OR(Q272="",Q272&lt;=0.01),"",IF(SUM($F$23:F272)=Simul_ConstruRemo!$I$26,1,0))</f>
        <v/>
      </c>
      <c r="AC272">
        <f t="shared" si="47"/>
        <v>0</v>
      </c>
      <c r="AD272" s="147">
        <f t="shared" si="48"/>
        <v>0</v>
      </c>
      <c r="AF272" t="str">
        <f t="shared" si="51"/>
        <v/>
      </c>
      <c r="AI272">
        <f>IF(SUM($F$23:F271)&gt;=$K$9,1,0)</f>
        <v>1</v>
      </c>
    </row>
    <row r="273" spans="3:35" x14ac:dyDescent="0.25">
      <c r="C273" s="37" t="str">
        <f>IFERROR(IF(Q272&lt;=0.01,"",IF(C272+1&gt;Simul_ConstruRemo!$BN$11,"",C272+1)),"")</f>
        <v/>
      </c>
      <c r="D273" s="37" t="str">
        <f>IF(C273&gt;Simul_ConstruRemo!$I$19,"",IF(Simul_ConstruRemo!I311=100%,"",IFERROR(VLOOKUP(C273,Simul_ConstruRemo!$AX$61:$AY$64,2,0),D272)))</f>
        <v/>
      </c>
      <c r="E273" s="136" t="str">
        <f>IF(C273="","",IF(AF273="Ministración",Simul_ConstruRemo!BM309,1))</f>
        <v/>
      </c>
      <c r="F273" s="35" t="str">
        <f t="shared" si="49"/>
        <v/>
      </c>
      <c r="G273" s="137" t="str">
        <f t="shared" si="45"/>
        <v/>
      </c>
      <c r="H273" s="137" t="str">
        <f t="shared" si="42"/>
        <v/>
      </c>
      <c r="I273" s="137" t="str">
        <f t="shared" si="43"/>
        <v/>
      </c>
      <c r="J273" s="137" t="str">
        <f t="shared" si="52"/>
        <v/>
      </c>
      <c r="K273" s="137" t="str">
        <f>IF(C273="","",IF(Simul_ConstruRemo!$I$10=Simul_ConstruRemo!$BV$6,(Simul_ConstruRemo!$I$16*0.7+Simul_ConstruRemo!$I$17*0.5),Simul_ConstruRemo!$CO$27))</f>
        <v/>
      </c>
      <c r="L273" s="137" t="str">
        <f>IFERROR(Q273*Simul_ConstruRemo!$BP$30/1000,"")</f>
        <v/>
      </c>
      <c r="M273" s="137" t="str">
        <f>IFERROR(IF($E$7="Remodelación",K273*Simul_ConstruRemo!$BS$29,
IF(E273=1,MAX(K273,Q273)*Simul_ConstruRemo!$BS$29,K273*Simul_ConstruRemo!$BQ$29)),"")</f>
        <v/>
      </c>
      <c r="N273" s="13" t="str">
        <f>IF(C273="","",'Tabla_Puntual&amp;Relacionamiento'!$E$57)</f>
        <v/>
      </c>
      <c r="O273" s="183"/>
      <c r="P273" s="137" t="str">
        <f t="shared" si="44"/>
        <v/>
      </c>
      <c r="Q273" s="137" t="str">
        <f t="shared" si="46"/>
        <v/>
      </c>
      <c r="R273" s="37" t="str">
        <f t="shared" si="50"/>
        <v/>
      </c>
      <c r="S273" s="137"/>
      <c r="T273" s="137"/>
      <c r="Z273" s="63"/>
      <c r="AA273" s="35" t="str">
        <f t="shared" si="41"/>
        <v/>
      </c>
      <c r="AB273" s="63" t="str">
        <f>IF(OR(Q273="",Q273&lt;=0),"",IF(SUM($F$23:F273)=Simul_ConstruRemo!$I$26,1,0))</f>
        <v/>
      </c>
      <c r="AC273">
        <f t="shared" si="47"/>
        <v>0</v>
      </c>
      <c r="AD273" s="147">
        <f t="shared" si="48"/>
        <v>0</v>
      </c>
      <c r="AF273" t="str">
        <f t="shared" si="51"/>
        <v/>
      </c>
      <c r="AI273">
        <f>IF(SUM($F$23:F272)&gt;=$K$9,1,0)</f>
        <v>1</v>
      </c>
    </row>
    <row r="274" spans="3:35" x14ac:dyDescent="0.25">
      <c r="C274" s="37" t="str">
        <f>IFERROR(IF(Q273&lt;=0.01,"",IF(C273+1&gt;Simul_ConstruRemo!$BN$11,"",C273+1)),"")</f>
        <v/>
      </c>
      <c r="D274" s="37" t="str">
        <f>IF(C274&gt;Simul_ConstruRemo!$I$19,"",IF(Simul_ConstruRemo!I312=100%,"",IFERROR(VLOOKUP(C274,Simul_ConstruRemo!$AX$61:$AY$64,2,0),D273)))</f>
        <v/>
      </c>
      <c r="E274" s="136" t="str">
        <f>IF(C274="","",IF(AF274="Ministración",Simul_ConstruRemo!BM310,1))</f>
        <v/>
      </c>
      <c r="F274" s="35" t="str">
        <f t="shared" si="49"/>
        <v/>
      </c>
      <c r="G274" s="137" t="str">
        <f t="shared" si="45"/>
        <v/>
      </c>
      <c r="H274" s="137" t="str">
        <f t="shared" si="42"/>
        <v/>
      </c>
      <c r="I274" s="137" t="str">
        <f t="shared" si="43"/>
        <v/>
      </c>
      <c r="J274" s="137" t="str">
        <f t="shared" si="52"/>
        <v/>
      </c>
      <c r="K274" s="137" t="str">
        <f>IF(C274="","",IF(Simul_ConstruRemo!$I$10=Simul_ConstruRemo!$BV$6,(Simul_ConstruRemo!$I$16*0.7+Simul_ConstruRemo!$I$17*0.5),Simul_ConstruRemo!$CO$27))</f>
        <v/>
      </c>
      <c r="L274" s="137" t="str">
        <f>IFERROR(Q274*Simul_ConstruRemo!$BP$30/1000,"")</f>
        <v/>
      </c>
      <c r="M274" s="137" t="str">
        <f>IFERROR(IF($E$7="Remodelación",K274*Simul_ConstruRemo!$BS$29,
IF(E274=1,MAX(K274,Q274)*Simul_ConstruRemo!$BS$29,K274*Simul_ConstruRemo!$BQ$29)),"")</f>
        <v/>
      </c>
      <c r="N274" s="13" t="str">
        <f>IF(C274="","",'Tabla_Puntual&amp;Relacionamiento'!$E$57)</f>
        <v/>
      </c>
      <c r="O274" s="183"/>
      <c r="P274" s="137" t="str">
        <f t="shared" si="44"/>
        <v/>
      </c>
      <c r="Q274" s="137" t="str">
        <f t="shared" si="46"/>
        <v/>
      </c>
      <c r="R274" s="37" t="str">
        <f t="shared" si="50"/>
        <v/>
      </c>
      <c r="S274" s="137"/>
      <c r="T274" s="137"/>
      <c r="Z274" s="63"/>
      <c r="AA274" s="35" t="str">
        <f t="shared" si="41"/>
        <v/>
      </c>
      <c r="AB274" s="63" t="str">
        <f>IF(OR(Q274="",Q274&lt;=0),"",IF(SUM($F$23:F274)=Simul_ConstruRemo!$I$26,1,0))</f>
        <v/>
      </c>
      <c r="AC274">
        <f t="shared" si="47"/>
        <v>0</v>
      </c>
      <c r="AD274" s="147">
        <f t="shared" si="48"/>
        <v>0</v>
      </c>
      <c r="AF274" t="str">
        <f t="shared" si="51"/>
        <v/>
      </c>
      <c r="AI274">
        <f>IF(SUM($F$23:F273)&gt;=$K$9,1,0)</f>
        <v>1</v>
      </c>
    </row>
    <row r="275" spans="3:35" x14ac:dyDescent="0.25">
      <c r="C275" s="37" t="str">
        <f>IFERROR(IF(Q274&lt;=0.01,"",IF(C274+1&gt;Simul_ConstruRemo!$BN$11,"",C274+1)),"")</f>
        <v/>
      </c>
      <c r="D275" s="37" t="str">
        <f>IF(C275&gt;Simul_ConstruRemo!$I$19,"",IF(Simul_ConstruRemo!I313=100%,"",IFERROR(VLOOKUP(C275,Simul_ConstruRemo!$AX$61:$AY$64,2,0),D274)))</f>
        <v/>
      </c>
      <c r="E275" s="136" t="str">
        <f>IF(C275="","",IF(AF275="Ministración",Simul_ConstruRemo!BM311,1))</f>
        <v/>
      </c>
      <c r="F275" s="35" t="str">
        <f t="shared" si="49"/>
        <v/>
      </c>
      <c r="G275" s="137" t="str">
        <f t="shared" si="45"/>
        <v/>
      </c>
      <c r="H275" s="137" t="str">
        <f t="shared" si="42"/>
        <v/>
      </c>
      <c r="I275" s="137" t="str">
        <f t="shared" si="43"/>
        <v/>
      </c>
      <c r="J275" s="137" t="str">
        <f t="shared" si="52"/>
        <v/>
      </c>
      <c r="K275" s="137" t="str">
        <f>IF(C275="","",IF(Simul_ConstruRemo!$I$10=Simul_ConstruRemo!$BV$6,(Simul_ConstruRemo!$I$16*0.7+Simul_ConstruRemo!$I$17*0.5),Simul_ConstruRemo!$CO$27))</f>
        <v/>
      </c>
      <c r="L275" s="137" t="str">
        <f>IFERROR(Q275*Simul_ConstruRemo!$BP$30/1000,"")</f>
        <v/>
      </c>
      <c r="M275" s="137" t="str">
        <f>IFERROR(IF($E$7="Remodelación",K275*Simul_ConstruRemo!$BS$29,
IF(E275=1,MAX(K275,Q275)*Simul_ConstruRemo!$BS$29,K275*Simul_ConstruRemo!$BQ$29)),"")</f>
        <v/>
      </c>
      <c r="N275" s="13" t="str">
        <f>IF(C275="","",'Tabla_Puntual&amp;Relacionamiento'!$E$58)</f>
        <v/>
      </c>
      <c r="O275" s="183"/>
      <c r="P275" s="137" t="str">
        <f t="shared" si="44"/>
        <v/>
      </c>
      <c r="Q275" s="137" t="str">
        <f t="shared" si="46"/>
        <v/>
      </c>
      <c r="R275" s="37" t="str">
        <f t="shared" si="50"/>
        <v/>
      </c>
      <c r="S275" s="137"/>
      <c r="T275" s="137"/>
      <c r="Z275" s="63"/>
      <c r="AA275" s="35" t="str">
        <f t="shared" si="41"/>
        <v/>
      </c>
      <c r="AB275" s="63" t="str">
        <f>IF(OR(Q275="",Q275&lt;=0),"",IF(SUM($F$23:F275)=Simul_ConstruRemo!$I$26,1,0))</f>
        <v/>
      </c>
      <c r="AC275">
        <f t="shared" si="47"/>
        <v>0</v>
      </c>
      <c r="AD275" s="147">
        <f t="shared" si="48"/>
        <v>0</v>
      </c>
      <c r="AF275" t="str">
        <f t="shared" si="51"/>
        <v/>
      </c>
      <c r="AI275">
        <f>IF(SUM($F$23:F274)&gt;=$K$9,1,0)</f>
        <v>1</v>
      </c>
    </row>
    <row r="276" spans="3:35" x14ac:dyDescent="0.25">
      <c r="C276" s="37" t="str">
        <f>IFERROR(IF(Q275&lt;=0.01,"",IF(C275+1&gt;Simul_ConstruRemo!$BN$11,"",C275+1)),"")</f>
        <v/>
      </c>
      <c r="D276" s="37" t="str">
        <f>IF(C276&gt;Simul_ConstruRemo!$I$19,"",IF(Simul_ConstruRemo!I314=100%,"",IFERROR(VLOOKUP(C276,Simul_ConstruRemo!$AX$61:$AY$64,2,0),D275)))</f>
        <v/>
      </c>
      <c r="E276" s="136" t="str">
        <f>IF(C276="","",IF(AF276="Ministración",Simul_ConstruRemo!BM312,1))</f>
        <v/>
      </c>
      <c r="F276" s="35" t="str">
        <f t="shared" si="49"/>
        <v/>
      </c>
      <c r="G276" s="137" t="str">
        <f t="shared" si="45"/>
        <v/>
      </c>
      <c r="H276" s="137" t="str">
        <f t="shared" si="42"/>
        <v/>
      </c>
      <c r="I276" s="137" t="str">
        <f t="shared" si="43"/>
        <v/>
      </c>
      <c r="J276" s="137" t="str">
        <f t="shared" si="52"/>
        <v/>
      </c>
      <c r="K276" s="137" t="str">
        <f>IF(C276="","",IF(Simul_ConstruRemo!$I$10=Simul_ConstruRemo!$BV$6,(Simul_ConstruRemo!$I$16*0.7+Simul_ConstruRemo!$I$17*0.5),Simul_ConstruRemo!$CO$27))</f>
        <v/>
      </c>
      <c r="L276" s="137" t="str">
        <f>IFERROR(Q276*Simul_ConstruRemo!$BP$30/1000,"")</f>
        <v/>
      </c>
      <c r="M276" s="137" t="str">
        <f>IFERROR(IF($E$7="Remodelación",K276*Simul_ConstruRemo!$BS$29,
IF(E276=1,MAX(K276,Q276)*Simul_ConstruRemo!$BS$29,K276*Simul_ConstruRemo!$BQ$29)),"")</f>
        <v/>
      </c>
      <c r="N276" s="13" t="str">
        <f>IF(C276="","",'Tabla_Puntual&amp;Relacionamiento'!$E$58)</f>
        <v/>
      </c>
      <c r="O276" s="183"/>
      <c r="P276" s="137" t="str">
        <f t="shared" si="44"/>
        <v/>
      </c>
      <c r="Q276" s="137" t="str">
        <f t="shared" si="46"/>
        <v/>
      </c>
      <c r="R276" s="37" t="str">
        <f t="shared" si="50"/>
        <v/>
      </c>
      <c r="S276" s="137"/>
      <c r="T276" s="137"/>
      <c r="Z276" s="63"/>
      <c r="AA276" s="35" t="str">
        <f t="shared" si="41"/>
        <v/>
      </c>
      <c r="AB276" s="63" t="str">
        <f>IF(OR(Q276="",Q276&lt;=0),"",IF(SUM($F$23:F276)=Simul_ConstruRemo!$I$26,1,0))</f>
        <v/>
      </c>
      <c r="AC276">
        <f t="shared" si="47"/>
        <v>0</v>
      </c>
      <c r="AD276" s="147">
        <f t="shared" si="48"/>
        <v>0</v>
      </c>
      <c r="AF276" t="str">
        <f t="shared" si="51"/>
        <v/>
      </c>
      <c r="AI276">
        <f>IF(SUM($F$23:F275)&gt;=$K$9,1,0)</f>
        <v>1</v>
      </c>
    </row>
    <row r="277" spans="3:35" x14ac:dyDescent="0.25">
      <c r="C277" s="37" t="str">
        <f>IFERROR(IF(Q276&lt;=0.01,"",IF(C276+1&gt;Simul_ConstruRemo!$BN$11,"",C276+1)),"")</f>
        <v/>
      </c>
      <c r="D277" s="37" t="str">
        <f>IF(C277&gt;Simul_ConstruRemo!$I$19,"",IF(Simul_ConstruRemo!I315=100%,"",IFERROR(VLOOKUP(C277,Simul_ConstruRemo!$AX$61:$AY$64,2,0),D276)))</f>
        <v/>
      </c>
      <c r="E277" s="136" t="str">
        <f>IF(C277="","",IF(AF277="Ministración",Simul_ConstruRemo!BM313,1))</f>
        <v/>
      </c>
      <c r="F277" s="35" t="str">
        <f t="shared" si="49"/>
        <v/>
      </c>
      <c r="G277" s="137" t="str">
        <f t="shared" si="45"/>
        <v/>
      </c>
      <c r="H277" s="137" t="str">
        <f t="shared" si="42"/>
        <v/>
      </c>
      <c r="I277" s="137" t="str">
        <f t="shared" si="43"/>
        <v/>
      </c>
      <c r="J277" s="137" t="str">
        <f t="shared" si="52"/>
        <v/>
      </c>
      <c r="K277" s="137" t="str">
        <f>IF(C277="","",IF(Simul_ConstruRemo!$I$10=Simul_ConstruRemo!$BV$6,(Simul_ConstruRemo!$I$16*0.7+Simul_ConstruRemo!$I$17*0.5),Simul_ConstruRemo!$CO$27))</f>
        <v/>
      </c>
      <c r="L277" s="137" t="str">
        <f>IFERROR(Q277*Simul_ConstruRemo!$BP$30/1000,"")</f>
        <v/>
      </c>
      <c r="M277" s="137" t="str">
        <f>IFERROR(IF($E$7="Remodelación",K277*Simul_ConstruRemo!$BS$29,
IF(E277=1,MAX(K277,Q277)*Simul_ConstruRemo!$BS$29,K277*Simul_ConstruRemo!$BQ$29)),"")</f>
        <v/>
      </c>
      <c r="N277" s="13" t="str">
        <f>IF(C277="","",'Tabla_Puntual&amp;Relacionamiento'!$E$58)</f>
        <v/>
      </c>
      <c r="O277" s="183"/>
      <c r="P277" s="137" t="str">
        <f t="shared" si="44"/>
        <v/>
      </c>
      <c r="Q277" s="137" t="str">
        <f t="shared" si="46"/>
        <v/>
      </c>
      <c r="R277" s="37" t="str">
        <f t="shared" si="50"/>
        <v/>
      </c>
      <c r="S277" s="137"/>
      <c r="T277" s="137"/>
      <c r="Z277" s="63"/>
      <c r="AA277" s="35" t="str">
        <f t="shared" si="41"/>
        <v/>
      </c>
      <c r="AB277" s="63" t="str">
        <f>IF(OR(Q277="",Q277&lt;=0),"",IF(SUM($F$23:F277)=Simul_ConstruRemo!$I$26,1,0))</f>
        <v/>
      </c>
      <c r="AC277">
        <f t="shared" si="47"/>
        <v>0</v>
      </c>
      <c r="AD277" s="147">
        <f t="shared" si="48"/>
        <v>0</v>
      </c>
      <c r="AF277" t="str">
        <f t="shared" si="51"/>
        <v/>
      </c>
      <c r="AI277">
        <f>IF(SUM($F$23:F276)&gt;=$K$9,1,0)</f>
        <v>1</v>
      </c>
    </row>
    <row r="278" spans="3:35" x14ac:dyDescent="0.25">
      <c r="C278" s="37" t="str">
        <f>IFERROR(IF(Q277&lt;=0.01,"",IF(C277+1&gt;Simul_ConstruRemo!$BN$11,"",C277+1)),"")</f>
        <v/>
      </c>
      <c r="D278" s="37" t="str">
        <f>IF(C278&gt;Simul_ConstruRemo!$I$19,"",IF(Simul_ConstruRemo!I316=100%,"",IFERROR(VLOOKUP(C278,Simul_ConstruRemo!$AX$61:$AY$64,2,0),D277)))</f>
        <v/>
      </c>
      <c r="E278" s="136" t="str">
        <f>IF(C278="","",IF(AF278="Ministración",Simul_ConstruRemo!BM314,1))</f>
        <v/>
      </c>
      <c r="F278" s="35" t="str">
        <f t="shared" si="49"/>
        <v/>
      </c>
      <c r="G278" s="137" t="str">
        <f t="shared" si="45"/>
        <v/>
      </c>
      <c r="H278" s="137" t="str">
        <f t="shared" si="42"/>
        <v/>
      </c>
      <c r="I278" s="137" t="str">
        <f t="shared" si="43"/>
        <v/>
      </c>
      <c r="J278" s="137" t="str">
        <f t="shared" si="52"/>
        <v/>
      </c>
      <c r="K278" s="137" t="str">
        <f>IF(C278="","",IF(Simul_ConstruRemo!$I$10=Simul_ConstruRemo!$BV$6,(Simul_ConstruRemo!$I$16*0.7+Simul_ConstruRemo!$I$17*0.5),Simul_ConstruRemo!$CO$27))</f>
        <v/>
      </c>
      <c r="L278" s="137" t="str">
        <f>IFERROR(Q278*Simul_ConstruRemo!$BP$30/1000,"")</f>
        <v/>
      </c>
      <c r="M278" s="137" t="str">
        <f>IFERROR(IF($E$7="Remodelación",K278*Simul_ConstruRemo!$BS$29,
IF(E278=1,MAX(K278,Q278)*Simul_ConstruRemo!$BS$29,K278*Simul_ConstruRemo!$BQ$29)),"")</f>
        <v/>
      </c>
      <c r="N278" s="13" t="str">
        <f>IF(C278="","",'Tabla_Puntual&amp;Relacionamiento'!$E$58)</f>
        <v/>
      </c>
      <c r="O278" s="183"/>
      <c r="P278" s="137" t="str">
        <f t="shared" si="44"/>
        <v/>
      </c>
      <c r="Q278" s="137" t="str">
        <f t="shared" si="46"/>
        <v/>
      </c>
      <c r="R278" s="37" t="str">
        <f t="shared" si="50"/>
        <v/>
      </c>
      <c r="S278" s="137"/>
      <c r="T278" s="137"/>
      <c r="Z278" s="63"/>
      <c r="AA278" s="35" t="str">
        <f t="shared" si="41"/>
        <v/>
      </c>
      <c r="AB278" s="63" t="str">
        <f>IF(OR(Q278="",Q278&lt;=0),"",IF(SUM($F$23:F278)=Simul_ConstruRemo!$I$26,1,0))</f>
        <v/>
      </c>
      <c r="AC278">
        <f t="shared" si="47"/>
        <v>0</v>
      </c>
      <c r="AD278" s="147">
        <f t="shared" si="48"/>
        <v>0</v>
      </c>
      <c r="AF278" t="str">
        <f t="shared" si="51"/>
        <v/>
      </c>
      <c r="AI278">
        <f>IF(SUM($F$23:F277)&gt;=$K$9,1,0)</f>
        <v>1</v>
      </c>
    </row>
    <row r="279" spans="3:35" x14ac:dyDescent="0.25">
      <c r="C279" s="37" t="str">
        <f>IFERROR(IF(Q278&lt;=0.01,"",IF(C278+1&gt;Simul_ConstruRemo!$BN$11,"",C278+1)),"")</f>
        <v/>
      </c>
      <c r="D279" s="37" t="str">
        <f>IF(C279&gt;Simul_ConstruRemo!$I$19,"",IF(Simul_ConstruRemo!I317=100%,"",IFERROR(VLOOKUP(C279,Simul_ConstruRemo!$AX$61:$AY$64,2,0),D278)))</f>
        <v/>
      </c>
      <c r="E279" s="136" t="str">
        <f>IF(C279="","",IF(AF279="Ministración",Simul_ConstruRemo!BM315,1))</f>
        <v/>
      </c>
      <c r="F279" s="35" t="str">
        <f t="shared" si="49"/>
        <v/>
      </c>
      <c r="G279" s="137" t="str">
        <f t="shared" si="45"/>
        <v/>
      </c>
      <c r="H279" s="137" t="str">
        <f t="shared" si="42"/>
        <v/>
      </c>
      <c r="I279" s="137" t="str">
        <f t="shared" si="43"/>
        <v/>
      </c>
      <c r="J279" s="137" t="str">
        <f t="shared" si="52"/>
        <v/>
      </c>
      <c r="K279" s="137" t="str">
        <f>IF(C279="","",IF(Simul_ConstruRemo!$I$10=Simul_ConstruRemo!$BV$6,(Simul_ConstruRemo!$I$16*0.7+Simul_ConstruRemo!$I$17*0.5),Simul_ConstruRemo!$CO$27))</f>
        <v/>
      </c>
      <c r="L279" s="137" t="str">
        <f>IFERROR(Q279*Simul_ConstruRemo!$BP$30/1000,"")</f>
        <v/>
      </c>
      <c r="M279" s="137" t="str">
        <f>IFERROR(IF($E$7="Remodelación",K279*Simul_ConstruRemo!$BS$29,
IF(E279=1,MAX(K279,Q279)*Simul_ConstruRemo!$BS$29,K279*Simul_ConstruRemo!$BQ$29)),"")</f>
        <v/>
      </c>
      <c r="N279" s="13" t="str">
        <f>IF(C279="","",'Tabla_Puntual&amp;Relacionamiento'!$E$58)</f>
        <v/>
      </c>
      <c r="O279" s="183"/>
      <c r="P279" s="137" t="str">
        <f t="shared" si="44"/>
        <v/>
      </c>
      <c r="Q279" s="137" t="str">
        <f t="shared" si="46"/>
        <v/>
      </c>
      <c r="R279" s="37" t="str">
        <f t="shared" si="50"/>
        <v/>
      </c>
      <c r="S279" s="137"/>
      <c r="T279" s="137"/>
      <c r="Z279" s="63"/>
      <c r="AA279" s="35"/>
      <c r="AB279" s="63"/>
      <c r="AC279">
        <f t="shared" si="47"/>
        <v>0</v>
      </c>
      <c r="AD279" s="147">
        <f t="shared" si="48"/>
        <v>0</v>
      </c>
      <c r="AF279" t="str">
        <f t="shared" si="51"/>
        <v/>
      </c>
      <c r="AI279">
        <f>IF(SUM($F$23:F278)&gt;=$K$9,1,0)</f>
        <v>1</v>
      </c>
    </row>
    <row r="280" spans="3:35" x14ac:dyDescent="0.25">
      <c r="C280" s="37" t="str">
        <f>IFERROR(IF(Q279&lt;=0.01,"",IF(C279+1&gt;Simul_ConstruRemo!$BN$11,"",C279+1)),"")</f>
        <v/>
      </c>
      <c r="D280" s="37" t="str">
        <f>IF(C280&gt;Simul_ConstruRemo!$I$19,"",IF(Simul_ConstruRemo!I318=100%,"",IFERROR(VLOOKUP(C280,Simul_ConstruRemo!$AX$61:$AY$64,2,0),D279)))</f>
        <v/>
      </c>
      <c r="E280" s="136" t="str">
        <f>IF(C280="","",IF(AF280="Ministración",Simul_ConstruRemo!BM316,1))</f>
        <v/>
      </c>
      <c r="F280" s="35" t="str">
        <f t="shared" si="49"/>
        <v/>
      </c>
      <c r="G280" s="137" t="str">
        <f t="shared" si="45"/>
        <v/>
      </c>
      <c r="H280" s="137" t="str">
        <f t="shared" si="42"/>
        <v/>
      </c>
      <c r="I280" s="137" t="str">
        <f>IF(C280="","",H280-J280)</f>
        <v/>
      </c>
      <c r="J280" s="137" t="str">
        <f t="shared" si="52"/>
        <v/>
      </c>
      <c r="K280" s="137" t="str">
        <f>IF(C280="","",IF(Simul_ConstruRemo!$I$10=Simul_ConstruRemo!$BV$6,(Simul_ConstruRemo!$I$16*0.7+Simul_ConstruRemo!$I$17*0.5),Simul_ConstruRemo!$CO$27))</f>
        <v/>
      </c>
      <c r="L280" s="137" t="str">
        <f>IFERROR(Q280*Simul_ConstruRemo!$BP$30/1000,"")</f>
        <v/>
      </c>
      <c r="M280" s="137" t="str">
        <f>IFERROR(IF($E$7="Remodelación",K280*Simul_ConstruRemo!$BS$29,
IF(E280=1,MAX(K280,Q280)*Simul_ConstruRemo!$BS$29,K280*Simul_ConstruRemo!$BQ$29)),"")</f>
        <v/>
      </c>
      <c r="N280" s="13" t="str">
        <f>IF(C280="","",'Tabla_Puntual&amp;Relacionamiento'!$E$58)</f>
        <v/>
      </c>
      <c r="O280" s="183"/>
      <c r="P280" s="137" t="str">
        <f>IFERROR(H280+M280+L280,"")</f>
        <v/>
      </c>
      <c r="Q280" s="137" t="str">
        <f t="shared" si="46"/>
        <v/>
      </c>
      <c r="R280" s="37" t="str">
        <f t="shared" si="50"/>
        <v/>
      </c>
      <c r="S280" s="137"/>
      <c r="T280" s="137"/>
      <c r="Z280" s="63"/>
      <c r="AA280" s="35"/>
      <c r="AB280" s="63"/>
      <c r="AC280">
        <f t="shared" si="47"/>
        <v>0</v>
      </c>
      <c r="AD280" s="147">
        <f t="shared" si="48"/>
        <v>0</v>
      </c>
      <c r="AF280" t="str">
        <f t="shared" si="51"/>
        <v/>
      </c>
      <c r="AI280">
        <f>IF(SUM($F$23:F279)&gt;=$K$9,1,0)</f>
        <v>1</v>
      </c>
    </row>
    <row r="281" spans="3:35" x14ac:dyDescent="0.25">
      <c r="C281" s="37"/>
      <c r="D281" s="37"/>
      <c r="E281" s="136"/>
      <c r="F281" s="35"/>
      <c r="G281" s="63"/>
      <c r="H281" s="137"/>
      <c r="I281" s="137"/>
      <c r="J281" s="137"/>
      <c r="K281" s="137"/>
      <c r="L281" s="137"/>
      <c r="M281" s="137"/>
      <c r="N281" s="13"/>
      <c r="O281" s="138"/>
      <c r="P281" s="137"/>
      <c r="Q281" s="137"/>
      <c r="R281" s="137"/>
      <c r="S281" s="137"/>
      <c r="T281" s="137"/>
      <c r="Z281" s="63"/>
      <c r="AA281" s="35"/>
      <c r="AB281" s="63"/>
      <c r="AD281" s="147"/>
    </row>
    <row r="282" spans="3:35" x14ac:dyDescent="0.25">
      <c r="C282" s="857" t="s">
        <v>240</v>
      </c>
      <c r="D282" s="857"/>
      <c r="E282" s="139"/>
      <c r="F282" s="184">
        <f>SUM(F23:F280)</f>
        <v>1500000</v>
      </c>
      <c r="G282" s="184"/>
      <c r="H282" s="184">
        <f>SUM(H23:H280)</f>
        <v>3553623.75</v>
      </c>
      <c r="I282" s="184">
        <f>SUM(I23:I280)</f>
        <v>1514205.7682102004</v>
      </c>
      <c r="J282" s="184">
        <f>SUM(J23:J280)</f>
        <v>2039417.981789802</v>
      </c>
      <c r="K282" s="139"/>
      <c r="L282" s="184">
        <f>SUM(L23:L280)</f>
        <v>106217.40058812914</v>
      </c>
      <c r="M282" s="184">
        <f>SUM(M23:M280)</f>
        <v>207339.9876961986</v>
      </c>
      <c r="N282" s="139"/>
      <c r="O282" s="184">
        <f>SUM(O23:O280)</f>
        <v>0</v>
      </c>
      <c r="P282" s="184">
        <f>SUM(P23:P280)</f>
        <v>3867181.138284327</v>
      </c>
      <c r="Q282" s="139"/>
      <c r="R282" s="29">
        <f>SUM(R23:R280)</f>
        <v>248</v>
      </c>
      <c r="S282" s="139"/>
      <c r="T282" s="139"/>
      <c r="Z282" s="63"/>
      <c r="AA282" s="35"/>
      <c r="AB282" s="63"/>
    </row>
    <row r="283" spans="3:35" x14ac:dyDescent="0.25">
      <c r="Q283" s="63"/>
      <c r="R283" s="63"/>
      <c r="S283" s="63"/>
      <c r="T283" s="63"/>
      <c r="U283" s="63"/>
      <c r="V283" s="63"/>
      <c r="W283" s="63"/>
      <c r="X283" s="63"/>
      <c r="Y283" s="63"/>
    </row>
    <row r="284" spans="3:35" x14ac:dyDescent="0.25">
      <c r="C284" s="850" t="s">
        <v>241</v>
      </c>
      <c r="D284" s="850"/>
      <c r="E284" s="850"/>
      <c r="F284" s="850"/>
      <c r="G284" s="850"/>
      <c r="H284" s="850"/>
      <c r="I284" s="850"/>
      <c r="J284" s="850"/>
      <c r="K284" s="850"/>
      <c r="L284" s="850"/>
      <c r="M284" s="850"/>
      <c r="N284" s="850"/>
      <c r="Q284" s="63"/>
      <c r="R284" s="63"/>
      <c r="S284" s="63"/>
      <c r="T284" s="63"/>
      <c r="U284" s="63"/>
      <c r="V284" s="63"/>
      <c r="W284" s="63"/>
      <c r="X284" s="63"/>
      <c r="Y284" s="63"/>
    </row>
    <row r="285" spans="3:35" x14ac:dyDescent="0.25">
      <c r="C285" s="850" t="s">
        <v>223</v>
      </c>
      <c r="D285" s="850"/>
      <c r="E285" s="850"/>
      <c r="F285" s="850"/>
      <c r="G285" s="850"/>
      <c r="H285" s="850"/>
      <c r="I285" s="850"/>
      <c r="J285" s="850"/>
      <c r="K285" s="850"/>
      <c r="L285" s="850"/>
      <c r="M285" s="850"/>
      <c r="N285" s="850"/>
      <c r="Q285" s="63"/>
      <c r="R285" s="63"/>
      <c r="S285" s="63"/>
      <c r="T285" s="63"/>
      <c r="U285" s="63"/>
      <c r="V285" s="63"/>
      <c r="W285" s="63"/>
      <c r="X285" s="63"/>
      <c r="Y285" s="63"/>
    </row>
    <row r="286" spans="3:35" x14ac:dyDescent="0.25">
      <c r="C286" s="850" t="s">
        <v>242</v>
      </c>
      <c r="D286" s="850"/>
      <c r="E286" s="850"/>
      <c r="F286" s="850"/>
      <c r="G286" s="850"/>
      <c r="H286" s="850"/>
      <c r="I286" s="850"/>
      <c r="J286" s="850"/>
      <c r="K286" s="850"/>
      <c r="L286" s="850"/>
      <c r="M286" s="850"/>
      <c r="N286" s="850"/>
      <c r="Q286" s="63"/>
      <c r="R286" s="63"/>
      <c r="S286" s="63"/>
      <c r="T286" s="63"/>
      <c r="U286" s="63"/>
      <c r="V286" s="63"/>
      <c r="W286" s="63"/>
      <c r="X286" s="63"/>
      <c r="Y286" s="63"/>
    </row>
    <row r="287" spans="3:35" x14ac:dyDescent="0.25">
      <c r="C287" s="850"/>
      <c r="D287" s="850"/>
      <c r="E287" s="850"/>
      <c r="F287" s="850"/>
      <c r="G287" s="850"/>
      <c r="H287" s="850"/>
      <c r="I287" s="850"/>
      <c r="J287" s="850"/>
      <c r="K287" s="850"/>
      <c r="L287" s="850"/>
      <c r="M287" s="850"/>
      <c r="N287" s="850"/>
      <c r="Q287" s="63"/>
      <c r="R287" s="63"/>
      <c r="S287" s="63"/>
      <c r="T287" s="63"/>
      <c r="U287" s="63"/>
      <c r="V287" s="63"/>
      <c r="W287" s="63"/>
      <c r="X287" s="63"/>
      <c r="Y287" s="63"/>
    </row>
    <row r="288" spans="3:35" x14ac:dyDescent="0.25">
      <c r="C288" s="850" t="s">
        <v>226</v>
      </c>
      <c r="D288" s="850"/>
      <c r="E288" s="850"/>
      <c r="F288" s="850"/>
      <c r="G288" s="850"/>
      <c r="H288" s="850"/>
      <c r="I288" s="850"/>
      <c r="J288" s="850"/>
      <c r="K288" s="850"/>
      <c r="L288" s="850"/>
      <c r="M288" s="850"/>
      <c r="N288" s="850"/>
      <c r="Q288" s="63"/>
      <c r="R288" s="63"/>
      <c r="S288" s="63"/>
      <c r="T288" s="63"/>
      <c r="U288" s="63"/>
      <c r="V288" s="63"/>
      <c r="W288" s="63"/>
      <c r="X288" s="63"/>
      <c r="Y288" s="63"/>
    </row>
    <row r="289" spans="3:25" x14ac:dyDescent="0.25">
      <c r="C289" s="850"/>
      <c r="D289" s="850"/>
      <c r="E289" s="850"/>
      <c r="F289" s="850"/>
      <c r="G289" s="850"/>
      <c r="H289" s="850"/>
      <c r="I289" s="850"/>
      <c r="J289" s="850"/>
      <c r="K289" s="850"/>
      <c r="L289" s="850"/>
      <c r="M289" s="850"/>
      <c r="N289" s="850"/>
      <c r="Q289" s="63"/>
      <c r="R289" s="63"/>
      <c r="S289" s="63"/>
      <c r="T289" s="63"/>
      <c r="U289" s="63"/>
      <c r="V289" s="63"/>
      <c r="W289" s="63"/>
      <c r="X289" s="63"/>
      <c r="Y289" s="63"/>
    </row>
  </sheetData>
  <sheetProtection algorithmName="SHA-512" hashValue="RVifqelUT/w5vgQgrzZNevKXuPO9A73QMEnSwlCC3r5yi61vclFjAj6eEs1zVAHTlvqsKCF8lCl2FsnUPhU+Dw==" saltValue="33fsiomJ107Zx5wIwWzG4Q==" spinCount="100000" sheet="1" objects="1" scenarios="1"/>
  <protectedRanges>
    <protectedRange password="E9DF" sqref="E19:E20 E11" name="Rango1"/>
  </protectedRanges>
  <mergeCells count="18">
    <mergeCell ref="C288:N289"/>
    <mergeCell ref="E12:F12"/>
    <mergeCell ref="E13:F13"/>
    <mergeCell ref="E14:F14"/>
    <mergeCell ref="M15:N15"/>
    <mergeCell ref="E16:F16"/>
    <mergeCell ref="E19:F19"/>
    <mergeCell ref="E20:F20"/>
    <mergeCell ref="C282:D282"/>
    <mergeCell ref="C284:N284"/>
    <mergeCell ref="C285:N285"/>
    <mergeCell ref="C286:N287"/>
    <mergeCell ref="E11:F11"/>
    <mergeCell ref="G3:I3"/>
    <mergeCell ref="L5:O5"/>
    <mergeCell ref="E8:F8"/>
    <mergeCell ref="E9:F9"/>
    <mergeCell ref="E10:F10"/>
  </mergeCells>
  <conditionalFormatting sqref="C8 C11 C13:C14">
    <cfRule type="expression" dxfId="85" priority="8">
      <formula>$C$9="NO"</formula>
    </cfRule>
  </conditionalFormatting>
  <conditionalFormatting sqref="C9">
    <cfRule type="expression" dxfId="84" priority="7">
      <formula>$C$9="NO"</formula>
    </cfRule>
  </conditionalFormatting>
  <conditionalFormatting sqref="C10">
    <cfRule type="expression" dxfId="83" priority="6">
      <formula>$C$9="NO"</formula>
    </cfRule>
  </conditionalFormatting>
  <conditionalFormatting sqref="K15">
    <cfRule type="cellIs" dxfId="82" priority="5" operator="equal">
      <formula>""</formula>
    </cfRule>
  </conditionalFormatting>
  <conditionalFormatting sqref="O8:P8">
    <cfRule type="expression" dxfId="81" priority="9" stopIfTrue="1">
      <formula>$M$8=""</formula>
    </cfRule>
  </conditionalFormatting>
  <conditionalFormatting sqref="C12">
    <cfRule type="expression" dxfId="80" priority="4">
      <formula>$C$9="NO"</formula>
    </cfRule>
  </conditionalFormatting>
  <conditionalFormatting sqref="C16">
    <cfRule type="expression" dxfId="79" priority="3">
      <formula>$C$9="NO"</formula>
    </cfRule>
  </conditionalFormatting>
  <conditionalFormatting sqref="B14">
    <cfRule type="expression" dxfId="78" priority="10" stopIfTrue="1">
      <formula>$E$19=$AB$9</formula>
    </cfRule>
  </conditionalFormatting>
  <conditionalFormatting sqref="C20">
    <cfRule type="expression" dxfId="77" priority="11" stopIfTrue="1">
      <formula>$E$14=$Z$9</formula>
    </cfRule>
  </conditionalFormatting>
  <conditionalFormatting sqref="C23:T40">
    <cfRule type="expression" dxfId="76" priority="2">
      <formula>$C23&lt;&gt;""</formula>
    </cfRule>
  </conditionalFormatting>
  <conditionalFormatting sqref="O41:O280">
    <cfRule type="expression" dxfId="75" priority="1">
      <formula>$O41&gt;0</formula>
    </cfRule>
  </conditionalFormatting>
  <dataValidations disablePrompts="1" count="2">
    <dataValidation type="list" allowBlank="1" showInputMessage="1" showErrorMessage="1" sqref="E20:F20 JH20:JI20 TD20:TE20 ACZ20:ADA20 AMV20:AMW20 AWR20:AWS20 BGN20:BGO20 BQJ20:BQK20 CAF20:CAG20 CKB20:CKC20 CTX20:CTY20 DDT20:DDU20 DNP20:DNQ20 DXL20:DXM20 EHH20:EHI20 ERD20:ERE20 FAZ20:FBA20 FKV20:FKW20 FUR20:FUS20 GEN20:GEO20 GOJ20:GOK20 GYF20:GYG20 HIB20:HIC20 HRX20:HRY20 IBT20:IBU20 ILP20:ILQ20 IVL20:IVM20 JFH20:JFI20 JPD20:JPE20 JYZ20:JZA20 KIV20:KIW20 KSR20:KSS20 LCN20:LCO20 LMJ20:LMK20 LWF20:LWG20 MGB20:MGC20 MPX20:MPY20 MZT20:MZU20 NJP20:NJQ20 NTL20:NTM20 ODH20:ODI20 OND20:ONE20 OWZ20:OXA20 PGV20:PGW20 PQR20:PQS20 QAN20:QAO20 QKJ20:QKK20 QUF20:QUG20 REB20:REC20 RNX20:RNY20 RXT20:RXU20 SHP20:SHQ20 SRL20:SRM20 TBH20:TBI20 TLD20:TLE20 TUZ20:TVA20 UEV20:UEW20 UOR20:UOS20 UYN20:UYO20 VIJ20:VIK20 VSF20:VSG20 WCB20:WCC20 WLX20:WLY20 WVT20:WVU20 E65559:F65559 JG65559:JH65559 TC65559:TD65559 ACY65559:ACZ65559 AMU65559:AMV65559 AWQ65559:AWR65559 BGM65559:BGN65559 BQI65559:BQJ65559 CAE65559:CAF65559 CKA65559:CKB65559 CTW65559:CTX65559 DDS65559:DDT65559 DNO65559:DNP65559 DXK65559:DXL65559 EHG65559:EHH65559 ERC65559:ERD65559 FAY65559:FAZ65559 FKU65559:FKV65559 FUQ65559:FUR65559 GEM65559:GEN65559 GOI65559:GOJ65559 GYE65559:GYF65559 HIA65559:HIB65559 HRW65559:HRX65559 IBS65559:IBT65559 ILO65559:ILP65559 IVK65559:IVL65559 JFG65559:JFH65559 JPC65559:JPD65559 JYY65559:JYZ65559 KIU65559:KIV65559 KSQ65559:KSR65559 LCM65559:LCN65559 LMI65559:LMJ65559 LWE65559:LWF65559 MGA65559:MGB65559 MPW65559:MPX65559 MZS65559:MZT65559 NJO65559:NJP65559 NTK65559:NTL65559 ODG65559:ODH65559 ONC65559:OND65559 OWY65559:OWZ65559 PGU65559:PGV65559 PQQ65559:PQR65559 QAM65559:QAN65559 QKI65559:QKJ65559 QUE65559:QUF65559 REA65559:REB65559 RNW65559:RNX65559 RXS65559:RXT65559 SHO65559:SHP65559 SRK65559:SRL65559 TBG65559:TBH65559 TLC65559:TLD65559 TUY65559:TUZ65559 UEU65559:UEV65559 UOQ65559:UOR65559 UYM65559:UYN65559 VII65559:VIJ65559 VSE65559:VSF65559 WCA65559:WCB65559 WLW65559:WLX65559 WVS65559:WVT65559 E131095:F131095 JG131095:JH131095 TC131095:TD131095 ACY131095:ACZ131095 AMU131095:AMV131095 AWQ131095:AWR131095 BGM131095:BGN131095 BQI131095:BQJ131095 CAE131095:CAF131095 CKA131095:CKB131095 CTW131095:CTX131095 DDS131095:DDT131095 DNO131095:DNP131095 DXK131095:DXL131095 EHG131095:EHH131095 ERC131095:ERD131095 FAY131095:FAZ131095 FKU131095:FKV131095 FUQ131095:FUR131095 GEM131095:GEN131095 GOI131095:GOJ131095 GYE131095:GYF131095 HIA131095:HIB131095 HRW131095:HRX131095 IBS131095:IBT131095 ILO131095:ILP131095 IVK131095:IVL131095 JFG131095:JFH131095 JPC131095:JPD131095 JYY131095:JYZ131095 KIU131095:KIV131095 KSQ131095:KSR131095 LCM131095:LCN131095 LMI131095:LMJ131095 LWE131095:LWF131095 MGA131095:MGB131095 MPW131095:MPX131095 MZS131095:MZT131095 NJO131095:NJP131095 NTK131095:NTL131095 ODG131095:ODH131095 ONC131095:OND131095 OWY131095:OWZ131095 PGU131095:PGV131095 PQQ131095:PQR131095 QAM131095:QAN131095 QKI131095:QKJ131095 QUE131095:QUF131095 REA131095:REB131095 RNW131095:RNX131095 RXS131095:RXT131095 SHO131095:SHP131095 SRK131095:SRL131095 TBG131095:TBH131095 TLC131095:TLD131095 TUY131095:TUZ131095 UEU131095:UEV131095 UOQ131095:UOR131095 UYM131095:UYN131095 VII131095:VIJ131095 VSE131095:VSF131095 WCA131095:WCB131095 WLW131095:WLX131095 WVS131095:WVT131095 E196631:F196631 JG196631:JH196631 TC196631:TD196631 ACY196631:ACZ196631 AMU196631:AMV196631 AWQ196631:AWR196631 BGM196631:BGN196631 BQI196631:BQJ196631 CAE196631:CAF196631 CKA196631:CKB196631 CTW196631:CTX196631 DDS196631:DDT196631 DNO196631:DNP196631 DXK196631:DXL196631 EHG196631:EHH196631 ERC196631:ERD196631 FAY196631:FAZ196631 FKU196631:FKV196631 FUQ196631:FUR196631 GEM196631:GEN196631 GOI196631:GOJ196631 GYE196631:GYF196631 HIA196631:HIB196631 HRW196631:HRX196631 IBS196631:IBT196631 ILO196631:ILP196631 IVK196631:IVL196631 JFG196631:JFH196631 JPC196631:JPD196631 JYY196631:JYZ196631 KIU196631:KIV196631 KSQ196631:KSR196631 LCM196631:LCN196631 LMI196631:LMJ196631 LWE196631:LWF196631 MGA196631:MGB196631 MPW196631:MPX196631 MZS196631:MZT196631 NJO196631:NJP196631 NTK196631:NTL196631 ODG196631:ODH196631 ONC196631:OND196631 OWY196631:OWZ196631 PGU196631:PGV196631 PQQ196631:PQR196631 QAM196631:QAN196631 QKI196631:QKJ196631 QUE196631:QUF196631 REA196631:REB196631 RNW196631:RNX196631 RXS196631:RXT196631 SHO196631:SHP196631 SRK196631:SRL196631 TBG196631:TBH196631 TLC196631:TLD196631 TUY196631:TUZ196631 UEU196631:UEV196631 UOQ196631:UOR196631 UYM196631:UYN196631 VII196631:VIJ196631 VSE196631:VSF196631 WCA196631:WCB196631 WLW196631:WLX196631 WVS196631:WVT196631 E262167:F262167 JG262167:JH262167 TC262167:TD262167 ACY262167:ACZ262167 AMU262167:AMV262167 AWQ262167:AWR262167 BGM262167:BGN262167 BQI262167:BQJ262167 CAE262167:CAF262167 CKA262167:CKB262167 CTW262167:CTX262167 DDS262167:DDT262167 DNO262167:DNP262167 DXK262167:DXL262167 EHG262167:EHH262167 ERC262167:ERD262167 FAY262167:FAZ262167 FKU262167:FKV262167 FUQ262167:FUR262167 GEM262167:GEN262167 GOI262167:GOJ262167 GYE262167:GYF262167 HIA262167:HIB262167 HRW262167:HRX262167 IBS262167:IBT262167 ILO262167:ILP262167 IVK262167:IVL262167 JFG262167:JFH262167 JPC262167:JPD262167 JYY262167:JYZ262167 KIU262167:KIV262167 KSQ262167:KSR262167 LCM262167:LCN262167 LMI262167:LMJ262167 LWE262167:LWF262167 MGA262167:MGB262167 MPW262167:MPX262167 MZS262167:MZT262167 NJO262167:NJP262167 NTK262167:NTL262167 ODG262167:ODH262167 ONC262167:OND262167 OWY262167:OWZ262167 PGU262167:PGV262167 PQQ262167:PQR262167 QAM262167:QAN262167 QKI262167:QKJ262167 QUE262167:QUF262167 REA262167:REB262167 RNW262167:RNX262167 RXS262167:RXT262167 SHO262167:SHP262167 SRK262167:SRL262167 TBG262167:TBH262167 TLC262167:TLD262167 TUY262167:TUZ262167 UEU262167:UEV262167 UOQ262167:UOR262167 UYM262167:UYN262167 VII262167:VIJ262167 VSE262167:VSF262167 WCA262167:WCB262167 WLW262167:WLX262167 WVS262167:WVT262167 E327703:F327703 JG327703:JH327703 TC327703:TD327703 ACY327703:ACZ327703 AMU327703:AMV327703 AWQ327703:AWR327703 BGM327703:BGN327703 BQI327703:BQJ327703 CAE327703:CAF327703 CKA327703:CKB327703 CTW327703:CTX327703 DDS327703:DDT327703 DNO327703:DNP327703 DXK327703:DXL327703 EHG327703:EHH327703 ERC327703:ERD327703 FAY327703:FAZ327703 FKU327703:FKV327703 FUQ327703:FUR327703 GEM327703:GEN327703 GOI327703:GOJ327703 GYE327703:GYF327703 HIA327703:HIB327703 HRW327703:HRX327703 IBS327703:IBT327703 ILO327703:ILP327703 IVK327703:IVL327703 JFG327703:JFH327703 JPC327703:JPD327703 JYY327703:JYZ327703 KIU327703:KIV327703 KSQ327703:KSR327703 LCM327703:LCN327703 LMI327703:LMJ327703 LWE327703:LWF327703 MGA327703:MGB327703 MPW327703:MPX327703 MZS327703:MZT327703 NJO327703:NJP327703 NTK327703:NTL327703 ODG327703:ODH327703 ONC327703:OND327703 OWY327703:OWZ327703 PGU327703:PGV327703 PQQ327703:PQR327703 QAM327703:QAN327703 QKI327703:QKJ327703 QUE327703:QUF327703 REA327703:REB327703 RNW327703:RNX327703 RXS327703:RXT327703 SHO327703:SHP327703 SRK327703:SRL327703 TBG327703:TBH327703 TLC327703:TLD327703 TUY327703:TUZ327703 UEU327703:UEV327703 UOQ327703:UOR327703 UYM327703:UYN327703 VII327703:VIJ327703 VSE327703:VSF327703 WCA327703:WCB327703 WLW327703:WLX327703 WVS327703:WVT327703 E393239:F393239 JG393239:JH393239 TC393239:TD393239 ACY393239:ACZ393239 AMU393239:AMV393239 AWQ393239:AWR393239 BGM393239:BGN393239 BQI393239:BQJ393239 CAE393239:CAF393239 CKA393239:CKB393239 CTW393239:CTX393239 DDS393239:DDT393239 DNO393239:DNP393239 DXK393239:DXL393239 EHG393239:EHH393239 ERC393239:ERD393239 FAY393239:FAZ393239 FKU393239:FKV393239 FUQ393239:FUR393239 GEM393239:GEN393239 GOI393239:GOJ393239 GYE393239:GYF393239 HIA393239:HIB393239 HRW393239:HRX393239 IBS393239:IBT393239 ILO393239:ILP393239 IVK393239:IVL393239 JFG393239:JFH393239 JPC393239:JPD393239 JYY393239:JYZ393239 KIU393239:KIV393239 KSQ393239:KSR393239 LCM393239:LCN393239 LMI393239:LMJ393239 LWE393239:LWF393239 MGA393239:MGB393239 MPW393239:MPX393239 MZS393239:MZT393239 NJO393239:NJP393239 NTK393239:NTL393239 ODG393239:ODH393239 ONC393239:OND393239 OWY393239:OWZ393239 PGU393239:PGV393239 PQQ393239:PQR393239 QAM393239:QAN393239 QKI393239:QKJ393239 QUE393239:QUF393239 REA393239:REB393239 RNW393239:RNX393239 RXS393239:RXT393239 SHO393239:SHP393239 SRK393239:SRL393239 TBG393239:TBH393239 TLC393239:TLD393239 TUY393239:TUZ393239 UEU393239:UEV393239 UOQ393239:UOR393239 UYM393239:UYN393239 VII393239:VIJ393239 VSE393239:VSF393239 WCA393239:WCB393239 WLW393239:WLX393239 WVS393239:WVT393239 E458775:F458775 JG458775:JH458775 TC458775:TD458775 ACY458775:ACZ458775 AMU458775:AMV458775 AWQ458775:AWR458775 BGM458775:BGN458775 BQI458775:BQJ458775 CAE458775:CAF458775 CKA458775:CKB458775 CTW458775:CTX458775 DDS458775:DDT458775 DNO458775:DNP458775 DXK458775:DXL458775 EHG458775:EHH458775 ERC458775:ERD458775 FAY458775:FAZ458775 FKU458775:FKV458775 FUQ458775:FUR458775 GEM458775:GEN458775 GOI458775:GOJ458775 GYE458775:GYF458775 HIA458775:HIB458775 HRW458775:HRX458775 IBS458775:IBT458775 ILO458775:ILP458775 IVK458775:IVL458775 JFG458775:JFH458775 JPC458775:JPD458775 JYY458775:JYZ458775 KIU458775:KIV458775 KSQ458775:KSR458775 LCM458775:LCN458775 LMI458775:LMJ458775 LWE458775:LWF458775 MGA458775:MGB458775 MPW458775:MPX458775 MZS458775:MZT458775 NJO458775:NJP458775 NTK458775:NTL458775 ODG458775:ODH458775 ONC458775:OND458775 OWY458775:OWZ458775 PGU458775:PGV458775 PQQ458775:PQR458775 QAM458775:QAN458775 QKI458775:QKJ458775 QUE458775:QUF458775 REA458775:REB458775 RNW458775:RNX458775 RXS458775:RXT458775 SHO458775:SHP458775 SRK458775:SRL458775 TBG458775:TBH458775 TLC458775:TLD458775 TUY458775:TUZ458775 UEU458775:UEV458775 UOQ458775:UOR458775 UYM458775:UYN458775 VII458775:VIJ458775 VSE458775:VSF458775 WCA458775:WCB458775 WLW458775:WLX458775 WVS458775:WVT458775 E524311:F524311 JG524311:JH524311 TC524311:TD524311 ACY524311:ACZ524311 AMU524311:AMV524311 AWQ524311:AWR524311 BGM524311:BGN524311 BQI524311:BQJ524311 CAE524311:CAF524311 CKA524311:CKB524311 CTW524311:CTX524311 DDS524311:DDT524311 DNO524311:DNP524311 DXK524311:DXL524311 EHG524311:EHH524311 ERC524311:ERD524311 FAY524311:FAZ524311 FKU524311:FKV524311 FUQ524311:FUR524311 GEM524311:GEN524311 GOI524311:GOJ524311 GYE524311:GYF524311 HIA524311:HIB524311 HRW524311:HRX524311 IBS524311:IBT524311 ILO524311:ILP524311 IVK524311:IVL524311 JFG524311:JFH524311 JPC524311:JPD524311 JYY524311:JYZ524311 KIU524311:KIV524311 KSQ524311:KSR524311 LCM524311:LCN524311 LMI524311:LMJ524311 LWE524311:LWF524311 MGA524311:MGB524311 MPW524311:MPX524311 MZS524311:MZT524311 NJO524311:NJP524311 NTK524311:NTL524311 ODG524311:ODH524311 ONC524311:OND524311 OWY524311:OWZ524311 PGU524311:PGV524311 PQQ524311:PQR524311 QAM524311:QAN524311 QKI524311:QKJ524311 QUE524311:QUF524311 REA524311:REB524311 RNW524311:RNX524311 RXS524311:RXT524311 SHO524311:SHP524311 SRK524311:SRL524311 TBG524311:TBH524311 TLC524311:TLD524311 TUY524311:TUZ524311 UEU524311:UEV524311 UOQ524311:UOR524311 UYM524311:UYN524311 VII524311:VIJ524311 VSE524311:VSF524311 WCA524311:WCB524311 WLW524311:WLX524311 WVS524311:WVT524311 E589847:F589847 JG589847:JH589847 TC589847:TD589847 ACY589847:ACZ589847 AMU589847:AMV589847 AWQ589847:AWR589847 BGM589847:BGN589847 BQI589847:BQJ589847 CAE589847:CAF589847 CKA589847:CKB589847 CTW589847:CTX589847 DDS589847:DDT589847 DNO589847:DNP589847 DXK589847:DXL589847 EHG589847:EHH589847 ERC589847:ERD589847 FAY589847:FAZ589847 FKU589847:FKV589847 FUQ589847:FUR589847 GEM589847:GEN589847 GOI589847:GOJ589847 GYE589847:GYF589847 HIA589847:HIB589847 HRW589847:HRX589847 IBS589847:IBT589847 ILO589847:ILP589847 IVK589847:IVL589847 JFG589847:JFH589847 JPC589847:JPD589847 JYY589847:JYZ589847 KIU589847:KIV589847 KSQ589847:KSR589847 LCM589847:LCN589847 LMI589847:LMJ589847 LWE589847:LWF589847 MGA589847:MGB589847 MPW589847:MPX589847 MZS589847:MZT589847 NJO589847:NJP589847 NTK589847:NTL589847 ODG589847:ODH589847 ONC589847:OND589847 OWY589847:OWZ589847 PGU589847:PGV589847 PQQ589847:PQR589847 QAM589847:QAN589847 QKI589847:QKJ589847 QUE589847:QUF589847 REA589847:REB589847 RNW589847:RNX589847 RXS589847:RXT589847 SHO589847:SHP589847 SRK589847:SRL589847 TBG589847:TBH589847 TLC589847:TLD589847 TUY589847:TUZ589847 UEU589847:UEV589847 UOQ589847:UOR589847 UYM589847:UYN589847 VII589847:VIJ589847 VSE589847:VSF589847 WCA589847:WCB589847 WLW589847:WLX589847 WVS589847:WVT589847 E655383:F655383 JG655383:JH655383 TC655383:TD655383 ACY655383:ACZ655383 AMU655383:AMV655383 AWQ655383:AWR655383 BGM655383:BGN655383 BQI655383:BQJ655383 CAE655383:CAF655383 CKA655383:CKB655383 CTW655383:CTX655383 DDS655383:DDT655383 DNO655383:DNP655383 DXK655383:DXL655383 EHG655383:EHH655383 ERC655383:ERD655383 FAY655383:FAZ655383 FKU655383:FKV655383 FUQ655383:FUR655383 GEM655383:GEN655383 GOI655383:GOJ655383 GYE655383:GYF655383 HIA655383:HIB655383 HRW655383:HRX655383 IBS655383:IBT655383 ILO655383:ILP655383 IVK655383:IVL655383 JFG655383:JFH655383 JPC655383:JPD655383 JYY655383:JYZ655383 KIU655383:KIV655383 KSQ655383:KSR655383 LCM655383:LCN655383 LMI655383:LMJ655383 LWE655383:LWF655383 MGA655383:MGB655383 MPW655383:MPX655383 MZS655383:MZT655383 NJO655383:NJP655383 NTK655383:NTL655383 ODG655383:ODH655383 ONC655383:OND655383 OWY655383:OWZ655383 PGU655383:PGV655383 PQQ655383:PQR655383 QAM655383:QAN655383 QKI655383:QKJ655383 QUE655383:QUF655383 REA655383:REB655383 RNW655383:RNX655383 RXS655383:RXT655383 SHO655383:SHP655383 SRK655383:SRL655383 TBG655383:TBH655383 TLC655383:TLD655383 TUY655383:TUZ655383 UEU655383:UEV655383 UOQ655383:UOR655383 UYM655383:UYN655383 VII655383:VIJ655383 VSE655383:VSF655383 WCA655383:WCB655383 WLW655383:WLX655383 WVS655383:WVT655383 E720919:F720919 JG720919:JH720919 TC720919:TD720919 ACY720919:ACZ720919 AMU720919:AMV720919 AWQ720919:AWR720919 BGM720919:BGN720919 BQI720919:BQJ720919 CAE720919:CAF720919 CKA720919:CKB720919 CTW720919:CTX720919 DDS720919:DDT720919 DNO720919:DNP720919 DXK720919:DXL720919 EHG720919:EHH720919 ERC720919:ERD720919 FAY720919:FAZ720919 FKU720919:FKV720919 FUQ720919:FUR720919 GEM720919:GEN720919 GOI720919:GOJ720919 GYE720919:GYF720919 HIA720919:HIB720919 HRW720919:HRX720919 IBS720919:IBT720919 ILO720919:ILP720919 IVK720919:IVL720919 JFG720919:JFH720919 JPC720919:JPD720919 JYY720919:JYZ720919 KIU720919:KIV720919 KSQ720919:KSR720919 LCM720919:LCN720919 LMI720919:LMJ720919 LWE720919:LWF720919 MGA720919:MGB720919 MPW720919:MPX720919 MZS720919:MZT720919 NJO720919:NJP720919 NTK720919:NTL720919 ODG720919:ODH720919 ONC720919:OND720919 OWY720919:OWZ720919 PGU720919:PGV720919 PQQ720919:PQR720919 QAM720919:QAN720919 QKI720919:QKJ720919 QUE720919:QUF720919 REA720919:REB720919 RNW720919:RNX720919 RXS720919:RXT720919 SHO720919:SHP720919 SRK720919:SRL720919 TBG720919:TBH720919 TLC720919:TLD720919 TUY720919:TUZ720919 UEU720919:UEV720919 UOQ720919:UOR720919 UYM720919:UYN720919 VII720919:VIJ720919 VSE720919:VSF720919 WCA720919:WCB720919 WLW720919:WLX720919 WVS720919:WVT720919 E786455:F786455 JG786455:JH786455 TC786455:TD786455 ACY786455:ACZ786455 AMU786455:AMV786455 AWQ786455:AWR786455 BGM786455:BGN786455 BQI786455:BQJ786455 CAE786455:CAF786455 CKA786455:CKB786455 CTW786455:CTX786455 DDS786455:DDT786455 DNO786455:DNP786455 DXK786455:DXL786455 EHG786455:EHH786455 ERC786455:ERD786455 FAY786455:FAZ786455 FKU786455:FKV786455 FUQ786455:FUR786455 GEM786455:GEN786455 GOI786455:GOJ786455 GYE786455:GYF786455 HIA786455:HIB786455 HRW786455:HRX786455 IBS786455:IBT786455 ILO786455:ILP786455 IVK786455:IVL786455 JFG786455:JFH786455 JPC786455:JPD786455 JYY786455:JYZ786455 KIU786455:KIV786455 KSQ786455:KSR786455 LCM786455:LCN786455 LMI786455:LMJ786455 LWE786455:LWF786455 MGA786455:MGB786455 MPW786455:MPX786455 MZS786455:MZT786455 NJO786455:NJP786455 NTK786455:NTL786455 ODG786455:ODH786455 ONC786455:OND786455 OWY786455:OWZ786455 PGU786455:PGV786455 PQQ786455:PQR786455 QAM786455:QAN786455 QKI786455:QKJ786455 QUE786455:QUF786455 REA786455:REB786455 RNW786455:RNX786455 RXS786455:RXT786455 SHO786455:SHP786455 SRK786455:SRL786455 TBG786455:TBH786455 TLC786455:TLD786455 TUY786455:TUZ786455 UEU786455:UEV786455 UOQ786455:UOR786455 UYM786455:UYN786455 VII786455:VIJ786455 VSE786455:VSF786455 WCA786455:WCB786455 WLW786455:WLX786455 WVS786455:WVT786455 E851991:F851991 JG851991:JH851991 TC851991:TD851991 ACY851991:ACZ851991 AMU851991:AMV851991 AWQ851991:AWR851991 BGM851991:BGN851991 BQI851991:BQJ851991 CAE851991:CAF851991 CKA851991:CKB851991 CTW851991:CTX851991 DDS851991:DDT851991 DNO851991:DNP851991 DXK851991:DXL851991 EHG851991:EHH851991 ERC851991:ERD851991 FAY851991:FAZ851991 FKU851991:FKV851991 FUQ851991:FUR851991 GEM851991:GEN851991 GOI851991:GOJ851991 GYE851991:GYF851991 HIA851991:HIB851991 HRW851991:HRX851991 IBS851991:IBT851991 ILO851991:ILP851991 IVK851991:IVL851991 JFG851991:JFH851991 JPC851991:JPD851991 JYY851991:JYZ851991 KIU851991:KIV851991 KSQ851991:KSR851991 LCM851991:LCN851991 LMI851991:LMJ851991 LWE851991:LWF851991 MGA851991:MGB851991 MPW851991:MPX851991 MZS851991:MZT851991 NJO851991:NJP851991 NTK851991:NTL851991 ODG851991:ODH851991 ONC851991:OND851991 OWY851991:OWZ851991 PGU851991:PGV851991 PQQ851991:PQR851991 QAM851991:QAN851991 QKI851991:QKJ851991 QUE851991:QUF851991 REA851991:REB851991 RNW851991:RNX851991 RXS851991:RXT851991 SHO851991:SHP851991 SRK851991:SRL851991 TBG851991:TBH851991 TLC851991:TLD851991 TUY851991:TUZ851991 UEU851991:UEV851991 UOQ851991:UOR851991 UYM851991:UYN851991 VII851991:VIJ851991 VSE851991:VSF851991 WCA851991:WCB851991 WLW851991:WLX851991 WVS851991:WVT851991 E917527:F917527 JG917527:JH917527 TC917527:TD917527 ACY917527:ACZ917527 AMU917527:AMV917527 AWQ917527:AWR917527 BGM917527:BGN917527 BQI917527:BQJ917527 CAE917527:CAF917527 CKA917527:CKB917527 CTW917527:CTX917527 DDS917527:DDT917527 DNO917527:DNP917527 DXK917527:DXL917527 EHG917527:EHH917527 ERC917527:ERD917527 FAY917527:FAZ917527 FKU917527:FKV917527 FUQ917527:FUR917527 GEM917527:GEN917527 GOI917527:GOJ917527 GYE917527:GYF917527 HIA917527:HIB917527 HRW917527:HRX917527 IBS917527:IBT917527 ILO917527:ILP917527 IVK917527:IVL917527 JFG917527:JFH917527 JPC917527:JPD917527 JYY917527:JYZ917527 KIU917527:KIV917527 KSQ917527:KSR917527 LCM917527:LCN917527 LMI917527:LMJ917527 LWE917527:LWF917527 MGA917527:MGB917527 MPW917527:MPX917527 MZS917527:MZT917527 NJO917527:NJP917527 NTK917527:NTL917527 ODG917527:ODH917527 ONC917527:OND917527 OWY917527:OWZ917527 PGU917527:PGV917527 PQQ917527:PQR917527 QAM917527:QAN917527 QKI917527:QKJ917527 QUE917527:QUF917527 REA917527:REB917527 RNW917527:RNX917527 RXS917527:RXT917527 SHO917527:SHP917527 SRK917527:SRL917527 TBG917527:TBH917527 TLC917527:TLD917527 TUY917527:TUZ917527 UEU917527:UEV917527 UOQ917527:UOR917527 UYM917527:UYN917527 VII917527:VIJ917527 VSE917527:VSF917527 WCA917527:WCB917527 WLW917527:WLX917527 WVS917527:WVT917527 E983063:F983063 JG983063:JH983063 TC983063:TD983063 ACY983063:ACZ983063 AMU983063:AMV983063 AWQ983063:AWR983063 BGM983063:BGN983063 BQI983063:BQJ983063 CAE983063:CAF983063 CKA983063:CKB983063 CTW983063:CTX983063 DDS983063:DDT983063 DNO983063:DNP983063 DXK983063:DXL983063 EHG983063:EHH983063 ERC983063:ERD983063 FAY983063:FAZ983063 FKU983063:FKV983063 FUQ983063:FUR983063 GEM983063:GEN983063 GOI983063:GOJ983063 GYE983063:GYF983063 HIA983063:HIB983063 HRW983063:HRX983063 IBS983063:IBT983063 ILO983063:ILP983063 IVK983063:IVL983063 JFG983063:JFH983063 JPC983063:JPD983063 JYY983063:JYZ983063 KIU983063:KIV983063 KSQ983063:KSR983063 LCM983063:LCN983063 LMI983063:LMJ983063 LWE983063:LWF983063 MGA983063:MGB983063 MPW983063:MPX983063 MZS983063:MZT983063 NJO983063:NJP983063 NTK983063:NTL983063 ODG983063:ODH983063 ONC983063:OND983063 OWY983063:OWZ983063 PGU983063:PGV983063 PQQ983063:PQR983063 QAM983063:QAN983063 QKI983063:QKJ983063 QUE983063:QUF983063 REA983063:REB983063 RNW983063:RNX983063 RXS983063:RXT983063 SHO983063:SHP983063 SRK983063:SRL983063 TBG983063:TBH983063 TLC983063:TLD983063 TUY983063:TUZ983063 UEU983063:UEV983063 UOQ983063:UOR983063 UYM983063:UYN983063 VII983063:VIJ983063 VSE983063:VSF983063 WCA983063:WCB983063 WLW983063:WLX983063 WVS983063:WVT983063" xr:uid="{00000000-0002-0000-0400-000000000000}">
      <formula1>"Mensualidad, Plazo"</formula1>
    </dataValidation>
    <dataValidation type="list" allowBlank="1" showInputMessage="1" showErrorMessage="1" sqref="WVS983062 JG19 TC19 ACY19 AMU19 AWQ19 BGM19 BQI19 CAE19 CKA19 CTW19 DDS19 DNO19 DXK19 EHG19 ERC19 FAY19 FKU19 FUQ19 GEM19 GOI19 GYE19 HIA19 HRW19 IBS19 ILO19 IVK19 JFG19 JPC19 JYY19 KIU19 KSQ19 LCM19 LMI19 LWE19 MGA19 MPW19 MZS19 NJO19 NTK19 ODG19 ONC19 OWY19 PGU19 PQQ19 QAM19 QKI19 QUE19 REA19 RNW19 RXS19 SHO19 SRK19 TBG19 TLC19 TUY19 UEU19 UOQ19 UYM19 VII19 VSE19 WCA19 WLW19 WVS19 E65558 JG65558 TC65558 ACY65558 AMU65558 AWQ65558 BGM65558 BQI65558 CAE65558 CKA65558 CTW65558 DDS65558 DNO65558 DXK65558 EHG65558 ERC65558 FAY65558 FKU65558 FUQ65558 GEM65558 GOI65558 GYE65558 HIA65558 HRW65558 IBS65558 ILO65558 IVK65558 JFG65558 JPC65558 JYY65558 KIU65558 KSQ65558 LCM65558 LMI65558 LWE65558 MGA65558 MPW65558 MZS65558 NJO65558 NTK65558 ODG65558 ONC65558 OWY65558 PGU65558 PQQ65558 QAM65558 QKI65558 QUE65558 REA65558 RNW65558 RXS65558 SHO65558 SRK65558 TBG65558 TLC65558 TUY65558 UEU65558 UOQ65558 UYM65558 VII65558 VSE65558 WCA65558 WLW65558 WVS65558 E131094 JG131094 TC131094 ACY131094 AMU131094 AWQ131094 BGM131094 BQI131094 CAE131094 CKA131094 CTW131094 DDS131094 DNO131094 DXK131094 EHG131094 ERC131094 FAY131094 FKU131094 FUQ131094 GEM131094 GOI131094 GYE131094 HIA131094 HRW131094 IBS131094 ILO131094 IVK131094 JFG131094 JPC131094 JYY131094 KIU131094 KSQ131094 LCM131094 LMI131094 LWE131094 MGA131094 MPW131094 MZS131094 NJO131094 NTK131094 ODG131094 ONC131094 OWY131094 PGU131094 PQQ131094 QAM131094 QKI131094 QUE131094 REA131094 RNW131094 RXS131094 SHO131094 SRK131094 TBG131094 TLC131094 TUY131094 UEU131094 UOQ131094 UYM131094 VII131094 VSE131094 WCA131094 WLW131094 WVS131094 E196630 JG196630 TC196630 ACY196630 AMU196630 AWQ196630 BGM196630 BQI196630 CAE196630 CKA196630 CTW196630 DDS196630 DNO196630 DXK196630 EHG196630 ERC196630 FAY196630 FKU196630 FUQ196630 GEM196630 GOI196630 GYE196630 HIA196630 HRW196630 IBS196630 ILO196630 IVK196630 JFG196630 JPC196630 JYY196630 KIU196630 KSQ196630 LCM196630 LMI196630 LWE196630 MGA196630 MPW196630 MZS196630 NJO196630 NTK196630 ODG196630 ONC196630 OWY196630 PGU196630 PQQ196630 QAM196630 QKI196630 QUE196630 REA196630 RNW196630 RXS196630 SHO196630 SRK196630 TBG196630 TLC196630 TUY196630 UEU196630 UOQ196630 UYM196630 VII196630 VSE196630 WCA196630 WLW196630 WVS196630 E262166 JG262166 TC262166 ACY262166 AMU262166 AWQ262166 BGM262166 BQI262166 CAE262166 CKA262166 CTW262166 DDS262166 DNO262166 DXK262166 EHG262166 ERC262166 FAY262166 FKU262166 FUQ262166 GEM262166 GOI262166 GYE262166 HIA262166 HRW262166 IBS262166 ILO262166 IVK262166 JFG262166 JPC262166 JYY262166 KIU262166 KSQ262166 LCM262166 LMI262166 LWE262166 MGA262166 MPW262166 MZS262166 NJO262166 NTK262166 ODG262166 ONC262166 OWY262166 PGU262166 PQQ262166 QAM262166 QKI262166 QUE262166 REA262166 RNW262166 RXS262166 SHO262166 SRK262166 TBG262166 TLC262166 TUY262166 UEU262166 UOQ262166 UYM262166 VII262166 VSE262166 WCA262166 WLW262166 WVS262166 E327702 JG327702 TC327702 ACY327702 AMU327702 AWQ327702 BGM327702 BQI327702 CAE327702 CKA327702 CTW327702 DDS327702 DNO327702 DXK327702 EHG327702 ERC327702 FAY327702 FKU327702 FUQ327702 GEM327702 GOI327702 GYE327702 HIA327702 HRW327702 IBS327702 ILO327702 IVK327702 JFG327702 JPC327702 JYY327702 KIU327702 KSQ327702 LCM327702 LMI327702 LWE327702 MGA327702 MPW327702 MZS327702 NJO327702 NTK327702 ODG327702 ONC327702 OWY327702 PGU327702 PQQ327702 QAM327702 QKI327702 QUE327702 REA327702 RNW327702 RXS327702 SHO327702 SRK327702 TBG327702 TLC327702 TUY327702 UEU327702 UOQ327702 UYM327702 VII327702 VSE327702 WCA327702 WLW327702 WVS327702 E393238 JG393238 TC393238 ACY393238 AMU393238 AWQ393238 BGM393238 BQI393238 CAE393238 CKA393238 CTW393238 DDS393238 DNO393238 DXK393238 EHG393238 ERC393238 FAY393238 FKU393238 FUQ393238 GEM393238 GOI393238 GYE393238 HIA393238 HRW393238 IBS393238 ILO393238 IVK393238 JFG393238 JPC393238 JYY393238 KIU393238 KSQ393238 LCM393238 LMI393238 LWE393238 MGA393238 MPW393238 MZS393238 NJO393238 NTK393238 ODG393238 ONC393238 OWY393238 PGU393238 PQQ393238 QAM393238 QKI393238 QUE393238 REA393238 RNW393238 RXS393238 SHO393238 SRK393238 TBG393238 TLC393238 TUY393238 UEU393238 UOQ393238 UYM393238 VII393238 VSE393238 WCA393238 WLW393238 WVS393238 E458774 JG458774 TC458774 ACY458774 AMU458774 AWQ458774 BGM458774 BQI458774 CAE458774 CKA458774 CTW458774 DDS458774 DNO458774 DXK458774 EHG458774 ERC458774 FAY458774 FKU458774 FUQ458774 GEM458774 GOI458774 GYE458774 HIA458774 HRW458774 IBS458774 ILO458774 IVK458774 JFG458774 JPC458774 JYY458774 KIU458774 KSQ458774 LCM458774 LMI458774 LWE458774 MGA458774 MPW458774 MZS458774 NJO458774 NTK458774 ODG458774 ONC458774 OWY458774 PGU458774 PQQ458774 QAM458774 QKI458774 QUE458774 REA458774 RNW458774 RXS458774 SHO458774 SRK458774 TBG458774 TLC458774 TUY458774 UEU458774 UOQ458774 UYM458774 VII458774 VSE458774 WCA458774 WLW458774 WVS458774 E524310 JG524310 TC524310 ACY524310 AMU524310 AWQ524310 BGM524310 BQI524310 CAE524310 CKA524310 CTW524310 DDS524310 DNO524310 DXK524310 EHG524310 ERC524310 FAY524310 FKU524310 FUQ524310 GEM524310 GOI524310 GYE524310 HIA524310 HRW524310 IBS524310 ILO524310 IVK524310 JFG524310 JPC524310 JYY524310 KIU524310 KSQ524310 LCM524310 LMI524310 LWE524310 MGA524310 MPW524310 MZS524310 NJO524310 NTK524310 ODG524310 ONC524310 OWY524310 PGU524310 PQQ524310 QAM524310 QKI524310 QUE524310 REA524310 RNW524310 RXS524310 SHO524310 SRK524310 TBG524310 TLC524310 TUY524310 UEU524310 UOQ524310 UYM524310 VII524310 VSE524310 WCA524310 WLW524310 WVS524310 E589846 JG589846 TC589846 ACY589846 AMU589846 AWQ589846 BGM589846 BQI589846 CAE589846 CKA589846 CTW589846 DDS589846 DNO589846 DXK589846 EHG589846 ERC589846 FAY589846 FKU589846 FUQ589846 GEM589846 GOI589846 GYE589846 HIA589846 HRW589846 IBS589846 ILO589846 IVK589846 JFG589846 JPC589846 JYY589846 KIU589846 KSQ589846 LCM589846 LMI589846 LWE589846 MGA589846 MPW589846 MZS589846 NJO589846 NTK589846 ODG589846 ONC589846 OWY589846 PGU589846 PQQ589846 QAM589846 QKI589846 QUE589846 REA589846 RNW589846 RXS589846 SHO589846 SRK589846 TBG589846 TLC589846 TUY589846 UEU589846 UOQ589846 UYM589846 VII589846 VSE589846 WCA589846 WLW589846 WVS589846 E655382 JG655382 TC655382 ACY655382 AMU655382 AWQ655382 BGM655382 BQI655382 CAE655382 CKA655382 CTW655382 DDS655382 DNO655382 DXK655382 EHG655382 ERC655382 FAY655382 FKU655382 FUQ655382 GEM655382 GOI655382 GYE655382 HIA655382 HRW655382 IBS655382 ILO655382 IVK655382 JFG655382 JPC655382 JYY655382 KIU655382 KSQ655382 LCM655382 LMI655382 LWE655382 MGA655382 MPW655382 MZS655382 NJO655382 NTK655382 ODG655382 ONC655382 OWY655382 PGU655382 PQQ655382 QAM655382 QKI655382 QUE655382 REA655382 RNW655382 RXS655382 SHO655382 SRK655382 TBG655382 TLC655382 TUY655382 UEU655382 UOQ655382 UYM655382 VII655382 VSE655382 WCA655382 WLW655382 WVS655382 E720918 JG720918 TC720918 ACY720918 AMU720918 AWQ720918 BGM720918 BQI720918 CAE720918 CKA720918 CTW720918 DDS720918 DNO720918 DXK720918 EHG720918 ERC720918 FAY720918 FKU720918 FUQ720918 GEM720918 GOI720918 GYE720918 HIA720918 HRW720918 IBS720918 ILO720918 IVK720918 JFG720918 JPC720918 JYY720918 KIU720918 KSQ720918 LCM720918 LMI720918 LWE720918 MGA720918 MPW720918 MZS720918 NJO720918 NTK720918 ODG720918 ONC720918 OWY720918 PGU720918 PQQ720918 QAM720918 QKI720918 QUE720918 REA720918 RNW720918 RXS720918 SHO720918 SRK720918 TBG720918 TLC720918 TUY720918 UEU720918 UOQ720918 UYM720918 VII720918 VSE720918 WCA720918 WLW720918 WVS720918 E786454 JG786454 TC786454 ACY786454 AMU786454 AWQ786454 BGM786454 BQI786454 CAE786454 CKA786454 CTW786454 DDS786454 DNO786454 DXK786454 EHG786454 ERC786454 FAY786454 FKU786454 FUQ786454 GEM786454 GOI786454 GYE786454 HIA786454 HRW786454 IBS786454 ILO786454 IVK786454 JFG786454 JPC786454 JYY786454 KIU786454 KSQ786454 LCM786454 LMI786454 LWE786454 MGA786454 MPW786454 MZS786454 NJO786454 NTK786454 ODG786454 ONC786454 OWY786454 PGU786454 PQQ786454 QAM786454 QKI786454 QUE786454 REA786454 RNW786454 RXS786454 SHO786454 SRK786454 TBG786454 TLC786454 TUY786454 UEU786454 UOQ786454 UYM786454 VII786454 VSE786454 WCA786454 WLW786454 WVS786454 E851990 JG851990 TC851990 ACY851990 AMU851990 AWQ851990 BGM851990 BQI851990 CAE851990 CKA851990 CTW851990 DDS851990 DNO851990 DXK851990 EHG851990 ERC851990 FAY851990 FKU851990 FUQ851990 GEM851990 GOI851990 GYE851990 HIA851990 HRW851990 IBS851990 ILO851990 IVK851990 JFG851990 JPC851990 JYY851990 KIU851990 KSQ851990 LCM851990 LMI851990 LWE851990 MGA851990 MPW851990 MZS851990 NJO851990 NTK851990 ODG851990 ONC851990 OWY851990 PGU851990 PQQ851990 QAM851990 QKI851990 QUE851990 REA851990 RNW851990 RXS851990 SHO851990 SRK851990 TBG851990 TLC851990 TUY851990 UEU851990 UOQ851990 UYM851990 VII851990 VSE851990 WCA851990 WLW851990 WVS851990 E917526 JG917526 TC917526 ACY917526 AMU917526 AWQ917526 BGM917526 BQI917526 CAE917526 CKA917526 CTW917526 DDS917526 DNO917526 DXK917526 EHG917526 ERC917526 FAY917526 FKU917526 FUQ917526 GEM917526 GOI917526 GYE917526 HIA917526 HRW917526 IBS917526 ILO917526 IVK917526 JFG917526 JPC917526 JYY917526 KIU917526 KSQ917526 LCM917526 LMI917526 LWE917526 MGA917526 MPW917526 MZS917526 NJO917526 NTK917526 ODG917526 ONC917526 OWY917526 PGU917526 PQQ917526 QAM917526 QKI917526 QUE917526 REA917526 RNW917526 RXS917526 SHO917526 SRK917526 TBG917526 TLC917526 TUY917526 UEU917526 UOQ917526 UYM917526 VII917526 VSE917526 WCA917526 WLW917526 WVS917526 E983062 JG983062 TC983062 ACY983062 AMU983062 AWQ983062 BGM983062 BQI983062 CAE983062 CKA983062 CTW983062 DDS983062 DNO983062 DXK983062 EHG983062 ERC983062 FAY983062 FKU983062 FUQ983062 GEM983062 GOI983062 GYE983062 HIA983062 HRW983062 IBS983062 ILO983062 IVK983062 JFG983062 JPC983062 JYY983062 KIU983062 KSQ983062 LCM983062 LMI983062 LWE983062 MGA983062 MPW983062 MZS983062 NJO983062 NTK983062 ODG983062 ONC983062 OWY983062 PGU983062 PQQ983062 QAM983062 QKI983062 QUE983062 REA983062 RNW983062 RXS983062 SHO983062 SRK983062 TBG983062 TLC983062 TUY983062 UEU983062 UOQ983062 UYM983062 VII983062 VSE983062 WCA983062 WLW983062" xr:uid="{00000000-0002-0000-0400-000001000000}">
      <formula1>$X$2</formula1>
    </dataValidation>
  </dataValidations>
  <pageMargins left="0.7" right="0.7" top="0.75" bottom="0.75" header="0.3" footer="0.3"/>
  <pageSetup orientation="portrait" r:id="rId1"/>
  <headerFooter>
    <oddFooter>&amp;C&amp;1#&amp;"Calibri"&amp;10&amp;K000000PUBLIC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3">
    <tabColor rgb="FF7030A0"/>
  </sheetPr>
  <dimension ref="C1:AC347"/>
  <sheetViews>
    <sheetView showGridLines="0" zoomScaleNormal="100" zoomScaleSheetLayoutView="80" workbookViewId="0">
      <selection activeCell="J17" sqref="J17"/>
    </sheetView>
  </sheetViews>
  <sheetFormatPr baseColWidth="10" defaultColWidth="11.42578125" defaultRowHeight="15" customHeight="1" x14ac:dyDescent="0.25"/>
  <cols>
    <col min="1" max="2" width="2.140625" style="6" customWidth="1"/>
    <col min="3" max="4" width="15.42578125" style="6" customWidth="1"/>
    <col min="5" max="5" width="19.7109375" style="6" customWidth="1"/>
    <col min="6" max="6" width="18" style="6" customWidth="1"/>
    <col min="7" max="7" width="16.42578125" style="6" customWidth="1"/>
    <col min="8" max="8" width="15.42578125" style="6" customWidth="1"/>
    <col min="9" max="9" width="40.140625" style="63" bestFit="1" customWidth="1"/>
    <col min="10" max="10" width="20.140625" style="63" customWidth="1"/>
    <col min="11" max="11" width="19" style="63" customWidth="1"/>
    <col min="12" max="12" width="22.140625" style="6" bestFit="1" customWidth="1"/>
    <col min="13" max="13" width="17.140625" style="6" customWidth="1"/>
    <col min="14" max="15" width="18.5703125" style="6" customWidth="1"/>
    <col min="16" max="16" width="21.5703125" style="6" customWidth="1"/>
    <col min="17" max="17" width="18.5703125" style="6" customWidth="1"/>
    <col min="18" max="18" width="22.85546875" style="6" customWidth="1"/>
    <col min="19" max="21" width="18.5703125" style="6" customWidth="1"/>
    <col min="22" max="22" width="11.42578125" style="6" customWidth="1"/>
    <col min="23" max="23" width="13.28515625" style="6" customWidth="1"/>
    <col min="24" max="24" width="14" style="6" customWidth="1"/>
    <col min="25" max="25" width="15.42578125" style="6" customWidth="1"/>
    <col min="26" max="26" width="11.42578125" style="6" customWidth="1"/>
    <col min="27" max="27" width="29.85546875" style="6" customWidth="1"/>
    <col min="28" max="16384" width="11.42578125" style="6"/>
  </cols>
  <sheetData>
    <row r="1" spans="3:24" x14ac:dyDescent="0.25">
      <c r="F1" s="7"/>
      <c r="L1" s="7"/>
      <c r="M1" s="7"/>
      <c r="N1" s="7"/>
      <c r="O1" s="7"/>
      <c r="P1" s="7"/>
    </row>
    <row r="2" spans="3:24" x14ac:dyDescent="0.25">
      <c r="N2" s="11"/>
      <c r="O2" s="11"/>
    </row>
    <row r="3" spans="3:24" ht="26.25" x14ac:dyDescent="0.25">
      <c r="I3" s="726" t="s">
        <v>3</v>
      </c>
      <c r="J3" s="726"/>
      <c r="K3" s="726"/>
      <c r="L3" s="726"/>
      <c r="P3" s="6" t="str">
        <f>Caratula!Q10</f>
        <v>Versión M111 V3</v>
      </c>
      <c r="R3" s="64"/>
      <c r="S3" s="64"/>
      <c r="T3" s="64"/>
    </row>
    <row r="4" spans="3:24" ht="23.25" x14ac:dyDescent="0.25">
      <c r="C4" s="1" t="s">
        <v>2</v>
      </c>
      <c r="D4" s="1"/>
      <c r="E4" s="1"/>
      <c r="F4" s="1"/>
      <c r="G4" s="1"/>
      <c r="H4" s="1"/>
      <c r="L4" s="1"/>
      <c r="M4" s="1"/>
      <c r="N4" s="5"/>
      <c r="O4" s="5"/>
      <c r="P4" s="1"/>
      <c r="Q4" s="1"/>
      <c r="R4" s="1"/>
      <c r="S4" s="1"/>
      <c r="T4" s="1"/>
      <c r="U4" s="1"/>
      <c r="V4" s="6">
        <v>522916.34063930903</v>
      </c>
      <c r="W4" s="6">
        <v>453950.82339792972</v>
      </c>
      <c r="X4" s="6">
        <f>V4-W4</f>
        <v>68965.517241379304</v>
      </c>
    </row>
    <row r="5" spans="3:24" ht="13.5" customHeight="1" x14ac:dyDescent="0.25">
      <c r="C5" s="1"/>
      <c r="D5" s="1"/>
      <c r="E5" s="1"/>
      <c r="F5" s="1"/>
      <c r="G5" s="1"/>
      <c r="H5" s="1"/>
      <c r="L5" s="5"/>
      <c r="M5" s="5"/>
      <c r="N5" s="5"/>
      <c r="O5" s="5"/>
      <c r="P5" s="5"/>
      <c r="Q5" s="1"/>
      <c r="R5" s="1"/>
      <c r="S5" s="1"/>
      <c r="T5" s="1"/>
      <c r="U5" s="1"/>
    </row>
    <row r="6" spans="3:24" ht="3" customHeight="1" x14ac:dyDescent="0.25">
      <c r="C6" s="2"/>
      <c r="D6" s="2"/>
      <c r="E6" s="2"/>
      <c r="F6" s="2"/>
      <c r="G6" s="2"/>
      <c r="H6" s="2"/>
      <c r="I6" s="65"/>
      <c r="J6" s="65"/>
      <c r="K6" s="65"/>
      <c r="L6" s="2"/>
      <c r="M6" s="2"/>
      <c r="N6" s="8"/>
      <c r="O6" s="8"/>
      <c r="P6" s="8"/>
      <c r="Q6" s="8"/>
    </row>
    <row r="7" spans="3:24" ht="18.75" x14ac:dyDescent="0.25">
      <c r="C7" s="9" t="s">
        <v>4</v>
      </c>
      <c r="D7" s="9"/>
      <c r="E7" s="9"/>
      <c r="G7" s="9"/>
      <c r="H7" s="9"/>
      <c r="I7" s="10" t="s">
        <v>6</v>
      </c>
      <c r="J7" s="6"/>
      <c r="K7" s="6"/>
    </row>
    <row r="8" spans="3:24" x14ac:dyDescent="0.25">
      <c r="C8" s="3" t="s">
        <v>5</v>
      </c>
      <c r="D8" s="3"/>
      <c r="E8" s="58" t="s">
        <v>115</v>
      </c>
      <c r="G8" s="3"/>
      <c r="H8" s="3"/>
      <c r="I8" s="3"/>
      <c r="J8" s="60"/>
      <c r="K8" s="52"/>
      <c r="L8" s="52"/>
      <c r="M8" s="52"/>
    </row>
    <row r="9" spans="3:24" x14ac:dyDescent="0.25">
      <c r="C9" s="3" t="s">
        <v>192</v>
      </c>
      <c r="D9" s="3"/>
      <c r="E9" s="57">
        <f>Caratula!F18</f>
        <v>0</v>
      </c>
      <c r="G9" s="3"/>
      <c r="H9" s="3"/>
      <c r="I9" s="3" t="s">
        <v>20</v>
      </c>
      <c r="J9" s="450">
        <f>Simul_ConstruRemo!O58</f>
        <v>0</v>
      </c>
      <c r="K9" s="52"/>
      <c r="L9" s="52"/>
      <c r="M9" s="52"/>
      <c r="O9" s="12"/>
      <c r="P9" s="43"/>
    </row>
    <row r="10" spans="3:24" x14ac:dyDescent="0.25">
      <c r="C10" s="3" t="s">
        <v>24</v>
      </c>
      <c r="D10" s="3"/>
      <c r="E10" s="57" t="str">
        <f>IF(Caratula!F21="","",Caratula!F21)</f>
        <v/>
      </c>
      <c r="G10" s="3"/>
      <c r="H10" s="3"/>
      <c r="I10" s="3" t="s">
        <v>162</v>
      </c>
      <c r="J10" s="61" t="e">
        <f>VLOOKUP(CONCATENATE(E8," ",E15),Catalogo_Financier_Redisponible!A:V,13,0)</f>
        <v>#N/A</v>
      </c>
      <c r="K10" s="28"/>
      <c r="L10" s="13"/>
      <c r="M10" s="28"/>
      <c r="N10" s="13"/>
      <c r="P10" s="60"/>
    </row>
    <row r="11" spans="3:24" ht="15" customHeight="1" x14ac:dyDescent="0.25">
      <c r="C11" s="6" t="s">
        <v>157</v>
      </c>
      <c r="E11" s="57">
        <f>Caratula!F24</f>
        <v>0</v>
      </c>
      <c r="I11" s="6"/>
      <c r="J11" s="6"/>
      <c r="K11" s="6"/>
      <c r="N11" s="37"/>
    </row>
    <row r="12" spans="3:24" ht="20.25" customHeight="1" x14ac:dyDescent="0.25">
      <c r="C12" s="6" t="str">
        <f>IF(Caratula!F22="","","Tipo de Cliente")</f>
        <v/>
      </c>
      <c r="E12" s="6" t="str">
        <f>IF(Caratula!F22="","",Caratula!F22)</f>
        <v/>
      </c>
      <c r="G12" s="11"/>
      <c r="I12" s="3" t="str">
        <f>Caratula!N18</f>
        <v>C. Contratación Crédito</v>
      </c>
      <c r="J12" s="61" t="e">
        <f>VLOOKUP(CONCATENATE(E8," ",E15),Catalogo_Financier_Redisponible!A:V,19,0)</f>
        <v>#N/A</v>
      </c>
      <c r="K12" s="28" t="s">
        <v>34</v>
      </c>
      <c r="L12" s="62" t="e">
        <f>VLOOKUP(CONCATENATE(E8," ",E15),Catalogo_Financier_Redisponible!A:V,16,0)</f>
        <v>#N/A</v>
      </c>
      <c r="M12" s="28" t="s">
        <v>35</v>
      </c>
      <c r="N12" s="62" t="e">
        <f>VLOOKUP(CONCATENATE(E8," ",E15),Catalogo_Financier_Redisponible!A:V,17,0)</f>
        <v>#N/A</v>
      </c>
    </row>
    <row r="13" spans="3:24" ht="18.75" x14ac:dyDescent="0.25">
      <c r="C13" s="9" t="s">
        <v>19</v>
      </c>
      <c r="D13" s="9"/>
      <c r="G13" s="9"/>
      <c r="H13" s="9"/>
      <c r="I13" s="6" t="s">
        <v>369</v>
      </c>
      <c r="J13" s="60">
        <v>0</v>
      </c>
      <c r="K13" s="52"/>
      <c r="L13" s="52"/>
      <c r="M13" s="52"/>
      <c r="O13" s="14"/>
    </row>
    <row r="14" spans="3:24" ht="15.75" customHeight="1" x14ac:dyDescent="0.25">
      <c r="C14" s="3" t="s">
        <v>25</v>
      </c>
      <c r="D14" s="3"/>
      <c r="E14" s="58" t="s">
        <v>171</v>
      </c>
      <c r="G14" s="3"/>
      <c r="H14" s="3"/>
      <c r="I14" s="6"/>
      <c r="J14" s="6"/>
      <c r="K14" s="6"/>
      <c r="P14" s="43"/>
    </row>
    <row r="15" spans="3:24" x14ac:dyDescent="0.25">
      <c r="C15" s="6" t="s">
        <v>0</v>
      </c>
      <c r="E15" s="453">
        <f>Simul_ConstruRemo!N58</f>
        <v>0</v>
      </c>
      <c r="I15" s="6" t="s">
        <v>22</v>
      </c>
      <c r="J15" s="59" t="e">
        <f>VLOOKUP(CONCATENATE(E8," ",E15),Catalogo_Financier_Redisponible!A:V,11,0)</f>
        <v>#N/A</v>
      </c>
      <c r="K15" s="37"/>
      <c r="L15" s="6" t="s">
        <v>372</v>
      </c>
      <c r="M15" s="37"/>
      <c r="N15" s="57" t="e">
        <f>VLOOKUP(CONCATENATE(E8," ",E15),Catalogo_Financier_Redisponible!A:V,22,0)</f>
        <v>#N/A</v>
      </c>
      <c r="P15" s="60"/>
    </row>
    <row r="16" spans="3:24" x14ac:dyDescent="0.25">
      <c r="C16" s="38" t="s">
        <v>164</v>
      </c>
      <c r="E16" s="89" t="s">
        <v>230</v>
      </c>
      <c r="I16" s="6"/>
      <c r="J16" s="6"/>
      <c r="K16" s="6"/>
    </row>
    <row r="17" spans="3:29" ht="18.75" x14ac:dyDescent="0.25">
      <c r="C17" s="140" t="str">
        <f>IF(E14="Pago_Bajo_Puntual","","Skip Payment")</f>
        <v>Skip Payment</v>
      </c>
      <c r="D17" s="140" t="s">
        <v>191</v>
      </c>
      <c r="E17" s="141"/>
      <c r="F17" s="12"/>
      <c r="I17" s="6" t="s">
        <v>9</v>
      </c>
      <c r="J17" s="42" t="str">
        <f>IF(ISERROR(((1+IRR(X20:X200))^(12))-1),"-",(((1+IRR(X20:X200))^(12))-1))</f>
        <v>-</v>
      </c>
      <c r="K17" s="6"/>
      <c r="L17" s="38" t="s">
        <v>154</v>
      </c>
      <c r="M17" s="39">
        <f>IF(E14="Pago_Bajo_Puntual",1.9%,0)</f>
        <v>0</v>
      </c>
    </row>
    <row r="18" spans="3:29" ht="15.75" thickBot="1" x14ac:dyDescent="0.3"/>
    <row r="19" spans="3:29" ht="39.75" customHeight="1" thickBot="1" x14ac:dyDescent="0.3">
      <c r="C19" s="4" t="s">
        <v>189</v>
      </c>
      <c r="D19" s="4" t="s">
        <v>10</v>
      </c>
      <c r="E19" s="4" t="s">
        <v>11</v>
      </c>
      <c r="F19" s="4" t="s">
        <v>12</v>
      </c>
      <c r="G19" s="4" t="s">
        <v>13</v>
      </c>
      <c r="H19" s="4" t="s">
        <v>14</v>
      </c>
      <c r="I19" s="4" t="s">
        <v>372</v>
      </c>
      <c r="J19" s="4" t="str">
        <f>IF(E8="Liquidez","IVA Intereses","")</f>
        <v>IVA Intereses</v>
      </c>
      <c r="K19" s="4" t="s">
        <v>159</v>
      </c>
      <c r="L19" s="4" t="s">
        <v>15</v>
      </c>
      <c r="M19" s="4" t="s">
        <v>163</v>
      </c>
      <c r="N19" s="4" t="s">
        <v>190</v>
      </c>
      <c r="O19" s="4" t="s">
        <v>370</v>
      </c>
      <c r="P19" s="4" t="s">
        <v>373</v>
      </c>
      <c r="Q19" s="4" t="s">
        <v>162</v>
      </c>
      <c r="R19" s="88"/>
      <c r="T19" s="4" t="s">
        <v>133</v>
      </c>
      <c r="U19" s="4"/>
      <c r="V19" s="4"/>
      <c r="W19" s="32" t="s">
        <v>165</v>
      </c>
      <c r="X19" s="32" t="s">
        <v>134</v>
      </c>
      <c r="Y19" s="32" t="s">
        <v>135</v>
      </c>
      <c r="Z19" s="37" t="s">
        <v>140</v>
      </c>
      <c r="AA19" s="37" t="s">
        <v>138</v>
      </c>
      <c r="AB19" s="37" t="s">
        <v>139</v>
      </c>
      <c r="AC19" s="6" t="s">
        <v>156</v>
      </c>
    </row>
    <row r="20" spans="3:29" hidden="1" x14ac:dyDescent="0.25">
      <c r="C20" s="27">
        <v>0</v>
      </c>
      <c r="E20" s="15"/>
      <c r="F20" s="15"/>
      <c r="G20" s="16"/>
      <c r="H20" s="16"/>
      <c r="K20" s="6"/>
      <c r="L20" s="22">
        <f>IF(J9="","",J9)</f>
        <v>0</v>
      </c>
      <c r="T20" s="6" t="str">
        <f>IF(C20&gt;0,1,"")</f>
        <v/>
      </c>
      <c r="U20" s="37">
        <v>0</v>
      </c>
      <c r="W20" s="33">
        <f>IF(ISNUMBER(J9),-J9,0)</f>
        <v>0</v>
      </c>
      <c r="X20" s="33">
        <f>IF(ISNUMBER(J9),-J9,0)</f>
        <v>0</v>
      </c>
      <c r="Z20" s="35">
        <f>SUM(N21:N201)</f>
        <v>0</v>
      </c>
      <c r="AA20" s="66">
        <f>IF(D17="NO",0,J9*J10*3/12)</f>
        <v>0</v>
      </c>
    </row>
    <row r="21" spans="3:29" x14ac:dyDescent="0.25">
      <c r="C21" s="27">
        <v>1</v>
      </c>
      <c r="D21" s="30">
        <f>L20</f>
        <v>0</v>
      </c>
      <c r="E21" s="20" t="e">
        <f t="shared" ref="E21:E84" si="0">IF(C21="","",MIN(IF($E$16="Mensualidad",-PMT(Q21/12,$E$15*12-C20,D21)-F21,-PMT(Q21/12,$E$15*12,$J$9)-F21),D21))</f>
        <v>#N/A</v>
      </c>
      <c r="F21" s="20" t="e">
        <f t="shared" ref="F21:F84" si="1">IF(C21="","",D21*(Q21/12))</f>
        <v>#N/A</v>
      </c>
      <c r="G21" s="24" t="e">
        <f>IF(C21="","",L$12*L$20/1000)</f>
        <v>#N/A</v>
      </c>
      <c r="H21" s="20" t="e">
        <f t="shared" ref="H21:H84" si="2">IF(C21="","",IF((($J$8*0.8)*($N$12/1.16))&gt;L20*($N$12/1.16),($J$8*0.8)*($N$12/1.16),($N$12/1.16)*L20)/1000)</f>
        <v>#N/A</v>
      </c>
      <c r="I21" s="66" t="e">
        <f t="shared" ref="I21:I84" si="3">IF($D$17="SI",0,IF(D21="","",$N$15))</f>
        <v>#N/A</v>
      </c>
      <c r="J21" s="66" t="str">
        <f t="shared" ref="J21:J84" si="4">IFERROR(IF($E$8="Liquidez",F21*0.16,""),"")</f>
        <v/>
      </c>
      <c r="K21" s="11">
        <f t="shared" ref="K21:K84" si="5">IFERROR(IF(C21="","",E21+F21+G21+H21+I21+J21),0)</f>
        <v>0</v>
      </c>
      <c r="L21" s="23">
        <f>IFERROR(IF(C21="","",IF((D21-E21-AB21)&lt;1,0,D21-E21-AB21)),0)</f>
        <v>0</v>
      </c>
      <c r="M21" s="100"/>
      <c r="N21" s="23">
        <f t="shared" ref="N21:N84" si="6">IF(C21="","",IF(M21="",0,M21-O21-P21))</f>
        <v>0</v>
      </c>
      <c r="O21" s="23" t="e">
        <f>IF(C21="","",M21*$J$12)</f>
        <v>#N/A</v>
      </c>
      <c r="P21" s="23" t="e">
        <f>IF(C21="","",(M21*$J$12)*0.16)</f>
        <v>#N/A</v>
      </c>
      <c r="Q21" s="19" t="e">
        <f t="shared" ref="Q21:Q84" si="7">IF(C21="","",$J$10)</f>
        <v>#N/A</v>
      </c>
      <c r="R21" s="19"/>
      <c r="T21" s="37">
        <f t="shared" ref="T21:T84" si="8">IF(C21="","",1)</f>
        <v>1</v>
      </c>
      <c r="U21" s="37" t="str">
        <f>IF(ISNUMBER(U20),IF($E$15*12&gt;=U20+1,U20+1,""),"")</f>
        <v/>
      </c>
      <c r="W21" s="31">
        <f>IF(C21="","",IF(ISNUMBER(U21),PMT(Q21/12,$E$15*12,-$J$9)+G21+AB21+H21/1.16+$N$15,0))</f>
        <v>0</v>
      </c>
      <c r="X21" s="31">
        <f>IF(C21="","",IF(ISNUMBER(U21),PMT(Q21/12,($E$15*12),-$J$9)+G21+H21+AB21/1.16+$N$15,0))</f>
        <v>0</v>
      </c>
      <c r="Y21" s="34">
        <v>1</v>
      </c>
      <c r="Z21" s="31">
        <f t="shared" ref="Z21:Z84" si="9">IF($AA$20=0,0,IF(N21&gt;AA20,MAX(0,N21-AA20),N21))</f>
        <v>0</v>
      </c>
      <c r="AA21" s="66">
        <f t="shared" ref="AA21:AA84" si="10">IFERROR(MAX(0,AA20-N21),0)</f>
        <v>0</v>
      </c>
      <c r="AB21" s="6">
        <f t="shared" ref="AB21:AB84" si="11">IF($D$17="NO",N21,IF(AA21&gt;0,0,Z21))</f>
        <v>0</v>
      </c>
    </row>
    <row r="22" spans="3:29" x14ac:dyDescent="0.25">
      <c r="C22" s="27" t="str">
        <f t="shared" ref="C22:C85" si="12">IF(OR(C21="",L21&lt;=0),"",IF(C21+1&lt;=E$15*12,C21+1,""))</f>
        <v/>
      </c>
      <c r="D22" s="30" t="str">
        <f t="shared" ref="D22:D85" si="13">IF(L21&lt;=0,"",L21)</f>
        <v/>
      </c>
      <c r="E22" s="20" t="str">
        <f t="shared" si="0"/>
        <v/>
      </c>
      <c r="F22" s="20" t="str">
        <f t="shared" si="1"/>
        <v/>
      </c>
      <c r="G22" s="24" t="str">
        <f t="shared" ref="G22:G85" si="14">IF(C22="","",L$12*L21/1000)</f>
        <v/>
      </c>
      <c r="H22" s="21" t="str">
        <f t="shared" si="2"/>
        <v/>
      </c>
      <c r="I22" s="66" t="str">
        <f t="shared" si="3"/>
        <v/>
      </c>
      <c r="J22" s="66" t="str">
        <f t="shared" si="4"/>
        <v/>
      </c>
      <c r="K22" s="11" t="str">
        <f t="shared" si="5"/>
        <v/>
      </c>
      <c r="L22" s="23" t="str">
        <f>IFERROR(IF(C22="","",IF((D22-E22-AB22)&lt;1,0,D22-E22-AB22)),0)</f>
        <v/>
      </c>
      <c r="M22" s="100"/>
      <c r="N22" s="23" t="str">
        <f t="shared" si="6"/>
        <v/>
      </c>
      <c r="O22" s="23" t="str">
        <f t="shared" ref="O22:O85" si="15">IF(C22="","",M22*$J$12)</f>
        <v/>
      </c>
      <c r="P22" s="23" t="str">
        <f t="shared" ref="P22:P85" si="16">IF(C22="","",(M22*$J$12)*0.16)</f>
        <v/>
      </c>
      <c r="Q22" s="19" t="str">
        <f t="shared" si="7"/>
        <v/>
      </c>
      <c r="R22" s="19"/>
      <c r="T22" s="37" t="str">
        <f t="shared" si="8"/>
        <v/>
      </c>
      <c r="U22" s="37" t="str">
        <f t="shared" ref="U22:U85" si="17">C22</f>
        <v/>
      </c>
      <c r="W22" s="31" t="str">
        <f>IF(C22="","",IF(ISNUMBER(U22),PMT(Q22/12,$E$15*12,-$J$9)+G22+AB22+H22/1.16+$N$15,0))</f>
        <v/>
      </c>
      <c r="X22" s="31" t="str">
        <f>IF(C22="","",IF(ISNUMBER(U22),PMT(Q22/12,($E$15*12),-$J$9)+G22+H22+AB22/1.16+$N$15,0))</f>
        <v/>
      </c>
      <c r="Y22" s="34">
        <f t="shared" ref="Y22:Y85" si="18">Y21</f>
        <v>1</v>
      </c>
      <c r="Z22" s="31">
        <f t="shared" si="9"/>
        <v>0</v>
      </c>
      <c r="AA22" s="66">
        <f t="shared" si="10"/>
        <v>0</v>
      </c>
      <c r="AB22" s="6" t="str">
        <f t="shared" si="11"/>
        <v/>
      </c>
    </row>
    <row r="23" spans="3:29" x14ac:dyDescent="0.25">
      <c r="C23" s="27" t="str">
        <f t="shared" si="12"/>
        <v/>
      </c>
      <c r="D23" s="30" t="str">
        <f t="shared" si="13"/>
        <v/>
      </c>
      <c r="E23" s="20" t="str">
        <f t="shared" si="0"/>
        <v/>
      </c>
      <c r="F23" s="20" t="str">
        <f t="shared" si="1"/>
        <v/>
      </c>
      <c r="G23" s="24" t="str">
        <f t="shared" si="14"/>
        <v/>
      </c>
      <c r="H23" s="21" t="str">
        <f t="shared" si="2"/>
        <v/>
      </c>
      <c r="I23" s="66" t="str">
        <f t="shared" si="3"/>
        <v/>
      </c>
      <c r="J23" s="66" t="str">
        <f t="shared" si="4"/>
        <v/>
      </c>
      <c r="K23" s="11" t="str">
        <f t="shared" si="5"/>
        <v/>
      </c>
      <c r="L23" s="23" t="str">
        <f t="shared" ref="L23:L86" si="19">IFERROR(IF(C23="","",IF((D23-E23-AB23)&lt;1,0,D23-E23-AB23)),0)</f>
        <v/>
      </c>
      <c r="M23" s="100"/>
      <c r="N23" s="23" t="str">
        <f t="shared" si="6"/>
        <v/>
      </c>
      <c r="O23" s="23" t="str">
        <f t="shared" si="15"/>
        <v/>
      </c>
      <c r="P23" s="23" t="str">
        <f t="shared" si="16"/>
        <v/>
      </c>
      <c r="Q23" s="19" t="str">
        <f t="shared" si="7"/>
        <v/>
      </c>
      <c r="R23" s="19"/>
      <c r="T23" s="37" t="str">
        <f t="shared" si="8"/>
        <v/>
      </c>
      <c r="U23" s="37" t="str">
        <f t="shared" si="17"/>
        <v/>
      </c>
      <c r="W23" s="31" t="str">
        <f>IF(C23="","",IF(ISNUMBER(U23),PMT(Q23/12,$E$15*12,-$J$9)+G23+AB23+H23/1.16+$N$15,0))</f>
        <v/>
      </c>
      <c r="X23" s="31" t="str">
        <f>IF(C23="","",IF(ISNUMBER(U23),PMT(Q23/12,($E$15*12),-$J$9)+G23+H23+AB23/1.16+$N$15,0))</f>
        <v/>
      </c>
      <c r="Y23" s="34">
        <f t="shared" si="18"/>
        <v>1</v>
      </c>
      <c r="Z23" s="31">
        <f t="shared" si="9"/>
        <v>0</v>
      </c>
      <c r="AA23" s="66">
        <f t="shared" si="10"/>
        <v>0</v>
      </c>
      <c r="AB23" s="6" t="str">
        <f t="shared" si="11"/>
        <v/>
      </c>
    </row>
    <row r="24" spans="3:29" x14ac:dyDescent="0.25">
      <c r="C24" s="27" t="str">
        <f t="shared" si="12"/>
        <v/>
      </c>
      <c r="D24" s="30" t="str">
        <f t="shared" si="13"/>
        <v/>
      </c>
      <c r="E24" s="20" t="str">
        <f t="shared" si="0"/>
        <v/>
      </c>
      <c r="F24" s="20" t="str">
        <f t="shared" si="1"/>
        <v/>
      </c>
      <c r="G24" s="24" t="str">
        <f t="shared" si="14"/>
        <v/>
      </c>
      <c r="H24" s="21" t="str">
        <f t="shared" si="2"/>
        <v/>
      </c>
      <c r="I24" s="66" t="str">
        <f t="shared" si="3"/>
        <v/>
      </c>
      <c r="J24" s="66" t="str">
        <f t="shared" si="4"/>
        <v/>
      </c>
      <c r="K24" s="11" t="str">
        <f t="shared" si="5"/>
        <v/>
      </c>
      <c r="L24" s="23" t="str">
        <f t="shared" si="19"/>
        <v/>
      </c>
      <c r="M24" s="100"/>
      <c r="N24" s="23" t="str">
        <f t="shared" si="6"/>
        <v/>
      </c>
      <c r="O24" s="23" t="str">
        <f t="shared" si="15"/>
        <v/>
      </c>
      <c r="P24" s="23" t="str">
        <f t="shared" si="16"/>
        <v/>
      </c>
      <c r="Q24" s="19" t="str">
        <f t="shared" si="7"/>
        <v/>
      </c>
      <c r="R24" s="19"/>
      <c r="T24" s="37" t="str">
        <f t="shared" si="8"/>
        <v/>
      </c>
      <c r="U24" s="37" t="str">
        <f t="shared" si="17"/>
        <v/>
      </c>
      <c r="W24" s="31" t="str">
        <f>IF(C24="","",IF(ISNUMBER(U24),PMT(Q24/12,$E$15*12,-$J$9)+G24+AB24+H24/1.16+$N$15,0))</f>
        <v/>
      </c>
      <c r="X24" s="31" t="str">
        <f>IF(C24="","",IF(ISNUMBER(U24),PMT(Q24/12,($E$15*12),-$J$9)+G24+H24+AB24/1.16+$N$15,0))</f>
        <v/>
      </c>
      <c r="Y24" s="34">
        <f t="shared" si="18"/>
        <v>1</v>
      </c>
      <c r="Z24" s="31">
        <f t="shared" si="9"/>
        <v>0</v>
      </c>
      <c r="AA24" s="66">
        <f t="shared" si="10"/>
        <v>0</v>
      </c>
      <c r="AB24" s="6" t="str">
        <f t="shared" si="11"/>
        <v/>
      </c>
    </row>
    <row r="25" spans="3:29" x14ac:dyDescent="0.25">
      <c r="C25" s="27" t="str">
        <f t="shared" si="12"/>
        <v/>
      </c>
      <c r="D25" s="30" t="str">
        <f t="shared" si="13"/>
        <v/>
      </c>
      <c r="E25" s="20" t="str">
        <f t="shared" si="0"/>
        <v/>
      </c>
      <c r="F25" s="20" t="str">
        <f t="shared" si="1"/>
        <v/>
      </c>
      <c r="G25" s="24" t="str">
        <f t="shared" si="14"/>
        <v/>
      </c>
      <c r="H25" s="21" t="str">
        <f t="shared" si="2"/>
        <v/>
      </c>
      <c r="I25" s="66" t="str">
        <f t="shared" si="3"/>
        <v/>
      </c>
      <c r="J25" s="66" t="str">
        <f t="shared" si="4"/>
        <v/>
      </c>
      <c r="K25" s="11" t="str">
        <f t="shared" si="5"/>
        <v/>
      </c>
      <c r="L25" s="23" t="str">
        <f t="shared" si="19"/>
        <v/>
      </c>
      <c r="M25" s="100"/>
      <c r="N25" s="23" t="str">
        <f t="shared" si="6"/>
        <v/>
      </c>
      <c r="O25" s="23" t="str">
        <f t="shared" si="15"/>
        <v/>
      </c>
      <c r="P25" s="23" t="str">
        <f t="shared" si="16"/>
        <v/>
      </c>
      <c r="Q25" s="19" t="str">
        <f t="shared" si="7"/>
        <v/>
      </c>
      <c r="R25" s="19"/>
      <c r="T25" s="37" t="str">
        <f t="shared" si="8"/>
        <v/>
      </c>
      <c r="U25" s="37" t="str">
        <f t="shared" si="17"/>
        <v/>
      </c>
      <c r="W25" s="31" t="str">
        <f>IF(C25="","",IF(ISNUMBER(U25),PMT(Q25/12,$E$15*12,-$J$9)+G25+AB25+H25/1.16+$N$15,0))</f>
        <v/>
      </c>
      <c r="X25" s="31" t="str">
        <f>IF(C25="","",IF(ISNUMBER(U25),PMT(Q25/12,$E$15*12,-$J$9)+G25+AB25+H25/1.16+$N$15,0))</f>
        <v/>
      </c>
      <c r="Y25" s="34">
        <f t="shared" si="18"/>
        <v>1</v>
      </c>
      <c r="Z25" s="31">
        <f t="shared" si="9"/>
        <v>0</v>
      </c>
      <c r="AA25" s="66">
        <f t="shared" si="10"/>
        <v>0</v>
      </c>
      <c r="AB25" s="6" t="str">
        <f t="shared" si="11"/>
        <v/>
      </c>
    </row>
    <row r="26" spans="3:29" x14ac:dyDescent="0.25">
      <c r="C26" s="27" t="str">
        <f t="shared" si="12"/>
        <v/>
      </c>
      <c r="D26" s="30" t="str">
        <f t="shared" si="13"/>
        <v/>
      </c>
      <c r="E26" s="20" t="str">
        <f t="shared" si="0"/>
        <v/>
      </c>
      <c r="F26" s="20" t="str">
        <f t="shared" si="1"/>
        <v/>
      </c>
      <c r="G26" s="24" t="str">
        <f t="shared" si="14"/>
        <v/>
      </c>
      <c r="H26" s="21" t="str">
        <f t="shared" si="2"/>
        <v/>
      </c>
      <c r="I26" s="66" t="str">
        <f t="shared" si="3"/>
        <v/>
      </c>
      <c r="J26" s="66" t="str">
        <f t="shared" si="4"/>
        <v/>
      </c>
      <c r="K26" s="11" t="str">
        <f t="shared" si="5"/>
        <v/>
      </c>
      <c r="L26" s="23" t="str">
        <f t="shared" si="19"/>
        <v/>
      </c>
      <c r="M26" s="100"/>
      <c r="N26" s="23" t="str">
        <f t="shared" si="6"/>
        <v/>
      </c>
      <c r="O26" s="23" t="str">
        <f t="shared" si="15"/>
        <v/>
      </c>
      <c r="P26" s="23" t="str">
        <f t="shared" si="16"/>
        <v/>
      </c>
      <c r="Q26" s="19" t="str">
        <f t="shared" si="7"/>
        <v/>
      </c>
      <c r="R26" s="19"/>
      <c r="T26" s="37" t="str">
        <f t="shared" si="8"/>
        <v/>
      </c>
      <c r="U26" s="37" t="str">
        <f t="shared" si="17"/>
        <v/>
      </c>
      <c r="W26" s="31" t="str">
        <f t="shared" ref="W26:W89" si="20">IF(C26="","",IF(ISNUMBER(U26),PMT(Q26/12,($E$15*12),-$J$9)+G26+H26+AB26/1.16+$N$15,0))</f>
        <v/>
      </c>
      <c r="X26" s="31" t="str">
        <f t="shared" ref="X26:X89" si="21">IF(C26="","",IF(ISNUMBER(U26),PMT(Q26/12,$E$15*12,-$J$9)+G26+AB26+H26/1.16+$N$15,0))</f>
        <v/>
      </c>
      <c r="Y26" s="34">
        <f t="shared" si="18"/>
        <v>1</v>
      </c>
      <c r="Z26" s="31">
        <f t="shared" si="9"/>
        <v>0</v>
      </c>
      <c r="AA26" s="66">
        <f t="shared" si="10"/>
        <v>0</v>
      </c>
      <c r="AB26" s="6" t="str">
        <f t="shared" si="11"/>
        <v/>
      </c>
    </row>
    <row r="27" spans="3:29" x14ac:dyDescent="0.25">
      <c r="C27" s="27" t="str">
        <f t="shared" si="12"/>
        <v/>
      </c>
      <c r="D27" s="30" t="str">
        <f t="shared" si="13"/>
        <v/>
      </c>
      <c r="E27" s="20" t="str">
        <f t="shared" si="0"/>
        <v/>
      </c>
      <c r="F27" s="20" t="str">
        <f t="shared" si="1"/>
        <v/>
      </c>
      <c r="G27" s="24" t="str">
        <f t="shared" si="14"/>
        <v/>
      </c>
      <c r="H27" s="21" t="str">
        <f t="shared" si="2"/>
        <v/>
      </c>
      <c r="I27" s="66" t="str">
        <f t="shared" si="3"/>
        <v/>
      </c>
      <c r="J27" s="66" t="str">
        <f t="shared" si="4"/>
        <v/>
      </c>
      <c r="K27" s="11" t="str">
        <f t="shared" si="5"/>
        <v/>
      </c>
      <c r="L27" s="23" t="str">
        <f t="shared" si="19"/>
        <v/>
      </c>
      <c r="M27" s="100"/>
      <c r="N27" s="23" t="str">
        <f t="shared" si="6"/>
        <v/>
      </c>
      <c r="O27" s="23" t="str">
        <f t="shared" si="15"/>
        <v/>
      </c>
      <c r="P27" s="23" t="str">
        <f t="shared" si="16"/>
        <v/>
      </c>
      <c r="Q27" s="19" t="str">
        <f t="shared" si="7"/>
        <v/>
      </c>
      <c r="R27" s="19"/>
      <c r="T27" s="37" t="str">
        <f t="shared" si="8"/>
        <v/>
      </c>
      <c r="U27" s="37" t="str">
        <f t="shared" si="17"/>
        <v/>
      </c>
      <c r="W27" s="31" t="str">
        <f t="shared" si="20"/>
        <v/>
      </c>
      <c r="X27" s="31" t="str">
        <f t="shared" si="21"/>
        <v/>
      </c>
      <c r="Y27" s="34">
        <f t="shared" si="18"/>
        <v>1</v>
      </c>
      <c r="Z27" s="31">
        <f t="shared" si="9"/>
        <v>0</v>
      </c>
      <c r="AA27" s="66">
        <f t="shared" si="10"/>
        <v>0</v>
      </c>
      <c r="AB27" s="6" t="str">
        <f t="shared" si="11"/>
        <v/>
      </c>
    </row>
    <row r="28" spans="3:29" x14ac:dyDescent="0.25">
      <c r="C28" s="27" t="str">
        <f t="shared" si="12"/>
        <v/>
      </c>
      <c r="D28" s="30" t="str">
        <f t="shared" si="13"/>
        <v/>
      </c>
      <c r="E28" s="20" t="str">
        <f t="shared" si="0"/>
        <v/>
      </c>
      <c r="F28" s="20" t="str">
        <f t="shared" si="1"/>
        <v/>
      </c>
      <c r="G28" s="24" t="str">
        <f t="shared" si="14"/>
        <v/>
      </c>
      <c r="H28" s="21" t="str">
        <f t="shared" si="2"/>
        <v/>
      </c>
      <c r="I28" s="66" t="str">
        <f t="shared" si="3"/>
        <v/>
      </c>
      <c r="J28" s="66" t="str">
        <f t="shared" si="4"/>
        <v/>
      </c>
      <c r="K28" s="11" t="str">
        <f t="shared" si="5"/>
        <v/>
      </c>
      <c r="L28" s="23" t="str">
        <f t="shared" si="19"/>
        <v/>
      </c>
      <c r="M28" s="100"/>
      <c r="N28" s="23" t="str">
        <f t="shared" si="6"/>
        <v/>
      </c>
      <c r="O28" s="23" t="str">
        <f t="shared" si="15"/>
        <v/>
      </c>
      <c r="P28" s="23" t="str">
        <f t="shared" si="16"/>
        <v/>
      </c>
      <c r="Q28" s="19" t="str">
        <f t="shared" si="7"/>
        <v/>
      </c>
      <c r="R28" s="19"/>
      <c r="T28" s="37" t="str">
        <f t="shared" si="8"/>
        <v/>
      </c>
      <c r="U28" s="37" t="str">
        <f t="shared" si="17"/>
        <v/>
      </c>
      <c r="W28" s="31" t="str">
        <f t="shared" si="20"/>
        <v/>
      </c>
      <c r="X28" s="31" t="str">
        <f t="shared" si="21"/>
        <v/>
      </c>
      <c r="Y28" s="34">
        <f t="shared" si="18"/>
        <v>1</v>
      </c>
      <c r="Z28" s="31">
        <f t="shared" si="9"/>
        <v>0</v>
      </c>
      <c r="AA28" s="66">
        <f t="shared" si="10"/>
        <v>0</v>
      </c>
      <c r="AB28" s="6" t="str">
        <f t="shared" si="11"/>
        <v/>
      </c>
    </row>
    <row r="29" spans="3:29" x14ac:dyDescent="0.25">
      <c r="C29" s="27" t="str">
        <f t="shared" si="12"/>
        <v/>
      </c>
      <c r="D29" s="30" t="str">
        <f t="shared" si="13"/>
        <v/>
      </c>
      <c r="E29" s="20" t="str">
        <f t="shared" si="0"/>
        <v/>
      </c>
      <c r="F29" s="20" t="str">
        <f t="shared" si="1"/>
        <v/>
      </c>
      <c r="G29" s="24" t="str">
        <f t="shared" si="14"/>
        <v/>
      </c>
      <c r="H29" s="21" t="str">
        <f t="shared" si="2"/>
        <v/>
      </c>
      <c r="I29" s="66" t="str">
        <f t="shared" si="3"/>
        <v/>
      </c>
      <c r="J29" s="66" t="str">
        <f t="shared" si="4"/>
        <v/>
      </c>
      <c r="K29" s="11" t="str">
        <f t="shared" si="5"/>
        <v/>
      </c>
      <c r="L29" s="23" t="str">
        <f t="shared" si="19"/>
        <v/>
      </c>
      <c r="M29" s="100"/>
      <c r="N29" s="23" t="str">
        <f t="shared" si="6"/>
        <v/>
      </c>
      <c r="O29" s="23" t="str">
        <f t="shared" si="15"/>
        <v/>
      </c>
      <c r="P29" s="23" t="str">
        <f t="shared" si="16"/>
        <v/>
      </c>
      <c r="Q29" s="19" t="str">
        <f t="shared" si="7"/>
        <v/>
      </c>
      <c r="R29" s="19"/>
      <c r="T29" s="37" t="str">
        <f t="shared" si="8"/>
        <v/>
      </c>
      <c r="U29" s="37" t="str">
        <f t="shared" si="17"/>
        <v/>
      </c>
      <c r="W29" s="31" t="str">
        <f t="shared" si="20"/>
        <v/>
      </c>
      <c r="X29" s="31" t="str">
        <f t="shared" si="21"/>
        <v/>
      </c>
      <c r="Y29" s="34">
        <f t="shared" si="18"/>
        <v>1</v>
      </c>
      <c r="Z29" s="31">
        <f t="shared" si="9"/>
        <v>0</v>
      </c>
      <c r="AA29" s="66">
        <f t="shared" si="10"/>
        <v>0</v>
      </c>
      <c r="AB29" s="6" t="str">
        <f t="shared" si="11"/>
        <v/>
      </c>
    </row>
    <row r="30" spans="3:29" x14ac:dyDescent="0.25">
      <c r="C30" s="27" t="str">
        <f t="shared" si="12"/>
        <v/>
      </c>
      <c r="D30" s="30" t="str">
        <f t="shared" si="13"/>
        <v/>
      </c>
      <c r="E30" s="20" t="str">
        <f t="shared" si="0"/>
        <v/>
      </c>
      <c r="F30" s="20" t="str">
        <f t="shared" si="1"/>
        <v/>
      </c>
      <c r="G30" s="24" t="str">
        <f t="shared" si="14"/>
        <v/>
      </c>
      <c r="H30" s="21" t="str">
        <f t="shared" si="2"/>
        <v/>
      </c>
      <c r="I30" s="66" t="str">
        <f t="shared" si="3"/>
        <v/>
      </c>
      <c r="J30" s="66" t="str">
        <f t="shared" si="4"/>
        <v/>
      </c>
      <c r="K30" s="11" t="str">
        <f t="shared" si="5"/>
        <v/>
      </c>
      <c r="L30" s="23" t="str">
        <f t="shared" si="19"/>
        <v/>
      </c>
      <c r="M30" s="100"/>
      <c r="N30" s="23" t="str">
        <f t="shared" si="6"/>
        <v/>
      </c>
      <c r="O30" s="23" t="str">
        <f t="shared" si="15"/>
        <v/>
      </c>
      <c r="P30" s="23" t="str">
        <f t="shared" si="16"/>
        <v/>
      </c>
      <c r="Q30" s="19" t="str">
        <f t="shared" si="7"/>
        <v/>
      </c>
      <c r="R30" s="19"/>
      <c r="T30" s="37" t="str">
        <f t="shared" si="8"/>
        <v/>
      </c>
      <c r="U30" s="37" t="str">
        <f t="shared" si="17"/>
        <v/>
      </c>
      <c r="W30" s="31" t="str">
        <f t="shared" si="20"/>
        <v/>
      </c>
      <c r="X30" s="31" t="str">
        <f t="shared" si="21"/>
        <v/>
      </c>
      <c r="Y30" s="34">
        <f t="shared" si="18"/>
        <v>1</v>
      </c>
      <c r="Z30" s="31">
        <f t="shared" si="9"/>
        <v>0</v>
      </c>
      <c r="AA30" s="66">
        <f t="shared" si="10"/>
        <v>0</v>
      </c>
      <c r="AB30" s="6" t="str">
        <f t="shared" si="11"/>
        <v/>
      </c>
    </row>
    <row r="31" spans="3:29" x14ac:dyDescent="0.25">
      <c r="C31" s="27" t="str">
        <f t="shared" si="12"/>
        <v/>
      </c>
      <c r="D31" s="30" t="str">
        <f t="shared" si="13"/>
        <v/>
      </c>
      <c r="E31" s="20" t="str">
        <f t="shared" si="0"/>
        <v/>
      </c>
      <c r="F31" s="20" t="str">
        <f t="shared" si="1"/>
        <v/>
      </c>
      <c r="G31" s="24" t="str">
        <f t="shared" si="14"/>
        <v/>
      </c>
      <c r="H31" s="21" t="str">
        <f t="shared" si="2"/>
        <v/>
      </c>
      <c r="I31" s="66" t="str">
        <f t="shared" si="3"/>
        <v/>
      </c>
      <c r="J31" s="66" t="str">
        <f t="shared" si="4"/>
        <v/>
      </c>
      <c r="K31" s="11" t="str">
        <f t="shared" si="5"/>
        <v/>
      </c>
      <c r="L31" s="23" t="str">
        <f t="shared" si="19"/>
        <v/>
      </c>
      <c r="M31" s="100"/>
      <c r="N31" s="23" t="str">
        <f t="shared" si="6"/>
        <v/>
      </c>
      <c r="O31" s="23" t="str">
        <f t="shared" si="15"/>
        <v/>
      </c>
      <c r="P31" s="23" t="str">
        <f t="shared" si="16"/>
        <v/>
      </c>
      <c r="Q31" s="19" t="str">
        <f t="shared" si="7"/>
        <v/>
      </c>
      <c r="R31" s="19"/>
      <c r="T31" s="37" t="str">
        <f t="shared" si="8"/>
        <v/>
      </c>
      <c r="U31" s="37" t="str">
        <f t="shared" si="17"/>
        <v/>
      </c>
      <c r="W31" s="31" t="str">
        <f t="shared" si="20"/>
        <v/>
      </c>
      <c r="X31" s="31" t="str">
        <f t="shared" si="21"/>
        <v/>
      </c>
      <c r="Y31" s="34">
        <f t="shared" si="18"/>
        <v>1</v>
      </c>
      <c r="Z31" s="31">
        <f t="shared" si="9"/>
        <v>0</v>
      </c>
      <c r="AA31" s="66">
        <f t="shared" si="10"/>
        <v>0</v>
      </c>
      <c r="AB31" s="6" t="str">
        <f t="shared" si="11"/>
        <v/>
      </c>
    </row>
    <row r="32" spans="3:29" x14ac:dyDescent="0.25">
      <c r="C32" s="27" t="str">
        <f t="shared" si="12"/>
        <v/>
      </c>
      <c r="D32" s="30" t="str">
        <f t="shared" si="13"/>
        <v/>
      </c>
      <c r="E32" s="20" t="str">
        <f t="shared" si="0"/>
        <v/>
      </c>
      <c r="F32" s="20" t="str">
        <f t="shared" si="1"/>
        <v/>
      </c>
      <c r="G32" s="24" t="str">
        <f t="shared" si="14"/>
        <v/>
      </c>
      <c r="H32" s="21" t="str">
        <f t="shared" si="2"/>
        <v/>
      </c>
      <c r="I32" s="66" t="str">
        <f t="shared" si="3"/>
        <v/>
      </c>
      <c r="J32" s="66" t="str">
        <f t="shared" si="4"/>
        <v/>
      </c>
      <c r="K32" s="11" t="str">
        <f t="shared" si="5"/>
        <v/>
      </c>
      <c r="L32" s="23" t="str">
        <f t="shared" si="19"/>
        <v/>
      </c>
      <c r="M32" s="100"/>
      <c r="N32" s="23" t="str">
        <f t="shared" si="6"/>
        <v/>
      </c>
      <c r="O32" s="23" t="str">
        <f t="shared" si="15"/>
        <v/>
      </c>
      <c r="P32" s="23" t="str">
        <f t="shared" si="16"/>
        <v/>
      </c>
      <c r="Q32" s="19" t="str">
        <f t="shared" si="7"/>
        <v/>
      </c>
      <c r="R32" s="19"/>
      <c r="T32" s="37" t="str">
        <f t="shared" si="8"/>
        <v/>
      </c>
      <c r="U32" s="37" t="str">
        <f t="shared" si="17"/>
        <v/>
      </c>
      <c r="W32" s="31" t="str">
        <f t="shared" si="20"/>
        <v/>
      </c>
      <c r="X32" s="31" t="str">
        <f t="shared" si="21"/>
        <v/>
      </c>
      <c r="Y32" s="34">
        <f t="shared" si="18"/>
        <v>1</v>
      </c>
      <c r="Z32" s="31">
        <f t="shared" si="9"/>
        <v>0</v>
      </c>
      <c r="AA32" s="66">
        <f t="shared" si="10"/>
        <v>0</v>
      </c>
      <c r="AB32" s="6" t="str">
        <f t="shared" si="11"/>
        <v/>
      </c>
    </row>
    <row r="33" spans="3:29" x14ac:dyDescent="0.25">
      <c r="C33" s="27" t="str">
        <f t="shared" si="12"/>
        <v/>
      </c>
      <c r="D33" s="30" t="str">
        <f t="shared" si="13"/>
        <v/>
      </c>
      <c r="E33" s="20" t="str">
        <f t="shared" si="0"/>
        <v/>
      </c>
      <c r="F33" s="20" t="str">
        <f t="shared" si="1"/>
        <v/>
      </c>
      <c r="G33" s="24" t="str">
        <f t="shared" si="14"/>
        <v/>
      </c>
      <c r="H33" s="21" t="str">
        <f t="shared" si="2"/>
        <v/>
      </c>
      <c r="I33" s="66" t="str">
        <f t="shared" si="3"/>
        <v/>
      </c>
      <c r="J33" s="66" t="str">
        <f t="shared" si="4"/>
        <v/>
      </c>
      <c r="K33" s="11" t="str">
        <f t="shared" si="5"/>
        <v/>
      </c>
      <c r="L33" s="23" t="str">
        <f t="shared" si="19"/>
        <v/>
      </c>
      <c r="M33" s="100"/>
      <c r="N33" s="23" t="str">
        <f t="shared" si="6"/>
        <v/>
      </c>
      <c r="O33" s="23" t="str">
        <f t="shared" si="15"/>
        <v/>
      </c>
      <c r="P33" s="23" t="str">
        <f t="shared" si="16"/>
        <v/>
      </c>
      <c r="Q33" s="19" t="str">
        <f t="shared" si="7"/>
        <v/>
      </c>
      <c r="R33" s="19"/>
      <c r="T33" s="37" t="str">
        <f t="shared" si="8"/>
        <v/>
      </c>
      <c r="U33" s="37" t="str">
        <f t="shared" si="17"/>
        <v/>
      </c>
      <c r="W33" s="31" t="str">
        <f t="shared" si="20"/>
        <v/>
      </c>
      <c r="X33" s="31" t="str">
        <f t="shared" si="21"/>
        <v/>
      </c>
      <c r="Y33" s="34">
        <f t="shared" si="18"/>
        <v>1</v>
      </c>
      <c r="Z33" s="31">
        <f t="shared" si="9"/>
        <v>0</v>
      </c>
      <c r="AA33" s="66">
        <f t="shared" si="10"/>
        <v>0</v>
      </c>
      <c r="AB33" s="6" t="str">
        <f t="shared" si="11"/>
        <v/>
      </c>
      <c r="AC33" s="48">
        <f>M17</f>
        <v>0</v>
      </c>
    </row>
    <row r="34" spans="3:29" x14ac:dyDescent="0.25">
      <c r="C34" s="27" t="str">
        <f t="shared" si="12"/>
        <v/>
      </c>
      <c r="D34" s="30" t="str">
        <f t="shared" si="13"/>
        <v/>
      </c>
      <c r="E34" s="20" t="str">
        <f t="shared" si="0"/>
        <v/>
      </c>
      <c r="F34" s="20" t="str">
        <f t="shared" si="1"/>
        <v/>
      </c>
      <c r="G34" s="24" t="str">
        <f t="shared" si="14"/>
        <v/>
      </c>
      <c r="H34" s="21" t="str">
        <f t="shared" si="2"/>
        <v/>
      </c>
      <c r="I34" s="66" t="str">
        <f t="shared" si="3"/>
        <v/>
      </c>
      <c r="J34" s="66" t="str">
        <f t="shared" si="4"/>
        <v/>
      </c>
      <c r="K34" s="11" t="str">
        <f t="shared" si="5"/>
        <v/>
      </c>
      <c r="L34" s="23" t="str">
        <f t="shared" si="19"/>
        <v/>
      </c>
      <c r="M34" s="100"/>
      <c r="N34" s="23" t="str">
        <f t="shared" si="6"/>
        <v/>
      </c>
      <c r="O34" s="23" t="str">
        <f t="shared" si="15"/>
        <v/>
      </c>
      <c r="P34" s="23" t="str">
        <f t="shared" si="16"/>
        <v/>
      </c>
      <c r="Q34" s="19" t="str">
        <f t="shared" si="7"/>
        <v/>
      </c>
      <c r="R34" s="19"/>
      <c r="T34" s="37" t="str">
        <f t="shared" si="8"/>
        <v/>
      </c>
      <c r="U34" s="37" t="str">
        <f t="shared" si="17"/>
        <v/>
      </c>
      <c r="W34" s="31" t="str">
        <f t="shared" si="20"/>
        <v/>
      </c>
      <c r="X34" s="31" t="str">
        <f t="shared" si="21"/>
        <v/>
      </c>
      <c r="Y34" s="34">
        <f t="shared" si="18"/>
        <v>1</v>
      </c>
      <c r="Z34" s="31">
        <f t="shared" si="9"/>
        <v>0</v>
      </c>
      <c r="AA34" s="66">
        <f t="shared" si="10"/>
        <v>0</v>
      </c>
      <c r="AB34" s="6" t="str">
        <f t="shared" si="11"/>
        <v/>
      </c>
      <c r="AC34" s="48">
        <f>AC33</f>
        <v>0</v>
      </c>
    </row>
    <row r="35" spans="3:29" x14ac:dyDescent="0.25">
      <c r="C35" s="27" t="str">
        <f t="shared" si="12"/>
        <v/>
      </c>
      <c r="D35" s="30" t="str">
        <f t="shared" si="13"/>
        <v/>
      </c>
      <c r="E35" s="20" t="str">
        <f t="shared" si="0"/>
        <v/>
      </c>
      <c r="F35" s="20" t="str">
        <f t="shared" si="1"/>
        <v/>
      </c>
      <c r="G35" s="24" t="str">
        <f t="shared" si="14"/>
        <v/>
      </c>
      <c r="H35" s="21" t="str">
        <f t="shared" si="2"/>
        <v/>
      </c>
      <c r="I35" s="66" t="str">
        <f t="shared" si="3"/>
        <v/>
      </c>
      <c r="J35" s="66" t="str">
        <f t="shared" si="4"/>
        <v/>
      </c>
      <c r="K35" s="11" t="str">
        <f t="shared" si="5"/>
        <v/>
      </c>
      <c r="L35" s="23" t="str">
        <f t="shared" si="19"/>
        <v/>
      </c>
      <c r="M35" s="100"/>
      <c r="N35" s="23" t="str">
        <f t="shared" si="6"/>
        <v/>
      </c>
      <c r="O35" s="23" t="str">
        <f t="shared" si="15"/>
        <v/>
      </c>
      <c r="P35" s="23" t="str">
        <f t="shared" si="16"/>
        <v/>
      </c>
      <c r="Q35" s="19" t="str">
        <f t="shared" si="7"/>
        <v/>
      </c>
      <c r="R35" s="19"/>
      <c r="T35" s="37" t="str">
        <f t="shared" si="8"/>
        <v/>
      </c>
      <c r="U35" s="37" t="str">
        <f t="shared" si="17"/>
        <v/>
      </c>
      <c r="W35" s="31" t="str">
        <f t="shared" si="20"/>
        <v/>
      </c>
      <c r="X35" s="31" t="str">
        <f t="shared" si="21"/>
        <v/>
      </c>
      <c r="Y35" s="34">
        <f t="shared" si="18"/>
        <v>1</v>
      </c>
      <c r="Z35" s="31">
        <f t="shared" si="9"/>
        <v>0</v>
      </c>
      <c r="AA35" s="66">
        <f t="shared" si="10"/>
        <v>0</v>
      </c>
      <c r="AB35" s="6" t="str">
        <f t="shared" si="11"/>
        <v/>
      </c>
      <c r="AC35" s="48">
        <f t="shared" ref="AC35:AC98" si="22">AC34</f>
        <v>0</v>
      </c>
    </row>
    <row r="36" spans="3:29" x14ac:dyDescent="0.25">
      <c r="C36" s="27" t="str">
        <f t="shared" si="12"/>
        <v/>
      </c>
      <c r="D36" s="30" t="str">
        <f t="shared" si="13"/>
        <v/>
      </c>
      <c r="E36" s="20" t="str">
        <f t="shared" si="0"/>
        <v/>
      </c>
      <c r="F36" s="20" t="str">
        <f t="shared" si="1"/>
        <v/>
      </c>
      <c r="G36" s="24" t="str">
        <f t="shared" si="14"/>
        <v/>
      </c>
      <c r="H36" s="21" t="str">
        <f t="shared" si="2"/>
        <v/>
      </c>
      <c r="I36" s="66" t="str">
        <f t="shared" si="3"/>
        <v/>
      </c>
      <c r="J36" s="66" t="str">
        <f t="shared" si="4"/>
        <v/>
      </c>
      <c r="K36" s="11" t="str">
        <f t="shared" si="5"/>
        <v/>
      </c>
      <c r="L36" s="23" t="str">
        <f t="shared" si="19"/>
        <v/>
      </c>
      <c r="M36" s="100"/>
      <c r="N36" s="23" t="str">
        <f t="shared" si="6"/>
        <v/>
      </c>
      <c r="O36" s="23" t="str">
        <f t="shared" si="15"/>
        <v/>
      </c>
      <c r="P36" s="23" t="str">
        <f t="shared" si="16"/>
        <v/>
      </c>
      <c r="Q36" s="19" t="str">
        <f t="shared" si="7"/>
        <v/>
      </c>
      <c r="R36" s="19"/>
      <c r="T36" s="37" t="str">
        <f t="shared" si="8"/>
        <v/>
      </c>
      <c r="U36" s="37" t="str">
        <f t="shared" si="17"/>
        <v/>
      </c>
      <c r="W36" s="31" t="str">
        <f t="shared" si="20"/>
        <v/>
      </c>
      <c r="X36" s="31" t="str">
        <f t="shared" si="21"/>
        <v/>
      </c>
      <c r="Y36" s="34">
        <f t="shared" si="18"/>
        <v>1</v>
      </c>
      <c r="Z36" s="31">
        <f t="shared" si="9"/>
        <v>0</v>
      </c>
      <c r="AA36" s="66">
        <f t="shared" si="10"/>
        <v>0</v>
      </c>
      <c r="AB36" s="6" t="str">
        <f t="shared" si="11"/>
        <v/>
      </c>
      <c r="AC36" s="48">
        <f t="shared" si="22"/>
        <v>0</v>
      </c>
    </row>
    <row r="37" spans="3:29" x14ac:dyDescent="0.25">
      <c r="C37" s="27" t="str">
        <f t="shared" si="12"/>
        <v/>
      </c>
      <c r="D37" s="30" t="str">
        <f t="shared" si="13"/>
        <v/>
      </c>
      <c r="E37" s="20" t="str">
        <f t="shared" si="0"/>
        <v/>
      </c>
      <c r="F37" s="20" t="str">
        <f t="shared" si="1"/>
        <v/>
      </c>
      <c r="G37" s="24" t="str">
        <f t="shared" si="14"/>
        <v/>
      </c>
      <c r="H37" s="21" t="str">
        <f t="shared" si="2"/>
        <v/>
      </c>
      <c r="I37" s="66" t="str">
        <f t="shared" si="3"/>
        <v/>
      </c>
      <c r="J37" s="66" t="str">
        <f t="shared" si="4"/>
        <v/>
      </c>
      <c r="K37" s="11" t="str">
        <f t="shared" si="5"/>
        <v/>
      </c>
      <c r="L37" s="23" t="str">
        <f t="shared" si="19"/>
        <v/>
      </c>
      <c r="M37" s="100"/>
      <c r="N37" s="23" t="str">
        <f t="shared" si="6"/>
        <v/>
      </c>
      <c r="O37" s="23" t="str">
        <f t="shared" si="15"/>
        <v/>
      </c>
      <c r="P37" s="23" t="str">
        <f t="shared" si="16"/>
        <v/>
      </c>
      <c r="Q37" s="19" t="str">
        <f t="shared" si="7"/>
        <v/>
      </c>
      <c r="R37" s="19"/>
      <c r="T37" s="37" t="str">
        <f t="shared" si="8"/>
        <v/>
      </c>
      <c r="U37" s="37" t="str">
        <f t="shared" si="17"/>
        <v/>
      </c>
      <c r="W37" s="31" t="str">
        <f t="shared" si="20"/>
        <v/>
      </c>
      <c r="X37" s="31" t="str">
        <f t="shared" si="21"/>
        <v/>
      </c>
      <c r="Y37" s="34">
        <f t="shared" si="18"/>
        <v>1</v>
      </c>
      <c r="Z37" s="31">
        <f t="shared" si="9"/>
        <v>0</v>
      </c>
      <c r="AA37" s="66">
        <f t="shared" si="10"/>
        <v>0</v>
      </c>
      <c r="AB37" s="6" t="str">
        <f t="shared" si="11"/>
        <v/>
      </c>
      <c r="AC37" s="48">
        <f t="shared" si="22"/>
        <v>0</v>
      </c>
    </row>
    <row r="38" spans="3:29" x14ac:dyDescent="0.25">
      <c r="C38" s="27" t="str">
        <f t="shared" si="12"/>
        <v/>
      </c>
      <c r="D38" s="30" t="str">
        <f t="shared" si="13"/>
        <v/>
      </c>
      <c r="E38" s="20" t="str">
        <f t="shared" si="0"/>
        <v/>
      </c>
      <c r="F38" s="20" t="str">
        <f t="shared" si="1"/>
        <v/>
      </c>
      <c r="G38" s="24" t="str">
        <f t="shared" si="14"/>
        <v/>
      </c>
      <c r="H38" s="21" t="str">
        <f t="shared" si="2"/>
        <v/>
      </c>
      <c r="I38" s="66" t="str">
        <f t="shared" si="3"/>
        <v/>
      </c>
      <c r="J38" s="66" t="str">
        <f t="shared" si="4"/>
        <v/>
      </c>
      <c r="K38" s="11" t="str">
        <f t="shared" si="5"/>
        <v/>
      </c>
      <c r="L38" s="23" t="str">
        <f t="shared" si="19"/>
        <v/>
      </c>
      <c r="M38" s="100"/>
      <c r="N38" s="23" t="str">
        <f t="shared" si="6"/>
        <v/>
      </c>
      <c r="O38" s="23" t="str">
        <f t="shared" si="15"/>
        <v/>
      </c>
      <c r="P38" s="23" t="str">
        <f t="shared" si="16"/>
        <v/>
      </c>
      <c r="Q38" s="19" t="str">
        <f t="shared" si="7"/>
        <v/>
      </c>
      <c r="R38" s="19"/>
      <c r="T38" s="37" t="str">
        <f t="shared" si="8"/>
        <v/>
      </c>
      <c r="U38" s="37" t="str">
        <f t="shared" si="17"/>
        <v/>
      </c>
      <c r="W38" s="31" t="str">
        <f t="shared" si="20"/>
        <v/>
      </c>
      <c r="X38" s="31" t="str">
        <f t="shared" si="21"/>
        <v/>
      </c>
      <c r="Y38" s="34">
        <f t="shared" si="18"/>
        <v>1</v>
      </c>
      <c r="Z38" s="31">
        <f t="shared" si="9"/>
        <v>0</v>
      </c>
      <c r="AA38" s="66">
        <f t="shared" si="10"/>
        <v>0</v>
      </c>
      <c r="AB38" s="6" t="str">
        <f t="shared" si="11"/>
        <v/>
      </c>
      <c r="AC38" s="48">
        <f t="shared" si="22"/>
        <v>0</v>
      </c>
    </row>
    <row r="39" spans="3:29" x14ac:dyDescent="0.25">
      <c r="C39" s="27" t="str">
        <f t="shared" si="12"/>
        <v/>
      </c>
      <c r="D39" s="30" t="str">
        <f t="shared" si="13"/>
        <v/>
      </c>
      <c r="E39" s="20" t="str">
        <f t="shared" si="0"/>
        <v/>
      </c>
      <c r="F39" s="20" t="str">
        <f t="shared" si="1"/>
        <v/>
      </c>
      <c r="G39" s="24" t="str">
        <f t="shared" si="14"/>
        <v/>
      </c>
      <c r="H39" s="21" t="str">
        <f t="shared" si="2"/>
        <v/>
      </c>
      <c r="I39" s="66" t="str">
        <f t="shared" si="3"/>
        <v/>
      </c>
      <c r="J39" s="66" t="str">
        <f t="shared" si="4"/>
        <v/>
      </c>
      <c r="K39" s="11" t="str">
        <f t="shared" si="5"/>
        <v/>
      </c>
      <c r="L39" s="23" t="str">
        <f t="shared" si="19"/>
        <v/>
      </c>
      <c r="M39" s="100"/>
      <c r="N39" s="23" t="str">
        <f t="shared" si="6"/>
        <v/>
      </c>
      <c r="O39" s="23" t="str">
        <f t="shared" si="15"/>
        <v/>
      </c>
      <c r="P39" s="23" t="str">
        <f t="shared" si="16"/>
        <v/>
      </c>
      <c r="Q39" s="19" t="str">
        <f t="shared" si="7"/>
        <v/>
      </c>
      <c r="R39" s="19"/>
      <c r="T39" s="37" t="str">
        <f t="shared" si="8"/>
        <v/>
      </c>
      <c r="U39" s="37" t="str">
        <f t="shared" si="17"/>
        <v/>
      </c>
      <c r="W39" s="31" t="str">
        <f t="shared" si="20"/>
        <v/>
      </c>
      <c r="X39" s="31" t="str">
        <f t="shared" si="21"/>
        <v/>
      </c>
      <c r="Y39" s="34">
        <f t="shared" si="18"/>
        <v>1</v>
      </c>
      <c r="Z39" s="31">
        <f t="shared" si="9"/>
        <v>0</v>
      </c>
      <c r="AA39" s="66">
        <f t="shared" si="10"/>
        <v>0</v>
      </c>
      <c r="AB39" s="6" t="str">
        <f t="shared" si="11"/>
        <v/>
      </c>
      <c r="AC39" s="48">
        <f t="shared" si="22"/>
        <v>0</v>
      </c>
    </row>
    <row r="40" spans="3:29" x14ac:dyDescent="0.25">
      <c r="C40" s="27" t="str">
        <f t="shared" si="12"/>
        <v/>
      </c>
      <c r="D40" s="30" t="str">
        <f t="shared" si="13"/>
        <v/>
      </c>
      <c r="E40" s="20" t="str">
        <f t="shared" si="0"/>
        <v/>
      </c>
      <c r="F40" s="20" t="str">
        <f t="shared" si="1"/>
        <v/>
      </c>
      <c r="G40" s="24" t="str">
        <f t="shared" si="14"/>
        <v/>
      </c>
      <c r="H40" s="21" t="str">
        <f t="shared" si="2"/>
        <v/>
      </c>
      <c r="I40" s="66" t="str">
        <f t="shared" si="3"/>
        <v/>
      </c>
      <c r="J40" s="66" t="str">
        <f t="shared" si="4"/>
        <v/>
      </c>
      <c r="K40" s="11" t="str">
        <f t="shared" si="5"/>
        <v/>
      </c>
      <c r="L40" s="23" t="str">
        <f t="shared" si="19"/>
        <v/>
      </c>
      <c r="M40" s="100"/>
      <c r="N40" s="23" t="str">
        <f t="shared" si="6"/>
        <v/>
      </c>
      <c r="O40" s="23" t="str">
        <f t="shared" si="15"/>
        <v/>
      </c>
      <c r="P40" s="23" t="str">
        <f t="shared" si="16"/>
        <v/>
      </c>
      <c r="Q40" s="19" t="str">
        <f t="shared" si="7"/>
        <v/>
      </c>
      <c r="R40" s="19"/>
      <c r="T40" s="37" t="str">
        <f t="shared" si="8"/>
        <v/>
      </c>
      <c r="U40" s="37" t="str">
        <f t="shared" si="17"/>
        <v/>
      </c>
      <c r="W40" s="31" t="str">
        <f t="shared" si="20"/>
        <v/>
      </c>
      <c r="X40" s="31" t="str">
        <f t="shared" si="21"/>
        <v/>
      </c>
      <c r="Y40" s="34">
        <f t="shared" si="18"/>
        <v>1</v>
      </c>
      <c r="Z40" s="31">
        <f t="shared" si="9"/>
        <v>0</v>
      </c>
      <c r="AA40" s="66">
        <f t="shared" si="10"/>
        <v>0</v>
      </c>
      <c r="AB40" s="6" t="str">
        <f t="shared" si="11"/>
        <v/>
      </c>
      <c r="AC40" s="48">
        <f t="shared" si="22"/>
        <v>0</v>
      </c>
    </row>
    <row r="41" spans="3:29" x14ac:dyDescent="0.25">
      <c r="C41" s="27" t="str">
        <f t="shared" si="12"/>
        <v/>
      </c>
      <c r="D41" s="30" t="str">
        <f t="shared" si="13"/>
        <v/>
      </c>
      <c r="E41" s="20" t="str">
        <f t="shared" si="0"/>
        <v/>
      </c>
      <c r="F41" s="20" t="str">
        <f t="shared" si="1"/>
        <v/>
      </c>
      <c r="G41" s="24" t="str">
        <f t="shared" si="14"/>
        <v/>
      </c>
      <c r="H41" s="21" t="str">
        <f t="shared" si="2"/>
        <v/>
      </c>
      <c r="I41" s="66" t="str">
        <f t="shared" si="3"/>
        <v/>
      </c>
      <c r="J41" s="66" t="str">
        <f t="shared" si="4"/>
        <v/>
      </c>
      <c r="K41" s="11" t="str">
        <f t="shared" si="5"/>
        <v/>
      </c>
      <c r="L41" s="23" t="str">
        <f t="shared" si="19"/>
        <v/>
      </c>
      <c r="M41" s="100"/>
      <c r="N41" s="23" t="str">
        <f t="shared" si="6"/>
        <v/>
      </c>
      <c r="O41" s="23" t="str">
        <f t="shared" si="15"/>
        <v/>
      </c>
      <c r="P41" s="23" t="str">
        <f t="shared" si="16"/>
        <v/>
      </c>
      <c r="Q41" s="19" t="str">
        <f t="shared" si="7"/>
        <v/>
      </c>
      <c r="R41" s="19"/>
      <c r="T41" s="37" t="str">
        <f t="shared" si="8"/>
        <v/>
      </c>
      <c r="U41" s="37" t="str">
        <f t="shared" si="17"/>
        <v/>
      </c>
      <c r="W41" s="31" t="str">
        <f t="shared" si="20"/>
        <v/>
      </c>
      <c r="X41" s="31" t="str">
        <f t="shared" si="21"/>
        <v/>
      </c>
      <c r="Y41" s="34">
        <f t="shared" si="18"/>
        <v>1</v>
      </c>
      <c r="Z41" s="31">
        <f t="shared" si="9"/>
        <v>0</v>
      </c>
      <c r="AA41" s="66">
        <f t="shared" si="10"/>
        <v>0</v>
      </c>
      <c r="AB41" s="6" t="str">
        <f t="shared" si="11"/>
        <v/>
      </c>
      <c r="AC41" s="48">
        <f t="shared" si="22"/>
        <v>0</v>
      </c>
    </row>
    <row r="42" spans="3:29" x14ac:dyDescent="0.25">
      <c r="C42" s="27" t="str">
        <f t="shared" si="12"/>
        <v/>
      </c>
      <c r="D42" s="30" t="str">
        <f t="shared" si="13"/>
        <v/>
      </c>
      <c r="E42" s="20" t="str">
        <f t="shared" si="0"/>
        <v/>
      </c>
      <c r="F42" s="20" t="str">
        <f t="shared" si="1"/>
        <v/>
      </c>
      <c r="G42" s="24" t="str">
        <f t="shared" si="14"/>
        <v/>
      </c>
      <c r="H42" s="21" t="str">
        <f t="shared" si="2"/>
        <v/>
      </c>
      <c r="I42" s="66" t="str">
        <f t="shared" si="3"/>
        <v/>
      </c>
      <c r="J42" s="66" t="str">
        <f t="shared" si="4"/>
        <v/>
      </c>
      <c r="K42" s="11" t="str">
        <f t="shared" si="5"/>
        <v/>
      </c>
      <c r="L42" s="23" t="str">
        <f t="shared" si="19"/>
        <v/>
      </c>
      <c r="M42" s="100"/>
      <c r="N42" s="23" t="str">
        <f t="shared" si="6"/>
        <v/>
      </c>
      <c r="O42" s="23" t="str">
        <f t="shared" si="15"/>
        <v/>
      </c>
      <c r="P42" s="23" t="str">
        <f t="shared" si="16"/>
        <v/>
      </c>
      <c r="Q42" s="19" t="str">
        <f t="shared" si="7"/>
        <v/>
      </c>
      <c r="R42" s="19"/>
      <c r="T42" s="37" t="str">
        <f t="shared" si="8"/>
        <v/>
      </c>
      <c r="U42" s="37" t="str">
        <f t="shared" si="17"/>
        <v/>
      </c>
      <c r="W42" s="31" t="str">
        <f t="shared" si="20"/>
        <v/>
      </c>
      <c r="X42" s="31" t="str">
        <f t="shared" si="21"/>
        <v/>
      </c>
      <c r="Y42" s="34">
        <f t="shared" si="18"/>
        <v>1</v>
      </c>
      <c r="Z42" s="31">
        <f t="shared" si="9"/>
        <v>0</v>
      </c>
      <c r="AA42" s="66">
        <f t="shared" si="10"/>
        <v>0</v>
      </c>
      <c r="AB42" s="6" t="str">
        <f t="shared" si="11"/>
        <v/>
      </c>
      <c r="AC42" s="48">
        <f t="shared" si="22"/>
        <v>0</v>
      </c>
    </row>
    <row r="43" spans="3:29" x14ac:dyDescent="0.25">
      <c r="C43" s="27" t="str">
        <f t="shared" si="12"/>
        <v/>
      </c>
      <c r="D43" s="30" t="str">
        <f t="shared" si="13"/>
        <v/>
      </c>
      <c r="E43" s="20" t="str">
        <f t="shared" si="0"/>
        <v/>
      </c>
      <c r="F43" s="20" t="str">
        <f t="shared" si="1"/>
        <v/>
      </c>
      <c r="G43" s="24" t="str">
        <f t="shared" si="14"/>
        <v/>
      </c>
      <c r="H43" s="21" t="str">
        <f t="shared" si="2"/>
        <v/>
      </c>
      <c r="I43" s="66" t="str">
        <f t="shared" si="3"/>
        <v/>
      </c>
      <c r="J43" s="66" t="str">
        <f t="shared" si="4"/>
        <v/>
      </c>
      <c r="K43" s="11" t="str">
        <f t="shared" si="5"/>
        <v/>
      </c>
      <c r="L43" s="23" t="str">
        <f t="shared" si="19"/>
        <v/>
      </c>
      <c r="M43" s="100"/>
      <c r="N43" s="23" t="str">
        <f t="shared" si="6"/>
        <v/>
      </c>
      <c r="O43" s="23" t="str">
        <f t="shared" si="15"/>
        <v/>
      </c>
      <c r="P43" s="23" t="str">
        <f t="shared" si="16"/>
        <v/>
      </c>
      <c r="Q43" s="19" t="str">
        <f t="shared" si="7"/>
        <v/>
      </c>
      <c r="R43" s="19"/>
      <c r="T43" s="37" t="str">
        <f t="shared" si="8"/>
        <v/>
      </c>
      <c r="U43" s="37" t="str">
        <f t="shared" si="17"/>
        <v/>
      </c>
      <c r="W43" s="31" t="str">
        <f t="shared" si="20"/>
        <v/>
      </c>
      <c r="X43" s="31" t="str">
        <f t="shared" si="21"/>
        <v/>
      </c>
      <c r="Y43" s="34">
        <f t="shared" si="18"/>
        <v>1</v>
      </c>
      <c r="Z43" s="31">
        <f t="shared" si="9"/>
        <v>0</v>
      </c>
      <c r="AA43" s="66">
        <f t="shared" si="10"/>
        <v>0</v>
      </c>
      <c r="AB43" s="6" t="str">
        <f t="shared" si="11"/>
        <v/>
      </c>
      <c r="AC43" s="48">
        <f t="shared" si="22"/>
        <v>0</v>
      </c>
    </row>
    <row r="44" spans="3:29" x14ac:dyDescent="0.25">
      <c r="C44" s="27" t="str">
        <f t="shared" si="12"/>
        <v/>
      </c>
      <c r="D44" s="30" t="str">
        <f t="shared" si="13"/>
        <v/>
      </c>
      <c r="E44" s="20" t="str">
        <f t="shared" si="0"/>
        <v/>
      </c>
      <c r="F44" s="20" t="str">
        <f t="shared" si="1"/>
        <v/>
      </c>
      <c r="G44" s="24" t="str">
        <f t="shared" si="14"/>
        <v/>
      </c>
      <c r="H44" s="21" t="str">
        <f t="shared" si="2"/>
        <v/>
      </c>
      <c r="I44" s="66" t="str">
        <f t="shared" si="3"/>
        <v/>
      </c>
      <c r="J44" s="66" t="str">
        <f t="shared" si="4"/>
        <v/>
      </c>
      <c r="K44" s="11" t="str">
        <f t="shared" si="5"/>
        <v/>
      </c>
      <c r="L44" s="23" t="str">
        <f t="shared" si="19"/>
        <v/>
      </c>
      <c r="M44" s="100"/>
      <c r="N44" s="23" t="str">
        <f t="shared" si="6"/>
        <v/>
      </c>
      <c r="O44" s="23" t="str">
        <f t="shared" si="15"/>
        <v/>
      </c>
      <c r="P44" s="23" t="str">
        <f t="shared" si="16"/>
        <v/>
      </c>
      <c r="Q44" s="19" t="str">
        <f t="shared" si="7"/>
        <v/>
      </c>
      <c r="R44" s="19"/>
      <c r="T44" s="37" t="str">
        <f t="shared" si="8"/>
        <v/>
      </c>
      <c r="U44" s="37" t="str">
        <f t="shared" si="17"/>
        <v/>
      </c>
      <c r="W44" s="31" t="str">
        <f t="shared" si="20"/>
        <v/>
      </c>
      <c r="X44" s="31" t="str">
        <f t="shared" si="21"/>
        <v/>
      </c>
      <c r="Y44" s="34">
        <f t="shared" si="18"/>
        <v>1</v>
      </c>
      <c r="Z44" s="31">
        <f t="shared" si="9"/>
        <v>0</v>
      </c>
      <c r="AA44" s="66">
        <f t="shared" si="10"/>
        <v>0</v>
      </c>
      <c r="AB44" s="6" t="str">
        <f t="shared" si="11"/>
        <v/>
      </c>
      <c r="AC44" s="48">
        <f t="shared" si="22"/>
        <v>0</v>
      </c>
    </row>
    <row r="45" spans="3:29" x14ac:dyDescent="0.25">
      <c r="C45" s="27" t="str">
        <f t="shared" si="12"/>
        <v/>
      </c>
      <c r="D45" s="30" t="str">
        <f t="shared" si="13"/>
        <v/>
      </c>
      <c r="E45" s="20" t="str">
        <f t="shared" si="0"/>
        <v/>
      </c>
      <c r="F45" s="20" t="str">
        <f t="shared" si="1"/>
        <v/>
      </c>
      <c r="G45" s="24" t="str">
        <f t="shared" si="14"/>
        <v/>
      </c>
      <c r="H45" s="21" t="str">
        <f t="shared" si="2"/>
        <v/>
      </c>
      <c r="I45" s="66" t="str">
        <f t="shared" si="3"/>
        <v/>
      </c>
      <c r="J45" s="66" t="str">
        <f t="shared" si="4"/>
        <v/>
      </c>
      <c r="K45" s="11" t="str">
        <f t="shared" si="5"/>
        <v/>
      </c>
      <c r="L45" s="23" t="str">
        <f t="shared" si="19"/>
        <v/>
      </c>
      <c r="M45" s="100"/>
      <c r="N45" s="23" t="str">
        <f t="shared" si="6"/>
        <v/>
      </c>
      <c r="O45" s="23" t="str">
        <f t="shared" si="15"/>
        <v/>
      </c>
      <c r="P45" s="23" t="str">
        <f t="shared" si="16"/>
        <v/>
      </c>
      <c r="Q45" s="19" t="str">
        <f t="shared" si="7"/>
        <v/>
      </c>
      <c r="R45" s="19"/>
      <c r="T45" s="37" t="str">
        <f t="shared" si="8"/>
        <v/>
      </c>
      <c r="U45" s="37" t="str">
        <f t="shared" si="17"/>
        <v/>
      </c>
      <c r="W45" s="31" t="str">
        <f t="shared" si="20"/>
        <v/>
      </c>
      <c r="X45" s="31" t="str">
        <f t="shared" si="21"/>
        <v/>
      </c>
      <c r="Y45" s="34">
        <f t="shared" si="18"/>
        <v>1</v>
      </c>
      <c r="Z45" s="31">
        <f t="shared" si="9"/>
        <v>0</v>
      </c>
      <c r="AA45" s="66">
        <f t="shared" si="10"/>
        <v>0</v>
      </c>
      <c r="AB45" s="6" t="str">
        <f t="shared" si="11"/>
        <v/>
      </c>
      <c r="AC45" s="48">
        <f>AC44+$M$17</f>
        <v>0</v>
      </c>
    </row>
    <row r="46" spans="3:29" x14ac:dyDescent="0.25">
      <c r="C46" s="27" t="str">
        <f t="shared" si="12"/>
        <v/>
      </c>
      <c r="D46" s="30" t="str">
        <f t="shared" si="13"/>
        <v/>
      </c>
      <c r="E46" s="20" t="str">
        <f t="shared" si="0"/>
        <v/>
      </c>
      <c r="F46" s="20" t="str">
        <f t="shared" si="1"/>
        <v/>
      </c>
      <c r="G46" s="24" t="str">
        <f t="shared" si="14"/>
        <v/>
      </c>
      <c r="H46" s="21" t="str">
        <f t="shared" si="2"/>
        <v/>
      </c>
      <c r="I46" s="66" t="str">
        <f t="shared" si="3"/>
        <v/>
      </c>
      <c r="J46" s="66" t="str">
        <f t="shared" si="4"/>
        <v/>
      </c>
      <c r="K46" s="11" t="str">
        <f t="shared" si="5"/>
        <v/>
      </c>
      <c r="L46" s="23" t="str">
        <f t="shared" si="19"/>
        <v/>
      </c>
      <c r="M46" s="100"/>
      <c r="N46" s="23" t="str">
        <f t="shared" si="6"/>
        <v/>
      </c>
      <c r="O46" s="23" t="str">
        <f t="shared" si="15"/>
        <v/>
      </c>
      <c r="P46" s="23" t="str">
        <f t="shared" si="16"/>
        <v/>
      </c>
      <c r="Q46" s="19" t="str">
        <f t="shared" si="7"/>
        <v/>
      </c>
      <c r="R46" s="19"/>
      <c r="T46" s="37" t="str">
        <f t="shared" si="8"/>
        <v/>
      </c>
      <c r="U46" s="37" t="str">
        <f t="shared" si="17"/>
        <v/>
      </c>
      <c r="W46" s="31" t="str">
        <f t="shared" si="20"/>
        <v/>
      </c>
      <c r="X46" s="31" t="str">
        <f t="shared" si="21"/>
        <v/>
      </c>
      <c r="Y46" s="34">
        <f t="shared" si="18"/>
        <v>1</v>
      </c>
      <c r="Z46" s="31">
        <f t="shared" si="9"/>
        <v>0</v>
      </c>
      <c r="AA46" s="66">
        <f t="shared" si="10"/>
        <v>0</v>
      </c>
      <c r="AB46" s="6" t="str">
        <f t="shared" si="11"/>
        <v/>
      </c>
      <c r="AC46" s="48">
        <f t="shared" si="22"/>
        <v>0</v>
      </c>
    </row>
    <row r="47" spans="3:29" x14ac:dyDescent="0.25">
      <c r="C47" s="27" t="str">
        <f t="shared" si="12"/>
        <v/>
      </c>
      <c r="D47" s="30" t="str">
        <f t="shared" si="13"/>
        <v/>
      </c>
      <c r="E47" s="20" t="str">
        <f t="shared" si="0"/>
        <v/>
      </c>
      <c r="F47" s="20" t="str">
        <f t="shared" si="1"/>
        <v/>
      </c>
      <c r="G47" s="24" t="str">
        <f t="shared" si="14"/>
        <v/>
      </c>
      <c r="H47" s="21" t="str">
        <f t="shared" si="2"/>
        <v/>
      </c>
      <c r="I47" s="66" t="str">
        <f t="shared" si="3"/>
        <v/>
      </c>
      <c r="J47" s="66" t="str">
        <f t="shared" si="4"/>
        <v/>
      </c>
      <c r="K47" s="11" t="str">
        <f t="shared" si="5"/>
        <v/>
      </c>
      <c r="L47" s="23" t="str">
        <f t="shared" si="19"/>
        <v/>
      </c>
      <c r="M47" s="100"/>
      <c r="N47" s="23" t="str">
        <f t="shared" si="6"/>
        <v/>
      </c>
      <c r="O47" s="23" t="str">
        <f t="shared" si="15"/>
        <v/>
      </c>
      <c r="P47" s="23" t="str">
        <f t="shared" si="16"/>
        <v/>
      </c>
      <c r="Q47" s="19" t="str">
        <f t="shared" si="7"/>
        <v/>
      </c>
      <c r="R47" s="19"/>
      <c r="T47" s="37" t="str">
        <f t="shared" si="8"/>
        <v/>
      </c>
      <c r="U47" s="37" t="str">
        <f t="shared" si="17"/>
        <v/>
      </c>
      <c r="W47" s="31" t="str">
        <f t="shared" si="20"/>
        <v/>
      </c>
      <c r="X47" s="31" t="str">
        <f t="shared" si="21"/>
        <v/>
      </c>
      <c r="Y47" s="34">
        <f t="shared" si="18"/>
        <v>1</v>
      </c>
      <c r="Z47" s="31">
        <f t="shared" si="9"/>
        <v>0</v>
      </c>
      <c r="AA47" s="66">
        <f t="shared" si="10"/>
        <v>0</v>
      </c>
      <c r="AB47" s="6" t="str">
        <f t="shared" si="11"/>
        <v/>
      </c>
      <c r="AC47" s="48">
        <f t="shared" si="22"/>
        <v>0</v>
      </c>
    </row>
    <row r="48" spans="3:29" x14ac:dyDescent="0.25">
      <c r="C48" s="27" t="str">
        <f t="shared" si="12"/>
        <v/>
      </c>
      <c r="D48" s="30" t="str">
        <f t="shared" si="13"/>
        <v/>
      </c>
      <c r="E48" s="20" t="str">
        <f t="shared" si="0"/>
        <v/>
      </c>
      <c r="F48" s="20" t="str">
        <f t="shared" si="1"/>
        <v/>
      </c>
      <c r="G48" s="24" t="str">
        <f t="shared" si="14"/>
        <v/>
      </c>
      <c r="H48" s="21" t="str">
        <f t="shared" si="2"/>
        <v/>
      </c>
      <c r="I48" s="66" t="str">
        <f t="shared" si="3"/>
        <v/>
      </c>
      <c r="J48" s="66" t="str">
        <f t="shared" si="4"/>
        <v/>
      </c>
      <c r="K48" s="11" t="str">
        <f t="shared" si="5"/>
        <v/>
      </c>
      <c r="L48" s="23" t="str">
        <f t="shared" si="19"/>
        <v/>
      </c>
      <c r="M48" s="100"/>
      <c r="N48" s="23" t="str">
        <f t="shared" si="6"/>
        <v/>
      </c>
      <c r="O48" s="23" t="str">
        <f t="shared" si="15"/>
        <v/>
      </c>
      <c r="P48" s="23" t="str">
        <f t="shared" si="16"/>
        <v/>
      </c>
      <c r="Q48" s="19" t="str">
        <f t="shared" si="7"/>
        <v/>
      </c>
      <c r="R48" s="19"/>
      <c r="T48" s="37" t="str">
        <f t="shared" si="8"/>
        <v/>
      </c>
      <c r="U48" s="37" t="str">
        <f t="shared" si="17"/>
        <v/>
      </c>
      <c r="W48" s="31" t="str">
        <f t="shared" si="20"/>
        <v/>
      </c>
      <c r="X48" s="31" t="str">
        <f t="shared" si="21"/>
        <v/>
      </c>
      <c r="Y48" s="34">
        <f t="shared" si="18"/>
        <v>1</v>
      </c>
      <c r="Z48" s="31">
        <f t="shared" si="9"/>
        <v>0</v>
      </c>
      <c r="AA48" s="66">
        <f t="shared" si="10"/>
        <v>0</v>
      </c>
      <c r="AB48" s="6" t="str">
        <f t="shared" si="11"/>
        <v/>
      </c>
      <c r="AC48" s="48">
        <f t="shared" si="22"/>
        <v>0</v>
      </c>
    </row>
    <row r="49" spans="3:29" x14ac:dyDescent="0.25">
      <c r="C49" s="27" t="str">
        <f t="shared" si="12"/>
        <v/>
      </c>
      <c r="D49" s="30" t="str">
        <f t="shared" si="13"/>
        <v/>
      </c>
      <c r="E49" s="20" t="str">
        <f t="shared" si="0"/>
        <v/>
      </c>
      <c r="F49" s="20" t="str">
        <f t="shared" si="1"/>
        <v/>
      </c>
      <c r="G49" s="24" t="str">
        <f t="shared" si="14"/>
        <v/>
      </c>
      <c r="H49" s="21" t="str">
        <f t="shared" si="2"/>
        <v/>
      </c>
      <c r="I49" s="66" t="str">
        <f t="shared" si="3"/>
        <v/>
      </c>
      <c r="J49" s="66" t="str">
        <f t="shared" si="4"/>
        <v/>
      </c>
      <c r="K49" s="11" t="str">
        <f t="shared" si="5"/>
        <v/>
      </c>
      <c r="L49" s="23" t="str">
        <f t="shared" si="19"/>
        <v/>
      </c>
      <c r="M49" s="100"/>
      <c r="N49" s="23" t="str">
        <f t="shared" si="6"/>
        <v/>
      </c>
      <c r="O49" s="23" t="str">
        <f t="shared" si="15"/>
        <v/>
      </c>
      <c r="P49" s="23" t="str">
        <f t="shared" si="16"/>
        <v/>
      </c>
      <c r="Q49" s="19" t="str">
        <f t="shared" si="7"/>
        <v/>
      </c>
      <c r="R49" s="19"/>
      <c r="T49" s="37" t="str">
        <f t="shared" si="8"/>
        <v/>
      </c>
      <c r="U49" s="37" t="str">
        <f t="shared" si="17"/>
        <v/>
      </c>
      <c r="W49" s="31" t="str">
        <f t="shared" si="20"/>
        <v/>
      </c>
      <c r="X49" s="31" t="str">
        <f t="shared" si="21"/>
        <v/>
      </c>
      <c r="Y49" s="34">
        <f t="shared" si="18"/>
        <v>1</v>
      </c>
      <c r="Z49" s="31">
        <f t="shared" si="9"/>
        <v>0</v>
      </c>
      <c r="AA49" s="66">
        <f t="shared" si="10"/>
        <v>0</v>
      </c>
      <c r="AB49" s="6" t="str">
        <f t="shared" si="11"/>
        <v/>
      </c>
      <c r="AC49" s="48">
        <f t="shared" si="22"/>
        <v>0</v>
      </c>
    </row>
    <row r="50" spans="3:29" x14ac:dyDescent="0.25">
      <c r="C50" s="27" t="str">
        <f t="shared" si="12"/>
        <v/>
      </c>
      <c r="D50" s="30" t="str">
        <f t="shared" si="13"/>
        <v/>
      </c>
      <c r="E50" s="20" t="str">
        <f t="shared" si="0"/>
        <v/>
      </c>
      <c r="F50" s="20" t="str">
        <f t="shared" si="1"/>
        <v/>
      </c>
      <c r="G50" s="24" t="str">
        <f t="shared" si="14"/>
        <v/>
      </c>
      <c r="H50" s="21" t="str">
        <f t="shared" si="2"/>
        <v/>
      </c>
      <c r="I50" s="66" t="str">
        <f t="shared" si="3"/>
        <v/>
      </c>
      <c r="J50" s="66" t="str">
        <f t="shared" si="4"/>
        <v/>
      </c>
      <c r="K50" s="11" t="str">
        <f t="shared" si="5"/>
        <v/>
      </c>
      <c r="L50" s="23" t="str">
        <f t="shared" si="19"/>
        <v/>
      </c>
      <c r="M50" s="100"/>
      <c r="N50" s="23" t="str">
        <f t="shared" si="6"/>
        <v/>
      </c>
      <c r="O50" s="23" t="str">
        <f t="shared" si="15"/>
        <v/>
      </c>
      <c r="P50" s="23" t="str">
        <f t="shared" si="16"/>
        <v/>
      </c>
      <c r="Q50" s="19" t="str">
        <f t="shared" si="7"/>
        <v/>
      </c>
      <c r="R50" s="19"/>
      <c r="T50" s="37" t="str">
        <f t="shared" si="8"/>
        <v/>
      </c>
      <c r="U50" s="37" t="str">
        <f t="shared" si="17"/>
        <v/>
      </c>
      <c r="W50" s="31" t="str">
        <f t="shared" si="20"/>
        <v/>
      </c>
      <c r="X50" s="31" t="str">
        <f t="shared" si="21"/>
        <v/>
      </c>
      <c r="Y50" s="34">
        <f t="shared" si="18"/>
        <v>1</v>
      </c>
      <c r="Z50" s="31">
        <f t="shared" si="9"/>
        <v>0</v>
      </c>
      <c r="AA50" s="66">
        <f t="shared" si="10"/>
        <v>0</v>
      </c>
      <c r="AB50" s="6" t="str">
        <f t="shared" si="11"/>
        <v/>
      </c>
      <c r="AC50" s="48">
        <f t="shared" si="22"/>
        <v>0</v>
      </c>
    </row>
    <row r="51" spans="3:29" x14ac:dyDescent="0.25">
      <c r="C51" s="27" t="str">
        <f t="shared" si="12"/>
        <v/>
      </c>
      <c r="D51" s="30" t="str">
        <f t="shared" si="13"/>
        <v/>
      </c>
      <c r="E51" s="20" t="str">
        <f t="shared" si="0"/>
        <v/>
      </c>
      <c r="F51" s="20" t="str">
        <f t="shared" si="1"/>
        <v/>
      </c>
      <c r="G51" s="24" t="str">
        <f t="shared" si="14"/>
        <v/>
      </c>
      <c r="H51" s="21" t="str">
        <f t="shared" si="2"/>
        <v/>
      </c>
      <c r="I51" s="66" t="str">
        <f t="shared" si="3"/>
        <v/>
      </c>
      <c r="J51" s="66" t="str">
        <f t="shared" si="4"/>
        <v/>
      </c>
      <c r="K51" s="11" t="str">
        <f t="shared" si="5"/>
        <v/>
      </c>
      <c r="L51" s="23" t="str">
        <f t="shared" si="19"/>
        <v/>
      </c>
      <c r="M51" s="100"/>
      <c r="N51" s="23" t="str">
        <f t="shared" si="6"/>
        <v/>
      </c>
      <c r="O51" s="23" t="str">
        <f t="shared" si="15"/>
        <v/>
      </c>
      <c r="P51" s="23" t="str">
        <f t="shared" si="16"/>
        <v/>
      </c>
      <c r="Q51" s="19" t="str">
        <f t="shared" si="7"/>
        <v/>
      </c>
      <c r="R51" s="19"/>
      <c r="T51" s="37" t="str">
        <f t="shared" si="8"/>
        <v/>
      </c>
      <c r="U51" s="37" t="str">
        <f t="shared" si="17"/>
        <v/>
      </c>
      <c r="W51" s="31" t="str">
        <f t="shared" si="20"/>
        <v/>
      </c>
      <c r="X51" s="31" t="str">
        <f t="shared" si="21"/>
        <v/>
      </c>
      <c r="Y51" s="34">
        <f t="shared" si="18"/>
        <v>1</v>
      </c>
      <c r="Z51" s="31">
        <f t="shared" si="9"/>
        <v>0</v>
      </c>
      <c r="AA51" s="66">
        <f t="shared" si="10"/>
        <v>0</v>
      </c>
      <c r="AB51" s="6" t="str">
        <f t="shared" si="11"/>
        <v/>
      </c>
      <c r="AC51" s="48">
        <f t="shared" si="22"/>
        <v>0</v>
      </c>
    </row>
    <row r="52" spans="3:29" x14ac:dyDescent="0.25">
      <c r="C52" s="27" t="str">
        <f t="shared" si="12"/>
        <v/>
      </c>
      <c r="D52" s="30" t="str">
        <f t="shared" si="13"/>
        <v/>
      </c>
      <c r="E52" s="20" t="str">
        <f t="shared" si="0"/>
        <v/>
      </c>
      <c r="F52" s="20" t="str">
        <f t="shared" si="1"/>
        <v/>
      </c>
      <c r="G52" s="24" t="str">
        <f t="shared" si="14"/>
        <v/>
      </c>
      <c r="H52" s="21" t="str">
        <f t="shared" si="2"/>
        <v/>
      </c>
      <c r="I52" s="66" t="str">
        <f t="shared" si="3"/>
        <v/>
      </c>
      <c r="J52" s="66" t="str">
        <f t="shared" si="4"/>
        <v/>
      </c>
      <c r="K52" s="11" t="str">
        <f t="shared" si="5"/>
        <v/>
      </c>
      <c r="L52" s="23" t="str">
        <f t="shared" si="19"/>
        <v/>
      </c>
      <c r="M52" s="100"/>
      <c r="N52" s="23" t="str">
        <f t="shared" si="6"/>
        <v/>
      </c>
      <c r="O52" s="23" t="str">
        <f t="shared" si="15"/>
        <v/>
      </c>
      <c r="P52" s="23" t="str">
        <f t="shared" si="16"/>
        <v/>
      </c>
      <c r="Q52" s="19" t="str">
        <f t="shared" si="7"/>
        <v/>
      </c>
      <c r="R52" s="19"/>
      <c r="T52" s="37" t="str">
        <f t="shared" si="8"/>
        <v/>
      </c>
      <c r="U52" s="37" t="str">
        <f t="shared" si="17"/>
        <v/>
      </c>
      <c r="W52" s="31" t="str">
        <f t="shared" si="20"/>
        <v/>
      </c>
      <c r="X52" s="31" t="str">
        <f t="shared" si="21"/>
        <v/>
      </c>
      <c r="Y52" s="34">
        <f t="shared" si="18"/>
        <v>1</v>
      </c>
      <c r="Z52" s="31">
        <f t="shared" si="9"/>
        <v>0</v>
      </c>
      <c r="AA52" s="66">
        <f t="shared" si="10"/>
        <v>0</v>
      </c>
      <c r="AB52" s="6" t="str">
        <f t="shared" si="11"/>
        <v/>
      </c>
      <c r="AC52" s="48">
        <f t="shared" si="22"/>
        <v>0</v>
      </c>
    </row>
    <row r="53" spans="3:29" x14ac:dyDescent="0.25">
      <c r="C53" s="27" t="str">
        <f t="shared" si="12"/>
        <v/>
      </c>
      <c r="D53" s="30" t="str">
        <f t="shared" si="13"/>
        <v/>
      </c>
      <c r="E53" s="20" t="str">
        <f t="shared" si="0"/>
        <v/>
      </c>
      <c r="F53" s="20" t="str">
        <f t="shared" si="1"/>
        <v/>
      </c>
      <c r="G53" s="24" t="str">
        <f t="shared" si="14"/>
        <v/>
      </c>
      <c r="H53" s="21" t="str">
        <f t="shared" si="2"/>
        <v/>
      </c>
      <c r="I53" s="66" t="str">
        <f t="shared" si="3"/>
        <v/>
      </c>
      <c r="J53" s="66" t="str">
        <f t="shared" si="4"/>
        <v/>
      </c>
      <c r="K53" s="11" t="str">
        <f t="shared" si="5"/>
        <v/>
      </c>
      <c r="L53" s="23" t="str">
        <f t="shared" si="19"/>
        <v/>
      </c>
      <c r="M53" s="100"/>
      <c r="N53" s="23" t="str">
        <f t="shared" si="6"/>
        <v/>
      </c>
      <c r="O53" s="23" t="str">
        <f t="shared" si="15"/>
        <v/>
      </c>
      <c r="P53" s="23" t="str">
        <f t="shared" si="16"/>
        <v/>
      </c>
      <c r="Q53" s="19" t="str">
        <f t="shared" si="7"/>
        <v/>
      </c>
      <c r="R53" s="19"/>
      <c r="T53" s="37" t="str">
        <f t="shared" si="8"/>
        <v/>
      </c>
      <c r="U53" s="37" t="str">
        <f t="shared" si="17"/>
        <v/>
      </c>
      <c r="W53" s="31" t="str">
        <f t="shared" si="20"/>
        <v/>
      </c>
      <c r="X53" s="31" t="str">
        <f t="shared" si="21"/>
        <v/>
      </c>
      <c r="Y53" s="34">
        <f t="shared" si="18"/>
        <v>1</v>
      </c>
      <c r="Z53" s="31">
        <f t="shared" si="9"/>
        <v>0</v>
      </c>
      <c r="AA53" s="66">
        <f t="shared" si="10"/>
        <v>0</v>
      </c>
      <c r="AB53" s="6" t="str">
        <f t="shared" si="11"/>
        <v/>
      </c>
      <c r="AC53" s="48">
        <f t="shared" si="22"/>
        <v>0</v>
      </c>
    </row>
    <row r="54" spans="3:29" x14ac:dyDescent="0.25">
      <c r="C54" s="27" t="str">
        <f t="shared" si="12"/>
        <v/>
      </c>
      <c r="D54" s="30" t="str">
        <f t="shared" si="13"/>
        <v/>
      </c>
      <c r="E54" s="20" t="str">
        <f t="shared" si="0"/>
        <v/>
      </c>
      <c r="F54" s="20" t="str">
        <f t="shared" si="1"/>
        <v/>
      </c>
      <c r="G54" s="24" t="str">
        <f t="shared" si="14"/>
        <v/>
      </c>
      <c r="H54" s="21" t="str">
        <f t="shared" si="2"/>
        <v/>
      </c>
      <c r="I54" s="66" t="str">
        <f t="shared" si="3"/>
        <v/>
      </c>
      <c r="J54" s="66" t="str">
        <f t="shared" si="4"/>
        <v/>
      </c>
      <c r="K54" s="11" t="str">
        <f t="shared" si="5"/>
        <v/>
      </c>
      <c r="L54" s="23" t="str">
        <f t="shared" si="19"/>
        <v/>
      </c>
      <c r="M54" s="100"/>
      <c r="N54" s="23" t="str">
        <f t="shared" si="6"/>
        <v/>
      </c>
      <c r="O54" s="23" t="str">
        <f t="shared" si="15"/>
        <v/>
      </c>
      <c r="P54" s="23" t="str">
        <f t="shared" si="16"/>
        <v/>
      </c>
      <c r="Q54" s="19" t="str">
        <f t="shared" si="7"/>
        <v/>
      </c>
      <c r="R54" s="19"/>
      <c r="T54" s="37" t="str">
        <f t="shared" si="8"/>
        <v/>
      </c>
      <c r="U54" s="37" t="str">
        <f t="shared" si="17"/>
        <v/>
      </c>
      <c r="W54" s="31" t="str">
        <f t="shared" si="20"/>
        <v/>
      </c>
      <c r="X54" s="31" t="str">
        <f t="shared" si="21"/>
        <v/>
      </c>
      <c r="Y54" s="34">
        <f t="shared" si="18"/>
        <v>1</v>
      </c>
      <c r="Z54" s="31">
        <f t="shared" si="9"/>
        <v>0</v>
      </c>
      <c r="AA54" s="66">
        <f t="shared" si="10"/>
        <v>0</v>
      </c>
      <c r="AB54" s="6" t="str">
        <f t="shared" si="11"/>
        <v/>
      </c>
      <c r="AC54" s="48">
        <f t="shared" si="22"/>
        <v>0</v>
      </c>
    </row>
    <row r="55" spans="3:29" x14ac:dyDescent="0.25">
      <c r="C55" s="27" t="str">
        <f t="shared" si="12"/>
        <v/>
      </c>
      <c r="D55" s="30" t="str">
        <f t="shared" si="13"/>
        <v/>
      </c>
      <c r="E55" s="20" t="str">
        <f t="shared" si="0"/>
        <v/>
      </c>
      <c r="F55" s="20" t="str">
        <f t="shared" si="1"/>
        <v/>
      </c>
      <c r="G55" s="24" t="str">
        <f t="shared" si="14"/>
        <v/>
      </c>
      <c r="H55" s="21" t="str">
        <f t="shared" si="2"/>
        <v/>
      </c>
      <c r="I55" s="66" t="str">
        <f t="shared" si="3"/>
        <v/>
      </c>
      <c r="J55" s="66" t="str">
        <f t="shared" si="4"/>
        <v/>
      </c>
      <c r="K55" s="11" t="str">
        <f t="shared" si="5"/>
        <v/>
      </c>
      <c r="L55" s="23" t="str">
        <f t="shared" si="19"/>
        <v/>
      </c>
      <c r="M55" s="100"/>
      <c r="N55" s="23" t="str">
        <f t="shared" si="6"/>
        <v/>
      </c>
      <c r="O55" s="23" t="str">
        <f t="shared" si="15"/>
        <v/>
      </c>
      <c r="P55" s="23" t="str">
        <f t="shared" si="16"/>
        <v/>
      </c>
      <c r="Q55" s="19" t="str">
        <f t="shared" si="7"/>
        <v/>
      </c>
      <c r="R55" s="19"/>
      <c r="T55" s="37" t="str">
        <f t="shared" si="8"/>
        <v/>
      </c>
      <c r="U55" s="37" t="str">
        <f t="shared" si="17"/>
        <v/>
      </c>
      <c r="W55" s="31" t="str">
        <f t="shared" si="20"/>
        <v/>
      </c>
      <c r="X55" s="31" t="str">
        <f t="shared" si="21"/>
        <v/>
      </c>
      <c r="Y55" s="34">
        <f t="shared" si="18"/>
        <v>1</v>
      </c>
      <c r="Z55" s="31">
        <f t="shared" si="9"/>
        <v>0</v>
      </c>
      <c r="AA55" s="66">
        <f t="shared" si="10"/>
        <v>0</v>
      </c>
      <c r="AB55" s="6" t="str">
        <f t="shared" si="11"/>
        <v/>
      </c>
      <c r="AC55" s="48">
        <f t="shared" si="22"/>
        <v>0</v>
      </c>
    </row>
    <row r="56" spans="3:29" x14ac:dyDescent="0.25">
      <c r="C56" s="27" t="str">
        <f t="shared" si="12"/>
        <v/>
      </c>
      <c r="D56" s="30" t="str">
        <f t="shared" si="13"/>
        <v/>
      </c>
      <c r="E56" s="20" t="str">
        <f t="shared" si="0"/>
        <v/>
      </c>
      <c r="F56" s="20" t="str">
        <f t="shared" si="1"/>
        <v/>
      </c>
      <c r="G56" s="24" t="str">
        <f t="shared" si="14"/>
        <v/>
      </c>
      <c r="H56" s="21" t="str">
        <f t="shared" si="2"/>
        <v/>
      </c>
      <c r="I56" s="66" t="str">
        <f t="shared" si="3"/>
        <v/>
      </c>
      <c r="J56" s="66" t="str">
        <f t="shared" si="4"/>
        <v/>
      </c>
      <c r="K56" s="11" t="str">
        <f t="shared" si="5"/>
        <v/>
      </c>
      <c r="L56" s="23" t="str">
        <f t="shared" si="19"/>
        <v/>
      </c>
      <c r="M56" s="100"/>
      <c r="N56" s="23" t="str">
        <f t="shared" si="6"/>
        <v/>
      </c>
      <c r="O56" s="23" t="str">
        <f t="shared" si="15"/>
        <v/>
      </c>
      <c r="P56" s="23" t="str">
        <f t="shared" si="16"/>
        <v/>
      </c>
      <c r="Q56" s="19" t="str">
        <f t="shared" si="7"/>
        <v/>
      </c>
      <c r="R56" s="19"/>
      <c r="T56" s="37" t="str">
        <f t="shared" si="8"/>
        <v/>
      </c>
      <c r="U56" s="37" t="str">
        <f t="shared" si="17"/>
        <v/>
      </c>
      <c r="W56" s="31" t="str">
        <f t="shared" si="20"/>
        <v/>
      </c>
      <c r="X56" s="31" t="str">
        <f t="shared" si="21"/>
        <v/>
      </c>
      <c r="Y56" s="34">
        <f t="shared" si="18"/>
        <v>1</v>
      </c>
      <c r="Z56" s="31">
        <f t="shared" si="9"/>
        <v>0</v>
      </c>
      <c r="AA56" s="66">
        <f t="shared" si="10"/>
        <v>0</v>
      </c>
      <c r="AB56" s="6" t="str">
        <f t="shared" si="11"/>
        <v/>
      </c>
      <c r="AC56" s="48">
        <f t="shared" si="22"/>
        <v>0</v>
      </c>
    </row>
    <row r="57" spans="3:29" x14ac:dyDescent="0.25">
      <c r="C57" s="27" t="str">
        <f t="shared" si="12"/>
        <v/>
      </c>
      <c r="D57" s="30" t="str">
        <f t="shared" si="13"/>
        <v/>
      </c>
      <c r="E57" s="20" t="str">
        <f t="shared" si="0"/>
        <v/>
      </c>
      <c r="F57" s="20" t="str">
        <f t="shared" si="1"/>
        <v/>
      </c>
      <c r="G57" s="24" t="str">
        <f t="shared" si="14"/>
        <v/>
      </c>
      <c r="H57" s="21" t="str">
        <f t="shared" si="2"/>
        <v/>
      </c>
      <c r="I57" s="66" t="str">
        <f t="shared" si="3"/>
        <v/>
      </c>
      <c r="J57" s="66" t="str">
        <f t="shared" si="4"/>
        <v/>
      </c>
      <c r="K57" s="11" t="str">
        <f t="shared" si="5"/>
        <v/>
      </c>
      <c r="L57" s="23" t="str">
        <f t="shared" si="19"/>
        <v/>
      </c>
      <c r="M57" s="100"/>
      <c r="N57" s="23" t="str">
        <f t="shared" si="6"/>
        <v/>
      </c>
      <c r="O57" s="23" t="str">
        <f t="shared" si="15"/>
        <v/>
      </c>
      <c r="P57" s="23" t="str">
        <f t="shared" si="16"/>
        <v/>
      </c>
      <c r="Q57" s="19" t="str">
        <f t="shared" si="7"/>
        <v/>
      </c>
      <c r="R57" s="19"/>
      <c r="T57" s="37" t="str">
        <f t="shared" si="8"/>
        <v/>
      </c>
      <c r="U57" s="37" t="str">
        <f t="shared" si="17"/>
        <v/>
      </c>
      <c r="W57" s="31" t="str">
        <f t="shared" si="20"/>
        <v/>
      </c>
      <c r="X57" s="31" t="str">
        <f t="shared" si="21"/>
        <v/>
      </c>
      <c r="Y57" s="34">
        <f t="shared" si="18"/>
        <v>1</v>
      </c>
      <c r="Z57" s="31">
        <f t="shared" si="9"/>
        <v>0</v>
      </c>
      <c r="AA57" s="66">
        <f t="shared" si="10"/>
        <v>0</v>
      </c>
      <c r="AB57" s="6" t="str">
        <f t="shared" si="11"/>
        <v/>
      </c>
      <c r="AC57" s="48">
        <f>AC56+$M$17</f>
        <v>0</v>
      </c>
    </row>
    <row r="58" spans="3:29" x14ac:dyDescent="0.25">
      <c r="C58" s="27" t="str">
        <f t="shared" si="12"/>
        <v/>
      </c>
      <c r="D58" s="30" t="str">
        <f t="shared" si="13"/>
        <v/>
      </c>
      <c r="E58" s="20" t="str">
        <f t="shared" si="0"/>
        <v/>
      </c>
      <c r="F58" s="20" t="str">
        <f t="shared" si="1"/>
        <v/>
      </c>
      <c r="G58" s="24" t="str">
        <f t="shared" si="14"/>
        <v/>
      </c>
      <c r="H58" s="21" t="str">
        <f t="shared" si="2"/>
        <v/>
      </c>
      <c r="I58" s="66" t="str">
        <f t="shared" si="3"/>
        <v/>
      </c>
      <c r="J58" s="66" t="str">
        <f t="shared" si="4"/>
        <v/>
      </c>
      <c r="K58" s="11" t="str">
        <f t="shared" si="5"/>
        <v/>
      </c>
      <c r="L58" s="23" t="str">
        <f t="shared" si="19"/>
        <v/>
      </c>
      <c r="M58" s="100"/>
      <c r="N58" s="23" t="str">
        <f t="shared" si="6"/>
        <v/>
      </c>
      <c r="O58" s="23" t="str">
        <f t="shared" si="15"/>
        <v/>
      </c>
      <c r="P58" s="23" t="str">
        <f t="shared" si="16"/>
        <v/>
      </c>
      <c r="Q58" s="19" t="str">
        <f t="shared" si="7"/>
        <v/>
      </c>
      <c r="R58" s="19"/>
      <c r="T58" s="37" t="str">
        <f t="shared" si="8"/>
        <v/>
      </c>
      <c r="U58" s="37" t="str">
        <f t="shared" si="17"/>
        <v/>
      </c>
      <c r="W58" s="31" t="str">
        <f t="shared" si="20"/>
        <v/>
      </c>
      <c r="X58" s="31" t="str">
        <f t="shared" si="21"/>
        <v/>
      </c>
      <c r="Y58" s="34">
        <f t="shared" si="18"/>
        <v>1</v>
      </c>
      <c r="Z58" s="31">
        <f t="shared" si="9"/>
        <v>0</v>
      </c>
      <c r="AA58" s="66">
        <f t="shared" si="10"/>
        <v>0</v>
      </c>
      <c r="AB58" s="6" t="str">
        <f t="shared" si="11"/>
        <v/>
      </c>
      <c r="AC58" s="48">
        <f t="shared" si="22"/>
        <v>0</v>
      </c>
    </row>
    <row r="59" spans="3:29" x14ac:dyDescent="0.25">
      <c r="C59" s="27" t="str">
        <f t="shared" si="12"/>
        <v/>
      </c>
      <c r="D59" s="30" t="str">
        <f t="shared" si="13"/>
        <v/>
      </c>
      <c r="E59" s="20" t="str">
        <f t="shared" si="0"/>
        <v/>
      </c>
      <c r="F59" s="20" t="str">
        <f t="shared" si="1"/>
        <v/>
      </c>
      <c r="G59" s="24" t="str">
        <f t="shared" si="14"/>
        <v/>
      </c>
      <c r="H59" s="21" t="str">
        <f t="shared" si="2"/>
        <v/>
      </c>
      <c r="I59" s="66" t="str">
        <f t="shared" si="3"/>
        <v/>
      </c>
      <c r="J59" s="66" t="str">
        <f t="shared" si="4"/>
        <v/>
      </c>
      <c r="K59" s="11" t="str">
        <f t="shared" si="5"/>
        <v/>
      </c>
      <c r="L59" s="23" t="str">
        <f t="shared" si="19"/>
        <v/>
      </c>
      <c r="M59" s="100"/>
      <c r="N59" s="23" t="str">
        <f t="shared" si="6"/>
        <v/>
      </c>
      <c r="O59" s="23" t="str">
        <f t="shared" si="15"/>
        <v/>
      </c>
      <c r="P59" s="23" t="str">
        <f t="shared" si="16"/>
        <v/>
      </c>
      <c r="Q59" s="19" t="str">
        <f t="shared" si="7"/>
        <v/>
      </c>
      <c r="R59" s="19"/>
      <c r="T59" s="37" t="str">
        <f t="shared" si="8"/>
        <v/>
      </c>
      <c r="U59" s="37" t="str">
        <f t="shared" si="17"/>
        <v/>
      </c>
      <c r="W59" s="31" t="str">
        <f t="shared" si="20"/>
        <v/>
      </c>
      <c r="X59" s="31" t="str">
        <f t="shared" si="21"/>
        <v/>
      </c>
      <c r="Y59" s="34">
        <f t="shared" si="18"/>
        <v>1</v>
      </c>
      <c r="Z59" s="31">
        <f t="shared" si="9"/>
        <v>0</v>
      </c>
      <c r="AA59" s="66">
        <f t="shared" si="10"/>
        <v>0</v>
      </c>
      <c r="AB59" s="6" t="str">
        <f t="shared" si="11"/>
        <v/>
      </c>
      <c r="AC59" s="48">
        <f t="shared" si="22"/>
        <v>0</v>
      </c>
    </row>
    <row r="60" spans="3:29" x14ac:dyDescent="0.25">
      <c r="C60" s="27" t="str">
        <f t="shared" si="12"/>
        <v/>
      </c>
      <c r="D60" s="30" t="str">
        <f t="shared" si="13"/>
        <v/>
      </c>
      <c r="E60" s="20" t="str">
        <f t="shared" si="0"/>
        <v/>
      </c>
      <c r="F60" s="20" t="str">
        <f t="shared" si="1"/>
        <v/>
      </c>
      <c r="G60" s="24" t="str">
        <f t="shared" si="14"/>
        <v/>
      </c>
      <c r="H60" s="21" t="str">
        <f t="shared" si="2"/>
        <v/>
      </c>
      <c r="I60" s="66" t="str">
        <f t="shared" si="3"/>
        <v/>
      </c>
      <c r="J60" s="66" t="str">
        <f t="shared" si="4"/>
        <v/>
      </c>
      <c r="K60" s="11" t="str">
        <f t="shared" si="5"/>
        <v/>
      </c>
      <c r="L60" s="23" t="str">
        <f t="shared" si="19"/>
        <v/>
      </c>
      <c r="M60" s="100"/>
      <c r="N60" s="23" t="str">
        <f t="shared" si="6"/>
        <v/>
      </c>
      <c r="O60" s="23" t="str">
        <f t="shared" si="15"/>
        <v/>
      </c>
      <c r="P60" s="23" t="str">
        <f t="shared" si="16"/>
        <v/>
      </c>
      <c r="Q60" s="19" t="str">
        <f t="shared" si="7"/>
        <v/>
      </c>
      <c r="R60" s="19"/>
      <c r="T60" s="37" t="str">
        <f t="shared" si="8"/>
        <v/>
      </c>
      <c r="U60" s="37" t="str">
        <f t="shared" si="17"/>
        <v/>
      </c>
      <c r="W60" s="31" t="str">
        <f t="shared" si="20"/>
        <v/>
      </c>
      <c r="X60" s="31" t="str">
        <f t="shared" si="21"/>
        <v/>
      </c>
      <c r="Y60" s="34">
        <f t="shared" si="18"/>
        <v>1</v>
      </c>
      <c r="Z60" s="31">
        <f t="shared" si="9"/>
        <v>0</v>
      </c>
      <c r="AA60" s="66">
        <f t="shared" si="10"/>
        <v>0</v>
      </c>
      <c r="AB60" s="6" t="str">
        <f t="shared" si="11"/>
        <v/>
      </c>
      <c r="AC60" s="48">
        <f t="shared" si="22"/>
        <v>0</v>
      </c>
    </row>
    <row r="61" spans="3:29" x14ac:dyDescent="0.25">
      <c r="C61" s="27" t="str">
        <f t="shared" si="12"/>
        <v/>
      </c>
      <c r="D61" s="30" t="str">
        <f t="shared" si="13"/>
        <v/>
      </c>
      <c r="E61" s="20" t="str">
        <f t="shared" si="0"/>
        <v/>
      </c>
      <c r="F61" s="20" t="str">
        <f t="shared" si="1"/>
        <v/>
      </c>
      <c r="G61" s="24" t="str">
        <f t="shared" si="14"/>
        <v/>
      </c>
      <c r="H61" s="21" t="str">
        <f t="shared" si="2"/>
        <v/>
      </c>
      <c r="I61" s="66" t="str">
        <f t="shared" si="3"/>
        <v/>
      </c>
      <c r="J61" s="66" t="str">
        <f t="shared" si="4"/>
        <v/>
      </c>
      <c r="K61" s="11" t="str">
        <f t="shared" si="5"/>
        <v/>
      </c>
      <c r="L61" s="23" t="str">
        <f t="shared" si="19"/>
        <v/>
      </c>
      <c r="M61" s="100"/>
      <c r="N61" s="23" t="str">
        <f t="shared" si="6"/>
        <v/>
      </c>
      <c r="O61" s="23" t="str">
        <f t="shared" si="15"/>
        <v/>
      </c>
      <c r="P61" s="23" t="str">
        <f t="shared" si="16"/>
        <v/>
      </c>
      <c r="Q61" s="19" t="str">
        <f t="shared" si="7"/>
        <v/>
      </c>
      <c r="R61" s="19"/>
      <c r="T61" s="37" t="str">
        <f t="shared" si="8"/>
        <v/>
      </c>
      <c r="U61" s="37" t="str">
        <f t="shared" si="17"/>
        <v/>
      </c>
      <c r="W61" s="31" t="str">
        <f t="shared" si="20"/>
        <v/>
      </c>
      <c r="X61" s="31" t="str">
        <f t="shared" si="21"/>
        <v/>
      </c>
      <c r="Y61" s="34">
        <f t="shared" si="18"/>
        <v>1</v>
      </c>
      <c r="Z61" s="31">
        <f t="shared" si="9"/>
        <v>0</v>
      </c>
      <c r="AA61" s="66">
        <f t="shared" si="10"/>
        <v>0</v>
      </c>
      <c r="AB61" s="6" t="str">
        <f t="shared" si="11"/>
        <v/>
      </c>
      <c r="AC61" s="48">
        <f t="shared" si="22"/>
        <v>0</v>
      </c>
    </row>
    <row r="62" spans="3:29" x14ac:dyDescent="0.25">
      <c r="C62" s="27" t="str">
        <f t="shared" si="12"/>
        <v/>
      </c>
      <c r="D62" s="30" t="str">
        <f t="shared" si="13"/>
        <v/>
      </c>
      <c r="E62" s="20" t="str">
        <f t="shared" si="0"/>
        <v/>
      </c>
      <c r="F62" s="20" t="str">
        <f t="shared" si="1"/>
        <v/>
      </c>
      <c r="G62" s="24" t="str">
        <f t="shared" si="14"/>
        <v/>
      </c>
      <c r="H62" s="21" t="str">
        <f t="shared" si="2"/>
        <v/>
      </c>
      <c r="I62" s="66" t="str">
        <f t="shared" si="3"/>
        <v/>
      </c>
      <c r="J62" s="66" t="str">
        <f t="shared" si="4"/>
        <v/>
      </c>
      <c r="K62" s="11" t="str">
        <f t="shared" si="5"/>
        <v/>
      </c>
      <c r="L62" s="23" t="str">
        <f t="shared" si="19"/>
        <v/>
      </c>
      <c r="M62" s="100"/>
      <c r="N62" s="23" t="str">
        <f t="shared" si="6"/>
        <v/>
      </c>
      <c r="O62" s="23" t="str">
        <f t="shared" si="15"/>
        <v/>
      </c>
      <c r="P62" s="23" t="str">
        <f t="shared" si="16"/>
        <v/>
      </c>
      <c r="Q62" s="19" t="str">
        <f t="shared" si="7"/>
        <v/>
      </c>
      <c r="R62" s="19"/>
      <c r="T62" s="37" t="str">
        <f t="shared" si="8"/>
        <v/>
      </c>
      <c r="U62" s="37" t="str">
        <f t="shared" si="17"/>
        <v/>
      </c>
      <c r="W62" s="31" t="str">
        <f t="shared" si="20"/>
        <v/>
      </c>
      <c r="X62" s="31" t="str">
        <f t="shared" si="21"/>
        <v/>
      </c>
      <c r="Y62" s="34">
        <f t="shared" si="18"/>
        <v>1</v>
      </c>
      <c r="Z62" s="31">
        <f t="shared" si="9"/>
        <v>0</v>
      </c>
      <c r="AA62" s="66">
        <f t="shared" si="10"/>
        <v>0</v>
      </c>
      <c r="AB62" s="6" t="str">
        <f t="shared" si="11"/>
        <v/>
      </c>
      <c r="AC62" s="48">
        <f t="shared" si="22"/>
        <v>0</v>
      </c>
    </row>
    <row r="63" spans="3:29" x14ac:dyDescent="0.25">
      <c r="C63" s="27" t="str">
        <f t="shared" si="12"/>
        <v/>
      </c>
      <c r="D63" s="30" t="str">
        <f t="shared" si="13"/>
        <v/>
      </c>
      <c r="E63" s="20" t="str">
        <f t="shared" si="0"/>
        <v/>
      </c>
      <c r="F63" s="20" t="str">
        <f t="shared" si="1"/>
        <v/>
      </c>
      <c r="G63" s="24" t="str">
        <f t="shared" si="14"/>
        <v/>
      </c>
      <c r="H63" s="21" t="str">
        <f t="shared" si="2"/>
        <v/>
      </c>
      <c r="I63" s="66" t="str">
        <f t="shared" si="3"/>
        <v/>
      </c>
      <c r="J63" s="66" t="str">
        <f t="shared" si="4"/>
        <v/>
      </c>
      <c r="K63" s="11" t="str">
        <f t="shared" si="5"/>
        <v/>
      </c>
      <c r="L63" s="23" t="str">
        <f t="shared" si="19"/>
        <v/>
      </c>
      <c r="M63" s="100"/>
      <c r="N63" s="23" t="str">
        <f t="shared" si="6"/>
        <v/>
      </c>
      <c r="O63" s="23" t="str">
        <f t="shared" si="15"/>
        <v/>
      </c>
      <c r="P63" s="23" t="str">
        <f t="shared" si="16"/>
        <v/>
      </c>
      <c r="Q63" s="19" t="str">
        <f t="shared" si="7"/>
        <v/>
      </c>
      <c r="R63" s="19"/>
      <c r="T63" s="37" t="str">
        <f t="shared" si="8"/>
        <v/>
      </c>
      <c r="U63" s="37" t="str">
        <f t="shared" si="17"/>
        <v/>
      </c>
      <c r="W63" s="31" t="str">
        <f t="shared" si="20"/>
        <v/>
      </c>
      <c r="X63" s="31" t="str">
        <f t="shared" si="21"/>
        <v/>
      </c>
      <c r="Y63" s="34">
        <f t="shared" si="18"/>
        <v>1</v>
      </c>
      <c r="Z63" s="31">
        <f t="shared" si="9"/>
        <v>0</v>
      </c>
      <c r="AA63" s="66">
        <f t="shared" si="10"/>
        <v>0</v>
      </c>
      <c r="AB63" s="6" t="str">
        <f t="shared" si="11"/>
        <v/>
      </c>
      <c r="AC63" s="48">
        <f t="shared" si="22"/>
        <v>0</v>
      </c>
    </row>
    <row r="64" spans="3:29" x14ac:dyDescent="0.25">
      <c r="C64" s="27" t="str">
        <f t="shared" si="12"/>
        <v/>
      </c>
      <c r="D64" s="30" t="str">
        <f t="shared" si="13"/>
        <v/>
      </c>
      <c r="E64" s="20" t="str">
        <f t="shared" si="0"/>
        <v/>
      </c>
      <c r="F64" s="20" t="str">
        <f t="shared" si="1"/>
        <v/>
      </c>
      <c r="G64" s="24" t="str">
        <f t="shared" si="14"/>
        <v/>
      </c>
      <c r="H64" s="21" t="str">
        <f t="shared" si="2"/>
        <v/>
      </c>
      <c r="I64" s="66" t="str">
        <f t="shared" si="3"/>
        <v/>
      </c>
      <c r="J64" s="66" t="str">
        <f t="shared" si="4"/>
        <v/>
      </c>
      <c r="K64" s="11" t="str">
        <f t="shared" si="5"/>
        <v/>
      </c>
      <c r="L64" s="23" t="str">
        <f t="shared" si="19"/>
        <v/>
      </c>
      <c r="M64" s="100"/>
      <c r="N64" s="23" t="str">
        <f t="shared" si="6"/>
        <v/>
      </c>
      <c r="O64" s="23" t="str">
        <f t="shared" si="15"/>
        <v/>
      </c>
      <c r="P64" s="23" t="str">
        <f t="shared" si="16"/>
        <v/>
      </c>
      <c r="Q64" s="19" t="str">
        <f t="shared" si="7"/>
        <v/>
      </c>
      <c r="R64" s="19"/>
      <c r="T64" s="37" t="str">
        <f t="shared" si="8"/>
        <v/>
      </c>
      <c r="U64" s="37" t="str">
        <f t="shared" si="17"/>
        <v/>
      </c>
      <c r="W64" s="31" t="str">
        <f t="shared" si="20"/>
        <v/>
      </c>
      <c r="X64" s="31" t="str">
        <f t="shared" si="21"/>
        <v/>
      </c>
      <c r="Y64" s="34">
        <f t="shared" si="18"/>
        <v>1</v>
      </c>
      <c r="Z64" s="31">
        <f t="shared" si="9"/>
        <v>0</v>
      </c>
      <c r="AA64" s="66">
        <f t="shared" si="10"/>
        <v>0</v>
      </c>
      <c r="AB64" s="6" t="str">
        <f t="shared" si="11"/>
        <v/>
      </c>
      <c r="AC64" s="48">
        <f t="shared" si="22"/>
        <v>0</v>
      </c>
    </row>
    <row r="65" spans="3:29" x14ac:dyDescent="0.25">
      <c r="C65" s="27" t="str">
        <f t="shared" si="12"/>
        <v/>
      </c>
      <c r="D65" s="30" t="str">
        <f t="shared" si="13"/>
        <v/>
      </c>
      <c r="E65" s="20" t="str">
        <f t="shared" si="0"/>
        <v/>
      </c>
      <c r="F65" s="20" t="str">
        <f t="shared" si="1"/>
        <v/>
      </c>
      <c r="G65" s="24" t="str">
        <f t="shared" si="14"/>
        <v/>
      </c>
      <c r="H65" s="21" t="str">
        <f t="shared" si="2"/>
        <v/>
      </c>
      <c r="I65" s="66" t="str">
        <f t="shared" si="3"/>
        <v/>
      </c>
      <c r="J65" s="66" t="str">
        <f t="shared" si="4"/>
        <v/>
      </c>
      <c r="K65" s="11" t="str">
        <f t="shared" si="5"/>
        <v/>
      </c>
      <c r="L65" s="23" t="str">
        <f t="shared" si="19"/>
        <v/>
      </c>
      <c r="M65" s="100"/>
      <c r="N65" s="23" t="str">
        <f t="shared" si="6"/>
        <v/>
      </c>
      <c r="O65" s="23" t="str">
        <f t="shared" si="15"/>
        <v/>
      </c>
      <c r="P65" s="23" t="str">
        <f t="shared" si="16"/>
        <v/>
      </c>
      <c r="Q65" s="19" t="str">
        <f t="shared" si="7"/>
        <v/>
      </c>
      <c r="R65" s="19"/>
      <c r="T65" s="37" t="str">
        <f t="shared" si="8"/>
        <v/>
      </c>
      <c r="U65" s="37" t="str">
        <f t="shared" si="17"/>
        <v/>
      </c>
      <c r="W65" s="31" t="str">
        <f t="shared" si="20"/>
        <v/>
      </c>
      <c r="X65" s="31" t="str">
        <f t="shared" si="21"/>
        <v/>
      </c>
      <c r="Y65" s="34">
        <f t="shared" si="18"/>
        <v>1</v>
      </c>
      <c r="Z65" s="31">
        <f t="shared" si="9"/>
        <v>0</v>
      </c>
      <c r="AA65" s="66">
        <f t="shared" si="10"/>
        <v>0</v>
      </c>
      <c r="AB65" s="6" t="str">
        <f t="shared" si="11"/>
        <v/>
      </c>
      <c r="AC65" s="48">
        <f t="shared" si="22"/>
        <v>0</v>
      </c>
    </row>
    <row r="66" spans="3:29" x14ac:dyDescent="0.25">
      <c r="C66" s="27" t="str">
        <f t="shared" si="12"/>
        <v/>
      </c>
      <c r="D66" s="30" t="str">
        <f t="shared" si="13"/>
        <v/>
      </c>
      <c r="E66" s="20" t="str">
        <f t="shared" si="0"/>
        <v/>
      </c>
      <c r="F66" s="20" t="str">
        <f t="shared" si="1"/>
        <v/>
      </c>
      <c r="G66" s="24" t="str">
        <f t="shared" si="14"/>
        <v/>
      </c>
      <c r="H66" s="21" t="str">
        <f t="shared" si="2"/>
        <v/>
      </c>
      <c r="I66" s="66" t="str">
        <f t="shared" si="3"/>
        <v/>
      </c>
      <c r="J66" s="66" t="str">
        <f t="shared" si="4"/>
        <v/>
      </c>
      <c r="K66" s="11" t="str">
        <f t="shared" si="5"/>
        <v/>
      </c>
      <c r="L66" s="23" t="str">
        <f t="shared" si="19"/>
        <v/>
      </c>
      <c r="M66" s="100"/>
      <c r="N66" s="23" t="str">
        <f t="shared" si="6"/>
        <v/>
      </c>
      <c r="O66" s="23" t="str">
        <f t="shared" si="15"/>
        <v/>
      </c>
      <c r="P66" s="23" t="str">
        <f t="shared" si="16"/>
        <v/>
      </c>
      <c r="Q66" s="19" t="str">
        <f t="shared" si="7"/>
        <v/>
      </c>
      <c r="R66" s="19"/>
      <c r="T66" s="37" t="str">
        <f t="shared" si="8"/>
        <v/>
      </c>
      <c r="U66" s="37" t="str">
        <f t="shared" si="17"/>
        <v/>
      </c>
      <c r="W66" s="31" t="str">
        <f t="shared" si="20"/>
        <v/>
      </c>
      <c r="X66" s="31" t="str">
        <f t="shared" si="21"/>
        <v/>
      </c>
      <c r="Y66" s="34">
        <f t="shared" si="18"/>
        <v>1</v>
      </c>
      <c r="Z66" s="31">
        <f t="shared" si="9"/>
        <v>0</v>
      </c>
      <c r="AA66" s="66">
        <f t="shared" si="10"/>
        <v>0</v>
      </c>
      <c r="AB66" s="6" t="str">
        <f t="shared" si="11"/>
        <v/>
      </c>
      <c r="AC66" s="48">
        <f t="shared" si="22"/>
        <v>0</v>
      </c>
    </row>
    <row r="67" spans="3:29" x14ac:dyDescent="0.25">
      <c r="C67" s="27" t="str">
        <f t="shared" si="12"/>
        <v/>
      </c>
      <c r="D67" s="30" t="str">
        <f t="shared" si="13"/>
        <v/>
      </c>
      <c r="E67" s="20" t="str">
        <f t="shared" si="0"/>
        <v/>
      </c>
      <c r="F67" s="20" t="str">
        <f t="shared" si="1"/>
        <v/>
      </c>
      <c r="G67" s="24" t="str">
        <f t="shared" si="14"/>
        <v/>
      </c>
      <c r="H67" s="21" t="str">
        <f t="shared" si="2"/>
        <v/>
      </c>
      <c r="I67" s="66" t="str">
        <f t="shared" si="3"/>
        <v/>
      </c>
      <c r="J67" s="66" t="str">
        <f t="shared" si="4"/>
        <v/>
      </c>
      <c r="K67" s="11" t="str">
        <f t="shared" si="5"/>
        <v/>
      </c>
      <c r="L67" s="23" t="str">
        <f t="shared" si="19"/>
        <v/>
      </c>
      <c r="M67" s="100"/>
      <c r="N67" s="23" t="str">
        <f t="shared" si="6"/>
        <v/>
      </c>
      <c r="O67" s="23" t="str">
        <f t="shared" si="15"/>
        <v/>
      </c>
      <c r="P67" s="23" t="str">
        <f t="shared" si="16"/>
        <v/>
      </c>
      <c r="Q67" s="19" t="str">
        <f t="shared" si="7"/>
        <v/>
      </c>
      <c r="R67" s="19"/>
      <c r="T67" s="37" t="str">
        <f t="shared" si="8"/>
        <v/>
      </c>
      <c r="U67" s="37" t="str">
        <f t="shared" si="17"/>
        <v/>
      </c>
      <c r="W67" s="31" t="str">
        <f t="shared" si="20"/>
        <v/>
      </c>
      <c r="X67" s="31" t="str">
        <f t="shared" si="21"/>
        <v/>
      </c>
      <c r="Y67" s="34">
        <f t="shared" si="18"/>
        <v>1</v>
      </c>
      <c r="Z67" s="31">
        <f t="shared" si="9"/>
        <v>0</v>
      </c>
      <c r="AA67" s="66">
        <f t="shared" si="10"/>
        <v>0</v>
      </c>
      <c r="AB67" s="6" t="str">
        <f t="shared" si="11"/>
        <v/>
      </c>
      <c r="AC67" s="48">
        <f t="shared" si="22"/>
        <v>0</v>
      </c>
    </row>
    <row r="68" spans="3:29" x14ac:dyDescent="0.25">
      <c r="C68" s="27" t="str">
        <f t="shared" si="12"/>
        <v/>
      </c>
      <c r="D68" s="30" t="str">
        <f t="shared" si="13"/>
        <v/>
      </c>
      <c r="E68" s="20" t="str">
        <f t="shared" si="0"/>
        <v/>
      </c>
      <c r="F68" s="20" t="str">
        <f t="shared" si="1"/>
        <v/>
      </c>
      <c r="G68" s="24" t="str">
        <f t="shared" si="14"/>
        <v/>
      </c>
      <c r="H68" s="21" t="str">
        <f t="shared" si="2"/>
        <v/>
      </c>
      <c r="I68" s="66" t="str">
        <f t="shared" si="3"/>
        <v/>
      </c>
      <c r="J68" s="66" t="str">
        <f t="shared" si="4"/>
        <v/>
      </c>
      <c r="K68" s="11" t="str">
        <f t="shared" si="5"/>
        <v/>
      </c>
      <c r="L68" s="23" t="str">
        <f t="shared" si="19"/>
        <v/>
      </c>
      <c r="M68" s="100"/>
      <c r="N68" s="23" t="str">
        <f t="shared" si="6"/>
        <v/>
      </c>
      <c r="O68" s="23" t="str">
        <f t="shared" si="15"/>
        <v/>
      </c>
      <c r="P68" s="23" t="str">
        <f t="shared" si="16"/>
        <v/>
      </c>
      <c r="Q68" s="19" t="str">
        <f t="shared" si="7"/>
        <v/>
      </c>
      <c r="R68" s="19"/>
      <c r="T68" s="37" t="str">
        <f t="shared" si="8"/>
        <v/>
      </c>
      <c r="U68" s="37" t="str">
        <f t="shared" si="17"/>
        <v/>
      </c>
      <c r="W68" s="31" t="str">
        <f t="shared" si="20"/>
        <v/>
      </c>
      <c r="X68" s="31" t="str">
        <f t="shared" si="21"/>
        <v/>
      </c>
      <c r="Y68" s="34">
        <f t="shared" si="18"/>
        <v>1</v>
      </c>
      <c r="Z68" s="31">
        <f t="shared" si="9"/>
        <v>0</v>
      </c>
      <c r="AA68" s="66">
        <f t="shared" si="10"/>
        <v>0</v>
      </c>
      <c r="AB68" s="6" t="str">
        <f t="shared" si="11"/>
        <v/>
      </c>
      <c r="AC68" s="48">
        <f t="shared" si="22"/>
        <v>0</v>
      </c>
    </row>
    <row r="69" spans="3:29" x14ac:dyDescent="0.25">
      <c r="C69" s="27" t="str">
        <f t="shared" si="12"/>
        <v/>
      </c>
      <c r="D69" s="30" t="str">
        <f t="shared" si="13"/>
        <v/>
      </c>
      <c r="E69" s="20" t="str">
        <f t="shared" si="0"/>
        <v/>
      </c>
      <c r="F69" s="20" t="str">
        <f t="shared" si="1"/>
        <v/>
      </c>
      <c r="G69" s="24" t="str">
        <f t="shared" si="14"/>
        <v/>
      </c>
      <c r="H69" s="21" t="str">
        <f t="shared" si="2"/>
        <v/>
      </c>
      <c r="I69" s="66" t="str">
        <f t="shared" si="3"/>
        <v/>
      </c>
      <c r="J69" s="66" t="str">
        <f t="shared" si="4"/>
        <v/>
      </c>
      <c r="K69" s="11" t="str">
        <f t="shared" si="5"/>
        <v/>
      </c>
      <c r="L69" s="23" t="str">
        <f t="shared" si="19"/>
        <v/>
      </c>
      <c r="M69" s="100"/>
      <c r="N69" s="23" t="str">
        <f t="shared" si="6"/>
        <v/>
      </c>
      <c r="O69" s="23" t="str">
        <f t="shared" si="15"/>
        <v/>
      </c>
      <c r="P69" s="23" t="str">
        <f t="shared" si="16"/>
        <v/>
      </c>
      <c r="Q69" s="19" t="str">
        <f t="shared" si="7"/>
        <v/>
      </c>
      <c r="R69" s="19"/>
      <c r="T69" s="37" t="str">
        <f t="shared" si="8"/>
        <v/>
      </c>
      <c r="U69" s="37" t="str">
        <f t="shared" si="17"/>
        <v/>
      </c>
      <c r="W69" s="31" t="str">
        <f t="shared" si="20"/>
        <v/>
      </c>
      <c r="X69" s="31" t="str">
        <f t="shared" si="21"/>
        <v/>
      </c>
      <c r="Y69" s="34">
        <f t="shared" si="18"/>
        <v>1</v>
      </c>
      <c r="Z69" s="31">
        <f t="shared" si="9"/>
        <v>0</v>
      </c>
      <c r="AA69" s="66">
        <f t="shared" si="10"/>
        <v>0</v>
      </c>
      <c r="AB69" s="6" t="str">
        <f t="shared" si="11"/>
        <v/>
      </c>
      <c r="AC69" s="48">
        <f>AC68+$M$17</f>
        <v>0</v>
      </c>
    </row>
    <row r="70" spans="3:29" x14ac:dyDescent="0.25">
      <c r="C70" s="27" t="str">
        <f t="shared" si="12"/>
        <v/>
      </c>
      <c r="D70" s="30" t="str">
        <f t="shared" si="13"/>
        <v/>
      </c>
      <c r="E70" s="20" t="str">
        <f t="shared" si="0"/>
        <v/>
      </c>
      <c r="F70" s="20" t="str">
        <f t="shared" si="1"/>
        <v/>
      </c>
      <c r="G70" s="24" t="str">
        <f t="shared" si="14"/>
        <v/>
      </c>
      <c r="H70" s="21" t="str">
        <f t="shared" si="2"/>
        <v/>
      </c>
      <c r="I70" s="66" t="str">
        <f t="shared" si="3"/>
        <v/>
      </c>
      <c r="J70" s="66" t="str">
        <f t="shared" si="4"/>
        <v/>
      </c>
      <c r="K70" s="11" t="str">
        <f t="shared" si="5"/>
        <v/>
      </c>
      <c r="L70" s="23" t="str">
        <f t="shared" si="19"/>
        <v/>
      </c>
      <c r="M70" s="100"/>
      <c r="N70" s="23" t="str">
        <f t="shared" si="6"/>
        <v/>
      </c>
      <c r="O70" s="23" t="str">
        <f t="shared" si="15"/>
        <v/>
      </c>
      <c r="P70" s="23" t="str">
        <f t="shared" si="16"/>
        <v/>
      </c>
      <c r="Q70" s="19" t="str">
        <f t="shared" si="7"/>
        <v/>
      </c>
      <c r="R70" s="19"/>
      <c r="T70" s="37" t="str">
        <f t="shared" si="8"/>
        <v/>
      </c>
      <c r="U70" s="37" t="str">
        <f t="shared" si="17"/>
        <v/>
      </c>
      <c r="W70" s="31" t="str">
        <f t="shared" si="20"/>
        <v/>
      </c>
      <c r="X70" s="31" t="str">
        <f t="shared" si="21"/>
        <v/>
      </c>
      <c r="Y70" s="34">
        <f t="shared" si="18"/>
        <v>1</v>
      </c>
      <c r="Z70" s="31">
        <f t="shared" si="9"/>
        <v>0</v>
      </c>
      <c r="AA70" s="66">
        <f t="shared" si="10"/>
        <v>0</v>
      </c>
      <c r="AB70" s="6" t="str">
        <f t="shared" si="11"/>
        <v/>
      </c>
      <c r="AC70" s="48">
        <f t="shared" si="22"/>
        <v>0</v>
      </c>
    </row>
    <row r="71" spans="3:29" x14ac:dyDescent="0.25">
      <c r="C71" s="27" t="str">
        <f t="shared" si="12"/>
        <v/>
      </c>
      <c r="D71" s="30" t="str">
        <f t="shared" si="13"/>
        <v/>
      </c>
      <c r="E71" s="20" t="str">
        <f t="shared" si="0"/>
        <v/>
      </c>
      <c r="F71" s="20" t="str">
        <f t="shared" si="1"/>
        <v/>
      </c>
      <c r="G71" s="24" t="str">
        <f t="shared" si="14"/>
        <v/>
      </c>
      <c r="H71" s="21" t="str">
        <f t="shared" si="2"/>
        <v/>
      </c>
      <c r="I71" s="66" t="str">
        <f t="shared" si="3"/>
        <v/>
      </c>
      <c r="J71" s="66" t="str">
        <f t="shared" si="4"/>
        <v/>
      </c>
      <c r="K71" s="11" t="str">
        <f t="shared" si="5"/>
        <v/>
      </c>
      <c r="L71" s="23" t="str">
        <f t="shared" si="19"/>
        <v/>
      </c>
      <c r="M71" s="100"/>
      <c r="N71" s="23" t="str">
        <f t="shared" si="6"/>
        <v/>
      </c>
      <c r="O71" s="23" t="str">
        <f t="shared" si="15"/>
        <v/>
      </c>
      <c r="P71" s="23" t="str">
        <f t="shared" si="16"/>
        <v/>
      </c>
      <c r="Q71" s="19" t="str">
        <f t="shared" si="7"/>
        <v/>
      </c>
      <c r="R71" s="19"/>
      <c r="T71" s="37" t="str">
        <f t="shared" si="8"/>
        <v/>
      </c>
      <c r="U71" s="37" t="str">
        <f t="shared" si="17"/>
        <v/>
      </c>
      <c r="W71" s="31" t="str">
        <f t="shared" si="20"/>
        <v/>
      </c>
      <c r="X71" s="31" t="str">
        <f t="shared" si="21"/>
        <v/>
      </c>
      <c r="Y71" s="34">
        <f t="shared" si="18"/>
        <v>1</v>
      </c>
      <c r="Z71" s="31">
        <f t="shared" si="9"/>
        <v>0</v>
      </c>
      <c r="AA71" s="66">
        <f t="shared" si="10"/>
        <v>0</v>
      </c>
      <c r="AB71" s="6" t="str">
        <f t="shared" si="11"/>
        <v/>
      </c>
      <c r="AC71" s="48">
        <f t="shared" si="22"/>
        <v>0</v>
      </c>
    </row>
    <row r="72" spans="3:29" x14ac:dyDescent="0.25">
      <c r="C72" s="27" t="str">
        <f t="shared" si="12"/>
        <v/>
      </c>
      <c r="D72" s="30" t="str">
        <f t="shared" si="13"/>
        <v/>
      </c>
      <c r="E72" s="20" t="str">
        <f t="shared" si="0"/>
        <v/>
      </c>
      <c r="F72" s="20" t="str">
        <f t="shared" si="1"/>
        <v/>
      </c>
      <c r="G72" s="24" t="str">
        <f t="shared" si="14"/>
        <v/>
      </c>
      <c r="H72" s="21" t="str">
        <f t="shared" si="2"/>
        <v/>
      </c>
      <c r="I72" s="66" t="str">
        <f t="shared" si="3"/>
        <v/>
      </c>
      <c r="J72" s="66" t="str">
        <f t="shared" si="4"/>
        <v/>
      </c>
      <c r="K72" s="11" t="str">
        <f t="shared" si="5"/>
        <v/>
      </c>
      <c r="L72" s="23" t="str">
        <f t="shared" si="19"/>
        <v/>
      </c>
      <c r="M72" s="100"/>
      <c r="N72" s="23" t="str">
        <f t="shared" si="6"/>
        <v/>
      </c>
      <c r="O72" s="23" t="str">
        <f t="shared" si="15"/>
        <v/>
      </c>
      <c r="P72" s="23" t="str">
        <f t="shared" si="16"/>
        <v/>
      </c>
      <c r="Q72" s="19" t="str">
        <f t="shared" si="7"/>
        <v/>
      </c>
      <c r="R72" s="19"/>
      <c r="T72" s="37" t="str">
        <f t="shared" si="8"/>
        <v/>
      </c>
      <c r="U72" s="37" t="str">
        <f t="shared" si="17"/>
        <v/>
      </c>
      <c r="W72" s="31" t="str">
        <f t="shared" si="20"/>
        <v/>
      </c>
      <c r="X72" s="31" t="str">
        <f t="shared" si="21"/>
        <v/>
      </c>
      <c r="Y72" s="34">
        <f t="shared" si="18"/>
        <v>1</v>
      </c>
      <c r="Z72" s="31">
        <f t="shared" si="9"/>
        <v>0</v>
      </c>
      <c r="AA72" s="66">
        <f t="shared" si="10"/>
        <v>0</v>
      </c>
      <c r="AB72" s="6" t="str">
        <f t="shared" si="11"/>
        <v/>
      </c>
      <c r="AC72" s="48">
        <f t="shared" si="22"/>
        <v>0</v>
      </c>
    </row>
    <row r="73" spans="3:29" x14ac:dyDescent="0.25">
      <c r="C73" s="27" t="str">
        <f t="shared" si="12"/>
        <v/>
      </c>
      <c r="D73" s="30" t="str">
        <f t="shared" si="13"/>
        <v/>
      </c>
      <c r="E73" s="20" t="str">
        <f t="shared" si="0"/>
        <v/>
      </c>
      <c r="F73" s="20" t="str">
        <f t="shared" si="1"/>
        <v/>
      </c>
      <c r="G73" s="24" t="str">
        <f t="shared" si="14"/>
        <v/>
      </c>
      <c r="H73" s="21" t="str">
        <f t="shared" si="2"/>
        <v/>
      </c>
      <c r="I73" s="66" t="str">
        <f t="shared" si="3"/>
        <v/>
      </c>
      <c r="J73" s="66" t="str">
        <f t="shared" si="4"/>
        <v/>
      </c>
      <c r="K73" s="11" t="str">
        <f t="shared" si="5"/>
        <v/>
      </c>
      <c r="L73" s="23" t="str">
        <f t="shared" si="19"/>
        <v/>
      </c>
      <c r="M73" s="100"/>
      <c r="N73" s="23" t="str">
        <f t="shared" si="6"/>
        <v/>
      </c>
      <c r="O73" s="23" t="str">
        <f t="shared" si="15"/>
        <v/>
      </c>
      <c r="P73" s="23" t="str">
        <f t="shared" si="16"/>
        <v/>
      </c>
      <c r="Q73" s="19" t="str">
        <f t="shared" si="7"/>
        <v/>
      </c>
      <c r="R73" s="19"/>
      <c r="T73" s="37" t="str">
        <f t="shared" si="8"/>
        <v/>
      </c>
      <c r="U73" s="37" t="str">
        <f t="shared" si="17"/>
        <v/>
      </c>
      <c r="W73" s="31" t="str">
        <f t="shared" si="20"/>
        <v/>
      </c>
      <c r="X73" s="31" t="str">
        <f t="shared" si="21"/>
        <v/>
      </c>
      <c r="Y73" s="34">
        <f t="shared" si="18"/>
        <v>1</v>
      </c>
      <c r="Z73" s="31">
        <f t="shared" si="9"/>
        <v>0</v>
      </c>
      <c r="AA73" s="66">
        <f t="shared" si="10"/>
        <v>0</v>
      </c>
      <c r="AB73" s="6" t="str">
        <f t="shared" si="11"/>
        <v/>
      </c>
      <c r="AC73" s="48">
        <f t="shared" si="22"/>
        <v>0</v>
      </c>
    </row>
    <row r="74" spans="3:29" x14ac:dyDescent="0.25">
      <c r="C74" s="27" t="str">
        <f t="shared" si="12"/>
        <v/>
      </c>
      <c r="D74" s="30" t="str">
        <f t="shared" si="13"/>
        <v/>
      </c>
      <c r="E74" s="20" t="str">
        <f t="shared" si="0"/>
        <v/>
      </c>
      <c r="F74" s="20" t="str">
        <f t="shared" si="1"/>
        <v/>
      </c>
      <c r="G74" s="24" t="str">
        <f t="shared" si="14"/>
        <v/>
      </c>
      <c r="H74" s="21" t="str">
        <f t="shared" si="2"/>
        <v/>
      </c>
      <c r="I74" s="66" t="str">
        <f t="shared" si="3"/>
        <v/>
      </c>
      <c r="J74" s="66" t="str">
        <f t="shared" si="4"/>
        <v/>
      </c>
      <c r="K74" s="11" t="str">
        <f t="shared" si="5"/>
        <v/>
      </c>
      <c r="L74" s="23" t="str">
        <f t="shared" si="19"/>
        <v/>
      </c>
      <c r="M74" s="100"/>
      <c r="N74" s="23" t="str">
        <f t="shared" si="6"/>
        <v/>
      </c>
      <c r="O74" s="23" t="str">
        <f t="shared" si="15"/>
        <v/>
      </c>
      <c r="P74" s="23" t="str">
        <f t="shared" si="16"/>
        <v/>
      </c>
      <c r="Q74" s="19" t="str">
        <f t="shared" si="7"/>
        <v/>
      </c>
      <c r="R74" s="19"/>
      <c r="T74" s="37" t="str">
        <f t="shared" si="8"/>
        <v/>
      </c>
      <c r="U74" s="37" t="str">
        <f t="shared" si="17"/>
        <v/>
      </c>
      <c r="W74" s="31" t="str">
        <f t="shared" si="20"/>
        <v/>
      </c>
      <c r="X74" s="31" t="str">
        <f t="shared" si="21"/>
        <v/>
      </c>
      <c r="Y74" s="34">
        <f t="shared" si="18"/>
        <v>1</v>
      </c>
      <c r="Z74" s="31">
        <f t="shared" si="9"/>
        <v>0</v>
      </c>
      <c r="AA74" s="66">
        <f t="shared" si="10"/>
        <v>0</v>
      </c>
      <c r="AB74" s="6" t="str">
        <f t="shared" si="11"/>
        <v/>
      </c>
      <c r="AC74" s="48">
        <f t="shared" si="22"/>
        <v>0</v>
      </c>
    </row>
    <row r="75" spans="3:29" x14ac:dyDescent="0.25">
      <c r="C75" s="27" t="str">
        <f t="shared" si="12"/>
        <v/>
      </c>
      <c r="D75" s="30" t="str">
        <f t="shared" si="13"/>
        <v/>
      </c>
      <c r="E75" s="20" t="str">
        <f t="shared" si="0"/>
        <v/>
      </c>
      <c r="F75" s="20" t="str">
        <f t="shared" si="1"/>
        <v/>
      </c>
      <c r="G75" s="24" t="str">
        <f t="shared" si="14"/>
        <v/>
      </c>
      <c r="H75" s="21" t="str">
        <f t="shared" si="2"/>
        <v/>
      </c>
      <c r="I75" s="66" t="str">
        <f t="shared" si="3"/>
        <v/>
      </c>
      <c r="J75" s="66" t="str">
        <f t="shared" si="4"/>
        <v/>
      </c>
      <c r="K75" s="11" t="str">
        <f t="shared" si="5"/>
        <v/>
      </c>
      <c r="L75" s="23" t="str">
        <f t="shared" si="19"/>
        <v/>
      </c>
      <c r="M75" s="100"/>
      <c r="N75" s="23" t="str">
        <f t="shared" si="6"/>
        <v/>
      </c>
      <c r="O75" s="23" t="str">
        <f t="shared" si="15"/>
        <v/>
      </c>
      <c r="P75" s="23" t="str">
        <f t="shared" si="16"/>
        <v/>
      </c>
      <c r="Q75" s="19" t="str">
        <f t="shared" si="7"/>
        <v/>
      </c>
      <c r="R75" s="19"/>
      <c r="T75" s="37" t="str">
        <f t="shared" si="8"/>
        <v/>
      </c>
      <c r="U75" s="37" t="str">
        <f t="shared" si="17"/>
        <v/>
      </c>
      <c r="W75" s="31" t="str">
        <f t="shared" si="20"/>
        <v/>
      </c>
      <c r="X75" s="31" t="str">
        <f t="shared" si="21"/>
        <v/>
      </c>
      <c r="Y75" s="34">
        <f t="shared" si="18"/>
        <v>1</v>
      </c>
      <c r="Z75" s="31">
        <f t="shared" si="9"/>
        <v>0</v>
      </c>
      <c r="AA75" s="66">
        <f t="shared" si="10"/>
        <v>0</v>
      </c>
      <c r="AB75" s="6" t="str">
        <f t="shared" si="11"/>
        <v/>
      </c>
      <c r="AC75" s="48">
        <f t="shared" si="22"/>
        <v>0</v>
      </c>
    </row>
    <row r="76" spans="3:29" x14ac:dyDescent="0.25">
      <c r="C76" s="27" t="str">
        <f t="shared" si="12"/>
        <v/>
      </c>
      <c r="D76" s="30" t="str">
        <f t="shared" si="13"/>
        <v/>
      </c>
      <c r="E76" s="20" t="str">
        <f t="shared" si="0"/>
        <v/>
      </c>
      <c r="F76" s="20" t="str">
        <f t="shared" si="1"/>
        <v/>
      </c>
      <c r="G76" s="24" t="str">
        <f t="shared" si="14"/>
        <v/>
      </c>
      <c r="H76" s="21" t="str">
        <f t="shared" si="2"/>
        <v/>
      </c>
      <c r="I76" s="66" t="str">
        <f t="shared" si="3"/>
        <v/>
      </c>
      <c r="J76" s="66" t="str">
        <f t="shared" si="4"/>
        <v/>
      </c>
      <c r="K76" s="11" t="str">
        <f t="shared" si="5"/>
        <v/>
      </c>
      <c r="L76" s="23" t="str">
        <f t="shared" si="19"/>
        <v/>
      </c>
      <c r="M76" s="100"/>
      <c r="N76" s="23" t="str">
        <f t="shared" si="6"/>
        <v/>
      </c>
      <c r="O76" s="23" t="str">
        <f t="shared" si="15"/>
        <v/>
      </c>
      <c r="P76" s="23" t="str">
        <f t="shared" si="16"/>
        <v/>
      </c>
      <c r="Q76" s="19" t="str">
        <f t="shared" si="7"/>
        <v/>
      </c>
      <c r="R76" s="19"/>
      <c r="T76" s="37" t="str">
        <f t="shared" si="8"/>
        <v/>
      </c>
      <c r="U76" s="37" t="str">
        <f t="shared" si="17"/>
        <v/>
      </c>
      <c r="W76" s="31" t="str">
        <f t="shared" si="20"/>
        <v/>
      </c>
      <c r="X76" s="31" t="str">
        <f t="shared" si="21"/>
        <v/>
      </c>
      <c r="Y76" s="34">
        <f t="shared" si="18"/>
        <v>1</v>
      </c>
      <c r="Z76" s="31">
        <f t="shared" si="9"/>
        <v>0</v>
      </c>
      <c r="AA76" s="66">
        <f t="shared" si="10"/>
        <v>0</v>
      </c>
      <c r="AB76" s="6" t="str">
        <f t="shared" si="11"/>
        <v/>
      </c>
      <c r="AC76" s="48">
        <f t="shared" si="22"/>
        <v>0</v>
      </c>
    </row>
    <row r="77" spans="3:29" x14ac:dyDescent="0.25">
      <c r="C77" s="27" t="str">
        <f t="shared" si="12"/>
        <v/>
      </c>
      <c r="D77" s="30" t="str">
        <f t="shared" si="13"/>
        <v/>
      </c>
      <c r="E77" s="20" t="str">
        <f t="shared" si="0"/>
        <v/>
      </c>
      <c r="F77" s="20" t="str">
        <f t="shared" si="1"/>
        <v/>
      </c>
      <c r="G77" s="24" t="str">
        <f t="shared" si="14"/>
        <v/>
      </c>
      <c r="H77" s="21" t="str">
        <f t="shared" si="2"/>
        <v/>
      </c>
      <c r="I77" s="66" t="str">
        <f t="shared" si="3"/>
        <v/>
      </c>
      <c r="J77" s="66" t="str">
        <f t="shared" si="4"/>
        <v/>
      </c>
      <c r="K77" s="11" t="str">
        <f t="shared" si="5"/>
        <v/>
      </c>
      <c r="L77" s="23" t="str">
        <f t="shared" si="19"/>
        <v/>
      </c>
      <c r="M77" s="100"/>
      <c r="N77" s="23" t="str">
        <f t="shared" si="6"/>
        <v/>
      </c>
      <c r="O77" s="23" t="str">
        <f t="shared" si="15"/>
        <v/>
      </c>
      <c r="P77" s="23" t="str">
        <f t="shared" si="16"/>
        <v/>
      </c>
      <c r="Q77" s="19" t="str">
        <f t="shared" si="7"/>
        <v/>
      </c>
      <c r="R77" s="19"/>
      <c r="T77" s="37" t="str">
        <f t="shared" si="8"/>
        <v/>
      </c>
      <c r="U77" s="37" t="str">
        <f t="shared" si="17"/>
        <v/>
      </c>
      <c r="W77" s="31" t="str">
        <f t="shared" si="20"/>
        <v/>
      </c>
      <c r="X77" s="31" t="str">
        <f t="shared" si="21"/>
        <v/>
      </c>
      <c r="Y77" s="34">
        <f t="shared" si="18"/>
        <v>1</v>
      </c>
      <c r="Z77" s="31">
        <f t="shared" si="9"/>
        <v>0</v>
      </c>
      <c r="AA77" s="66">
        <f t="shared" si="10"/>
        <v>0</v>
      </c>
      <c r="AB77" s="6" t="str">
        <f t="shared" si="11"/>
        <v/>
      </c>
      <c r="AC77" s="48">
        <f t="shared" si="22"/>
        <v>0</v>
      </c>
    </row>
    <row r="78" spans="3:29" x14ac:dyDescent="0.25">
      <c r="C78" s="27" t="str">
        <f t="shared" si="12"/>
        <v/>
      </c>
      <c r="D78" s="30" t="str">
        <f t="shared" si="13"/>
        <v/>
      </c>
      <c r="E78" s="20" t="str">
        <f t="shared" si="0"/>
        <v/>
      </c>
      <c r="F78" s="20" t="str">
        <f t="shared" si="1"/>
        <v/>
      </c>
      <c r="G78" s="24" t="str">
        <f t="shared" si="14"/>
        <v/>
      </c>
      <c r="H78" s="21" t="str">
        <f t="shared" si="2"/>
        <v/>
      </c>
      <c r="I78" s="66" t="str">
        <f t="shared" si="3"/>
        <v/>
      </c>
      <c r="J78" s="66" t="str">
        <f t="shared" si="4"/>
        <v/>
      </c>
      <c r="K78" s="11" t="str">
        <f t="shared" si="5"/>
        <v/>
      </c>
      <c r="L78" s="23" t="str">
        <f t="shared" si="19"/>
        <v/>
      </c>
      <c r="M78" s="100"/>
      <c r="N78" s="23" t="str">
        <f t="shared" si="6"/>
        <v/>
      </c>
      <c r="O78" s="23" t="str">
        <f t="shared" si="15"/>
        <v/>
      </c>
      <c r="P78" s="23" t="str">
        <f t="shared" si="16"/>
        <v/>
      </c>
      <c r="Q78" s="19" t="str">
        <f t="shared" si="7"/>
        <v/>
      </c>
      <c r="R78" s="19"/>
      <c r="T78" s="37" t="str">
        <f t="shared" si="8"/>
        <v/>
      </c>
      <c r="U78" s="37" t="str">
        <f t="shared" si="17"/>
        <v/>
      </c>
      <c r="W78" s="31" t="str">
        <f t="shared" si="20"/>
        <v/>
      </c>
      <c r="X78" s="31" t="str">
        <f t="shared" si="21"/>
        <v/>
      </c>
      <c r="Y78" s="34">
        <f t="shared" si="18"/>
        <v>1</v>
      </c>
      <c r="Z78" s="31">
        <f t="shared" si="9"/>
        <v>0</v>
      </c>
      <c r="AA78" s="66">
        <f t="shared" si="10"/>
        <v>0</v>
      </c>
      <c r="AB78" s="6" t="str">
        <f t="shared" si="11"/>
        <v/>
      </c>
      <c r="AC78" s="48">
        <f t="shared" si="22"/>
        <v>0</v>
      </c>
    </row>
    <row r="79" spans="3:29" x14ac:dyDescent="0.25">
      <c r="C79" s="27" t="str">
        <f t="shared" si="12"/>
        <v/>
      </c>
      <c r="D79" s="30" t="str">
        <f t="shared" si="13"/>
        <v/>
      </c>
      <c r="E79" s="20" t="str">
        <f t="shared" si="0"/>
        <v/>
      </c>
      <c r="F79" s="20" t="str">
        <f t="shared" si="1"/>
        <v/>
      </c>
      <c r="G79" s="24" t="str">
        <f t="shared" si="14"/>
        <v/>
      </c>
      <c r="H79" s="21" t="str">
        <f t="shared" si="2"/>
        <v/>
      </c>
      <c r="I79" s="66" t="str">
        <f t="shared" si="3"/>
        <v/>
      </c>
      <c r="J79" s="66" t="str">
        <f t="shared" si="4"/>
        <v/>
      </c>
      <c r="K79" s="11" t="str">
        <f t="shared" si="5"/>
        <v/>
      </c>
      <c r="L79" s="23" t="str">
        <f t="shared" si="19"/>
        <v/>
      </c>
      <c r="M79" s="100"/>
      <c r="N79" s="23" t="str">
        <f t="shared" si="6"/>
        <v/>
      </c>
      <c r="O79" s="23" t="str">
        <f t="shared" si="15"/>
        <v/>
      </c>
      <c r="P79" s="23" t="str">
        <f t="shared" si="16"/>
        <v/>
      </c>
      <c r="Q79" s="19" t="str">
        <f t="shared" si="7"/>
        <v/>
      </c>
      <c r="R79" s="19"/>
      <c r="T79" s="37" t="str">
        <f t="shared" si="8"/>
        <v/>
      </c>
      <c r="U79" s="37" t="str">
        <f t="shared" si="17"/>
        <v/>
      </c>
      <c r="W79" s="31" t="str">
        <f t="shared" si="20"/>
        <v/>
      </c>
      <c r="X79" s="31" t="str">
        <f t="shared" si="21"/>
        <v/>
      </c>
      <c r="Y79" s="34">
        <f t="shared" si="18"/>
        <v>1</v>
      </c>
      <c r="Z79" s="31">
        <f t="shared" si="9"/>
        <v>0</v>
      </c>
      <c r="AA79" s="66">
        <f t="shared" si="10"/>
        <v>0</v>
      </c>
      <c r="AB79" s="6" t="str">
        <f t="shared" si="11"/>
        <v/>
      </c>
      <c r="AC79" s="48">
        <f t="shared" si="22"/>
        <v>0</v>
      </c>
    </row>
    <row r="80" spans="3:29" x14ac:dyDescent="0.25">
      <c r="C80" s="27" t="str">
        <f t="shared" si="12"/>
        <v/>
      </c>
      <c r="D80" s="30" t="str">
        <f t="shared" si="13"/>
        <v/>
      </c>
      <c r="E80" s="20" t="str">
        <f t="shared" si="0"/>
        <v/>
      </c>
      <c r="F80" s="20" t="str">
        <f t="shared" si="1"/>
        <v/>
      </c>
      <c r="G80" s="24" t="str">
        <f t="shared" si="14"/>
        <v/>
      </c>
      <c r="H80" s="21" t="str">
        <f t="shared" si="2"/>
        <v/>
      </c>
      <c r="I80" s="66" t="str">
        <f t="shared" si="3"/>
        <v/>
      </c>
      <c r="J80" s="66" t="str">
        <f t="shared" si="4"/>
        <v/>
      </c>
      <c r="K80" s="11" t="str">
        <f t="shared" si="5"/>
        <v/>
      </c>
      <c r="L80" s="23" t="str">
        <f t="shared" si="19"/>
        <v/>
      </c>
      <c r="M80" s="100"/>
      <c r="N80" s="23" t="str">
        <f t="shared" si="6"/>
        <v/>
      </c>
      <c r="O80" s="23" t="str">
        <f t="shared" si="15"/>
        <v/>
      </c>
      <c r="P80" s="23" t="str">
        <f t="shared" si="16"/>
        <v/>
      </c>
      <c r="Q80" s="19" t="str">
        <f t="shared" si="7"/>
        <v/>
      </c>
      <c r="R80" s="19"/>
      <c r="T80" s="37" t="str">
        <f t="shared" si="8"/>
        <v/>
      </c>
      <c r="U80" s="37" t="str">
        <f t="shared" si="17"/>
        <v/>
      </c>
      <c r="W80" s="31" t="str">
        <f t="shared" si="20"/>
        <v/>
      </c>
      <c r="X80" s="31" t="str">
        <f t="shared" si="21"/>
        <v/>
      </c>
      <c r="Y80" s="34">
        <f t="shared" si="18"/>
        <v>1</v>
      </c>
      <c r="Z80" s="31">
        <f t="shared" si="9"/>
        <v>0</v>
      </c>
      <c r="AA80" s="66">
        <f t="shared" si="10"/>
        <v>0</v>
      </c>
      <c r="AB80" s="6" t="str">
        <f t="shared" si="11"/>
        <v/>
      </c>
      <c r="AC80" s="48">
        <f t="shared" si="22"/>
        <v>0</v>
      </c>
    </row>
    <row r="81" spans="3:29" x14ac:dyDescent="0.25">
      <c r="C81" s="27" t="str">
        <f t="shared" si="12"/>
        <v/>
      </c>
      <c r="D81" s="30" t="str">
        <f t="shared" si="13"/>
        <v/>
      </c>
      <c r="E81" s="20" t="str">
        <f t="shared" si="0"/>
        <v/>
      </c>
      <c r="F81" s="20" t="str">
        <f t="shared" si="1"/>
        <v/>
      </c>
      <c r="G81" s="24" t="str">
        <f t="shared" si="14"/>
        <v/>
      </c>
      <c r="H81" s="21" t="str">
        <f t="shared" si="2"/>
        <v/>
      </c>
      <c r="I81" s="66" t="str">
        <f t="shared" si="3"/>
        <v/>
      </c>
      <c r="J81" s="66" t="str">
        <f t="shared" si="4"/>
        <v/>
      </c>
      <c r="K81" s="11" t="str">
        <f t="shared" si="5"/>
        <v/>
      </c>
      <c r="L81" s="23" t="str">
        <f t="shared" si="19"/>
        <v/>
      </c>
      <c r="M81" s="100"/>
      <c r="N81" s="23" t="str">
        <f t="shared" si="6"/>
        <v/>
      </c>
      <c r="O81" s="23" t="str">
        <f t="shared" si="15"/>
        <v/>
      </c>
      <c r="P81" s="23" t="str">
        <f t="shared" si="16"/>
        <v/>
      </c>
      <c r="Q81" s="19" t="str">
        <f t="shared" si="7"/>
        <v/>
      </c>
      <c r="R81" s="19"/>
      <c r="T81" s="37" t="str">
        <f t="shared" si="8"/>
        <v/>
      </c>
      <c r="U81" s="37" t="str">
        <f t="shared" si="17"/>
        <v/>
      </c>
      <c r="W81" s="31" t="str">
        <f t="shared" si="20"/>
        <v/>
      </c>
      <c r="X81" s="31" t="str">
        <f t="shared" si="21"/>
        <v/>
      </c>
      <c r="Y81" s="34">
        <f t="shared" si="18"/>
        <v>1</v>
      </c>
      <c r="Z81" s="31">
        <f t="shared" si="9"/>
        <v>0</v>
      </c>
      <c r="AA81" s="66">
        <f t="shared" si="10"/>
        <v>0</v>
      </c>
      <c r="AB81" s="6" t="str">
        <f t="shared" si="11"/>
        <v/>
      </c>
      <c r="AC81" s="48">
        <f>AC80+$M$17</f>
        <v>0</v>
      </c>
    </row>
    <row r="82" spans="3:29" x14ac:dyDescent="0.25">
      <c r="C82" s="27" t="str">
        <f t="shared" si="12"/>
        <v/>
      </c>
      <c r="D82" s="30" t="str">
        <f t="shared" si="13"/>
        <v/>
      </c>
      <c r="E82" s="20" t="str">
        <f t="shared" si="0"/>
        <v/>
      </c>
      <c r="F82" s="20" t="str">
        <f t="shared" si="1"/>
        <v/>
      </c>
      <c r="G82" s="24" t="str">
        <f t="shared" si="14"/>
        <v/>
      </c>
      <c r="H82" s="21" t="str">
        <f t="shared" si="2"/>
        <v/>
      </c>
      <c r="I82" s="66" t="str">
        <f t="shared" si="3"/>
        <v/>
      </c>
      <c r="J82" s="66" t="str">
        <f t="shared" si="4"/>
        <v/>
      </c>
      <c r="K82" s="11" t="str">
        <f t="shared" si="5"/>
        <v/>
      </c>
      <c r="L82" s="23" t="str">
        <f t="shared" si="19"/>
        <v/>
      </c>
      <c r="M82" s="100"/>
      <c r="N82" s="23" t="str">
        <f t="shared" si="6"/>
        <v/>
      </c>
      <c r="O82" s="23" t="str">
        <f t="shared" si="15"/>
        <v/>
      </c>
      <c r="P82" s="23" t="str">
        <f t="shared" si="16"/>
        <v/>
      </c>
      <c r="Q82" s="19" t="str">
        <f t="shared" si="7"/>
        <v/>
      </c>
      <c r="R82" s="19"/>
      <c r="T82" s="37" t="str">
        <f t="shared" si="8"/>
        <v/>
      </c>
      <c r="U82" s="37" t="str">
        <f t="shared" si="17"/>
        <v/>
      </c>
      <c r="W82" s="31" t="str">
        <f t="shared" si="20"/>
        <v/>
      </c>
      <c r="X82" s="31" t="str">
        <f t="shared" si="21"/>
        <v/>
      </c>
      <c r="Y82" s="34">
        <f t="shared" si="18"/>
        <v>1</v>
      </c>
      <c r="Z82" s="31">
        <f t="shared" si="9"/>
        <v>0</v>
      </c>
      <c r="AA82" s="66">
        <f t="shared" si="10"/>
        <v>0</v>
      </c>
      <c r="AB82" s="6" t="str">
        <f t="shared" si="11"/>
        <v/>
      </c>
      <c r="AC82" s="48">
        <f t="shared" si="22"/>
        <v>0</v>
      </c>
    </row>
    <row r="83" spans="3:29" x14ac:dyDescent="0.25">
      <c r="C83" s="27" t="str">
        <f t="shared" si="12"/>
        <v/>
      </c>
      <c r="D83" s="30" t="str">
        <f t="shared" si="13"/>
        <v/>
      </c>
      <c r="E83" s="20" t="str">
        <f t="shared" si="0"/>
        <v/>
      </c>
      <c r="F83" s="20" t="str">
        <f t="shared" si="1"/>
        <v/>
      </c>
      <c r="G83" s="24" t="str">
        <f t="shared" si="14"/>
        <v/>
      </c>
      <c r="H83" s="21" t="str">
        <f t="shared" si="2"/>
        <v/>
      </c>
      <c r="I83" s="66" t="str">
        <f t="shared" si="3"/>
        <v/>
      </c>
      <c r="J83" s="66" t="str">
        <f t="shared" si="4"/>
        <v/>
      </c>
      <c r="K83" s="11" t="str">
        <f t="shared" si="5"/>
        <v/>
      </c>
      <c r="L83" s="23" t="str">
        <f t="shared" si="19"/>
        <v/>
      </c>
      <c r="M83" s="100"/>
      <c r="N83" s="23" t="str">
        <f t="shared" si="6"/>
        <v/>
      </c>
      <c r="O83" s="23" t="str">
        <f t="shared" si="15"/>
        <v/>
      </c>
      <c r="P83" s="23" t="str">
        <f t="shared" si="16"/>
        <v/>
      </c>
      <c r="Q83" s="19" t="str">
        <f t="shared" si="7"/>
        <v/>
      </c>
      <c r="R83" s="19"/>
      <c r="T83" s="37" t="str">
        <f t="shared" si="8"/>
        <v/>
      </c>
      <c r="U83" s="37" t="str">
        <f t="shared" si="17"/>
        <v/>
      </c>
      <c r="W83" s="31" t="str">
        <f t="shared" si="20"/>
        <v/>
      </c>
      <c r="X83" s="31" t="str">
        <f t="shared" si="21"/>
        <v/>
      </c>
      <c r="Y83" s="34">
        <f t="shared" si="18"/>
        <v>1</v>
      </c>
      <c r="Z83" s="31">
        <f t="shared" si="9"/>
        <v>0</v>
      </c>
      <c r="AA83" s="66">
        <f t="shared" si="10"/>
        <v>0</v>
      </c>
      <c r="AB83" s="6" t="str">
        <f t="shared" si="11"/>
        <v/>
      </c>
      <c r="AC83" s="48">
        <f t="shared" si="22"/>
        <v>0</v>
      </c>
    </row>
    <row r="84" spans="3:29" x14ac:dyDescent="0.25">
      <c r="C84" s="27" t="str">
        <f t="shared" si="12"/>
        <v/>
      </c>
      <c r="D84" s="30" t="str">
        <f t="shared" si="13"/>
        <v/>
      </c>
      <c r="E84" s="20" t="str">
        <f t="shared" si="0"/>
        <v/>
      </c>
      <c r="F84" s="20" t="str">
        <f t="shared" si="1"/>
        <v/>
      </c>
      <c r="G84" s="24" t="str">
        <f t="shared" si="14"/>
        <v/>
      </c>
      <c r="H84" s="21" t="str">
        <f t="shared" si="2"/>
        <v/>
      </c>
      <c r="I84" s="66" t="str">
        <f t="shared" si="3"/>
        <v/>
      </c>
      <c r="J84" s="66" t="str">
        <f t="shared" si="4"/>
        <v/>
      </c>
      <c r="K84" s="11" t="str">
        <f t="shared" si="5"/>
        <v/>
      </c>
      <c r="L84" s="23" t="str">
        <f t="shared" si="19"/>
        <v/>
      </c>
      <c r="M84" s="100"/>
      <c r="N84" s="23" t="str">
        <f t="shared" si="6"/>
        <v/>
      </c>
      <c r="O84" s="23" t="str">
        <f t="shared" si="15"/>
        <v/>
      </c>
      <c r="P84" s="23" t="str">
        <f t="shared" si="16"/>
        <v/>
      </c>
      <c r="Q84" s="19" t="str">
        <f t="shared" si="7"/>
        <v/>
      </c>
      <c r="R84" s="19"/>
      <c r="T84" s="37" t="str">
        <f t="shared" si="8"/>
        <v/>
      </c>
      <c r="U84" s="37" t="str">
        <f t="shared" si="17"/>
        <v/>
      </c>
      <c r="W84" s="31" t="str">
        <f t="shared" si="20"/>
        <v/>
      </c>
      <c r="X84" s="31" t="str">
        <f t="shared" si="21"/>
        <v/>
      </c>
      <c r="Y84" s="34">
        <f t="shared" si="18"/>
        <v>1</v>
      </c>
      <c r="Z84" s="31">
        <f t="shared" si="9"/>
        <v>0</v>
      </c>
      <c r="AA84" s="66">
        <f t="shared" si="10"/>
        <v>0</v>
      </c>
      <c r="AB84" s="6" t="str">
        <f t="shared" si="11"/>
        <v/>
      </c>
      <c r="AC84" s="48">
        <f t="shared" si="22"/>
        <v>0</v>
      </c>
    </row>
    <row r="85" spans="3:29" x14ac:dyDescent="0.25">
      <c r="C85" s="27" t="str">
        <f t="shared" si="12"/>
        <v/>
      </c>
      <c r="D85" s="30" t="str">
        <f t="shared" si="13"/>
        <v/>
      </c>
      <c r="E85" s="20" t="str">
        <f t="shared" ref="E85:E148" si="23">IF(C85="","",MIN(IF($E$16="Mensualidad",-PMT(Q85/12,$E$15*12-C84,D85)-F85,-PMT(Q85/12,$E$15*12,$J$9)-F85),D85))</f>
        <v/>
      </c>
      <c r="F85" s="20" t="str">
        <f t="shared" ref="F85:F148" si="24">IF(C85="","",D85*(Q85/12))</f>
        <v/>
      </c>
      <c r="G85" s="24" t="str">
        <f t="shared" si="14"/>
        <v/>
      </c>
      <c r="H85" s="21" t="str">
        <f t="shared" ref="H85:H148" si="25">IF(C85="","",IF((($J$8*0.8)*($N$12/1.16))&gt;L84*($N$12/1.16),($J$8*0.8)*($N$12/1.16),($N$12/1.16)*L84)/1000)</f>
        <v/>
      </c>
      <c r="I85" s="66" t="str">
        <f t="shared" ref="I85:I148" si="26">IF($D$17="SI",0,IF(D85="","",$N$15))</f>
        <v/>
      </c>
      <c r="J85" s="66" t="str">
        <f t="shared" ref="J85:J148" si="27">IFERROR(IF($E$8="Liquidez",F85*0.16,""),"")</f>
        <v/>
      </c>
      <c r="K85" s="11" t="str">
        <f t="shared" ref="K85:K148" si="28">IFERROR(IF(C85="","",E85+F85+G85+H85+I85+J85),0)</f>
        <v/>
      </c>
      <c r="L85" s="23" t="str">
        <f t="shared" si="19"/>
        <v/>
      </c>
      <c r="M85" s="100"/>
      <c r="N85" s="23" t="str">
        <f t="shared" ref="N85:N148" si="29">IF(C85="","",IF(M85="",0,M85-O85-P85))</f>
        <v/>
      </c>
      <c r="O85" s="23" t="str">
        <f t="shared" si="15"/>
        <v/>
      </c>
      <c r="P85" s="23" t="str">
        <f t="shared" si="16"/>
        <v/>
      </c>
      <c r="Q85" s="19" t="str">
        <f t="shared" ref="Q85:Q148" si="30">IF(C85="","",$J$10)</f>
        <v/>
      </c>
      <c r="R85" s="19"/>
      <c r="T85" s="37" t="str">
        <f t="shared" ref="T85:T148" si="31">IF(C85="","",1)</f>
        <v/>
      </c>
      <c r="U85" s="37" t="str">
        <f t="shared" si="17"/>
        <v/>
      </c>
      <c r="W85" s="31" t="str">
        <f t="shared" si="20"/>
        <v/>
      </c>
      <c r="X85" s="31" t="str">
        <f t="shared" si="21"/>
        <v/>
      </c>
      <c r="Y85" s="34">
        <f t="shared" si="18"/>
        <v>1</v>
      </c>
      <c r="Z85" s="31">
        <f t="shared" ref="Z85:Z148" si="32">IF($AA$20=0,0,IF(N85&gt;AA84,MAX(0,N85-AA84),N85))</f>
        <v>0</v>
      </c>
      <c r="AA85" s="66">
        <f t="shared" ref="AA85:AA148" si="33">IFERROR(MAX(0,AA84-N85),0)</f>
        <v>0</v>
      </c>
      <c r="AB85" s="6" t="str">
        <f t="shared" ref="AB85:AB148" si="34">IF($D$17="NO",N85,IF(AA85&gt;0,0,Z85))</f>
        <v/>
      </c>
      <c r="AC85" s="48">
        <f t="shared" si="22"/>
        <v>0</v>
      </c>
    </row>
    <row r="86" spans="3:29" x14ac:dyDescent="0.25">
      <c r="C86" s="27" t="str">
        <f t="shared" ref="C86:C149" si="35">IF(OR(C85="",L85&lt;=0),"",IF(C85+1&lt;=E$15*12,C85+1,""))</f>
        <v/>
      </c>
      <c r="D86" s="30" t="str">
        <f t="shared" ref="D86:D149" si="36">IF(L85&lt;=0,"",L85)</f>
        <v/>
      </c>
      <c r="E86" s="20" t="str">
        <f t="shared" si="23"/>
        <v/>
      </c>
      <c r="F86" s="20" t="str">
        <f t="shared" si="24"/>
        <v/>
      </c>
      <c r="G86" s="24" t="str">
        <f t="shared" ref="G86:G149" si="37">IF(C86="","",L$12*L85/1000)</f>
        <v/>
      </c>
      <c r="H86" s="21" t="str">
        <f t="shared" si="25"/>
        <v/>
      </c>
      <c r="I86" s="66" t="str">
        <f t="shared" si="26"/>
        <v/>
      </c>
      <c r="J86" s="66" t="str">
        <f t="shared" si="27"/>
        <v/>
      </c>
      <c r="K86" s="11" t="str">
        <f t="shared" si="28"/>
        <v/>
      </c>
      <c r="L86" s="23" t="str">
        <f t="shared" si="19"/>
        <v/>
      </c>
      <c r="M86" s="100"/>
      <c r="N86" s="23" t="str">
        <f t="shared" si="29"/>
        <v/>
      </c>
      <c r="O86" s="23" t="str">
        <f t="shared" ref="O86:O149" si="38">IF(C86="","",M86*$J$12)</f>
        <v/>
      </c>
      <c r="P86" s="23" t="str">
        <f t="shared" ref="P86:P149" si="39">IF(C86="","",(M86*$J$12)*0.16)</f>
        <v/>
      </c>
      <c r="Q86" s="19" t="str">
        <f t="shared" si="30"/>
        <v/>
      </c>
      <c r="R86" s="19"/>
      <c r="T86" s="37" t="str">
        <f t="shared" si="31"/>
        <v/>
      </c>
      <c r="U86" s="37" t="str">
        <f t="shared" ref="U86:U149" si="40">C86</f>
        <v/>
      </c>
      <c r="W86" s="31" t="str">
        <f t="shared" si="20"/>
        <v/>
      </c>
      <c r="X86" s="31" t="str">
        <f t="shared" si="21"/>
        <v/>
      </c>
      <c r="Y86" s="34">
        <f t="shared" ref="Y86:Y149" si="41">Y85</f>
        <v>1</v>
      </c>
      <c r="Z86" s="31">
        <f t="shared" si="32"/>
        <v>0</v>
      </c>
      <c r="AA86" s="66">
        <f t="shared" si="33"/>
        <v>0</v>
      </c>
      <c r="AB86" s="6" t="str">
        <f t="shared" si="34"/>
        <v/>
      </c>
      <c r="AC86" s="48">
        <f t="shared" si="22"/>
        <v>0</v>
      </c>
    </row>
    <row r="87" spans="3:29" x14ac:dyDescent="0.25">
      <c r="C87" s="27" t="str">
        <f t="shared" si="35"/>
        <v/>
      </c>
      <c r="D87" s="30" t="str">
        <f t="shared" si="36"/>
        <v/>
      </c>
      <c r="E87" s="20" t="str">
        <f t="shared" si="23"/>
        <v/>
      </c>
      <c r="F87" s="20" t="str">
        <f t="shared" si="24"/>
        <v/>
      </c>
      <c r="G87" s="24" t="str">
        <f t="shared" si="37"/>
        <v/>
      </c>
      <c r="H87" s="21" t="str">
        <f t="shared" si="25"/>
        <v/>
      </c>
      <c r="I87" s="66" t="str">
        <f t="shared" si="26"/>
        <v/>
      </c>
      <c r="J87" s="66" t="str">
        <f t="shared" si="27"/>
        <v/>
      </c>
      <c r="K87" s="11" t="str">
        <f t="shared" si="28"/>
        <v/>
      </c>
      <c r="L87" s="23" t="str">
        <f t="shared" ref="L87:L150" si="42">IFERROR(IF(C87="","",IF((D87-E87-AB87)&lt;1,0,D87-E87-AB87)),0)</f>
        <v/>
      </c>
      <c r="M87" s="100"/>
      <c r="N87" s="23" t="str">
        <f t="shared" si="29"/>
        <v/>
      </c>
      <c r="O87" s="23" t="str">
        <f t="shared" si="38"/>
        <v/>
      </c>
      <c r="P87" s="23" t="str">
        <f t="shared" si="39"/>
        <v/>
      </c>
      <c r="Q87" s="19" t="str">
        <f t="shared" si="30"/>
        <v/>
      </c>
      <c r="R87" s="19"/>
      <c r="T87" s="37" t="str">
        <f t="shared" si="31"/>
        <v/>
      </c>
      <c r="U87" s="37" t="str">
        <f t="shared" si="40"/>
        <v/>
      </c>
      <c r="W87" s="31" t="str">
        <f t="shared" si="20"/>
        <v/>
      </c>
      <c r="X87" s="31" t="str">
        <f t="shared" si="21"/>
        <v/>
      </c>
      <c r="Y87" s="34">
        <f t="shared" si="41"/>
        <v>1</v>
      </c>
      <c r="Z87" s="31">
        <f t="shared" si="32"/>
        <v>0</v>
      </c>
      <c r="AA87" s="66">
        <f t="shared" si="33"/>
        <v>0</v>
      </c>
      <c r="AB87" s="6" t="str">
        <f t="shared" si="34"/>
        <v/>
      </c>
      <c r="AC87" s="48">
        <f t="shared" si="22"/>
        <v>0</v>
      </c>
    </row>
    <row r="88" spans="3:29" x14ac:dyDescent="0.25">
      <c r="C88" s="27" t="str">
        <f t="shared" si="35"/>
        <v/>
      </c>
      <c r="D88" s="30" t="str">
        <f t="shared" si="36"/>
        <v/>
      </c>
      <c r="E88" s="20" t="str">
        <f t="shared" si="23"/>
        <v/>
      </c>
      <c r="F88" s="20" t="str">
        <f t="shared" si="24"/>
        <v/>
      </c>
      <c r="G88" s="24" t="str">
        <f t="shared" si="37"/>
        <v/>
      </c>
      <c r="H88" s="21" t="str">
        <f t="shared" si="25"/>
        <v/>
      </c>
      <c r="I88" s="66" t="str">
        <f t="shared" si="26"/>
        <v/>
      </c>
      <c r="J88" s="66" t="str">
        <f t="shared" si="27"/>
        <v/>
      </c>
      <c r="K88" s="11" t="str">
        <f t="shared" si="28"/>
        <v/>
      </c>
      <c r="L88" s="23" t="str">
        <f t="shared" si="42"/>
        <v/>
      </c>
      <c r="M88" s="100"/>
      <c r="N88" s="23" t="str">
        <f t="shared" si="29"/>
        <v/>
      </c>
      <c r="O88" s="23" t="str">
        <f t="shared" si="38"/>
        <v/>
      </c>
      <c r="P88" s="23" t="str">
        <f t="shared" si="39"/>
        <v/>
      </c>
      <c r="Q88" s="19" t="str">
        <f t="shared" si="30"/>
        <v/>
      </c>
      <c r="R88" s="19"/>
      <c r="T88" s="37" t="str">
        <f t="shared" si="31"/>
        <v/>
      </c>
      <c r="U88" s="37" t="str">
        <f t="shared" si="40"/>
        <v/>
      </c>
      <c r="W88" s="31" t="str">
        <f t="shared" si="20"/>
        <v/>
      </c>
      <c r="X88" s="31" t="str">
        <f t="shared" si="21"/>
        <v/>
      </c>
      <c r="Y88" s="34">
        <f t="shared" si="41"/>
        <v>1</v>
      </c>
      <c r="Z88" s="31">
        <f t="shared" si="32"/>
        <v>0</v>
      </c>
      <c r="AA88" s="66">
        <f t="shared" si="33"/>
        <v>0</v>
      </c>
      <c r="AB88" s="6" t="str">
        <f t="shared" si="34"/>
        <v/>
      </c>
      <c r="AC88" s="48">
        <f t="shared" si="22"/>
        <v>0</v>
      </c>
    </row>
    <row r="89" spans="3:29" x14ac:dyDescent="0.25">
      <c r="C89" s="27" t="str">
        <f t="shared" si="35"/>
        <v/>
      </c>
      <c r="D89" s="30" t="str">
        <f t="shared" si="36"/>
        <v/>
      </c>
      <c r="E89" s="20" t="str">
        <f t="shared" si="23"/>
        <v/>
      </c>
      <c r="F89" s="20" t="str">
        <f t="shared" si="24"/>
        <v/>
      </c>
      <c r="G89" s="24" t="str">
        <f t="shared" si="37"/>
        <v/>
      </c>
      <c r="H89" s="21" t="str">
        <f t="shared" si="25"/>
        <v/>
      </c>
      <c r="I89" s="66" t="str">
        <f t="shared" si="26"/>
        <v/>
      </c>
      <c r="J89" s="66" t="str">
        <f t="shared" si="27"/>
        <v/>
      </c>
      <c r="K89" s="11" t="str">
        <f t="shared" si="28"/>
        <v/>
      </c>
      <c r="L89" s="23" t="str">
        <f t="shared" si="42"/>
        <v/>
      </c>
      <c r="M89" s="100"/>
      <c r="N89" s="23" t="str">
        <f t="shared" si="29"/>
        <v/>
      </c>
      <c r="O89" s="23" t="str">
        <f t="shared" si="38"/>
        <v/>
      </c>
      <c r="P89" s="23" t="str">
        <f t="shared" si="39"/>
        <v/>
      </c>
      <c r="Q89" s="19" t="str">
        <f t="shared" si="30"/>
        <v/>
      </c>
      <c r="R89" s="19"/>
      <c r="T89" s="37" t="str">
        <f t="shared" si="31"/>
        <v/>
      </c>
      <c r="U89" s="37" t="str">
        <f t="shared" si="40"/>
        <v/>
      </c>
      <c r="W89" s="31" t="str">
        <f t="shared" si="20"/>
        <v/>
      </c>
      <c r="X89" s="31" t="str">
        <f t="shared" si="21"/>
        <v/>
      </c>
      <c r="Y89" s="34">
        <f t="shared" si="41"/>
        <v>1</v>
      </c>
      <c r="Z89" s="31">
        <f t="shared" si="32"/>
        <v>0</v>
      </c>
      <c r="AA89" s="66">
        <f t="shared" si="33"/>
        <v>0</v>
      </c>
      <c r="AB89" s="6" t="str">
        <f t="shared" si="34"/>
        <v/>
      </c>
      <c r="AC89" s="48">
        <f t="shared" si="22"/>
        <v>0</v>
      </c>
    </row>
    <row r="90" spans="3:29" x14ac:dyDescent="0.25">
      <c r="C90" s="27" t="str">
        <f t="shared" si="35"/>
        <v/>
      </c>
      <c r="D90" s="30" t="str">
        <f t="shared" si="36"/>
        <v/>
      </c>
      <c r="E90" s="20" t="str">
        <f t="shared" si="23"/>
        <v/>
      </c>
      <c r="F90" s="20" t="str">
        <f t="shared" si="24"/>
        <v/>
      </c>
      <c r="G90" s="24" t="str">
        <f t="shared" si="37"/>
        <v/>
      </c>
      <c r="H90" s="21" t="str">
        <f t="shared" si="25"/>
        <v/>
      </c>
      <c r="I90" s="66" t="str">
        <f t="shared" si="26"/>
        <v/>
      </c>
      <c r="J90" s="66" t="str">
        <f t="shared" si="27"/>
        <v/>
      </c>
      <c r="K90" s="11" t="str">
        <f t="shared" si="28"/>
        <v/>
      </c>
      <c r="L90" s="23" t="str">
        <f t="shared" si="42"/>
        <v/>
      </c>
      <c r="M90" s="100"/>
      <c r="N90" s="23" t="str">
        <f t="shared" si="29"/>
        <v/>
      </c>
      <c r="O90" s="23" t="str">
        <f t="shared" si="38"/>
        <v/>
      </c>
      <c r="P90" s="23" t="str">
        <f t="shared" si="39"/>
        <v/>
      </c>
      <c r="Q90" s="19" t="str">
        <f t="shared" si="30"/>
        <v/>
      </c>
      <c r="R90" s="19"/>
      <c r="T90" s="37" t="str">
        <f t="shared" si="31"/>
        <v/>
      </c>
      <c r="U90" s="37" t="str">
        <f t="shared" si="40"/>
        <v/>
      </c>
      <c r="W90" s="31" t="str">
        <f t="shared" ref="W90:W153" si="43">IF(C90="","",IF(ISNUMBER(U90),PMT(Q90/12,($E$15*12),-$J$9)+G90+H90+AB90/1.16+$N$15,0))</f>
        <v/>
      </c>
      <c r="X90" s="31" t="str">
        <f t="shared" ref="X90:X153" si="44">IF(C90="","",IF(ISNUMBER(U90),PMT(Q90/12,$E$15*12,-$J$9)+G90+AB90+H90/1.16+$N$15,0))</f>
        <v/>
      </c>
      <c r="Y90" s="34">
        <f t="shared" si="41"/>
        <v>1</v>
      </c>
      <c r="Z90" s="31">
        <f t="shared" si="32"/>
        <v>0</v>
      </c>
      <c r="AA90" s="66">
        <f t="shared" si="33"/>
        <v>0</v>
      </c>
      <c r="AB90" s="6" t="str">
        <f t="shared" si="34"/>
        <v/>
      </c>
      <c r="AC90" s="48">
        <f t="shared" si="22"/>
        <v>0</v>
      </c>
    </row>
    <row r="91" spans="3:29" x14ac:dyDescent="0.25">
      <c r="C91" s="27" t="str">
        <f t="shared" si="35"/>
        <v/>
      </c>
      <c r="D91" s="30" t="str">
        <f t="shared" si="36"/>
        <v/>
      </c>
      <c r="E91" s="20" t="str">
        <f t="shared" si="23"/>
        <v/>
      </c>
      <c r="F91" s="20" t="str">
        <f t="shared" si="24"/>
        <v/>
      </c>
      <c r="G91" s="24" t="str">
        <f t="shared" si="37"/>
        <v/>
      </c>
      <c r="H91" s="21" t="str">
        <f t="shared" si="25"/>
        <v/>
      </c>
      <c r="I91" s="66" t="str">
        <f t="shared" si="26"/>
        <v/>
      </c>
      <c r="J91" s="66" t="str">
        <f t="shared" si="27"/>
        <v/>
      </c>
      <c r="K91" s="11" t="str">
        <f t="shared" si="28"/>
        <v/>
      </c>
      <c r="L91" s="23" t="str">
        <f t="shared" si="42"/>
        <v/>
      </c>
      <c r="M91" s="100"/>
      <c r="N91" s="23" t="str">
        <f t="shared" si="29"/>
        <v/>
      </c>
      <c r="O91" s="23" t="str">
        <f t="shared" si="38"/>
        <v/>
      </c>
      <c r="P91" s="23" t="str">
        <f t="shared" si="39"/>
        <v/>
      </c>
      <c r="Q91" s="19" t="str">
        <f t="shared" si="30"/>
        <v/>
      </c>
      <c r="R91" s="19"/>
      <c r="T91" s="37" t="str">
        <f t="shared" si="31"/>
        <v/>
      </c>
      <c r="U91" s="37" t="str">
        <f t="shared" si="40"/>
        <v/>
      </c>
      <c r="W91" s="31" t="str">
        <f t="shared" si="43"/>
        <v/>
      </c>
      <c r="X91" s="31" t="str">
        <f t="shared" si="44"/>
        <v/>
      </c>
      <c r="Y91" s="34">
        <f t="shared" si="41"/>
        <v>1</v>
      </c>
      <c r="Z91" s="31">
        <f t="shared" si="32"/>
        <v>0</v>
      </c>
      <c r="AA91" s="66">
        <f t="shared" si="33"/>
        <v>0</v>
      </c>
      <c r="AB91" s="6" t="str">
        <f t="shared" si="34"/>
        <v/>
      </c>
      <c r="AC91" s="48">
        <f t="shared" si="22"/>
        <v>0</v>
      </c>
    </row>
    <row r="92" spans="3:29" x14ac:dyDescent="0.25">
      <c r="C92" s="27" t="str">
        <f t="shared" si="35"/>
        <v/>
      </c>
      <c r="D92" s="30" t="str">
        <f t="shared" si="36"/>
        <v/>
      </c>
      <c r="E92" s="20" t="str">
        <f t="shared" si="23"/>
        <v/>
      </c>
      <c r="F92" s="20" t="str">
        <f t="shared" si="24"/>
        <v/>
      </c>
      <c r="G92" s="24" t="str">
        <f t="shared" si="37"/>
        <v/>
      </c>
      <c r="H92" s="21" t="str">
        <f t="shared" si="25"/>
        <v/>
      </c>
      <c r="I92" s="66" t="str">
        <f t="shared" si="26"/>
        <v/>
      </c>
      <c r="J92" s="66" t="str">
        <f t="shared" si="27"/>
        <v/>
      </c>
      <c r="K92" s="11" t="str">
        <f t="shared" si="28"/>
        <v/>
      </c>
      <c r="L92" s="23" t="str">
        <f t="shared" si="42"/>
        <v/>
      </c>
      <c r="M92" s="100"/>
      <c r="N92" s="23" t="str">
        <f t="shared" si="29"/>
        <v/>
      </c>
      <c r="O92" s="23" t="str">
        <f t="shared" si="38"/>
        <v/>
      </c>
      <c r="P92" s="23" t="str">
        <f t="shared" si="39"/>
        <v/>
      </c>
      <c r="Q92" s="19" t="str">
        <f t="shared" si="30"/>
        <v/>
      </c>
      <c r="R92" s="19"/>
      <c r="T92" s="37" t="str">
        <f t="shared" si="31"/>
        <v/>
      </c>
      <c r="U92" s="37" t="str">
        <f t="shared" si="40"/>
        <v/>
      </c>
      <c r="W92" s="31" t="str">
        <f t="shared" si="43"/>
        <v/>
      </c>
      <c r="X92" s="31" t="str">
        <f t="shared" si="44"/>
        <v/>
      </c>
      <c r="Y92" s="34">
        <f t="shared" si="41"/>
        <v>1</v>
      </c>
      <c r="Z92" s="31">
        <f t="shared" si="32"/>
        <v>0</v>
      </c>
      <c r="AA92" s="66">
        <f t="shared" si="33"/>
        <v>0</v>
      </c>
      <c r="AB92" s="6" t="str">
        <f t="shared" si="34"/>
        <v/>
      </c>
      <c r="AC92" s="48">
        <f t="shared" si="22"/>
        <v>0</v>
      </c>
    </row>
    <row r="93" spans="3:29" x14ac:dyDescent="0.25">
      <c r="C93" s="27" t="str">
        <f t="shared" si="35"/>
        <v/>
      </c>
      <c r="D93" s="30" t="str">
        <f t="shared" si="36"/>
        <v/>
      </c>
      <c r="E93" s="20" t="str">
        <f t="shared" si="23"/>
        <v/>
      </c>
      <c r="F93" s="20" t="str">
        <f t="shared" si="24"/>
        <v/>
      </c>
      <c r="G93" s="24" t="str">
        <f t="shared" si="37"/>
        <v/>
      </c>
      <c r="H93" s="21" t="str">
        <f t="shared" si="25"/>
        <v/>
      </c>
      <c r="I93" s="66" t="str">
        <f t="shared" si="26"/>
        <v/>
      </c>
      <c r="J93" s="66" t="str">
        <f t="shared" si="27"/>
        <v/>
      </c>
      <c r="K93" s="11" t="str">
        <f t="shared" si="28"/>
        <v/>
      </c>
      <c r="L93" s="23" t="str">
        <f t="shared" si="42"/>
        <v/>
      </c>
      <c r="M93" s="100"/>
      <c r="N93" s="23" t="str">
        <f t="shared" si="29"/>
        <v/>
      </c>
      <c r="O93" s="23" t="str">
        <f t="shared" si="38"/>
        <v/>
      </c>
      <c r="P93" s="23" t="str">
        <f t="shared" si="39"/>
        <v/>
      </c>
      <c r="Q93" s="19" t="str">
        <f t="shared" si="30"/>
        <v/>
      </c>
      <c r="R93" s="19"/>
      <c r="T93" s="37" t="str">
        <f t="shared" si="31"/>
        <v/>
      </c>
      <c r="U93" s="37" t="str">
        <f t="shared" si="40"/>
        <v/>
      </c>
      <c r="W93" s="31" t="str">
        <f t="shared" si="43"/>
        <v/>
      </c>
      <c r="X93" s="31" t="str">
        <f t="shared" si="44"/>
        <v/>
      </c>
      <c r="Y93" s="34">
        <f t="shared" si="41"/>
        <v>1</v>
      </c>
      <c r="Z93" s="31">
        <f t="shared" si="32"/>
        <v>0</v>
      </c>
      <c r="AA93" s="66">
        <f t="shared" si="33"/>
        <v>0</v>
      </c>
      <c r="AB93" s="6" t="str">
        <f t="shared" si="34"/>
        <v/>
      </c>
      <c r="AC93" s="48">
        <f>AC92+$M$17</f>
        <v>0</v>
      </c>
    </row>
    <row r="94" spans="3:29" x14ac:dyDescent="0.25">
      <c r="C94" s="27" t="str">
        <f t="shared" si="35"/>
        <v/>
      </c>
      <c r="D94" s="30" t="str">
        <f t="shared" si="36"/>
        <v/>
      </c>
      <c r="E94" s="20" t="str">
        <f t="shared" si="23"/>
        <v/>
      </c>
      <c r="F94" s="20" t="str">
        <f t="shared" si="24"/>
        <v/>
      </c>
      <c r="G94" s="24" t="str">
        <f t="shared" si="37"/>
        <v/>
      </c>
      <c r="H94" s="21" t="str">
        <f t="shared" si="25"/>
        <v/>
      </c>
      <c r="I94" s="66" t="str">
        <f t="shared" si="26"/>
        <v/>
      </c>
      <c r="J94" s="66" t="str">
        <f t="shared" si="27"/>
        <v/>
      </c>
      <c r="K94" s="11" t="str">
        <f t="shared" si="28"/>
        <v/>
      </c>
      <c r="L94" s="23" t="str">
        <f t="shared" si="42"/>
        <v/>
      </c>
      <c r="M94" s="100"/>
      <c r="N94" s="23" t="str">
        <f t="shared" si="29"/>
        <v/>
      </c>
      <c r="O94" s="23" t="str">
        <f t="shared" si="38"/>
        <v/>
      </c>
      <c r="P94" s="23" t="str">
        <f t="shared" si="39"/>
        <v/>
      </c>
      <c r="Q94" s="19" t="str">
        <f t="shared" si="30"/>
        <v/>
      </c>
      <c r="R94" s="19"/>
      <c r="T94" s="37" t="str">
        <f t="shared" si="31"/>
        <v/>
      </c>
      <c r="U94" s="37" t="str">
        <f t="shared" si="40"/>
        <v/>
      </c>
      <c r="W94" s="31" t="str">
        <f t="shared" si="43"/>
        <v/>
      </c>
      <c r="X94" s="31" t="str">
        <f t="shared" si="44"/>
        <v/>
      </c>
      <c r="Y94" s="34">
        <f t="shared" si="41"/>
        <v>1</v>
      </c>
      <c r="Z94" s="31">
        <f t="shared" si="32"/>
        <v>0</v>
      </c>
      <c r="AA94" s="66">
        <f t="shared" si="33"/>
        <v>0</v>
      </c>
      <c r="AB94" s="6" t="str">
        <f t="shared" si="34"/>
        <v/>
      </c>
      <c r="AC94" s="48">
        <f t="shared" si="22"/>
        <v>0</v>
      </c>
    </row>
    <row r="95" spans="3:29" x14ac:dyDescent="0.25">
      <c r="C95" s="27" t="str">
        <f t="shared" si="35"/>
        <v/>
      </c>
      <c r="D95" s="30" t="str">
        <f t="shared" si="36"/>
        <v/>
      </c>
      <c r="E95" s="20" t="str">
        <f t="shared" si="23"/>
        <v/>
      </c>
      <c r="F95" s="20" t="str">
        <f t="shared" si="24"/>
        <v/>
      </c>
      <c r="G95" s="24" t="str">
        <f t="shared" si="37"/>
        <v/>
      </c>
      <c r="H95" s="21" t="str">
        <f t="shared" si="25"/>
        <v/>
      </c>
      <c r="I95" s="66" t="str">
        <f t="shared" si="26"/>
        <v/>
      </c>
      <c r="J95" s="66" t="str">
        <f t="shared" si="27"/>
        <v/>
      </c>
      <c r="K95" s="11" t="str">
        <f t="shared" si="28"/>
        <v/>
      </c>
      <c r="L95" s="23" t="str">
        <f t="shared" si="42"/>
        <v/>
      </c>
      <c r="M95" s="100"/>
      <c r="N95" s="23" t="str">
        <f t="shared" si="29"/>
        <v/>
      </c>
      <c r="O95" s="23" t="str">
        <f t="shared" si="38"/>
        <v/>
      </c>
      <c r="P95" s="23" t="str">
        <f t="shared" si="39"/>
        <v/>
      </c>
      <c r="Q95" s="19" t="str">
        <f t="shared" si="30"/>
        <v/>
      </c>
      <c r="R95" s="19"/>
      <c r="T95" s="37" t="str">
        <f t="shared" si="31"/>
        <v/>
      </c>
      <c r="U95" s="37" t="str">
        <f t="shared" si="40"/>
        <v/>
      </c>
      <c r="W95" s="31" t="str">
        <f t="shared" si="43"/>
        <v/>
      </c>
      <c r="X95" s="31" t="str">
        <f t="shared" si="44"/>
        <v/>
      </c>
      <c r="Y95" s="34">
        <f t="shared" si="41"/>
        <v>1</v>
      </c>
      <c r="Z95" s="31">
        <f t="shared" si="32"/>
        <v>0</v>
      </c>
      <c r="AA95" s="66">
        <f t="shared" si="33"/>
        <v>0</v>
      </c>
      <c r="AB95" s="6" t="str">
        <f t="shared" si="34"/>
        <v/>
      </c>
      <c r="AC95" s="48">
        <f t="shared" si="22"/>
        <v>0</v>
      </c>
    </row>
    <row r="96" spans="3:29" x14ac:dyDescent="0.25">
      <c r="C96" s="27" t="str">
        <f t="shared" si="35"/>
        <v/>
      </c>
      <c r="D96" s="30" t="str">
        <f t="shared" si="36"/>
        <v/>
      </c>
      <c r="E96" s="20" t="str">
        <f t="shared" si="23"/>
        <v/>
      </c>
      <c r="F96" s="20" t="str">
        <f t="shared" si="24"/>
        <v/>
      </c>
      <c r="G96" s="24" t="str">
        <f t="shared" si="37"/>
        <v/>
      </c>
      <c r="H96" s="21" t="str">
        <f t="shared" si="25"/>
        <v/>
      </c>
      <c r="I96" s="66" t="str">
        <f t="shared" si="26"/>
        <v/>
      </c>
      <c r="J96" s="66" t="str">
        <f t="shared" si="27"/>
        <v/>
      </c>
      <c r="K96" s="11" t="str">
        <f t="shared" si="28"/>
        <v/>
      </c>
      <c r="L96" s="23" t="str">
        <f t="shared" si="42"/>
        <v/>
      </c>
      <c r="M96" s="100"/>
      <c r="N96" s="23" t="str">
        <f t="shared" si="29"/>
        <v/>
      </c>
      <c r="O96" s="23" t="str">
        <f t="shared" si="38"/>
        <v/>
      </c>
      <c r="P96" s="23" t="str">
        <f t="shared" si="39"/>
        <v/>
      </c>
      <c r="Q96" s="19" t="str">
        <f t="shared" si="30"/>
        <v/>
      </c>
      <c r="R96" s="19"/>
      <c r="T96" s="37" t="str">
        <f t="shared" si="31"/>
        <v/>
      </c>
      <c r="U96" s="37" t="str">
        <f t="shared" si="40"/>
        <v/>
      </c>
      <c r="W96" s="31" t="str">
        <f t="shared" si="43"/>
        <v/>
      </c>
      <c r="X96" s="31" t="str">
        <f t="shared" si="44"/>
        <v/>
      </c>
      <c r="Y96" s="34">
        <f t="shared" si="41"/>
        <v>1</v>
      </c>
      <c r="Z96" s="31">
        <f t="shared" si="32"/>
        <v>0</v>
      </c>
      <c r="AA96" s="66">
        <f t="shared" si="33"/>
        <v>0</v>
      </c>
      <c r="AB96" s="6" t="str">
        <f t="shared" si="34"/>
        <v/>
      </c>
      <c r="AC96" s="48">
        <f t="shared" si="22"/>
        <v>0</v>
      </c>
    </row>
    <row r="97" spans="3:29" x14ac:dyDescent="0.25">
      <c r="C97" s="27" t="str">
        <f t="shared" si="35"/>
        <v/>
      </c>
      <c r="D97" s="30" t="str">
        <f t="shared" si="36"/>
        <v/>
      </c>
      <c r="E97" s="20" t="str">
        <f t="shared" si="23"/>
        <v/>
      </c>
      <c r="F97" s="20" t="str">
        <f t="shared" si="24"/>
        <v/>
      </c>
      <c r="G97" s="24" t="str">
        <f t="shared" si="37"/>
        <v/>
      </c>
      <c r="H97" s="21" t="str">
        <f t="shared" si="25"/>
        <v/>
      </c>
      <c r="I97" s="66" t="str">
        <f t="shared" si="26"/>
        <v/>
      </c>
      <c r="J97" s="66" t="str">
        <f t="shared" si="27"/>
        <v/>
      </c>
      <c r="K97" s="11" t="str">
        <f t="shared" si="28"/>
        <v/>
      </c>
      <c r="L97" s="23" t="str">
        <f t="shared" si="42"/>
        <v/>
      </c>
      <c r="M97" s="100"/>
      <c r="N97" s="23" t="str">
        <f t="shared" si="29"/>
        <v/>
      </c>
      <c r="O97" s="23" t="str">
        <f t="shared" si="38"/>
        <v/>
      </c>
      <c r="P97" s="23" t="str">
        <f t="shared" si="39"/>
        <v/>
      </c>
      <c r="Q97" s="19" t="str">
        <f t="shared" si="30"/>
        <v/>
      </c>
      <c r="R97" s="19"/>
      <c r="T97" s="37" t="str">
        <f t="shared" si="31"/>
        <v/>
      </c>
      <c r="U97" s="37" t="str">
        <f t="shared" si="40"/>
        <v/>
      </c>
      <c r="W97" s="31" t="str">
        <f t="shared" si="43"/>
        <v/>
      </c>
      <c r="X97" s="31" t="str">
        <f t="shared" si="44"/>
        <v/>
      </c>
      <c r="Y97" s="34">
        <f t="shared" si="41"/>
        <v>1</v>
      </c>
      <c r="Z97" s="31">
        <f t="shared" si="32"/>
        <v>0</v>
      </c>
      <c r="AA97" s="66">
        <f t="shared" si="33"/>
        <v>0</v>
      </c>
      <c r="AB97" s="6" t="str">
        <f t="shared" si="34"/>
        <v/>
      </c>
      <c r="AC97" s="48">
        <f t="shared" si="22"/>
        <v>0</v>
      </c>
    </row>
    <row r="98" spans="3:29" x14ac:dyDescent="0.25">
      <c r="C98" s="27" t="str">
        <f t="shared" si="35"/>
        <v/>
      </c>
      <c r="D98" s="30" t="str">
        <f t="shared" si="36"/>
        <v/>
      </c>
      <c r="E98" s="20" t="str">
        <f t="shared" si="23"/>
        <v/>
      </c>
      <c r="F98" s="20" t="str">
        <f t="shared" si="24"/>
        <v/>
      </c>
      <c r="G98" s="24" t="str">
        <f t="shared" si="37"/>
        <v/>
      </c>
      <c r="H98" s="21" t="str">
        <f t="shared" si="25"/>
        <v/>
      </c>
      <c r="I98" s="66" t="str">
        <f t="shared" si="26"/>
        <v/>
      </c>
      <c r="J98" s="66" t="str">
        <f t="shared" si="27"/>
        <v/>
      </c>
      <c r="K98" s="11" t="str">
        <f t="shared" si="28"/>
        <v/>
      </c>
      <c r="L98" s="23" t="str">
        <f t="shared" si="42"/>
        <v/>
      </c>
      <c r="M98" s="100"/>
      <c r="N98" s="23" t="str">
        <f t="shared" si="29"/>
        <v/>
      </c>
      <c r="O98" s="23" t="str">
        <f t="shared" si="38"/>
        <v/>
      </c>
      <c r="P98" s="23" t="str">
        <f t="shared" si="39"/>
        <v/>
      </c>
      <c r="Q98" s="19" t="str">
        <f t="shared" si="30"/>
        <v/>
      </c>
      <c r="R98" s="19"/>
      <c r="T98" s="37" t="str">
        <f t="shared" si="31"/>
        <v/>
      </c>
      <c r="U98" s="37" t="str">
        <f t="shared" si="40"/>
        <v/>
      </c>
      <c r="W98" s="31" t="str">
        <f t="shared" si="43"/>
        <v/>
      </c>
      <c r="X98" s="31" t="str">
        <f t="shared" si="44"/>
        <v/>
      </c>
      <c r="Y98" s="34">
        <f t="shared" si="41"/>
        <v>1</v>
      </c>
      <c r="Z98" s="31">
        <f t="shared" si="32"/>
        <v>0</v>
      </c>
      <c r="AA98" s="66">
        <f t="shared" si="33"/>
        <v>0</v>
      </c>
      <c r="AB98" s="6" t="str">
        <f t="shared" si="34"/>
        <v/>
      </c>
      <c r="AC98" s="48">
        <f t="shared" si="22"/>
        <v>0</v>
      </c>
    </row>
    <row r="99" spans="3:29" x14ac:dyDescent="0.25">
      <c r="C99" s="27" t="str">
        <f t="shared" si="35"/>
        <v/>
      </c>
      <c r="D99" s="30" t="str">
        <f t="shared" si="36"/>
        <v/>
      </c>
      <c r="E99" s="20" t="str">
        <f t="shared" si="23"/>
        <v/>
      </c>
      <c r="F99" s="20" t="str">
        <f t="shared" si="24"/>
        <v/>
      </c>
      <c r="G99" s="24" t="str">
        <f t="shared" si="37"/>
        <v/>
      </c>
      <c r="H99" s="21" t="str">
        <f t="shared" si="25"/>
        <v/>
      </c>
      <c r="I99" s="66" t="str">
        <f t="shared" si="26"/>
        <v/>
      </c>
      <c r="J99" s="66" t="str">
        <f t="shared" si="27"/>
        <v/>
      </c>
      <c r="K99" s="11" t="str">
        <f t="shared" si="28"/>
        <v/>
      </c>
      <c r="L99" s="23" t="str">
        <f t="shared" si="42"/>
        <v/>
      </c>
      <c r="M99" s="100"/>
      <c r="N99" s="23" t="str">
        <f t="shared" si="29"/>
        <v/>
      </c>
      <c r="O99" s="23" t="str">
        <f t="shared" si="38"/>
        <v/>
      </c>
      <c r="P99" s="23" t="str">
        <f t="shared" si="39"/>
        <v/>
      </c>
      <c r="Q99" s="19" t="str">
        <f t="shared" si="30"/>
        <v/>
      </c>
      <c r="R99" s="19"/>
      <c r="T99" s="37" t="str">
        <f t="shared" si="31"/>
        <v/>
      </c>
      <c r="U99" s="37" t="str">
        <f t="shared" si="40"/>
        <v/>
      </c>
      <c r="W99" s="31" t="str">
        <f t="shared" si="43"/>
        <v/>
      </c>
      <c r="X99" s="31" t="str">
        <f t="shared" si="44"/>
        <v/>
      </c>
      <c r="Y99" s="34">
        <f t="shared" si="41"/>
        <v>1</v>
      </c>
      <c r="Z99" s="31">
        <f t="shared" si="32"/>
        <v>0</v>
      </c>
      <c r="AA99" s="66">
        <f t="shared" si="33"/>
        <v>0</v>
      </c>
      <c r="AB99" s="6" t="str">
        <f t="shared" si="34"/>
        <v/>
      </c>
      <c r="AC99" s="48">
        <f t="shared" ref="AC99:AC162" si="45">AC98</f>
        <v>0</v>
      </c>
    </row>
    <row r="100" spans="3:29" x14ac:dyDescent="0.25">
      <c r="C100" s="27" t="str">
        <f t="shared" si="35"/>
        <v/>
      </c>
      <c r="D100" s="30" t="str">
        <f t="shared" si="36"/>
        <v/>
      </c>
      <c r="E100" s="20" t="str">
        <f t="shared" si="23"/>
        <v/>
      </c>
      <c r="F100" s="20" t="str">
        <f t="shared" si="24"/>
        <v/>
      </c>
      <c r="G100" s="24" t="str">
        <f t="shared" si="37"/>
        <v/>
      </c>
      <c r="H100" s="21" t="str">
        <f t="shared" si="25"/>
        <v/>
      </c>
      <c r="I100" s="66" t="str">
        <f t="shared" si="26"/>
        <v/>
      </c>
      <c r="J100" s="66" t="str">
        <f t="shared" si="27"/>
        <v/>
      </c>
      <c r="K100" s="11" t="str">
        <f t="shared" si="28"/>
        <v/>
      </c>
      <c r="L100" s="23" t="str">
        <f t="shared" si="42"/>
        <v/>
      </c>
      <c r="M100" s="100"/>
      <c r="N100" s="23" t="str">
        <f t="shared" si="29"/>
        <v/>
      </c>
      <c r="O100" s="23" t="str">
        <f t="shared" si="38"/>
        <v/>
      </c>
      <c r="P100" s="23" t="str">
        <f t="shared" si="39"/>
        <v/>
      </c>
      <c r="Q100" s="19" t="str">
        <f t="shared" si="30"/>
        <v/>
      </c>
      <c r="R100" s="19"/>
      <c r="T100" s="37" t="str">
        <f t="shared" si="31"/>
        <v/>
      </c>
      <c r="U100" s="37" t="str">
        <f t="shared" si="40"/>
        <v/>
      </c>
      <c r="W100" s="31" t="str">
        <f t="shared" si="43"/>
        <v/>
      </c>
      <c r="X100" s="31" t="str">
        <f t="shared" si="44"/>
        <v/>
      </c>
      <c r="Y100" s="34">
        <f t="shared" si="41"/>
        <v>1</v>
      </c>
      <c r="Z100" s="31">
        <f t="shared" si="32"/>
        <v>0</v>
      </c>
      <c r="AA100" s="66">
        <f t="shared" si="33"/>
        <v>0</v>
      </c>
      <c r="AB100" s="6" t="str">
        <f t="shared" si="34"/>
        <v/>
      </c>
      <c r="AC100" s="48">
        <f t="shared" si="45"/>
        <v>0</v>
      </c>
    </row>
    <row r="101" spans="3:29" x14ac:dyDescent="0.25">
      <c r="C101" s="27" t="str">
        <f t="shared" si="35"/>
        <v/>
      </c>
      <c r="D101" s="30" t="str">
        <f t="shared" si="36"/>
        <v/>
      </c>
      <c r="E101" s="20" t="str">
        <f t="shared" si="23"/>
        <v/>
      </c>
      <c r="F101" s="20" t="str">
        <f t="shared" si="24"/>
        <v/>
      </c>
      <c r="G101" s="24" t="str">
        <f t="shared" si="37"/>
        <v/>
      </c>
      <c r="H101" s="21" t="str">
        <f t="shared" si="25"/>
        <v/>
      </c>
      <c r="I101" s="66" t="str">
        <f t="shared" si="26"/>
        <v/>
      </c>
      <c r="J101" s="66" t="str">
        <f t="shared" si="27"/>
        <v/>
      </c>
      <c r="K101" s="11" t="str">
        <f t="shared" si="28"/>
        <v/>
      </c>
      <c r="L101" s="23" t="str">
        <f t="shared" si="42"/>
        <v/>
      </c>
      <c r="M101" s="100"/>
      <c r="N101" s="23" t="str">
        <f t="shared" si="29"/>
        <v/>
      </c>
      <c r="O101" s="23" t="str">
        <f t="shared" si="38"/>
        <v/>
      </c>
      <c r="P101" s="23" t="str">
        <f t="shared" si="39"/>
        <v/>
      </c>
      <c r="Q101" s="19" t="str">
        <f t="shared" si="30"/>
        <v/>
      </c>
      <c r="R101" s="19"/>
      <c r="T101" s="37" t="str">
        <f t="shared" si="31"/>
        <v/>
      </c>
      <c r="U101" s="37" t="str">
        <f t="shared" si="40"/>
        <v/>
      </c>
      <c r="W101" s="31" t="str">
        <f t="shared" si="43"/>
        <v/>
      </c>
      <c r="X101" s="31" t="str">
        <f t="shared" si="44"/>
        <v/>
      </c>
      <c r="Y101" s="34">
        <f t="shared" si="41"/>
        <v>1</v>
      </c>
      <c r="Z101" s="31">
        <f t="shared" si="32"/>
        <v>0</v>
      </c>
      <c r="AA101" s="66">
        <f t="shared" si="33"/>
        <v>0</v>
      </c>
      <c r="AB101" s="6" t="str">
        <f t="shared" si="34"/>
        <v/>
      </c>
      <c r="AC101" s="48">
        <f t="shared" si="45"/>
        <v>0</v>
      </c>
    </row>
    <row r="102" spans="3:29" x14ac:dyDescent="0.25">
      <c r="C102" s="27" t="str">
        <f t="shared" si="35"/>
        <v/>
      </c>
      <c r="D102" s="30" t="str">
        <f t="shared" si="36"/>
        <v/>
      </c>
      <c r="E102" s="20" t="str">
        <f t="shared" si="23"/>
        <v/>
      </c>
      <c r="F102" s="20" t="str">
        <f t="shared" si="24"/>
        <v/>
      </c>
      <c r="G102" s="24" t="str">
        <f t="shared" si="37"/>
        <v/>
      </c>
      <c r="H102" s="21" t="str">
        <f t="shared" si="25"/>
        <v/>
      </c>
      <c r="I102" s="66" t="str">
        <f t="shared" si="26"/>
        <v/>
      </c>
      <c r="J102" s="66" t="str">
        <f t="shared" si="27"/>
        <v/>
      </c>
      <c r="K102" s="11" t="str">
        <f t="shared" si="28"/>
        <v/>
      </c>
      <c r="L102" s="23" t="str">
        <f t="shared" si="42"/>
        <v/>
      </c>
      <c r="M102" s="100"/>
      <c r="N102" s="23" t="str">
        <f t="shared" si="29"/>
        <v/>
      </c>
      <c r="O102" s="23" t="str">
        <f t="shared" si="38"/>
        <v/>
      </c>
      <c r="P102" s="23" t="str">
        <f t="shared" si="39"/>
        <v/>
      </c>
      <c r="Q102" s="19" t="str">
        <f t="shared" si="30"/>
        <v/>
      </c>
      <c r="R102" s="19"/>
      <c r="T102" s="37" t="str">
        <f t="shared" si="31"/>
        <v/>
      </c>
      <c r="U102" s="37" t="str">
        <f t="shared" si="40"/>
        <v/>
      </c>
      <c r="W102" s="31" t="str">
        <f t="shared" si="43"/>
        <v/>
      </c>
      <c r="X102" s="31" t="str">
        <f t="shared" si="44"/>
        <v/>
      </c>
      <c r="Y102" s="34">
        <f t="shared" si="41"/>
        <v>1</v>
      </c>
      <c r="Z102" s="31">
        <f t="shared" si="32"/>
        <v>0</v>
      </c>
      <c r="AA102" s="66">
        <f t="shared" si="33"/>
        <v>0</v>
      </c>
      <c r="AB102" s="6" t="str">
        <f t="shared" si="34"/>
        <v/>
      </c>
      <c r="AC102" s="48">
        <f t="shared" si="45"/>
        <v>0</v>
      </c>
    </row>
    <row r="103" spans="3:29" x14ac:dyDescent="0.25">
      <c r="C103" s="27" t="str">
        <f t="shared" si="35"/>
        <v/>
      </c>
      <c r="D103" s="30" t="str">
        <f t="shared" si="36"/>
        <v/>
      </c>
      <c r="E103" s="20" t="str">
        <f t="shared" si="23"/>
        <v/>
      </c>
      <c r="F103" s="20" t="str">
        <f t="shared" si="24"/>
        <v/>
      </c>
      <c r="G103" s="24" t="str">
        <f t="shared" si="37"/>
        <v/>
      </c>
      <c r="H103" s="21" t="str">
        <f t="shared" si="25"/>
        <v/>
      </c>
      <c r="I103" s="66" t="str">
        <f t="shared" si="26"/>
        <v/>
      </c>
      <c r="J103" s="66" t="str">
        <f t="shared" si="27"/>
        <v/>
      </c>
      <c r="K103" s="11" t="str">
        <f t="shared" si="28"/>
        <v/>
      </c>
      <c r="L103" s="23" t="str">
        <f t="shared" si="42"/>
        <v/>
      </c>
      <c r="M103" s="100"/>
      <c r="N103" s="23" t="str">
        <f t="shared" si="29"/>
        <v/>
      </c>
      <c r="O103" s="23" t="str">
        <f t="shared" si="38"/>
        <v/>
      </c>
      <c r="P103" s="23" t="str">
        <f t="shared" si="39"/>
        <v/>
      </c>
      <c r="Q103" s="19" t="str">
        <f t="shared" si="30"/>
        <v/>
      </c>
      <c r="R103" s="19"/>
      <c r="T103" s="37" t="str">
        <f t="shared" si="31"/>
        <v/>
      </c>
      <c r="U103" s="37" t="str">
        <f t="shared" si="40"/>
        <v/>
      </c>
      <c r="W103" s="31" t="str">
        <f t="shared" si="43"/>
        <v/>
      </c>
      <c r="X103" s="31" t="str">
        <f t="shared" si="44"/>
        <v/>
      </c>
      <c r="Y103" s="34">
        <f t="shared" si="41"/>
        <v>1</v>
      </c>
      <c r="Z103" s="31">
        <f t="shared" si="32"/>
        <v>0</v>
      </c>
      <c r="AA103" s="66">
        <f t="shared" si="33"/>
        <v>0</v>
      </c>
      <c r="AB103" s="6" t="str">
        <f t="shared" si="34"/>
        <v/>
      </c>
      <c r="AC103" s="48">
        <f t="shared" si="45"/>
        <v>0</v>
      </c>
    </row>
    <row r="104" spans="3:29" x14ac:dyDescent="0.25">
      <c r="C104" s="27" t="str">
        <f t="shared" si="35"/>
        <v/>
      </c>
      <c r="D104" s="30" t="str">
        <f t="shared" si="36"/>
        <v/>
      </c>
      <c r="E104" s="20" t="str">
        <f t="shared" si="23"/>
        <v/>
      </c>
      <c r="F104" s="20" t="str">
        <f t="shared" si="24"/>
        <v/>
      </c>
      <c r="G104" s="24" t="str">
        <f t="shared" si="37"/>
        <v/>
      </c>
      <c r="H104" s="21" t="str">
        <f t="shared" si="25"/>
        <v/>
      </c>
      <c r="I104" s="66" t="str">
        <f t="shared" si="26"/>
        <v/>
      </c>
      <c r="J104" s="66" t="str">
        <f t="shared" si="27"/>
        <v/>
      </c>
      <c r="K104" s="11" t="str">
        <f t="shared" si="28"/>
        <v/>
      </c>
      <c r="L104" s="23" t="str">
        <f t="shared" si="42"/>
        <v/>
      </c>
      <c r="M104" s="100"/>
      <c r="N104" s="23" t="str">
        <f t="shared" si="29"/>
        <v/>
      </c>
      <c r="O104" s="23" t="str">
        <f t="shared" si="38"/>
        <v/>
      </c>
      <c r="P104" s="23" t="str">
        <f t="shared" si="39"/>
        <v/>
      </c>
      <c r="Q104" s="19" t="str">
        <f t="shared" si="30"/>
        <v/>
      </c>
      <c r="R104" s="19"/>
      <c r="T104" s="37" t="str">
        <f t="shared" si="31"/>
        <v/>
      </c>
      <c r="U104" s="37" t="str">
        <f t="shared" si="40"/>
        <v/>
      </c>
      <c r="W104" s="31" t="str">
        <f t="shared" si="43"/>
        <v/>
      </c>
      <c r="X104" s="31" t="str">
        <f t="shared" si="44"/>
        <v/>
      </c>
      <c r="Y104" s="34">
        <f t="shared" si="41"/>
        <v>1</v>
      </c>
      <c r="Z104" s="31">
        <f t="shared" si="32"/>
        <v>0</v>
      </c>
      <c r="AA104" s="66">
        <f t="shared" si="33"/>
        <v>0</v>
      </c>
      <c r="AB104" s="6" t="str">
        <f t="shared" si="34"/>
        <v/>
      </c>
      <c r="AC104" s="48">
        <f t="shared" si="45"/>
        <v>0</v>
      </c>
    </row>
    <row r="105" spans="3:29" x14ac:dyDescent="0.25">
      <c r="C105" s="27" t="str">
        <f t="shared" si="35"/>
        <v/>
      </c>
      <c r="D105" s="30" t="str">
        <f t="shared" si="36"/>
        <v/>
      </c>
      <c r="E105" s="20" t="str">
        <f t="shared" si="23"/>
        <v/>
      </c>
      <c r="F105" s="20" t="str">
        <f t="shared" si="24"/>
        <v/>
      </c>
      <c r="G105" s="24" t="str">
        <f t="shared" si="37"/>
        <v/>
      </c>
      <c r="H105" s="21" t="str">
        <f t="shared" si="25"/>
        <v/>
      </c>
      <c r="I105" s="66" t="str">
        <f t="shared" si="26"/>
        <v/>
      </c>
      <c r="J105" s="66" t="str">
        <f t="shared" si="27"/>
        <v/>
      </c>
      <c r="K105" s="11" t="str">
        <f t="shared" si="28"/>
        <v/>
      </c>
      <c r="L105" s="23" t="str">
        <f t="shared" si="42"/>
        <v/>
      </c>
      <c r="M105" s="100"/>
      <c r="N105" s="23" t="str">
        <f t="shared" si="29"/>
        <v/>
      </c>
      <c r="O105" s="23" t="str">
        <f t="shared" si="38"/>
        <v/>
      </c>
      <c r="P105" s="23" t="str">
        <f t="shared" si="39"/>
        <v/>
      </c>
      <c r="Q105" s="19" t="str">
        <f t="shared" si="30"/>
        <v/>
      </c>
      <c r="R105" s="19"/>
      <c r="T105" s="37" t="str">
        <f t="shared" si="31"/>
        <v/>
      </c>
      <c r="U105" s="37" t="str">
        <f t="shared" si="40"/>
        <v/>
      </c>
      <c r="W105" s="31" t="str">
        <f t="shared" si="43"/>
        <v/>
      </c>
      <c r="X105" s="31" t="str">
        <f t="shared" si="44"/>
        <v/>
      </c>
      <c r="Y105" s="34">
        <f t="shared" si="41"/>
        <v>1</v>
      </c>
      <c r="Z105" s="31">
        <f t="shared" si="32"/>
        <v>0</v>
      </c>
      <c r="AA105" s="66">
        <f t="shared" si="33"/>
        <v>0</v>
      </c>
      <c r="AB105" s="6" t="str">
        <f t="shared" si="34"/>
        <v/>
      </c>
      <c r="AC105" s="48">
        <f>AC104+$M$17</f>
        <v>0</v>
      </c>
    </row>
    <row r="106" spans="3:29" x14ac:dyDescent="0.25">
      <c r="C106" s="27" t="str">
        <f t="shared" si="35"/>
        <v/>
      </c>
      <c r="D106" s="30" t="str">
        <f t="shared" si="36"/>
        <v/>
      </c>
      <c r="E106" s="20" t="str">
        <f t="shared" si="23"/>
        <v/>
      </c>
      <c r="F106" s="20" t="str">
        <f t="shared" si="24"/>
        <v/>
      </c>
      <c r="G106" s="24" t="str">
        <f t="shared" si="37"/>
        <v/>
      </c>
      <c r="H106" s="21" t="str">
        <f t="shared" si="25"/>
        <v/>
      </c>
      <c r="I106" s="66" t="str">
        <f t="shared" si="26"/>
        <v/>
      </c>
      <c r="J106" s="66" t="str">
        <f t="shared" si="27"/>
        <v/>
      </c>
      <c r="K106" s="11" t="str">
        <f t="shared" si="28"/>
        <v/>
      </c>
      <c r="L106" s="23" t="str">
        <f t="shared" si="42"/>
        <v/>
      </c>
      <c r="M106" s="100"/>
      <c r="N106" s="23" t="str">
        <f t="shared" si="29"/>
        <v/>
      </c>
      <c r="O106" s="23" t="str">
        <f t="shared" si="38"/>
        <v/>
      </c>
      <c r="P106" s="23" t="str">
        <f t="shared" si="39"/>
        <v/>
      </c>
      <c r="Q106" s="19" t="str">
        <f t="shared" si="30"/>
        <v/>
      </c>
      <c r="R106" s="19"/>
      <c r="T106" s="37" t="str">
        <f t="shared" si="31"/>
        <v/>
      </c>
      <c r="U106" s="37" t="str">
        <f t="shared" si="40"/>
        <v/>
      </c>
      <c r="W106" s="31" t="str">
        <f t="shared" si="43"/>
        <v/>
      </c>
      <c r="X106" s="31" t="str">
        <f t="shared" si="44"/>
        <v/>
      </c>
      <c r="Y106" s="34">
        <f t="shared" si="41"/>
        <v>1</v>
      </c>
      <c r="Z106" s="31">
        <f t="shared" si="32"/>
        <v>0</v>
      </c>
      <c r="AA106" s="66">
        <f t="shared" si="33"/>
        <v>0</v>
      </c>
      <c r="AB106" s="6" t="str">
        <f t="shared" si="34"/>
        <v/>
      </c>
      <c r="AC106" s="48">
        <f t="shared" si="45"/>
        <v>0</v>
      </c>
    </row>
    <row r="107" spans="3:29" x14ac:dyDescent="0.25">
      <c r="C107" s="27" t="str">
        <f t="shared" si="35"/>
        <v/>
      </c>
      <c r="D107" s="30" t="str">
        <f t="shared" si="36"/>
        <v/>
      </c>
      <c r="E107" s="20" t="str">
        <f t="shared" si="23"/>
        <v/>
      </c>
      <c r="F107" s="20" t="str">
        <f t="shared" si="24"/>
        <v/>
      </c>
      <c r="G107" s="24" t="str">
        <f t="shared" si="37"/>
        <v/>
      </c>
      <c r="H107" s="21" t="str">
        <f t="shared" si="25"/>
        <v/>
      </c>
      <c r="I107" s="66" t="str">
        <f t="shared" si="26"/>
        <v/>
      </c>
      <c r="J107" s="66" t="str">
        <f t="shared" si="27"/>
        <v/>
      </c>
      <c r="K107" s="11" t="str">
        <f t="shared" si="28"/>
        <v/>
      </c>
      <c r="L107" s="23" t="str">
        <f t="shared" si="42"/>
        <v/>
      </c>
      <c r="M107" s="100"/>
      <c r="N107" s="23" t="str">
        <f t="shared" si="29"/>
        <v/>
      </c>
      <c r="O107" s="23" t="str">
        <f t="shared" si="38"/>
        <v/>
      </c>
      <c r="P107" s="23" t="str">
        <f t="shared" si="39"/>
        <v/>
      </c>
      <c r="Q107" s="19" t="str">
        <f t="shared" si="30"/>
        <v/>
      </c>
      <c r="R107" s="19"/>
      <c r="T107" s="37" t="str">
        <f t="shared" si="31"/>
        <v/>
      </c>
      <c r="U107" s="37" t="str">
        <f t="shared" si="40"/>
        <v/>
      </c>
      <c r="W107" s="31" t="str">
        <f t="shared" si="43"/>
        <v/>
      </c>
      <c r="X107" s="31" t="str">
        <f t="shared" si="44"/>
        <v/>
      </c>
      <c r="Y107" s="34">
        <f t="shared" si="41"/>
        <v>1</v>
      </c>
      <c r="Z107" s="31">
        <f t="shared" si="32"/>
        <v>0</v>
      </c>
      <c r="AA107" s="66">
        <f t="shared" si="33"/>
        <v>0</v>
      </c>
      <c r="AB107" s="6" t="str">
        <f t="shared" si="34"/>
        <v/>
      </c>
      <c r="AC107" s="48">
        <f t="shared" si="45"/>
        <v>0</v>
      </c>
    </row>
    <row r="108" spans="3:29" x14ac:dyDescent="0.25">
      <c r="C108" s="27" t="str">
        <f t="shared" si="35"/>
        <v/>
      </c>
      <c r="D108" s="30" t="str">
        <f t="shared" si="36"/>
        <v/>
      </c>
      <c r="E108" s="20" t="str">
        <f t="shared" si="23"/>
        <v/>
      </c>
      <c r="F108" s="20" t="str">
        <f t="shared" si="24"/>
        <v/>
      </c>
      <c r="G108" s="24" t="str">
        <f t="shared" si="37"/>
        <v/>
      </c>
      <c r="H108" s="21" t="str">
        <f t="shared" si="25"/>
        <v/>
      </c>
      <c r="I108" s="66" t="str">
        <f t="shared" si="26"/>
        <v/>
      </c>
      <c r="J108" s="66" t="str">
        <f t="shared" si="27"/>
        <v/>
      </c>
      <c r="K108" s="11" t="str">
        <f t="shared" si="28"/>
        <v/>
      </c>
      <c r="L108" s="23" t="str">
        <f t="shared" si="42"/>
        <v/>
      </c>
      <c r="M108" s="100"/>
      <c r="N108" s="23" t="str">
        <f t="shared" si="29"/>
        <v/>
      </c>
      <c r="O108" s="23" t="str">
        <f t="shared" si="38"/>
        <v/>
      </c>
      <c r="P108" s="23" t="str">
        <f t="shared" si="39"/>
        <v/>
      </c>
      <c r="Q108" s="19" t="str">
        <f t="shared" si="30"/>
        <v/>
      </c>
      <c r="R108" s="19"/>
      <c r="T108" s="37" t="str">
        <f t="shared" si="31"/>
        <v/>
      </c>
      <c r="U108" s="37" t="str">
        <f t="shared" si="40"/>
        <v/>
      </c>
      <c r="W108" s="31" t="str">
        <f t="shared" si="43"/>
        <v/>
      </c>
      <c r="X108" s="31" t="str">
        <f t="shared" si="44"/>
        <v/>
      </c>
      <c r="Y108" s="34">
        <f t="shared" si="41"/>
        <v>1</v>
      </c>
      <c r="Z108" s="31">
        <f t="shared" si="32"/>
        <v>0</v>
      </c>
      <c r="AA108" s="66">
        <f t="shared" si="33"/>
        <v>0</v>
      </c>
      <c r="AB108" s="6" t="str">
        <f t="shared" si="34"/>
        <v/>
      </c>
      <c r="AC108" s="48">
        <f t="shared" si="45"/>
        <v>0</v>
      </c>
    </row>
    <row r="109" spans="3:29" x14ac:dyDescent="0.25">
      <c r="C109" s="27" t="str">
        <f t="shared" si="35"/>
        <v/>
      </c>
      <c r="D109" s="30" t="str">
        <f t="shared" si="36"/>
        <v/>
      </c>
      <c r="E109" s="20" t="str">
        <f t="shared" si="23"/>
        <v/>
      </c>
      <c r="F109" s="20" t="str">
        <f t="shared" si="24"/>
        <v/>
      </c>
      <c r="G109" s="24" t="str">
        <f t="shared" si="37"/>
        <v/>
      </c>
      <c r="H109" s="21" t="str">
        <f t="shared" si="25"/>
        <v/>
      </c>
      <c r="I109" s="66" t="str">
        <f t="shared" si="26"/>
        <v/>
      </c>
      <c r="J109" s="66" t="str">
        <f t="shared" si="27"/>
        <v/>
      </c>
      <c r="K109" s="11" t="str">
        <f t="shared" si="28"/>
        <v/>
      </c>
      <c r="L109" s="23" t="str">
        <f t="shared" si="42"/>
        <v/>
      </c>
      <c r="M109" s="100"/>
      <c r="N109" s="23" t="str">
        <f t="shared" si="29"/>
        <v/>
      </c>
      <c r="O109" s="23" t="str">
        <f t="shared" si="38"/>
        <v/>
      </c>
      <c r="P109" s="23" t="str">
        <f t="shared" si="39"/>
        <v/>
      </c>
      <c r="Q109" s="19" t="str">
        <f t="shared" si="30"/>
        <v/>
      </c>
      <c r="R109" s="19"/>
      <c r="T109" s="37" t="str">
        <f t="shared" si="31"/>
        <v/>
      </c>
      <c r="U109" s="37" t="str">
        <f t="shared" si="40"/>
        <v/>
      </c>
      <c r="W109" s="31" t="str">
        <f t="shared" si="43"/>
        <v/>
      </c>
      <c r="X109" s="31" t="str">
        <f t="shared" si="44"/>
        <v/>
      </c>
      <c r="Y109" s="34">
        <f t="shared" si="41"/>
        <v>1</v>
      </c>
      <c r="Z109" s="31">
        <f t="shared" si="32"/>
        <v>0</v>
      </c>
      <c r="AA109" s="66">
        <f t="shared" si="33"/>
        <v>0</v>
      </c>
      <c r="AB109" s="6" t="str">
        <f t="shared" si="34"/>
        <v/>
      </c>
      <c r="AC109" s="48">
        <f t="shared" si="45"/>
        <v>0</v>
      </c>
    </row>
    <row r="110" spans="3:29" x14ac:dyDescent="0.25">
      <c r="C110" s="27" t="str">
        <f t="shared" si="35"/>
        <v/>
      </c>
      <c r="D110" s="30" t="str">
        <f t="shared" si="36"/>
        <v/>
      </c>
      <c r="E110" s="20" t="str">
        <f t="shared" si="23"/>
        <v/>
      </c>
      <c r="F110" s="20" t="str">
        <f t="shared" si="24"/>
        <v/>
      </c>
      <c r="G110" s="24" t="str">
        <f t="shared" si="37"/>
        <v/>
      </c>
      <c r="H110" s="21" t="str">
        <f t="shared" si="25"/>
        <v/>
      </c>
      <c r="I110" s="66" t="str">
        <f t="shared" si="26"/>
        <v/>
      </c>
      <c r="J110" s="66" t="str">
        <f t="shared" si="27"/>
        <v/>
      </c>
      <c r="K110" s="11" t="str">
        <f t="shared" si="28"/>
        <v/>
      </c>
      <c r="L110" s="23" t="str">
        <f t="shared" si="42"/>
        <v/>
      </c>
      <c r="M110" s="100"/>
      <c r="N110" s="23" t="str">
        <f t="shared" si="29"/>
        <v/>
      </c>
      <c r="O110" s="23" t="str">
        <f t="shared" si="38"/>
        <v/>
      </c>
      <c r="P110" s="23" t="str">
        <f t="shared" si="39"/>
        <v/>
      </c>
      <c r="Q110" s="19" t="str">
        <f t="shared" si="30"/>
        <v/>
      </c>
      <c r="R110" s="19"/>
      <c r="T110" s="37" t="str">
        <f t="shared" si="31"/>
        <v/>
      </c>
      <c r="U110" s="37" t="str">
        <f t="shared" si="40"/>
        <v/>
      </c>
      <c r="W110" s="31" t="str">
        <f t="shared" si="43"/>
        <v/>
      </c>
      <c r="X110" s="31" t="str">
        <f t="shared" si="44"/>
        <v/>
      </c>
      <c r="Y110" s="34">
        <f t="shared" si="41"/>
        <v>1</v>
      </c>
      <c r="Z110" s="31">
        <f t="shared" si="32"/>
        <v>0</v>
      </c>
      <c r="AA110" s="66">
        <f t="shared" si="33"/>
        <v>0</v>
      </c>
      <c r="AB110" s="6" t="str">
        <f t="shared" si="34"/>
        <v/>
      </c>
      <c r="AC110" s="48">
        <f t="shared" si="45"/>
        <v>0</v>
      </c>
    </row>
    <row r="111" spans="3:29" x14ac:dyDescent="0.25">
      <c r="C111" s="27" t="str">
        <f t="shared" si="35"/>
        <v/>
      </c>
      <c r="D111" s="30" t="str">
        <f t="shared" si="36"/>
        <v/>
      </c>
      <c r="E111" s="20" t="str">
        <f t="shared" si="23"/>
        <v/>
      </c>
      <c r="F111" s="20" t="str">
        <f t="shared" si="24"/>
        <v/>
      </c>
      <c r="G111" s="24" t="str">
        <f t="shared" si="37"/>
        <v/>
      </c>
      <c r="H111" s="21" t="str">
        <f t="shared" si="25"/>
        <v/>
      </c>
      <c r="I111" s="66" t="str">
        <f t="shared" si="26"/>
        <v/>
      </c>
      <c r="J111" s="66" t="str">
        <f t="shared" si="27"/>
        <v/>
      </c>
      <c r="K111" s="11" t="str">
        <f t="shared" si="28"/>
        <v/>
      </c>
      <c r="L111" s="23" t="str">
        <f t="shared" si="42"/>
        <v/>
      </c>
      <c r="M111" s="100"/>
      <c r="N111" s="23" t="str">
        <f t="shared" si="29"/>
        <v/>
      </c>
      <c r="O111" s="23" t="str">
        <f t="shared" si="38"/>
        <v/>
      </c>
      <c r="P111" s="23" t="str">
        <f t="shared" si="39"/>
        <v/>
      </c>
      <c r="Q111" s="19" t="str">
        <f t="shared" si="30"/>
        <v/>
      </c>
      <c r="R111" s="19"/>
      <c r="T111" s="37" t="str">
        <f t="shared" si="31"/>
        <v/>
      </c>
      <c r="U111" s="37" t="str">
        <f t="shared" si="40"/>
        <v/>
      </c>
      <c r="W111" s="31" t="str">
        <f t="shared" si="43"/>
        <v/>
      </c>
      <c r="X111" s="31" t="str">
        <f t="shared" si="44"/>
        <v/>
      </c>
      <c r="Y111" s="34">
        <f t="shared" si="41"/>
        <v>1</v>
      </c>
      <c r="Z111" s="31">
        <f t="shared" si="32"/>
        <v>0</v>
      </c>
      <c r="AA111" s="66">
        <f t="shared" si="33"/>
        <v>0</v>
      </c>
      <c r="AB111" s="6" t="str">
        <f t="shared" si="34"/>
        <v/>
      </c>
      <c r="AC111" s="48">
        <f t="shared" si="45"/>
        <v>0</v>
      </c>
    </row>
    <row r="112" spans="3:29" x14ac:dyDescent="0.25">
      <c r="C112" s="27" t="str">
        <f t="shared" si="35"/>
        <v/>
      </c>
      <c r="D112" s="30" t="str">
        <f t="shared" si="36"/>
        <v/>
      </c>
      <c r="E112" s="20" t="str">
        <f t="shared" si="23"/>
        <v/>
      </c>
      <c r="F112" s="20" t="str">
        <f t="shared" si="24"/>
        <v/>
      </c>
      <c r="G112" s="24" t="str">
        <f t="shared" si="37"/>
        <v/>
      </c>
      <c r="H112" s="21" t="str">
        <f t="shared" si="25"/>
        <v/>
      </c>
      <c r="I112" s="66" t="str">
        <f t="shared" si="26"/>
        <v/>
      </c>
      <c r="J112" s="66" t="str">
        <f t="shared" si="27"/>
        <v/>
      </c>
      <c r="K112" s="11" t="str">
        <f t="shared" si="28"/>
        <v/>
      </c>
      <c r="L112" s="23" t="str">
        <f t="shared" si="42"/>
        <v/>
      </c>
      <c r="M112" s="100"/>
      <c r="N112" s="23" t="str">
        <f t="shared" si="29"/>
        <v/>
      </c>
      <c r="O112" s="23" t="str">
        <f t="shared" si="38"/>
        <v/>
      </c>
      <c r="P112" s="23" t="str">
        <f t="shared" si="39"/>
        <v/>
      </c>
      <c r="Q112" s="19" t="str">
        <f t="shared" si="30"/>
        <v/>
      </c>
      <c r="R112" s="19"/>
      <c r="T112" s="37" t="str">
        <f t="shared" si="31"/>
        <v/>
      </c>
      <c r="U112" s="37" t="str">
        <f t="shared" si="40"/>
        <v/>
      </c>
      <c r="W112" s="31" t="str">
        <f t="shared" si="43"/>
        <v/>
      </c>
      <c r="X112" s="31" t="str">
        <f t="shared" si="44"/>
        <v/>
      </c>
      <c r="Y112" s="34">
        <f t="shared" si="41"/>
        <v>1</v>
      </c>
      <c r="Z112" s="31">
        <f t="shared" si="32"/>
        <v>0</v>
      </c>
      <c r="AA112" s="66">
        <f t="shared" si="33"/>
        <v>0</v>
      </c>
      <c r="AB112" s="6" t="str">
        <f t="shared" si="34"/>
        <v/>
      </c>
      <c r="AC112" s="48">
        <f t="shared" si="45"/>
        <v>0</v>
      </c>
    </row>
    <row r="113" spans="3:29" x14ac:dyDescent="0.25">
      <c r="C113" s="27" t="str">
        <f t="shared" si="35"/>
        <v/>
      </c>
      <c r="D113" s="30" t="str">
        <f t="shared" si="36"/>
        <v/>
      </c>
      <c r="E113" s="20" t="str">
        <f t="shared" si="23"/>
        <v/>
      </c>
      <c r="F113" s="20" t="str">
        <f t="shared" si="24"/>
        <v/>
      </c>
      <c r="G113" s="24" t="str">
        <f t="shared" si="37"/>
        <v/>
      </c>
      <c r="H113" s="21" t="str">
        <f t="shared" si="25"/>
        <v/>
      </c>
      <c r="I113" s="66" t="str">
        <f t="shared" si="26"/>
        <v/>
      </c>
      <c r="J113" s="66" t="str">
        <f t="shared" si="27"/>
        <v/>
      </c>
      <c r="K113" s="11" t="str">
        <f t="shared" si="28"/>
        <v/>
      </c>
      <c r="L113" s="23" t="str">
        <f t="shared" si="42"/>
        <v/>
      </c>
      <c r="M113" s="100"/>
      <c r="N113" s="23" t="str">
        <f t="shared" si="29"/>
        <v/>
      </c>
      <c r="O113" s="23" t="str">
        <f t="shared" si="38"/>
        <v/>
      </c>
      <c r="P113" s="23" t="str">
        <f t="shared" si="39"/>
        <v/>
      </c>
      <c r="Q113" s="19" t="str">
        <f t="shared" si="30"/>
        <v/>
      </c>
      <c r="R113" s="19"/>
      <c r="T113" s="37" t="str">
        <f t="shared" si="31"/>
        <v/>
      </c>
      <c r="U113" s="37" t="str">
        <f t="shared" si="40"/>
        <v/>
      </c>
      <c r="W113" s="31" t="str">
        <f t="shared" si="43"/>
        <v/>
      </c>
      <c r="X113" s="31" t="str">
        <f t="shared" si="44"/>
        <v/>
      </c>
      <c r="Y113" s="34">
        <f t="shared" si="41"/>
        <v>1</v>
      </c>
      <c r="Z113" s="31">
        <f t="shared" si="32"/>
        <v>0</v>
      </c>
      <c r="AA113" s="66">
        <f t="shared" si="33"/>
        <v>0</v>
      </c>
      <c r="AB113" s="6" t="str">
        <f t="shared" si="34"/>
        <v/>
      </c>
      <c r="AC113" s="48">
        <f t="shared" si="45"/>
        <v>0</v>
      </c>
    </row>
    <row r="114" spans="3:29" x14ac:dyDescent="0.25">
      <c r="C114" s="27" t="str">
        <f t="shared" si="35"/>
        <v/>
      </c>
      <c r="D114" s="30" t="str">
        <f t="shared" si="36"/>
        <v/>
      </c>
      <c r="E114" s="20" t="str">
        <f t="shared" si="23"/>
        <v/>
      </c>
      <c r="F114" s="20" t="str">
        <f t="shared" si="24"/>
        <v/>
      </c>
      <c r="G114" s="24" t="str">
        <f t="shared" si="37"/>
        <v/>
      </c>
      <c r="H114" s="21" t="str">
        <f t="shared" si="25"/>
        <v/>
      </c>
      <c r="I114" s="66" t="str">
        <f t="shared" si="26"/>
        <v/>
      </c>
      <c r="J114" s="66" t="str">
        <f t="shared" si="27"/>
        <v/>
      </c>
      <c r="K114" s="11" t="str">
        <f t="shared" si="28"/>
        <v/>
      </c>
      <c r="L114" s="23" t="str">
        <f t="shared" si="42"/>
        <v/>
      </c>
      <c r="M114" s="100"/>
      <c r="N114" s="23" t="str">
        <f t="shared" si="29"/>
        <v/>
      </c>
      <c r="O114" s="23" t="str">
        <f t="shared" si="38"/>
        <v/>
      </c>
      <c r="P114" s="23" t="str">
        <f t="shared" si="39"/>
        <v/>
      </c>
      <c r="Q114" s="19" t="str">
        <f t="shared" si="30"/>
        <v/>
      </c>
      <c r="R114" s="19"/>
      <c r="T114" s="37" t="str">
        <f t="shared" si="31"/>
        <v/>
      </c>
      <c r="U114" s="37" t="str">
        <f t="shared" si="40"/>
        <v/>
      </c>
      <c r="W114" s="31" t="str">
        <f t="shared" si="43"/>
        <v/>
      </c>
      <c r="X114" s="31" t="str">
        <f t="shared" si="44"/>
        <v/>
      </c>
      <c r="Y114" s="34">
        <f t="shared" si="41"/>
        <v>1</v>
      </c>
      <c r="Z114" s="31">
        <f t="shared" si="32"/>
        <v>0</v>
      </c>
      <c r="AA114" s="66">
        <f t="shared" si="33"/>
        <v>0</v>
      </c>
      <c r="AB114" s="6" t="str">
        <f t="shared" si="34"/>
        <v/>
      </c>
      <c r="AC114" s="48">
        <f t="shared" si="45"/>
        <v>0</v>
      </c>
    </row>
    <row r="115" spans="3:29" x14ac:dyDescent="0.25">
      <c r="C115" s="27" t="str">
        <f t="shared" si="35"/>
        <v/>
      </c>
      <c r="D115" s="30" t="str">
        <f t="shared" si="36"/>
        <v/>
      </c>
      <c r="E115" s="20" t="str">
        <f t="shared" si="23"/>
        <v/>
      </c>
      <c r="F115" s="20" t="str">
        <f t="shared" si="24"/>
        <v/>
      </c>
      <c r="G115" s="24" t="str">
        <f t="shared" si="37"/>
        <v/>
      </c>
      <c r="H115" s="21" t="str">
        <f t="shared" si="25"/>
        <v/>
      </c>
      <c r="I115" s="66" t="str">
        <f t="shared" si="26"/>
        <v/>
      </c>
      <c r="J115" s="66" t="str">
        <f t="shared" si="27"/>
        <v/>
      </c>
      <c r="K115" s="11" t="str">
        <f t="shared" si="28"/>
        <v/>
      </c>
      <c r="L115" s="23" t="str">
        <f t="shared" si="42"/>
        <v/>
      </c>
      <c r="M115" s="100"/>
      <c r="N115" s="23" t="str">
        <f t="shared" si="29"/>
        <v/>
      </c>
      <c r="O115" s="23" t="str">
        <f t="shared" si="38"/>
        <v/>
      </c>
      <c r="P115" s="23" t="str">
        <f t="shared" si="39"/>
        <v/>
      </c>
      <c r="Q115" s="19" t="str">
        <f t="shared" si="30"/>
        <v/>
      </c>
      <c r="R115" s="19"/>
      <c r="T115" s="37" t="str">
        <f t="shared" si="31"/>
        <v/>
      </c>
      <c r="U115" s="37" t="str">
        <f t="shared" si="40"/>
        <v/>
      </c>
      <c r="W115" s="31" t="str">
        <f t="shared" si="43"/>
        <v/>
      </c>
      <c r="X115" s="31" t="str">
        <f t="shared" si="44"/>
        <v/>
      </c>
      <c r="Y115" s="34">
        <f t="shared" si="41"/>
        <v>1</v>
      </c>
      <c r="Z115" s="31">
        <f t="shared" si="32"/>
        <v>0</v>
      </c>
      <c r="AA115" s="66">
        <f t="shared" si="33"/>
        <v>0</v>
      </c>
      <c r="AB115" s="6" t="str">
        <f t="shared" si="34"/>
        <v/>
      </c>
      <c r="AC115" s="48">
        <f t="shared" si="45"/>
        <v>0</v>
      </c>
    </row>
    <row r="116" spans="3:29" x14ac:dyDescent="0.25">
      <c r="C116" s="27" t="str">
        <f t="shared" si="35"/>
        <v/>
      </c>
      <c r="D116" s="30" t="str">
        <f t="shared" si="36"/>
        <v/>
      </c>
      <c r="E116" s="20" t="str">
        <f t="shared" si="23"/>
        <v/>
      </c>
      <c r="F116" s="20" t="str">
        <f t="shared" si="24"/>
        <v/>
      </c>
      <c r="G116" s="24" t="str">
        <f t="shared" si="37"/>
        <v/>
      </c>
      <c r="H116" s="21" t="str">
        <f t="shared" si="25"/>
        <v/>
      </c>
      <c r="I116" s="66" t="str">
        <f t="shared" si="26"/>
        <v/>
      </c>
      <c r="J116" s="66" t="str">
        <f t="shared" si="27"/>
        <v/>
      </c>
      <c r="K116" s="11" t="str">
        <f t="shared" si="28"/>
        <v/>
      </c>
      <c r="L116" s="23" t="str">
        <f t="shared" si="42"/>
        <v/>
      </c>
      <c r="M116" s="100"/>
      <c r="N116" s="23" t="str">
        <f t="shared" si="29"/>
        <v/>
      </c>
      <c r="O116" s="23" t="str">
        <f t="shared" si="38"/>
        <v/>
      </c>
      <c r="P116" s="23" t="str">
        <f t="shared" si="39"/>
        <v/>
      </c>
      <c r="Q116" s="19" t="str">
        <f t="shared" si="30"/>
        <v/>
      </c>
      <c r="R116" s="19"/>
      <c r="T116" s="37" t="str">
        <f t="shared" si="31"/>
        <v/>
      </c>
      <c r="U116" s="37" t="str">
        <f t="shared" si="40"/>
        <v/>
      </c>
      <c r="W116" s="31" t="str">
        <f t="shared" si="43"/>
        <v/>
      </c>
      <c r="X116" s="31" t="str">
        <f t="shared" si="44"/>
        <v/>
      </c>
      <c r="Y116" s="34">
        <f t="shared" si="41"/>
        <v>1</v>
      </c>
      <c r="Z116" s="31">
        <f t="shared" si="32"/>
        <v>0</v>
      </c>
      <c r="AA116" s="66">
        <f t="shared" si="33"/>
        <v>0</v>
      </c>
      <c r="AB116" s="6" t="str">
        <f t="shared" si="34"/>
        <v/>
      </c>
      <c r="AC116" s="48">
        <f t="shared" si="45"/>
        <v>0</v>
      </c>
    </row>
    <row r="117" spans="3:29" x14ac:dyDescent="0.25">
      <c r="C117" s="27" t="str">
        <f t="shared" si="35"/>
        <v/>
      </c>
      <c r="D117" s="30" t="str">
        <f t="shared" si="36"/>
        <v/>
      </c>
      <c r="E117" s="20" t="str">
        <f t="shared" si="23"/>
        <v/>
      </c>
      <c r="F117" s="20" t="str">
        <f t="shared" si="24"/>
        <v/>
      </c>
      <c r="G117" s="24" t="str">
        <f t="shared" si="37"/>
        <v/>
      </c>
      <c r="H117" s="21" t="str">
        <f t="shared" si="25"/>
        <v/>
      </c>
      <c r="I117" s="66" t="str">
        <f t="shared" si="26"/>
        <v/>
      </c>
      <c r="J117" s="66" t="str">
        <f t="shared" si="27"/>
        <v/>
      </c>
      <c r="K117" s="11" t="str">
        <f t="shared" si="28"/>
        <v/>
      </c>
      <c r="L117" s="23" t="str">
        <f t="shared" si="42"/>
        <v/>
      </c>
      <c r="M117" s="100"/>
      <c r="N117" s="23" t="str">
        <f t="shared" si="29"/>
        <v/>
      </c>
      <c r="O117" s="23" t="str">
        <f t="shared" si="38"/>
        <v/>
      </c>
      <c r="P117" s="23" t="str">
        <f t="shared" si="39"/>
        <v/>
      </c>
      <c r="Q117" s="19" t="str">
        <f t="shared" si="30"/>
        <v/>
      </c>
      <c r="R117" s="19"/>
      <c r="T117" s="37" t="str">
        <f t="shared" si="31"/>
        <v/>
      </c>
      <c r="U117" s="37" t="str">
        <f t="shared" si="40"/>
        <v/>
      </c>
      <c r="W117" s="31" t="str">
        <f t="shared" si="43"/>
        <v/>
      </c>
      <c r="X117" s="31" t="str">
        <f t="shared" si="44"/>
        <v/>
      </c>
      <c r="Y117" s="34">
        <f t="shared" si="41"/>
        <v>1</v>
      </c>
      <c r="Z117" s="31">
        <f t="shared" si="32"/>
        <v>0</v>
      </c>
      <c r="AA117" s="66">
        <f t="shared" si="33"/>
        <v>0</v>
      </c>
      <c r="AB117" s="6" t="str">
        <f t="shared" si="34"/>
        <v/>
      </c>
      <c r="AC117" s="48">
        <f>AC116+$M$17</f>
        <v>0</v>
      </c>
    </row>
    <row r="118" spans="3:29" x14ac:dyDescent="0.25">
      <c r="C118" s="27" t="str">
        <f t="shared" si="35"/>
        <v/>
      </c>
      <c r="D118" s="30" t="str">
        <f t="shared" si="36"/>
        <v/>
      </c>
      <c r="E118" s="20" t="str">
        <f t="shared" si="23"/>
        <v/>
      </c>
      <c r="F118" s="20" t="str">
        <f t="shared" si="24"/>
        <v/>
      </c>
      <c r="G118" s="24" t="str">
        <f t="shared" si="37"/>
        <v/>
      </c>
      <c r="H118" s="21" t="str">
        <f t="shared" si="25"/>
        <v/>
      </c>
      <c r="I118" s="66" t="str">
        <f t="shared" si="26"/>
        <v/>
      </c>
      <c r="J118" s="66" t="str">
        <f t="shared" si="27"/>
        <v/>
      </c>
      <c r="K118" s="11" t="str">
        <f t="shared" si="28"/>
        <v/>
      </c>
      <c r="L118" s="23" t="str">
        <f t="shared" si="42"/>
        <v/>
      </c>
      <c r="M118" s="100"/>
      <c r="N118" s="23" t="str">
        <f t="shared" si="29"/>
        <v/>
      </c>
      <c r="O118" s="23" t="str">
        <f t="shared" si="38"/>
        <v/>
      </c>
      <c r="P118" s="23" t="str">
        <f t="shared" si="39"/>
        <v/>
      </c>
      <c r="Q118" s="19" t="str">
        <f t="shared" si="30"/>
        <v/>
      </c>
      <c r="R118" s="19"/>
      <c r="T118" s="37" t="str">
        <f t="shared" si="31"/>
        <v/>
      </c>
      <c r="U118" s="37" t="str">
        <f t="shared" si="40"/>
        <v/>
      </c>
      <c r="W118" s="31" t="str">
        <f t="shared" si="43"/>
        <v/>
      </c>
      <c r="X118" s="31" t="str">
        <f t="shared" si="44"/>
        <v/>
      </c>
      <c r="Y118" s="34">
        <f t="shared" si="41"/>
        <v>1</v>
      </c>
      <c r="Z118" s="31">
        <f t="shared" si="32"/>
        <v>0</v>
      </c>
      <c r="AA118" s="66">
        <f t="shared" si="33"/>
        <v>0</v>
      </c>
      <c r="AB118" s="6" t="str">
        <f t="shared" si="34"/>
        <v/>
      </c>
      <c r="AC118" s="48">
        <f t="shared" si="45"/>
        <v>0</v>
      </c>
    </row>
    <row r="119" spans="3:29" x14ac:dyDescent="0.25">
      <c r="C119" s="27" t="str">
        <f t="shared" si="35"/>
        <v/>
      </c>
      <c r="D119" s="30" t="str">
        <f t="shared" si="36"/>
        <v/>
      </c>
      <c r="E119" s="20" t="str">
        <f t="shared" si="23"/>
        <v/>
      </c>
      <c r="F119" s="20" t="str">
        <f t="shared" si="24"/>
        <v/>
      </c>
      <c r="G119" s="24" t="str">
        <f t="shared" si="37"/>
        <v/>
      </c>
      <c r="H119" s="21" t="str">
        <f t="shared" si="25"/>
        <v/>
      </c>
      <c r="I119" s="66" t="str">
        <f t="shared" si="26"/>
        <v/>
      </c>
      <c r="J119" s="66" t="str">
        <f t="shared" si="27"/>
        <v/>
      </c>
      <c r="K119" s="11" t="str">
        <f t="shared" si="28"/>
        <v/>
      </c>
      <c r="L119" s="23" t="str">
        <f t="shared" si="42"/>
        <v/>
      </c>
      <c r="M119" s="100"/>
      <c r="N119" s="23" t="str">
        <f t="shared" si="29"/>
        <v/>
      </c>
      <c r="O119" s="23" t="str">
        <f t="shared" si="38"/>
        <v/>
      </c>
      <c r="P119" s="23" t="str">
        <f t="shared" si="39"/>
        <v/>
      </c>
      <c r="Q119" s="19" t="str">
        <f t="shared" si="30"/>
        <v/>
      </c>
      <c r="R119" s="19"/>
      <c r="T119" s="37" t="str">
        <f t="shared" si="31"/>
        <v/>
      </c>
      <c r="U119" s="37" t="str">
        <f t="shared" si="40"/>
        <v/>
      </c>
      <c r="W119" s="31" t="str">
        <f t="shared" si="43"/>
        <v/>
      </c>
      <c r="X119" s="31" t="str">
        <f t="shared" si="44"/>
        <v/>
      </c>
      <c r="Y119" s="34">
        <f t="shared" si="41"/>
        <v>1</v>
      </c>
      <c r="Z119" s="31">
        <f t="shared" si="32"/>
        <v>0</v>
      </c>
      <c r="AA119" s="66">
        <f t="shared" si="33"/>
        <v>0</v>
      </c>
      <c r="AB119" s="6" t="str">
        <f t="shared" si="34"/>
        <v/>
      </c>
      <c r="AC119" s="48">
        <f t="shared" si="45"/>
        <v>0</v>
      </c>
    </row>
    <row r="120" spans="3:29" x14ac:dyDescent="0.25">
      <c r="C120" s="27" t="str">
        <f t="shared" si="35"/>
        <v/>
      </c>
      <c r="D120" s="30" t="str">
        <f t="shared" si="36"/>
        <v/>
      </c>
      <c r="E120" s="20" t="str">
        <f t="shared" si="23"/>
        <v/>
      </c>
      <c r="F120" s="20" t="str">
        <f t="shared" si="24"/>
        <v/>
      </c>
      <c r="G120" s="24" t="str">
        <f t="shared" si="37"/>
        <v/>
      </c>
      <c r="H120" s="21" t="str">
        <f t="shared" si="25"/>
        <v/>
      </c>
      <c r="I120" s="66" t="str">
        <f t="shared" si="26"/>
        <v/>
      </c>
      <c r="J120" s="66" t="str">
        <f t="shared" si="27"/>
        <v/>
      </c>
      <c r="K120" s="11" t="str">
        <f t="shared" si="28"/>
        <v/>
      </c>
      <c r="L120" s="23" t="str">
        <f t="shared" si="42"/>
        <v/>
      </c>
      <c r="M120" s="100"/>
      <c r="N120" s="23" t="str">
        <f t="shared" si="29"/>
        <v/>
      </c>
      <c r="O120" s="23" t="str">
        <f t="shared" si="38"/>
        <v/>
      </c>
      <c r="P120" s="23" t="str">
        <f t="shared" si="39"/>
        <v/>
      </c>
      <c r="Q120" s="19" t="str">
        <f t="shared" si="30"/>
        <v/>
      </c>
      <c r="R120" s="19"/>
      <c r="T120" s="37" t="str">
        <f t="shared" si="31"/>
        <v/>
      </c>
      <c r="U120" s="37" t="str">
        <f t="shared" si="40"/>
        <v/>
      </c>
      <c r="W120" s="31" t="str">
        <f t="shared" si="43"/>
        <v/>
      </c>
      <c r="X120" s="31" t="str">
        <f t="shared" si="44"/>
        <v/>
      </c>
      <c r="Y120" s="34">
        <f t="shared" si="41"/>
        <v>1</v>
      </c>
      <c r="Z120" s="31">
        <f t="shared" si="32"/>
        <v>0</v>
      </c>
      <c r="AA120" s="66">
        <f t="shared" si="33"/>
        <v>0</v>
      </c>
      <c r="AB120" s="6" t="str">
        <f t="shared" si="34"/>
        <v/>
      </c>
      <c r="AC120" s="48">
        <f t="shared" si="45"/>
        <v>0</v>
      </c>
    </row>
    <row r="121" spans="3:29" x14ac:dyDescent="0.25">
      <c r="C121" s="27" t="str">
        <f t="shared" si="35"/>
        <v/>
      </c>
      <c r="D121" s="30" t="str">
        <f t="shared" si="36"/>
        <v/>
      </c>
      <c r="E121" s="20" t="str">
        <f t="shared" si="23"/>
        <v/>
      </c>
      <c r="F121" s="20" t="str">
        <f t="shared" si="24"/>
        <v/>
      </c>
      <c r="G121" s="24" t="str">
        <f t="shared" si="37"/>
        <v/>
      </c>
      <c r="H121" s="21" t="str">
        <f t="shared" si="25"/>
        <v/>
      </c>
      <c r="I121" s="66" t="str">
        <f t="shared" si="26"/>
        <v/>
      </c>
      <c r="J121" s="66" t="str">
        <f t="shared" si="27"/>
        <v/>
      </c>
      <c r="K121" s="11" t="str">
        <f t="shared" si="28"/>
        <v/>
      </c>
      <c r="L121" s="23" t="str">
        <f t="shared" si="42"/>
        <v/>
      </c>
      <c r="M121" s="100"/>
      <c r="N121" s="23" t="str">
        <f t="shared" si="29"/>
        <v/>
      </c>
      <c r="O121" s="23" t="str">
        <f t="shared" si="38"/>
        <v/>
      </c>
      <c r="P121" s="23" t="str">
        <f t="shared" si="39"/>
        <v/>
      </c>
      <c r="Q121" s="19" t="str">
        <f t="shared" si="30"/>
        <v/>
      </c>
      <c r="R121" s="19"/>
      <c r="T121" s="37" t="str">
        <f t="shared" si="31"/>
        <v/>
      </c>
      <c r="U121" s="37" t="str">
        <f t="shared" si="40"/>
        <v/>
      </c>
      <c r="W121" s="31" t="str">
        <f t="shared" si="43"/>
        <v/>
      </c>
      <c r="X121" s="31" t="str">
        <f t="shared" si="44"/>
        <v/>
      </c>
      <c r="Y121" s="34">
        <f t="shared" si="41"/>
        <v>1</v>
      </c>
      <c r="Z121" s="31">
        <f t="shared" si="32"/>
        <v>0</v>
      </c>
      <c r="AA121" s="66">
        <f t="shared" si="33"/>
        <v>0</v>
      </c>
      <c r="AB121" s="6" t="str">
        <f t="shared" si="34"/>
        <v/>
      </c>
      <c r="AC121" s="48">
        <f t="shared" si="45"/>
        <v>0</v>
      </c>
    </row>
    <row r="122" spans="3:29" x14ac:dyDescent="0.25">
      <c r="C122" s="27" t="str">
        <f t="shared" si="35"/>
        <v/>
      </c>
      <c r="D122" s="30" t="str">
        <f t="shared" si="36"/>
        <v/>
      </c>
      <c r="E122" s="20" t="str">
        <f t="shared" si="23"/>
        <v/>
      </c>
      <c r="F122" s="20" t="str">
        <f t="shared" si="24"/>
        <v/>
      </c>
      <c r="G122" s="24" t="str">
        <f t="shared" si="37"/>
        <v/>
      </c>
      <c r="H122" s="21" t="str">
        <f t="shared" si="25"/>
        <v/>
      </c>
      <c r="I122" s="66" t="str">
        <f t="shared" si="26"/>
        <v/>
      </c>
      <c r="J122" s="66" t="str">
        <f t="shared" si="27"/>
        <v/>
      </c>
      <c r="K122" s="11" t="str">
        <f t="shared" si="28"/>
        <v/>
      </c>
      <c r="L122" s="23" t="str">
        <f t="shared" si="42"/>
        <v/>
      </c>
      <c r="M122" s="100"/>
      <c r="N122" s="23" t="str">
        <f t="shared" si="29"/>
        <v/>
      </c>
      <c r="O122" s="23" t="str">
        <f t="shared" si="38"/>
        <v/>
      </c>
      <c r="P122" s="23" t="str">
        <f t="shared" si="39"/>
        <v/>
      </c>
      <c r="Q122" s="19" t="str">
        <f t="shared" si="30"/>
        <v/>
      </c>
      <c r="R122" s="19"/>
      <c r="T122" s="37" t="str">
        <f t="shared" si="31"/>
        <v/>
      </c>
      <c r="U122" s="37" t="str">
        <f t="shared" si="40"/>
        <v/>
      </c>
      <c r="W122" s="31" t="str">
        <f t="shared" si="43"/>
        <v/>
      </c>
      <c r="X122" s="31" t="str">
        <f t="shared" si="44"/>
        <v/>
      </c>
      <c r="Y122" s="34">
        <f t="shared" si="41"/>
        <v>1</v>
      </c>
      <c r="Z122" s="31">
        <f t="shared" si="32"/>
        <v>0</v>
      </c>
      <c r="AA122" s="66">
        <f t="shared" si="33"/>
        <v>0</v>
      </c>
      <c r="AB122" s="6" t="str">
        <f t="shared" si="34"/>
        <v/>
      </c>
      <c r="AC122" s="48">
        <f t="shared" si="45"/>
        <v>0</v>
      </c>
    </row>
    <row r="123" spans="3:29" x14ac:dyDescent="0.25">
      <c r="C123" s="27" t="str">
        <f t="shared" si="35"/>
        <v/>
      </c>
      <c r="D123" s="30" t="str">
        <f t="shared" si="36"/>
        <v/>
      </c>
      <c r="E123" s="20" t="str">
        <f t="shared" si="23"/>
        <v/>
      </c>
      <c r="F123" s="20" t="str">
        <f t="shared" si="24"/>
        <v/>
      </c>
      <c r="G123" s="24" t="str">
        <f t="shared" si="37"/>
        <v/>
      </c>
      <c r="H123" s="21" t="str">
        <f t="shared" si="25"/>
        <v/>
      </c>
      <c r="I123" s="66" t="str">
        <f t="shared" si="26"/>
        <v/>
      </c>
      <c r="J123" s="66" t="str">
        <f t="shared" si="27"/>
        <v/>
      </c>
      <c r="K123" s="11" t="str">
        <f t="shared" si="28"/>
        <v/>
      </c>
      <c r="L123" s="23" t="str">
        <f t="shared" si="42"/>
        <v/>
      </c>
      <c r="M123" s="100"/>
      <c r="N123" s="23" t="str">
        <f t="shared" si="29"/>
        <v/>
      </c>
      <c r="O123" s="23" t="str">
        <f t="shared" si="38"/>
        <v/>
      </c>
      <c r="P123" s="23" t="str">
        <f t="shared" si="39"/>
        <v/>
      </c>
      <c r="Q123" s="19" t="str">
        <f t="shared" si="30"/>
        <v/>
      </c>
      <c r="R123" s="19"/>
      <c r="T123" s="37" t="str">
        <f t="shared" si="31"/>
        <v/>
      </c>
      <c r="U123" s="37" t="str">
        <f t="shared" si="40"/>
        <v/>
      </c>
      <c r="W123" s="31" t="str">
        <f t="shared" si="43"/>
        <v/>
      </c>
      <c r="X123" s="31" t="str">
        <f t="shared" si="44"/>
        <v/>
      </c>
      <c r="Y123" s="34">
        <f t="shared" si="41"/>
        <v>1</v>
      </c>
      <c r="Z123" s="31">
        <f t="shared" si="32"/>
        <v>0</v>
      </c>
      <c r="AA123" s="66">
        <f t="shared" si="33"/>
        <v>0</v>
      </c>
      <c r="AB123" s="6" t="str">
        <f t="shared" si="34"/>
        <v/>
      </c>
      <c r="AC123" s="48">
        <f t="shared" si="45"/>
        <v>0</v>
      </c>
    </row>
    <row r="124" spans="3:29" x14ac:dyDescent="0.25">
      <c r="C124" s="27" t="str">
        <f t="shared" si="35"/>
        <v/>
      </c>
      <c r="D124" s="30" t="str">
        <f t="shared" si="36"/>
        <v/>
      </c>
      <c r="E124" s="20" t="str">
        <f t="shared" si="23"/>
        <v/>
      </c>
      <c r="F124" s="20" t="str">
        <f t="shared" si="24"/>
        <v/>
      </c>
      <c r="G124" s="24" t="str">
        <f t="shared" si="37"/>
        <v/>
      </c>
      <c r="H124" s="21" t="str">
        <f t="shared" si="25"/>
        <v/>
      </c>
      <c r="I124" s="66" t="str">
        <f t="shared" si="26"/>
        <v/>
      </c>
      <c r="J124" s="66" t="str">
        <f t="shared" si="27"/>
        <v/>
      </c>
      <c r="K124" s="11" t="str">
        <f t="shared" si="28"/>
        <v/>
      </c>
      <c r="L124" s="23" t="str">
        <f t="shared" si="42"/>
        <v/>
      </c>
      <c r="M124" s="100"/>
      <c r="N124" s="23" t="str">
        <f t="shared" si="29"/>
        <v/>
      </c>
      <c r="O124" s="23" t="str">
        <f t="shared" si="38"/>
        <v/>
      </c>
      <c r="P124" s="23" t="str">
        <f t="shared" si="39"/>
        <v/>
      </c>
      <c r="Q124" s="19" t="str">
        <f t="shared" si="30"/>
        <v/>
      </c>
      <c r="R124" s="19"/>
      <c r="T124" s="37" t="str">
        <f t="shared" si="31"/>
        <v/>
      </c>
      <c r="U124" s="37" t="str">
        <f t="shared" si="40"/>
        <v/>
      </c>
      <c r="W124" s="31" t="str">
        <f t="shared" si="43"/>
        <v/>
      </c>
      <c r="X124" s="31" t="str">
        <f t="shared" si="44"/>
        <v/>
      </c>
      <c r="Y124" s="34">
        <f t="shared" si="41"/>
        <v>1</v>
      </c>
      <c r="Z124" s="31">
        <f t="shared" si="32"/>
        <v>0</v>
      </c>
      <c r="AA124" s="66">
        <f t="shared" si="33"/>
        <v>0</v>
      </c>
      <c r="AB124" s="6" t="str">
        <f t="shared" si="34"/>
        <v/>
      </c>
      <c r="AC124" s="48">
        <f t="shared" si="45"/>
        <v>0</v>
      </c>
    </row>
    <row r="125" spans="3:29" x14ac:dyDescent="0.25">
      <c r="C125" s="27" t="str">
        <f t="shared" si="35"/>
        <v/>
      </c>
      <c r="D125" s="30" t="str">
        <f t="shared" si="36"/>
        <v/>
      </c>
      <c r="E125" s="20" t="str">
        <f t="shared" si="23"/>
        <v/>
      </c>
      <c r="F125" s="20" t="str">
        <f t="shared" si="24"/>
        <v/>
      </c>
      <c r="G125" s="24" t="str">
        <f t="shared" si="37"/>
        <v/>
      </c>
      <c r="H125" s="21" t="str">
        <f t="shared" si="25"/>
        <v/>
      </c>
      <c r="I125" s="66" t="str">
        <f t="shared" si="26"/>
        <v/>
      </c>
      <c r="J125" s="66" t="str">
        <f t="shared" si="27"/>
        <v/>
      </c>
      <c r="K125" s="11" t="str">
        <f t="shared" si="28"/>
        <v/>
      </c>
      <c r="L125" s="23" t="str">
        <f t="shared" si="42"/>
        <v/>
      </c>
      <c r="M125" s="100"/>
      <c r="N125" s="23" t="str">
        <f t="shared" si="29"/>
        <v/>
      </c>
      <c r="O125" s="23" t="str">
        <f t="shared" si="38"/>
        <v/>
      </c>
      <c r="P125" s="23" t="str">
        <f t="shared" si="39"/>
        <v/>
      </c>
      <c r="Q125" s="19" t="str">
        <f t="shared" si="30"/>
        <v/>
      </c>
      <c r="R125" s="19"/>
      <c r="T125" s="37" t="str">
        <f t="shared" si="31"/>
        <v/>
      </c>
      <c r="U125" s="37" t="str">
        <f t="shared" si="40"/>
        <v/>
      </c>
      <c r="W125" s="31" t="str">
        <f t="shared" si="43"/>
        <v/>
      </c>
      <c r="X125" s="31" t="str">
        <f t="shared" si="44"/>
        <v/>
      </c>
      <c r="Y125" s="34">
        <f t="shared" si="41"/>
        <v>1</v>
      </c>
      <c r="Z125" s="31">
        <f t="shared" si="32"/>
        <v>0</v>
      </c>
      <c r="AA125" s="66">
        <f t="shared" si="33"/>
        <v>0</v>
      </c>
      <c r="AB125" s="6" t="str">
        <f t="shared" si="34"/>
        <v/>
      </c>
      <c r="AC125" s="48">
        <f t="shared" si="45"/>
        <v>0</v>
      </c>
    </row>
    <row r="126" spans="3:29" x14ac:dyDescent="0.25">
      <c r="C126" s="27" t="str">
        <f t="shared" si="35"/>
        <v/>
      </c>
      <c r="D126" s="30" t="str">
        <f t="shared" si="36"/>
        <v/>
      </c>
      <c r="E126" s="20" t="str">
        <f t="shared" si="23"/>
        <v/>
      </c>
      <c r="F126" s="20" t="str">
        <f t="shared" si="24"/>
        <v/>
      </c>
      <c r="G126" s="24" t="str">
        <f t="shared" si="37"/>
        <v/>
      </c>
      <c r="H126" s="21" t="str">
        <f t="shared" si="25"/>
        <v/>
      </c>
      <c r="I126" s="66" t="str">
        <f t="shared" si="26"/>
        <v/>
      </c>
      <c r="J126" s="66" t="str">
        <f t="shared" si="27"/>
        <v/>
      </c>
      <c r="K126" s="11" t="str">
        <f t="shared" si="28"/>
        <v/>
      </c>
      <c r="L126" s="23" t="str">
        <f t="shared" si="42"/>
        <v/>
      </c>
      <c r="M126" s="100"/>
      <c r="N126" s="23" t="str">
        <f t="shared" si="29"/>
        <v/>
      </c>
      <c r="O126" s="23" t="str">
        <f t="shared" si="38"/>
        <v/>
      </c>
      <c r="P126" s="23" t="str">
        <f t="shared" si="39"/>
        <v/>
      </c>
      <c r="Q126" s="19" t="str">
        <f t="shared" si="30"/>
        <v/>
      </c>
      <c r="R126" s="19"/>
      <c r="T126" s="37" t="str">
        <f t="shared" si="31"/>
        <v/>
      </c>
      <c r="U126" s="37" t="str">
        <f t="shared" si="40"/>
        <v/>
      </c>
      <c r="W126" s="31" t="str">
        <f t="shared" si="43"/>
        <v/>
      </c>
      <c r="X126" s="31" t="str">
        <f t="shared" si="44"/>
        <v/>
      </c>
      <c r="Y126" s="34">
        <f t="shared" si="41"/>
        <v>1</v>
      </c>
      <c r="Z126" s="31">
        <f t="shared" si="32"/>
        <v>0</v>
      </c>
      <c r="AA126" s="66">
        <f t="shared" si="33"/>
        <v>0</v>
      </c>
      <c r="AB126" s="6" t="str">
        <f t="shared" si="34"/>
        <v/>
      </c>
      <c r="AC126" s="48">
        <f t="shared" si="45"/>
        <v>0</v>
      </c>
    </row>
    <row r="127" spans="3:29" x14ac:dyDescent="0.25">
      <c r="C127" s="27" t="str">
        <f t="shared" si="35"/>
        <v/>
      </c>
      <c r="D127" s="30" t="str">
        <f t="shared" si="36"/>
        <v/>
      </c>
      <c r="E127" s="20" t="str">
        <f t="shared" si="23"/>
        <v/>
      </c>
      <c r="F127" s="20" t="str">
        <f t="shared" si="24"/>
        <v/>
      </c>
      <c r="G127" s="24" t="str">
        <f t="shared" si="37"/>
        <v/>
      </c>
      <c r="H127" s="21" t="str">
        <f t="shared" si="25"/>
        <v/>
      </c>
      <c r="I127" s="66" t="str">
        <f t="shared" si="26"/>
        <v/>
      </c>
      <c r="J127" s="66" t="str">
        <f t="shared" si="27"/>
        <v/>
      </c>
      <c r="K127" s="11" t="str">
        <f t="shared" si="28"/>
        <v/>
      </c>
      <c r="L127" s="23" t="str">
        <f t="shared" si="42"/>
        <v/>
      </c>
      <c r="M127" s="100"/>
      <c r="N127" s="23" t="str">
        <f t="shared" si="29"/>
        <v/>
      </c>
      <c r="O127" s="23" t="str">
        <f t="shared" si="38"/>
        <v/>
      </c>
      <c r="P127" s="23" t="str">
        <f t="shared" si="39"/>
        <v/>
      </c>
      <c r="Q127" s="19" t="str">
        <f t="shared" si="30"/>
        <v/>
      </c>
      <c r="R127" s="19"/>
      <c r="T127" s="37" t="str">
        <f t="shared" si="31"/>
        <v/>
      </c>
      <c r="U127" s="37" t="str">
        <f t="shared" si="40"/>
        <v/>
      </c>
      <c r="W127" s="31" t="str">
        <f t="shared" si="43"/>
        <v/>
      </c>
      <c r="X127" s="31" t="str">
        <f t="shared" si="44"/>
        <v/>
      </c>
      <c r="Y127" s="34">
        <f t="shared" si="41"/>
        <v>1</v>
      </c>
      <c r="Z127" s="31">
        <f t="shared" si="32"/>
        <v>0</v>
      </c>
      <c r="AA127" s="66">
        <f t="shared" si="33"/>
        <v>0</v>
      </c>
      <c r="AB127" s="6" t="str">
        <f t="shared" si="34"/>
        <v/>
      </c>
      <c r="AC127" s="48">
        <f t="shared" si="45"/>
        <v>0</v>
      </c>
    </row>
    <row r="128" spans="3:29" x14ac:dyDescent="0.25">
      <c r="C128" s="27" t="str">
        <f t="shared" si="35"/>
        <v/>
      </c>
      <c r="D128" s="30" t="str">
        <f t="shared" si="36"/>
        <v/>
      </c>
      <c r="E128" s="20" t="str">
        <f t="shared" si="23"/>
        <v/>
      </c>
      <c r="F128" s="20" t="str">
        <f t="shared" si="24"/>
        <v/>
      </c>
      <c r="G128" s="24" t="str">
        <f t="shared" si="37"/>
        <v/>
      </c>
      <c r="H128" s="21" t="str">
        <f t="shared" si="25"/>
        <v/>
      </c>
      <c r="I128" s="66" t="str">
        <f t="shared" si="26"/>
        <v/>
      </c>
      <c r="J128" s="66" t="str">
        <f t="shared" si="27"/>
        <v/>
      </c>
      <c r="K128" s="11" t="str">
        <f t="shared" si="28"/>
        <v/>
      </c>
      <c r="L128" s="23" t="str">
        <f t="shared" si="42"/>
        <v/>
      </c>
      <c r="M128" s="100"/>
      <c r="N128" s="23" t="str">
        <f t="shared" si="29"/>
        <v/>
      </c>
      <c r="O128" s="23" t="str">
        <f t="shared" si="38"/>
        <v/>
      </c>
      <c r="P128" s="23" t="str">
        <f t="shared" si="39"/>
        <v/>
      </c>
      <c r="Q128" s="19" t="str">
        <f t="shared" si="30"/>
        <v/>
      </c>
      <c r="R128" s="19"/>
      <c r="T128" s="37" t="str">
        <f t="shared" si="31"/>
        <v/>
      </c>
      <c r="U128" s="37" t="str">
        <f t="shared" si="40"/>
        <v/>
      </c>
      <c r="W128" s="31" t="str">
        <f t="shared" si="43"/>
        <v/>
      </c>
      <c r="X128" s="31" t="str">
        <f t="shared" si="44"/>
        <v/>
      </c>
      <c r="Y128" s="34">
        <f t="shared" si="41"/>
        <v>1</v>
      </c>
      <c r="Z128" s="31">
        <f t="shared" si="32"/>
        <v>0</v>
      </c>
      <c r="AA128" s="66">
        <f t="shared" si="33"/>
        <v>0</v>
      </c>
      <c r="AB128" s="6" t="str">
        <f t="shared" si="34"/>
        <v/>
      </c>
      <c r="AC128" s="48">
        <f t="shared" si="45"/>
        <v>0</v>
      </c>
    </row>
    <row r="129" spans="3:29" x14ac:dyDescent="0.25">
      <c r="C129" s="27" t="str">
        <f t="shared" si="35"/>
        <v/>
      </c>
      <c r="D129" s="30" t="str">
        <f t="shared" si="36"/>
        <v/>
      </c>
      <c r="E129" s="20" t="str">
        <f t="shared" si="23"/>
        <v/>
      </c>
      <c r="F129" s="20" t="str">
        <f t="shared" si="24"/>
        <v/>
      </c>
      <c r="G129" s="24" t="str">
        <f t="shared" si="37"/>
        <v/>
      </c>
      <c r="H129" s="21" t="str">
        <f t="shared" si="25"/>
        <v/>
      </c>
      <c r="I129" s="66" t="str">
        <f t="shared" si="26"/>
        <v/>
      </c>
      <c r="J129" s="66" t="str">
        <f t="shared" si="27"/>
        <v/>
      </c>
      <c r="K129" s="11" t="str">
        <f t="shared" si="28"/>
        <v/>
      </c>
      <c r="L129" s="23" t="str">
        <f t="shared" si="42"/>
        <v/>
      </c>
      <c r="M129" s="100"/>
      <c r="N129" s="23" t="str">
        <f t="shared" si="29"/>
        <v/>
      </c>
      <c r="O129" s="23" t="str">
        <f t="shared" si="38"/>
        <v/>
      </c>
      <c r="P129" s="23" t="str">
        <f t="shared" si="39"/>
        <v/>
      </c>
      <c r="Q129" s="19" t="str">
        <f t="shared" si="30"/>
        <v/>
      </c>
      <c r="R129" s="19"/>
      <c r="T129" s="37" t="str">
        <f t="shared" si="31"/>
        <v/>
      </c>
      <c r="U129" s="37" t="str">
        <f t="shared" si="40"/>
        <v/>
      </c>
      <c r="W129" s="31" t="str">
        <f t="shared" si="43"/>
        <v/>
      </c>
      <c r="X129" s="31" t="str">
        <f t="shared" si="44"/>
        <v/>
      </c>
      <c r="Y129" s="34">
        <f t="shared" si="41"/>
        <v>1</v>
      </c>
      <c r="Z129" s="31">
        <f t="shared" si="32"/>
        <v>0</v>
      </c>
      <c r="AA129" s="66">
        <f t="shared" si="33"/>
        <v>0</v>
      </c>
      <c r="AB129" s="6" t="str">
        <f t="shared" si="34"/>
        <v/>
      </c>
      <c r="AC129" s="48">
        <f>AC128+$M$17</f>
        <v>0</v>
      </c>
    </row>
    <row r="130" spans="3:29" x14ac:dyDescent="0.25">
      <c r="C130" s="27" t="str">
        <f t="shared" si="35"/>
        <v/>
      </c>
      <c r="D130" s="30" t="str">
        <f t="shared" si="36"/>
        <v/>
      </c>
      <c r="E130" s="20" t="str">
        <f t="shared" si="23"/>
        <v/>
      </c>
      <c r="F130" s="20" t="str">
        <f t="shared" si="24"/>
        <v/>
      </c>
      <c r="G130" s="24" t="str">
        <f t="shared" si="37"/>
        <v/>
      </c>
      <c r="H130" s="21" t="str">
        <f t="shared" si="25"/>
        <v/>
      </c>
      <c r="I130" s="66" t="str">
        <f t="shared" si="26"/>
        <v/>
      </c>
      <c r="J130" s="66" t="str">
        <f t="shared" si="27"/>
        <v/>
      </c>
      <c r="K130" s="11" t="str">
        <f t="shared" si="28"/>
        <v/>
      </c>
      <c r="L130" s="23" t="str">
        <f t="shared" si="42"/>
        <v/>
      </c>
      <c r="M130" s="100"/>
      <c r="N130" s="23" t="str">
        <f t="shared" si="29"/>
        <v/>
      </c>
      <c r="O130" s="23" t="str">
        <f t="shared" si="38"/>
        <v/>
      </c>
      <c r="P130" s="23" t="str">
        <f t="shared" si="39"/>
        <v/>
      </c>
      <c r="Q130" s="19" t="str">
        <f t="shared" si="30"/>
        <v/>
      </c>
      <c r="R130" s="19"/>
      <c r="T130" s="37" t="str">
        <f t="shared" si="31"/>
        <v/>
      </c>
      <c r="U130" s="37" t="str">
        <f t="shared" si="40"/>
        <v/>
      </c>
      <c r="W130" s="31" t="str">
        <f t="shared" si="43"/>
        <v/>
      </c>
      <c r="X130" s="31" t="str">
        <f t="shared" si="44"/>
        <v/>
      </c>
      <c r="Y130" s="34">
        <f t="shared" si="41"/>
        <v>1</v>
      </c>
      <c r="Z130" s="31">
        <f t="shared" si="32"/>
        <v>0</v>
      </c>
      <c r="AA130" s="66">
        <f t="shared" si="33"/>
        <v>0</v>
      </c>
      <c r="AB130" s="6" t="str">
        <f t="shared" si="34"/>
        <v/>
      </c>
      <c r="AC130" s="48">
        <f t="shared" si="45"/>
        <v>0</v>
      </c>
    </row>
    <row r="131" spans="3:29" x14ac:dyDescent="0.25">
      <c r="C131" s="27" t="str">
        <f t="shared" si="35"/>
        <v/>
      </c>
      <c r="D131" s="30" t="str">
        <f t="shared" si="36"/>
        <v/>
      </c>
      <c r="E131" s="20" t="str">
        <f t="shared" si="23"/>
        <v/>
      </c>
      <c r="F131" s="20" t="str">
        <f t="shared" si="24"/>
        <v/>
      </c>
      <c r="G131" s="24" t="str">
        <f t="shared" si="37"/>
        <v/>
      </c>
      <c r="H131" s="21" t="str">
        <f t="shared" si="25"/>
        <v/>
      </c>
      <c r="I131" s="66" t="str">
        <f t="shared" si="26"/>
        <v/>
      </c>
      <c r="J131" s="66" t="str">
        <f t="shared" si="27"/>
        <v/>
      </c>
      <c r="K131" s="11" t="str">
        <f t="shared" si="28"/>
        <v/>
      </c>
      <c r="L131" s="23" t="str">
        <f t="shared" si="42"/>
        <v/>
      </c>
      <c r="M131" s="100"/>
      <c r="N131" s="23" t="str">
        <f t="shared" si="29"/>
        <v/>
      </c>
      <c r="O131" s="23" t="str">
        <f t="shared" si="38"/>
        <v/>
      </c>
      <c r="P131" s="23" t="str">
        <f t="shared" si="39"/>
        <v/>
      </c>
      <c r="Q131" s="19" t="str">
        <f t="shared" si="30"/>
        <v/>
      </c>
      <c r="R131" s="19"/>
      <c r="T131" s="37" t="str">
        <f t="shared" si="31"/>
        <v/>
      </c>
      <c r="U131" s="37" t="str">
        <f t="shared" si="40"/>
        <v/>
      </c>
      <c r="W131" s="31" t="str">
        <f t="shared" si="43"/>
        <v/>
      </c>
      <c r="X131" s="31" t="str">
        <f t="shared" si="44"/>
        <v/>
      </c>
      <c r="Y131" s="34">
        <f t="shared" si="41"/>
        <v>1</v>
      </c>
      <c r="Z131" s="31">
        <f t="shared" si="32"/>
        <v>0</v>
      </c>
      <c r="AA131" s="66">
        <f t="shared" si="33"/>
        <v>0</v>
      </c>
      <c r="AB131" s="6" t="str">
        <f t="shared" si="34"/>
        <v/>
      </c>
      <c r="AC131" s="48">
        <f t="shared" si="45"/>
        <v>0</v>
      </c>
    </row>
    <row r="132" spans="3:29" x14ac:dyDescent="0.25">
      <c r="C132" s="27" t="str">
        <f t="shared" si="35"/>
        <v/>
      </c>
      <c r="D132" s="30" t="str">
        <f t="shared" si="36"/>
        <v/>
      </c>
      <c r="E132" s="20" t="str">
        <f t="shared" si="23"/>
        <v/>
      </c>
      <c r="F132" s="20" t="str">
        <f t="shared" si="24"/>
        <v/>
      </c>
      <c r="G132" s="24" t="str">
        <f t="shared" si="37"/>
        <v/>
      </c>
      <c r="H132" s="21" t="str">
        <f t="shared" si="25"/>
        <v/>
      </c>
      <c r="I132" s="66" t="str">
        <f t="shared" si="26"/>
        <v/>
      </c>
      <c r="J132" s="66" t="str">
        <f t="shared" si="27"/>
        <v/>
      </c>
      <c r="K132" s="11" t="str">
        <f t="shared" si="28"/>
        <v/>
      </c>
      <c r="L132" s="23" t="str">
        <f t="shared" si="42"/>
        <v/>
      </c>
      <c r="M132" s="100"/>
      <c r="N132" s="23" t="str">
        <f t="shared" si="29"/>
        <v/>
      </c>
      <c r="O132" s="23" t="str">
        <f t="shared" si="38"/>
        <v/>
      </c>
      <c r="P132" s="23" t="str">
        <f t="shared" si="39"/>
        <v/>
      </c>
      <c r="Q132" s="19" t="str">
        <f t="shared" si="30"/>
        <v/>
      </c>
      <c r="R132" s="19"/>
      <c r="T132" s="37" t="str">
        <f t="shared" si="31"/>
        <v/>
      </c>
      <c r="U132" s="37" t="str">
        <f t="shared" si="40"/>
        <v/>
      </c>
      <c r="W132" s="31" t="str">
        <f t="shared" si="43"/>
        <v/>
      </c>
      <c r="X132" s="31" t="str">
        <f t="shared" si="44"/>
        <v/>
      </c>
      <c r="Y132" s="34">
        <f t="shared" si="41"/>
        <v>1</v>
      </c>
      <c r="Z132" s="31">
        <f t="shared" si="32"/>
        <v>0</v>
      </c>
      <c r="AA132" s="66">
        <f t="shared" si="33"/>
        <v>0</v>
      </c>
      <c r="AB132" s="6" t="str">
        <f t="shared" si="34"/>
        <v/>
      </c>
      <c r="AC132" s="48">
        <f t="shared" si="45"/>
        <v>0</v>
      </c>
    </row>
    <row r="133" spans="3:29" x14ac:dyDescent="0.25">
      <c r="C133" s="27" t="str">
        <f t="shared" si="35"/>
        <v/>
      </c>
      <c r="D133" s="30" t="str">
        <f t="shared" si="36"/>
        <v/>
      </c>
      <c r="E133" s="20" t="str">
        <f t="shared" si="23"/>
        <v/>
      </c>
      <c r="F133" s="20" t="str">
        <f t="shared" si="24"/>
        <v/>
      </c>
      <c r="G133" s="24" t="str">
        <f t="shared" si="37"/>
        <v/>
      </c>
      <c r="H133" s="21" t="str">
        <f t="shared" si="25"/>
        <v/>
      </c>
      <c r="I133" s="66" t="str">
        <f t="shared" si="26"/>
        <v/>
      </c>
      <c r="J133" s="66" t="str">
        <f t="shared" si="27"/>
        <v/>
      </c>
      <c r="K133" s="11" t="str">
        <f t="shared" si="28"/>
        <v/>
      </c>
      <c r="L133" s="23" t="str">
        <f t="shared" si="42"/>
        <v/>
      </c>
      <c r="M133" s="100"/>
      <c r="N133" s="23" t="str">
        <f t="shared" si="29"/>
        <v/>
      </c>
      <c r="O133" s="23" t="str">
        <f t="shared" si="38"/>
        <v/>
      </c>
      <c r="P133" s="23" t="str">
        <f t="shared" si="39"/>
        <v/>
      </c>
      <c r="Q133" s="19" t="str">
        <f t="shared" si="30"/>
        <v/>
      </c>
      <c r="R133" s="19"/>
      <c r="T133" s="37" t="str">
        <f t="shared" si="31"/>
        <v/>
      </c>
      <c r="U133" s="37" t="str">
        <f t="shared" si="40"/>
        <v/>
      </c>
      <c r="W133" s="31" t="str">
        <f t="shared" si="43"/>
        <v/>
      </c>
      <c r="X133" s="31" t="str">
        <f t="shared" si="44"/>
        <v/>
      </c>
      <c r="Y133" s="34">
        <f t="shared" si="41"/>
        <v>1</v>
      </c>
      <c r="Z133" s="31">
        <f t="shared" si="32"/>
        <v>0</v>
      </c>
      <c r="AA133" s="66">
        <f t="shared" si="33"/>
        <v>0</v>
      </c>
      <c r="AB133" s="6" t="str">
        <f t="shared" si="34"/>
        <v/>
      </c>
      <c r="AC133" s="48">
        <f t="shared" si="45"/>
        <v>0</v>
      </c>
    </row>
    <row r="134" spans="3:29" x14ac:dyDescent="0.25">
      <c r="C134" s="27" t="str">
        <f t="shared" si="35"/>
        <v/>
      </c>
      <c r="D134" s="30" t="str">
        <f t="shared" si="36"/>
        <v/>
      </c>
      <c r="E134" s="20" t="str">
        <f t="shared" si="23"/>
        <v/>
      </c>
      <c r="F134" s="20" t="str">
        <f t="shared" si="24"/>
        <v/>
      </c>
      <c r="G134" s="24" t="str">
        <f t="shared" si="37"/>
        <v/>
      </c>
      <c r="H134" s="21" t="str">
        <f t="shared" si="25"/>
        <v/>
      </c>
      <c r="I134" s="66" t="str">
        <f t="shared" si="26"/>
        <v/>
      </c>
      <c r="J134" s="66" t="str">
        <f t="shared" si="27"/>
        <v/>
      </c>
      <c r="K134" s="11" t="str">
        <f t="shared" si="28"/>
        <v/>
      </c>
      <c r="L134" s="23" t="str">
        <f t="shared" si="42"/>
        <v/>
      </c>
      <c r="M134" s="100"/>
      <c r="N134" s="23" t="str">
        <f t="shared" si="29"/>
        <v/>
      </c>
      <c r="O134" s="23" t="str">
        <f t="shared" si="38"/>
        <v/>
      </c>
      <c r="P134" s="23" t="str">
        <f t="shared" si="39"/>
        <v/>
      </c>
      <c r="Q134" s="19" t="str">
        <f t="shared" si="30"/>
        <v/>
      </c>
      <c r="R134" s="19"/>
      <c r="T134" s="37" t="str">
        <f t="shared" si="31"/>
        <v/>
      </c>
      <c r="U134" s="37" t="str">
        <f t="shared" si="40"/>
        <v/>
      </c>
      <c r="W134" s="31" t="str">
        <f t="shared" si="43"/>
        <v/>
      </c>
      <c r="X134" s="31" t="str">
        <f t="shared" si="44"/>
        <v/>
      </c>
      <c r="Y134" s="34">
        <f t="shared" si="41"/>
        <v>1</v>
      </c>
      <c r="Z134" s="31">
        <f t="shared" si="32"/>
        <v>0</v>
      </c>
      <c r="AA134" s="66">
        <f t="shared" si="33"/>
        <v>0</v>
      </c>
      <c r="AB134" s="6" t="str">
        <f t="shared" si="34"/>
        <v/>
      </c>
      <c r="AC134" s="48">
        <f t="shared" si="45"/>
        <v>0</v>
      </c>
    </row>
    <row r="135" spans="3:29" x14ac:dyDescent="0.25">
      <c r="C135" s="27" t="str">
        <f t="shared" si="35"/>
        <v/>
      </c>
      <c r="D135" s="30" t="str">
        <f t="shared" si="36"/>
        <v/>
      </c>
      <c r="E135" s="20" t="str">
        <f t="shared" si="23"/>
        <v/>
      </c>
      <c r="F135" s="20" t="str">
        <f t="shared" si="24"/>
        <v/>
      </c>
      <c r="G135" s="24" t="str">
        <f t="shared" si="37"/>
        <v/>
      </c>
      <c r="H135" s="21" t="str">
        <f t="shared" si="25"/>
        <v/>
      </c>
      <c r="I135" s="66" t="str">
        <f t="shared" si="26"/>
        <v/>
      </c>
      <c r="J135" s="66" t="str">
        <f t="shared" si="27"/>
        <v/>
      </c>
      <c r="K135" s="11" t="str">
        <f t="shared" si="28"/>
        <v/>
      </c>
      <c r="L135" s="23" t="str">
        <f t="shared" si="42"/>
        <v/>
      </c>
      <c r="M135" s="100"/>
      <c r="N135" s="23" t="str">
        <f t="shared" si="29"/>
        <v/>
      </c>
      <c r="O135" s="23" t="str">
        <f t="shared" si="38"/>
        <v/>
      </c>
      <c r="P135" s="23" t="str">
        <f t="shared" si="39"/>
        <v/>
      </c>
      <c r="Q135" s="19" t="str">
        <f t="shared" si="30"/>
        <v/>
      </c>
      <c r="R135" s="19"/>
      <c r="T135" s="37" t="str">
        <f t="shared" si="31"/>
        <v/>
      </c>
      <c r="U135" s="37" t="str">
        <f t="shared" si="40"/>
        <v/>
      </c>
      <c r="W135" s="31" t="str">
        <f t="shared" si="43"/>
        <v/>
      </c>
      <c r="X135" s="31" t="str">
        <f t="shared" si="44"/>
        <v/>
      </c>
      <c r="Y135" s="34">
        <f t="shared" si="41"/>
        <v>1</v>
      </c>
      <c r="Z135" s="31">
        <f t="shared" si="32"/>
        <v>0</v>
      </c>
      <c r="AA135" s="66">
        <f t="shared" si="33"/>
        <v>0</v>
      </c>
      <c r="AB135" s="6" t="str">
        <f t="shared" si="34"/>
        <v/>
      </c>
      <c r="AC135" s="48">
        <f t="shared" si="45"/>
        <v>0</v>
      </c>
    </row>
    <row r="136" spans="3:29" x14ac:dyDescent="0.25">
      <c r="C136" s="27" t="str">
        <f t="shared" si="35"/>
        <v/>
      </c>
      <c r="D136" s="30" t="str">
        <f t="shared" si="36"/>
        <v/>
      </c>
      <c r="E136" s="20" t="str">
        <f t="shared" si="23"/>
        <v/>
      </c>
      <c r="F136" s="20" t="str">
        <f t="shared" si="24"/>
        <v/>
      </c>
      <c r="G136" s="24" t="str">
        <f t="shared" si="37"/>
        <v/>
      </c>
      <c r="H136" s="21" t="str">
        <f t="shared" si="25"/>
        <v/>
      </c>
      <c r="I136" s="66" t="str">
        <f t="shared" si="26"/>
        <v/>
      </c>
      <c r="J136" s="66" t="str">
        <f t="shared" si="27"/>
        <v/>
      </c>
      <c r="K136" s="11" t="str">
        <f t="shared" si="28"/>
        <v/>
      </c>
      <c r="L136" s="23" t="str">
        <f t="shared" si="42"/>
        <v/>
      </c>
      <c r="M136" s="100"/>
      <c r="N136" s="23" t="str">
        <f t="shared" si="29"/>
        <v/>
      </c>
      <c r="O136" s="23" t="str">
        <f t="shared" si="38"/>
        <v/>
      </c>
      <c r="P136" s="23" t="str">
        <f t="shared" si="39"/>
        <v/>
      </c>
      <c r="Q136" s="19" t="str">
        <f t="shared" si="30"/>
        <v/>
      </c>
      <c r="R136" s="19"/>
      <c r="T136" s="37" t="str">
        <f t="shared" si="31"/>
        <v/>
      </c>
      <c r="U136" s="37" t="str">
        <f t="shared" si="40"/>
        <v/>
      </c>
      <c r="W136" s="31" t="str">
        <f t="shared" si="43"/>
        <v/>
      </c>
      <c r="X136" s="31" t="str">
        <f t="shared" si="44"/>
        <v/>
      </c>
      <c r="Y136" s="34">
        <f t="shared" si="41"/>
        <v>1</v>
      </c>
      <c r="Z136" s="31">
        <f t="shared" si="32"/>
        <v>0</v>
      </c>
      <c r="AA136" s="66">
        <f t="shared" si="33"/>
        <v>0</v>
      </c>
      <c r="AB136" s="6" t="str">
        <f t="shared" si="34"/>
        <v/>
      </c>
      <c r="AC136" s="48">
        <f t="shared" si="45"/>
        <v>0</v>
      </c>
    </row>
    <row r="137" spans="3:29" x14ac:dyDescent="0.25">
      <c r="C137" s="27" t="str">
        <f t="shared" si="35"/>
        <v/>
      </c>
      <c r="D137" s="30" t="str">
        <f t="shared" si="36"/>
        <v/>
      </c>
      <c r="E137" s="20" t="str">
        <f t="shared" si="23"/>
        <v/>
      </c>
      <c r="F137" s="20" t="str">
        <f t="shared" si="24"/>
        <v/>
      </c>
      <c r="G137" s="24" t="str">
        <f t="shared" si="37"/>
        <v/>
      </c>
      <c r="H137" s="21" t="str">
        <f t="shared" si="25"/>
        <v/>
      </c>
      <c r="I137" s="66" t="str">
        <f t="shared" si="26"/>
        <v/>
      </c>
      <c r="J137" s="66" t="str">
        <f t="shared" si="27"/>
        <v/>
      </c>
      <c r="K137" s="11" t="str">
        <f t="shared" si="28"/>
        <v/>
      </c>
      <c r="L137" s="23" t="str">
        <f t="shared" si="42"/>
        <v/>
      </c>
      <c r="M137" s="100"/>
      <c r="N137" s="23" t="str">
        <f t="shared" si="29"/>
        <v/>
      </c>
      <c r="O137" s="23" t="str">
        <f t="shared" si="38"/>
        <v/>
      </c>
      <c r="P137" s="23" t="str">
        <f t="shared" si="39"/>
        <v/>
      </c>
      <c r="Q137" s="19" t="str">
        <f t="shared" si="30"/>
        <v/>
      </c>
      <c r="R137" s="19"/>
      <c r="T137" s="37" t="str">
        <f t="shared" si="31"/>
        <v/>
      </c>
      <c r="U137" s="37" t="str">
        <f t="shared" si="40"/>
        <v/>
      </c>
      <c r="W137" s="31" t="str">
        <f t="shared" si="43"/>
        <v/>
      </c>
      <c r="X137" s="31" t="str">
        <f t="shared" si="44"/>
        <v/>
      </c>
      <c r="Y137" s="34">
        <f t="shared" si="41"/>
        <v>1</v>
      </c>
      <c r="Z137" s="31">
        <f t="shared" si="32"/>
        <v>0</v>
      </c>
      <c r="AA137" s="66">
        <f t="shared" si="33"/>
        <v>0</v>
      </c>
      <c r="AB137" s="6" t="str">
        <f t="shared" si="34"/>
        <v/>
      </c>
      <c r="AC137" s="48">
        <f t="shared" si="45"/>
        <v>0</v>
      </c>
    </row>
    <row r="138" spans="3:29" x14ac:dyDescent="0.25">
      <c r="C138" s="27" t="str">
        <f t="shared" si="35"/>
        <v/>
      </c>
      <c r="D138" s="30" t="str">
        <f t="shared" si="36"/>
        <v/>
      </c>
      <c r="E138" s="20" t="str">
        <f t="shared" si="23"/>
        <v/>
      </c>
      <c r="F138" s="20" t="str">
        <f t="shared" si="24"/>
        <v/>
      </c>
      <c r="G138" s="24" t="str">
        <f t="shared" si="37"/>
        <v/>
      </c>
      <c r="H138" s="21" t="str">
        <f t="shared" si="25"/>
        <v/>
      </c>
      <c r="I138" s="66" t="str">
        <f t="shared" si="26"/>
        <v/>
      </c>
      <c r="J138" s="66" t="str">
        <f t="shared" si="27"/>
        <v/>
      </c>
      <c r="K138" s="11" t="str">
        <f t="shared" si="28"/>
        <v/>
      </c>
      <c r="L138" s="23" t="str">
        <f t="shared" si="42"/>
        <v/>
      </c>
      <c r="M138" s="100"/>
      <c r="N138" s="23" t="str">
        <f t="shared" si="29"/>
        <v/>
      </c>
      <c r="O138" s="23" t="str">
        <f t="shared" si="38"/>
        <v/>
      </c>
      <c r="P138" s="23" t="str">
        <f t="shared" si="39"/>
        <v/>
      </c>
      <c r="Q138" s="19" t="str">
        <f t="shared" si="30"/>
        <v/>
      </c>
      <c r="R138" s="19"/>
      <c r="T138" s="37" t="str">
        <f t="shared" si="31"/>
        <v/>
      </c>
      <c r="U138" s="37" t="str">
        <f t="shared" si="40"/>
        <v/>
      </c>
      <c r="W138" s="31" t="str">
        <f t="shared" si="43"/>
        <v/>
      </c>
      <c r="X138" s="31" t="str">
        <f t="shared" si="44"/>
        <v/>
      </c>
      <c r="Y138" s="34">
        <f t="shared" si="41"/>
        <v>1</v>
      </c>
      <c r="Z138" s="31">
        <f t="shared" si="32"/>
        <v>0</v>
      </c>
      <c r="AA138" s="66">
        <f t="shared" si="33"/>
        <v>0</v>
      </c>
      <c r="AB138" s="6" t="str">
        <f t="shared" si="34"/>
        <v/>
      </c>
      <c r="AC138" s="48">
        <f t="shared" si="45"/>
        <v>0</v>
      </c>
    </row>
    <row r="139" spans="3:29" x14ac:dyDescent="0.25">
      <c r="C139" s="27" t="str">
        <f t="shared" si="35"/>
        <v/>
      </c>
      <c r="D139" s="30" t="str">
        <f t="shared" si="36"/>
        <v/>
      </c>
      <c r="E139" s="20" t="str">
        <f t="shared" si="23"/>
        <v/>
      </c>
      <c r="F139" s="20" t="str">
        <f t="shared" si="24"/>
        <v/>
      </c>
      <c r="G139" s="24" t="str">
        <f t="shared" si="37"/>
        <v/>
      </c>
      <c r="H139" s="21" t="str">
        <f t="shared" si="25"/>
        <v/>
      </c>
      <c r="I139" s="66" t="str">
        <f t="shared" si="26"/>
        <v/>
      </c>
      <c r="J139" s="66" t="str">
        <f t="shared" si="27"/>
        <v/>
      </c>
      <c r="K139" s="11" t="str">
        <f t="shared" si="28"/>
        <v/>
      </c>
      <c r="L139" s="23" t="str">
        <f t="shared" si="42"/>
        <v/>
      </c>
      <c r="M139" s="100"/>
      <c r="N139" s="23" t="str">
        <f t="shared" si="29"/>
        <v/>
      </c>
      <c r="O139" s="23" t="str">
        <f t="shared" si="38"/>
        <v/>
      </c>
      <c r="P139" s="23" t="str">
        <f t="shared" si="39"/>
        <v/>
      </c>
      <c r="Q139" s="19" t="str">
        <f t="shared" si="30"/>
        <v/>
      </c>
      <c r="R139" s="19"/>
      <c r="T139" s="37" t="str">
        <f t="shared" si="31"/>
        <v/>
      </c>
      <c r="U139" s="37" t="str">
        <f t="shared" si="40"/>
        <v/>
      </c>
      <c r="W139" s="31" t="str">
        <f t="shared" si="43"/>
        <v/>
      </c>
      <c r="X139" s="31" t="str">
        <f t="shared" si="44"/>
        <v/>
      </c>
      <c r="Y139" s="34">
        <f t="shared" si="41"/>
        <v>1</v>
      </c>
      <c r="Z139" s="31">
        <f t="shared" si="32"/>
        <v>0</v>
      </c>
      <c r="AA139" s="66">
        <f t="shared" si="33"/>
        <v>0</v>
      </c>
      <c r="AB139" s="6" t="str">
        <f t="shared" si="34"/>
        <v/>
      </c>
      <c r="AC139" s="48">
        <f t="shared" si="45"/>
        <v>0</v>
      </c>
    </row>
    <row r="140" spans="3:29" x14ac:dyDescent="0.25">
      <c r="C140" s="27" t="str">
        <f t="shared" si="35"/>
        <v/>
      </c>
      <c r="D140" s="30" t="str">
        <f t="shared" si="36"/>
        <v/>
      </c>
      <c r="E140" s="20" t="str">
        <f t="shared" si="23"/>
        <v/>
      </c>
      <c r="F140" s="20" t="str">
        <f t="shared" si="24"/>
        <v/>
      </c>
      <c r="G140" s="24" t="str">
        <f t="shared" si="37"/>
        <v/>
      </c>
      <c r="H140" s="21" t="str">
        <f t="shared" si="25"/>
        <v/>
      </c>
      <c r="I140" s="66" t="str">
        <f t="shared" si="26"/>
        <v/>
      </c>
      <c r="J140" s="66" t="str">
        <f t="shared" si="27"/>
        <v/>
      </c>
      <c r="K140" s="11" t="str">
        <f t="shared" si="28"/>
        <v/>
      </c>
      <c r="L140" s="23" t="str">
        <f t="shared" si="42"/>
        <v/>
      </c>
      <c r="M140" s="100"/>
      <c r="N140" s="23" t="str">
        <f t="shared" si="29"/>
        <v/>
      </c>
      <c r="O140" s="23" t="str">
        <f t="shared" si="38"/>
        <v/>
      </c>
      <c r="P140" s="23" t="str">
        <f t="shared" si="39"/>
        <v/>
      </c>
      <c r="Q140" s="19" t="str">
        <f t="shared" si="30"/>
        <v/>
      </c>
      <c r="R140" s="19"/>
      <c r="T140" s="37" t="str">
        <f t="shared" si="31"/>
        <v/>
      </c>
      <c r="U140" s="37" t="str">
        <f t="shared" si="40"/>
        <v/>
      </c>
      <c r="W140" s="31" t="str">
        <f t="shared" si="43"/>
        <v/>
      </c>
      <c r="X140" s="31" t="str">
        <f t="shared" si="44"/>
        <v/>
      </c>
      <c r="Y140" s="34">
        <f t="shared" si="41"/>
        <v>1</v>
      </c>
      <c r="Z140" s="31">
        <f t="shared" si="32"/>
        <v>0</v>
      </c>
      <c r="AA140" s="66">
        <f t="shared" si="33"/>
        <v>0</v>
      </c>
      <c r="AB140" s="6" t="str">
        <f t="shared" si="34"/>
        <v/>
      </c>
      <c r="AC140" s="48">
        <f t="shared" si="45"/>
        <v>0</v>
      </c>
    </row>
    <row r="141" spans="3:29" x14ac:dyDescent="0.25">
      <c r="C141" s="27" t="str">
        <f t="shared" si="35"/>
        <v/>
      </c>
      <c r="D141" s="30" t="str">
        <f t="shared" si="36"/>
        <v/>
      </c>
      <c r="E141" s="20" t="str">
        <f t="shared" si="23"/>
        <v/>
      </c>
      <c r="F141" s="20" t="str">
        <f t="shared" si="24"/>
        <v/>
      </c>
      <c r="G141" s="24" t="str">
        <f t="shared" si="37"/>
        <v/>
      </c>
      <c r="H141" s="21" t="str">
        <f t="shared" si="25"/>
        <v/>
      </c>
      <c r="I141" s="66" t="str">
        <f t="shared" si="26"/>
        <v/>
      </c>
      <c r="J141" s="66" t="str">
        <f t="shared" si="27"/>
        <v/>
      </c>
      <c r="K141" s="11" t="str">
        <f t="shared" si="28"/>
        <v/>
      </c>
      <c r="L141" s="23" t="str">
        <f t="shared" si="42"/>
        <v/>
      </c>
      <c r="M141" s="100"/>
      <c r="N141" s="23" t="str">
        <f t="shared" si="29"/>
        <v/>
      </c>
      <c r="O141" s="23" t="str">
        <f t="shared" si="38"/>
        <v/>
      </c>
      <c r="P141" s="23" t="str">
        <f t="shared" si="39"/>
        <v/>
      </c>
      <c r="Q141" s="19" t="str">
        <f t="shared" si="30"/>
        <v/>
      </c>
      <c r="R141" s="19"/>
      <c r="T141" s="37" t="str">
        <f t="shared" si="31"/>
        <v/>
      </c>
      <c r="U141" s="37" t="str">
        <f t="shared" si="40"/>
        <v/>
      </c>
      <c r="W141" s="31" t="str">
        <f t="shared" si="43"/>
        <v/>
      </c>
      <c r="X141" s="31" t="str">
        <f t="shared" si="44"/>
        <v/>
      </c>
      <c r="Y141" s="34">
        <f t="shared" si="41"/>
        <v>1</v>
      </c>
      <c r="Z141" s="31">
        <f t="shared" si="32"/>
        <v>0</v>
      </c>
      <c r="AA141" s="66">
        <f t="shared" si="33"/>
        <v>0</v>
      </c>
      <c r="AB141" s="6" t="str">
        <f t="shared" si="34"/>
        <v/>
      </c>
      <c r="AC141" s="48">
        <f>AC140+$M$17</f>
        <v>0</v>
      </c>
    </row>
    <row r="142" spans="3:29" x14ac:dyDescent="0.25">
      <c r="C142" s="27" t="str">
        <f t="shared" si="35"/>
        <v/>
      </c>
      <c r="D142" s="30" t="str">
        <f t="shared" si="36"/>
        <v/>
      </c>
      <c r="E142" s="20" t="str">
        <f t="shared" si="23"/>
        <v/>
      </c>
      <c r="F142" s="20" t="str">
        <f t="shared" si="24"/>
        <v/>
      </c>
      <c r="G142" s="24" t="str">
        <f t="shared" si="37"/>
        <v/>
      </c>
      <c r="H142" s="21" t="str">
        <f t="shared" si="25"/>
        <v/>
      </c>
      <c r="I142" s="66" t="str">
        <f t="shared" si="26"/>
        <v/>
      </c>
      <c r="J142" s="66" t="str">
        <f t="shared" si="27"/>
        <v/>
      </c>
      <c r="K142" s="11" t="str">
        <f t="shared" si="28"/>
        <v/>
      </c>
      <c r="L142" s="23" t="str">
        <f t="shared" si="42"/>
        <v/>
      </c>
      <c r="M142" s="100"/>
      <c r="N142" s="23" t="str">
        <f t="shared" si="29"/>
        <v/>
      </c>
      <c r="O142" s="23" t="str">
        <f t="shared" si="38"/>
        <v/>
      </c>
      <c r="P142" s="23" t="str">
        <f t="shared" si="39"/>
        <v/>
      </c>
      <c r="Q142" s="19" t="str">
        <f t="shared" si="30"/>
        <v/>
      </c>
      <c r="R142" s="19"/>
      <c r="T142" s="37" t="str">
        <f t="shared" si="31"/>
        <v/>
      </c>
      <c r="U142" s="37" t="str">
        <f t="shared" si="40"/>
        <v/>
      </c>
      <c r="W142" s="31" t="str">
        <f t="shared" si="43"/>
        <v/>
      </c>
      <c r="X142" s="31" t="str">
        <f t="shared" si="44"/>
        <v/>
      </c>
      <c r="Y142" s="34">
        <f t="shared" si="41"/>
        <v>1</v>
      </c>
      <c r="Z142" s="31">
        <f t="shared" si="32"/>
        <v>0</v>
      </c>
      <c r="AA142" s="66">
        <f t="shared" si="33"/>
        <v>0</v>
      </c>
      <c r="AB142" s="6" t="str">
        <f t="shared" si="34"/>
        <v/>
      </c>
      <c r="AC142" s="48">
        <f t="shared" si="45"/>
        <v>0</v>
      </c>
    </row>
    <row r="143" spans="3:29" x14ac:dyDescent="0.25">
      <c r="C143" s="27" t="str">
        <f t="shared" si="35"/>
        <v/>
      </c>
      <c r="D143" s="30" t="str">
        <f t="shared" si="36"/>
        <v/>
      </c>
      <c r="E143" s="20" t="str">
        <f t="shared" si="23"/>
        <v/>
      </c>
      <c r="F143" s="20" t="str">
        <f t="shared" si="24"/>
        <v/>
      </c>
      <c r="G143" s="24" t="str">
        <f t="shared" si="37"/>
        <v/>
      </c>
      <c r="H143" s="21" t="str">
        <f t="shared" si="25"/>
        <v/>
      </c>
      <c r="I143" s="66" t="str">
        <f t="shared" si="26"/>
        <v/>
      </c>
      <c r="J143" s="66" t="str">
        <f t="shared" si="27"/>
        <v/>
      </c>
      <c r="K143" s="11" t="str">
        <f t="shared" si="28"/>
        <v/>
      </c>
      <c r="L143" s="23" t="str">
        <f t="shared" si="42"/>
        <v/>
      </c>
      <c r="M143" s="100"/>
      <c r="N143" s="23" t="str">
        <f t="shared" si="29"/>
        <v/>
      </c>
      <c r="O143" s="23" t="str">
        <f t="shared" si="38"/>
        <v/>
      </c>
      <c r="P143" s="23" t="str">
        <f t="shared" si="39"/>
        <v/>
      </c>
      <c r="Q143" s="19" t="str">
        <f t="shared" si="30"/>
        <v/>
      </c>
      <c r="R143" s="19"/>
      <c r="T143" s="37" t="str">
        <f t="shared" si="31"/>
        <v/>
      </c>
      <c r="U143" s="37" t="str">
        <f t="shared" si="40"/>
        <v/>
      </c>
      <c r="W143" s="31" t="str">
        <f t="shared" si="43"/>
        <v/>
      </c>
      <c r="X143" s="31" t="str">
        <f t="shared" si="44"/>
        <v/>
      </c>
      <c r="Y143" s="34">
        <f t="shared" si="41"/>
        <v>1</v>
      </c>
      <c r="Z143" s="31">
        <f t="shared" si="32"/>
        <v>0</v>
      </c>
      <c r="AA143" s="66">
        <f t="shared" si="33"/>
        <v>0</v>
      </c>
      <c r="AB143" s="6" t="str">
        <f t="shared" si="34"/>
        <v/>
      </c>
      <c r="AC143" s="48">
        <f t="shared" si="45"/>
        <v>0</v>
      </c>
    </row>
    <row r="144" spans="3:29" x14ac:dyDescent="0.25">
      <c r="C144" s="27" t="str">
        <f t="shared" si="35"/>
        <v/>
      </c>
      <c r="D144" s="30" t="str">
        <f t="shared" si="36"/>
        <v/>
      </c>
      <c r="E144" s="20" t="str">
        <f t="shared" si="23"/>
        <v/>
      </c>
      <c r="F144" s="20" t="str">
        <f t="shared" si="24"/>
        <v/>
      </c>
      <c r="G144" s="24" t="str">
        <f t="shared" si="37"/>
        <v/>
      </c>
      <c r="H144" s="21" t="str">
        <f t="shared" si="25"/>
        <v/>
      </c>
      <c r="I144" s="66" t="str">
        <f t="shared" si="26"/>
        <v/>
      </c>
      <c r="J144" s="66" t="str">
        <f t="shared" si="27"/>
        <v/>
      </c>
      <c r="K144" s="11" t="str">
        <f t="shared" si="28"/>
        <v/>
      </c>
      <c r="L144" s="23" t="str">
        <f t="shared" si="42"/>
        <v/>
      </c>
      <c r="M144" s="100"/>
      <c r="N144" s="23" t="str">
        <f t="shared" si="29"/>
        <v/>
      </c>
      <c r="O144" s="23" t="str">
        <f t="shared" si="38"/>
        <v/>
      </c>
      <c r="P144" s="23" t="str">
        <f t="shared" si="39"/>
        <v/>
      </c>
      <c r="Q144" s="19" t="str">
        <f t="shared" si="30"/>
        <v/>
      </c>
      <c r="R144" s="19"/>
      <c r="T144" s="37" t="str">
        <f t="shared" si="31"/>
        <v/>
      </c>
      <c r="U144" s="37" t="str">
        <f t="shared" si="40"/>
        <v/>
      </c>
      <c r="W144" s="31" t="str">
        <f t="shared" si="43"/>
        <v/>
      </c>
      <c r="X144" s="31" t="str">
        <f t="shared" si="44"/>
        <v/>
      </c>
      <c r="Y144" s="34">
        <f t="shared" si="41"/>
        <v>1</v>
      </c>
      <c r="Z144" s="31">
        <f t="shared" si="32"/>
        <v>0</v>
      </c>
      <c r="AA144" s="66">
        <f t="shared" si="33"/>
        <v>0</v>
      </c>
      <c r="AB144" s="6" t="str">
        <f t="shared" si="34"/>
        <v/>
      </c>
      <c r="AC144" s="48">
        <f t="shared" si="45"/>
        <v>0</v>
      </c>
    </row>
    <row r="145" spans="3:29" x14ac:dyDescent="0.25">
      <c r="C145" s="27" t="str">
        <f t="shared" si="35"/>
        <v/>
      </c>
      <c r="D145" s="30" t="str">
        <f t="shared" si="36"/>
        <v/>
      </c>
      <c r="E145" s="20" t="str">
        <f t="shared" si="23"/>
        <v/>
      </c>
      <c r="F145" s="20" t="str">
        <f t="shared" si="24"/>
        <v/>
      </c>
      <c r="G145" s="24" t="str">
        <f t="shared" si="37"/>
        <v/>
      </c>
      <c r="H145" s="21" t="str">
        <f t="shared" si="25"/>
        <v/>
      </c>
      <c r="I145" s="66" t="str">
        <f t="shared" si="26"/>
        <v/>
      </c>
      <c r="J145" s="66" t="str">
        <f t="shared" si="27"/>
        <v/>
      </c>
      <c r="K145" s="11" t="str">
        <f t="shared" si="28"/>
        <v/>
      </c>
      <c r="L145" s="23" t="str">
        <f t="shared" si="42"/>
        <v/>
      </c>
      <c r="M145" s="100"/>
      <c r="N145" s="23" t="str">
        <f t="shared" si="29"/>
        <v/>
      </c>
      <c r="O145" s="23" t="str">
        <f t="shared" si="38"/>
        <v/>
      </c>
      <c r="P145" s="23" t="str">
        <f t="shared" si="39"/>
        <v/>
      </c>
      <c r="Q145" s="19" t="str">
        <f t="shared" si="30"/>
        <v/>
      </c>
      <c r="R145" s="19"/>
      <c r="T145" s="37" t="str">
        <f t="shared" si="31"/>
        <v/>
      </c>
      <c r="U145" s="37" t="str">
        <f t="shared" si="40"/>
        <v/>
      </c>
      <c r="W145" s="31" t="str">
        <f t="shared" si="43"/>
        <v/>
      </c>
      <c r="X145" s="31" t="str">
        <f t="shared" si="44"/>
        <v/>
      </c>
      <c r="Y145" s="34">
        <f t="shared" si="41"/>
        <v>1</v>
      </c>
      <c r="Z145" s="31">
        <f t="shared" si="32"/>
        <v>0</v>
      </c>
      <c r="AA145" s="66">
        <f t="shared" si="33"/>
        <v>0</v>
      </c>
      <c r="AB145" s="6" t="str">
        <f t="shared" si="34"/>
        <v/>
      </c>
      <c r="AC145" s="48">
        <f t="shared" si="45"/>
        <v>0</v>
      </c>
    </row>
    <row r="146" spans="3:29" x14ac:dyDescent="0.25">
      <c r="C146" s="27" t="str">
        <f t="shared" si="35"/>
        <v/>
      </c>
      <c r="D146" s="30" t="str">
        <f t="shared" si="36"/>
        <v/>
      </c>
      <c r="E146" s="20" t="str">
        <f t="shared" si="23"/>
        <v/>
      </c>
      <c r="F146" s="20" t="str">
        <f t="shared" si="24"/>
        <v/>
      </c>
      <c r="G146" s="24" t="str">
        <f t="shared" si="37"/>
        <v/>
      </c>
      <c r="H146" s="21" t="str">
        <f t="shared" si="25"/>
        <v/>
      </c>
      <c r="I146" s="66" t="str">
        <f t="shared" si="26"/>
        <v/>
      </c>
      <c r="J146" s="66" t="str">
        <f t="shared" si="27"/>
        <v/>
      </c>
      <c r="K146" s="11" t="str">
        <f t="shared" si="28"/>
        <v/>
      </c>
      <c r="L146" s="23" t="str">
        <f t="shared" si="42"/>
        <v/>
      </c>
      <c r="M146" s="100"/>
      <c r="N146" s="23" t="str">
        <f t="shared" si="29"/>
        <v/>
      </c>
      <c r="O146" s="23" t="str">
        <f t="shared" si="38"/>
        <v/>
      </c>
      <c r="P146" s="23" t="str">
        <f t="shared" si="39"/>
        <v/>
      </c>
      <c r="Q146" s="19" t="str">
        <f t="shared" si="30"/>
        <v/>
      </c>
      <c r="R146" s="19"/>
      <c r="T146" s="37" t="str">
        <f t="shared" si="31"/>
        <v/>
      </c>
      <c r="U146" s="37" t="str">
        <f t="shared" si="40"/>
        <v/>
      </c>
      <c r="W146" s="31" t="str">
        <f t="shared" si="43"/>
        <v/>
      </c>
      <c r="X146" s="31" t="str">
        <f t="shared" si="44"/>
        <v/>
      </c>
      <c r="Y146" s="34">
        <f t="shared" si="41"/>
        <v>1</v>
      </c>
      <c r="Z146" s="31">
        <f t="shared" si="32"/>
        <v>0</v>
      </c>
      <c r="AA146" s="66">
        <f t="shared" si="33"/>
        <v>0</v>
      </c>
      <c r="AB146" s="6" t="str">
        <f t="shared" si="34"/>
        <v/>
      </c>
      <c r="AC146" s="48">
        <f t="shared" si="45"/>
        <v>0</v>
      </c>
    </row>
    <row r="147" spans="3:29" x14ac:dyDescent="0.25">
      <c r="C147" s="27" t="str">
        <f t="shared" si="35"/>
        <v/>
      </c>
      <c r="D147" s="30" t="str">
        <f t="shared" si="36"/>
        <v/>
      </c>
      <c r="E147" s="20" t="str">
        <f t="shared" si="23"/>
        <v/>
      </c>
      <c r="F147" s="20" t="str">
        <f t="shared" si="24"/>
        <v/>
      </c>
      <c r="G147" s="24" t="str">
        <f t="shared" si="37"/>
        <v/>
      </c>
      <c r="H147" s="21" t="str">
        <f t="shared" si="25"/>
        <v/>
      </c>
      <c r="I147" s="66" t="str">
        <f t="shared" si="26"/>
        <v/>
      </c>
      <c r="J147" s="66" t="str">
        <f t="shared" si="27"/>
        <v/>
      </c>
      <c r="K147" s="11" t="str">
        <f t="shared" si="28"/>
        <v/>
      </c>
      <c r="L147" s="23" t="str">
        <f t="shared" si="42"/>
        <v/>
      </c>
      <c r="M147" s="100"/>
      <c r="N147" s="23" t="str">
        <f t="shared" si="29"/>
        <v/>
      </c>
      <c r="O147" s="23" t="str">
        <f t="shared" si="38"/>
        <v/>
      </c>
      <c r="P147" s="23" t="str">
        <f t="shared" si="39"/>
        <v/>
      </c>
      <c r="Q147" s="19" t="str">
        <f t="shared" si="30"/>
        <v/>
      </c>
      <c r="R147" s="19"/>
      <c r="T147" s="37" t="str">
        <f t="shared" si="31"/>
        <v/>
      </c>
      <c r="U147" s="37" t="str">
        <f t="shared" si="40"/>
        <v/>
      </c>
      <c r="W147" s="31" t="str">
        <f t="shared" si="43"/>
        <v/>
      </c>
      <c r="X147" s="31" t="str">
        <f t="shared" si="44"/>
        <v/>
      </c>
      <c r="Y147" s="34">
        <f t="shared" si="41"/>
        <v>1</v>
      </c>
      <c r="Z147" s="31">
        <f t="shared" si="32"/>
        <v>0</v>
      </c>
      <c r="AA147" s="66">
        <f t="shared" si="33"/>
        <v>0</v>
      </c>
      <c r="AB147" s="6" t="str">
        <f t="shared" si="34"/>
        <v/>
      </c>
      <c r="AC147" s="48">
        <f t="shared" si="45"/>
        <v>0</v>
      </c>
    </row>
    <row r="148" spans="3:29" x14ac:dyDescent="0.25">
      <c r="C148" s="27" t="str">
        <f t="shared" si="35"/>
        <v/>
      </c>
      <c r="D148" s="30" t="str">
        <f t="shared" si="36"/>
        <v/>
      </c>
      <c r="E148" s="20" t="str">
        <f t="shared" si="23"/>
        <v/>
      </c>
      <c r="F148" s="20" t="str">
        <f t="shared" si="24"/>
        <v/>
      </c>
      <c r="G148" s="24" t="str">
        <f t="shared" si="37"/>
        <v/>
      </c>
      <c r="H148" s="21" t="str">
        <f t="shared" si="25"/>
        <v/>
      </c>
      <c r="I148" s="66" t="str">
        <f t="shared" si="26"/>
        <v/>
      </c>
      <c r="J148" s="66" t="str">
        <f t="shared" si="27"/>
        <v/>
      </c>
      <c r="K148" s="11" t="str">
        <f t="shared" si="28"/>
        <v/>
      </c>
      <c r="L148" s="23" t="str">
        <f t="shared" si="42"/>
        <v/>
      </c>
      <c r="M148" s="100"/>
      <c r="N148" s="23" t="str">
        <f t="shared" si="29"/>
        <v/>
      </c>
      <c r="O148" s="23" t="str">
        <f t="shared" si="38"/>
        <v/>
      </c>
      <c r="P148" s="23" t="str">
        <f t="shared" si="39"/>
        <v/>
      </c>
      <c r="Q148" s="19" t="str">
        <f t="shared" si="30"/>
        <v/>
      </c>
      <c r="R148" s="19"/>
      <c r="T148" s="37" t="str">
        <f t="shared" si="31"/>
        <v/>
      </c>
      <c r="U148" s="37" t="str">
        <f t="shared" si="40"/>
        <v/>
      </c>
      <c r="W148" s="31" t="str">
        <f t="shared" si="43"/>
        <v/>
      </c>
      <c r="X148" s="31" t="str">
        <f t="shared" si="44"/>
        <v/>
      </c>
      <c r="Y148" s="34">
        <f t="shared" si="41"/>
        <v>1</v>
      </c>
      <c r="Z148" s="31">
        <f t="shared" si="32"/>
        <v>0</v>
      </c>
      <c r="AA148" s="66">
        <f t="shared" si="33"/>
        <v>0</v>
      </c>
      <c r="AB148" s="6" t="str">
        <f t="shared" si="34"/>
        <v/>
      </c>
      <c r="AC148" s="48">
        <f t="shared" si="45"/>
        <v>0</v>
      </c>
    </row>
    <row r="149" spans="3:29" x14ac:dyDescent="0.25">
      <c r="C149" s="27" t="str">
        <f t="shared" si="35"/>
        <v/>
      </c>
      <c r="D149" s="30" t="str">
        <f t="shared" si="36"/>
        <v/>
      </c>
      <c r="E149" s="20" t="str">
        <f t="shared" ref="E149:E200" si="46">IF(C149="","",MIN(IF($E$16="Mensualidad",-PMT(Q149/12,$E$15*12-C148,D149)-F149,-PMT(Q149/12,$E$15*12,$J$9)-F149),D149))</f>
        <v/>
      </c>
      <c r="F149" s="20" t="str">
        <f t="shared" ref="F149:F200" si="47">IF(C149="","",D149*(Q149/12))</f>
        <v/>
      </c>
      <c r="G149" s="24" t="str">
        <f t="shared" si="37"/>
        <v/>
      </c>
      <c r="H149" s="21" t="str">
        <f t="shared" ref="H149:H200" si="48">IF(C149="","",IF((($J$8*0.8)*($N$12/1.16))&gt;L148*($N$12/1.16),($J$8*0.8)*($N$12/1.16),($N$12/1.16)*L148)/1000)</f>
        <v/>
      </c>
      <c r="I149" s="66" t="str">
        <f t="shared" ref="I149:I200" si="49">IF($D$17="SI",0,IF(D149="","",$N$15))</f>
        <v/>
      </c>
      <c r="J149" s="66" t="str">
        <f t="shared" ref="J149:J200" si="50">IFERROR(IF($E$8="Liquidez",F149*0.16,""),"")</f>
        <v/>
      </c>
      <c r="K149" s="11" t="str">
        <f t="shared" ref="K149:K200" si="51">IFERROR(IF(C149="","",E149+F149+G149+H149+I149+J149),0)</f>
        <v/>
      </c>
      <c r="L149" s="23" t="str">
        <f t="shared" si="42"/>
        <v/>
      </c>
      <c r="M149" s="100"/>
      <c r="N149" s="23" t="str">
        <f t="shared" ref="N149:N200" si="52">IF(C149="","",IF(M149="",0,M149-O149-P149))</f>
        <v/>
      </c>
      <c r="O149" s="23" t="str">
        <f t="shared" si="38"/>
        <v/>
      </c>
      <c r="P149" s="23" t="str">
        <f t="shared" si="39"/>
        <v/>
      </c>
      <c r="Q149" s="19" t="str">
        <f t="shared" ref="Q149:Q200" si="53">IF(C149="","",$J$10)</f>
        <v/>
      </c>
      <c r="R149" s="19"/>
      <c r="T149" s="37" t="str">
        <f t="shared" ref="T149:T200" si="54">IF(C149="","",1)</f>
        <v/>
      </c>
      <c r="U149" s="37" t="str">
        <f t="shared" si="40"/>
        <v/>
      </c>
      <c r="W149" s="31" t="str">
        <f t="shared" si="43"/>
        <v/>
      </c>
      <c r="X149" s="31" t="str">
        <f t="shared" si="44"/>
        <v/>
      </c>
      <c r="Y149" s="34">
        <f t="shared" si="41"/>
        <v>1</v>
      </c>
      <c r="Z149" s="31">
        <f t="shared" ref="Z149:Z200" si="55">IF($AA$20=0,0,IF(N149&gt;AA148,MAX(0,N149-AA148),N149))</f>
        <v>0</v>
      </c>
      <c r="AA149" s="66">
        <f t="shared" ref="AA149:AA200" si="56">IFERROR(MAX(0,AA148-N149),0)</f>
        <v>0</v>
      </c>
      <c r="AB149" s="6" t="str">
        <f t="shared" ref="AB149:AB200" si="57">IF($D$17="NO",N149,IF(AA149&gt;0,0,Z149))</f>
        <v/>
      </c>
      <c r="AC149" s="48">
        <f t="shared" si="45"/>
        <v>0</v>
      </c>
    </row>
    <row r="150" spans="3:29" x14ac:dyDescent="0.25">
      <c r="C150" s="27" t="str">
        <f t="shared" ref="C150:C200" si="58">IF(OR(C149="",L149&lt;=0),"",IF(C149+1&lt;=E$15*12,C149+1,""))</f>
        <v/>
      </c>
      <c r="D150" s="30" t="str">
        <f t="shared" ref="D150:D200" si="59">IF(L149&lt;=0,"",L149)</f>
        <v/>
      </c>
      <c r="E150" s="20" t="str">
        <f t="shared" si="46"/>
        <v/>
      </c>
      <c r="F150" s="20" t="str">
        <f t="shared" si="47"/>
        <v/>
      </c>
      <c r="G150" s="24" t="str">
        <f t="shared" ref="G150:G200" si="60">IF(C150="","",L$12*L149/1000)</f>
        <v/>
      </c>
      <c r="H150" s="21" t="str">
        <f t="shared" si="48"/>
        <v/>
      </c>
      <c r="I150" s="66" t="str">
        <f t="shared" si="49"/>
        <v/>
      </c>
      <c r="J150" s="66" t="str">
        <f t="shared" si="50"/>
        <v/>
      </c>
      <c r="K150" s="11" t="str">
        <f t="shared" si="51"/>
        <v/>
      </c>
      <c r="L150" s="23" t="str">
        <f t="shared" si="42"/>
        <v/>
      </c>
      <c r="M150" s="100"/>
      <c r="N150" s="23" t="str">
        <f t="shared" si="52"/>
        <v/>
      </c>
      <c r="O150" s="23" t="str">
        <f t="shared" ref="O150:O200" si="61">IF(C150="","",M150*$J$12)</f>
        <v/>
      </c>
      <c r="P150" s="23" t="str">
        <f t="shared" ref="P150:P200" si="62">IF(C150="","",(M150*$J$12)*0.16)</f>
        <v/>
      </c>
      <c r="Q150" s="19" t="str">
        <f t="shared" si="53"/>
        <v/>
      </c>
      <c r="R150" s="19"/>
      <c r="T150" s="37" t="str">
        <f t="shared" si="54"/>
        <v/>
      </c>
      <c r="U150" s="37" t="str">
        <f t="shared" ref="U150:U200" si="63">C150</f>
        <v/>
      </c>
      <c r="W150" s="31" t="str">
        <f t="shared" si="43"/>
        <v/>
      </c>
      <c r="X150" s="31" t="str">
        <f t="shared" si="44"/>
        <v/>
      </c>
      <c r="Y150" s="34">
        <f t="shared" ref="Y150:Y200" si="64">Y149</f>
        <v>1</v>
      </c>
      <c r="Z150" s="31">
        <f t="shared" si="55"/>
        <v>0</v>
      </c>
      <c r="AA150" s="66">
        <f t="shared" si="56"/>
        <v>0</v>
      </c>
      <c r="AB150" s="6" t="str">
        <f t="shared" si="57"/>
        <v/>
      </c>
      <c r="AC150" s="48">
        <f t="shared" si="45"/>
        <v>0</v>
      </c>
    </row>
    <row r="151" spans="3:29" x14ac:dyDescent="0.25">
      <c r="C151" s="27" t="str">
        <f t="shared" si="58"/>
        <v/>
      </c>
      <c r="D151" s="30" t="str">
        <f t="shared" si="59"/>
        <v/>
      </c>
      <c r="E151" s="20" t="str">
        <f t="shared" si="46"/>
        <v/>
      </c>
      <c r="F151" s="20" t="str">
        <f t="shared" si="47"/>
        <v/>
      </c>
      <c r="G151" s="24" t="str">
        <f t="shared" si="60"/>
        <v/>
      </c>
      <c r="H151" s="21" t="str">
        <f t="shared" si="48"/>
        <v/>
      </c>
      <c r="I151" s="66" t="str">
        <f t="shared" si="49"/>
        <v/>
      </c>
      <c r="J151" s="66" t="str">
        <f t="shared" si="50"/>
        <v/>
      </c>
      <c r="K151" s="11" t="str">
        <f t="shared" si="51"/>
        <v/>
      </c>
      <c r="L151" s="23" t="str">
        <f t="shared" ref="L151:L200" si="65">IFERROR(IF(C151="","",IF((D151-E151-AB151)&lt;1,0,D151-E151-AB151)),0)</f>
        <v/>
      </c>
      <c r="M151" s="100"/>
      <c r="N151" s="23" t="str">
        <f t="shared" si="52"/>
        <v/>
      </c>
      <c r="O151" s="23" t="str">
        <f t="shared" si="61"/>
        <v/>
      </c>
      <c r="P151" s="23" t="str">
        <f t="shared" si="62"/>
        <v/>
      </c>
      <c r="Q151" s="19" t="str">
        <f t="shared" si="53"/>
        <v/>
      </c>
      <c r="R151" s="19"/>
      <c r="T151" s="37" t="str">
        <f t="shared" si="54"/>
        <v/>
      </c>
      <c r="U151" s="37" t="str">
        <f t="shared" si="63"/>
        <v/>
      </c>
      <c r="W151" s="31" t="str">
        <f t="shared" si="43"/>
        <v/>
      </c>
      <c r="X151" s="31" t="str">
        <f t="shared" si="44"/>
        <v/>
      </c>
      <c r="Y151" s="34">
        <f t="shared" si="64"/>
        <v>1</v>
      </c>
      <c r="Z151" s="31">
        <f t="shared" si="55"/>
        <v>0</v>
      </c>
      <c r="AA151" s="66">
        <f t="shared" si="56"/>
        <v>0</v>
      </c>
      <c r="AB151" s="6" t="str">
        <f t="shared" si="57"/>
        <v/>
      </c>
      <c r="AC151" s="48">
        <f t="shared" si="45"/>
        <v>0</v>
      </c>
    </row>
    <row r="152" spans="3:29" x14ac:dyDescent="0.25">
      <c r="C152" s="27" t="str">
        <f t="shared" si="58"/>
        <v/>
      </c>
      <c r="D152" s="30" t="str">
        <f t="shared" si="59"/>
        <v/>
      </c>
      <c r="E152" s="20" t="str">
        <f t="shared" si="46"/>
        <v/>
      </c>
      <c r="F152" s="20" t="str">
        <f t="shared" si="47"/>
        <v/>
      </c>
      <c r="G152" s="24" t="str">
        <f t="shared" si="60"/>
        <v/>
      </c>
      <c r="H152" s="21" t="str">
        <f t="shared" si="48"/>
        <v/>
      </c>
      <c r="I152" s="66" t="str">
        <f t="shared" si="49"/>
        <v/>
      </c>
      <c r="J152" s="66" t="str">
        <f t="shared" si="50"/>
        <v/>
      </c>
      <c r="K152" s="11" t="str">
        <f t="shared" si="51"/>
        <v/>
      </c>
      <c r="L152" s="23" t="str">
        <f t="shared" si="65"/>
        <v/>
      </c>
      <c r="M152" s="100"/>
      <c r="N152" s="23" t="str">
        <f t="shared" si="52"/>
        <v/>
      </c>
      <c r="O152" s="23" t="str">
        <f t="shared" si="61"/>
        <v/>
      </c>
      <c r="P152" s="23" t="str">
        <f t="shared" si="62"/>
        <v/>
      </c>
      <c r="Q152" s="19" t="str">
        <f t="shared" si="53"/>
        <v/>
      </c>
      <c r="R152" s="19"/>
      <c r="T152" s="37" t="str">
        <f t="shared" si="54"/>
        <v/>
      </c>
      <c r="U152" s="37" t="str">
        <f t="shared" si="63"/>
        <v/>
      </c>
      <c r="W152" s="31" t="str">
        <f t="shared" si="43"/>
        <v/>
      </c>
      <c r="X152" s="31" t="str">
        <f t="shared" si="44"/>
        <v/>
      </c>
      <c r="Y152" s="34">
        <f t="shared" si="64"/>
        <v>1</v>
      </c>
      <c r="Z152" s="31">
        <f t="shared" si="55"/>
        <v>0</v>
      </c>
      <c r="AA152" s="66">
        <f t="shared" si="56"/>
        <v>0</v>
      </c>
      <c r="AB152" s="6" t="str">
        <f t="shared" si="57"/>
        <v/>
      </c>
      <c r="AC152" s="48">
        <f t="shared" si="45"/>
        <v>0</v>
      </c>
    </row>
    <row r="153" spans="3:29" x14ac:dyDescent="0.25">
      <c r="C153" s="27" t="str">
        <f t="shared" si="58"/>
        <v/>
      </c>
      <c r="D153" s="30" t="str">
        <f t="shared" si="59"/>
        <v/>
      </c>
      <c r="E153" s="20" t="str">
        <f t="shared" si="46"/>
        <v/>
      </c>
      <c r="F153" s="20" t="str">
        <f t="shared" si="47"/>
        <v/>
      </c>
      <c r="G153" s="24" t="str">
        <f t="shared" si="60"/>
        <v/>
      </c>
      <c r="H153" s="21" t="str">
        <f t="shared" si="48"/>
        <v/>
      </c>
      <c r="I153" s="66" t="str">
        <f t="shared" si="49"/>
        <v/>
      </c>
      <c r="J153" s="66" t="str">
        <f t="shared" si="50"/>
        <v/>
      </c>
      <c r="K153" s="11" t="str">
        <f t="shared" si="51"/>
        <v/>
      </c>
      <c r="L153" s="23" t="str">
        <f t="shared" si="65"/>
        <v/>
      </c>
      <c r="M153" s="100"/>
      <c r="N153" s="23" t="str">
        <f t="shared" si="52"/>
        <v/>
      </c>
      <c r="O153" s="23" t="str">
        <f t="shared" si="61"/>
        <v/>
      </c>
      <c r="P153" s="23" t="str">
        <f t="shared" si="62"/>
        <v/>
      </c>
      <c r="Q153" s="19" t="str">
        <f t="shared" si="53"/>
        <v/>
      </c>
      <c r="R153" s="19"/>
      <c r="T153" s="37" t="str">
        <f t="shared" si="54"/>
        <v/>
      </c>
      <c r="U153" s="37" t="str">
        <f t="shared" si="63"/>
        <v/>
      </c>
      <c r="W153" s="31" t="str">
        <f t="shared" si="43"/>
        <v/>
      </c>
      <c r="X153" s="31" t="str">
        <f t="shared" si="44"/>
        <v/>
      </c>
      <c r="Y153" s="34">
        <f t="shared" si="64"/>
        <v>1</v>
      </c>
      <c r="Z153" s="31">
        <f t="shared" si="55"/>
        <v>0</v>
      </c>
      <c r="AA153" s="66">
        <f t="shared" si="56"/>
        <v>0</v>
      </c>
      <c r="AB153" s="6" t="str">
        <f t="shared" si="57"/>
        <v/>
      </c>
      <c r="AC153" s="48">
        <f>AC152+$M$17</f>
        <v>0</v>
      </c>
    </row>
    <row r="154" spans="3:29" x14ac:dyDescent="0.25">
      <c r="C154" s="27" t="str">
        <f t="shared" si="58"/>
        <v/>
      </c>
      <c r="D154" s="30" t="str">
        <f t="shared" si="59"/>
        <v/>
      </c>
      <c r="E154" s="20" t="str">
        <f t="shared" si="46"/>
        <v/>
      </c>
      <c r="F154" s="20" t="str">
        <f t="shared" si="47"/>
        <v/>
      </c>
      <c r="G154" s="24" t="str">
        <f t="shared" si="60"/>
        <v/>
      </c>
      <c r="H154" s="21" t="str">
        <f t="shared" si="48"/>
        <v/>
      </c>
      <c r="I154" s="66" t="str">
        <f t="shared" si="49"/>
        <v/>
      </c>
      <c r="J154" s="66" t="str">
        <f t="shared" si="50"/>
        <v/>
      </c>
      <c r="K154" s="11" t="str">
        <f t="shared" si="51"/>
        <v/>
      </c>
      <c r="L154" s="23" t="str">
        <f t="shared" si="65"/>
        <v/>
      </c>
      <c r="M154" s="100"/>
      <c r="N154" s="23" t="str">
        <f t="shared" si="52"/>
        <v/>
      </c>
      <c r="O154" s="23" t="str">
        <f t="shared" si="61"/>
        <v/>
      </c>
      <c r="P154" s="23" t="str">
        <f t="shared" si="62"/>
        <v/>
      </c>
      <c r="Q154" s="19" t="str">
        <f t="shared" si="53"/>
        <v/>
      </c>
      <c r="R154" s="19"/>
      <c r="T154" s="37" t="str">
        <f t="shared" si="54"/>
        <v/>
      </c>
      <c r="U154" s="37" t="str">
        <f t="shared" si="63"/>
        <v/>
      </c>
      <c r="W154" s="31" t="str">
        <f t="shared" ref="W154:W200" si="66">IF(C154="","",IF(ISNUMBER(U154),PMT(Q154/12,($E$15*12),-$J$9)+G154+H154+AB154/1.16+$N$15,0))</f>
        <v/>
      </c>
      <c r="X154" s="31" t="str">
        <f t="shared" ref="X154:X200" si="67">IF(C154="","",IF(ISNUMBER(U154),PMT(Q154/12,$E$15*12,-$J$9)+G154+AB154+H154/1.16+$N$15,0))</f>
        <v/>
      </c>
      <c r="Y154" s="34">
        <f t="shared" si="64"/>
        <v>1</v>
      </c>
      <c r="Z154" s="31">
        <f t="shared" si="55"/>
        <v>0</v>
      </c>
      <c r="AA154" s="66">
        <f t="shared" si="56"/>
        <v>0</v>
      </c>
      <c r="AB154" s="6" t="str">
        <f t="shared" si="57"/>
        <v/>
      </c>
      <c r="AC154" s="48">
        <f t="shared" si="45"/>
        <v>0</v>
      </c>
    </row>
    <row r="155" spans="3:29" x14ac:dyDescent="0.25">
      <c r="C155" s="27" t="str">
        <f t="shared" si="58"/>
        <v/>
      </c>
      <c r="D155" s="30" t="str">
        <f t="shared" si="59"/>
        <v/>
      </c>
      <c r="E155" s="20" t="str">
        <f t="shared" si="46"/>
        <v/>
      </c>
      <c r="F155" s="20" t="str">
        <f t="shared" si="47"/>
        <v/>
      </c>
      <c r="G155" s="24" t="str">
        <f t="shared" si="60"/>
        <v/>
      </c>
      <c r="H155" s="21" t="str">
        <f t="shared" si="48"/>
        <v/>
      </c>
      <c r="I155" s="66" t="str">
        <f t="shared" si="49"/>
        <v/>
      </c>
      <c r="J155" s="66" t="str">
        <f t="shared" si="50"/>
        <v/>
      </c>
      <c r="K155" s="11" t="str">
        <f t="shared" si="51"/>
        <v/>
      </c>
      <c r="L155" s="23" t="str">
        <f t="shared" si="65"/>
        <v/>
      </c>
      <c r="M155" s="100"/>
      <c r="N155" s="23" t="str">
        <f t="shared" si="52"/>
        <v/>
      </c>
      <c r="O155" s="23" t="str">
        <f t="shared" si="61"/>
        <v/>
      </c>
      <c r="P155" s="23" t="str">
        <f t="shared" si="62"/>
        <v/>
      </c>
      <c r="Q155" s="19" t="str">
        <f t="shared" si="53"/>
        <v/>
      </c>
      <c r="R155" s="19"/>
      <c r="T155" s="37" t="str">
        <f t="shared" si="54"/>
        <v/>
      </c>
      <c r="U155" s="37" t="str">
        <f t="shared" si="63"/>
        <v/>
      </c>
      <c r="W155" s="31" t="str">
        <f t="shared" si="66"/>
        <v/>
      </c>
      <c r="X155" s="31" t="str">
        <f t="shared" si="67"/>
        <v/>
      </c>
      <c r="Y155" s="34">
        <f t="shared" si="64"/>
        <v>1</v>
      </c>
      <c r="Z155" s="31">
        <f t="shared" si="55"/>
        <v>0</v>
      </c>
      <c r="AA155" s="66">
        <f t="shared" si="56"/>
        <v>0</v>
      </c>
      <c r="AB155" s="6" t="str">
        <f t="shared" si="57"/>
        <v/>
      </c>
      <c r="AC155" s="48">
        <f t="shared" si="45"/>
        <v>0</v>
      </c>
    </row>
    <row r="156" spans="3:29" x14ac:dyDescent="0.25">
      <c r="C156" s="27" t="str">
        <f t="shared" si="58"/>
        <v/>
      </c>
      <c r="D156" s="30" t="str">
        <f t="shared" si="59"/>
        <v/>
      </c>
      <c r="E156" s="20" t="str">
        <f t="shared" si="46"/>
        <v/>
      </c>
      <c r="F156" s="20" t="str">
        <f t="shared" si="47"/>
        <v/>
      </c>
      <c r="G156" s="24" t="str">
        <f t="shared" si="60"/>
        <v/>
      </c>
      <c r="H156" s="21" t="str">
        <f t="shared" si="48"/>
        <v/>
      </c>
      <c r="I156" s="66" t="str">
        <f t="shared" si="49"/>
        <v/>
      </c>
      <c r="J156" s="66" t="str">
        <f t="shared" si="50"/>
        <v/>
      </c>
      <c r="K156" s="11" t="str">
        <f t="shared" si="51"/>
        <v/>
      </c>
      <c r="L156" s="23" t="str">
        <f t="shared" si="65"/>
        <v/>
      </c>
      <c r="M156" s="100"/>
      <c r="N156" s="23" t="str">
        <f t="shared" si="52"/>
        <v/>
      </c>
      <c r="O156" s="23" t="str">
        <f t="shared" si="61"/>
        <v/>
      </c>
      <c r="P156" s="23" t="str">
        <f t="shared" si="62"/>
        <v/>
      </c>
      <c r="Q156" s="19" t="str">
        <f t="shared" si="53"/>
        <v/>
      </c>
      <c r="R156" s="19"/>
      <c r="T156" s="37" t="str">
        <f t="shared" si="54"/>
        <v/>
      </c>
      <c r="U156" s="37" t="str">
        <f t="shared" si="63"/>
        <v/>
      </c>
      <c r="W156" s="31" t="str">
        <f t="shared" si="66"/>
        <v/>
      </c>
      <c r="X156" s="31" t="str">
        <f t="shared" si="67"/>
        <v/>
      </c>
      <c r="Y156" s="34">
        <f t="shared" si="64"/>
        <v>1</v>
      </c>
      <c r="Z156" s="31">
        <f t="shared" si="55"/>
        <v>0</v>
      </c>
      <c r="AA156" s="66">
        <f t="shared" si="56"/>
        <v>0</v>
      </c>
      <c r="AB156" s="6" t="str">
        <f t="shared" si="57"/>
        <v/>
      </c>
      <c r="AC156" s="48">
        <f t="shared" si="45"/>
        <v>0</v>
      </c>
    </row>
    <row r="157" spans="3:29" x14ac:dyDescent="0.25">
      <c r="C157" s="27" t="str">
        <f t="shared" si="58"/>
        <v/>
      </c>
      <c r="D157" s="30" t="str">
        <f t="shared" si="59"/>
        <v/>
      </c>
      <c r="E157" s="20" t="str">
        <f t="shared" si="46"/>
        <v/>
      </c>
      <c r="F157" s="20" t="str">
        <f t="shared" si="47"/>
        <v/>
      </c>
      <c r="G157" s="24" t="str">
        <f t="shared" si="60"/>
        <v/>
      </c>
      <c r="H157" s="21" t="str">
        <f t="shared" si="48"/>
        <v/>
      </c>
      <c r="I157" s="66" t="str">
        <f t="shared" si="49"/>
        <v/>
      </c>
      <c r="J157" s="66" t="str">
        <f t="shared" si="50"/>
        <v/>
      </c>
      <c r="K157" s="11" t="str">
        <f t="shared" si="51"/>
        <v/>
      </c>
      <c r="L157" s="23" t="str">
        <f t="shared" si="65"/>
        <v/>
      </c>
      <c r="M157" s="100"/>
      <c r="N157" s="23" t="str">
        <f t="shared" si="52"/>
        <v/>
      </c>
      <c r="O157" s="23" t="str">
        <f t="shared" si="61"/>
        <v/>
      </c>
      <c r="P157" s="23" t="str">
        <f t="shared" si="62"/>
        <v/>
      </c>
      <c r="Q157" s="19" t="str">
        <f t="shared" si="53"/>
        <v/>
      </c>
      <c r="R157" s="19"/>
      <c r="T157" s="37" t="str">
        <f t="shared" si="54"/>
        <v/>
      </c>
      <c r="U157" s="37" t="str">
        <f t="shared" si="63"/>
        <v/>
      </c>
      <c r="W157" s="31" t="str">
        <f t="shared" si="66"/>
        <v/>
      </c>
      <c r="X157" s="31" t="str">
        <f t="shared" si="67"/>
        <v/>
      </c>
      <c r="Y157" s="34">
        <f t="shared" si="64"/>
        <v>1</v>
      </c>
      <c r="Z157" s="31">
        <f t="shared" si="55"/>
        <v>0</v>
      </c>
      <c r="AA157" s="66">
        <f t="shared" si="56"/>
        <v>0</v>
      </c>
      <c r="AB157" s="6" t="str">
        <f t="shared" si="57"/>
        <v/>
      </c>
      <c r="AC157" s="48">
        <f t="shared" si="45"/>
        <v>0</v>
      </c>
    </row>
    <row r="158" spans="3:29" x14ac:dyDescent="0.25">
      <c r="C158" s="27" t="str">
        <f t="shared" si="58"/>
        <v/>
      </c>
      <c r="D158" s="30" t="str">
        <f t="shared" si="59"/>
        <v/>
      </c>
      <c r="E158" s="20" t="str">
        <f t="shared" si="46"/>
        <v/>
      </c>
      <c r="F158" s="20" t="str">
        <f t="shared" si="47"/>
        <v/>
      </c>
      <c r="G158" s="24" t="str">
        <f t="shared" si="60"/>
        <v/>
      </c>
      <c r="H158" s="21" t="str">
        <f t="shared" si="48"/>
        <v/>
      </c>
      <c r="I158" s="66" t="str">
        <f t="shared" si="49"/>
        <v/>
      </c>
      <c r="J158" s="66" t="str">
        <f t="shared" si="50"/>
        <v/>
      </c>
      <c r="K158" s="11" t="str">
        <f t="shared" si="51"/>
        <v/>
      </c>
      <c r="L158" s="23" t="str">
        <f t="shared" si="65"/>
        <v/>
      </c>
      <c r="M158" s="100"/>
      <c r="N158" s="23" t="str">
        <f t="shared" si="52"/>
        <v/>
      </c>
      <c r="O158" s="23" t="str">
        <f t="shared" si="61"/>
        <v/>
      </c>
      <c r="P158" s="23" t="str">
        <f t="shared" si="62"/>
        <v/>
      </c>
      <c r="Q158" s="19" t="str">
        <f t="shared" si="53"/>
        <v/>
      </c>
      <c r="R158" s="19"/>
      <c r="T158" s="37" t="str">
        <f t="shared" si="54"/>
        <v/>
      </c>
      <c r="U158" s="37" t="str">
        <f t="shared" si="63"/>
        <v/>
      </c>
      <c r="W158" s="31" t="str">
        <f t="shared" si="66"/>
        <v/>
      </c>
      <c r="X158" s="31" t="str">
        <f t="shared" si="67"/>
        <v/>
      </c>
      <c r="Y158" s="34">
        <f t="shared" si="64"/>
        <v>1</v>
      </c>
      <c r="Z158" s="31">
        <f t="shared" si="55"/>
        <v>0</v>
      </c>
      <c r="AA158" s="66">
        <f t="shared" si="56"/>
        <v>0</v>
      </c>
      <c r="AB158" s="6" t="str">
        <f t="shared" si="57"/>
        <v/>
      </c>
      <c r="AC158" s="48">
        <f t="shared" si="45"/>
        <v>0</v>
      </c>
    </row>
    <row r="159" spans="3:29" x14ac:dyDescent="0.25">
      <c r="C159" s="27" t="str">
        <f t="shared" si="58"/>
        <v/>
      </c>
      <c r="D159" s="30" t="str">
        <f t="shared" si="59"/>
        <v/>
      </c>
      <c r="E159" s="20" t="str">
        <f t="shared" si="46"/>
        <v/>
      </c>
      <c r="F159" s="20" t="str">
        <f t="shared" si="47"/>
        <v/>
      </c>
      <c r="G159" s="24" t="str">
        <f t="shared" si="60"/>
        <v/>
      </c>
      <c r="H159" s="21" t="str">
        <f t="shared" si="48"/>
        <v/>
      </c>
      <c r="I159" s="66" t="str">
        <f t="shared" si="49"/>
        <v/>
      </c>
      <c r="J159" s="66" t="str">
        <f t="shared" si="50"/>
        <v/>
      </c>
      <c r="K159" s="11" t="str">
        <f t="shared" si="51"/>
        <v/>
      </c>
      <c r="L159" s="23" t="str">
        <f t="shared" si="65"/>
        <v/>
      </c>
      <c r="M159" s="100"/>
      <c r="N159" s="23" t="str">
        <f t="shared" si="52"/>
        <v/>
      </c>
      <c r="O159" s="23" t="str">
        <f t="shared" si="61"/>
        <v/>
      </c>
      <c r="P159" s="23" t="str">
        <f t="shared" si="62"/>
        <v/>
      </c>
      <c r="Q159" s="19" t="str">
        <f t="shared" si="53"/>
        <v/>
      </c>
      <c r="R159" s="19"/>
      <c r="T159" s="37" t="str">
        <f t="shared" si="54"/>
        <v/>
      </c>
      <c r="U159" s="37" t="str">
        <f t="shared" si="63"/>
        <v/>
      </c>
      <c r="W159" s="31" t="str">
        <f t="shared" si="66"/>
        <v/>
      </c>
      <c r="X159" s="31" t="str">
        <f t="shared" si="67"/>
        <v/>
      </c>
      <c r="Y159" s="34">
        <f t="shared" si="64"/>
        <v>1</v>
      </c>
      <c r="Z159" s="31">
        <f t="shared" si="55"/>
        <v>0</v>
      </c>
      <c r="AA159" s="66">
        <f t="shared" si="56"/>
        <v>0</v>
      </c>
      <c r="AB159" s="6" t="str">
        <f t="shared" si="57"/>
        <v/>
      </c>
      <c r="AC159" s="48">
        <f t="shared" si="45"/>
        <v>0</v>
      </c>
    </row>
    <row r="160" spans="3:29" x14ac:dyDescent="0.25">
      <c r="C160" s="27" t="str">
        <f t="shared" si="58"/>
        <v/>
      </c>
      <c r="D160" s="30" t="str">
        <f t="shared" si="59"/>
        <v/>
      </c>
      <c r="E160" s="20" t="str">
        <f t="shared" si="46"/>
        <v/>
      </c>
      <c r="F160" s="20" t="str">
        <f t="shared" si="47"/>
        <v/>
      </c>
      <c r="G160" s="24" t="str">
        <f t="shared" si="60"/>
        <v/>
      </c>
      <c r="H160" s="21" t="str">
        <f t="shared" si="48"/>
        <v/>
      </c>
      <c r="I160" s="66" t="str">
        <f t="shared" si="49"/>
        <v/>
      </c>
      <c r="J160" s="66" t="str">
        <f t="shared" si="50"/>
        <v/>
      </c>
      <c r="K160" s="11" t="str">
        <f t="shared" si="51"/>
        <v/>
      </c>
      <c r="L160" s="23" t="str">
        <f t="shared" si="65"/>
        <v/>
      </c>
      <c r="M160" s="100"/>
      <c r="N160" s="23" t="str">
        <f t="shared" si="52"/>
        <v/>
      </c>
      <c r="O160" s="23" t="str">
        <f t="shared" si="61"/>
        <v/>
      </c>
      <c r="P160" s="23" t="str">
        <f t="shared" si="62"/>
        <v/>
      </c>
      <c r="Q160" s="19" t="str">
        <f t="shared" si="53"/>
        <v/>
      </c>
      <c r="R160" s="19"/>
      <c r="T160" s="37" t="str">
        <f t="shared" si="54"/>
        <v/>
      </c>
      <c r="U160" s="37" t="str">
        <f t="shared" si="63"/>
        <v/>
      </c>
      <c r="W160" s="31" t="str">
        <f t="shared" si="66"/>
        <v/>
      </c>
      <c r="X160" s="31" t="str">
        <f t="shared" si="67"/>
        <v/>
      </c>
      <c r="Y160" s="34">
        <f t="shared" si="64"/>
        <v>1</v>
      </c>
      <c r="Z160" s="31">
        <f t="shared" si="55"/>
        <v>0</v>
      </c>
      <c r="AA160" s="66">
        <f t="shared" si="56"/>
        <v>0</v>
      </c>
      <c r="AB160" s="6" t="str">
        <f t="shared" si="57"/>
        <v/>
      </c>
      <c r="AC160" s="48">
        <f t="shared" si="45"/>
        <v>0</v>
      </c>
    </row>
    <row r="161" spans="3:29" x14ac:dyDescent="0.25">
      <c r="C161" s="27" t="str">
        <f t="shared" si="58"/>
        <v/>
      </c>
      <c r="D161" s="30" t="str">
        <f t="shared" si="59"/>
        <v/>
      </c>
      <c r="E161" s="20" t="str">
        <f t="shared" si="46"/>
        <v/>
      </c>
      <c r="F161" s="20" t="str">
        <f t="shared" si="47"/>
        <v/>
      </c>
      <c r="G161" s="24" t="str">
        <f t="shared" si="60"/>
        <v/>
      </c>
      <c r="H161" s="21" t="str">
        <f t="shared" si="48"/>
        <v/>
      </c>
      <c r="I161" s="66" t="str">
        <f t="shared" si="49"/>
        <v/>
      </c>
      <c r="J161" s="66" t="str">
        <f t="shared" si="50"/>
        <v/>
      </c>
      <c r="K161" s="11" t="str">
        <f t="shared" si="51"/>
        <v/>
      </c>
      <c r="L161" s="23" t="str">
        <f t="shared" si="65"/>
        <v/>
      </c>
      <c r="M161" s="100"/>
      <c r="N161" s="23" t="str">
        <f t="shared" si="52"/>
        <v/>
      </c>
      <c r="O161" s="23" t="str">
        <f t="shared" si="61"/>
        <v/>
      </c>
      <c r="P161" s="23" t="str">
        <f t="shared" si="62"/>
        <v/>
      </c>
      <c r="Q161" s="19" t="str">
        <f t="shared" si="53"/>
        <v/>
      </c>
      <c r="R161" s="19"/>
      <c r="T161" s="37" t="str">
        <f t="shared" si="54"/>
        <v/>
      </c>
      <c r="U161" s="37" t="str">
        <f t="shared" si="63"/>
        <v/>
      </c>
      <c r="W161" s="31" t="str">
        <f t="shared" si="66"/>
        <v/>
      </c>
      <c r="X161" s="31" t="str">
        <f t="shared" si="67"/>
        <v/>
      </c>
      <c r="Y161" s="34">
        <f t="shared" si="64"/>
        <v>1</v>
      </c>
      <c r="Z161" s="31">
        <f t="shared" si="55"/>
        <v>0</v>
      </c>
      <c r="AA161" s="66">
        <f t="shared" si="56"/>
        <v>0</v>
      </c>
      <c r="AB161" s="6" t="str">
        <f t="shared" si="57"/>
        <v/>
      </c>
      <c r="AC161" s="48">
        <f t="shared" si="45"/>
        <v>0</v>
      </c>
    </row>
    <row r="162" spans="3:29" x14ac:dyDescent="0.25">
      <c r="C162" s="27" t="str">
        <f t="shared" si="58"/>
        <v/>
      </c>
      <c r="D162" s="30" t="str">
        <f t="shared" si="59"/>
        <v/>
      </c>
      <c r="E162" s="20" t="str">
        <f t="shared" si="46"/>
        <v/>
      </c>
      <c r="F162" s="20" t="str">
        <f t="shared" si="47"/>
        <v/>
      </c>
      <c r="G162" s="24" t="str">
        <f t="shared" si="60"/>
        <v/>
      </c>
      <c r="H162" s="21" t="str">
        <f t="shared" si="48"/>
        <v/>
      </c>
      <c r="I162" s="66" t="str">
        <f t="shared" si="49"/>
        <v/>
      </c>
      <c r="J162" s="66" t="str">
        <f t="shared" si="50"/>
        <v/>
      </c>
      <c r="K162" s="11" t="str">
        <f t="shared" si="51"/>
        <v/>
      </c>
      <c r="L162" s="23" t="str">
        <f t="shared" si="65"/>
        <v/>
      </c>
      <c r="M162" s="100"/>
      <c r="N162" s="23" t="str">
        <f t="shared" si="52"/>
        <v/>
      </c>
      <c r="O162" s="23" t="str">
        <f t="shared" si="61"/>
        <v/>
      </c>
      <c r="P162" s="23" t="str">
        <f t="shared" si="62"/>
        <v/>
      </c>
      <c r="Q162" s="19" t="str">
        <f t="shared" si="53"/>
        <v/>
      </c>
      <c r="R162" s="19"/>
      <c r="T162" s="37" t="str">
        <f t="shared" si="54"/>
        <v/>
      </c>
      <c r="U162" s="37" t="str">
        <f t="shared" si="63"/>
        <v/>
      </c>
      <c r="W162" s="31" t="str">
        <f t="shared" si="66"/>
        <v/>
      </c>
      <c r="X162" s="31" t="str">
        <f t="shared" si="67"/>
        <v/>
      </c>
      <c r="Y162" s="34">
        <f t="shared" si="64"/>
        <v>1</v>
      </c>
      <c r="Z162" s="31">
        <f t="shared" si="55"/>
        <v>0</v>
      </c>
      <c r="AA162" s="66">
        <f t="shared" si="56"/>
        <v>0</v>
      </c>
      <c r="AB162" s="6" t="str">
        <f t="shared" si="57"/>
        <v/>
      </c>
      <c r="AC162" s="48">
        <f t="shared" si="45"/>
        <v>0</v>
      </c>
    </row>
    <row r="163" spans="3:29" x14ac:dyDescent="0.25">
      <c r="C163" s="27" t="str">
        <f t="shared" si="58"/>
        <v/>
      </c>
      <c r="D163" s="30" t="str">
        <f t="shared" si="59"/>
        <v/>
      </c>
      <c r="E163" s="20" t="str">
        <f t="shared" si="46"/>
        <v/>
      </c>
      <c r="F163" s="20" t="str">
        <f t="shared" si="47"/>
        <v/>
      </c>
      <c r="G163" s="24" t="str">
        <f t="shared" si="60"/>
        <v/>
      </c>
      <c r="H163" s="21" t="str">
        <f t="shared" si="48"/>
        <v/>
      </c>
      <c r="I163" s="66" t="str">
        <f t="shared" si="49"/>
        <v/>
      </c>
      <c r="J163" s="66" t="str">
        <f t="shared" si="50"/>
        <v/>
      </c>
      <c r="K163" s="11" t="str">
        <f t="shared" si="51"/>
        <v/>
      </c>
      <c r="L163" s="23" t="str">
        <f t="shared" si="65"/>
        <v/>
      </c>
      <c r="M163" s="100"/>
      <c r="N163" s="23" t="str">
        <f t="shared" si="52"/>
        <v/>
      </c>
      <c r="O163" s="23" t="str">
        <f t="shared" si="61"/>
        <v/>
      </c>
      <c r="P163" s="23" t="str">
        <f t="shared" si="62"/>
        <v/>
      </c>
      <c r="Q163" s="19" t="str">
        <f t="shared" si="53"/>
        <v/>
      </c>
      <c r="R163" s="19"/>
      <c r="T163" s="37" t="str">
        <f t="shared" si="54"/>
        <v/>
      </c>
      <c r="U163" s="37" t="str">
        <f t="shared" si="63"/>
        <v/>
      </c>
      <c r="W163" s="31" t="str">
        <f t="shared" si="66"/>
        <v/>
      </c>
      <c r="X163" s="31" t="str">
        <f t="shared" si="67"/>
        <v/>
      </c>
      <c r="Y163" s="34">
        <f t="shared" si="64"/>
        <v>1</v>
      </c>
      <c r="Z163" s="31">
        <f t="shared" si="55"/>
        <v>0</v>
      </c>
      <c r="AA163" s="66">
        <f t="shared" si="56"/>
        <v>0</v>
      </c>
      <c r="AB163" s="6" t="str">
        <f t="shared" si="57"/>
        <v/>
      </c>
      <c r="AC163" s="48">
        <f t="shared" ref="AC163:AC200" si="68">AC162</f>
        <v>0</v>
      </c>
    </row>
    <row r="164" spans="3:29" x14ac:dyDescent="0.25">
      <c r="C164" s="27" t="str">
        <f t="shared" si="58"/>
        <v/>
      </c>
      <c r="D164" s="30" t="str">
        <f t="shared" si="59"/>
        <v/>
      </c>
      <c r="E164" s="20" t="str">
        <f t="shared" si="46"/>
        <v/>
      </c>
      <c r="F164" s="20" t="str">
        <f t="shared" si="47"/>
        <v/>
      </c>
      <c r="G164" s="24" t="str">
        <f t="shared" si="60"/>
        <v/>
      </c>
      <c r="H164" s="21" t="str">
        <f t="shared" si="48"/>
        <v/>
      </c>
      <c r="I164" s="66" t="str">
        <f t="shared" si="49"/>
        <v/>
      </c>
      <c r="J164" s="66" t="str">
        <f t="shared" si="50"/>
        <v/>
      </c>
      <c r="K164" s="11" t="str">
        <f t="shared" si="51"/>
        <v/>
      </c>
      <c r="L164" s="23" t="str">
        <f t="shared" si="65"/>
        <v/>
      </c>
      <c r="M164" s="100"/>
      <c r="N164" s="23" t="str">
        <f t="shared" si="52"/>
        <v/>
      </c>
      <c r="O164" s="23" t="str">
        <f t="shared" si="61"/>
        <v/>
      </c>
      <c r="P164" s="23" t="str">
        <f t="shared" si="62"/>
        <v/>
      </c>
      <c r="Q164" s="19" t="str">
        <f t="shared" si="53"/>
        <v/>
      </c>
      <c r="R164" s="19"/>
      <c r="T164" s="37" t="str">
        <f t="shared" si="54"/>
        <v/>
      </c>
      <c r="U164" s="37" t="str">
        <f t="shared" si="63"/>
        <v/>
      </c>
      <c r="W164" s="31" t="str">
        <f t="shared" si="66"/>
        <v/>
      </c>
      <c r="X164" s="31" t="str">
        <f t="shared" si="67"/>
        <v/>
      </c>
      <c r="Y164" s="34">
        <f t="shared" si="64"/>
        <v>1</v>
      </c>
      <c r="Z164" s="31">
        <f t="shared" si="55"/>
        <v>0</v>
      </c>
      <c r="AA164" s="66">
        <f t="shared" si="56"/>
        <v>0</v>
      </c>
      <c r="AB164" s="6" t="str">
        <f t="shared" si="57"/>
        <v/>
      </c>
      <c r="AC164" s="48">
        <f t="shared" si="68"/>
        <v>0</v>
      </c>
    </row>
    <row r="165" spans="3:29" x14ac:dyDescent="0.25">
      <c r="C165" s="27" t="str">
        <f t="shared" si="58"/>
        <v/>
      </c>
      <c r="D165" s="30" t="str">
        <f t="shared" si="59"/>
        <v/>
      </c>
      <c r="E165" s="20" t="str">
        <f t="shared" si="46"/>
        <v/>
      </c>
      <c r="F165" s="20" t="str">
        <f t="shared" si="47"/>
        <v/>
      </c>
      <c r="G165" s="24" t="str">
        <f t="shared" si="60"/>
        <v/>
      </c>
      <c r="H165" s="21" t="str">
        <f t="shared" si="48"/>
        <v/>
      </c>
      <c r="I165" s="66" t="str">
        <f t="shared" si="49"/>
        <v/>
      </c>
      <c r="J165" s="66" t="str">
        <f t="shared" si="50"/>
        <v/>
      </c>
      <c r="K165" s="11" t="str">
        <f t="shared" si="51"/>
        <v/>
      </c>
      <c r="L165" s="23" t="str">
        <f t="shared" si="65"/>
        <v/>
      </c>
      <c r="M165" s="100"/>
      <c r="N165" s="23" t="str">
        <f t="shared" si="52"/>
        <v/>
      </c>
      <c r="O165" s="23" t="str">
        <f t="shared" si="61"/>
        <v/>
      </c>
      <c r="P165" s="23" t="str">
        <f t="shared" si="62"/>
        <v/>
      </c>
      <c r="Q165" s="19" t="str">
        <f t="shared" si="53"/>
        <v/>
      </c>
      <c r="R165" s="19"/>
      <c r="T165" s="37" t="str">
        <f t="shared" si="54"/>
        <v/>
      </c>
      <c r="U165" s="37" t="str">
        <f t="shared" si="63"/>
        <v/>
      </c>
      <c r="W165" s="31" t="str">
        <f t="shared" si="66"/>
        <v/>
      </c>
      <c r="X165" s="31" t="str">
        <f t="shared" si="67"/>
        <v/>
      </c>
      <c r="Y165" s="34">
        <f t="shared" si="64"/>
        <v>1</v>
      </c>
      <c r="Z165" s="31">
        <f t="shared" si="55"/>
        <v>0</v>
      </c>
      <c r="AA165" s="66">
        <f t="shared" si="56"/>
        <v>0</v>
      </c>
      <c r="AB165" s="6" t="str">
        <f t="shared" si="57"/>
        <v/>
      </c>
      <c r="AC165" s="48">
        <f>AC164+$M$17</f>
        <v>0</v>
      </c>
    </row>
    <row r="166" spans="3:29" x14ac:dyDescent="0.25">
      <c r="C166" s="27" t="str">
        <f t="shared" si="58"/>
        <v/>
      </c>
      <c r="D166" s="30" t="str">
        <f t="shared" si="59"/>
        <v/>
      </c>
      <c r="E166" s="20" t="str">
        <f t="shared" si="46"/>
        <v/>
      </c>
      <c r="F166" s="20" t="str">
        <f t="shared" si="47"/>
        <v/>
      </c>
      <c r="G166" s="24" t="str">
        <f t="shared" si="60"/>
        <v/>
      </c>
      <c r="H166" s="21" t="str">
        <f t="shared" si="48"/>
        <v/>
      </c>
      <c r="I166" s="66" t="str">
        <f t="shared" si="49"/>
        <v/>
      </c>
      <c r="J166" s="66" t="str">
        <f t="shared" si="50"/>
        <v/>
      </c>
      <c r="K166" s="11" t="str">
        <f t="shared" si="51"/>
        <v/>
      </c>
      <c r="L166" s="23" t="str">
        <f t="shared" si="65"/>
        <v/>
      </c>
      <c r="M166" s="100"/>
      <c r="N166" s="23" t="str">
        <f t="shared" si="52"/>
        <v/>
      </c>
      <c r="O166" s="23" t="str">
        <f t="shared" si="61"/>
        <v/>
      </c>
      <c r="P166" s="23" t="str">
        <f t="shared" si="62"/>
        <v/>
      </c>
      <c r="Q166" s="19" t="str">
        <f t="shared" si="53"/>
        <v/>
      </c>
      <c r="R166" s="19"/>
      <c r="T166" s="37" t="str">
        <f t="shared" si="54"/>
        <v/>
      </c>
      <c r="U166" s="37" t="str">
        <f t="shared" si="63"/>
        <v/>
      </c>
      <c r="W166" s="31" t="str">
        <f t="shared" si="66"/>
        <v/>
      </c>
      <c r="X166" s="31" t="str">
        <f t="shared" si="67"/>
        <v/>
      </c>
      <c r="Y166" s="34">
        <f t="shared" si="64"/>
        <v>1</v>
      </c>
      <c r="Z166" s="31">
        <f t="shared" si="55"/>
        <v>0</v>
      </c>
      <c r="AA166" s="66">
        <f t="shared" si="56"/>
        <v>0</v>
      </c>
      <c r="AB166" s="6" t="str">
        <f t="shared" si="57"/>
        <v/>
      </c>
      <c r="AC166" s="48">
        <f t="shared" si="68"/>
        <v>0</v>
      </c>
    </row>
    <row r="167" spans="3:29" x14ac:dyDescent="0.25">
      <c r="C167" s="27" t="str">
        <f t="shared" si="58"/>
        <v/>
      </c>
      <c r="D167" s="30" t="str">
        <f t="shared" si="59"/>
        <v/>
      </c>
      <c r="E167" s="20" t="str">
        <f t="shared" si="46"/>
        <v/>
      </c>
      <c r="F167" s="20" t="str">
        <f t="shared" si="47"/>
        <v/>
      </c>
      <c r="G167" s="24" t="str">
        <f t="shared" si="60"/>
        <v/>
      </c>
      <c r="H167" s="21" t="str">
        <f t="shared" si="48"/>
        <v/>
      </c>
      <c r="I167" s="66" t="str">
        <f t="shared" si="49"/>
        <v/>
      </c>
      <c r="J167" s="66" t="str">
        <f t="shared" si="50"/>
        <v/>
      </c>
      <c r="K167" s="11" t="str">
        <f t="shared" si="51"/>
        <v/>
      </c>
      <c r="L167" s="23" t="str">
        <f t="shared" si="65"/>
        <v/>
      </c>
      <c r="M167" s="100"/>
      <c r="N167" s="23" t="str">
        <f t="shared" si="52"/>
        <v/>
      </c>
      <c r="O167" s="23" t="str">
        <f t="shared" si="61"/>
        <v/>
      </c>
      <c r="P167" s="23" t="str">
        <f t="shared" si="62"/>
        <v/>
      </c>
      <c r="Q167" s="19" t="str">
        <f t="shared" si="53"/>
        <v/>
      </c>
      <c r="R167" s="19"/>
      <c r="T167" s="37" t="str">
        <f t="shared" si="54"/>
        <v/>
      </c>
      <c r="U167" s="37" t="str">
        <f t="shared" si="63"/>
        <v/>
      </c>
      <c r="W167" s="31" t="str">
        <f t="shared" si="66"/>
        <v/>
      </c>
      <c r="X167" s="31" t="str">
        <f t="shared" si="67"/>
        <v/>
      </c>
      <c r="Y167" s="34">
        <f t="shared" si="64"/>
        <v>1</v>
      </c>
      <c r="Z167" s="31">
        <f t="shared" si="55"/>
        <v>0</v>
      </c>
      <c r="AA167" s="66">
        <f t="shared" si="56"/>
        <v>0</v>
      </c>
      <c r="AB167" s="6" t="str">
        <f t="shared" si="57"/>
        <v/>
      </c>
      <c r="AC167" s="48">
        <f t="shared" si="68"/>
        <v>0</v>
      </c>
    </row>
    <row r="168" spans="3:29" x14ac:dyDescent="0.25">
      <c r="C168" s="27" t="str">
        <f t="shared" si="58"/>
        <v/>
      </c>
      <c r="D168" s="30" t="str">
        <f t="shared" si="59"/>
        <v/>
      </c>
      <c r="E168" s="20" t="str">
        <f t="shared" si="46"/>
        <v/>
      </c>
      <c r="F168" s="20" t="str">
        <f t="shared" si="47"/>
        <v/>
      </c>
      <c r="G168" s="24" t="str">
        <f t="shared" si="60"/>
        <v/>
      </c>
      <c r="H168" s="21" t="str">
        <f t="shared" si="48"/>
        <v/>
      </c>
      <c r="I168" s="66" t="str">
        <f t="shared" si="49"/>
        <v/>
      </c>
      <c r="J168" s="66" t="str">
        <f t="shared" si="50"/>
        <v/>
      </c>
      <c r="K168" s="11" t="str">
        <f t="shared" si="51"/>
        <v/>
      </c>
      <c r="L168" s="23" t="str">
        <f t="shared" si="65"/>
        <v/>
      </c>
      <c r="M168" s="100"/>
      <c r="N168" s="23" t="str">
        <f t="shared" si="52"/>
        <v/>
      </c>
      <c r="O168" s="23" t="str">
        <f t="shared" si="61"/>
        <v/>
      </c>
      <c r="P168" s="23" t="str">
        <f t="shared" si="62"/>
        <v/>
      </c>
      <c r="Q168" s="19" t="str">
        <f t="shared" si="53"/>
        <v/>
      </c>
      <c r="R168" s="19"/>
      <c r="T168" s="37" t="str">
        <f t="shared" si="54"/>
        <v/>
      </c>
      <c r="U168" s="37" t="str">
        <f t="shared" si="63"/>
        <v/>
      </c>
      <c r="W168" s="31" t="str">
        <f t="shared" si="66"/>
        <v/>
      </c>
      <c r="X168" s="31" t="str">
        <f t="shared" si="67"/>
        <v/>
      </c>
      <c r="Y168" s="34">
        <f t="shared" si="64"/>
        <v>1</v>
      </c>
      <c r="Z168" s="31">
        <f t="shared" si="55"/>
        <v>0</v>
      </c>
      <c r="AA168" s="66">
        <f t="shared" si="56"/>
        <v>0</v>
      </c>
      <c r="AB168" s="6" t="str">
        <f t="shared" si="57"/>
        <v/>
      </c>
      <c r="AC168" s="48">
        <f t="shared" si="68"/>
        <v>0</v>
      </c>
    </row>
    <row r="169" spans="3:29" x14ac:dyDescent="0.25">
      <c r="C169" s="27" t="str">
        <f t="shared" si="58"/>
        <v/>
      </c>
      <c r="D169" s="30" t="str">
        <f t="shared" si="59"/>
        <v/>
      </c>
      <c r="E169" s="20" t="str">
        <f t="shared" si="46"/>
        <v/>
      </c>
      <c r="F169" s="20" t="str">
        <f t="shared" si="47"/>
        <v/>
      </c>
      <c r="G169" s="24" t="str">
        <f t="shared" si="60"/>
        <v/>
      </c>
      <c r="H169" s="21" t="str">
        <f t="shared" si="48"/>
        <v/>
      </c>
      <c r="I169" s="66" t="str">
        <f t="shared" si="49"/>
        <v/>
      </c>
      <c r="J169" s="66" t="str">
        <f t="shared" si="50"/>
        <v/>
      </c>
      <c r="K169" s="11" t="str">
        <f t="shared" si="51"/>
        <v/>
      </c>
      <c r="L169" s="23" t="str">
        <f t="shared" si="65"/>
        <v/>
      </c>
      <c r="M169" s="100"/>
      <c r="N169" s="23" t="str">
        <f t="shared" si="52"/>
        <v/>
      </c>
      <c r="O169" s="23" t="str">
        <f t="shared" si="61"/>
        <v/>
      </c>
      <c r="P169" s="23" t="str">
        <f t="shared" si="62"/>
        <v/>
      </c>
      <c r="Q169" s="19" t="str">
        <f t="shared" si="53"/>
        <v/>
      </c>
      <c r="R169" s="19"/>
      <c r="T169" s="37" t="str">
        <f t="shared" si="54"/>
        <v/>
      </c>
      <c r="U169" s="37" t="str">
        <f t="shared" si="63"/>
        <v/>
      </c>
      <c r="W169" s="31" t="str">
        <f t="shared" si="66"/>
        <v/>
      </c>
      <c r="X169" s="31" t="str">
        <f t="shared" si="67"/>
        <v/>
      </c>
      <c r="Y169" s="34">
        <f t="shared" si="64"/>
        <v>1</v>
      </c>
      <c r="Z169" s="31">
        <f t="shared" si="55"/>
        <v>0</v>
      </c>
      <c r="AA169" s="66">
        <f t="shared" si="56"/>
        <v>0</v>
      </c>
      <c r="AB169" s="6" t="str">
        <f t="shared" si="57"/>
        <v/>
      </c>
      <c r="AC169" s="48">
        <f t="shared" si="68"/>
        <v>0</v>
      </c>
    </row>
    <row r="170" spans="3:29" x14ac:dyDescent="0.25">
      <c r="C170" s="27" t="str">
        <f t="shared" si="58"/>
        <v/>
      </c>
      <c r="D170" s="30" t="str">
        <f t="shared" si="59"/>
        <v/>
      </c>
      <c r="E170" s="20" t="str">
        <f t="shared" si="46"/>
        <v/>
      </c>
      <c r="F170" s="20" t="str">
        <f t="shared" si="47"/>
        <v/>
      </c>
      <c r="G170" s="24" t="str">
        <f t="shared" si="60"/>
        <v/>
      </c>
      <c r="H170" s="21" t="str">
        <f t="shared" si="48"/>
        <v/>
      </c>
      <c r="I170" s="66" t="str">
        <f t="shared" si="49"/>
        <v/>
      </c>
      <c r="J170" s="66" t="str">
        <f t="shared" si="50"/>
        <v/>
      </c>
      <c r="K170" s="11" t="str">
        <f t="shared" si="51"/>
        <v/>
      </c>
      <c r="L170" s="23" t="str">
        <f t="shared" si="65"/>
        <v/>
      </c>
      <c r="M170" s="100"/>
      <c r="N170" s="23" t="str">
        <f t="shared" si="52"/>
        <v/>
      </c>
      <c r="O170" s="23" t="str">
        <f t="shared" si="61"/>
        <v/>
      </c>
      <c r="P170" s="23" t="str">
        <f t="shared" si="62"/>
        <v/>
      </c>
      <c r="Q170" s="19" t="str">
        <f t="shared" si="53"/>
        <v/>
      </c>
      <c r="R170" s="19"/>
      <c r="T170" s="37" t="str">
        <f t="shared" si="54"/>
        <v/>
      </c>
      <c r="U170" s="37" t="str">
        <f t="shared" si="63"/>
        <v/>
      </c>
      <c r="W170" s="31" t="str">
        <f t="shared" si="66"/>
        <v/>
      </c>
      <c r="X170" s="31" t="str">
        <f t="shared" si="67"/>
        <v/>
      </c>
      <c r="Y170" s="34">
        <f t="shared" si="64"/>
        <v>1</v>
      </c>
      <c r="Z170" s="31">
        <f t="shared" si="55"/>
        <v>0</v>
      </c>
      <c r="AA170" s="66">
        <f t="shared" si="56"/>
        <v>0</v>
      </c>
      <c r="AB170" s="6" t="str">
        <f t="shared" si="57"/>
        <v/>
      </c>
      <c r="AC170" s="48">
        <f t="shared" si="68"/>
        <v>0</v>
      </c>
    </row>
    <row r="171" spans="3:29" x14ac:dyDescent="0.25">
      <c r="C171" s="27" t="str">
        <f t="shared" si="58"/>
        <v/>
      </c>
      <c r="D171" s="30" t="str">
        <f t="shared" si="59"/>
        <v/>
      </c>
      <c r="E171" s="20" t="str">
        <f t="shared" si="46"/>
        <v/>
      </c>
      <c r="F171" s="20" t="str">
        <f t="shared" si="47"/>
        <v/>
      </c>
      <c r="G171" s="24" t="str">
        <f t="shared" si="60"/>
        <v/>
      </c>
      <c r="H171" s="21" t="str">
        <f t="shared" si="48"/>
        <v/>
      </c>
      <c r="I171" s="66" t="str">
        <f t="shared" si="49"/>
        <v/>
      </c>
      <c r="J171" s="66" t="str">
        <f t="shared" si="50"/>
        <v/>
      </c>
      <c r="K171" s="11" t="str">
        <f t="shared" si="51"/>
        <v/>
      </c>
      <c r="L171" s="23" t="str">
        <f t="shared" si="65"/>
        <v/>
      </c>
      <c r="M171" s="100"/>
      <c r="N171" s="23" t="str">
        <f t="shared" si="52"/>
        <v/>
      </c>
      <c r="O171" s="23" t="str">
        <f t="shared" si="61"/>
        <v/>
      </c>
      <c r="P171" s="23" t="str">
        <f t="shared" si="62"/>
        <v/>
      </c>
      <c r="Q171" s="19" t="str">
        <f t="shared" si="53"/>
        <v/>
      </c>
      <c r="R171" s="19"/>
      <c r="T171" s="37" t="str">
        <f t="shared" si="54"/>
        <v/>
      </c>
      <c r="U171" s="37" t="str">
        <f t="shared" si="63"/>
        <v/>
      </c>
      <c r="W171" s="31" t="str">
        <f t="shared" si="66"/>
        <v/>
      </c>
      <c r="X171" s="31" t="str">
        <f t="shared" si="67"/>
        <v/>
      </c>
      <c r="Y171" s="34">
        <f t="shared" si="64"/>
        <v>1</v>
      </c>
      <c r="Z171" s="31">
        <f t="shared" si="55"/>
        <v>0</v>
      </c>
      <c r="AA171" s="66">
        <f t="shared" si="56"/>
        <v>0</v>
      </c>
      <c r="AB171" s="6" t="str">
        <f t="shared" si="57"/>
        <v/>
      </c>
      <c r="AC171" s="48">
        <f t="shared" si="68"/>
        <v>0</v>
      </c>
    </row>
    <row r="172" spans="3:29" x14ac:dyDescent="0.25">
      <c r="C172" s="27" t="str">
        <f t="shared" si="58"/>
        <v/>
      </c>
      <c r="D172" s="30" t="str">
        <f t="shared" si="59"/>
        <v/>
      </c>
      <c r="E172" s="20" t="str">
        <f t="shared" si="46"/>
        <v/>
      </c>
      <c r="F172" s="20" t="str">
        <f t="shared" si="47"/>
        <v/>
      </c>
      <c r="G172" s="24" t="str">
        <f t="shared" si="60"/>
        <v/>
      </c>
      <c r="H172" s="21" t="str">
        <f t="shared" si="48"/>
        <v/>
      </c>
      <c r="I172" s="66" t="str">
        <f t="shared" si="49"/>
        <v/>
      </c>
      <c r="J172" s="66" t="str">
        <f t="shared" si="50"/>
        <v/>
      </c>
      <c r="K172" s="11" t="str">
        <f t="shared" si="51"/>
        <v/>
      </c>
      <c r="L172" s="23" t="str">
        <f t="shared" si="65"/>
        <v/>
      </c>
      <c r="M172" s="100"/>
      <c r="N172" s="23" t="str">
        <f t="shared" si="52"/>
        <v/>
      </c>
      <c r="O172" s="23" t="str">
        <f t="shared" si="61"/>
        <v/>
      </c>
      <c r="P172" s="23" t="str">
        <f t="shared" si="62"/>
        <v/>
      </c>
      <c r="Q172" s="19" t="str">
        <f t="shared" si="53"/>
        <v/>
      </c>
      <c r="R172" s="19"/>
      <c r="T172" s="37" t="str">
        <f t="shared" si="54"/>
        <v/>
      </c>
      <c r="U172" s="37" t="str">
        <f t="shared" si="63"/>
        <v/>
      </c>
      <c r="W172" s="31" t="str">
        <f t="shared" si="66"/>
        <v/>
      </c>
      <c r="X172" s="31" t="str">
        <f t="shared" si="67"/>
        <v/>
      </c>
      <c r="Y172" s="34">
        <f t="shared" si="64"/>
        <v>1</v>
      </c>
      <c r="Z172" s="31">
        <f t="shared" si="55"/>
        <v>0</v>
      </c>
      <c r="AA172" s="66">
        <f t="shared" si="56"/>
        <v>0</v>
      </c>
      <c r="AB172" s="6" t="str">
        <f t="shared" si="57"/>
        <v/>
      </c>
      <c r="AC172" s="48">
        <f t="shared" si="68"/>
        <v>0</v>
      </c>
    </row>
    <row r="173" spans="3:29" x14ac:dyDescent="0.25">
      <c r="C173" s="27" t="str">
        <f t="shared" si="58"/>
        <v/>
      </c>
      <c r="D173" s="30" t="str">
        <f t="shared" si="59"/>
        <v/>
      </c>
      <c r="E173" s="20" t="str">
        <f t="shared" si="46"/>
        <v/>
      </c>
      <c r="F173" s="20" t="str">
        <f t="shared" si="47"/>
        <v/>
      </c>
      <c r="G173" s="24" t="str">
        <f t="shared" si="60"/>
        <v/>
      </c>
      <c r="H173" s="21" t="str">
        <f t="shared" si="48"/>
        <v/>
      </c>
      <c r="I173" s="66" t="str">
        <f t="shared" si="49"/>
        <v/>
      </c>
      <c r="J173" s="66" t="str">
        <f t="shared" si="50"/>
        <v/>
      </c>
      <c r="K173" s="11" t="str">
        <f t="shared" si="51"/>
        <v/>
      </c>
      <c r="L173" s="23" t="str">
        <f t="shared" si="65"/>
        <v/>
      </c>
      <c r="M173" s="100"/>
      <c r="N173" s="23" t="str">
        <f t="shared" si="52"/>
        <v/>
      </c>
      <c r="O173" s="23" t="str">
        <f t="shared" si="61"/>
        <v/>
      </c>
      <c r="P173" s="23" t="str">
        <f t="shared" si="62"/>
        <v/>
      </c>
      <c r="Q173" s="19" t="str">
        <f t="shared" si="53"/>
        <v/>
      </c>
      <c r="R173" s="19"/>
      <c r="T173" s="37" t="str">
        <f t="shared" si="54"/>
        <v/>
      </c>
      <c r="U173" s="37" t="str">
        <f t="shared" si="63"/>
        <v/>
      </c>
      <c r="W173" s="31" t="str">
        <f t="shared" si="66"/>
        <v/>
      </c>
      <c r="X173" s="31" t="str">
        <f t="shared" si="67"/>
        <v/>
      </c>
      <c r="Y173" s="34">
        <f t="shared" si="64"/>
        <v>1</v>
      </c>
      <c r="Z173" s="31">
        <f t="shared" si="55"/>
        <v>0</v>
      </c>
      <c r="AA173" s="66">
        <f t="shared" si="56"/>
        <v>0</v>
      </c>
      <c r="AB173" s="6" t="str">
        <f t="shared" si="57"/>
        <v/>
      </c>
      <c r="AC173" s="48">
        <f t="shared" si="68"/>
        <v>0</v>
      </c>
    </row>
    <row r="174" spans="3:29" x14ac:dyDescent="0.25">
      <c r="C174" s="27" t="str">
        <f t="shared" si="58"/>
        <v/>
      </c>
      <c r="D174" s="30" t="str">
        <f t="shared" si="59"/>
        <v/>
      </c>
      <c r="E174" s="20" t="str">
        <f t="shared" si="46"/>
        <v/>
      </c>
      <c r="F174" s="20" t="str">
        <f t="shared" si="47"/>
        <v/>
      </c>
      <c r="G174" s="24" t="str">
        <f t="shared" si="60"/>
        <v/>
      </c>
      <c r="H174" s="21" t="str">
        <f t="shared" si="48"/>
        <v/>
      </c>
      <c r="I174" s="66" t="str">
        <f t="shared" si="49"/>
        <v/>
      </c>
      <c r="J174" s="66" t="str">
        <f t="shared" si="50"/>
        <v/>
      </c>
      <c r="K174" s="11" t="str">
        <f t="shared" si="51"/>
        <v/>
      </c>
      <c r="L174" s="23" t="str">
        <f t="shared" si="65"/>
        <v/>
      </c>
      <c r="M174" s="100"/>
      <c r="N174" s="23" t="str">
        <f t="shared" si="52"/>
        <v/>
      </c>
      <c r="O174" s="23" t="str">
        <f t="shared" si="61"/>
        <v/>
      </c>
      <c r="P174" s="23" t="str">
        <f t="shared" si="62"/>
        <v/>
      </c>
      <c r="Q174" s="19" t="str">
        <f t="shared" si="53"/>
        <v/>
      </c>
      <c r="R174" s="19"/>
      <c r="T174" s="37" t="str">
        <f t="shared" si="54"/>
        <v/>
      </c>
      <c r="U174" s="37" t="str">
        <f t="shared" si="63"/>
        <v/>
      </c>
      <c r="W174" s="31" t="str">
        <f t="shared" si="66"/>
        <v/>
      </c>
      <c r="X174" s="31" t="str">
        <f t="shared" si="67"/>
        <v/>
      </c>
      <c r="Y174" s="34">
        <f t="shared" si="64"/>
        <v>1</v>
      </c>
      <c r="Z174" s="31">
        <f t="shared" si="55"/>
        <v>0</v>
      </c>
      <c r="AA174" s="66">
        <f t="shared" si="56"/>
        <v>0</v>
      </c>
      <c r="AB174" s="6" t="str">
        <f t="shared" si="57"/>
        <v/>
      </c>
      <c r="AC174" s="48">
        <f t="shared" si="68"/>
        <v>0</v>
      </c>
    </row>
    <row r="175" spans="3:29" x14ac:dyDescent="0.25">
      <c r="C175" s="27" t="str">
        <f t="shared" si="58"/>
        <v/>
      </c>
      <c r="D175" s="30" t="str">
        <f t="shared" si="59"/>
        <v/>
      </c>
      <c r="E175" s="20" t="str">
        <f t="shared" si="46"/>
        <v/>
      </c>
      <c r="F175" s="20" t="str">
        <f t="shared" si="47"/>
        <v/>
      </c>
      <c r="G175" s="24" t="str">
        <f t="shared" si="60"/>
        <v/>
      </c>
      <c r="H175" s="21" t="str">
        <f t="shared" si="48"/>
        <v/>
      </c>
      <c r="I175" s="66" t="str">
        <f t="shared" si="49"/>
        <v/>
      </c>
      <c r="J175" s="66" t="str">
        <f t="shared" si="50"/>
        <v/>
      </c>
      <c r="K175" s="11" t="str">
        <f t="shared" si="51"/>
        <v/>
      </c>
      <c r="L175" s="23" t="str">
        <f t="shared" si="65"/>
        <v/>
      </c>
      <c r="M175" s="100"/>
      <c r="N175" s="23" t="str">
        <f t="shared" si="52"/>
        <v/>
      </c>
      <c r="O175" s="23" t="str">
        <f t="shared" si="61"/>
        <v/>
      </c>
      <c r="P175" s="23" t="str">
        <f t="shared" si="62"/>
        <v/>
      </c>
      <c r="Q175" s="19" t="str">
        <f t="shared" si="53"/>
        <v/>
      </c>
      <c r="R175" s="19"/>
      <c r="T175" s="37" t="str">
        <f t="shared" si="54"/>
        <v/>
      </c>
      <c r="U175" s="37" t="str">
        <f t="shared" si="63"/>
        <v/>
      </c>
      <c r="W175" s="31" t="str">
        <f t="shared" si="66"/>
        <v/>
      </c>
      <c r="X175" s="31" t="str">
        <f t="shared" si="67"/>
        <v/>
      </c>
      <c r="Y175" s="34">
        <f t="shared" si="64"/>
        <v>1</v>
      </c>
      <c r="Z175" s="31">
        <f t="shared" si="55"/>
        <v>0</v>
      </c>
      <c r="AA175" s="66">
        <f t="shared" si="56"/>
        <v>0</v>
      </c>
      <c r="AB175" s="6" t="str">
        <f t="shared" si="57"/>
        <v/>
      </c>
      <c r="AC175" s="48">
        <f t="shared" si="68"/>
        <v>0</v>
      </c>
    </row>
    <row r="176" spans="3:29" x14ac:dyDescent="0.25">
      <c r="C176" s="27" t="str">
        <f t="shared" si="58"/>
        <v/>
      </c>
      <c r="D176" s="30" t="str">
        <f t="shared" si="59"/>
        <v/>
      </c>
      <c r="E176" s="20" t="str">
        <f t="shared" si="46"/>
        <v/>
      </c>
      <c r="F176" s="20" t="str">
        <f t="shared" si="47"/>
        <v/>
      </c>
      <c r="G176" s="24" t="str">
        <f t="shared" si="60"/>
        <v/>
      </c>
      <c r="H176" s="21" t="str">
        <f t="shared" si="48"/>
        <v/>
      </c>
      <c r="I176" s="66" t="str">
        <f t="shared" si="49"/>
        <v/>
      </c>
      <c r="J176" s="66" t="str">
        <f t="shared" si="50"/>
        <v/>
      </c>
      <c r="K176" s="11" t="str">
        <f t="shared" si="51"/>
        <v/>
      </c>
      <c r="L176" s="23" t="str">
        <f t="shared" si="65"/>
        <v/>
      </c>
      <c r="M176" s="100"/>
      <c r="N176" s="23" t="str">
        <f t="shared" si="52"/>
        <v/>
      </c>
      <c r="O176" s="23" t="str">
        <f t="shared" si="61"/>
        <v/>
      </c>
      <c r="P176" s="23" t="str">
        <f t="shared" si="62"/>
        <v/>
      </c>
      <c r="Q176" s="19" t="str">
        <f t="shared" si="53"/>
        <v/>
      </c>
      <c r="R176" s="19"/>
      <c r="T176" s="37" t="str">
        <f t="shared" si="54"/>
        <v/>
      </c>
      <c r="U176" s="37" t="str">
        <f t="shared" si="63"/>
        <v/>
      </c>
      <c r="W176" s="31" t="str">
        <f t="shared" si="66"/>
        <v/>
      </c>
      <c r="X176" s="31" t="str">
        <f t="shared" si="67"/>
        <v/>
      </c>
      <c r="Y176" s="34">
        <f t="shared" si="64"/>
        <v>1</v>
      </c>
      <c r="Z176" s="31">
        <f t="shared" si="55"/>
        <v>0</v>
      </c>
      <c r="AA176" s="66">
        <f t="shared" si="56"/>
        <v>0</v>
      </c>
      <c r="AB176" s="6" t="str">
        <f t="shared" si="57"/>
        <v/>
      </c>
      <c r="AC176" s="48">
        <f t="shared" si="68"/>
        <v>0</v>
      </c>
    </row>
    <row r="177" spans="3:29" x14ac:dyDescent="0.25">
      <c r="C177" s="27" t="str">
        <f t="shared" si="58"/>
        <v/>
      </c>
      <c r="D177" s="30" t="str">
        <f t="shared" si="59"/>
        <v/>
      </c>
      <c r="E177" s="20" t="str">
        <f t="shared" si="46"/>
        <v/>
      </c>
      <c r="F177" s="20" t="str">
        <f t="shared" si="47"/>
        <v/>
      </c>
      <c r="G177" s="24" t="str">
        <f t="shared" si="60"/>
        <v/>
      </c>
      <c r="H177" s="21" t="str">
        <f t="shared" si="48"/>
        <v/>
      </c>
      <c r="I177" s="66" t="str">
        <f t="shared" si="49"/>
        <v/>
      </c>
      <c r="J177" s="66" t="str">
        <f t="shared" si="50"/>
        <v/>
      </c>
      <c r="K177" s="11" t="str">
        <f t="shared" si="51"/>
        <v/>
      </c>
      <c r="L177" s="23" t="str">
        <f t="shared" si="65"/>
        <v/>
      </c>
      <c r="M177" s="100"/>
      <c r="N177" s="23" t="str">
        <f t="shared" si="52"/>
        <v/>
      </c>
      <c r="O177" s="23" t="str">
        <f t="shared" si="61"/>
        <v/>
      </c>
      <c r="P177" s="23" t="str">
        <f t="shared" si="62"/>
        <v/>
      </c>
      <c r="Q177" s="19" t="str">
        <f t="shared" si="53"/>
        <v/>
      </c>
      <c r="R177" s="19"/>
      <c r="T177" s="37" t="str">
        <f t="shared" si="54"/>
        <v/>
      </c>
      <c r="U177" s="37" t="str">
        <f t="shared" si="63"/>
        <v/>
      </c>
      <c r="W177" s="31" t="str">
        <f t="shared" si="66"/>
        <v/>
      </c>
      <c r="X177" s="31" t="str">
        <f t="shared" si="67"/>
        <v/>
      </c>
      <c r="Y177" s="34">
        <f t="shared" si="64"/>
        <v>1</v>
      </c>
      <c r="Z177" s="31">
        <f t="shared" si="55"/>
        <v>0</v>
      </c>
      <c r="AA177" s="66">
        <f t="shared" si="56"/>
        <v>0</v>
      </c>
      <c r="AB177" s="6" t="str">
        <f t="shared" si="57"/>
        <v/>
      </c>
      <c r="AC177" s="48">
        <f>AC176+$M$17</f>
        <v>0</v>
      </c>
    </row>
    <row r="178" spans="3:29" x14ac:dyDescent="0.25">
      <c r="C178" s="27" t="str">
        <f t="shared" si="58"/>
        <v/>
      </c>
      <c r="D178" s="30" t="str">
        <f t="shared" si="59"/>
        <v/>
      </c>
      <c r="E178" s="20" t="str">
        <f t="shared" si="46"/>
        <v/>
      </c>
      <c r="F178" s="20" t="str">
        <f t="shared" si="47"/>
        <v/>
      </c>
      <c r="G178" s="24" t="str">
        <f t="shared" si="60"/>
        <v/>
      </c>
      <c r="H178" s="21" t="str">
        <f t="shared" si="48"/>
        <v/>
      </c>
      <c r="I178" s="66" t="str">
        <f t="shared" si="49"/>
        <v/>
      </c>
      <c r="J178" s="66" t="str">
        <f t="shared" si="50"/>
        <v/>
      </c>
      <c r="K178" s="11" t="str">
        <f t="shared" si="51"/>
        <v/>
      </c>
      <c r="L178" s="23" t="str">
        <f t="shared" si="65"/>
        <v/>
      </c>
      <c r="M178" s="100"/>
      <c r="N178" s="23" t="str">
        <f t="shared" si="52"/>
        <v/>
      </c>
      <c r="O178" s="23" t="str">
        <f t="shared" si="61"/>
        <v/>
      </c>
      <c r="P178" s="23" t="str">
        <f t="shared" si="62"/>
        <v/>
      </c>
      <c r="Q178" s="19" t="str">
        <f t="shared" si="53"/>
        <v/>
      </c>
      <c r="R178" s="19"/>
      <c r="T178" s="37" t="str">
        <f t="shared" si="54"/>
        <v/>
      </c>
      <c r="U178" s="37" t="str">
        <f t="shared" si="63"/>
        <v/>
      </c>
      <c r="W178" s="31" t="str">
        <f t="shared" si="66"/>
        <v/>
      </c>
      <c r="X178" s="31" t="str">
        <f t="shared" si="67"/>
        <v/>
      </c>
      <c r="Y178" s="34">
        <f t="shared" si="64"/>
        <v>1</v>
      </c>
      <c r="Z178" s="31">
        <f t="shared" si="55"/>
        <v>0</v>
      </c>
      <c r="AA178" s="66">
        <f t="shared" si="56"/>
        <v>0</v>
      </c>
      <c r="AB178" s="6" t="str">
        <f t="shared" si="57"/>
        <v/>
      </c>
      <c r="AC178" s="48">
        <f t="shared" si="68"/>
        <v>0</v>
      </c>
    </row>
    <row r="179" spans="3:29" x14ac:dyDescent="0.25">
      <c r="C179" s="27" t="str">
        <f t="shared" si="58"/>
        <v/>
      </c>
      <c r="D179" s="30" t="str">
        <f t="shared" si="59"/>
        <v/>
      </c>
      <c r="E179" s="20" t="str">
        <f t="shared" si="46"/>
        <v/>
      </c>
      <c r="F179" s="20" t="str">
        <f t="shared" si="47"/>
        <v/>
      </c>
      <c r="G179" s="24" t="str">
        <f t="shared" si="60"/>
        <v/>
      </c>
      <c r="H179" s="21" t="str">
        <f t="shared" si="48"/>
        <v/>
      </c>
      <c r="I179" s="66" t="str">
        <f t="shared" si="49"/>
        <v/>
      </c>
      <c r="J179" s="66" t="str">
        <f t="shared" si="50"/>
        <v/>
      </c>
      <c r="K179" s="11" t="str">
        <f t="shared" si="51"/>
        <v/>
      </c>
      <c r="L179" s="23" t="str">
        <f t="shared" si="65"/>
        <v/>
      </c>
      <c r="M179" s="100"/>
      <c r="N179" s="23" t="str">
        <f t="shared" si="52"/>
        <v/>
      </c>
      <c r="O179" s="23" t="str">
        <f t="shared" si="61"/>
        <v/>
      </c>
      <c r="P179" s="23" t="str">
        <f t="shared" si="62"/>
        <v/>
      </c>
      <c r="Q179" s="19" t="str">
        <f t="shared" si="53"/>
        <v/>
      </c>
      <c r="R179" s="19"/>
      <c r="T179" s="37" t="str">
        <f t="shared" si="54"/>
        <v/>
      </c>
      <c r="U179" s="37" t="str">
        <f t="shared" si="63"/>
        <v/>
      </c>
      <c r="W179" s="31" t="str">
        <f t="shared" si="66"/>
        <v/>
      </c>
      <c r="X179" s="31" t="str">
        <f t="shared" si="67"/>
        <v/>
      </c>
      <c r="Y179" s="34">
        <f t="shared" si="64"/>
        <v>1</v>
      </c>
      <c r="Z179" s="31">
        <f t="shared" si="55"/>
        <v>0</v>
      </c>
      <c r="AA179" s="66">
        <f t="shared" si="56"/>
        <v>0</v>
      </c>
      <c r="AB179" s="6" t="str">
        <f t="shared" si="57"/>
        <v/>
      </c>
      <c r="AC179" s="48">
        <f t="shared" si="68"/>
        <v>0</v>
      </c>
    </row>
    <row r="180" spans="3:29" x14ac:dyDescent="0.25">
      <c r="C180" s="27" t="str">
        <f t="shared" si="58"/>
        <v/>
      </c>
      <c r="D180" s="30" t="str">
        <f t="shared" si="59"/>
        <v/>
      </c>
      <c r="E180" s="20" t="str">
        <f t="shared" si="46"/>
        <v/>
      </c>
      <c r="F180" s="20" t="str">
        <f t="shared" si="47"/>
        <v/>
      </c>
      <c r="G180" s="24" t="str">
        <f t="shared" si="60"/>
        <v/>
      </c>
      <c r="H180" s="21" t="str">
        <f t="shared" si="48"/>
        <v/>
      </c>
      <c r="I180" s="66" t="str">
        <f t="shared" si="49"/>
        <v/>
      </c>
      <c r="J180" s="66" t="str">
        <f t="shared" si="50"/>
        <v/>
      </c>
      <c r="K180" s="11" t="str">
        <f t="shared" si="51"/>
        <v/>
      </c>
      <c r="L180" s="23" t="str">
        <f t="shared" si="65"/>
        <v/>
      </c>
      <c r="M180" s="100"/>
      <c r="N180" s="23" t="str">
        <f t="shared" si="52"/>
        <v/>
      </c>
      <c r="O180" s="23" t="str">
        <f t="shared" si="61"/>
        <v/>
      </c>
      <c r="P180" s="23" t="str">
        <f t="shared" si="62"/>
        <v/>
      </c>
      <c r="Q180" s="19" t="str">
        <f t="shared" si="53"/>
        <v/>
      </c>
      <c r="R180" s="19"/>
      <c r="T180" s="37" t="str">
        <f t="shared" si="54"/>
        <v/>
      </c>
      <c r="U180" s="37" t="str">
        <f t="shared" si="63"/>
        <v/>
      </c>
      <c r="W180" s="31" t="str">
        <f t="shared" si="66"/>
        <v/>
      </c>
      <c r="X180" s="31" t="str">
        <f t="shared" si="67"/>
        <v/>
      </c>
      <c r="Y180" s="34">
        <f t="shared" si="64"/>
        <v>1</v>
      </c>
      <c r="Z180" s="31">
        <f t="shared" si="55"/>
        <v>0</v>
      </c>
      <c r="AA180" s="66">
        <f t="shared" si="56"/>
        <v>0</v>
      </c>
      <c r="AB180" s="6" t="str">
        <f t="shared" si="57"/>
        <v/>
      </c>
      <c r="AC180" s="48">
        <f t="shared" si="68"/>
        <v>0</v>
      </c>
    </row>
    <row r="181" spans="3:29" x14ac:dyDescent="0.25">
      <c r="C181" s="27" t="str">
        <f t="shared" si="58"/>
        <v/>
      </c>
      <c r="D181" s="30" t="str">
        <f t="shared" si="59"/>
        <v/>
      </c>
      <c r="E181" s="20" t="str">
        <f t="shared" si="46"/>
        <v/>
      </c>
      <c r="F181" s="20" t="str">
        <f t="shared" si="47"/>
        <v/>
      </c>
      <c r="G181" s="24" t="str">
        <f t="shared" si="60"/>
        <v/>
      </c>
      <c r="H181" s="21" t="str">
        <f t="shared" si="48"/>
        <v/>
      </c>
      <c r="I181" s="66" t="str">
        <f t="shared" si="49"/>
        <v/>
      </c>
      <c r="J181" s="66" t="str">
        <f t="shared" si="50"/>
        <v/>
      </c>
      <c r="K181" s="11" t="str">
        <f t="shared" si="51"/>
        <v/>
      </c>
      <c r="L181" s="23" t="str">
        <f t="shared" si="65"/>
        <v/>
      </c>
      <c r="M181" s="100"/>
      <c r="N181" s="23" t="str">
        <f t="shared" si="52"/>
        <v/>
      </c>
      <c r="O181" s="23" t="str">
        <f t="shared" si="61"/>
        <v/>
      </c>
      <c r="P181" s="23" t="str">
        <f t="shared" si="62"/>
        <v/>
      </c>
      <c r="Q181" s="19" t="str">
        <f t="shared" si="53"/>
        <v/>
      </c>
      <c r="R181" s="19"/>
      <c r="T181" s="37" t="str">
        <f t="shared" si="54"/>
        <v/>
      </c>
      <c r="U181" s="37" t="str">
        <f t="shared" si="63"/>
        <v/>
      </c>
      <c r="W181" s="31" t="str">
        <f t="shared" si="66"/>
        <v/>
      </c>
      <c r="X181" s="31" t="str">
        <f t="shared" si="67"/>
        <v/>
      </c>
      <c r="Y181" s="34">
        <f t="shared" si="64"/>
        <v>1</v>
      </c>
      <c r="Z181" s="31">
        <f t="shared" si="55"/>
        <v>0</v>
      </c>
      <c r="AA181" s="66">
        <f t="shared" si="56"/>
        <v>0</v>
      </c>
      <c r="AB181" s="6" t="str">
        <f t="shared" si="57"/>
        <v/>
      </c>
      <c r="AC181" s="48">
        <f t="shared" si="68"/>
        <v>0</v>
      </c>
    </row>
    <row r="182" spans="3:29" x14ac:dyDescent="0.25">
      <c r="C182" s="27" t="str">
        <f t="shared" si="58"/>
        <v/>
      </c>
      <c r="D182" s="30" t="str">
        <f t="shared" si="59"/>
        <v/>
      </c>
      <c r="E182" s="20" t="str">
        <f t="shared" si="46"/>
        <v/>
      </c>
      <c r="F182" s="20" t="str">
        <f t="shared" si="47"/>
        <v/>
      </c>
      <c r="G182" s="24" t="str">
        <f t="shared" si="60"/>
        <v/>
      </c>
      <c r="H182" s="21" t="str">
        <f t="shared" si="48"/>
        <v/>
      </c>
      <c r="I182" s="66" t="str">
        <f t="shared" si="49"/>
        <v/>
      </c>
      <c r="J182" s="66" t="str">
        <f t="shared" si="50"/>
        <v/>
      </c>
      <c r="K182" s="11" t="str">
        <f t="shared" si="51"/>
        <v/>
      </c>
      <c r="L182" s="23" t="str">
        <f t="shared" si="65"/>
        <v/>
      </c>
      <c r="M182" s="100"/>
      <c r="N182" s="23" t="str">
        <f t="shared" si="52"/>
        <v/>
      </c>
      <c r="O182" s="23" t="str">
        <f t="shared" si="61"/>
        <v/>
      </c>
      <c r="P182" s="23" t="str">
        <f t="shared" si="62"/>
        <v/>
      </c>
      <c r="Q182" s="19" t="str">
        <f t="shared" si="53"/>
        <v/>
      </c>
      <c r="R182" s="19"/>
      <c r="T182" s="37" t="str">
        <f t="shared" si="54"/>
        <v/>
      </c>
      <c r="U182" s="37" t="str">
        <f t="shared" si="63"/>
        <v/>
      </c>
      <c r="W182" s="31" t="str">
        <f t="shared" si="66"/>
        <v/>
      </c>
      <c r="X182" s="31" t="str">
        <f t="shared" si="67"/>
        <v/>
      </c>
      <c r="Y182" s="34">
        <f t="shared" si="64"/>
        <v>1</v>
      </c>
      <c r="Z182" s="31">
        <f t="shared" si="55"/>
        <v>0</v>
      </c>
      <c r="AA182" s="66">
        <f t="shared" si="56"/>
        <v>0</v>
      </c>
      <c r="AB182" s="6" t="str">
        <f t="shared" si="57"/>
        <v/>
      </c>
      <c r="AC182" s="48">
        <f t="shared" si="68"/>
        <v>0</v>
      </c>
    </row>
    <row r="183" spans="3:29" x14ac:dyDescent="0.25">
      <c r="C183" s="27" t="str">
        <f t="shared" si="58"/>
        <v/>
      </c>
      <c r="D183" s="30" t="str">
        <f t="shared" si="59"/>
        <v/>
      </c>
      <c r="E183" s="20" t="str">
        <f t="shared" si="46"/>
        <v/>
      </c>
      <c r="F183" s="20" t="str">
        <f t="shared" si="47"/>
        <v/>
      </c>
      <c r="G183" s="24" t="str">
        <f t="shared" si="60"/>
        <v/>
      </c>
      <c r="H183" s="21" t="str">
        <f t="shared" si="48"/>
        <v/>
      </c>
      <c r="I183" s="66" t="str">
        <f t="shared" si="49"/>
        <v/>
      </c>
      <c r="J183" s="66" t="str">
        <f t="shared" si="50"/>
        <v/>
      </c>
      <c r="K183" s="11" t="str">
        <f t="shared" si="51"/>
        <v/>
      </c>
      <c r="L183" s="23" t="str">
        <f t="shared" si="65"/>
        <v/>
      </c>
      <c r="M183" s="100"/>
      <c r="N183" s="23" t="str">
        <f t="shared" si="52"/>
        <v/>
      </c>
      <c r="O183" s="23" t="str">
        <f t="shared" si="61"/>
        <v/>
      </c>
      <c r="P183" s="23" t="str">
        <f t="shared" si="62"/>
        <v/>
      </c>
      <c r="Q183" s="19" t="str">
        <f t="shared" si="53"/>
        <v/>
      </c>
      <c r="R183" s="19"/>
      <c r="T183" s="37" t="str">
        <f t="shared" si="54"/>
        <v/>
      </c>
      <c r="U183" s="37" t="str">
        <f t="shared" si="63"/>
        <v/>
      </c>
      <c r="W183" s="31" t="str">
        <f t="shared" si="66"/>
        <v/>
      </c>
      <c r="X183" s="31" t="str">
        <f t="shared" si="67"/>
        <v/>
      </c>
      <c r="Y183" s="34">
        <f t="shared" si="64"/>
        <v>1</v>
      </c>
      <c r="Z183" s="31">
        <f t="shared" si="55"/>
        <v>0</v>
      </c>
      <c r="AA183" s="66">
        <f t="shared" si="56"/>
        <v>0</v>
      </c>
      <c r="AB183" s="6" t="str">
        <f t="shared" si="57"/>
        <v/>
      </c>
      <c r="AC183" s="48">
        <f t="shared" si="68"/>
        <v>0</v>
      </c>
    </row>
    <row r="184" spans="3:29" x14ac:dyDescent="0.25">
      <c r="C184" s="27" t="str">
        <f t="shared" si="58"/>
        <v/>
      </c>
      <c r="D184" s="30" t="str">
        <f t="shared" si="59"/>
        <v/>
      </c>
      <c r="E184" s="20" t="str">
        <f t="shared" si="46"/>
        <v/>
      </c>
      <c r="F184" s="20" t="str">
        <f t="shared" si="47"/>
        <v/>
      </c>
      <c r="G184" s="24" t="str">
        <f t="shared" si="60"/>
        <v/>
      </c>
      <c r="H184" s="21" t="str">
        <f t="shared" si="48"/>
        <v/>
      </c>
      <c r="I184" s="66" t="str">
        <f t="shared" si="49"/>
        <v/>
      </c>
      <c r="J184" s="66" t="str">
        <f t="shared" si="50"/>
        <v/>
      </c>
      <c r="K184" s="11" t="str">
        <f t="shared" si="51"/>
        <v/>
      </c>
      <c r="L184" s="23" t="str">
        <f t="shared" si="65"/>
        <v/>
      </c>
      <c r="M184" s="100"/>
      <c r="N184" s="23" t="str">
        <f t="shared" si="52"/>
        <v/>
      </c>
      <c r="O184" s="23" t="str">
        <f t="shared" si="61"/>
        <v/>
      </c>
      <c r="P184" s="23" t="str">
        <f t="shared" si="62"/>
        <v/>
      </c>
      <c r="Q184" s="19" t="str">
        <f t="shared" si="53"/>
        <v/>
      </c>
      <c r="R184" s="19"/>
      <c r="T184" s="37" t="str">
        <f t="shared" si="54"/>
        <v/>
      </c>
      <c r="U184" s="37" t="str">
        <f t="shared" si="63"/>
        <v/>
      </c>
      <c r="W184" s="31" t="str">
        <f t="shared" si="66"/>
        <v/>
      </c>
      <c r="X184" s="31" t="str">
        <f t="shared" si="67"/>
        <v/>
      </c>
      <c r="Y184" s="34">
        <f t="shared" si="64"/>
        <v>1</v>
      </c>
      <c r="Z184" s="31">
        <f t="shared" si="55"/>
        <v>0</v>
      </c>
      <c r="AA184" s="66">
        <f t="shared" si="56"/>
        <v>0</v>
      </c>
      <c r="AB184" s="6" t="str">
        <f t="shared" si="57"/>
        <v/>
      </c>
      <c r="AC184" s="48">
        <f t="shared" si="68"/>
        <v>0</v>
      </c>
    </row>
    <row r="185" spans="3:29" x14ac:dyDescent="0.25">
      <c r="C185" s="27" t="str">
        <f t="shared" si="58"/>
        <v/>
      </c>
      <c r="D185" s="30" t="str">
        <f t="shared" si="59"/>
        <v/>
      </c>
      <c r="E185" s="20" t="str">
        <f t="shared" si="46"/>
        <v/>
      </c>
      <c r="F185" s="20" t="str">
        <f t="shared" si="47"/>
        <v/>
      </c>
      <c r="G185" s="24" t="str">
        <f t="shared" si="60"/>
        <v/>
      </c>
      <c r="H185" s="21" t="str">
        <f t="shared" si="48"/>
        <v/>
      </c>
      <c r="I185" s="66" t="str">
        <f t="shared" si="49"/>
        <v/>
      </c>
      <c r="J185" s="66" t="str">
        <f t="shared" si="50"/>
        <v/>
      </c>
      <c r="K185" s="11" t="str">
        <f t="shared" si="51"/>
        <v/>
      </c>
      <c r="L185" s="23" t="str">
        <f t="shared" si="65"/>
        <v/>
      </c>
      <c r="M185" s="100"/>
      <c r="N185" s="23" t="str">
        <f t="shared" si="52"/>
        <v/>
      </c>
      <c r="O185" s="23" t="str">
        <f t="shared" si="61"/>
        <v/>
      </c>
      <c r="P185" s="23" t="str">
        <f t="shared" si="62"/>
        <v/>
      </c>
      <c r="Q185" s="19" t="str">
        <f t="shared" si="53"/>
        <v/>
      </c>
      <c r="R185" s="19"/>
      <c r="T185" s="37" t="str">
        <f t="shared" si="54"/>
        <v/>
      </c>
      <c r="U185" s="37" t="str">
        <f t="shared" si="63"/>
        <v/>
      </c>
      <c r="W185" s="31" t="str">
        <f t="shared" si="66"/>
        <v/>
      </c>
      <c r="X185" s="31" t="str">
        <f t="shared" si="67"/>
        <v/>
      </c>
      <c r="Y185" s="34">
        <f t="shared" si="64"/>
        <v>1</v>
      </c>
      <c r="Z185" s="31">
        <f t="shared" si="55"/>
        <v>0</v>
      </c>
      <c r="AA185" s="66">
        <f t="shared" si="56"/>
        <v>0</v>
      </c>
      <c r="AB185" s="6" t="str">
        <f t="shared" si="57"/>
        <v/>
      </c>
      <c r="AC185" s="48">
        <f t="shared" si="68"/>
        <v>0</v>
      </c>
    </row>
    <row r="186" spans="3:29" x14ac:dyDescent="0.25">
      <c r="C186" s="27" t="str">
        <f t="shared" si="58"/>
        <v/>
      </c>
      <c r="D186" s="30" t="str">
        <f t="shared" si="59"/>
        <v/>
      </c>
      <c r="E186" s="20" t="str">
        <f t="shared" si="46"/>
        <v/>
      </c>
      <c r="F186" s="20" t="str">
        <f t="shared" si="47"/>
        <v/>
      </c>
      <c r="G186" s="24" t="str">
        <f t="shared" si="60"/>
        <v/>
      </c>
      <c r="H186" s="21" t="str">
        <f t="shared" si="48"/>
        <v/>
      </c>
      <c r="I186" s="66" t="str">
        <f t="shared" si="49"/>
        <v/>
      </c>
      <c r="J186" s="66" t="str">
        <f t="shared" si="50"/>
        <v/>
      </c>
      <c r="K186" s="11" t="str">
        <f t="shared" si="51"/>
        <v/>
      </c>
      <c r="L186" s="23" t="str">
        <f t="shared" si="65"/>
        <v/>
      </c>
      <c r="M186" s="100"/>
      <c r="N186" s="23" t="str">
        <f t="shared" si="52"/>
        <v/>
      </c>
      <c r="O186" s="23" t="str">
        <f t="shared" si="61"/>
        <v/>
      </c>
      <c r="P186" s="23" t="str">
        <f t="shared" si="62"/>
        <v/>
      </c>
      <c r="Q186" s="19" t="str">
        <f t="shared" si="53"/>
        <v/>
      </c>
      <c r="R186" s="19"/>
      <c r="T186" s="37" t="str">
        <f t="shared" si="54"/>
        <v/>
      </c>
      <c r="U186" s="37" t="str">
        <f t="shared" si="63"/>
        <v/>
      </c>
      <c r="W186" s="31" t="str">
        <f t="shared" si="66"/>
        <v/>
      </c>
      <c r="X186" s="31" t="str">
        <f t="shared" si="67"/>
        <v/>
      </c>
      <c r="Y186" s="34">
        <f t="shared" si="64"/>
        <v>1</v>
      </c>
      <c r="Z186" s="31">
        <f t="shared" si="55"/>
        <v>0</v>
      </c>
      <c r="AA186" s="66">
        <f t="shared" si="56"/>
        <v>0</v>
      </c>
      <c r="AB186" s="6" t="str">
        <f t="shared" si="57"/>
        <v/>
      </c>
      <c r="AC186" s="48">
        <f t="shared" si="68"/>
        <v>0</v>
      </c>
    </row>
    <row r="187" spans="3:29" x14ac:dyDescent="0.25">
      <c r="C187" s="27" t="str">
        <f t="shared" si="58"/>
        <v/>
      </c>
      <c r="D187" s="30" t="str">
        <f t="shared" si="59"/>
        <v/>
      </c>
      <c r="E187" s="20" t="str">
        <f t="shared" si="46"/>
        <v/>
      </c>
      <c r="F187" s="20" t="str">
        <f t="shared" si="47"/>
        <v/>
      </c>
      <c r="G187" s="24" t="str">
        <f t="shared" si="60"/>
        <v/>
      </c>
      <c r="H187" s="21" t="str">
        <f t="shared" si="48"/>
        <v/>
      </c>
      <c r="I187" s="66" t="str">
        <f t="shared" si="49"/>
        <v/>
      </c>
      <c r="J187" s="66" t="str">
        <f t="shared" si="50"/>
        <v/>
      </c>
      <c r="K187" s="11" t="str">
        <f t="shared" si="51"/>
        <v/>
      </c>
      <c r="L187" s="23" t="str">
        <f t="shared" si="65"/>
        <v/>
      </c>
      <c r="M187" s="100"/>
      <c r="N187" s="23" t="str">
        <f t="shared" si="52"/>
        <v/>
      </c>
      <c r="O187" s="23" t="str">
        <f t="shared" si="61"/>
        <v/>
      </c>
      <c r="P187" s="23" t="str">
        <f t="shared" si="62"/>
        <v/>
      </c>
      <c r="Q187" s="19" t="str">
        <f t="shared" si="53"/>
        <v/>
      </c>
      <c r="R187" s="19"/>
      <c r="T187" s="37" t="str">
        <f t="shared" si="54"/>
        <v/>
      </c>
      <c r="U187" s="37" t="str">
        <f t="shared" si="63"/>
        <v/>
      </c>
      <c r="W187" s="31" t="str">
        <f t="shared" si="66"/>
        <v/>
      </c>
      <c r="X187" s="31" t="str">
        <f t="shared" si="67"/>
        <v/>
      </c>
      <c r="Y187" s="34">
        <f t="shared" si="64"/>
        <v>1</v>
      </c>
      <c r="Z187" s="31">
        <f t="shared" si="55"/>
        <v>0</v>
      </c>
      <c r="AA187" s="66">
        <f t="shared" si="56"/>
        <v>0</v>
      </c>
      <c r="AB187" s="6" t="str">
        <f t="shared" si="57"/>
        <v/>
      </c>
      <c r="AC187" s="48">
        <f t="shared" si="68"/>
        <v>0</v>
      </c>
    </row>
    <row r="188" spans="3:29" x14ac:dyDescent="0.25">
      <c r="C188" s="27" t="str">
        <f t="shared" si="58"/>
        <v/>
      </c>
      <c r="D188" s="30" t="str">
        <f t="shared" si="59"/>
        <v/>
      </c>
      <c r="E188" s="20" t="str">
        <f t="shared" si="46"/>
        <v/>
      </c>
      <c r="F188" s="20" t="str">
        <f t="shared" si="47"/>
        <v/>
      </c>
      <c r="G188" s="24" t="str">
        <f t="shared" si="60"/>
        <v/>
      </c>
      <c r="H188" s="21" t="str">
        <f t="shared" si="48"/>
        <v/>
      </c>
      <c r="I188" s="66" t="str">
        <f t="shared" si="49"/>
        <v/>
      </c>
      <c r="J188" s="66" t="str">
        <f t="shared" si="50"/>
        <v/>
      </c>
      <c r="K188" s="11" t="str">
        <f t="shared" si="51"/>
        <v/>
      </c>
      <c r="L188" s="23" t="str">
        <f t="shared" si="65"/>
        <v/>
      </c>
      <c r="M188" s="100"/>
      <c r="N188" s="23" t="str">
        <f t="shared" si="52"/>
        <v/>
      </c>
      <c r="O188" s="23" t="str">
        <f t="shared" si="61"/>
        <v/>
      </c>
      <c r="P188" s="23" t="str">
        <f t="shared" si="62"/>
        <v/>
      </c>
      <c r="Q188" s="19" t="str">
        <f t="shared" si="53"/>
        <v/>
      </c>
      <c r="R188" s="19"/>
      <c r="T188" s="37" t="str">
        <f t="shared" si="54"/>
        <v/>
      </c>
      <c r="U188" s="37" t="str">
        <f t="shared" si="63"/>
        <v/>
      </c>
      <c r="W188" s="31" t="str">
        <f t="shared" si="66"/>
        <v/>
      </c>
      <c r="X188" s="31" t="str">
        <f t="shared" si="67"/>
        <v/>
      </c>
      <c r="Y188" s="34">
        <f t="shared" si="64"/>
        <v>1</v>
      </c>
      <c r="Z188" s="31">
        <f t="shared" si="55"/>
        <v>0</v>
      </c>
      <c r="AA188" s="66">
        <f t="shared" si="56"/>
        <v>0</v>
      </c>
      <c r="AB188" s="6" t="str">
        <f t="shared" si="57"/>
        <v/>
      </c>
      <c r="AC188" s="48">
        <f t="shared" si="68"/>
        <v>0</v>
      </c>
    </row>
    <row r="189" spans="3:29" x14ac:dyDescent="0.25">
      <c r="C189" s="27" t="str">
        <f t="shared" si="58"/>
        <v/>
      </c>
      <c r="D189" s="30" t="str">
        <f t="shared" si="59"/>
        <v/>
      </c>
      <c r="E189" s="20" t="str">
        <f t="shared" si="46"/>
        <v/>
      </c>
      <c r="F189" s="20" t="str">
        <f t="shared" si="47"/>
        <v/>
      </c>
      <c r="G189" s="24" t="str">
        <f t="shared" si="60"/>
        <v/>
      </c>
      <c r="H189" s="21" t="str">
        <f t="shared" si="48"/>
        <v/>
      </c>
      <c r="I189" s="66" t="str">
        <f t="shared" si="49"/>
        <v/>
      </c>
      <c r="J189" s="66" t="str">
        <f t="shared" si="50"/>
        <v/>
      </c>
      <c r="K189" s="11" t="str">
        <f t="shared" si="51"/>
        <v/>
      </c>
      <c r="L189" s="23" t="str">
        <f t="shared" si="65"/>
        <v/>
      </c>
      <c r="M189" s="100"/>
      <c r="N189" s="23" t="str">
        <f t="shared" si="52"/>
        <v/>
      </c>
      <c r="O189" s="23" t="str">
        <f t="shared" si="61"/>
        <v/>
      </c>
      <c r="P189" s="23" t="str">
        <f t="shared" si="62"/>
        <v/>
      </c>
      <c r="Q189" s="19" t="str">
        <f t="shared" si="53"/>
        <v/>
      </c>
      <c r="R189" s="19"/>
      <c r="T189" s="37" t="str">
        <f t="shared" si="54"/>
        <v/>
      </c>
      <c r="U189" s="37" t="str">
        <f t="shared" si="63"/>
        <v/>
      </c>
      <c r="W189" s="31" t="str">
        <f t="shared" si="66"/>
        <v/>
      </c>
      <c r="X189" s="31" t="str">
        <f t="shared" si="67"/>
        <v/>
      </c>
      <c r="Y189" s="34">
        <f t="shared" si="64"/>
        <v>1</v>
      </c>
      <c r="Z189" s="31">
        <f t="shared" si="55"/>
        <v>0</v>
      </c>
      <c r="AA189" s="66">
        <f t="shared" si="56"/>
        <v>0</v>
      </c>
      <c r="AB189" s="6" t="str">
        <f t="shared" si="57"/>
        <v/>
      </c>
      <c r="AC189" s="48">
        <f>AC188+$M$17</f>
        <v>0</v>
      </c>
    </row>
    <row r="190" spans="3:29" x14ac:dyDescent="0.25">
      <c r="C190" s="27" t="str">
        <f t="shared" si="58"/>
        <v/>
      </c>
      <c r="D190" s="30" t="str">
        <f t="shared" si="59"/>
        <v/>
      </c>
      <c r="E190" s="20" t="str">
        <f t="shared" si="46"/>
        <v/>
      </c>
      <c r="F190" s="20" t="str">
        <f t="shared" si="47"/>
        <v/>
      </c>
      <c r="G190" s="24" t="str">
        <f t="shared" si="60"/>
        <v/>
      </c>
      <c r="H190" s="21" t="str">
        <f t="shared" si="48"/>
        <v/>
      </c>
      <c r="I190" s="66" t="str">
        <f t="shared" si="49"/>
        <v/>
      </c>
      <c r="J190" s="66" t="str">
        <f t="shared" si="50"/>
        <v/>
      </c>
      <c r="K190" s="11" t="str">
        <f t="shared" si="51"/>
        <v/>
      </c>
      <c r="L190" s="23" t="str">
        <f t="shared" si="65"/>
        <v/>
      </c>
      <c r="M190" s="100"/>
      <c r="N190" s="23" t="str">
        <f t="shared" si="52"/>
        <v/>
      </c>
      <c r="O190" s="23" t="str">
        <f t="shared" si="61"/>
        <v/>
      </c>
      <c r="P190" s="23" t="str">
        <f t="shared" si="62"/>
        <v/>
      </c>
      <c r="Q190" s="19" t="str">
        <f t="shared" si="53"/>
        <v/>
      </c>
      <c r="R190" s="19"/>
      <c r="T190" s="37" t="str">
        <f t="shared" si="54"/>
        <v/>
      </c>
      <c r="U190" s="37" t="str">
        <f t="shared" si="63"/>
        <v/>
      </c>
      <c r="W190" s="31" t="str">
        <f t="shared" si="66"/>
        <v/>
      </c>
      <c r="X190" s="31" t="str">
        <f t="shared" si="67"/>
        <v/>
      </c>
      <c r="Y190" s="34">
        <f t="shared" si="64"/>
        <v>1</v>
      </c>
      <c r="Z190" s="31">
        <f t="shared" si="55"/>
        <v>0</v>
      </c>
      <c r="AA190" s="66">
        <f t="shared" si="56"/>
        <v>0</v>
      </c>
      <c r="AB190" s="6" t="str">
        <f t="shared" si="57"/>
        <v/>
      </c>
      <c r="AC190" s="48">
        <f t="shared" si="68"/>
        <v>0</v>
      </c>
    </row>
    <row r="191" spans="3:29" x14ac:dyDescent="0.25">
      <c r="C191" s="27" t="str">
        <f t="shared" si="58"/>
        <v/>
      </c>
      <c r="D191" s="30" t="str">
        <f t="shared" si="59"/>
        <v/>
      </c>
      <c r="E191" s="20" t="str">
        <f t="shared" si="46"/>
        <v/>
      </c>
      <c r="F191" s="20" t="str">
        <f t="shared" si="47"/>
        <v/>
      </c>
      <c r="G191" s="24" t="str">
        <f t="shared" si="60"/>
        <v/>
      </c>
      <c r="H191" s="21" t="str">
        <f t="shared" si="48"/>
        <v/>
      </c>
      <c r="I191" s="66" t="str">
        <f t="shared" si="49"/>
        <v/>
      </c>
      <c r="J191" s="66" t="str">
        <f t="shared" si="50"/>
        <v/>
      </c>
      <c r="K191" s="11" t="str">
        <f t="shared" si="51"/>
        <v/>
      </c>
      <c r="L191" s="23" t="str">
        <f t="shared" si="65"/>
        <v/>
      </c>
      <c r="M191" s="100"/>
      <c r="N191" s="23" t="str">
        <f t="shared" si="52"/>
        <v/>
      </c>
      <c r="O191" s="23" t="str">
        <f t="shared" si="61"/>
        <v/>
      </c>
      <c r="P191" s="23" t="str">
        <f t="shared" si="62"/>
        <v/>
      </c>
      <c r="Q191" s="19" t="str">
        <f t="shared" si="53"/>
        <v/>
      </c>
      <c r="R191" s="19"/>
      <c r="T191" s="37" t="str">
        <f t="shared" si="54"/>
        <v/>
      </c>
      <c r="U191" s="37" t="str">
        <f t="shared" si="63"/>
        <v/>
      </c>
      <c r="W191" s="31" t="str">
        <f t="shared" si="66"/>
        <v/>
      </c>
      <c r="X191" s="31" t="str">
        <f t="shared" si="67"/>
        <v/>
      </c>
      <c r="Y191" s="34">
        <f t="shared" si="64"/>
        <v>1</v>
      </c>
      <c r="Z191" s="31">
        <f t="shared" si="55"/>
        <v>0</v>
      </c>
      <c r="AA191" s="66">
        <f t="shared" si="56"/>
        <v>0</v>
      </c>
      <c r="AB191" s="6" t="str">
        <f t="shared" si="57"/>
        <v/>
      </c>
      <c r="AC191" s="48">
        <f t="shared" si="68"/>
        <v>0</v>
      </c>
    </row>
    <row r="192" spans="3:29" x14ac:dyDescent="0.25">
      <c r="C192" s="27" t="str">
        <f t="shared" si="58"/>
        <v/>
      </c>
      <c r="D192" s="30" t="str">
        <f t="shared" si="59"/>
        <v/>
      </c>
      <c r="E192" s="20" t="str">
        <f t="shared" si="46"/>
        <v/>
      </c>
      <c r="F192" s="20" t="str">
        <f t="shared" si="47"/>
        <v/>
      </c>
      <c r="G192" s="24" t="str">
        <f t="shared" si="60"/>
        <v/>
      </c>
      <c r="H192" s="21" t="str">
        <f t="shared" si="48"/>
        <v/>
      </c>
      <c r="I192" s="66" t="str">
        <f t="shared" si="49"/>
        <v/>
      </c>
      <c r="J192" s="66" t="str">
        <f t="shared" si="50"/>
        <v/>
      </c>
      <c r="K192" s="11" t="str">
        <f t="shared" si="51"/>
        <v/>
      </c>
      <c r="L192" s="23" t="str">
        <f t="shared" si="65"/>
        <v/>
      </c>
      <c r="M192" s="100"/>
      <c r="N192" s="23" t="str">
        <f t="shared" si="52"/>
        <v/>
      </c>
      <c r="O192" s="23" t="str">
        <f t="shared" si="61"/>
        <v/>
      </c>
      <c r="P192" s="23" t="str">
        <f t="shared" si="62"/>
        <v/>
      </c>
      <c r="Q192" s="19" t="str">
        <f t="shared" si="53"/>
        <v/>
      </c>
      <c r="R192" s="19"/>
      <c r="T192" s="37" t="str">
        <f t="shared" si="54"/>
        <v/>
      </c>
      <c r="U192" s="37" t="str">
        <f t="shared" si="63"/>
        <v/>
      </c>
      <c r="W192" s="31" t="str">
        <f t="shared" si="66"/>
        <v/>
      </c>
      <c r="X192" s="31" t="str">
        <f t="shared" si="67"/>
        <v/>
      </c>
      <c r="Y192" s="34">
        <f t="shared" si="64"/>
        <v>1</v>
      </c>
      <c r="Z192" s="31">
        <f t="shared" si="55"/>
        <v>0</v>
      </c>
      <c r="AA192" s="66">
        <f t="shared" si="56"/>
        <v>0</v>
      </c>
      <c r="AB192" s="6" t="str">
        <f t="shared" si="57"/>
        <v/>
      </c>
      <c r="AC192" s="48">
        <f t="shared" si="68"/>
        <v>0</v>
      </c>
    </row>
    <row r="193" spans="3:29" x14ac:dyDescent="0.25">
      <c r="C193" s="27" t="str">
        <f t="shared" si="58"/>
        <v/>
      </c>
      <c r="D193" s="30" t="str">
        <f t="shared" si="59"/>
        <v/>
      </c>
      <c r="E193" s="20" t="str">
        <f t="shared" si="46"/>
        <v/>
      </c>
      <c r="F193" s="20" t="str">
        <f t="shared" si="47"/>
        <v/>
      </c>
      <c r="G193" s="24" t="str">
        <f t="shared" si="60"/>
        <v/>
      </c>
      <c r="H193" s="21" t="str">
        <f t="shared" si="48"/>
        <v/>
      </c>
      <c r="I193" s="66" t="str">
        <f t="shared" si="49"/>
        <v/>
      </c>
      <c r="J193" s="66" t="str">
        <f t="shared" si="50"/>
        <v/>
      </c>
      <c r="K193" s="11" t="str">
        <f t="shared" si="51"/>
        <v/>
      </c>
      <c r="L193" s="23" t="str">
        <f t="shared" si="65"/>
        <v/>
      </c>
      <c r="M193" s="100"/>
      <c r="N193" s="23" t="str">
        <f t="shared" si="52"/>
        <v/>
      </c>
      <c r="O193" s="23" t="str">
        <f t="shared" si="61"/>
        <v/>
      </c>
      <c r="P193" s="23" t="str">
        <f t="shared" si="62"/>
        <v/>
      </c>
      <c r="Q193" s="19" t="str">
        <f t="shared" si="53"/>
        <v/>
      </c>
      <c r="R193" s="19"/>
      <c r="T193" s="37" t="str">
        <f t="shared" si="54"/>
        <v/>
      </c>
      <c r="U193" s="37" t="str">
        <f t="shared" si="63"/>
        <v/>
      </c>
      <c r="W193" s="31" t="str">
        <f t="shared" si="66"/>
        <v/>
      </c>
      <c r="X193" s="31" t="str">
        <f t="shared" si="67"/>
        <v/>
      </c>
      <c r="Y193" s="34">
        <f t="shared" si="64"/>
        <v>1</v>
      </c>
      <c r="Z193" s="31">
        <f t="shared" si="55"/>
        <v>0</v>
      </c>
      <c r="AA193" s="66">
        <f t="shared" si="56"/>
        <v>0</v>
      </c>
      <c r="AB193" s="6" t="str">
        <f t="shared" si="57"/>
        <v/>
      </c>
      <c r="AC193" s="48">
        <f t="shared" si="68"/>
        <v>0</v>
      </c>
    </row>
    <row r="194" spans="3:29" x14ac:dyDescent="0.25">
      <c r="C194" s="27" t="str">
        <f t="shared" si="58"/>
        <v/>
      </c>
      <c r="D194" s="30" t="str">
        <f t="shared" si="59"/>
        <v/>
      </c>
      <c r="E194" s="20" t="str">
        <f t="shared" si="46"/>
        <v/>
      </c>
      <c r="F194" s="20" t="str">
        <f t="shared" si="47"/>
        <v/>
      </c>
      <c r="G194" s="24" t="str">
        <f t="shared" si="60"/>
        <v/>
      </c>
      <c r="H194" s="21" t="str">
        <f t="shared" si="48"/>
        <v/>
      </c>
      <c r="I194" s="66" t="str">
        <f t="shared" si="49"/>
        <v/>
      </c>
      <c r="J194" s="66" t="str">
        <f t="shared" si="50"/>
        <v/>
      </c>
      <c r="K194" s="11" t="str">
        <f t="shared" si="51"/>
        <v/>
      </c>
      <c r="L194" s="23" t="str">
        <f t="shared" si="65"/>
        <v/>
      </c>
      <c r="M194" s="100"/>
      <c r="N194" s="23" t="str">
        <f t="shared" si="52"/>
        <v/>
      </c>
      <c r="O194" s="23" t="str">
        <f t="shared" si="61"/>
        <v/>
      </c>
      <c r="P194" s="23" t="str">
        <f t="shared" si="62"/>
        <v/>
      </c>
      <c r="Q194" s="19" t="str">
        <f t="shared" si="53"/>
        <v/>
      </c>
      <c r="R194" s="19"/>
      <c r="T194" s="37" t="str">
        <f t="shared" si="54"/>
        <v/>
      </c>
      <c r="U194" s="37" t="str">
        <f t="shared" si="63"/>
        <v/>
      </c>
      <c r="W194" s="31" t="str">
        <f t="shared" si="66"/>
        <v/>
      </c>
      <c r="X194" s="31" t="str">
        <f t="shared" si="67"/>
        <v/>
      </c>
      <c r="Y194" s="34">
        <f t="shared" si="64"/>
        <v>1</v>
      </c>
      <c r="Z194" s="31">
        <f t="shared" si="55"/>
        <v>0</v>
      </c>
      <c r="AA194" s="66">
        <f t="shared" si="56"/>
        <v>0</v>
      </c>
      <c r="AB194" s="6" t="str">
        <f t="shared" si="57"/>
        <v/>
      </c>
      <c r="AC194" s="48">
        <f t="shared" si="68"/>
        <v>0</v>
      </c>
    </row>
    <row r="195" spans="3:29" x14ac:dyDescent="0.25">
      <c r="C195" s="27" t="str">
        <f t="shared" si="58"/>
        <v/>
      </c>
      <c r="D195" s="30" t="str">
        <f t="shared" si="59"/>
        <v/>
      </c>
      <c r="E195" s="20" t="str">
        <f t="shared" si="46"/>
        <v/>
      </c>
      <c r="F195" s="20" t="str">
        <f t="shared" si="47"/>
        <v/>
      </c>
      <c r="G195" s="24" t="str">
        <f t="shared" si="60"/>
        <v/>
      </c>
      <c r="H195" s="21" t="str">
        <f t="shared" si="48"/>
        <v/>
      </c>
      <c r="I195" s="66" t="str">
        <f t="shared" si="49"/>
        <v/>
      </c>
      <c r="J195" s="66" t="str">
        <f t="shared" si="50"/>
        <v/>
      </c>
      <c r="K195" s="11" t="str">
        <f t="shared" si="51"/>
        <v/>
      </c>
      <c r="L195" s="23" t="str">
        <f t="shared" si="65"/>
        <v/>
      </c>
      <c r="M195" s="100"/>
      <c r="N195" s="23" t="str">
        <f t="shared" si="52"/>
        <v/>
      </c>
      <c r="O195" s="23" t="str">
        <f t="shared" si="61"/>
        <v/>
      </c>
      <c r="P195" s="23" t="str">
        <f t="shared" si="62"/>
        <v/>
      </c>
      <c r="Q195" s="19" t="str">
        <f t="shared" si="53"/>
        <v/>
      </c>
      <c r="R195" s="19"/>
      <c r="T195" s="37" t="str">
        <f t="shared" si="54"/>
        <v/>
      </c>
      <c r="U195" s="37" t="str">
        <f t="shared" si="63"/>
        <v/>
      </c>
      <c r="W195" s="31" t="str">
        <f t="shared" si="66"/>
        <v/>
      </c>
      <c r="X195" s="31" t="str">
        <f t="shared" si="67"/>
        <v/>
      </c>
      <c r="Y195" s="34">
        <f t="shared" si="64"/>
        <v>1</v>
      </c>
      <c r="Z195" s="31">
        <f t="shared" si="55"/>
        <v>0</v>
      </c>
      <c r="AA195" s="66">
        <f t="shared" si="56"/>
        <v>0</v>
      </c>
      <c r="AB195" s="6" t="str">
        <f t="shared" si="57"/>
        <v/>
      </c>
      <c r="AC195" s="48">
        <f t="shared" si="68"/>
        <v>0</v>
      </c>
    </row>
    <row r="196" spans="3:29" x14ac:dyDescent="0.25">
      <c r="C196" s="27" t="str">
        <f t="shared" si="58"/>
        <v/>
      </c>
      <c r="D196" s="30" t="str">
        <f t="shared" si="59"/>
        <v/>
      </c>
      <c r="E196" s="20" t="str">
        <f t="shared" si="46"/>
        <v/>
      </c>
      <c r="F196" s="20" t="str">
        <f t="shared" si="47"/>
        <v/>
      </c>
      <c r="G196" s="24" t="str">
        <f t="shared" si="60"/>
        <v/>
      </c>
      <c r="H196" s="21" t="str">
        <f t="shared" si="48"/>
        <v/>
      </c>
      <c r="I196" s="66" t="str">
        <f t="shared" si="49"/>
        <v/>
      </c>
      <c r="J196" s="66" t="str">
        <f t="shared" si="50"/>
        <v/>
      </c>
      <c r="K196" s="11" t="str">
        <f t="shared" si="51"/>
        <v/>
      </c>
      <c r="L196" s="23" t="str">
        <f t="shared" si="65"/>
        <v/>
      </c>
      <c r="M196" s="100"/>
      <c r="N196" s="23" t="str">
        <f t="shared" si="52"/>
        <v/>
      </c>
      <c r="O196" s="23" t="str">
        <f t="shared" si="61"/>
        <v/>
      </c>
      <c r="P196" s="23" t="str">
        <f t="shared" si="62"/>
        <v/>
      </c>
      <c r="Q196" s="19" t="str">
        <f t="shared" si="53"/>
        <v/>
      </c>
      <c r="R196" s="19"/>
      <c r="T196" s="37" t="str">
        <f t="shared" si="54"/>
        <v/>
      </c>
      <c r="U196" s="37" t="str">
        <f t="shared" si="63"/>
        <v/>
      </c>
      <c r="W196" s="31" t="str">
        <f t="shared" si="66"/>
        <v/>
      </c>
      <c r="X196" s="31" t="str">
        <f t="shared" si="67"/>
        <v/>
      </c>
      <c r="Y196" s="34">
        <f t="shared" si="64"/>
        <v>1</v>
      </c>
      <c r="Z196" s="31">
        <f t="shared" si="55"/>
        <v>0</v>
      </c>
      <c r="AA196" s="66">
        <f t="shared" si="56"/>
        <v>0</v>
      </c>
      <c r="AB196" s="6" t="str">
        <f t="shared" si="57"/>
        <v/>
      </c>
      <c r="AC196" s="48">
        <f t="shared" si="68"/>
        <v>0</v>
      </c>
    </row>
    <row r="197" spans="3:29" x14ac:dyDescent="0.25">
      <c r="C197" s="27" t="str">
        <f t="shared" si="58"/>
        <v/>
      </c>
      <c r="D197" s="30" t="str">
        <f t="shared" si="59"/>
        <v/>
      </c>
      <c r="E197" s="20" t="str">
        <f t="shared" si="46"/>
        <v/>
      </c>
      <c r="F197" s="20" t="str">
        <f t="shared" si="47"/>
        <v/>
      </c>
      <c r="G197" s="24" t="str">
        <f t="shared" si="60"/>
        <v/>
      </c>
      <c r="H197" s="21" t="str">
        <f t="shared" si="48"/>
        <v/>
      </c>
      <c r="I197" s="66" t="str">
        <f t="shared" si="49"/>
        <v/>
      </c>
      <c r="J197" s="66" t="str">
        <f t="shared" si="50"/>
        <v/>
      </c>
      <c r="K197" s="11" t="str">
        <f t="shared" si="51"/>
        <v/>
      </c>
      <c r="L197" s="23" t="str">
        <f t="shared" si="65"/>
        <v/>
      </c>
      <c r="M197" s="100"/>
      <c r="N197" s="23" t="str">
        <f t="shared" si="52"/>
        <v/>
      </c>
      <c r="O197" s="23" t="str">
        <f t="shared" si="61"/>
        <v/>
      </c>
      <c r="P197" s="23" t="str">
        <f t="shared" si="62"/>
        <v/>
      </c>
      <c r="Q197" s="19" t="str">
        <f t="shared" si="53"/>
        <v/>
      </c>
      <c r="R197" s="19"/>
      <c r="T197" s="37" t="str">
        <f t="shared" si="54"/>
        <v/>
      </c>
      <c r="U197" s="37" t="str">
        <f t="shared" si="63"/>
        <v/>
      </c>
      <c r="W197" s="31" t="str">
        <f t="shared" si="66"/>
        <v/>
      </c>
      <c r="X197" s="31" t="str">
        <f t="shared" si="67"/>
        <v/>
      </c>
      <c r="Y197" s="34">
        <f t="shared" si="64"/>
        <v>1</v>
      </c>
      <c r="Z197" s="31">
        <f t="shared" si="55"/>
        <v>0</v>
      </c>
      <c r="AA197" s="66">
        <f t="shared" si="56"/>
        <v>0</v>
      </c>
      <c r="AB197" s="6" t="str">
        <f t="shared" si="57"/>
        <v/>
      </c>
      <c r="AC197" s="48">
        <f t="shared" si="68"/>
        <v>0</v>
      </c>
    </row>
    <row r="198" spans="3:29" x14ac:dyDescent="0.25">
      <c r="C198" s="27" t="str">
        <f t="shared" si="58"/>
        <v/>
      </c>
      <c r="D198" s="30" t="str">
        <f t="shared" si="59"/>
        <v/>
      </c>
      <c r="E198" s="20" t="str">
        <f t="shared" si="46"/>
        <v/>
      </c>
      <c r="F198" s="20" t="str">
        <f t="shared" si="47"/>
        <v/>
      </c>
      <c r="G198" s="24" t="str">
        <f t="shared" si="60"/>
        <v/>
      </c>
      <c r="H198" s="21" t="str">
        <f t="shared" si="48"/>
        <v/>
      </c>
      <c r="I198" s="66" t="str">
        <f t="shared" si="49"/>
        <v/>
      </c>
      <c r="J198" s="66" t="str">
        <f t="shared" si="50"/>
        <v/>
      </c>
      <c r="K198" s="11" t="str">
        <f t="shared" si="51"/>
        <v/>
      </c>
      <c r="L198" s="23" t="str">
        <f t="shared" si="65"/>
        <v/>
      </c>
      <c r="M198" s="100"/>
      <c r="N198" s="23" t="str">
        <f t="shared" si="52"/>
        <v/>
      </c>
      <c r="O198" s="23" t="str">
        <f t="shared" si="61"/>
        <v/>
      </c>
      <c r="P198" s="23" t="str">
        <f t="shared" si="62"/>
        <v/>
      </c>
      <c r="Q198" s="19" t="str">
        <f t="shared" si="53"/>
        <v/>
      </c>
      <c r="R198" s="19"/>
      <c r="T198" s="37" t="str">
        <f t="shared" si="54"/>
        <v/>
      </c>
      <c r="U198" s="37" t="str">
        <f t="shared" si="63"/>
        <v/>
      </c>
      <c r="W198" s="31" t="str">
        <f t="shared" si="66"/>
        <v/>
      </c>
      <c r="X198" s="31" t="str">
        <f t="shared" si="67"/>
        <v/>
      </c>
      <c r="Y198" s="34">
        <f t="shared" si="64"/>
        <v>1</v>
      </c>
      <c r="Z198" s="31">
        <f t="shared" si="55"/>
        <v>0</v>
      </c>
      <c r="AA198" s="66">
        <f t="shared" si="56"/>
        <v>0</v>
      </c>
      <c r="AB198" s="6" t="str">
        <f t="shared" si="57"/>
        <v/>
      </c>
      <c r="AC198" s="48">
        <f t="shared" si="68"/>
        <v>0</v>
      </c>
    </row>
    <row r="199" spans="3:29" x14ac:dyDescent="0.25">
      <c r="C199" s="27" t="str">
        <f t="shared" si="58"/>
        <v/>
      </c>
      <c r="D199" s="30" t="str">
        <f t="shared" si="59"/>
        <v/>
      </c>
      <c r="E199" s="20" t="str">
        <f t="shared" si="46"/>
        <v/>
      </c>
      <c r="F199" s="20" t="str">
        <f t="shared" si="47"/>
        <v/>
      </c>
      <c r="G199" s="24" t="str">
        <f t="shared" si="60"/>
        <v/>
      </c>
      <c r="H199" s="21" t="str">
        <f t="shared" si="48"/>
        <v/>
      </c>
      <c r="I199" s="66" t="str">
        <f t="shared" si="49"/>
        <v/>
      </c>
      <c r="J199" s="66" t="str">
        <f t="shared" si="50"/>
        <v/>
      </c>
      <c r="K199" s="11" t="str">
        <f t="shared" si="51"/>
        <v/>
      </c>
      <c r="L199" s="23" t="str">
        <f t="shared" si="65"/>
        <v/>
      </c>
      <c r="M199" s="100"/>
      <c r="N199" s="23" t="str">
        <f t="shared" si="52"/>
        <v/>
      </c>
      <c r="O199" s="23" t="str">
        <f t="shared" si="61"/>
        <v/>
      </c>
      <c r="P199" s="23" t="str">
        <f t="shared" si="62"/>
        <v/>
      </c>
      <c r="Q199" s="19" t="str">
        <f t="shared" si="53"/>
        <v/>
      </c>
      <c r="R199" s="19"/>
      <c r="T199" s="37" t="str">
        <f t="shared" si="54"/>
        <v/>
      </c>
      <c r="U199" s="37" t="str">
        <f t="shared" si="63"/>
        <v/>
      </c>
      <c r="W199" s="31" t="str">
        <f t="shared" si="66"/>
        <v/>
      </c>
      <c r="X199" s="31" t="str">
        <f t="shared" si="67"/>
        <v/>
      </c>
      <c r="Y199" s="34">
        <f t="shared" si="64"/>
        <v>1</v>
      </c>
      <c r="Z199" s="31">
        <f t="shared" si="55"/>
        <v>0</v>
      </c>
      <c r="AA199" s="66">
        <f t="shared" si="56"/>
        <v>0</v>
      </c>
      <c r="AB199" s="6" t="str">
        <f t="shared" si="57"/>
        <v/>
      </c>
      <c r="AC199" s="48">
        <f t="shared" si="68"/>
        <v>0</v>
      </c>
    </row>
    <row r="200" spans="3:29" x14ac:dyDescent="0.25">
      <c r="C200" s="27" t="str">
        <f t="shared" si="58"/>
        <v/>
      </c>
      <c r="D200" s="30" t="str">
        <f t="shared" si="59"/>
        <v/>
      </c>
      <c r="E200" s="20" t="str">
        <f t="shared" si="46"/>
        <v/>
      </c>
      <c r="F200" s="20" t="str">
        <f t="shared" si="47"/>
        <v/>
      </c>
      <c r="G200" s="24" t="str">
        <f t="shared" si="60"/>
        <v/>
      </c>
      <c r="H200" s="21" t="str">
        <f t="shared" si="48"/>
        <v/>
      </c>
      <c r="I200" s="66" t="str">
        <f t="shared" si="49"/>
        <v/>
      </c>
      <c r="J200" s="66" t="str">
        <f t="shared" si="50"/>
        <v/>
      </c>
      <c r="K200" s="11" t="str">
        <f t="shared" si="51"/>
        <v/>
      </c>
      <c r="L200" s="23" t="str">
        <f t="shared" si="65"/>
        <v/>
      </c>
      <c r="M200" s="100"/>
      <c r="N200" s="23" t="str">
        <f t="shared" si="52"/>
        <v/>
      </c>
      <c r="O200" s="23" t="str">
        <f t="shared" si="61"/>
        <v/>
      </c>
      <c r="P200" s="23" t="str">
        <f t="shared" si="62"/>
        <v/>
      </c>
      <c r="Q200" s="19" t="str">
        <f t="shared" si="53"/>
        <v/>
      </c>
      <c r="R200" s="19"/>
      <c r="T200" s="37" t="str">
        <f t="shared" si="54"/>
        <v/>
      </c>
      <c r="U200" s="37" t="str">
        <f t="shared" si="63"/>
        <v/>
      </c>
      <c r="W200" s="31" t="str">
        <f t="shared" si="66"/>
        <v/>
      </c>
      <c r="X200" s="31" t="str">
        <f t="shared" si="67"/>
        <v/>
      </c>
      <c r="Y200" s="34">
        <f t="shared" si="64"/>
        <v>1</v>
      </c>
      <c r="Z200" s="31">
        <f t="shared" si="55"/>
        <v>0</v>
      </c>
      <c r="AA200" s="66">
        <f t="shared" si="56"/>
        <v>0</v>
      </c>
      <c r="AB200" s="6" t="str">
        <f t="shared" si="57"/>
        <v/>
      </c>
      <c r="AC200" s="48">
        <f t="shared" si="68"/>
        <v>0</v>
      </c>
    </row>
    <row r="201" spans="3:29" x14ac:dyDescent="0.25">
      <c r="C201" s="27"/>
      <c r="D201" s="30"/>
      <c r="E201" s="20"/>
      <c r="F201" s="20"/>
      <c r="G201" s="24"/>
      <c r="H201" s="21"/>
      <c r="J201" s="66"/>
      <c r="K201" s="11"/>
      <c r="L201" s="23"/>
      <c r="M201" s="17"/>
      <c r="N201" s="23"/>
      <c r="O201" s="23"/>
      <c r="P201" s="23"/>
      <c r="Q201" s="19"/>
      <c r="R201" s="19"/>
      <c r="T201" s="37"/>
      <c r="U201" s="37"/>
      <c r="W201" s="31"/>
      <c r="X201" s="31"/>
      <c r="Y201" s="34"/>
      <c r="Z201" s="31"/>
      <c r="AA201" s="66"/>
      <c r="AC201" s="48"/>
    </row>
    <row r="202" spans="3:29" x14ac:dyDescent="0.25">
      <c r="C202" s="197"/>
      <c r="D202" s="197"/>
      <c r="E202" s="196" t="e">
        <f t="shared" ref="E202:K202" si="69">SUM(E21:E201)</f>
        <v>#N/A</v>
      </c>
      <c r="F202" s="196" t="e">
        <f t="shared" si="69"/>
        <v>#N/A</v>
      </c>
      <c r="G202" s="196" t="e">
        <f t="shared" si="69"/>
        <v>#N/A</v>
      </c>
      <c r="H202" s="196" t="e">
        <f t="shared" si="69"/>
        <v>#N/A</v>
      </c>
      <c r="I202" s="196" t="e">
        <f t="shared" si="69"/>
        <v>#N/A</v>
      </c>
      <c r="J202" s="196">
        <f t="shared" si="69"/>
        <v>0</v>
      </c>
      <c r="K202" s="26">
        <f t="shared" si="69"/>
        <v>0</v>
      </c>
      <c r="L202" s="196"/>
      <c r="M202" s="196">
        <f>SUM(M21:M201)</f>
        <v>0</v>
      </c>
      <c r="N202" s="196">
        <f>SUM(N21:N201)</f>
        <v>0</v>
      </c>
      <c r="O202" s="196" t="e">
        <f>SUM(O21:O201)</f>
        <v>#N/A</v>
      </c>
      <c r="P202" s="196" t="e">
        <f>SUM(P21:P201)</f>
        <v>#N/A</v>
      </c>
      <c r="Q202" s="197"/>
      <c r="R202" s="89"/>
      <c r="T202" s="29">
        <f>SUM(T21:T201)</f>
        <v>1</v>
      </c>
      <c r="U202" s="90"/>
    </row>
    <row r="203" spans="3:29" x14ac:dyDescent="0.25">
      <c r="J203" s="6"/>
      <c r="K203" s="6"/>
    </row>
    <row r="204" spans="3:29" x14ac:dyDescent="0.25">
      <c r="J204" s="6"/>
      <c r="K204" s="6"/>
    </row>
    <row r="205" spans="3:29" x14ac:dyDescent="0.25">
      <c r="J205" s="6"/>
      <c r="K205" s="6"/>
    </row>
    <row r="206" spans="3:29" x14ac:dyDescent="0.25">
      <c r="J206" s="6"/>
      <c r="K206" s="6"/>
      <c r="R206" s="41"/>
    </row>
    <row r="207" spans="3:29" x14ac:dyDescent="0.25">
      <c r="G207" s="41"/>
      <c r="J207" s="6"/>
      <c r="K207" s="6"/>
    </row>
    <row r="208" spans="3:29" x14ac:dyDescent="0.25">
      <c r="J208" s="6"/>
      <c r="K208" s="6"/>
      <c r="R208" s="41"/>
    </row>
    <row r="209" spans="10:11" x14ac:dyDescent="0.25">
      <c r="J209" s="6"/>
      <c r="K209" s="6"/>
    </row>
    <row r="210" spans="10:11" x14ac:dyDescent="0.25">
      <c r="J210" s="6"/>
      <c r="K210" s="6"/>
    </row>
    <row r="211" spans="10:11" x14ac:dyDescent="0.25">
      <c r="J211" s="6"/>
      <c r="K211" s="6"/>
    </row>
    <row r="212" spans="10:11" x14ac:dyDescent="0.25">
      <c r="J212" s="6"/>
      <c r="K212" s="6"/>
    </row>
    <row r="213" spans="10:11" x14ac:dyDescent="0.25">
      <c r="J213" s="6"/>
      <c r="K213" s="6"/>
    </row>
    <row r="214" spans="10:11" x14ac:dyDescent="0.25">
      <c r="J214" s="6"/>
      <c r="K214" s="6"/>
    </row>
    <row r="215" spans="10:11" x14ac:dyDescent="0.25">
      <c r="J215" s="6"/>
      <c r="K215" s="6"/>
    </row>
    <row r="216" spans="10:11" x14ac:dyDescent="0.25">
      <c r="J216" s="6"/>
      <c r="K216" s="6"/>
    </row>
    <row r="217" spans="10:11" x14ac:dyDescent="0.25">
      <c r="J217" s="6"/>
      <c r="K217" s="6"/>
    </row>
    <row r="218" spans="10:11" x14ac:dyDescent="0.25">
      <c r="J218" s="6"/>
      <c r="K218" s="6"/>
    </row>
    <row r="219" spans="10:11" x14ac:dyDescent="0.25">
      <c r="J219" s="6"/>
      <c r="K219" s="6"/>
    </row>
    <row r="220" spans="10:11" x14ac:dyDescent="0.25">
      <c r="J220" s="6"/>
      <c r="K220" s="6"/>
    </row>
    <row r="221" spans="10:11" x14ac:dyDescent="0.25">
      <c r="J221" s="6"/>
      <c r="K221" s="6"/>
    </row>
    <row r="222" spans="10:11" x14ac:dyDescent="0.25">
      <c r="J222" s="6"/>
      <c r="K222" s="6"/>
    </row>
    <row r="223" spans="10:11" x14ac:dyDescent="0.25">
      <c r="J223" s="6"/>
      <c r="K223" s="6"/>
    </row>
    <row r="224" spans="10:11" x14ac:dyDescent="0.25">
      <c r="J224" s="6"/>
      <c r="K224" s="6"/>
    </row>
    <row r="225" spans="10:11" x14ac:dyDescent="0.25">
      <c r="J225" s="6"/>
      <c r="K225" s="6"/>
    </row>
    <row r="226" spans="10:11" x14ac:dyDescent="0.25">
      <c r="J226" s="6"/>
      <c r="K226" s="6"/>
    </row>
    <row r="227" spans="10:11" x14ac:dyDescent="0.25">
      <c r="J227" s="6"/>
      <c r="K227" s="6"/>
    </row>
    <row r="228" spans="10:11" x14ac:dyDescent="0.25">
      <c r="J228" s="6"/>
      <c r="K228" s="6"/>
    </row>
    <row r="229" spans="10:11" x14ac:dyDescent="0.25">
      <c r="J229" s="6"/>
      <c r="K229" s="6"/>
    </row>
    <row r="230" spans="10:11" x14ac:dyDescent="0.25">
      <c r="J230" s="6"/>
      <c r="K230" s="6"/>
    </row>
    <row r="231" spans="10:11" x14ac:dyDescent="0.25">
      <c r="J231" s="6"/>
      <c r="K231" s="6"/>
    </row>
    <row r="232" spans="10:11" x14ac:dyDescent="0.25">
      <c r="J232" s="6"/>
      <c r="K232" s="6"/>
    </row>
    <row r="233" spans="10:11" x14ac:dyDescent="0.25">
      <c r="J233" s="6"/>
      <c r="K233" s="6"/>
    </row>
    <row r="234" spans="10:11" x14ac:dyDescent="0.25">
      <c r="J234" s="6"/>
      <c r="K234" s="6"/>
    </row>
    <row r="235" spans="10:11" x14ac:dyDescent="0.25">
      <c r="J235" s="6"/>
      <c r="K235" s="6"/>
    </row>
    <row r="236" spans="10:11" x14ac:dyDescent="0.25">
      <c r="J236" s="6"/>
      <c r="K236" s="6"/>
    </row>
    <row r="237" spans="10:11" x14ac:dyDescent="0.25">
      <c r="J237" s="6"/>
      <c r="K237" s="6"/>
    </row>
    <row r="238" spans="10:11" x14ac:dyDescent="0.25">
      <c r="J238" s="6"/>
      <c r="K238" s="6"/>
    </row>
    <row r="239" spans="10:11" x14ac:dyDescent="0.25">
      <c r="J239" s="6"/>
      <c r="K239" s="6"/>
    </row>
    <row r="240" spans="10:11" x14ac:dyDescent="0.25">
      <c r="J240" s="6"/>
      <c r="K240" s="6"/>
    </row>
    <row r="241" spans="10:11" x14ac:dyDescent="0.25">
      <c r="J241" s="6"/>
      <c r="K241" s="6"/>
    </row>
    <row r="242" spans="10:11" x14ac:dyDescent="0.25">
      <c r="J242" s="6"/>
      <c r="K242" s="6"/>
    </row>
    <row r="243" spans="10:11" x14ac:dyDescent="0.25">
      <c r="J243" s="6"/>
      <c r="K243" s="6"/>
    </row>
    <row r="244" spans="10:11" x14ac:dyDescent="0.25">
      <c r="J244" s="6"/>
      <c r="K244" s="6"/>
    </row>
    <row r="245" spans="10:11" x14ac:dyDescent="0.25">
      <c r="J245" s="6"/>
      <c r="K245" s="6"/>
    </row>
    <row r="246" spans="10:11" x14ac:dyDescent="0.25">
      <c r="J246" s="6"/>
      <c r="K246" s="6"/>
    </row>
    <row r="247" spans="10:11" x14ac:dyDescent="0.25">
      <c r="J247" s="6"/>
      <c r="K247" s="6"/>
    </row>
    <row r="248" spans="10:11" x14ac:dyDescent="0.25">
      <c r="J248" s="6"/>
      <c r="K248" s="6"/>
    </row>
    <row r="249" spans="10:11" x14ac:dyDescent="0.25">
      <c r="J249" s="6"/>
      <c r="K249" s="6"/>
    </row>
    <row r="250" spans="10:11" x14ac:dyDescent="0.25">
      <c r="J250" s="6"/>
      <c r="K250" s="6"/>
    </row>
    <row r="251" spans="10:11" x14ac:dyDescent="0.25">
      <c r="J251" s="6"/>
      <c r="K251" s="6"/>
    </row>
    <row r="252" spans="10:11" x14ac:dyDescent="0.25">
      <c r="J252" s="6"/>
      <c r="K252" s="6"/>
    </row>
    <row r="253" spans="10:11" x14ac:dyDescent="0.25">
      <c r="J253" s="6"/>
      <c r="K253" s="6"/>
    </row>
    <row r="254" spans="10:11" x14ac:dyDescent="0.25">
      <c r="J254" s="6"/>
      <c r="K254" s="6"/>
    </row>
    <row r="255" spans="10:11" x14ac:dyDescent="0.25">
      <c r="J255" s="6"/>
      <c r="K255" s="6"/>
    </row>
    <row r="256" spans="10:11" x14ac:dyDescent="0.25">
      <c r="J256" s="6"/>
      <c r="K256" s="6"/>
    </row>
    <row r="257" spans="10:11" x14ac:dyDescent="0.25">
      <c r="J257" s="6"/>
      <c r="K257" s="6"/>
    </row>
    <row r="258" spans="10:11" x14ac:dyDescent="0.25">
      <c r="J258" s="6"/>
      <c r="K258" s="6"/>
    </row>
    <row r="259" spans="10:11" x14ac:dyDescent="0.25">
      <c r="J259" s="6"/>
      <c r="K259" s="6"/>
    </row>
    <row r="260" spans="10:11" x14ac:dyDescent="0.25">
      <c r="J260" s="6"/>
      <c r="K260" s="6"/>
    </row>
    <row r="261" spans="10:11" x14ac:dyDescent="0.25">
      <c r="J261" s="6"/>
      <c r="K261" s="6"/>
    </row>
    <row r="262" spans="10:11" x14ac:dyDescent="0.25">
      <c r="J262" s="6"/>
      <c r="K262" s="6"/>
    </row>
    <row r="263" spans="10:11" x14ac:dyDescent="0.25">
      <c r="J263" s="6"/>
      <c r="K263" s="6"/>
    </row>
    <row r="264" spans="10:11" x14ac:dyDescent="0.25">
      <c r="J264" s="6"/>
      <c r="K264" s="6"/>
    </row>
    <row r="265" spans="10:11" x14ac:dyDescent="0.25">
      <c r="J265" s="6"/>
      <c r="K265" s="6"/>
    </row>
    <row r="266" spans="10:11" x14ac:dyDescent="0.25">
      <c r="J266" s="6"/>
      <c r="K266" s="6"/>
    </row>
    <row r="267" spans="10:11" x14ac:dyDescent="0.25">
      <c r="J267" s="6"/>
      <c r="K267" s="6"/>
    </row>
    <row r="268" spans="10:11" x14ac:dyDescent="0.25">
      <c r="J268" s="6"/>
      <c r="K268" s="6"/>
    </row>
    <row r="269" spans="10:11" x14ac:dyDescent="0.25">
      <c r="J269" s="6"/>
      <c r="K269" s="6"/>
    </row>
    <row r="270" spans="10:11" x14ac:dyDescent="0.25">
      <c r="J270" s="6"/>
      <c r="K270" s="6"/>
    </row>
    <row r="271" spans="10:11" x14ac:dyDescent="0.25">
      <c r="J271" s="6"/>
      <c r="K271" s="6"/>
    </row>
    <row r="272" spans="10:11" x14ac:dyDescent="0.25">
      <c r="J272" s="6"/>
      <c r="K272" s="6"/>
    </row>
    <row r="273" spans="10:11" x14ac:dyDescent="0.25">
      <c r="J273" s="6"/>
      <c r="K273" s="6"/>
    </row>
    <row r="274" spans="10:11" x14ac:dyDescent="0.25">
      <c r="J274" s="6"/>
      <c r="K274" s="6"/>
    </row>
    <row r="275" spans="10:11" x14ac:dyDescent="0.25">
      <c r="J275" s="6"/>
      <c r="K275" s="6"/>
    </row>
    <row r="276" spans="10:11" x14ac:dyDescent="0.25">
      <c r="J276" s="6"/>
      <c r="K276" s="6"/>
    </row>
    <row r="277" spans="10:11" x14ac:dyDescent="0.25">
      <c r="J277" s="6"/>
      <c r="K277" s="6"/>
    </row>
    <row r="278" spans="10:11" x14ac:dyDescent="0.25">
      <c r="J278" s="6"/>
      <c r="K278" s="6"/>
    </row>
    <row r="279" spans="10:11" x14ac:dyDescent="0.25">
      <c r="J279" s="6"/>
      <c r="K279" s="6"/>
    </row>
    <row r="280" spans="10:11" x14ac:dyDescent="0.25">
      <c r="J280" s="6"/>
      <c r="K280" s="6"/>
    </row>
    <row r="281" spans="10:11" x14ac:dyDescent="0.25">
      <c r="J281" s="6"/>
      <c r="K281" s="6"/>
    </row>
    <row r="282" spans="10:11" x14ac:dyDescent="0.25">
      <c r="J282" s="6"/>
      <c r="K282" s="6"/>
    </row>
    <row r="283" spans="10:11" x14ac:dyDescent="0.25">
      <c r="J283" s="6"/>
      <c r="K283" s="6"/>
    </row>
    <row r="284" spans="10:11" x14ac:dyDescent="0.25">
      <c r="J284" s="6"/>
      <c r="K284" s="6"/>
    </row>
    <row r="285" spans="10:11" x14ac:dyDescent="0.25">
      <c r="J285" s="6"/>
      <c r="K285" s="6"/>
    </row>
    <row r="286" spans="10:11" x14ac:dyDescent="0.25">
      <c r="J286" s="6"/>
      <c r="K286" s="6"/>
    </row>
    <row r="287" spans="10:11" x14ac:dyDescent="0.25">
      <c r="J287" s="6"/>
      <c r="K287" s="6"/>
    </row>
    <row r="288" spans="10:11" x14ac:dyDescent="0.25">
      <c r="J288" s="6"/>
      <c r="K288" s="6"/>
    </row>
    <row r="289" spans="10:11" x14ac:dyDescent="0.25">
      <c r="J289" s="6"/>
      <c r="K289" s="6"/>
    </row>
    <row r="290" spans="10:11" x14ac:dyDescent="0.25">
      <c r="J290" s="6"/>
      <c r="K290" s="6"/>
    </row>
    <row r="291" spans="10:11" x14ac:dyDescent="0.25">
      <c r="J291" s="6"/>
      <c r="K291" s="6"/>
    </row>
    <row r="292" spans="10:11" x14ac:dyDescent="0.25">
      <c r="J292" s="6"/>
      <c r="K292" s="6"/>
    </row>
    <row r="293" spans="10:11" x14ac:dyDescent="0.25">
      <c r="J293" s="6"/>
      <c r="K293" s="6"/>
    </row>
    <row r="294" spans="10:11" x14ac:dyDescent="0.25">
      <c r="J294" s="6"/>
      <c r="K294" s="6"/>
    </row>
    <row r="295" spans="10:11" x14ac:dyDescent="0.25">
      <c r="J295" s="6"/>
      <c r="K295" s="6"/>
    </row>
    <row r="296" spans="10:11" x14ac:dyDescent="0.25">
      <c r="J296" s="6"/>
      <c r="K296" s="6"/>
    </row>
    <row r="297" spans="10:11" x14ac:dyDescent="0.25">
      <c r="J297" s="6"/>
      <c r="K297" s="6"/>
    </row>
    <row r="298" spans="10:11" x14ac:dyDescent="0.25">
      <c r="J298" s="6"/>
      <c r="K298" s="6"/>
    </row>
    <row r="299" spans="10:11" x14ac:dyDescent="0.25">
      <c r="J299" s="6"/>
      <c r="K299" s="6"/>
    </row>
    <row r="300" spans="10:11" x14ac:dyDescent="0.25">
      <c r="J300" s="6"/>
      <c r="K300" s="6"/>
    </row>
    <row r="301" spans="10:11" x14ac:dyDescent="0.25">
      <c r="J301" s="6"/>
      <c r="K301" s="6"/>
    </row>
    <row r="302" spans="10:11" x14ac:dyDescent="0.25">
      <c r="J302" s="6"/>
      <c r="K302" s="6"/>
    </row>
    <row r="303" spans="10:11" x14ac:dyDescent="0.25">
      <c r="J303" s="6"/>
      <c r="K303" s="6"/>
    </row>
    <row r="304" spans="10:11" x14ac:dyDescent="0.25">
      <c r="J304" s="6"/>
      <c r="K304" s="6"/>
    </row>
    <row r="305" spans="10:11" x14ac:dyDescent="0.25">
      <c r="J305" s="6"/>
      <c r="K305" s="6"/>
    </row>
    <row r="306" spans="10:11" x14ac:dyDescent="0.25">
      <c r="J306" s="6"/>
      <c r="K306" s="6"/>
    </row>
    <row r="307" spans="10:11" x14ac:dyDescent="0.25">
      <c r="J307" s="6"/>
      <c r="K307" s="6"/>
    </row>
    <row r="308" spans="10:11" x14ac:dyDescent="0.25">
      <c r="J308" s="6"/>
      <c r="K308" s="6"/>
    </row>
    <row r="309" spans="10:11" x14ac:dyDescent="0.25">
      <c r="J309" s="6"/>
      <c r="K309" s="6"/>
    </row>
    <row r="310" spans="10:11" x14ac:dyDescent="0.25">
      <c r="J310" s="6"/>
      <c r="K310" s="6"/>
    </row>
    <row r="311" spans="10:11" x14ac:dyDescent="0.25">
      <c r="J311" s="6"/>
      <c r="K311" s="6"/>
    </row>
    <row r="312" spans="10:11" x14ac:dyDescent="0.25">
      <c r="J312" s="6"/>
      <c r="K312" s="6"/>
    </row>
    <row r="313" spans="10:11" x14ac:dyDescent="0.25">
      <c r="J313" s="6"/>
      <c r="K313" s="6"/>
    </row>
    <row r="314" spans="10:11" x14ac:dyDescent="0.25">
      <c r="J314" s="6"/>
      <c r="K314" s="6"/>
    </row>
    <row r="315" spans="10:11" x14ac:dyDescent="0.25">
      <c r="J315" s="6"/>
      <c r="K315" s="6"/>
    </row>
    <row r="316" spans="10:11" x14ac:dyDescent="0.25">
      <c r="J316" s="6"/>
      <c r="K316" s="6"/>
    </row>
    <row r="317" spans="10:11" x14ac:dyDescent="0.25">
      <c r="J317" s="6"/>
      <c r="K317" s="6"/>
    </row>
    <row r="318" spans="10:11" x14ac:dyDescent="0.25">
      <c r="J318" s="6"/>
      <c r="K318" s="6"/>
    </row>
    <row r="319" spans="10:11" x14ac:dyDescent="0.25">
      <c r="J319" s="6"/>
      <c r="K319" s="6"/>
    </row>
    <row r="320" spans="10:11" x14ac:dyDescent="0.25">
      <c r="J320" s="6"/>
      <c r="K320" s="6"/>
    </row>
    <row r="321" spans="10:11" x14ac:dyDescent="0.25">
      <c r="J321" s="6"/>
      <c r="K321" s="6"/>
    </row>
    <row r="322" spans="10:11" x14ac:dyDescent="0.25">
      <c r="J322" s="6"/>
      <c r="K322" s="6"/>
    </row>
    <row r="323" spans="10:11" x14ac:dyDescent="0.25">
      <c r="J323" s="6"/>
      <c r="K323" s="6"/>
    </row>
    <row r="324" spans="10:11" x14ac:dyDescent="0.25">
      <c r="J324" s="6"/>
      <c r="K324" s="6"/>
    </row>
    <row r="325" spans="10:11" x14ac:dyDescent="0.25">
      <c r="J325" s="6"/>
      <c r="K325" s="6"/>
    </row>
    <row r="326" spans="10:11" x14ac:dyDescent="0.25">
      <c r="J326" s="6"/>
      <c r="K326" s="6"/>
    </row>
    <row r="327" spans="10:11" x14ac:dyDescent="0.25">
      <c r="J327" s="6"/>
      <c r="K327" s="6"/>
    </row>
    <row r="328" spans="10:11" x14ac:dyDescent="0.25">
      <c r="J328" s="6"/>
      <c r="K328" s="6"/>
    </row>
    <row r="329" spans="10:11" x14ac:dyDescent="0.25">
      <c r="J329" s="6"/>
      <c r="K329" s="6"/>
    </row>
    <row r="330" spans="10:11" x14ac:dyDescent="0.25">
      <c r="J330" s="6"/>
      <c r="K330" s="6"/>
    </row>
    <row r="331" spans="10:11" x14ac:dyDescent="0.25">
      <c r="J331" s="6"/>
      <c r="K331" s="6"/>
    </row>
    <row r="332" spans="10:11" x14ac:dyDescent="0.25">
      <c r="J332" s="6"/>
      <c r="K332" s="6"/>
    </row>
    <row r="333" spans="10:11" x14ac:dyDescent="0.25">
      <c r="J333" s="6"/>
      <c r="K333" s="6"/>
    </row>
    <row r="334" spans="10:11" x14ac:dyDescent="0.25">
      <c r="J334" s="6"/>
      <c r="K334" s="6"/>
    </row>
    <row r="335" spans="10:11" x14ac:dyDescent="0.25">
      <c r="J335" s="6"/>
      <c r="K335" s="6"/>
    </row>
    <row r="336" spans="10:11" x14ac:dyDescent="0.25">
      <c r="J336" s="6"/>
      <c r="K336" s="6"/>
    </row>
    <row r="337" spans="10:11" x14ac:dyDescent="0.25">
      <c r="J337" s="6"/>
      <c r="K337" s="6"/>
    </row>
    <row r="338" spans="10:11" x14ac:dyDescent="0.25">
      <c r="J338" s="6"/>
      <c r="K338" s="6"/>
    </row>
    <row r="339" spans="10:11" x14ac:dyDescent="0.25">
      <c r="J339" s="6"/>
      <c r="K339" s="6"/>
    </row>
    <row r="340" spans="10:11" x14ac:dyDescent="0.25">
      <c r="J340" s="6"/>
      <c r="K340" s="6"/>
    </row>
    <row r="341" spans="10:11" x14ac:dyDescent="0.25">
      <c r="J341" s="6"/>
      <c r="K341" s="6"/>
    </row>
    <row r="342" spans="10:11" x14ac:dyDescent="0.25">
      <c r="J342" s="6"/>
      <c r="K342" s="6"/>
    </row>
    <row r="343" spans="10:11" x14ac:dyDescent="0.25">
      <c r="J343" s="6"/>
      <c r="K343" s="6"/>
    </row>
    <row r="344" spans="10:11" x14ac:dyDescent="0.25">
      <c r="J344" s="6"/>
      <c r="K344" s="6"/>
    </row>
    <row r="345" spans="10:11" x14ac:dyDescent="0.25">
      <c r="J345" s="6"/>
      <c r="K345" s="6"/>
    </row>
    <row r="346" spans="10:11" x14ac:dyDescent="0.25">
      <c r="J346" s="6"/>
      <c r="K346" s="6"/>
    </row>
    <row r="347" spans="10:11" x14ac:dyDescent="0.25">
      <c r="J347" s="6"/>
      <c r="K347" s="6"/>
    </row>
  </sheetData>
  <sheetProtection algorithmName="SHA-512" hashValue="nzRur3AD+FsRdtMVTImBz0Iyd86ZG8UXHcpOnL72m7dFh2bFmqyp7rJp34UVXSU5zz64+aGm+ObAUV7/tBx+5A==" saltValue="Okvxrhb5h9HX4iMYSMNZEw==" spinCount="100000" sheet="1" formatColumns="0"/>
  <mergeCells count="1">
    <mergeCell ref="I3:L3"/>
  </mergeCells>
  <conditionalFormatting sqref="Y21:Y201">
    <cfRule type="expression" dxfId="74" priority="11">
      <formula>OR($U$16&lt;&gt;$U$18,$E$11&lt;&gt;$U$11)</formula>
    </cfRule>
  </conditionalFormatting>
  <conditionalFormatting sqref="L17">
    <cfRule type="expression" dxfId="73" priority="10">
      <formula>$E$14="Pago Bajo Puntual"</formula>
    </cfRule>
  </conditionalFormatting>
  <conditionalFormatting sqref="M17">
    <cfRule type="expression" dxfId="72" priority="9">
      <formula>$E$14="Pago Bajo Puntual"</formula>
    </cfRule>
  </conditionalFormatting>
  <conditionalFormatting sqref="H202">
    <cfRule type="expression" dxfId="71" priority="6">
      <formula>$H$202=0</formula>
    </cfRule>
  </conditionalFormatting>
  <conditionalFormatting sqref="I202">
    <cfRule type="expression" dxfId="70" priority="5">
      <formula>$I$202=0</formula>
    </cfRule>
  </conditionalFormatting>
  <conditionalFormatting sqref="M202">
    <cfRule type="expression" dxfId="69" priority="4">
      <formula>$M$202=0</formula>
    </cfRule>
  </conditionalFormatting>
  <conditionalFormatting sqref="N202">
    <cfRule type="expression" dxfId="68" priority="3">
      <formula>$N$202=0</formula>
    </cfRule>
  </conditionalFormatting>
  <conditionalFormatting sqref="O202">
    <cfRule type="expression" dxfId="67" priority="2">
      <formula>$O$202=0</formula>
    </cfRule>
  </conditionalFormatting>
  <conditionalFormatting sqref="P202">
    <cfRule type="expression" dxfId="66" priority="1">
      <formula>$P$202=0</formula>
    </cfRule>
  </conditionalFormatting>
  <dataValidations disablePrompts="1" count="4">
    <dataValidation type="whole" allowBlank="1" showInputMessage="1" showErrorMessage="1" errorTitle="Monto Mayor al Permitido" error="El monto de la línea redisponible no puede ser mayor a $1,000,000 de pesos" promptTitle="Monto Solicitado de Liquidez" prompt="Ingresa el monto solicitado por el cliente del crédito de Liquidez de la línea Redisponible, recuerda que no puede ser mayor a la línea autorizada por Riesgos " sqref="J9" xr:uid="{00000000-0002-0000-0800-000000000000}">
      <formula1>0</formula1>
      <formula2>1000000</formula2>
    </dataValidation>
    <dataValidation type="list" allowBlank="1" showInputMessage="1" showErrorMessage="1" sqref="E16" xr:uid="{00000000-0002-0000-0800-000002000000}">
      <formula1>"Mensualidad,Plazo"</formula1>
    </dataValidation>
    <dataValidation type="list" allowBlank="1" showInputMessage="1" showErrorMessage="1" sqref="D17" xr:uid="{00000000-0002-0000-0800-000003000000}">
      <formula1>"SI,NO"</formula1>
    </dataValidation>
    <dataValidation type="list" allowBlank="1" showInputMessage="1" showErrorMessage="1" sqref="E17" xr:uid="{00000000-0002-0000-0800-000004000000}">
      <formula1>"No Aplica,1 mes,2 meses,3 meses"</formula1>
    </dataValidation>
  </dataValidations>
  <printOptions horizontalCentered="1"/>
  <pageMargins left="0.23622047244094491" right="0.23622047244094491" top="0.74803149606299213" bottom="0.74803149606299213" header="0.31496062992125984" footer="0.31496062992125984"/>
  <pageSetup scale="32" orientation="landscape" r:id="rId1"/>
  <headerFooter>
    <oddFooter>&amp;C&amp;1#&amp;"Calibri"&amp;10&amp;K000000PUBLIC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E11"/>
  <sheetViews>
    <sheetView workbookViewId="0">
      <selection activeCell="I20" sqref="I20"/>
    </sheetView>
  </sheetViews>
  <sheetFormatPr baseColWidth="10" defaultColWidth="11.42578125" defaultRowHeight="15" x14ac:dyDescent="0.25"/>
  <cols>
    <col min="1" max="16384" width="11.42578125" style="63"/>
  </cols>
  <sheetData>
    <row r="1" spans="1:5" x14ac:dyDescent="0.25">
      <c r="A1" s="858" t="s">
        <v>27</v>
      </c>
      <c r="B1" s="858"/>
    </row>
    <row r="2" spans="1:5" x14ac:dyDescent="0.25">
      <c r="A2" s="83" t="s">
        <v>28</v>
      </c>
      <c r="B2" s="83" t="s">
        <v>29</v>
      </c>
    </row>
    <row r="3" spans="1:5" x14ac:dyDescent="0.25">
      <c r="A3" s="84">
        <v>0</v>
      </c>
      <c r="B3" s="85">
        <f>E3</f>
        <v>2146</v>
      </c>
      <c r="D3" s="66">
        <v>1850</v>
      </c>
      <c r="E3" s="66">
        <f>D3*1.16</f>
        <v>2146</v>
      </c>
    </row>
    <row r="4" spans="1:5" x14ac:dyDescent="0.25">
      <c r="A4" s="84">
        <v>500001</v>
      </c>
      <c r="B4" s="85">
        <f t="shared" ref="B4:B11" si="0">E4</f>
        <v>3421.9999999999995</v>
      </c>
      <c r="D4" s="66">
        <v>2950</v>
      </c>
      <c r="E4" s="66">
        <f t="shared" ref="E4:E11" si="1">D4*1.16</f>
        <v>3421.9999999999995</v>
      </c>
    </row>
    <row r="5" spans="1:5" x14ac:dyDescent="0.25">
      <c r="A5" s="84">
        <v>1000001</v>
      </c>
      <c r="B5" s="85">
        <f t="shared" si="0"/>
        <v>5916</v>
      </c>
      <c r="D5" s="66">
        <v>5100</v>
      </c>
      <c r="E5" s="66">
        <f t="shared" si="1"/>
        <v>5916</v>
      </c>
    </row>
    <row r="6" spans="1:5" x14ac:dyDescent="0.25">
      <c r="A6" s="84">
        <v>2000001</v>
      </c>
      <c r="B6" s="85">
        <f t="shared" si="0"/>
        <v>9222</v>
      </c>
      <c r="D6" s="66">
        <v>7950</v>
      </c>
      <c r="E6" s="66">
        <f t="shared" si="1"/>
        <v>9222</v>
      </c>
    </row>
    <row r="7" spans="1:5" x14ac:dyDescent="0.25">
      <c r="A7" s="84">
        <v>3000001</v>
      </c>
      <c r="B7" s="85">
        <f t="shared" si="0"/>
        <v>12470</v>
      </c>
      <c r="D7" s="66">
        <v>10750</v>
      </c>
      <c r="E7" s="66">
        <f t="shared" si="1"/>
        <v>12470</v>
      </c>
    </row>
    <row r="8" spans="1:5" x14ac:dyDescent="0.25">
      <c r="A8" s="84">
        <v>4000001</v>
      </c>
      <c r="B8" s="85">
        <f t="shared" si="0"/>
        <v>15369.999999999998</v>
      </c>
      <c r="D8" s="66">
        <v>13250</v>
      </c>
      <c r="E8" s="66">
        <f t="shared" si="1"/>
        <v>15369.999999999998</v>
      </c>
    </row>
    <row r="9" spans="1:5" x14ac:dyDescent="0.25">
      <c r="A9" s="84">
        <v>5000001</v>
      </c>
      <c r="B9" s="85">
        <f t="shared" si="0"/>
        <v>19952</v>
      </c>
      <c r="D9" s="66">
        <v>17200</v>
      </c>
      <c r="E9" s="66">
        <f t="shared" si="1"/>
        <v>19952</v>
      </c>
    </row>
    <row r="10" spans="1:5" x14ac:dyDescent="0.25">
      <c r="A10" s="84">
        <v>7000001</v>
      </c>
      <c r="B10" s="85">
        <f t="shared" si="0"/>
        <v>23200</v>
      </c>
      <c r="D10" s="66">
        <v>20000</v>
      </c>
      <c r="E10" s="66">
        <f t="shared" si="1"/>
        <v>23200</v>
      </c>
    </row>
    <row r="11" spans="1:5" x14ac:dyDescent="0.25">
      <c r="A11" s="84">
        <v>10000001</v>
      </c>
      <c r="B11" s="85">
        <f t="shared" si="0"/>
        <v>24360</v>
      </c>
      <c r="D11" s="66">
        <v>21000</v>
      </c>
      <c r="E11" s="66">
        <f t="shared" si="1"/>
        <v>24360</v>
      </c>
    </row>
  </sheetData>
  <sheetProtection algorithmName="SHA-512" hashValue="VH1oDdV6p+mTUV0M6pEQB54x6p18ycPTExZpxq/97oxv6wbgfVorvkmb0HGvvq8Y6k8j3IQ+RSzPLyhWXrjudg==" saltValue="jvSRCj55GqAou5cN+L2dnw==" spinCount="100000" sheet="1" objects="1" scenarios="1"/>
  <mergeCells count="1">
    <mergeCell ref="A1:B1"/>
  </mergeCells>
  <pageMargins left="0.7" right="0.7" top="0.75" bottom="0.75" header="0.3" footer="0.3"/>
  <pageSetup orientation="portrait" r:id="rId1"/>
  <headerFooter>
    <oddFooter>&amp;C&amp;1#&amp;"Calibri"&amp;10&amp;K000000PUBLIC</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9"/>
  <dimension ref="A1:V14"/>
  <sheetViews>
    <sheetView zoomScaleNormal="100" workbookViewId="0">
      <pane ySplit="1" topLeftCell="A2" activePane="bottomLeft" state="frozen"/>
      <selection pane="bottomLeft" activeCell="B1" sqref="B1"/>
    </sheetView>
  </sheetViews>
  <sheetFormatPr baseColWidth="10" defaultColWidth="11.42578125" defaultRowHeight="15" x14ac:dyDescent="0.25"/>
  <cols>
    <col min="1" max="1" width="62" style="37" bestFit="1" customWidth="1"/>
    <col min="2" max="2" width="64.5703125" style="37" bestFit="1" customWidth="1"/>
    <col min="3" max="8" width="46.28515625" style="37" customWidth="1"/>
    <col min="9" max="15" width="11.42578125" style="37"/>
    <col min="16" max="16" width="13.5703125" style="37" bestFit="1" customWidth="1"/>
    <col min="17" max="16384" width="11.42578125" style="37"/>
  </cols>
  <sheetData>
    <row r="1" spans="1:22" ht="45" x14ac:dyDescent="0.25">
      <c r="A1" s="72" t="s">
        <v>21</v>
      </c>
      <c r="B1" s="72" t="s">
        <v>129</v>
      </c>
      <c r="C1" s="73" t="s">
        <v>5</v>
      </c>
      <c r="D1" s="73" t="s">
        <v>131</v>
      </c>
      <c r="E1" s="73" t="s">
        <v>145</v>
      </c>
      <c r="F1" s="73" t="s">
        <v>144</v>
      </c>
      <c r="G1" s="73" t="s">
        <v>146</v>
      </c>
      <c r="H1" s="73" t="s">
        <v>25</v>
      </c>
      <c r="I1" s="73" t="s">
        <v>0</v>
      </c>
      <c r="J1" s="73" t="s">
        <v>141</v>
      </c>
      <c r="K1" s="73" t="s">
        <v>1</v>
      </c>
      <c r="L1" s="73" t="s">
        <v>149</v>
      </c>
      <c r="M1" s="73" t="s">
        <v>39</v>
      </c>
      <c r="N1" s="73" t="s">
        <v>26</v>
      </c>
      <c r="O1" s="73" t="s">
        <v>23</v>
      </c>
      <c r="P1" s="73" t="s">
        <v>34</v>
      </c>
      <c r="Q1" s="73" t="s">
        <v>35</v>
      </c>
      <c r="R1" s="73" t="s">
        <v>36</v>
      </c>
      <c r="S1" s="73" t="s">
        <v>128</v>
      </c>
      <c r="T1" s="74" t="s">
        <v>130</v>
      </c>
      <c r="U1" s="74" t="s">
        <v>158</v>
      </c>
      <c r="V1" s="74" t="s">
        <v>137</v>
      </c>
    </row>
    <row r="2" spans="1:22" x14ac:dyDescent="0.25">
      <c r="A2" s="75" t="str">
        <f>TRIM(CONCATENATE(C2," ",I2))</f>
        <v>Liquidez 15</v>
      </c>
      <c r="B2" s="75" t="str">
        <f>CONCATENATE(A2," ",J2)</f>
        <v>Liquidez 15 1+</v>
      </c>
      <c r="C2" s="79" t="s">
        <v>115</v>
      </c>
      <c r="D2" s="75"/>
      <c r="E2" s="75"/>
      <c r="F2" s="75"/>
      <c r="G2" s="75"/>
      <c r="H2" s="75"/>
      <c r="I2" s="80">
        <v>15</v>
      </c>
      <c r="J2" s="76" t="s">
        <v>142</v>
      </c>
      <c r="K2" s="81">
        <v>12.33</v>
      </c>
      <c r="L2" s="77">
        <v>12.99</v>
      </c>
      <c r="M2" s="82">
        <v>0.125</v>
      </c>
      <c r="N2" s="69">
        <v>0</v>
      </c>
      <c r="O2" s="69">
        <v>0</v>
      </c>
      <c r="P2" s="78">
        <v>0.44</v>
      </c>
      <c r="Q2" s="78">
        <v>0</v>
      </c>
      <c r="R2" s="69">
        <v>0</v>
      </c>
      <c r="S2" s="69">
        <v>0</v>
      </c>
      <c r="T2" s="69">
        <v>0.8</v>
      </c>
      <c r="U2" s="76">
        <v>0</v>
      </c>
      <c r="V2" s="76">
        <v>0</v>
      </c>
    </row>
    <row r="3" spans="1:22" x14ac:dyDescent="0.25">
      <c r="A3" s="75" t="str">
        <f t="shared" ref="A3:A14" si="0">TRIM(CONCATENATE(C3," ",I3))</f>
        <v>Liquidez 14</v>
      </c>
      <c r="B3" s="75" t="str">
        <f t="shared" ref="B3:B14" si="1">CONCATENATE(A3," ",J3)</f>
        <v>Liquidez 14 1+</v>
      </c>
      <c r="C3" s="79" t="s">
        <v>115</v>
      </c>
      <c r="D3" s="75"/>
      <c r="E3" s="75"/>
      <c r="F3" s="75"/>
      <c r="G3" s="75"/>
      <c r="H3" s="75"/>
      <c r="I3" s="80">
        <v>14</v>
      </c>
      <c r="J3" s="76" t="s">
        <v>142</v>
      </c>
      <c r="K3" s="81">
        <v>12.63</v>
      </c>
      <c r="L3" s="77">
        <v>13.29</v>
      </c>
      <c r="M3" s="82">
        <v>0.125</v>
      </c>
      <c r="N3" s="69">
        <v>0</v>
      </c>
      <c r="O3" s="69">
        <v>0</v>
      </c>
      <c r="P3" s="78">
        <v>0.44</v>
      </c>
      <c r="Q3" s="78">
        <v>0</v>
      </c>
      <c r="R3" s="69">
        <v>0</v>
      </c>
      <c r="S3" s="69">
        <v>0</v>
      </c>
      <c r="T3" s="69">
        <v>0.8</v>
      </c>
      <c r="U3" s="76">
        <v>0</v>
      </c>
      <c r="V3" s="76">
        <v>0</v>
      </c>
    </row>
    <row r="4" spans="1:22" x14ac:dyDescent="0.25">
      <c r="A4" s="75" t="str">
        <f t="shared" si="0"/>
        <v>Liquidez 13</v>
      </c>
      <c r="B4" s="75" t="str">
        <f t="shared" si="1"/>
        <v>Liquidez 13 1+</v>
      </c>
      <c r="C4" s="79" t="s">
        <v>115</v>
      </c>
      <c r="D4" s="75"/>
      <c r="E4" s="75"/>
      <c r="F4" s="75"/>
      <c r="G4" s="75"/>
      <c r="H4" s="75"/>
      <c r="I4" s="80">
        <v>13</v>
      </c>
      <c r="J4" s="76" t="s">
        <v>142</v>
      </c>
      <c r="K4" s="81">
        <v>13</v>
      </c>
      <c r="L4" s="77">
        <v>13.66</v>
      </c>
      <c r="M4" s="82">
        <v>0.125</v>
      </c>
      <c r="N4" s="69">
        <v>0</v>
      </c>
      <c r="O4" s="69">
        <v>0</v>
      </c>
      <c r="P4" s="78">
        <v>0.44</v>
      </c>
      <c r="Q4" s="78">
        <v>0</v>
      </c>
      <c r="R4" s="69">
        <v>0</v>
      </c>
      <c r="S4" s="69">
        <v>0</v>
      </c>
      <c r="T4" s="69">
        <v>0.8</v>
      </c>
      <c r="U4" s="76">
        <v>0</v>
      </c>
      <c r="V4" s="76">
        <v>0</v>
      </c>
    </row>
    <row r="5" spans="1:22" x14ac:dyDescent="0.25">
      <c r="A5" s="75" t="str">
        <f t="shared" si="0"/>
        <v>Liquidez 12</v>
      </c>
      <c r="B5" s="75" t="str">
        <f t="shared" si="1"/>
        <v>Liquidez 12 1+</v>
      </c>
      <c r="C5" s="79" t="s">
        <v>115</v>
      </c>
      <c r="D5" s="75"/>
      <c r="E5" s="75"/>
      <c r="F5" s="75"/>
      <c r="G5" s="75"/>
      <c r="H5" s="75"/>
      <c r="I5" s="80">
        <v>12</v>
      </c>
      <c r="J5" s="76" t="s">
        <v>142</v>
      </c>
      <c r="K5" s="81">
        <v>13.44</v>
      </c>
      <c r="L5" s="77">
        <v>14.1</v>
      </c>
      <c r="M5" s="82">
        <v>0.125</v>
      </c>
      <c r="N5" s="69">
        <v>0</v>
      </c>
      <c r="O5" s="69">
        <v>0</v>
      </c>
      <c r="P5" s="78">
        <v>0.44</v>
      </c>
      <c r="Q5" s="78">
        <v>0</v>
      </c>
      <c r="R5" s="69">
        <v>0</v>
      </c>
      <c r="S5" s="69">
        <v>0</v>
      </c>
      <c r="T5" s="69">
        <v>0.75</v>
      </c>
      <c r="U5" s="76">
        <v>0</v>
      </c>
      <c r="V5" s="76">
        <v>0</v>
      </c>
    </row>
    <row r="6" spans="1:22" x14ac:dyDescent="0.25">
      <c r="A6" s="75" t="str">
        <f t="shared" si="0"/>
        <v>Liquidez 11</v>
      </c>
      <c r="B6" s="75" t="str">
        <f t="shared" si="1"/>
        <v>Liquidez 11 1+</v>
      </c>
      <c r="C6" s="79" t="s">
        <v>115</v>
      </c>
      <c r="D6" s="75"/>
      <c r="E6" s="75"/>
      <c r="F6" s="75"/>
      <c r="G6" s="75"/>
      <c r="H6" s="75"/>
      <c r="I6" s="80">
        <v>11</v>
      </c>
      <c r="J6" s="76" t="s">
        <v>142</v>
      </c>
      <c r="K6" s="81">
        <v>13.98</v>
      </c>
      <c r="L6" s="77">
        <v>14.64</v>
      </c>
      <c r="M6" s="82">
        <v>0.125</v>
      </c>
      <c r="N6" s="69">
        <v>0</v>
      </c>
      <c r="O6" s="69">
        <v>0</v>
      </c>
      <c r="P6" s="78">
        <v>0.44</v>
      </c>
      <c r="Q6" s="78">
        <v>0</v>
      </c>
      <c r="R6" s="69">
        <v>0</v>
      </c>
      <c r="S6" s="69">
        <v>0</v>
      </c>
      <c r="T6" s="69">
        <v>0.75</v>
      </c>
      <c r="U6" s="76">
        <v>0</v>
      </c>
      <c r="V6" s="76">
        <v>0</v>
      </c>
    </row>
    <row r="7" spans="1:22" x14ac:dyDescent="0.25">
      <c r="A7" s="75" t="str">
        <f t="shared" si="0"/>
        <v>Liquidez 10</v>
      </c>
      <c r="B7" s="75" t="str">
        <f t="shared" si="1"/>
        <v>Liquidez 10 1+</v>
      </c>
      <c r="C7" s="79" t="s">
        <v>115</v>
      </c>
      <c r="D7" s="75"/>
      <c r="E7" s="75"/>
      <c r="F7" s="75"/>
      <c r="G7" s="75"/>
      <c r="H7" s="75"/>
      <c r="I7" s="80">
        <v>10</v>
      </c>
      <c r="J7" s="76" t="s">
        <v>142</v>
      </c>
      <c r="K7" s="81">
        <v>14.64</v>
      </c>
      <c r="L7" s="77">
        <v>15.3</v>
      </c>
      <c r="M7" s="82">
        <v>0.125</v>
      </c>
      <c r="N7" s="69">
        <v>0</v>
      </c>
      <c r="O7" s="69">
        <v>0</v>
      </c>
      <c r="P7" s="78">
        <v>0.44</v>
      </c>
      <c r="Q7" s="78">
        <v>0</v>
      </c>
      <c r="R7" s="69">
        <v>0</v>
      </c>
      <c r="S7" s="69">
        <v>0</v>
      </c>
      <c r="T7" s="69">
        <v>0.75</v>
      </c>
      <c r="U7" s="76">
        <v>0</v>
      </c>
      <c r="V7" s="76">
        <v>0</v>
      </c>
    </row>
    <row r="8" spans="1:22" x14ac:dyDescent="0.25">
      <c r="A8" s="75" t="str">
        <f t="shared" si="0"/>
        <v>Liquidez 9</v>
      </c>
      <c r="B8" s="75" t="str">
        <f t="shared" si="1"/>
        <v>Liquidez 9 1+</v>
      </c>
      <c r="C8" s="79" t="s">
        <v>115</v>
      </c>
      <c r="D8" s="75"/>
      <c r="E8" s="75"/>
      <c r="F8" s="75"/>
      <c r="G8" s="75"/>
      <c r="H8" s="75"/>
      <c r="I8" s="80">
        <v>9</v>
      </c>
      <c r="J8" s="76" t="s">
        <v>142</v>
      </c>
      <c r="K8" s="81">
        <v>15.47</v>
      </c>
      <c r="L8" s="77">
        <v>16.13</v>
      </c>
      <c r="M8" s="82">
        <v>0.125</v>
      </c>
      <c r="N8" s="69">
        <v>0</v>
      </c>
      <c r="O8" s="69">
        <v>0</v>
      </c>
      <c r="P8" s="78">
        <v>0.44</v>
      </c>
      <c r="Q8" s="78">
        <v>0</v>
      </c>
      <c r="R8" s="69">
        <v>0</v>
      </c>
      <c r="S8" s="69">
        <v>0</v>
      </c>
      <c r="T8" s="69">
        <v>0.7</v>
      </c>
      <c r="U8" s="76">
        <v>0</v>
      </c>
      <c r="V8" s="76">
        <v>0</v>
      </c>
    </row>
    <row r="9" spans="1:22" x14ac:dyDescent="0.25">
      <c r="A9" s="75" t="str">
        <f t="shared" si="0"/>
        <v>Liquidez 8</v>
      </c>
      <c r="B9" s="75" t="str">
        <f t="shared" si="1"/>
        <v>Liquidez 8 1+</v>
      </c>
      <c r="C9" s="79" t="s">
        <v>115</v>
      </c>
      <c r="D9" s="75"/>
      <c r="E9" s="75"/>
      <c r="F9" s="75"/>
      <c r="G9" s="75"/>
      <c r="H9" s="75"/>
      <c r="I9" s="80">
        <v>8</v>
      </c>
      <c r="J9" s="76" t="s">
        <v>142</v>
      </c>
      <c r="K9" s="81">
        <v>16.53</v>
      </c>
      <c r="L9" s="77">
        <v>17.190000000000001</v>
      </c>
      <c r="M9" s="82">
        <v>0.125</v>
      </c>
      <c r="N9" s="69">
        <v>0</v>
      </c>
      <c r="O9" s="69">
        <v>0</v>
      </c>
      <c r="P9" s="78">
        <v>0.44</v>
      </c>
      <c r="Q9" s="78">
        <v>0</v>
      </c>
      <c r="R9" s="69">
        <v>0</v>
      </c>
      <c r="S9" s="69">
        <v>0</v>
      </c>
      <c r="T9" s="69">
        <v>0.7</v>
      </c>
      <c r="U9" s="76">
        <v>0</v>
      </c>
      <c r="V9" s="76">
        <v>0</v>
      </c>
    </row>
    <row r="10" spans="1:22" x14ac:dyDescent="0.25">
      <c r="A10" s="75" t="str">
        <f t="shared" si="0"/>
        <v>Liquidez 7</v>
      </c>
      <c r="B10" s="75" t="str">
        <f t="shared" si="1"/>
        <v>Liquidez 7 1+</v>
      </c>
      <c r="C10" s="79" t="s">
        <v>115</v>
      </c>
      <c r="D10" s="75"/>
      <c r="E10" s="75"/>
      <c r="F10" s="75"/>
      <c r="G10" s="75"/>
      <c r="H10" s="75"/>
      <c r="I10" s="80">
        <v>7</v>
      </c>
      <c r="J10" s="76" t="s">
        <v>142</v>
      </c>
      <c r="K10" s="81">
        <v>17.920000000000002</v>
      </c>
      <c r="L10" s="77">
        <v>18.579999999999998</v>
      </c>
      <c r="M10" s="82">
        <v>0.125</v>
      </c>
      <c r="N10" s="69">
        <v>0</v>
      </c>
      <c r="O10" s="69">
        <v>0</v>
      </c>
      <c r="P10" s="78">
        <v>0.44</v>
      </c>
      <c r="Q10" s="78">
        <v>0</v>
      </c>
      <c r="R10" s="69">
        <v>0</v>
      </c>
      <c r="S10" s="69">
        <v>0</v>
      </c>
      <c r="T10" s="69">
        <v>0.7</v>
      </c>
      <c r="U10" s="76">
        <v>0</v>
      </c>
      <c r="V10" s="76">
        <v>0</v>
      </c>
    </row>
    <row r="11" spans="1:22" x14ac:dyDescent="0.25">
      <c r="A11" s="75" t="str">
        <f t="shared" si="0"/>
        <v>Liquidez 6</v>
      </c>
      <c r="B11" s="75" t="str">
        <f t="shared" si="1"/>
        <v>Liquidez 6 1+</v>
      </c>
      <c r="C11" s="79" t="s">
        <v>115</v>
      </c>
      <c r="D11" s="75"/>
      <c r="E11" s="75"/>
      <c r="F11" s="75"/>
      <c r="G11" s="75"/>
      <c r="H11" s="75"/>
      <c r="I11" s="80">
        <v>6</v>
      </c>
      <c r="J11" s="76" t="s">
        <v>142</v>
      </c>
      <c r="K11" s="81">
        <v>19.809999999999999</v>
      </c>
      <c r="L11" s="77">
        <v>20.47</v>
      </c>
      <c r="M11" s="82">
        <v>0.125</v>
      </c>
      <c r="N11" s="69">
        <v>0</v>
      </c>
      <c r="O11" s="69">
        <v>0</v>
      </c>
      <c r="P11" s="78">
        <v>0.44</v>
      </c>
      <c r="Q11" s="78">
        <v>0</v>
      </c>
      <c r="R11" s="69">
        <v>0</v>
      </c>
      <c r="S11" s="69">
        <v>0</v>
      </c>
      <c r="T11" s="69">
        <v>0.7</v>
      </c>
      <c r="U11" s="76">
        <v>0</v>
      </c>
      <c r="V11" s="76">
        <v>0</v>
      </c>
    </row>
    <row r="12" spans="1:22" x14ac:dyDescent="0.25">
      <c r="A12" s="75" t="str">
        <f t="shared" si="0"/>
        <v>Liquidez 5</v>
      </c>
      <c r="B12" s="75" t="str">
        <f t="shared" si="1"/>
        <v>Liquidez 5 1+</v>
      </c>
      <c r="C12" s="79" t="s">
        <v>115</v>
      </c>
      <c r="D12" s="75"/>
      <c r="E12" s="75"/>
      <c r="F12" s="75"/>
      <c r="G12" s="75"/>
      <c r="H12" s="75"/>
      <c r="I12" s="80">
        <v>5</v>
      </c>
      <c r="J12" s="76" t="s">
        <v>142</v>
      </c>
      <c r="K12" s="81">
        <v>22.5</v>
      </c>
      <c r="L12" s="77">
        <v>23.16</v>
      </c>
      <c r="M12" s="82">
        <v>0.125</v>
      </c>
      <c r="N12" s="69">
        <v>0</v>
      </c>
      <c r="O12" s="69">
        <v>0</v>
      </c>
      <c r="P12" s="78">
        <v>0.44</v>
      </c>
      <c r="Q12" s="78">
        <v>0</v>
      </c>
      <c r="R12" s="69">
        <v>0</v>
      </c>
      <c r="S12" s="69">
        <v>0</v>
      </c>
      <c r="T12" s="69">
        <v>0.7</v>
      </c>
      <c r="U12" s="76">
        <v>0</v>
      </c>
      <c r="V12" s="76">
        <v>0</v>
      </c>
    </row>
    <row r="13" spans="1:22" x14ac:dyDescent="0.25">
      <c r="A13" s="75" t="str">
        <f t="shared" si="0"/>
        <v>Liquidez 4</v>
      </c>
      <c r="B13" s="75" t="str">
        <f t="shared" si="1"/>
        <v>Liquidez 4 1+</v>
      </c>
      <c r="C13" s="79" t="s">
        <v>115</v>
      </c>
      <c r="D13" s="75"/>
      <c r="E13" s="75"/>
      <c r="F13" s="75"/>
      <c r="G13" s="75"/>
      <c r="H13" s="75"/>
      <c r="I13" s="80">
        <v>4</v>
      </c>
      <c r="J13" s="76" t="s">
        <v>142</v>
      </c>
      <c r="K13" s="81">
        <v>26.58</v>
      </c>
      <c r="L13" s="77">
        <v>27.24</v>
      </c>
      <c r="M13" s="82">
        <v>0.125</v>
      </c>
      <c r="N13" s="69">
        <v>0</v>
      </c>
      <c r="O13" s="69">
        <v>0</v>
      </c>
      <c r="P13" s="78">
        <v>0.44</v>
      </c>
      <c r="Q13" s="78">
        <v>0</v>
      </c>
      <c r="R13" s="69">
        <v>0</v>
      </c>
      <c r="S13" s="69">
        <v>0</v>
      </c>
      <c r="T13" s="69">
        <v>0.7</v>
      </c>
      <c r="U13" s="76">
        <v>0</v>
      </c>
      <c r="V13" s="76">
        <v>0</v>
      </c>
    </row>
    <row r="14" spans="1:22" x14ac:dyDescent="0.25">
      <c r="A14" s="75" t="str">
        <f t="shared" si="0"/>
        <v>Liquidez 3</v>
      </c>
      <c r="B14" s="75" t="str">
        <f t="shared" si="1"/>
        <v>Liquidez 3 1+</v>
      </c>
      <c r="C14" s="79" t="s">
        <v>115</v>
      </c>
      <c r="D14" s="75"/>
      <c r="E14" s="75"/>
      <c r="F14" s="75"/>
      <c r="G14" s="75"/>
      <c r="H14" s="75"/>
      <c r="I14" s="80">
        <v>3</v>
      </c>
      <c r="J14" s="76" t="s">
        <v>142</v>
      </c>
      <c r="K14" s="81">
        <v>33.450000000000003</v>
      </c>
      <c r="L14" s="77">
        <v>34.11</v>
      </c>
      <c r="M14" s="82">
        <v>0.125</v>
      </c>
      <c r="N14" s="69">
        <v>0</v>
      </c>
      <c r="O14" s="69">
        <v>0</v>
      </c>
      <c r="P14" s="78">
        <v>0.44</v>
      </c>
      <c r="Q14" s="78">
        <v>0</v>
      </c>
      <c r="R14" s="69">
        <v>0</v>
      </c>
      <c r="S14" s="69">
        <v>0</v>
      </c>
      <c r="T14" s="69">
        <v>0.7</v>
      </c>
      <c r="U14" s="76">
        <v>0</v>
      </c>
      <c r="V14" s="76">
        <v>0</v>
      </c>
    </row>
  </sheetData>
  <sheetProtection algorithmName="SHA-512" hashValue="XdoD+h4LOXrgLkk1foR8y91nVv3g+3J06BQoPbv89QsogXwVRPqwZqumR25Oz8VRIx0UBPgiPPI1wX/KUkHpwQ==" saltValue="u5wNixhyEKAtEr/HACcVfA==" spinCount="100000" sheet="1" objects="1" scenarios="1"/>
  <autoFilter ref="A1:V14" xr:uid="{00000000-0009-0000-0000-00000B000000}"/>
  <pageMargins left="0.7" right="0.7" top="0.75" bottom="0.75" header="0.3" footer="0.3"/>
  <pageSetup orientation="portrait" r:id="rId1"/>
  <headerFooter>
    <oddFooter>&amp;C&amp;1#&amp;"Calibri"&amp;10&amp;K000000PUBLIC</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V92"/>
  <sheetViews>
    <sheetView zoomScale="95" zoomScaleNormal="95" workbookViewId="0">
      <selection activeCell="I3" sqref="I3"/>
    </sheetView>
  </sheetViews>
  <sheetFormatPr baseColWidth="10" defaultColWidth="11.42578125" defaultRowHeight="15" x14ac:dyDescent="0.25"/>
  <cols>
    <col min="1" max="1" width="11.42578125" style="63"/>
    <col min="2" max="2" width="13.42578125" style="63" bestFit="1" customWidth="1"/>
    <col min="3" max="3" width="17.28515625" style="63" customWidth="1"/>
    <col min="4" max="4" width="17.5703125" style="63" customWidth="1"/>
    <col min="5" max="5" width="23.7109375" style="63" bestFit="1" customWidth="1"/>
    <col min="6" max="9" width="16.7109375" style="37" customWidth="1"/>
    <col min="10" max="11" width="16.7109375" style="92" customWidth="1"/>
    <col min="12" max="12" width="20.85546875" style="63" customWidth="1"/>
    <col min="13" max="13" width="20.85546875" style="92" customWidth="1"/>
    <col min="14" max="14" width="20.85546875" style="63" customWidth="1"/>
    <col min="15" max="19" width="20.85546875" style="92" customWidth="1"/>
    <col min="20" max="20" width="11.85546875" style="63" bestFit="1" customWidth="1"/>
    <col min="21" max="21" width="36.28515625" style="63" bestFit="1" customWidth="1"/>
    <col min="22" max="16384" width="11.42578125" style="63"/>
  </cols>
  <sheetData>
    <row r="1" spans="1:22" ht="81" customHeight="1" x14ac:dyDescent="0.25">
      <c r="A1" s="67" t="s">
        <v>37</v>
      </c>
      <c r="B1" s="67" t="s">
        <v>38</v>
      </c>
      <c r="C1" s="67" t="s">
        <v>49</v>
      </c>
      <c r="D1" s="67" t="s">
        <v>50</v>
      </c>
      <c r="E1" s="68" t="s">
        <v>153</v>
      </c>
      <c r="F1" s="67" t="s">
        <v>47</v>
      </c>
      <c r="G1" s="67" t="s">
        <v>312</v>
      </c>
      <c r="H1" s="67" t="s">
        <v>48</v>
      </c>
      <c r="I1" s="67" t="s">
        <v>313</v>
      </c>
      <c r="J1" s="202" t="s">
        <v>269</v>
      </c>
      <c r="K1" s="198"/>
      <c r="L1" s="198"/>
      <c r="M1" s="198"/>
      <c r="N1" s="185"/>
      <c r="O1" s="198"/>
      <c r="P1" s="198"/>
      <c r="Q1" s="198"/>
      <c r="R1" s="198"/>
      <c r="S1" s="198"/>
      <c r="T1" s="193"/>
    </row>
    <row r="2" spans="1:22" ht="15" customHeight="1" x14ac:dyDescent="0.25">
      <c r="A2" s="76">
        <v>1</v>
      </c>
      <c r="B2" s="200" t="str">
        <f>IF(Caratula!$F$23&lt;A2,"",I2)</f>
        <v/>
      </c>
      <c r="C2" s="76" t="str">
        <f>IF(Caratula!$F$23&gt;=A2,"Si","No")</f>
        <v>No</v>
      </c>
      <c r="D2" s="76" t="str">
        <f>IF(AND(OR(Caratula!$R$34="SI",Caratula!$R$34=""),Caratula!$F$23&gt;=A2),"Si","No")</f>
        <v>No</v>
      </c>
      <c r="E2" s="69" t="e">
        <f>Caratula!$AQ$31</f>
        <v>#N/A</v>
      </c>
      <c r="F2" s="69"/>
      <c r="G2" s="69"/>
      <c r="H2" s="69"/>
      <c r="I2" s="199" t="e">
        <f>Caratula!$AQ$31</f>
        <v>#N/A</v>
      </c>
      <c r="J2" s="199">
        <v>0</v>
      </c>
      <c r="K2" s="13"/>
      <c r="T2" s="92"/>
      <c r="U2" s="71" t="s">
        <v>42</v>
      </c>
      <c r="V2" s="71">
        <v>2</v>
      </c>
    </row>
    <row r="3" spans="1:22" ht="15" customHeight="1" x14ac:dyDescent="0.25">
      <c r="A3" s="76">
        <v>2</v>
      </c>
      <c r="B3" s="201" t="str">
        <f>IF(Caratula!$F$23&lt;A3,"",I3)</f>
        <v/>
      </c>
      <c r="C3" s="76" t="str">
        <f>IF(Caratula!$F$23&gt;=A3,"Si","No")</f>
        <v>No</v>
      </c>
      <c r="D3" s="76" t="str">
        <f>IF(AND(OR(Caratula!$R$34="SI",Caratula!$R$34=""),Caratula!$F$23&gt;=A3),"Si","No")</f>
        <v>No</v>
      </c>
      <c r="E3" s="69" t="e">
        <f>Caratula!$AQ$31</f>
        <v>#N/A</v>
      </c>
      <c r="F3" s="69"/>
      <c r="G3" s="69"/>
      <c r="H3" s="69" t="e">
        <f>IF(AND(D2="Si",G3=Caratula!$AQ$32),0,
IF(AND(D2="Si",G3=Caratula!$AQ$33),0,
IF(AND(D2="No",G3=Caratula!$AQ$33),0,
IF(D2="Si",-0.15%,
IF(AND(D2="No",J2&gt;=0),0,
IF(D2="No",0.15%))))))</f>
        <v>#N/A</v>
      </c>
      <c r="I3" s="199" t="e">
        <f>IF(I2+H3&lt;Caratula!$AQ$32,Caratula!$AQ$32,
IF(I2+H3&gt;Caratula!$AQ$33,Caratula!$AQ$33,
I2+H3))</f>
        <v>#N/A</v>
      </c>
      <c r="J3" s="199" t="e">
        <f t="shared" ref="J3:J26" si="0">+H3+J2</f>
        <v>#N/A</v>
      </c>
      <c r="K3" s="13"/>
      <c r="L3" s="13"/>
      <c r="M3" s="192"/>
      <c r="N3" s="192"/>
      <c r="O3" s="192"/>
      <c r="P3" s="192"/>
      <c r="Q3" s="192"/>
      <c r="R3" s="192"/>
      <c r="S3" s="192"/>
      <c r="T3" s="91"/>
      <c r="U3" s="71" t="s">
        <v>43</v>
      </c>
      <c r="V3" s="71">
        <v>1</v>
      </c>
    </row>
    <row r="4" spans="1:22" ht="15" customHeight="1" x14ac:dyDescent="0.25">
      <c r="A4" s="76">
        <v>3</v>
      </c>
      <c r="B4" s="201" t="str">
        <f>IF(Caratula!$F$23&lt;A4,"",I4)</f>
        <v/>
      </c>
      <c r="C4" s="76" t="str">
        <f>IF(Caratula!$F$23&gt;=A4,"Si","No")</f>
        <v>No</v>
      </c>
      <c r="D4" s="76" t="str">
        <f>IF(AND(OR(Caratula!$R$34="SI",Caratula!$R$34=""),Caratula!$F$23&gt;=A4),"Si","No")</f>
        <v>No</v>
      </c>
      <c r="E4" s="69" t="e">
        <f>IF(A4="","",
IF(E3+0.15%&gt;=Caratula!$AQ$33,Caratula!$AQ$33,
E3+0.15%))</f>
        <v>#N/A</v>
      </c>
      <c r="F4" s="69">
        <f>IF(A4="","",
IF(OR(C2="No",C3="No"),0.15%,-0.15%))</f>
        <v>1.5E-3</v>
      </c>
      <c r="G4" s="69" t="e">
        <f>IF(I3+F4&gt;Caratula!$AQ$33,Caratula!$AQ$33,
IF(I3+F4&lt;Caratula!$AQ$32,Caratula!$AQ$32,
I3+F4))</f>
        <v>#N/A</v>
      </c>
      <c r="H4" s="69" t="e">
        <f>IF(AND(D3="Si",G4=Caratula!$AQ$32),0,
IF(AND(D3="Si",G4=Caratula!$AQ$33),0,
IF(AND(D3="No",G4=Caratula!$AQ$33),0,
IF(D3="Si",-0.15%,
IF(AND(D3="No",J3&gt;=0),0,
IF(D3="No",0.15%))))))</f>
        <v>#N/A</v>
      </c>
      <c r="I4" s="199" t="e">
        <f>IF(G4+H4&gt;Caratula!$AQ$33,Caratula!$AQ$33,
IF(G4+H4&lt;Caratula!$AQ$32,Caratula!$AQ$32,
G4+H4))</f>
        <v>#N/A</v>
      </c>
      <c r="J4" s="199" t="e">
        <f t="shared" si="0"/>
        <v>#N/A</v>
      </c>
      <c r="K4" s="13"/>
      <c r="L4" s="13"/>
      <c r="M4" s="192"/>
      <c r="N4" s="192"/>
      <c r="O4" s="192"/>
      <c r="P4" s="192"/>
      <c r="Q4" s="192"/>
      <c r="R4" s="192"/>
      <c r="S4" s="192"/>
      <c r="T4" s="91"/>
      <c r="U4" s="71" t="s">
        <v>44</v>
      </c>
      <c r="V4" s="71"/>
    </row>
    <row r="5" spans="1:22" ht="15" customHeight="1" x14ac:dyDescent="0.25">
      <c r="A5" s="76">
        <v>4</v>
      </c>
      <c r="B5" s="201" t="str">
        <f>IF(Caratula!$F$23&lt;A5,"",I5)</f>
        <v/>
      </c>
      <c r="C5" s="76" t="str">
        <f>IF(Caratula!$F$23&gt;=A5,"Si","No")</f>
        <v>No</v>
      </c>
      <c r="D5" s="76" t="str">
        <f>IF(AND(OR(Caratula!$R$34="SI",Caratula!$R$34=""),Caratula!$F$23&gt;=A5),"Si","No")</f>
        <v>No</v>
      </c>
      <c r="E5" s="69" t="e">
        <f>IF(A5="","",
IF(E4+0.15%&gt;=Caratula!$AQ$33,Caratula!$AQ$33,
E4+0.15%))</f>
        <v>#N/A</v>
      </c>
      <c r="F5" s="69">
        <f>IF(A5="","",
IF(C4="No",0.15%,
-0.15%))</f>
        <v>1.5E-3</v>
      </c>
      <c r="G5" s="69" t="e">
        <f>IF(I4+F5&gt;Caratula!$AQ$33,Caratula!$AQ$33,
IF(I4+F5&lt;Caratula!$AQ$32,Caratula!$AQ$32,
I4+F5))</f>
        <v>#N/A</v>
      </c>
      <c r="H5" s="69" t="e">
        <f>IF(AND(D4="Si",G5=Caratula!$AQ$32),0,
IF(AND(D4="Si",G5=Caratula!$AQ$33),0,
IF(AND(D4="No",G5=Caratula!$AQ$33),0,
IF(D4="Si",-0.15%,
IF(AND(D4="No",J4&gt;=0),0,
IF(D4="No",0.15%))))))</f>
        <v>#N/A</v>
      </c>
      <c r="I5" s="199" t="e">
        <f>IF(G5+H5&gt;Caratula!$AQ$33,Caratula!$AQ$33,
IF(G5+H5&lt;Caratula!$AQ$32,Caratula!$AQ$32,
G5+H5))</f>
        <v>#N/A</v>
      </c>
      <c r="J5" s="199" t="e">
        <f t="shared" si="0"/>
        <v>#N/A</v>
      </c>
      <c r="K5" s="13"/>
      <c r="L5" s="13"/>
      <c r="M5" s="192"/>
      <c r="N5" s="192"/>
      <c r="O5" s="192"/>
      <c r="P5" s="192"/>
      <c r="Q5" s="192"/>
      <c r="R5" s="192"/>
      <c r="S5" s="192"/>
      <c r="T5" s="91"/>
      <c r="U5" s="71" t="s">
        <v>45</v>
      </c>
      <c r="V5" s="71"/>
    </row>
    <row r="6" spans="1:22" ht="15" customHeight="1" x14ac:dyDescent="0.25">
      <c r="A6" s="76">
        <v>5</v>
      </c>
      <c r="B6" s="201" t="str">
        <f>IF(Caratula!$F$23&lt;A6,"",I6)</f>
        <v/>
      </c>
      <c r="C6" s="76" t="str">
        <f>IF(Caratula!$F$23&gt;=A6,"Si","No")</f>
        <v>No</v>
      </c>
      <c r="D6" s="76" t="str">
        <f>IF(AND(OR(Caratula!$R$34="SI",Caratula!$R$34=""),Caratula!$F$23&gt;=A6),"Si","No")</f>
        <v>No</v>
      </c>
      <c r="E6" s="69" t="e">
        <f>IF(A6="","",
IF(E5+0.15%&gt;=Caratula!$AQ$33,Caratula!$AQ$33,
E5+0.15%))</f>
        <v>#N/A</v>
      </c>
      <c r="F6" s="69">
        <f t="shared" ref="F6:F26" si="1">IF(A6="","",
IF(C5="No",0.15%,
-0.15%))</f>
        <v>1.5E-3</v>
      </c>
      <c r="G6" s="69" t="e">
        <f>IF(I5+F6&gt;Caratula!$AQ$33,Caratula!$AQ$33,
IF(I5+F6&lt;Caratula!$AQ$32,Caratula!$AQ$32,
I5+F6))</f>
        <v>#N/A</v>
      </c>
      <c r="H6" s="69" t="e">
        <f>IF(AND(D5="Si",G6=Caratula!$AQ$32),0,
IF(AND(D5="Si",G6=Caratula!$AQ$33),0,
IF(AND(D5="No",G6=Caratula!$AQ$33),0,
IF(D5="Si",-0.15%,
IF(AND(D5="No",J5&gt;=0),0,
IF(D5="No",0.15%))))))</f>
        <v>#N/A</v>
      </c>
      <c r="I6" s="199" t="e">
        <f>IF(G6+H6&gt;Caratula!$AQ$33,Caratula!$AQ$33,
IF(G6+H6&lt;Caratula!$AQ$32,Caratula!$AQ$32,
G6+H6))</f>
        <v>#N/A</v>
      </c>
      <c r="J6" s="199" t="e">
        <f t="shared" si="0"/>
        <v>#N/A</v>
      </c>
      <c r="K6" s="13"/>
      <c r="L6" s="13"/>
      <c r="M6" s="192"/>
      <c r="N6" s="192"/>
      <c r="O6" s="192"/>
      <c r="P6" s="192"/>
      <c r="Q6" s="192"/>
      <c r="R6" s="192"/>
      <c r="S6" s="192"/>
      <c r="T6" s="91"/>
    </row>
    <row r="7" spans="1:22" ht="15" customHeight="1" x14ac:dyDescent="0.25">
      <c r="A7" s="76">
        <v>6</v>
      </c>
      <c r="B7" s="201" t="str">
        <f>IF(Caratula!$F$23&lt;A7,"",I7)</f>
        <v/>
      </c>
      <c r="C7" s="76" t="str">
        <f>IF(Caratula!$F$23&gt;=A7,"Si","No")</f>
        <v>No</v>
      </c>
      <c r="D7" s="76" t="str">
        <f>IF(AND(OR(Caratula!$R$34="SI",Caratula!$R$34=""),Caratula!$F$23&gt;=A7),"Si","No")</f>
        <v>No</v>
      </c>
      <c r="E7" s="69" t="e">
        <f>IF(A7="","",
IF(E6+0.15%&gt;=Caratula!$AQ$33,Caratula!$AQ$33,
E6+0.15%))</f>
        <v>#N/A</v>
      </c>
      <c r="F7" s="69">
        <f t="shared" si="1"/>
        <v>1.5E-3</v>
      </c>
      <c r="G7" s="69" t="e">
        <f>IF(I6+F7&gt;Caratula!$AQ$33,Caratula!$AQ$33,
IF(I6+F7&lt;Caratula!$AQ$32,Caratula!$AQ$32,
I6+F7))</f>
        <v>#N/A</v>
      </c>
      <c r="H7" s="69" t="e">
        <f>IF(AND(D6="Si",G7=Caratula!$AQ$32),0,
IF(AND(D6="Si",G7=Caratula!$AQ$33),0,
IF(AND(D6="No",G7=Caratula!$AQ$33),0,
IF(D6="Si",-0.15%,
IF(AND(D6="No",J6&gt;=0),0,
IF(D6="No",0.15%))))))</f>
        <v>#N/A</v>
      </c>
      <c r="I7" s="199" t="e">
        <f>IF(G7+H7&gt;Caratula!$AQ$33,Caratula!$AQ$33,
IF(G7+H7&lt;Caratula!$AQ$32,Caratula!$AQ$32,
G7+H7))</f>
        <v>#N/A</v>
      </c>
      <c r="J7" s="199" t="e">
        <f t="shared" si="0"/>
        <v>#N/A</v>
      </c>
      <c r="K7" s="13"/>
      <c r="L7" s="13"/>
      <c r="M7" s="192"/>
      <c r="N7" s="192"/>
      <c r="O7" s="192"/>
      <c r="P7" s="192"/>
      <c r="Q7" s="192"/>
      <c r="R7" s="192"/>
      <c r="S7" s="192"/>
      <c r="T7" s="91"/>
    </row>
    <row r="8" spans="1:22" ht="15" customHeight="1" x14ac:dyDescent="0.25">
      <c r="A8" s="76">
        <v>7</v>
      </c>
      <c r="B8" s="201" t="str">
        <f>IF(Caratula!$F$23&lt;A8,"",I8)</f>
        <v/>
      </c>
      <c r="C8" s="76" t="str">
        <f>IF(Caratula!$F$23&gt;=A8,"Si","No")</f>
        <v>No</v>
      </c>
      <c r="D8" s="76" t="str">
        <f>IF(AND(OR(Caratula!$R$34="SI",Caratula!$R$34=""),Caratula!$F$23&gt;=A8),"Si","No")</f>
        <v>No</v>
      </c>
      <c r="E8" s="69" t="e">
        <f>IF(A8="","",
IF(E7+0.15%&gt;=Caratula!$AQ$33,Caratula!$AQ$33,
E7+0.15%))</f>
        <v>#N/A</v>
      </c>
      <c r="F8" s="69">
        <f t="shared" si="1"/>
        <v>1.5E-3</v>
      </c>
      <c r="G8" s="69" t="e">
        <f>IF(I7+F8&gt;Caratula!$AQ$33,Caratula!$AQ$33,
IF(I7+F8&lt;Caratula!$AQ$32,Caratula!$AQ$32,
I7+F8))</f>
        <v>#N/A</v>
      </c>
      <c r="H8" s="69" t="e">
        <f>IF(AND(D7="Si",G8=Caratula!$AQ$32),0,
IF(AND(D7="Si",G8=Caratula!$AQ$33),0,
IF(AND(D7="No",G8=Caratula!$AQ$33),0,
IF(D7="Si",-0.15%,
IF(AND(D7="No",J7&gt;=0),0,
IF(D7="No",0.15%))))))</f>
        <v>#N/A</v>
      </c>
      <c r="I8" s="199" t="e">
        <f>IF(G8+H8&gt;Caratula!$AQ$33,Caratula!$AQ$33,
IF(G8+H8&lt;Caratula!$AQ$32,Caratula!$AQ$32,
G8+H8))</f>
        <v>#N/A</v>
      </c>
      <c r="J8" s="199" t="e">
        <f t="shared" si="0"/>
        <v>#N/A</v>
      </c>
      <c r="K8" s="13"/>
      <c r="L8" s="13"/>
      <c r="M8" s="192"/>
      <c r="N8" s="192"/>
      <c r="O8" s="192"/>
      <c r="P8" s="192"/>
      <c r="Q8" s="192"/>
      <c r="R8" s="192"/>
      <c r="S8" s="192"/>
      <c r="T8" s="91"/>
      <c r="U8" s="71" t="s">
        <v>40</v>
      </c>
      <c r="V8" s="70">
        <v>-1.5E-3</v>
      </c>
    </row>
    <row r="9" spans="1:22" ht="15" customHeight="1" x14ac:dyDescent="0.25">
      <c r="A9" s="76">
        <v>8</v>
      </c>
      <c r="B9" s="201" t="str">
        <f>IF(Caratula!$F$23&lt;A9,"",I9)</f>
        <v/>
      </c>
      <c r="C9" s="76" t="str">
        <f>IF(Caratula!$F$23&gt;=A9,"Si","No")</f>
        <v>No</v>
      </c>
      <c r="D9" s="76" t="str">
        <f>IF(AND(OR(Caratula!$R$34="SI",Caratula!$R$34=""),Caratula!$F$23&gt;=A9),"Si","No")</f>
        <v>No</v>
      </c>
      <c r="E9" s="69" t="e">
        <f>IF(A9="","",
IF(E8+0.15%&gt;=Caratula!$AQ$33,Caratula!$AQ$33,
E8+0.15%))</f>
        <v>#N/A</v>
      </c>
      <c r="F9" s="69">
        <f t="shared" si="1"/>
        <v>1.5E-3</v>
      </c>
      <c r="G9" s="69" t="e">
        <f>IF(I8+F9&gt;Caratula!$AQ$33,Caratula!$AQ$33,
IF(I8+F9&lt;Caratula!$AQ$32,Caratula!$AQ$32,
I8+F9))</f>
        <v>#N/A</v>
      </c>
      <c r="H9" s="69" t="e">
        <f>IF(AND(D8="Si",G9=Caratula!$AQ$32),0,
IF(AND(D8="Si",G9=Caratula!$AQ$33),0,
IF(AND(D8="No",G9=Caratula!$AQ$33),0,
IF(D8="Si",-0.15%,
IF(AND(D8="No",J8&gt;=0),0,
IF(D8="No",0.15%))))))</f>
        <v>#N/A</v>
      </c>
      <c r="I9" s="199" t="e">
        <f>IF(G9+H9&gt;Caratula!$AQ$33,Caratula!$AQ$33,
IF(G9+H9&lt;Caratula!$AQ$32,Caratula!$AQ$32,
G9+H9))</f>
        <v>#N/A</v>
      </c>
      <c r="J9" s="199" t="e">
        <f t="shared" si="0"/>
        <v>#N/A</v>
      </c>
      <c r="K9" s="13"/>
      <c r="L9" s="13"/>
      <c r="M9" s="192"/>
      <c r="N9" s="192"/>
      <c r="O9" s="192"/>
      <c r="P9" s="192"/>
      <c r="Q9" s="192"/>
      <c r="R9" s="192"/>
      <c r="S9" s="192"/>
      <c r="T9" s="91"/>
      <c r="U9" s="71" t="s">
        <v>41</v>
      </c>
      <c r="V9" s="70">
        <v>1.5E-3</v>
      </c>
    </row>
    <row r="10" spans="1:22" ht="15" customHeight="1" x14ac:dyDescent="0.25">
      <c r="A10" s="76">
        <v>9</v>
      </c>
      <c r="B10" s="201" t="str">
        <f>IF(Caratula!$F$23&lt;A10,"",I10)</f>
        <v/>
      </c>
      <c r="C10" s="76" t="str">
        <f>IF(Caratula!$F$23&gt;=A10,"Si","No")</f>
        <v>No</v>
      </c>
      <c r="D10" s="76" t="str">
        <f>IF(AND(OR(Caratula!$R$34="SI",Caratula!$R$34=""),Caratula!$F$23&gt;=A10),"Si","No")</f>
        <v>No</v>
      </c>
      <c r="E10" s="69" t="e">
        <f>IF(A10="","",
IF(E9+0.15%&gt;=Caratula!$AQ$33,Caratula!$AQ$33,
E9+0.15%))</f>
        <v>#N/A</v>
      </c>
      <c r="F10" s="69">
        <f t="shared" si="1"/>
        <v>1.5E-3</v>
      </c>
      <c r="G10" s="69" t="e">
        <f>IF(I9+F10&gt;Caratula!$AQ$33,Caratula!$AQ$33,
IF(I9+F10&lt;Caratula!$AQ$32,Caratula!$AQ$32,
I9+F10))</f>
        <v>#N/A</v>
      </c>
      <c r="H10" s="69" t="e">
        <f>IF(AND(D9="Si",G10=Caratula!$AQ$32),0,
IF(AND(D9="Si",G10=Caratula!$AQ$33),0,
IF(AND(D9="No",G10=Caratula!$AQ$33),0,
IF(D9="Si",-0.15%,
IF(AND(D9="No",J9&gt;=0),0,
IF(D9="No",0.15%))))))</f>
        <v>#N/A</v>
      </c>
      <c r="I10" s="199" t="e">
        <f>IF(G10+H10&gt;Caratula!$AQ$33,Caratula!$AQ$33,
IF(G10+H10&lt;Caratula!$AQ$32,Caratula!$AQ$32,
G10+H10))</f>
        <v>#N/A</v>
      </c>
      <c r="J10" s="199" t="e">
        <f t="shared" si="0"/>
        <v>#N/A</v>
      </c>
      <c r="K10" s="13"/>
      <c r="L10" s="13"/>
      <c r="M10" s="192"/>
      <c r="N10" s="192"/>
      <c r="O10" s="192"/>
      <c r="P10" s="192"/>
      <c r="Q10" s="192"/>
      <c r="R10" s="192"/>
      <c r="S10" s="192"/>
      <c r="T10" s="91"/>
      <c r="U10" s="71" t="s">
        <v>33</v>
      </c>
      <c r="V10" s="70">
        <v>-1.5E-3</v>
      </c>
    </row>
    <row r="11" spans="1:22" ht="15" customHeight="1" x14ac:dyDescent="0.25">
      <c r="A11" s="76">
        <v>10</v>
      </c>
      <c r="B11" s="201" t="str">
        <f>IF(Caratula!$F$23&lt;A11,"",I11)</f>
        <v/>
      </c>
      <c r="C11" s="76" t="str">
        <f>IF(Caratula!$F$23&gt;=A11,"Si","No")</f>
        <v>No</v>
      </c>
      <c r="D11" s="76" t="str">
        <f>IF(AND(OR(Caratula!$R$34="SI",Caratula!$R$34=""),Caratula!$F$23&gt;=A11),"Si","No")</f>
        <v>No</v>
      </c>
      <c r="E11" s="69" t="e">
        <f>IF(A11="","",
IF(E10+0.15%&gt;=Caratula!$AQ$33,Caratula!$AQ$33,
E10+0.15%))</f>
        <v>#N/A</v>
      </c>
      <c r="F11" s="69">
        <f t="shared" si="1"/>
        <v>1.5E-3</v>
      </c>
      <c r="G11" s="69" t="e">
        <f>IF(I10+F11&gt;Caratula!$AQ$33,Caratula!$AQ$33,
IF(I10+F11&lt;Caratula!$AQ$32,Caratula!$AQ$32,
I10+F11))</f>
        <v>#N/A</v>
      </c>
      <c r="H11" s="69" t="e">
        <f>IF(AND(D10="Si",G11=Caratula!$AQ$32),0,
IF(AND(D10="Si",G11=Caratula!$AQ$33),0,
IF(AND(D10="No",G11=Caratula!$AQ$33),0,
IF(D10="Si",-0.15%,
IF(AND(D10="No",J10&gt;=0),0,
IF(D10="No",0.15%))))))</f>
        <v>#N/A</v>
      </c>
      <c r="I11" s="199" t="e">
        <f>IF(G11+H11&gt;Caratula!$AQ$33,Caratula!$AQ$33,
IF(G11+H11&lt;Caratula!$AQ$32,Caratula!$AQ$32,
G11+H11))</f>
        <v>#N/A</v>
      </c>
      <c r="J11" s="199" t="e">
        <f t="shared" si="0"/>
        <v>#N/A</v>
      </c>
      <c r="K11" s="13"/>
      <c r="L11" s="13"/>
      <c r="M11" s="192"/>
      <c r="N11" s="192"/>
      <c r="O11" s="192"/>
      <c r="P11" s="192"/>
      <c r="Q11" s="192"/>
      <c r="R11" s="192"/>
      <c r="S11" s="192"/>
      <c r="T11" s="91"/>
      <c r="U11" s="71" t="s">
        <v>46</v>
      </c>
      <c r="V11" s="70">
        <v>0</v>
      </c>
    </row>
    <row r="12" spans="1:22" ht="15" customHeight="1" x14ac:dyDescent="0.25">
      <c r="A12" s="76">
        <v>11</v>
      </c>
      <c r="B12" s="201" t="str">
        <f>IF(Caratula!$F$23&lt;A12,"",I12)</f>
        <v/>
      </c>
      <c r="C12" s="76" t="str">
        <f>IF(Caratula!$F$23&gt;=A12,"Si","No")</f>
        <v>No</v>
      </c>
      <c r="D12" s="76" t="str">
        <f>IF(AND(OR(Caratula!$R$34="SI",Caratula!$R$34=""),Caratula!$F$23&gt;=A12),"Si","No")</f>
        <v>No</v>
      </c>
      <c r="E12" s="69" t="e">
        <f>IF(A12="","",
IF(E11+0.15%&gt;=Caratula!$AQ$33,Caratula!$AQ$33,
E11+0.15%))</f>
        <v>#N/A</v>
      </c>
      <c r="F12" s="69">
        <f t="shared" si="1"/>
        <v>1.5E-3</v>
      </c>
      <c r="G12" s="69" t="e">
        <f>IF(I11+F12&gt;Caratula!$AQ$33,Caratula!$AQ$33,
IF(I11+F12&lt;Caratula!$AQ$32,Caratula!$AQ$32,
I11+F12))</f>
        <v>#N/A</v>
      </c>
      <c r="H12" s="69" t="e">
        <f>IF(AND(D11="Si",G12=Caratula!$AQ$32),0,
IF(AND(D11="Si",G12=Caratula!$AQ$33),0,
IF(AND(D11="No",G12=Caratula!$AQ$33),0,
IF(D11="Si",-0.15%,
IF(AND(D11="No",J11&gt;=0),0,
IF(D11="No",0.15%))))))</f>
        <v>#N/A</v>
      </c>
      <c r="I12" s="199" t="e">
        <f>IF(G12+H12&gt;Caratula!$AQ$33,Caratula!$AQ$33,
IF(G12+H12&lt;Caratula!$AQ$32,Caratula!$AQ$32,
G12+H12))</f>
        <v>#N/A</v>
      </c>
      <c r="J12" s="199" t="e">
        <f t="shared" si="0"/>
        <v>#N/A</v>
      </c>
      <c r="K12" s="13"/>
      <c r="L12" s="13"/>
      <c r="M12" s="192"/>
      <c r="N12" s="192"/>
      <c r="O12" s="192"/>
      <c r="P12" s="192"/>
      <c r="Q12" s="192"/>
      <c r="R12" s="192"/>
      <c r="S12" s="192"/>
      <c r="T12" s="91"/>
      <c r="U12" s="71" t="s">
        <v>51</v>
      </c>
      <c r="V12" s="70">
        <f>SUM(F2:F26)</f>
        <v>3.450000000000001E-2</v>
      </c>
    </row>
    <row r="13" spans="1:22" ht="15" customHeight="1" x14ac:dyDescent="0.25">
      <c r="A13" s="76">
        <v>12</v>
      </c>
      <c r="B13" s="201" t="str">
        <f>IF(Caratula!$F$23&lt;A13,"",I13)</f>
        <v/>
      </c>
      <c r="C13" s="76" t="str">
        <f>IF(Caratula!$F$23&gt;=A13,"Si","No")</f>
        <v>No</v>
      </c>
      <c r="D13" s="76" t="str">
        <f>IF(AND(OR(Caratula!$R$34="SI",Caratula!$R$34=""),Caratula!$F$23&gt;=A13),"Si","No")</f>
        <v>No</v>
      </c>
      <c r="E13" s="69" t="e">
        <f>IF(A13="","",
IF(E12+0.15%&gt;=Caratula!$AQ$33,Caratula!$AQ$33,
E12+0.15%))</f>
        <v>#N/A</v>
      </c>
      <c r="F13" s="69">
        <f t="shared" si="1"/>
        <v>1.5E-3</v>
      </c>
      <c r="G13" s="69" t="e">
        <f>IF(I12+F13&gt;Caratula!$AQ$33,Caratula!$AQ$33,
IF(I12+F13&lt;Caratula!$AQ$32,Caratula!$AQ$32,
I12+F13))</f>
        <v>#N/A</v>
      </c>
      <c r="H13" s="69" t="e">
        <f>IF(AND(D12="Si",G13=Caratula!$AQ$32),0,
IF(AND(D12="Si",G13=Caratula!$AQ$33),0,
IF(AND(D12="No",G13=Caratula!$AQ$33),0,
IF(D12="Si",-0.15%,
IF(AND(D12="No",J12&gt;=0),0,
IF(D12="No",0.15%))))))</f>
        <v>#N/A</v>
      </c>
      <c r="I13" s="199" t="e">
        <f>IF(G13+H13&gt;Caratula!$AQ$33,Caratula!$AQ$33,
IF(G13+H13&lt;Caratula!$AQ$32,Caratula!$AQ$32,
G13+H13))</f>
        <v>#N/A</v>
      </c>
      <c r="J13" s="199" t="e">
        <f t="shared" si="0"/>
        <v>#N/A</v>
      </c>
      <c r="K13" s="13"/>
      <c r="L13" s="13"/>
      <c r="M13" s="192"/>
      <c r="N13" s="192"/>
      <c r="O13" s="192"/>
      <c r="P13" s="192"/>
      <c r="Q13" s="192"/>
      <c r="R13" s="192"/>
      <c r="S13" s="192"/>
      <c r="T13" s="91"/>
      <c r="U13" s="71" t="s">
        <v>52</v>
      </c>
      <c r="V13" s="70"/>
    </row>
    <row r="14" spans="1:22" ht="15" customHeight="1" x14ac:dyDescent="0.25">
      <c r="A14" s="76">
        <v>13</v>
      </c>
      <c r="B14" s="201" t="str">
        <f>IF(Caratula!$F$23&lt;A14,"",I14)</f>
        <v/>
      </c>
      <c r="C14" s="76" t="str">
        <f>IF(Caratula!$F$23&gt;=A14,"Si","No")</f>
        <v>No</v>
      </c>
      <c r="D14" s="76" t="str">
        <f>IF(AND(OR(Caratula!$R$34="SI",Caratula!$R$34=""),Caratula!$F$23&gt;=A14),"Si","No")</f>
        <v>No</v>
      </c>
      <c r="E14" s="69" t="e">
        <f>IF(A14="","",
IF(E13+0.15%&gt;=Caratula!$AQ$33,Caratula!$AQ$33,
E13+0.15%))</f>
        <v>#N/A</v>
      </c>
      <c r="F14" s="69">
        <f t="shared" si="1"/>
        <v>1.5E-3</v>
      </c>
      <c r="G14" s="69" t="e">
        <f>IF(I13+F14&gt;Caratula!$AQ$33,Caratula!$AQ$33,
IF(I13+F14&lt;Caratula!$AQ$32,Caratula!$AQ$32,
I13+F14))</f>
        <v>#N/A</v>
      </c>
      <c r="H14" s="69" t="e">
        <f>IF(AND(D13="Si",G14=Caratula!$AQ$32),0,
IF(AND(D13="Si",G14=Caratula!$AQ$33),0,
IF(AND(D13="No",G14=Caratula!$AQ$33),0,
IF(D13="Si",-0.15%,
IF(AND(D13="No",J13&gt;=0),0,
IF(D13="No",0.15%))))))</f>
        <v>#N/A</v>
      </c>
      <c r="I14" s="199" t="e">
        <f>IF(G14+H14&gt;Caratula!$AQ$33,Caratula!$AQ$33,
IF(G14+H14&lt;Caratula!$AQ$32,Caratula!$AQ$32,
G14+H14))</f>
        <v>#N/A</v>
      </c>
      <c r="J14" s="199" t="e">
        <f t="shared" si="0"/>
        <v>#N/A</v>
      </c>
      <c r="K14" s="13"/>
      <c r="L14" s="13"/>
      <c r="M14" s="192"/>
      <c r="N14" s="192"/>
      <c r="O14" s="192"/>
      <c r="P14" s="192"/>
      <c r="Q14" s="192"/>
      <c r="R14" s="192"/>
      <c r="S14" s="192"/>
      <c r="T14" s="91"/>
    </row>
    <row r="15" spans="1:22" ht="15" customHeight="1" x14ac:dyDescent="0.25">
      <c r="A15" s="76">
        <v>14</v>
      </c>
      <c r="B15" s="201" t="str">
        <f>IF(Caratula!$F$23&lt;A15,"",I15)</f>
        <v/>
      </c>
      <c r="C15" s="76" t="str">
        <f>IF(Caratula!$F$23&gt;=A15,"Si","No")</f>
        <v>No</v>
      </c>
      <c r="D15" s="76" t="str">
        <f>IF(AND(OR(Caratula!$R$34="SI",Caratula!$R$34=""),Caratula!$F$23&gt;=A15),"Si","No")</f>
        <v>No</v>
      </c>
      <c r="E15" s="69" t="e">
        <f>IF(A15="","",
IF(E14+0.15%&gt;=Caratula!$AQ$33,Caratula!$AQ$33,
E14+0.15%))</f>
        <v>#N/A</v>
      </c>
      <c r="F15" s="69">
        <f t="shared" si="1"/>
        <v>1.5E-3</v>
      </c>
      <c r="G15" s="69" t="e">
        <f>IF(I14+F15&gt;Caratula!$AQ$33,Caratula!$AQ$33,
IF(I14+F15&lt;Caratula!$AQ$32,Caratula!$AQ$32,
I14+F15))</f>
        <v>#N/A</v>
      </c>
      <c r="H15" s="69" t="e">
        <f>IF(AND(D14="Si",G15=Caratula!$AQ$32),0,
IF(AND(D14="Si",G15=Caratula!$AQ$33),0,
IF(AND(D14="No",G15=Caratula!$AQ$33),0,
IF(D14="Si",-0.15%,
IF(AND(D14="No",J14&gt;=0),0,
IF(D14="No",0.15%))))))</f>
        <v>#N/A</v>
      </c>
      <c r="I15" s="199" t="e">
        <f>IF(G15+H15&gt;Caratula!$AQ$33,Caratula!$AQ$33,
IF(G15+H15&lt;Caratula!$AQ$32,Caratula!$AQ$32,
G15+H15))</f>
        <v>#N/A</v>
      </c>
      <c r="J15" s="199" t="e">
        <f t="shared" si="0"/>
        <v>#N/A</v>
      </c>
      <c r="K15" s="13"/>
      <c r="L15" s="13"/>
      <c r="M15" s="192"/>
      <c r="N15" s="192"/>
      <c r="O15" s="192"/>
      <c r="P15" s="192"/>
      <c r="Q15" s="192"/>
      <c r="R15" s="192"/>
      <c r="S15" s="192"/>
      <c r="T15" s="91"/>
    </row>
    <row r="16" spans="1:22" ht="15" customHeight="1" x14ac:dyDescent="0.25">
      <c r="A16" s="76">
        <v>15</v>
      </c>
      <c r="B16" s="201" t="str">
        <f>IF(Caratula!$F$23&lt;A16,"",I16)</f>
        <v/>
      </c>
      <c r="C16" s="76" t="str">
        <f>IF(Caratula!$F$23&gt;=A16,"Si","No")</f>
        <v>No</v>
      </c>
      <c r="D16" s="76" t="str">
        <f>IF(AND(OR(Caratula!$R$34="SI",Caratula!$R$34=""),Caratula!$F$23&gt;=A16),"Si","No")</f>
        <v>No</v>
      </c>
      <c r="E16" s="69" t="e">
        <f>IF(A16="","",
IF(E15+0.15%&gt;=Caratula!$AQ$33,Caratula!$AQ$33,
E15+0.15%))</f>
        <v>#N/A</v>
      </c>
      <c r="F16" s="69">
        <f t="shared" si="1"/>
        <v>1.5E-3</v>
      </c>
      <c r="G16" s="69" t="e">
        <f>IF(I15+F16&gt;Caratula!$AQ$33,Caratula!$AQ$33,
IF(I15+F16&lt;Caratula!$AQ$32,Caratula!$AQ$32,
I15+F16))</f>
        <v>#N/A</v>
      </c>
      <c r="H16" s="69" t="e">
        <f>IF(AND(D15="Si",G16=Caratula!$AQ$32),0,
IF(AND(D15="Si",G16=Caratula!$AQ$33),0,
IF(AND(D15="No",G16=Caratula!$AQ$33),0,
IF(D15="Si",-0.15%,
IF(AND(D15="No",J15&gt;=0),0,
IF(D15="No",0.15%))))))</f>
        <v>#N/A</v>
      </c>
      <c r="I16" s="199" t="e">
        <f>IF(G16+H16&gt;Caratula!$AQ$33,Caratula!$AQ$33,
IF(G16+H16&lt;Caratula!$AQ$32,Caratula!$AQ$32,
G16+H16))</f>
        <v>#N/A</v>
      </c>
      <c r="J16" s="199" t="e">
        <f t="shared" si="0"/>
        <v>#N/A</v>
      </c>
      <c r="K16" s="13"/>
      <c r="L16" s="13"/>
      <c r="M16" s="192"/>
      <c r="N16" s="192"/>
      <c r="O16" s="192"/>
      <c r="P16" s="192"/>
      <c r="Q16" s="192"/>
      <c r="R16" s="192"/>
      <c r="S16" s="192"/>
      <c r="T16" s="91"/>
    </row>
    <row r="17" spans="1:21" ht="15" customHeight="1" x14ac:dyDescent="0.25">
      <c r="A17" s="76">
        <v>16</v>
      </c>
      <c r="B17" s="201" t="str">
        <f>IF(Caratula!$F$23&lt;A17,"",I17)</f>
        <v/>
      </c>
      <c r="C17" s="76" t="str">
        <f>IF(Caratula!$F$23&gt;=A17,"Si","No")</f>
        <v>No</v>
      </c>
      <c r="D17" s="76" t="str">
        <f>IF(AND(OR(Caratula!$R$34="SI",Caratula!$R$34=""),Caratula!$F$23&gt;=A17),"Si","No")</f>
        <v>No</v>
      </c>
      <c r="E17" s="69" t="e">
        <f>IF(A17="","",
IF(E16+0.15%&gt;=Caratula!$AQ$33,Caratula!$AQ$33,
E16+0.15%))</f>
        <v>#N/A</v>
      </c>
      <c r="F17" s="69">
        <f t="shared" si="1"/>
        <v>1.5E-3</v>
      </c>
      <c r="G17" s="69" t="e">
        <f>IF(I16+F17&gt;Caratula!$AQ$33,Caratula!$AQ$33,
IF(I16+F17&lt;Caratula!$AQ$32,Caratula!$AQ$32,
I16+F17))</f>
        <v>#N/A</v>
      </c>
      <c r="H17" s="69" t="e">
        <f>IF(AND(D16="Si",G17=Caratula!$AQ$32),0,
IF(AND(D16="Si",G17=Caratula!$AQ$33),0,
IF(AND(D16="No",G17=Caratula!$AQ$33),0,
IF(D16="Si",-0.15%,
IF(AND(D16="No",J16&gt;=0),0,
IF(D16="No",0.15%))))))</f>
        <v>#N/A</v>
      </c>
      <c r="I17" s="199" t="e">
        <f>IF(G17+H17&gt;Caratula!$AQ$33,Caratula!$AQ$33,
IF(G17+H17&lt;Caratula!$AQ$32,Caratula!$AQ$32,
G17+H17))</f>
        <v>#N/A</v>
      </c>
      <c r="J17" s="199" t="e">
        <f t="shared" si="0"/>
        <v>#N/A</v>
      </c>
      <c r="K17" s="13"/>
      <c r="L17" s="13"/>
      <c r="M17" s="192"/>
      <c r="N17" s="192"/>
      <c r="O17" s="192"/>
      <c r="P17" s="192"/>
      <c r="Q17" s="192"/>
      <c r="R17" s="192"/>
      <c r="S17" s="192"/>
      <c r="T17" s="91"/>
    </row>
    <row r="18" spans="1:21" ht="15" customHeight="1" x14ac:dyDescent="0.25">
      <c r="A18" s="76">
        <v>17</v>
      </c>
      <c r="B18" s="201" t="str">
        <f>IF(Caratula!$F$23&lt;A18,"",I18)</f>
        <v/>
      </c>
      <c r="C18" s="76" t="str">
        <f>IF(Caratula!$F$23&gt;=A18,"Si","No")</f>
        <v>No</v>
      </c>
      <c r="D18" s="76" t="str">
        <f>IF(AND(OR(Caratula!$R$34="SI",Caratula!$R$34=""),Caratula!$F$23&gt;=A18),"Si","No")</f>
        <v>No</v>
      </c>
      <c r="E18" s="69" t="e">
        <f>IF(A18="","",
IF(E17+0.15%&gt;=Caratula!$AQ$33,Caratula!$AQ$33,
E17+0.15%))</f>
        <v>#N/A</v>
      </c>
      <c r="F18" s="69">
        <f t="shared" si="1"/>
        <v>1.5E-3</v>
      </c>
      <c r="G18" s="69" t="e">
        <f>IF(I17+F18&gt;Caratula!$AQ$33,Caratula!$AQ$33,
IF(I17+F18&lt;Caratula!$AQ$32,Caratula!$AQ$32,
I17+F18))</f>
        <v>#N/A</v>
      </c>
      <c r="H18" s="69" t="e">
        <f>IF(AND(D17="Si",G18=Caratula!$AQ$32),0,
IF(AND(D17="Si",G18=Caratula!$AQ$33),0,
IF(AND(D17="No",G18=Caratula!$AQ$33),0,
IF(D17="Si",-0.15%,
IF(AND(D17="No",J17&gt;=0),0,
IF(D17="No",0.15%))))))</f>
        <v>#N/A</v>
      </c>
      <c r="I18" s="199" t="e">
        <f>IF(G18+H18&gt;Caratula!$AQ$33,Caratula!$AQ$33,
IF(G18+H18&lt;Caratula!$AQ$32,Caratula!$AQ$32,
G18+H18))</f>
        <v>#N/A</v>
      </c>
      <c r="J18" s="199" t="e">
        <f t="shared" si="0"/>
        <v>#N/A</v>
      </c>
      <c r="K18" s="13"/>
      <c r="L18" s="13"/>
      <c r="M18" s="192"/>
      <c r="N18" s="192"/>
      <c r="O18" s="192"/>
      <c r="P18" s="192"/>
      <c r="Q18" s="192"/>
      <c r="R18" s="192"/>
      <c r="S18" s="192"/>
      <c r="T18" s="91"/>
    </row>
    <row r="19" spans="1:21" ht="15" customHeight="1" x14ac:dyDescent="0.25">
      <c r="A19" s="76">
        <v>18</v>
      </c>
      <c r="B19" s="69" t="str">
        <f>IF(Caratula!$F$23&lt;A19,"",I19)</f>
        <v/>
      </c>
      <c r="C19" s="76" t="str">
        <f>IF(Caratula!$F$23&gt;=A19,"Si","No")</f>
        <v>No</v>
      </c>
      <c r="D19" s="76" t="str">
        <f>IF(AND(OR(Caratula!$R$34="SI",Caratula!$R$34=""),Caratula!$F$23&gt;=A19),"Si","No")</f>
        <v>No</v>
      </c>
      <c r="E19" s="69" t="e">
        <f>IF(A19="","",
IF(E18+0.15%&gt;=Caratula!$AQ$33,Caratula!$AQ$33,
E18+0.15%))</f>
        <v>#N/A</v>
      </c>
      <c r="F19" s="69">
        <f t="shared" si="1"/>
        <v>1.5E-3</v>
      </c>
      <c r="G19" s="69" t="e">
        <f>IF(I18+F19&gt;Caratula!$AQ$33,Caratula!$AQ$33,
IF(I18+F19&lt;Caratula!$AQ$32,Caratula!$AQ$32,
I18+F19))</f>
        <v>#N/A</v>
      </c>
      <c r="H19" s="69" t="e">
        <f>IF(AND(D18="Si",G19=Caratula!$AQ$32),0,
IF(AND(D18="Si",G19=Caratula!$AQ$33),0,
IF(AND(D18="No",G19=Caratula!$AQ$33),0,
IF(D18="Si",-0.15%,
IF(AND(D18="No",J18&gt;=0),0,
IF(D18="No",0.15%))))))</f>
        <v>#N/A</v>
      </c>
      <c r="I19" s="199" t="e">
        <f>IF(G19+H19&gt;Caratula!$AQ$33,Caratula!$AQ$33,
IF(G19+H19&lt;Caratula!$AQ$32,Caratula!$AQ$32,
G19+H19))</f>
        <v>#N/A</v>
      </c>
      <c r="J19" s="199" t="e">
        <f t="shared" si="0"/>
        <v>#N/A</v>
      </c>
      <c r="K19" s="13"/>
      <c r="L19" s="13"/>
      <c r="M19" s="192"/>
      <c r="N19" s="192"/>
      <c r="O19" s="192"/>
      <c r="P19" s="192"/>
      <c r="Q19" s="192"/>
      <c r="R19" s="192"/>
      <c r="S19" s="192"/>
      <c r="T19" s="91"/>
    </row>
    <row r="20" spans="1:21" ht="15" customHeight="1" x14ac:dyDescent="0.25">
      <c r="A20" s="76">
        <v>19</v>
      </c>
      <c r="B20" s="69" t="str">
        <f>IF(Caratula!$F$23&lt;A20,"",I20)</f>
        <v/>
      </c>
      <c r="C20" s="76" t="str">
        <f>IF(Caratula!$F$23&gt;=A20,"Si","No")</f>
        <v>No</v>
      </c>
      <c r="D20" s="76" t="str">
        <f>IF(AND(OR(Caratula!$R$34="SI",Caratula!$R$34=""),Caratula!$F$23&gt;=A20),"Si","No")</f>
        <v>No</v>
      </c>
      <c r="E20" s="69" t="e">
        <f>IF(A20="","",
IF(E19+0.15%&gt;=Caratula!$AQ$33,Caratula!$AQ$33,
E19+0.15%))</f>
        <v>#N/A</v>
      </c>
      <c r="F20" s="69">
        <f t="shared" si="1"/>
        <v>1.5E-3</v>
      </c>
      <c r="G20" s="69" t="e">
        <f>IF(I19+F20&gt;Caratula!$AQ$33,Caratula!$AQ$33,
IF(I19+F20&lt;Caratula!$AQ$32,Caratula!$AQ$32,
I19+F20))</f>
        <v>#N/A</v>
      </c>
      <c r="H20" s="69" t="e">
        <f>IF(AND(D19="Si",G20=Caratula!$AQ$32),0,
IF(AND(D19="Si",G20=Caratula!$AQ$33),0,
IF(AND(D19="No",G20=Caratula!$AQ$33),0,
IF(D19="Si",-0.15%,
IF(AND(D19="No",J19&gt;=0),0,
IF(D19="No",0.15%))))))</f>
        <v>#N/A</v>
      </c>
      <c r="I20" s="199" t="e">
        <f>IF(G20+H20&gt;Caratula!$AQ$33,Caratula!$AQ$33,
IF(G20+H20&lt;Caratula!$AQ$32,Caratula!$AQ$32,
G20+H20))</f>
        <v>#N/A</v>
      </c>
      <c r="J20" s="199" t="e">
        <f t="shared" si="0"/>
        <v>#N/A</v>
      </c>
      <c r="K20" s="13"/>
      <c r="L20" s="13"/>
      <c r="M20" s="192"/>
      <c r="N20" s="192"/>
      <c r="O20" s="192"/>
      <c r="P20" s="192"/>
      <c r="Q20" s="192"/>
      <c r="R20" s="192"/>
      <c r="S20" s="192"/>
      <c r="T20" s="91"/>
    </row>
    <row r="21" spans="1:21" ht="15" customHeight="1" x14ac:dyDescent="0.25">
      <c r="A21" s="76">
        <v>20</v>
      </c>
      <c r="B21" s="69" t="str">
        <f>IF(Caratula!$F$23&lt;A21,"",I21)</f>
        <v/>
      </c>
      <c r="C21" s="76" t="str">
        <f>IF(Caratula!$F$23&gt;=A21,"Si","No")</f>
        <v>No</v>
      </c>
      <c r="D21" s="76" t="str">
        <f>IF(AND(OR(Caratula!$R$34="SI",Caratula!$R$34=""),Caratula!$F$23&gt;=A21),"Si","No")</f>
        <v>No</v>
      </c>
      <c r="E21" s="69" t="e">
        <f>IF(A21="","",
IF(E20+0.15%&gt;=Caratula!$AQ$33,Caratula!$AQ$33,
E20+0.15%))</f>
        <v>#N/A</v>
      </c>
      <c r="F21" s="69">
        <f t="shared" si="1"/>
        <v>1.5E-3</v>
      </c>
      <c r="G21" s="69" t="e">
        <f>IF(I20+F21&gt;Caratula!$AQ$33,Caratula!$AQ$33,
IF(I20+F21&lt;Caratula!$AQ$32,Caratula!$AQ$32,
I20+F21))</f>
        <v>#N/A</v>
      </c>
      <c r="H21" s="69" t="e">
        <f>IF(AND(D20="Si",G21=Caratula!$AQ$32),0,
IF(AND(D20="Si",G21=Caratula!$AQ$33),0,
IF(AND(D20="No",G21=Caratula!$AQ$33),0,
IF(D20="Si",-0.15%,
IF(AND(D20="No",J20&gt;=0),0,
IF(D20="No",0.15%))))))</f>
        <v>#N/A</v>
      </c>
      <c r="I21" s="199" t="e">
        <f>IF(G21+H21&gt;Caratula!$AQ$33,Caratula!$AQ$33,
IF(G21+H21&lt;Caratula!$AQ$32,Caratula!$AQ$32,
G21+H21))</f>
        <v>#N/A</v>
      </c>
      <c r="J21" s="199" t="e">
        <f t="shared" si="0"/>
        <v>#N/A</v>
      </c>
      <c r="K21" s="13"/>
      <c r="L21" s="13"/>
      <c r="M21" s="192"/>
      <c r="N21" s="192"/>
      <c r="O21" s="192"/>
      <c r="P21" s="192"/>
      <c r="Q21" s="192"/>
      <c r="R21" s="192"/>
      <c r="S21" s="192"/>
      <c r="T21" s="91"/>
    </row>
    <row r="22" spans="1:21" ht="15" customHeight="1" x14ac:dyDescent="0.25">
      <c r="A22" s="76">
        <v>21</v>
      </c>
      <c r="B22" s="69" t="str">
        <f>IF(Caratula!$F$23&lt;A22,"",I22)</f>
        <v/>
      </c>
      <c r="C22" s="76" t="str">
        <f>IF(Caratula!$F$23&gt;=A22,"Si","No")</f>
        <v>No</v>
      </c>
      <c r="D22" s="76" t="str">
        <f>IF(AND(OR(Caratula!$R$34="SI",Caratula!$R$34=""),Caratula!$F$23&gt;=A22),"Si","No")</f>
        <v>No</v>
      </c>
      <c r="E22" s="69" t="e">
        <f>IF(A22="","",
IF(E21+0.15%&gt;=Caratula!$AQ$33,Caratula!$AQ$33,
E21+0.15%))</f>
        <v>#N/A</v>
      </c>
      <c r="F22" s="69">
        <f t="shared" si="1"/>
        <v>1.5E-3</v>
      </c>
      <c r="G22" s="69" t="e">
        <f>IF(I21+F22&gt;Caratula!$AQ$33,Caratula!$AQ$33,
IF(I21+F22&lt;Caratula!$AQ$32,Caratula!$AQ$32,
I21+F22))</f>
        <v>#N/A</v>
      </c>
      <c r="H22" s="69" t="e">
        <f>IF(AND(D21="Si",G22=Caratula!$AQ$32),0,
IF(AND(D21="Si",G22=Caratula!$AQ$33),0,
IF(AND(D21="No",G22=Caratula!$AQ$33),0,
IF(D21="Si",-0.15%,
IF(AND(D21="No",J21&gt;=0),0,
IF(D21="No",0.15%))))))</f>
        <v>#N/A</v>
      </c>
      <c r="I22" s="199" t="e">
        <f>IF(G22+H22&gt;Caratula!$AQ$33,Caratula!$AQ$33,
IF(G22+H22&lt;Caratula!$AQ$32,Caratula!$AQ$32,
G22+H22))</f>
        <v>#N/A</v>
      </c>
      <c r="J22" s="199" t="e">
        <f t="shared" si="0"/>
        <v>#N/A</v>
      </c>
      <c r="K22" s="13"/>
      <c r="L22" s="192"/>
      <c r="M22" s="192"/>
      <c r="N22" s="192"/>
      <c r="O22" s="192"/>
      <c r="P22" s="192"/>
      <c r="Q22" s="192"/>
      <c r="R22" s="192"/>
      <c r="S22" s="192"/>
    </row>
    <row r="23" spans="1:21" ht="15" customHeight="1" x14ac:dyDescent="0.25">
      <c r="A23" s="76">
        <v>22</v>
      </c>
      <c r="B23" s="69" t="str">
        <f>IF(Caratula!$F$23&lt;A23,"",I23)</f>
        <v/>
      </c>
      <c r="C23" s="76" t="str">
        <f>IF(Caratula!$F$23&gt;=A23,"Si","No")</f>
        <v>No</v>
      </c>
      <c r="D23" s="76" t="str">
        <f>IF(AND(OR(Caratula!$R$34="SI",Caratula!$R$34=""),Caratula!$F$23&gt;=A23),"Si","No")</f>
        <v>No</v>
      </c>
      <c r="E23" s="69" t="e">
        <f>IF(A23="","",
IF(E22+0.15%&gt;=Caratula!$AQ$33,Caratula!$AQ$33,
E22+0.15%))</f>
        <v>#N/A</v>
      </c>
      <c r="F23" s="69">
        <f t="shared" si="1"/>
        <v>1.5E-3</v>
      </c>
      <c r="G23" s="69" t="e">
        <f>IF(I22+F23&gt;Caratula!$AQ$33,Caratula!$AQ$33,
IF(I22+F23&lt;Caratula!$AQ$32,Caratula!$AQ$32,
I22+F23))</f>
        <v>#N/A</v>
      </c>
      <c r="H23" s="69" t="e">
        <f>IF(AND(D22="Si",G23=Caratula!$AQ$32),0,
IF(AND(D22="Si",G23=Caratula!$AQ$33),0,
IF(AND(D22="No",G23=Caratula!$AQ$33),0,
IF(D22="Si",-0.15%,
IF(AND(D22="No",J22&gt;=0),0,
IF(D22="No",0.15%))))))</f>
        <v>#N/A</v>
      </c>
      <c r="I23" s="199" t="e">
        <f>IF(G23+H23&gt;Caratula!$AQ$33,Caratula!$AQ$33,
IF(G23+H23&lt;Caratula!$AQ$32,Caratula!$AQ$32,
G23+H23))</f>
        <v>#N/A</v>
      </c>
      <c r="J23" s="199" t="e">
        <f t="shared" si="0"/>
        <v>#N/A</v>
      </c>
      <c r="K23" s="13"/>
      <c r="L23" s="192"/>
      <c r="M23" s="192"/>
      <c r="N23" s="192"/>
      <c r="O23" s="192"/>
      <c r="P23" s="192"/>
      <c r="Q23" s="192"/>
      <c r="R23" s="192"/>
      <c r="S23" s="192"/>
    </row>
    <row r="24" spans="1:21" ht="15" customHeight="1" x14ac:dyDescent="0.25">
      <c r="A24" s="76">
        <v>23</v>
      </c>
      <c r="B24" s="69" t="str">
        <f>IF(Caratula!$F$23&lt;A24,"",I24)</f>
        <v/>
      </c>
      <c r="C24" s="76" t="str">
        <f>IF(Caratula!$F$23&gt;=A24,"Si","No")</f>
        <v>No</v>
      </c>
      <c r="D24" s="76" t="str">
        <f>IF(AND(OR(Caratula!$R$34="SI",Caratula!$R$34=""),Caratula!$F$23&gt;=A24),"Si","No")</f>
        <v>No</v>
      </c>
      <c r="E24" s="69" t="e">
        <f>IF(A24="","",
IF(E23+0.15%&gt;=Caratula!$AQ$33,Caratula!$AQ$33,
E23+0.15%))</f>
        <v>#N/A</v>
      </c>
      <c r="F24" s="69">
        <f t="shared" si="1"/>
        <v>1.5E-3</v>
      </c>
      <c r="G24" s="69" t="e">
        <f>IF(I23+F24&gt;Caratula!$AQ$33,Caratula!$AQ$33,
IF(I23+F24&lt;Caratula!$AQ$32,Caratula!$AQ$32,
I23+F24))</f>
        <v>#N/A</v>
      </c>
      <c r="H24" s="69" t="e">
        <f>IF(AND(D23="Si",G24=Caratula!$AQ$32),0,
IF(AND(D23="Si",G24=Caratula!$AQ$33),0,
IF(AND(D23="No",G24=Caratula!$AQ$33),0,
IF(D23="Si",-0.15%,
IF(AND(D23="No",J23&gt;=0),0,
IF(D23="No",0.15%))))))</f>
        <v>#N/A</v>
      </c>
      <c r="I24" s="199" t="e">
        <f>IF(G24+H24&gt;Caratula!$AQ$33,Caratula!$AQ$33,
IF(G24+H24&lt;Caratula!$AQ$32,Caratula!$AQ$32,
G24+H24))</f>
        <v>#N/A</v>
      </c>
      <c r="J24" s="199" t="e">
        <f t="shared" si="0"/>
        <v>#N/A</v>
      </c>
      <c r="K24" s="13"/>
      <c r="L24" s="192"/>
      <c r="M24" s="192"/>
      <c r="N24" s="192"/>
      <c r="O24" s="192"/>
      <c r="P24" s="192"/>
      <c r="Q24" s="192"/>
      <c r="R24" s="192"/>
      <c r="S24" s="192"/>
    </row>
    <row r="25" spans="1:21" ht="15" customHeight="1" x14ac:dyDescent="0.25">
      <c r="A25" s="76">
        <v>24</v>
      </c>
      <c r="B25" s="69" t="str">
        <f>IF(Caratula!$F$23&lt;A25,"",I25)</f>
        <v/>
      </c>
      <c r="C25" s="76" t="str">
        <f>IF(Caratula!$F$23&gt;=A25,"Si","No")</f>
        <v>No</v>
      </c>
      <c r="D25" s="76" t="str">
        <f>IF(AND(OR(Caratula!$R$34="SI",Caratula!$R$34=""),Caratula!$F$23&gt;=A25),"Si","No")</f>
        <v>No</v>
      </c>
      <c r="E25" s="69" t="e">
        <f>IF(A25="","",
IF(E24+0.15%&gt;=Caratula!$AQ$33,Caratula!$AQ$33,
E24+0.15%))</f>
        <v>#N/A</v>
      </c>
      <c r="F25" s="69">
        <f t="shared" si="1"/>
        <v>1.5E-3</v>
      </c>
      <c r="G25" s="69" t="e">
        <f>IF(I24+F25&gt;Caratula!$AQ$33,Caratula!$AQ$33,
IF(I24+F25&lt;Caratula!$AQ$32,Caratula!$AQ$32,
I24+F25))</f>
        <v>#N/A</v>
      </c>
      <c r="H25" s="69" t="e">
        <f>IF(AND(D24="Si",G25=Caratula!$AQ$32),0,
IF(AND(D24="Si",G25=Caratula!$AQ$33),0,
IF(AND(D24="No",G25=Caratula!$AQ$33),0,
IF(D24="Si",-0.15%,
IF(AND(D24="No",J24&gt;=0),0,
IF(D24="No",0.15%))))))</f>
        <v>#N/A</v>
      </c>
      <c r="I25" s="199" t="e">
        <f>IF(G25+H25&gt;Caratula!$AQ$33,Caratula!$AQ$33,
IF(G25+H25&lt;Caratula!$AQ$32,Caratula!$AQ$32,
G25+H25))</f>
        <v>#N/A</v>
      </c>
      <c r="J25" s="199" t="e">
        <f t="shared" si="0"/>
        <v>#N/A</v>
      </c>
      <c r="K25" s="13"/>
      <c r="L25" s="192"/>
      <c r="M25" s="192"/>
      <c r="N25" s="192"/>
      <c r="O25" s="192"/>
      <c r="P25" s="192"/>
      <c r="Q25" s="192"/>
      <c r="R25" s="192"/>
      <c r="S25" s="192"/>
    </row>
    <row r="26" spans="1:21" ht="15" customHeight="1" x14ac:dyDescent="0.25">
      <c r="A26" s="76">
        <v>25</v>
      </c>
      <c r="B26" s="69" t="str">
        <f>IF(Caratula!$F$23&lt;A26,"",I26)</f>
        <v/>
      </c>
      <c r="C26" s="76" t="str">
        <f>IF(Caratula!$F$23&gt;=A26,"Si","No")</f>
        <v>No</v>
      </c>
      <c r="D26" s="76" t="str">
        <f>IF(AND(OR(Caratula!$R$34="SI",Caratula!$R$34=""),Caratula!$F$23&gt;=A26),"Si","No")</f>
        <v>No</v>
      </c>
      <c r="E26" s="69" t="e">
        <f>IF(A26="","",
IF(E25+0.15%&gt;=Caratula!$AQ$33,Caratula!$AQ$33,
E25+0.15%))</f>
        <v>#N/A</v>
      </c>
      <c r="F26" s="69">
        <f t="shared" si="1"/>
        <v>1.5E-3</v>
      </c>
      <c r="G26" s="69" t="e">
        <f>IF(I25+F26&gt;Caratula!$AQ$33,Caratula!$AQ$33,
IF(I25+F26&lt;Caratula!$AQ$32,Caratula!$AQ$32,
I25+F26))</f>
        <v>#N/A</v>
      </c>
      <c r="H26" s="69" t="e">
        <f>IF(AND(D25="Si",G26=Caratula!$AQ$32),0,
IF(AND(D25="Si",G26=Caratula!$AQ$33),0,
IF(AND(D25="No",G26=Caratula!$AQ$33),0,
IF(D25="Si",-0.15%,
IF(AND(D25="No",J25&gt;=0),0,
IF(D25="No",0.15%))))))</f>
        <v>#N/A</v>
      </c>
      <c r="I26" s="199" t="e">
        <f>IF(G26+H26&gt;Caratula!$AQ$33,Caratula!$AQ$33,
IF(G26+H26&lt;Caratula!$AQ$32,Caratula!$AQ$32,
G26+H26))</f>
        <v>#N/A</v>
      </c>
      <c r="J26" s="199" t="e">
        <f t="shared" si="0"/>
        <v>#N/A</v>
      </c>
      <c r="K26" s="13"/>
      <c r="L26" s="192"/>
      <c r="M26" s="192"/>
      <c r="N26" s="192"/>
      <c r="O26" s="192"/>
      <c r="P26" s="192"/>
      <c r="Q26" s="192"/>
      <c r="R26" s="192"/>
      <c r="S26" s="192"/>
    </row>
    <row r="27" spans="1:21" x14ac:dyDescent="0.25">
      <c r="H27" s="13"/>
      <c r="I27" s="13"/>
      <c r="L27" s="92"/>
      <c r="N27" s="91"/>
    </row>
    <row r="28" spans="1:21" x14ac:dyDescent="0.25">
      <c r="F28" s="13"/>
      <c r="G28" s="13"/>
      <c r="L28" s="92"/>
    </row>
    <row r="29" spans="1:21" x14ac:dyDescent="0.25">
      <c r="L29" s="92"/>
    </row>
    <row r="30" spans="1:21" x14ac:dyDescent="0.25">
      <c r="L30" s="92"/>
    </row>
    <row r="31" spans="1:21" x14ac:dyDescent="0.25">
      <c r="L31" s="92"/>
      <c r="U31" s="191"/>
    </row>
    <row r="32" spans="1:21" x14ac:dyDescent="0.25">
      <c r="L32" s="92"/>
    </row>
    <row r="33" spans="1:22" x14ac:dyDescent="0.25">
      <c r="L33" s="92"/>
      <c r="U33" s="92"/>
    </row>
    <row r="34" spans="1:22" x14ac:dyDescent="0.25">
      <c r="L34" s="92"/>
    </row>
    <row r="35" spans="1:22" x14ac:dyDescent="0.25">
      <c r="A35" s="859" t="s">
        <v>257</v>
      </c>
      <c r="B35" s="859"/>
      <c r="C35" s="859"/>
      <c r="D35" s="859"/>
      <c r="E35" s="859"/>
      <c r="F35" s="859"/>
      <c r="G35" s="859"/>
      <c r="H35" s="859"/>
      <c r="I35" s="859"/>
      <c r="J35" s="859"/>
      <c r="K35" s="91"/>
      <c r="L35" s="192"/>
      <c r="M35" s="192"/>
      <c r="N35" s="91"/>
      <c r="O35" s="192"/>
      <c r="P35" s="192"/>
      <c r="Q35" s="192"/>
      <c r="R35" s="192"/>
      <c r="S35" s="192"/>
    </row>
    <row r="36" spans="1:22" ht="65.25" customHeight="1" x14ac:dyDescent="0.25">
      <c r="A36" s="67" t="s">
        <v>37</v>
      </c>
      <c r="B36" s="67" t="s">
        <v>38</v>
      </c>
      <c r="C36" s="67" t="s">
        <v>49</v>
      </c>
      <c r="D36" s="67" t="s">
        <v>50</v>
      </c>
      <c r="E36" s="68" t="s">
        <v>153</v>
      </c>
      <c r="F36" s="67" t="s">
        <v>47</v>
      </c>
      <c r="G36" s="67" t="s">
        <v>312</v>
      </c>
      <c r="H36" s="67" t="s">
        <v>48</v>
      </c>
      <c r="I36" s="67" t="s">
        <v>313</v>
      </c>
      <c r="J36" s="286" t="s">
        <v>269</v>
      </c>
      <c r="K36" s="202" t="s">
        <v>0</v>
      </c>
      <c r="L36" s="198"/>
      <c r="M36" s="198"/>
      <c r="N36" s="185"/>
      <c r="O36" s="198"/>
      <c r="P36" s="198"/>
      <c r="Q36" s="198"/>
      <c r="R36" s="198"/>
      <c r="S36" s="198"/>
      <c r="T36" s="193"/>
    </row>
    <row r="37" spans="1:22" x14ac:dyDescent="0.25">
      <c r="A37" s="76">
        <v>1</v>
      </c>
      <c r="B37" s="69">
        <f>IF((Simul_ConstruRemo!$I$19/12)+Simul_ConstruRemo!$I$21+1&lt;A37,"",I37)</f>
        <v>9.6500000000000002E-2</v>
      </c>
      <c r="C37" s="76" t="str">
        <f>IF(A37&lt;=K37,"Si","No")</f>
        <v>Si</v>
      </c>
      <c r="D37" s="76" t="str">
        <f>IF(AND(OR(Simul_ConstruRemo!$R$52="SI",Simul_ConstruRemo!$R$52=""),A37&lt;=K37),"Si","No")</f>
        <v>No</v>
      </c>
      <c r="E37" s="69">
        <f>Simul_ConstruRemo!AY7</f>
        <v>9.6500000000000002E-2</v>
      </c>
      <c r="F37" s="69"/>
      <c r="G37" s="69"/>
      <c r="H37" s="69"/>
      <c r="I37" s="69">
        <f>Simul_ConstruRemo!AY7</f>
        <v>9.6500000000000002E-2</v>
      </c>
      <c r="J37" s="199">
        <v>0</v>
      </c>
      <c r="K37" s="76">
        <f>VALUE(ROUNDUP((Simul_ConstruRemo!$I$21+(Simul_ConstruRemo!$I$19/12)),0))</f>
        <v>21</v>
      </c>
      <c r="M37" s="63"/>
      <c r="T37" s="92"/>
    </row>
    <row r="38" spans="1:22" x14ac:dyDescent="0.25">
      <c r="A38" s="76">
        <v>2</v>
      </c>
      <c r="B38" s="69">
        <f>IF((Simul_ConstruRemo!$I$19/12)+Simul_ConstruRemo!$I$21+1&lt;A38,"",I38)</f>
        <v>9.6500000000000002E-2</v>
      </c>
      <c r="C38" s="76" t="str">
        <f t="shared" ref="C38:C58" si="2">IF(A38&lt;=K38,"Si","No")</f>
        <v>Si</v>
      </c>
      <c r="D38" s="76" t="str">
        <f>IF(AND(OR(Simul_ConstruRemo!$R$52="SI",Simul_ConstruRemo!$R$52=""),A38&lt;=K38),"Si","No")</f>
        <v>No</v>
      </c>
      <c r="E38" s="69">
        <f>Simul_ConstruRemo!AY7</f>
        <v>9.6500000000000002E-2</v>
      </c>
      <c r="F38" s="69"/>
      <c r="G38" s="69"/>
      <c r="H38" s="69">
        <f>IF(AND(D37="Si",G38=Simul_ConstruRemo!$AY$8),0,
IF(AND(D37="Si",G38=Simul_ConstruRemo!$AY$9),0,
IF(AND(D37="No",G38=Simul_ConstruRemo!$AY$9),0,
IF(D37="Si",-0.15%,
IF(AND(D37="No",J37&gt;=0),0,
IF(D37="No",0.15%))))))</f>
        <v>0</v>
      </c>
      <c r="I38" s="199">
        <f>IF(I37+H38&gt;Simul_ConstruRemo!$AY$9,Simul_ConstruRemo!$AY$9,
IF(I37+H38&lt;Simul_ConstruRemo!$AY$8,Simul_ConstruRemo!$AY$8,
I37+H38))</f>
        <v>9.6500000000000002E-2</v>
      </c>
      <c r="J38" s="199">
        <f t="shared" ref="J38:J58" si="3">+H38+J37</f>
        <v>0</v>
      </c>
      <c r="K38" s="76">
        <f>VALUE(ROUNDUP((Simul_ConstruRemo!$I$21+(Simul_ConstruRemo!$I$19/12)),0))</f>
        <v>21</v>
      </c>
      <c r="M38" s="63"/>
      <c r="O38" s="192"/>
      <c r="P38" s="192"/>
      <c r="Q38" s="192"/>
      <c r="R38" s="192"/>
      <c r="S38" s="192"/>
      <c r="T38" s="91"/>
    </row>
    <row r="39" spans="1:22" x14ac:dyDescent="0.25">
      <c r="A39" s="76">
        <v>3</v>
      </c>
      <c r="B39" s="69">
        <f>IF((Simul_ConstruRemo!$I$19/12)+Simul_ConstruRemo!$I$21+1&lt;A39,"",I39)</f>
        <v>9.5000000000000001E-2</v>
      </c>
      <c r="C39" s="76" t="str">
        <f t="shared" si="2"/>
        <v>Si</v>
      </c>
      <c r="D39" s="76" t="str">
        <f>IF(AND(OR(Simul_ConstruRemo!$R$52="SI",Simul_ConstruRemo!$R$52=""),A39&lt;=K39),"Si","No")</f>
        <v>No</v>
      </c>
      <c r="E39" s="69">
        <f>IF(A39="","",
IF(E38+0.15%&gt;=Simul_ConstruRemo!$AY$9,Simul_ConstruRemo!$AY$9,
E38+0.15%))</f>
        <v>9.8000000000000004E-2</v>
      </c>
      <c r="F39" s="69">
        <f t="shared" ref="F39:F58" si="4">IF(A39="","",
IF(C38="No",0.15%,
-0.15%))</f>
        <v>-1.5E-3</v>
      </c>
      <c r="G39" s="69">
        <f>IF(I38+F39&gt;Simul_ConstruRemo!$AY$9,Simul_ConstruRemo!$AY$9,
IF(I38+F39&lt;Simul_ConstruRemo!$AY$8,Simul_ConstruRemo!$AY$8,
I38+F39))</f>
        <v>9.5000000000000001E-2</v>
      </c>
      <c r="H39" s="69">
        <f>IF(AND(D38="Si",G39=Simul_ConstruRemo!$AY$8),0,
IF(AND(D38="Si",G39=Simul_ConstruRemo!$AY$9),0,
IF(AND(D38="No",G39=Simul_ConstruRemo!$AY$9),0,
IF(D38="Si",-0.15%,
IF(AND(D38="No",J38&gt;=0),0,
IF(D38="No",0.15%))))))</f>
        <v>0</v>
      </c>
      <c r="I39" s="199">
        <f>IF(G39+H39&gt;Simul_ConstruRemo!$AY$9,Simul_ConstruRemo!$AY$9,
IF(G39+H39&lt;Simul_ConstruRemo!$AY$8,Simul_ConstruRemo!$AY$8,
G39+H39))</f>
        <v>9.5000000000000001E-2</v>
      </c>
      <c r="J39" s="199">
        <f t="shared" si="3"/>
        <v>0</v>
      </c>
      <c r="K39" s="76">
        <f>VALUE(ROUNDUP((Simul_ConstruRemo!$I$21+(Simul_ConstruRemo!$I$19/12)),0))</f>
        <v>21</v>
      </c>
      <c r="M39" s="63"/>
      <c r="O39" s="192"/>
      <c r="P39" s="192"/>
      <c r="Q39" s="192"/>
      <c r="R39" s="192"/>
      <c r="S39" s="192"/>
    </row>
    <row r="40" spans="1:22" x14ac:dyDescent="0.25">
      <c r="A40" s="76">
        <v>4</v>
      </c>
      <c r="B40" s="69">
        <f>IF((Simul_ConstruRemo!$I$19/12)+Simul_ConstruRemo!$I$21+1&lt;A40,"",I40)</f>
        <v>9.35E-2</v>
      </c>
      <c r="C40" s="76" t="str">
        <f t="shared" si="2"/>
        <v>Si</v>
      </c>
      <c r="D40" s="76" t="str">
        <f>IF(AND(OR(Simul_ConstruRemo!$R$52="SI",Simul_ConstruRemo!$R$52=""),A40&lt;=K40),"Si","No")</f>
        <v>No</v>
      </c>
      <c r="E40" s="69">
        <f>IF(A40="","",
IF(E39+0.15%&gt;=Simul_ConstruRemo!$AY$9,Simul_ConstruRemo!$AY$9,
E39+0.15%))</f>
        <v>9.9500000000000005E-2</v>
      </c>
      <c r="F40" s="69">
        <f t="shared" si="4"/>
        <v>-1.5E-3</v>
      </c>
      <c r="G40" s="69">
        <f>IF(I39+F40&gt;Simul_ConstruRemo!$AY$9,Simul_ConstruRemo!$AY$9,
IF(I39+F40&lt;Simul_ConstruRemo!$AY$8,Simul_ConstruRemo!$AY$8,
I39+F40))</f>
        <v>9.35E-2</v>
      </c>
      <c r="H40" s="69">
        <f>IF(AND(D39="Si",G40=Simul_ConstruRemo!$AY$8),0,
IF(AND(D39="Si",G40=Simul_ConstruRemo!$AY$9),0,
IF(AND(D39="No",G40=Simul_ConstruRemo!$AY$9),0,
IF(D39="Si",-0.15%,
IF(AND(D39="No",J39&gt;=0),0,
IF(D39="No",0.15%))))))</f>
        <v>0</v>
      </c>
      <c r="I40" s="199">
        <f>IF(G40+H40&gt;Simul_ConstruRemo!$AY$9,Simul_ConstruRemo!$AY$9,
IF(G40+H40&lt;Simul_ConstruRemo!$AY$8,Simul_ConstruRemo!$AY$8,
G40+H40))</f>
        <v>9.35E-2</v>
      </c>
      <c r="J40" s="199">
        <f t="shared" si="3"/>
        <v>0</v>
      </c>
      <c r="K40" s="76">
        <f>VALUE(ROUNDUP((Simul_ConstruRemo!$I$21+(Simul_ConstruRemo!$I$19/12)),0))</f>
        <v>21</v>
      </c>
      <c r="M40" s="63"/>
      <c r="O40" s="192"/>
      <c r="P40" s="192"/>
      <c r="Q40" s="192"/>
      <c r="R40" s="192"/>
      <c r="S40" s="192"/>
    </row>
    <row r="41" spans="1:22" x14ac:dyDescent="0.25">
      <c r="A41" s="76">
        <v>5</v>
      </c>
      <c r="B41" s="69">
        <f>IF((Simul_ConstruRemo!$I$19/12)+Simul_ConstruRemo!$I$21+1&lt;A41,"",I41)</f>
        <v>9.1999999999999998E-2</v>
      </c>
      <c r="C41" s="76" t="str">
        <f t="shared" si="2"/>
        <v>Si</v>
      </c>
      <c r="D41" s="76" t="str">
        <f>IF(AND(OR(Simul_ConstruRemo!$R$52="SI",Simul_ConstruRemo!$R$52=""),A41&lt;=K41),"Si","No")</f>
        <v>No</v>
      </c>
      <c r="E41" s="69">
        <f>IF(A41="","",
IF(E40+0.15%&gt;=Simul_ConstruRemo!$AY$9,Simul_ConstruRemo!$AY$9,
E40+0.15%))</f>
        <v>0.10100000000000001</v>
      </c>
      <c r="F41" s="69">
        <f t="shared" si="4"/>
        <v>-1.5E-3</v>
      </c>
      <c r="G41" s="69">
        <f>IF(I40+F41&gt;Simul_ConstruRemo!$AY$9,Simul_ConstruRemo!$AY$9,
IF(I40+F41&lt;Simul_ConstruRemo!$AY$8,Simul_ConstruRemo!$AY$8,
I40+F41))</f>
        <v>9.1999999999999998E-2</v>
      </c>
      <c r="H41" s="69">
        <f>IF(AND(D40="Si",G41=Simul_ConstruRemo!$AY$8),0,
IF(AND(D40="Si",G41=Simul_ConstruRemo!$AY$9),0,
IF(AND(D40="No",G41=Simul_ConstruRemo!$AY$9),0,
IF(D40="Si",-0.15%,
IF(AND(D40="No",J40&gt;=0),0,
IF(D40="No",0.15%))))))</f>
        <v>0</v>
      </c>
      <c r="I41" s="199">
        <f>IF(G41+H41&gt;Simul_ConstruRemo!$AY$9,Simul_ConstruRemo!$AY$9,
IF(G41+H41&lt;Simul_ConstruRemo!$AY$8,Simul_ConstruRemo!$AY$8,
G41+H41))</f>
        <v>9.1999999999999998E-2</v>
      </c>
      <c r="J41" s="199">
        <f t="shared" si="3"/>
        <v>0</v>
      </c>
      <c r="K41" s="76">
        <f>VALUE(ROUNDUP((Simul_ConstruRemo!$I$21+(Simul_ConstruRemo!$I$19/12)),0))</f>
        <v>21</v>
      </c>
      <c r="M41" s="63"/>
      <c r="O41" s="192"/>
      <c r="P41" s="192"/>
      <c r="Q41" s="192"/>
      <c r="R41" s="192"/>
      <c r="S41" s="192"/>
    </row>
    <row r="42" spans="1:22" x14ac:dyDescent="0.25">
      <c r="A42" s="76">
        <v>6</v>
      </c>
      <c r="B42" s="69">
        <f>IF((Simul_ConstruRemo!$I$19/12)+Simul_ConstruRemo!$I$21+1&lt;A42,"",I42)</f>
        <v>9.1999999999999998E-2</v>
      </c>
      <c r="C42" s="76" t="str">
        <f t="shared" si="2"/>
        <v>Si</v>
      </c>
      <c r="D42" s="76" t="str">
        <f>IF(AND(OR(Simul_ConstruRemo!$R$52="SI",Simul_ConstruRemo!$R$52=""),A42&lt;=K42),"Si","No")</f>
        <v>No</v>
      </c>
      <c r="E42" s="69">
        <f>IF(A42="","",
IF(E41+0.15%&gt;=Simul_ConstruRemo!$AY$9,Simul_ConstruRemo!$AY$9,
E41+0.15%))</f>
        <v>0.10249999999999999</v>
      </c>
      <c r="F42" s="69">
        <f t="shared" si="4"/>
        <v>-1.5E-3</v>
      </c>
      <c r="G42" s="69">
        <f>IF(I41+F42&gt;Simul_ConstruRemo!$AY$9,Simul_ConstruRemo!$AY$9,
IF(I41+F42&lt;Simul_ConstruRemo!$AY$8,Simul_ConstruRemo!$AY$8,
I41+F42))</f>
        <v>9.1999999999999998E-2</v>
      </c>
      <c r="H42" s="69">
        <f>IF(AND(D41="Si",G42=Simul_ConstruRemo!$AY$8),0,
IF(AND(D41="Si",G42=Simul_ConstruRemo!$AY$9),0,
IF(AND(D41="No",G42=Simul_ConstruRemo!$AY$9),0,
IF(D41="Si",-0.15%,
IF(AND(D41="No",J41&gt;=0),0,
IF(D41="No",0.15%))))))</f>
        <v>0</v>
      </c>
      <c r="I42" s="199">
        <f>IF(G42+H42&gt;Simul_ConstruRemo!$AY$9,Simul_ConstruRemo!$AY$9,
IF(G42+H42&lt;Simul_ConstruRemo!$AY$8,Simul_ConstruRemo!$AY$8,
G42+H42))</f>
        <v>9.1999999999999998E-2</v>
      </c>
      <c r="J42" s="199">
        <f t="shared" si="3"/>
        <v>0</v>
      </c>
      <c r="K42" s="76">
        <f>VALUE(ROUNDUP((Simul_ConstruRemo!$I$21+(Simul_ConstruRemo!$I$19/12)),0))</f>
        <v>21</v>
      </c>
      <c r="M42" s="63"/>
      <c r="O42" s="192"/>
      <c r="P42" s="192"/>
      <c r="Q42" s="192"/>
      <c r="R42" s="192"/>
      <c r="S42" s="192"/>
    </row>
    <row r="43" spans="1:22" x14ac:dyDescent="0.25">
      <c r="A43" s="76">
        <v>7</v>
      </c>
      <c r="B43" s="69">
        <f>IF((Simul_ConstruRemo!$I$19/12)+Simul_ConstruRemo!$I$21+1&lt;A43,"",I43)</f>
        <v>9.1999999999999998E-2</v>
      </c>
      <c r="C43" s="76" t="str">
        <f t="shared" si="2"/>
        <v>Si</v>
      </c>
      <c r="D43" s="76" t="str">
        <f>IF(AND(OR(Simul_ConstruRemo!$R$52="SI",Simul_ConstruRemo!$R$52=""),A43&lt;=K43),"Si","No")</f>
        <v>No</v>
      </c>
      <c r="E43" s="69">
        <f>IF(A43="","",
IF(E42+0.15%&gt;=Simul_ConstruRemo!$AY$9,Simul_ConstruRemo!$AY$9,
E42+0.15%))</f>
        <v>0.10249999999999999</v>
      </c>
      <c r="F43" s="69">
        <f t="shared" si="4"/>
        <v>-1.5E-3</v>
      </c>
      <c r="G43" s="69">
        <f>IF(I42+F43&gt;Simul_ConstruRemo!$AY$9,Simul_ConstruRemo!$AY$9,
IF(I42+F43&lt;Simul_ConstruRemo!$AY$8,Simul_ConstruRemo!$AY$8,
I42+F43))</f>
        <v>9.1999999999999998E-2</v>
      </c>
      <c r="H43" s="69">
        <f>IF(AND(D42="Si",G43=Simul_ConstruRemo!$AY$8),0,
IF(AND(D42="Si",G43=Simul_ConstruRemo!$AY$9),0,
IF(AND(D42="No",G43=Simul_ConstruRemo!$AY$9),0,
IF(D42="Si",-0.15%,
IF(AND(D42="No",J42&gt;=0),0,
IF(D42="No",0.15%))))))</f>
        <v>0</v>
      </c>
      <c r="I43" s="199">
        <f>IF(G43+H43&gt;Simul_ConstruRemo!$AY$9,Simul_ConstruRemo!$AY$9,
IF(G43+H43&lt;Simul_ConstruRemo!$AY$8,Simul_ConstruRemo!$AY$8,
G43+H43))</f>
        <v>9.1999999999999998E-2</v>
      </c>
      <c r="J43" s="199">
        <f t="shared" si="3"/>
        <v>0</v>
      </c>
      <c r="K43" s="76">
        <f>VALUE(ROUNDUP((Simul_ConstruRemo!$I$21+(Simul_ConstruRemo!$I$19/12)),0))</f>
        <v>21</v>
      </c>
      <c r="M43" s="63"/>
      <c r="O43" s="192"/>
      <c r="P43" s="192"/>
      <c r="Q43" s="192"/>
      <c r="R43" s="192"/>
      <c r="S43" s="192"/>
    </row>
    <row r="44" spans="1:22" x14ac:dyDescent="0.25">
      <c r="A44" s="76">
        <v>8</v>
      </c>
      <c r="B44" s="69">
        <f>IF((Simul_ConstruRemo!$I$19/12)+Simul_ConstruRemo!$I$21+1&lt;A44,"",I44)</f>
        <v>9.1999999999999998E-2</v>
      </c>
      <c r="C44" s="76" t="str">
        <f t="shared" si="2"/>
        <v>Si</v>
      </c>
      <c r="D44" s="76" t="str">
        <f>IF(AND(OR(Simul_ConstruRemo!$R$52="SI",Simul_ConstruRemo!$R$52=""),A44&lt;=K44),"Si","No")</f>
        <v>No</v>
      </c>
      <c r="E44" s="69">
        <f>IF(A44="","",
IF(E43+0.15%&gt;=Simul_ConstruRemo!$AY$9,Simul_ConstruRemo!$AY$9,
E43+0.15%))</f>
        <v>0.10249999999999999</v>
      </c>
      <c r="F44" s="69">
        <f t="shared" si="4"/>
        <v>-1.5E-3</v>
      </c>
      <c r="G44" s="69">
        <f>IF(I43+F44&gt;Simul_ConstruRemo!$AY$9,Simul_ConstruRemo!$AY$9,
IF(I43+F44&lt;Simul_ConstruRemo!$AY$8,Simul_ConstruRemo!$AY$8,
I43+F44))</f>
        <v>9.1999999999999998E-2</v>
      </c>
      <c r="H44" s="69">
        <f>IF(AND(D43="Si",G44=Simul_ConstruRemo!$AY$8),0,
IF(AND(D43="Si",G44=Simul_ConstruRemo!$AY$9),0,
IF(AND(D43="No",G44=Simul_ConstruRemo!$AY$9),0,
IF(D43="Si",-0.15%,
IF(AND(D43="No",J43&gt;=0),0,
IF(D43="No",0.15%))))))</f>
        <v>0</v>
      </c>
      <c r="I44" s="199">
        <f>IF(G44+H44&gt;Simul_ConstruRemo!$AY$9,Simul_ConstruRemo!$AY$9,
IF(G44+H44&lt;Simul_ConstruRemo!$AY$8,Simul_ConstruRemo!$AY$8,
G44+H44))</f>
        <v>9.1999999999999998E-2</v>
      </c>
      <c r="J44" s="199">
        <f t="shared" si="3"/>
        <v>0</v>
      </c>
      <c r="K44" s="76">
        <f>VALUE(ROUNDUP((Simul_ConstruRemo!$I$21+(Simul_ConstruRemo!$I$19/12)),0))</f>
        <v>21</v>
      </c>
      <c r="M44" s="63"/>
      <c r="O44" s="192"/>
      <c r="P44" s="192"/>
      <c r="Q44" s="192"/>
      <c r="R44" s="192"/>
      <c r="S44" s="192"/>
    </row>
    <row r="45" spans="1:22" x14ac:dyDescent="0.25">
      <c r="A45" s="76">
        <v>9</v>
      </c>
      <c r="B45" s="69">
        <f>IF((Simul_ConstruRemo!$I$19/12)+Simul_ConstruRemo!$I$21+1&lt;A45,"",I45)</f>
        <v>9.1999999999999998E-2</v>
      </c>
      <c r="C45" s="76" t="str">
        <f t="shared" si="2"/>
        <v>Si</v>
      </c>
      <c r="D45" s="76" t="str">
        <f>IF(AND(OR(Simul_ConstruRemo!$R$52="SI",Simul_ConstruRemo!$R$52=""),A45&lt;=K45),"Si","No")</f>
        <v>No</v>
      </c>
      <c r="E45" s="69">
        <f>IF(A45="","",
IF(E44+0.15%&gt;=Simul_ConstruRemo!$AY$9,Simul_ConstruRemo!$AY$9,
E44+0.15%))</f>
        <v>0.10249999999999999</v>
      </c>
      <c r="F45" s="69">
        <f t="shared" si="4"/>
        <v>-1.5E-3</v>
      </c>
      <c r="G45" s="69">
        <f>IF(I44+F45&gt;Simul_ConstruRemo!$AY$9,Simul_ConstruRemo!$AY$9,
IF(I44+F45&lt;Simul_ConstruRemo!$AY$8,Simul_ConstruRemo!$AY$8,
I44+F45))</f>
        <v>9.1999999999999998E-2</v>
      </c>
      <c r="H45" s="69">
        <f>IF(AND(D44="Si",G45=Simul_ConstruRemo!$AY$8),0,
IF(AND(D44="Si",G45=Simul_ConstruRemo!$AY$9),0,
IF(AND(D44="No",G45=Simul_ConstruRemo!$AY$9),0,
IF(D44="Si",-0.15%,
IF(AND(D44="No",J44&gt;=0),0,
IF(D44="No",0.15%))))))</f>
        <v>0</v>
      </c>
      <c r="I45" s="199">
        <f>IF(G45+H45&gt;Simul_ConstruRemo!$AY$9,Simul_ConstruRemo!$AY$9,
IF(G45+H45&lt;Simul_ConstruRemo!$AY$8,Simul_ConstruRemo!$AY$8,
G45+H45))</f>
        <v>9.1999999999999998E-2</v>
      </c>
      <c r="J45" s="199">
        <f t="shared" si="3"/>
        <v>0</v>
      </c>
      <c r="K45" s="76">
        <f>VALUE(ROUNDUP((Simul_ConstruRemo!$I$21+(Simul_ConstruRemo!$I$19/12)),0))</f>
        <v>21</v>
      </c>
      <c r="M45" s="63"/>
      <c r="O45" s="192"/>
      <c r="P45" s="192"/>
      <c r="Q45" s="192"/>
      <c r="R45" s="192"/>
      <c r="S45" s="192"/>
    </row>
    <row r="46" spans="1:22" x14ac:dyDescent="0.25">
      <c r="A46" s="76">
        <v>10</v>
      </c>
      <c r="B46" s="69">
        <f>IF((Simul_ConstruRemo!$I$19/12)+Simul_ConstruRemo!$I$21+1&lt;A46,"",I46)</f>
        <v>9.1999999999999998E-2</v>
      </c>
      <c r="C46" s="76" t="str">
        <f t="shared" si="2"/>
        <v>Si</v>
      </c>
      <c r="D46" s="76" t="str">
        <f>IF(AND(OR(Simul_ConstruRemo!$R$52="SI",Simul_ConstruRemo!$R$52=""),A46&lt;=K46),"Si","No")</f>
        <v>No</v>
      </c>
      <c r="E46" s="69">
        <f>IF(A46="","",
IF(E45+0.15%&gt;=Simul_ConstruRemo!$AY$9,Simul_ConstruRemo!$AY$9,
E45+0.15%))</f>
        <v>0.10249999999999999</v>
      </c>
      <c r="F46" s="69">
        <f t="shared" si="4"/>
        <v>-1.5E-3</v>
      </c>
      <c r="G46" s="69">
        <f>IF(I45+F46&gt;Simul_ConstruRemo!$AY$9,Simul_ConstruRemo!$AY$9,
IF(I45+F46&lt;Simul_ConstruRemo!$AY$8,Simul_ConstruRemo!$AY$8,
I45+F46))</f>
        <v>9.1999999999999998E-2</v>
      </c>
      <c r="H46" s="69">
        <f>IF(AND(D45="Si",G46=Simul_ConstruRemo!$AY$8),0,
IF(AND(D45="Si",G46=Simul_ConstruRemo!$AY$9),0,
IF(AND(D45="No",G46=Simul_ConstruRemo!$AY$9),0,
IF(D45="Si",-0.15%,
IF(AND(D45="No",J45&gt;=0),0,
IF(D45="No",0.15%))))))</f>
        <v>0</v>
      </c>
      <c r="I46" s="199">
        <f>IF(G46+H46&gt;Simul_ConstruRemo!$AY$9,Simul_ConstruRemo!$AY$9,
IF(G46+H46&lt;Simul_ConstruRemo!$AY$8,Simul_ConstruRemo!$AY$8,
G46+H46))</f>
        <v>9.1999999999999998E-2</v>
      </c>
      <c r="J46" s="199">
        <f t="shared" si="3"/>
        <v>0</v>
      </c>
      <c r="K46" s="76">
        <f>VALUE(ROUNDUP((Simul_ConstruRemo!$I$21+(Simul_ConstruRemo!$I$19/12)),0))</f>
        <v>21</v>
      </c>
      <c r="M46" s="63"/>
      <c r="O46" s="192"/>
      <c r="P46" s="192"/>
      <c r="Q46" s="192"/>
      <c r="R46" s="192"/>
      <c r="S46" s="192"/>
    </row>
    <row r="47" spans="1:22" x14ac:dyDescent="0.25">
      <c r="A47" s="76">
        <v>11</v>
      </c>
      <c r="B47" s="69">
        <f>IF((Simul_ConstruRemo!$I$19/12)+Simul_ConstruRemo!$I$21+1&lt;A47,"",I47)</f>
        <v>9.1999999999999998E-2</v>
      </c>
      <c r="C47" s="76" t="str">
        <f t="shared" si="2"/>
        <v>Si</v>
      </c>
      <c r="D47" s="76" t="str">
        <f>IF(AND(OR(Simul_ConstruRemo!$R$52="SI",Simul_ConstruRemo!$R$52=""),A47&lt;=K47),"Si","No")</f>
        <v>No</v>
      </c>
      <c r="E47" s="69">
        <f>IF(A47="","",
IF(E46+0.15%&gt;=Simul_ConstruRemo!$AY$9,Simul_ConstruRemo!$AY$9,
E46+0.15%))</f>
        <v>0.10249999999999999</v>
      </c>
      <c r="F47" s="69">
        <f t="shared" si="4"/>
        <v>-1.5E-3</v>
      </c>
      <c r="G47" s="69">
        <f>IF(I46+F47&gt;Simul_ConstruRemo!$AY$9,Simul_ConstruRemo!$AY$9,
IF(I46+F47&lt;Simul_ConstruRemo!$AY$8,Simul_ConstruRemo!$AY$8,
I46+F47))</f>
        <v>9.1999999999999998E-2</v>
      </c>
      <c r="H47" s="69">
        <f>IF(AND(D46="Si",G47=Simul_ConstruRemo!$AY$8),0,
IF(AND(D46="Si",G47=Simul_ConstruRemo!$AY$9),0,
IF(AND(D46="No",G47=Simul_ConstruRemo!$AY$9),0,
IF(D46="Si",-0.15%,
IF(AND(D46="No",J46&gt;=0),0,
IF(D46="No",0.15%))))))</f>
        <v>0</v>
      </c>
      <c r="I47" s="199">
        <f>IF(G47+H47&gt;Simul_ConstruRemo!$AY$9,Simul_ConstruRemo!$AY$9,
IF(G47+H47&lt;Simul_ConstruRemo!$AY$8,Simul_ConstruRemo!$AY$8,
G47+H47))</f>
        <v>9.1999999999999998E-2</v>
      </c>
      <c r="J47" s="199">
        <f t="shared" si="3"/>
        <v>0</v>
      </c>
      <c r="K47" s="76">
        <f>VALUE(ROUNDUP((Simul_ConstruRemo!$I$21+(Simul_ConstruRemo!$I$19/12)),0))</f>
        <v>21</v>
      </c>
      <c r="M47" s="63"/>
      <c r="O47" s="192"/>
      <c r="P47" s="192"/>
      <c r="Q47" s="192"/>
      <c r="R47" s="192"/>
      <c r="S47" s="192"/>
      <c r="U47" s="71" t="s">
        <v>51</v>
      </c>
      <c r="V47" s="70">
        <f>SUM(F37:F56)</f>
        <v>-2.7000000000000007E-2</v>
      </c>
    </row>
    <row r="48" spans="1:22" x14ac:dyDescent="0.25">
      <c r="A48" s="76">
        <v>12</v>
      </c>
      <c r="B48" s="69">
        <f>IF((Simul_ConstruRemo!$I$19/12)+Simul_ConstruRemo!$I$21+1&lt;A48,"",I48)</f>
        <v>9.1999999999999998E-2</v>
      </c>
      <c r="C48" s="76" t="str">
        <f t="shared" si="2"/>
        <v>Si</v>
      </c>
      <c r="D48" s="76" t="str">
        <f>IF(AND(OR(Simul_ConstruRemo!$R$52="SI",Simul_ConstruRemo!$R$52=""),A48&lt;=K48),"Si","No")</f>
        <v>No</v>
      </c>
      <c r="E48" s="69">
        <f>IF(A48="","",
IF(E47+0.15%&gt;=Simul_ConstruRemo!$AY$9,Simul_ConstruRemo!$AY$9,
E47+0.15%))</f>
        <v>0.10249999999999999</v>
      </c>
      <c r="F48" s="69">
        <f t="shared" si="4"/>
        <v>-1.5E-3</v>
      </c>
      <c r="G48" s="69">
        <f>IF(I47+F48&gt;Simul_ConstruRemo!$AY$9,Simul_ConstruRemo!$AY$9,
IF(I47+F48&lt;Simul_ConstruRemo!$AY$8,Simul_ConstruRemo!$AY$8,
I47+F48))</f>
        <v>9.1999999999999998E-2</v>
      </c>
      <c r="H48" s="69">
        <f>IF(AND(D47="Si",G48=Simul_ConstruRemo!$AY$8),0,
IF(AND(D47="Si",G48=Simul_ConstruRemo!$AY$9),0,
IF(AND(D47="No",G48=Simul_ConstruRemo!$AY$9),0,
IF(D47="Si",-0.15%,
IF(AND(D47="No",J47&gt;=0),0,
IF(D47="No",0.15%))))))</f>
        <v>0</v>
      </c>
      <c r="I48" s="199">
        <f>IF(G48+H48&gt;Simul_ConstruRemo!$AY$9,Simul_ConstruRemo!$AY$9,
IF(G48+H48&lt;Simul_ConstruRemo!$AY$8,Simul_ConstruRemo!$AY$8,
G48+H48))</f>
        <v>9.1999999999999998E-2</v>
      </c>
      <c r="J48" s="199">
        <f t="shared" si="3"/>
        <v>0</v>
      </c>
      <c r="K48" s="76">
        <f>VALUE(ROUNDUP((Simul_ConstruRemo!$I$21+(Simul_ConstruRemo!$I$19/12)),0))</f>
        <v>21</v>
      </c>
      <c r="M48" s="63"/>
      <c r="O48" s="192"/>
      <c r="P48" s="192"/>
      <c r="Q48" s="192"/>
      <c r="R48" s="192"/>
      <c r="S48" s="192"/>
      <c r="U48" s="71" t="s">
        <v>52</v>
      </c>
      <c r="V48" s="70"/>
    </row>
    <row r="49" spans="1:20" x14ac:dyDescent="0.25">
      <c r="A49" s="76">
        <v>13</v>
      </c>
      <c r="B49" s="69">
        <f>IF((Simul_ConstruRemo!$I$19/12)+Simul_ConstruRemo!$I$21+1&lt;A49,"",I49)</f>
        <v>9.1999999999999998E-2</v>
      </c>
      <c r="C49" s="76" t="str">
        <f t="shared" si="2"/>
        <v>Si</v>
      </c>
      <c r="D49" s="76" t="str">
        <f>IF(AND(OR(Simul_ConstruRemo!$R$52="SI",Simul_ConstruRemo!$R$52=""),A49&lt;=K49),"Si","No")</f>
        <v>No</v>
      </c>
      <c r="E49" s="69">
        <f>IF(A49="","",
IF(E48+0.15%&gt;=Simul_ConstruRemo!$AY$9,Simul_ConstruRemo!$AY$9,
E48+0.15%))</f>
        <v>0.10249999999999999</v>
      </c>
      <c r="F49" s="69">
        <f t="shared" si="4"/>
        <v>-1.5E-3</v>
      </c>
      <c r="G49" s="69">
        <f>IF(I48+F49&gt;Simul_ConstruRemo!$AY$9,Simul_ConstruRemo!$AY$9,
IF(I48+F49&lt;Simul_ConstruRemo!$AY$8,Simul_ConstruRemo!$AY$8,
I48+F49))</f>
        <v>9.1999999999999998E-2</v>
      </c>
      <c r="H49" s="69">
        <f>IF(AND(D48="Si",G49=Simul_ConstruRemo!$AY$8),0,
IF(AND(D48="Si",G49=Simul_ConstruRemo!$AY$9),0,
IF(AND(D48="No",G49=Simul_ConstruRemo!$AY$9),0,
IF(D48="Si",-0.15%,
IF(AND(D48="No",J48&gt;=0),0,
IF(D48="No",0.15%))))))</f>
        <v>0</v>
      </c>
      <c r="I49" s="199">
        <f>IF(G49+H49&gt;Simul_ConstruRemo!$AY$9,Simul_ConstruRemo!$AY$9,
IF(G49+H49&lt;Simul_ConstruRemo!$AY$8,Simul_ConstruRemo!$AY$8,
G49+H49))</f>
        <v>9.1999999999999998E-2</v>
      </c>
      <c r="J49" s="199">
        <f t="shared" si="3"/>
        <v>0</v>
      </c>
      <c r="K49" s="76">
        <f>VALUE(ROUNDUP((Simul_ConstruRemo!$I$21+(Simul_ConstruRemo!$I$19/12)),0))</f>
        <v>21</v>
      </c>
      <c r="M49" s="63"/>
      <c r="O49" s="192"/>
      <c r="P49" s="192"/>
      <c r="Q49" s="192"/>
      <c r="R49" s="192"/>
      <c r="S49" s="192"/>
    </row>
    <row r="50" spans="1:20" x14ac:dyDescent="0.25">
      <c r="A50" s="76">
        <v>14</v>
      </c>
      <c r="B50" s="69">
        <f>IF((Simul_ConstruRemo!$I$19/12)+Simul_ConstruRemo!$I$21+1&lt;A50,"",I50)</f>
        <v>9.1999999999999998E-2</v>
      </c>
      <c r="C50" s="76" t="str">
        <f t="shared" si="2"/>
        <v>Si</v>
      </c>
      <c r="D50" s="76" t="str">
        <f>IF(AND(OR(Simul_ConstruRemo!$R$52="SI",Simul_ConstruRemo!$R$52=""),A50&lt;=K50),"Si","No")</f>
        <v>No</v>
      </c>
      <c r="E50" s="69">
        <f>IF(A50="","",
IF(E49+0.15%&gt;=Simul_ConstruRemo!$AY$9,Simul_ConstruRemo!$AY$9,
E49+0.15%))</f>
        <v>0.10249999999999999</v>
      </c>
      <c r="F50" s="69">
        <f t="shared" si="4"/>
        <v>-1.5E-3</v>
      </c>
      <c r="G50" s="69">
        <f>IF(I49+F50&gt;Simul_ConstruRemo!$AY$9,Simul_ConstruRemo!$AY$9,
IF(I49+F50&lt;Simul_ConstruRemo!$AY$8,Simul_ConstruRemo!$AY$8,
I49+F50))</f>
        <v>9.1999999999999998E-2</v>
      </c>
      <c r="H50" s="69">
        <f>IF(AND(D49="Si",G50=Simul_ConstruRemo!$AY$8),0,
IF(AND(D49="Si",G50=Simul_ConstruRemo!$AY$9),0,
IF(AND(D49="No",G50=Simul_ConstruRemo!$AY$9),0,
IF(D49="Si",-0.15%,
IF(AND(D49="No",J49&gt;=0),0,
IF(D49="No",0.15%))))))</f>
        <v>0</v>
      </c>
      <c r="I50" s="199">
        <f>IF(G50+H50&gt;Simul_ConstruRemo!$AY$9,Simul_ConstruRemo!$AY$9,
IF(G50+H50&lt;Simul_ConstruRemo!$AY$8,Simul_ConstruRemo!$AY$8,
G50+H50))</f>
        <v>9.1999999999999998E-2</v>
      </c>
      <c r="J50" s="199">
        <f t="shared" si="3"/>
        <v>0</v>
      </c>
      <c r="K50" s="76">
        <f>VALUE(ROUNDUP((Simul_ConstruRemo!$I$21+(Simul_ConstruRemo!$I$19/12)),0))</f>
        <v>21</v>
      </c>
      <c r="M50" s="63"/>
      <c r="O50" s="192"/>
      <c r="P50" s="192"/>
      <c r="Q50" s="192"/>
      <c r="R50" s="192"/>
      <c r="S50" s="192"/>
    </row>
    <row r="51" spans="1:20" x14ac:dyDescent="0.25">
      <c r="A51" s="76">
        <v>15</v>
      </c>
      <c r="B51" s="69">
        <f>IF((Simul_ConstruRemo!$I$19/12)+Simul_ConstruRemo!$I$21+1&lt;A51,"",I51)</f>
        <v>9.1999999999999998E-2</v>
      </c>
      <c r="C51" s="76" t="str">
        <f t="shared" si="2"/>
        <v>Si</v>
      </c>
      <c r="D51" s="76" t="str">
        <f>IF(AND(OR(Simul_ConstruRemo!$R$52="SI",Simul_ConstruRemo!$R$52=""),A51&lt;=K51),"Si","No")</f>
        <v>No</v>
      </c>
      <c r="E51" s="69">
        <f>IF(A51="","",
IF(E50+0.15%&gt;=Simul_ConstruRemo!$AY$9,Simul_ConstruRemo!$AY$9,
E50+0.15%))</f>
        <v>0.10249999999999999</v>
      </c>
      <c r="F51" s="69">
        <f t="shared" si="4"/>
        <v>-1.5E-3</v>
      </c>
      <c r="G51" s="69">
        <f>IF(I50+F51&gt;Simul_ConstruRemo!$AY$9,Simul_ConstruRemo!$AY$9,
IF(I50+F51&lt;Simul_ConstruRemo!$AY$8,Simul_ConstruRemo!$AY$8,
I50+F51))</f>
        <v>9.1999999999999998E-2</v>
      </c>
      <c r="H51" s="69">
        <f>IF(AND(D50="Si",G51=Simul_ConstruRemo!$AY$8),0,
IF(AND(D50="Si",G51=Simul_ConstruRemo!$AY$9),0,
IF(AND(D50="No",G51=Simul_ConstruRemo!$AY$9),0,
IF(D50="Si",-0.15%,
IF(AND(D50="No",J50&gt;=0),0,
IF(D50="No",0.15%))))))</f>
        <v>0</v>
      </c>
      <c r="I51" s="199">
        <f>IF(G51+H51&gt;Simul_ConstruRemo!$AY$9,Simul_ConstruRemo!$AY$9,
IF(G51+H51&lt;Simul_ConstruRemo!$AY$8,Simul_ConstruRemo!$AY$8,
G51+H51))</f>
        <v>9.1999999999999998E-2</v>
      </c>
      <c r="J51" s="199">
        <f t="shared" si="3"/>
        <v>0</v>
      </c>
      <c r="K51" s="76">
        <f>VALUE(ROUNDUP((Simul_ConstruRemo!$I$21+(Simul_ConstruRemo!$I$19/12)),0))</f>
        <v>21</v>
      </c>
      <c r="M51" s="63"/>
      <c r="O51" s="192"/>
      <c r="P51" s="192"/>
      <c r="Q51" s="192"/>
      <c r="R51" s="192"/>
      <c r="S51" s="192"/>
    </row>
    <row r="52" spans="1:20" x14ac:dyDescent="0.25">
      <c r="A52" s="76">
        <v>16</v>
      </c>
      <c r="B52" s="69">
        <f>IF((Simul_ConstruRemo!$I$19/12)+Simul_ConstruRemo!$I$21+1&lt;A52,"",I52)</f>
        <v>9.1999999999999998E-2</v>
      </c>
      <c r="C52" s="76" t="str">
        <f t="shared" si="2"/>
        <v>Si</v>
      </c>
      <c r="D52" s="76" t="str">
        <f>IF(AND(OR(Simul_ConstruRemo!$R$52="SI",Simul_ConstruRemo!$R$52=""),A52&lt;=K52),"Si","No")</f>
        <v>No</v>
      </c>
      <c r="E52" s="69">
        <f>IF(A52="","",
IF(E51+0.15%&gt;=Simul_ConstruRemo!$AY$9,Simul_ConstruRemo!$AY$9,
E51+0.15%))</f>
        <v>0.10249999999999999</v>
      </c>
      <c r="F52" s="69">
        <f t="shared" si="4"/>
        <v>-1.5E-3</v>
      </c>
      <c r="G52" s="69">
        <f>IF(I51+F52&gt;Simul_ConstruRemo!$AY$9,Simul_ConstruRemo!$AY$9,
IF(I51+F52&lt;Simul_ConstruRemo!$AY$8,Simul_ConstruRemo!$AY$8,
I51+F52))</f>
        <v>9.1999999999999998E-2</v>
      </c>
      <c r="H52" s="69">
        <f>IF(AND(D51="Si",G52=Simul_ConstruRemo!$AY$8),0,
IF(AND(D51="Si",G52=Simul_ConstruRemo!$AY$9),0,
IF(AND(D51="No",G52=Simul_ConstruRemo!$AY$9),0,
IF(D51="Si",-0.15%,
IF(AND(D51="No",J51&gt;=0),0,
IF(D51="No",0.15%))))))</f>
        <v>0</v>
      </c>
      <c r="I52" s="199">
        <f>IF(G52+H52&gt;Simul_ConstruRemo!$AY$9,Simul_ConstruRemo!$AY$9,
IF(G52+H52&lt;Simul_ConstruRemo!$AY$8,Simul_ConstruRemo!$AY$8,
G52+H52))</f>
        <v>9.1999999999999998E-2</v>
      </c>
      <c r="J52" s="199">
        <f t="shared" si="3"/>
        <v>0</v>
      </c>
      <c r="K52" s="76">
        <f>VALUE(ROUNDUP((Simul_ConstruRemo!$I$21+(Simul_ConstruRemo!$I$19/12)),0))</f>
        <v>21</v>
      </c>
      <c r="M52" s="63"/>
      <c r="O52" s="192"/>
      <c r="P52" s="192"/>
      <c r="Q52" s="192"/>
      <c r="R52" s="192"/>
      <c r="S52" s="192"/>
    </row>
    <row r="53" spans="1:20" x14ac:dyDescent="0.25">
      <c r="A53" s="76">
        <v>17</v>
      </c>
      <c r="B53" s="69">
        <f>IF((Simul_ConstruRemo!$I$19/12)+Simul_ConstruRemo!$I$21+1&lt;A53,"",I53)</f>
        <v>9.1999999999999998E-2</v>
      </c>
      <c r="C53" s="76" t="str">
        <f t="shared" si="2"/>
        <v>Si</v>
      </c>
      <c r="D53" s="76" t="str">
        <f>IF(AND(OR(Simul_ConstruRemo!$R$52="SI",Simul_ConstruRemo!$R$52=""),A53&lt;=K53),"Si","No")</f>
        <v>No</v>
      </c>
      <c r="E53" s="69">
        <f>IF(A53="","",
IF(E52+0.15%&gt;=Simul_ConstruRemo!$AY$9,Simul_ConstruRemo!$AY$9,
E52+0.15%))</f>
        <v>0.10249999999999999</v>
      </c>
      <c r="F53" s="69">
        <f t="shared" si="4"/>
        <v>-1.5E-3</v>
      </c>
      <c r="G53" s="69">
        <f>IF(I52+F53&gt;Simul_ConstruRemo!$AY$9,Simul_ConstruRemo!$AY$9,
IF(I52+F53&lt;Simul_ConstruRemo!$AY$8,Simul_ConstruRemo!$AY$8,
I52+F53))</f>
        <v>9.1999999999999998E-2</v>
      </c>
      <c r="H53" s="69">
        <f>IF(AND(D52="Si",G53=Simul_ConstruRemo!$AY$8),0,
IF(AND(D52="Si",G53=Simul_ConstruRemo!$AY$9),0,
IF(AND(D52="No",G53=Simul_ConstruRemo!$AY$9),0,
IF(D52="Si",-0.15%,
IF(AND(D52="No",J52&gt;=0),0,
IF(D52="No",0.15%))))))</f>
        <v>0</v>
      </c>
      <c r="I53" s="199">
        <f>IF(G53+H53&gt;Simul_ConstruRemo!$AY$9,Simul_ConstruRemo!$AY$9,
IF(G53+H53&lt;Simul_ConstruRemo!$AY$8,Simul_ConstruRemo!$AY$8,
G53+H53))</f>
        <v>9.1999999999999998E-2</v>
      </c>
      <c r="J53" s="199">
        <f t="shared" si="3"/>
        <v>0</v>
      </c>
      <c r="K53" s="76">
        <f>VALUE(ROUNDUP((Simul_ConstruRemo!$I$21+(Simul_ConstruRemo!$I$19/12)),0))</f>
        <v>21</v>
      </c>
      <c r="M53" s="63"/>
      <c r="O53" s="192"/>
      <c r="P53" s="192"/>
      <c r="Q53" s="192"/>
      <c r="R53" s="192"/>
      <c r="S53" s="192"/>
    </row>
    <row r="54" spans="1:20" x14ac:dyDescent="0.25">
      <c r="A54" s="76">
        <v>18</v>
      </c>
      <c r="B54" s="69">
        <f>IF((Simul_ConstruRemo!$I$19/12)+Simul_ConstruRemo!$I$21+1&lt;A54,"",I54)</f>
        <v>9.1999999999999998E-2</v>
      </c>
      <c r="C54" s="76" t="str">
        <f t="shared" si="2"/>
        <v>Si</v>
      </c>
      <c r="D54" s="76" t="str">
        <f>IF(AND(OR(Simul_ConstruRemo!$R$52="SI",Simul_ConstruRemo!$R$52=""),A54&lt;=K54),"Si","No")</f>
        <v>No</v>
      </c>
      <c r="E54" s="69">
        <f>IF(A54="","",
IF(E53+0.15%&gt;=Simul_ConstruRemo!$AY$9,Simul_ConstruRemo!$AY$9,
E53+0.15%))</f>
        <v>0.10249999999999999</v>
      </c>
      <c r="F54" s="69">
        <f t="shared" si="4"/>
        <v>-1.5E-3</v>
      </c>
      <c r="G54" s="69">
        <f>IF(I53+F54&gt;Simul_ConstruRemo!$AY$9,Simul_ConstruRemo!$AY$9,
IF(I53+F54&lt;Simul_ConstruRemo!$AY$8,Simul_ConstruRemo!$AY$8,
I53+F54))</f>
        <v>9.1999999999999998E-2</v>
      </c>
      <c r="H54" s="69">
        <f>IF(AND(D53="Si",G54=Simul_ConstruRemo!$AY$8),0,
IF(AND(D53="Si",G54=Simul_ConstruRemo!$AY$9),0,
IF(AND(D53="No",G54=Simul_ConstruRemo!$AY$9),0,
IF(D53="Si",-0.15%,
IF(AND(D53="No",J53&gt;=0),0,
IF(D53="No",0.15%))))))</f>
        <v>0</v>
      </c>
      <c r="I54" s="199">
        <f>IF(G54+H54&gt;Simul_ConstruRemo!$AY$9,Simul_ConstruRemo!$AY$9,
IF(G54+H54&lt;Simul_ConstruRemo!$AY$8,Simul_ConstruRemo!$AY$8,
G54+H54))</f>
        <v>9.1999999999999998E-2</v>
      </c>
      <c r="J54" s="199">
        <f t="shared" si="3"/>
        <v>0</v>
      </c>
      <c r="K54" s="76">
        <f>VALUE(ROUNDUP((Simul_ConstruRemo!$I$21+(Simul_ConstruRemo!$I$19/12)),0))</f>
        <v>21</v>
      </c>
      <c r="M54" s="63"/>
      <c r="O54" s="192"/>
      <c r="P54" s="192"/>
      <c r="Q54" s="192"/>
      <c r="R54" s="192"/>
      <c r="S54" s="192"/>
    </row>
    <row r="55" spans="1:20" x14ac:dyDescent="0.25">
      <c r="A55" s="76">
        <v>19</v>
      </c>
      <c r="B55" s="69">
        <f>IF((Simul_ConstruRemo!$I$19/12)+Simul_ConstruRemo!$I$21+1&lt;A55,"",I55)</f>
        <v>9.1999999999999998E-2</v>
      </c>
      <c r="C55" s="76" t="str">
        <f t="shared" si="2"/>
        <v>Si</v>
      </c>
      <c r="D55" s="76" t="str">
        <f>IF(AND(OR(Simul_ConstruRemo!$R$52="SI",Simul_ConstruRemo!$R$52=""),A55&lt;=K55),"Si","No")</f>
        <v>No</v>
      </c>
      <c r="E55" s="69">
        <f>IF(A55="","",
IF(E54+0.15%&gt;=Simul_ConstruRemo!$AY$9,Simul_ConstruRemo!$AY$9,
E54+0.15%))</f>
        <v>0.10249999999999999</v>
      </c>
      <c r="F55" s="69">
        <f t="shared" si="4"/>
        <v>-1.5E-3</v>
      </c>
      <c r="G55" s="69">
        <f>IF(I54+F55&gt;Simul_ConstruRemo!$AY$9,Simul_ConstruRemo!$AY$9,
IF(I54+F55&lt;Simul_ConstruRemo!$AY$8,Simul_ConstruRemo!$AY$8,
I54+F55))</f>
        <v>9.1999999999999998E-2</v>
      </c>
      <c r="H55" s="69">
        <f>IF(AND(D54="Si",G55=Simul_ConstruRemo!$AY$8),0,
IF(AND(D54="Si",G55=Simul_ConstruRemo!$AY$9),0,
IF(AND(D54="No",G55=Simul_ConstruRemo!$AY$9),0,
IF(D54="Si",-0.15%,
IF(AND(D54="No",J54&gt;=0),0,
IF(D54="No",0.15%))))))</f>
        <v>0</v>
      </c>
      <c r="I55" s="199">
        <f>IF(G55+H55&gt;Simul_ConstruRemo!$AY$9,Simul_ConstruRemo!$AY$9,
IF(G55+H55&lt;Simul_ConstruRemo!$AY$8,Simul_ConstruRemo!$AY$8,
G55+H55))</f>
        <v>9.1999999999999998E-2</v>
      </c>
      <c r="J55" s="199">
        <f t="shared" si="3"/>
        <v>0</v>
      </c>
      <c r="K55" s="76">
        <f>VALUE(ROUNDUP((Simul_ConstruRemo!$I$21+(Simul_ConstruRemo!$I$19/12)),0))</f>
        <v>21</v>
      </c>
      <c r="M55" s="63"/>
      <c r="O55" s="192"/>
      <c r="P55" s="192"/>
      <c r="Q55" s="192"/>
      <c r="R55" s="192"/>
      <c r="S55" s="192"/>
    </row>
    <row r="56" spans="1:20" x14ac:dyDescent="0.25">
      <c r="A56" s="76">
        <v>20</v>
      </c>
      <c r="B56" s="69">
        <f>IF((Simul_ConstruRemo!$I$19/12)+Simul_ConstruRemo!$I$21+1&lt;A56,"",I56)</f>
        <v>9.1999999999999998E-2</v>
      </c>
      <c r="C56" s="76" t="str">
        <f t="shared" si="2"/>
        <v>Si</v>
      </c>
      <c r="D56" s="76" t="str">
        <f>IF(AND(OR(Simul_ConstruRemo!$R$52="SI",Simul_ConstruRemo!$R$52=""),A56&lt;=K56),"Si","No")</f>
        <v>No</v>
      </c>
      <c r="E56" s="69">
        <f>IF(A56="","",
IF(E55+0.15%&gt;=Simul_ConstruRemo!$AY$9,Simul_ConstruRemo!$AY$9,
E55+0.15%))</f>
        <v>0.10249999999999999</v>
      </c>
      <c r="F56" s="69">
        <f t="shared" si="4"/>
        <v>-1.5E-3</v>
      </c>
      <c r="G56" s="69">
        <f>IF(I55+F56&gt;Simul_ConstruRemo!$AY$9,Simul_ConstruRemo!$AY$9,
IF(I55+F56&lt;Simul_ConstruRemo!$AY$8,Simul_ConstruRemo!$AY$8,
I55+F56))</f>
        <v>9.1999999999999998E-2</v>
      </c>
      <c r="H56" s="69">
        <f>IF(AND(D55="Si",G56=Simul_ConstruRemo!$AY$8),0,
IF(AND(D55="Si",G56=Simul_ConstruRemo!$AY$9),0,
IF(AND(D55="No",G56=Simul_ConstruRemo!$AY$9),0,
IF(D55="Si",-0.15%,
IF(AND(D55="No",J55&gt;=0),0,
IF(D55="No",0.15%))))))</f>
        <v>0</v>
      </c>
      <c r="I56" s="199">
        <f>IF(G56+H56&gt;Simul_ConstruRemo!$AY$9,Simul_ConstruRemo!$AY$9,
IF(G56+H56&lt;Simul_ConstruRemo!$AY$8,Simul_ConstruRemo!$AY$8,
G56+H56))</f>
        <v>9.1999999999999998E-2</v>
      </c>
      <c r="J56" s="199">
        <f t="shared" si="3"/>
        <v>0</v>
      </c>
      <c r="K56" s="76">
        <f>VALUE(ROUNDUP((Simul_ConstruRemo!$I$21+(Simul_ConstruRemo!$I$19/12)),0))</f>
        <v>21</v>
      </c>
      <c r="M56" s="63"/>
      <c r="O56" s="192"/>
      <c r="P56" s="192"/>
      <c r="Q56" s="192"/>
      <c r="R56" s="192"/>
      <c r="S56" s="192"/>
    </row>
    <row r="57" spans="1:20" x14ac:dyDescent="0.25">
      <c r="A57" s="76">
        <v>21</v>
      </c>
      <c r="B57" s="69">
        <f>IF((Simul_ConstruRemo!$I$19/12)+Simul_ConstruRemo!$I$21+1&lt;A57,"",I57)</f>
        <v>9.1999999999999998E-2</v>
      </c>
      <c r="C57" s="76" t="str">
        <f t="shared" si="2"/>
        <v>Si</v>
      </c>
      <c r="D57" s="76" t="str">
        <f>IF(AND(OR(Simul_ConstruRemo!$R$52="SI",Simul_ConstruRemo!$R$52=""),A57&lt;=K57),"Si","No")</f>
        <v>No</v>
      </c>
      <c r="E57" s="69">
        <f>IF(A57="","",
IF(E56+0.15%&gt;=Simul_ConstruRemo!$AY$9,Simul_ConstruRemo!$AY$9,
E56+0.15%))</f>
        <v>0.10249999999999999</v>
      </c>
      <c r="F57" s="69">
        <f t="shared" si="4"/>
        <v>-1.5E-3</v>
      </c>
      <c r="G57" s="69">
        <f>IF(I56+F57&gt;Simul_ConstruRemo!$AY$9,Simul_ConstruRemo!$AY$9,
IF(I56+F57&lt;Simul_ConstruRemo!$AY$8,Simul_ConstruRemo!$AY$8,
I56+F57))</f>
        <v>9.1999999999999998E-2</v>
      </c>
      <c r="H57" s="69">
        <f>IF(AND(D56="Si",G57=Simul_ConstruRemo!$AY$8),0,
IF(AND(D56="Si",G57=Simul_ConstruRemo!$AY$9),0,
IF(AND(D56="No",G57=Simul_ConstruRemo!$AY$9),0,
IF(D56="Si",-0.15%,
IF(AND(D56="No",J56&gt;=0),0,
IF(D56="No",0.15%))))))</f>
        <v>0</v>
      </c>
      <c r="I57" s="199">
        <f>IF(G57+H57&gt;Simul_ConstruRemo!$AY$9,Simul_ConstruRemo!$AY$9,
IF(G57+H57&lt;Simul_ConstruRemo!$AY$8,Simul_ConstruRemo!$AY$8,
G57+H57))</f>
        <v>9.1999999999999998E-2</v>
      </c>
      <c r="J57" s="199">
        <f t="shared" si="3"/>
        <v>0</v>
      </c>
      <c r="K57" s="76">
        <f>VALUE(ROUNDUP((Simul_ConstruRemo!$I$21+(Simul_ConstruRemo!$I$19/12)),0))</f>
        <v>21</v>
      </c>
      <c r="M57" s="63"/>
      <c r="O57" s="192"/>
      <c r="P57" s="192"/>
      <c r="Q57" s="192"/>
      <c r="R57" s="192"/>
      <c r="S57" s="192"/>
    </row>
    <row r="58" spans="1:20" x14ac:dyDescent="0.25">
      <c r="A58" s="76">
        <v>22</v>
      </c>
      <c r="B58" s="69">
        <f>IF((Simul_ConstruRemo!$I$19/12)+Simul_ConstruRemo!$I$21+1&lt;A58,"",I58)</f>
        <v>9.1999999999999998E-2</v>
      </c>
      <c r="C58" s="76" t="str">
        <f t="shared" si="2"/>
        <v>No</v>
      </c>
      <c r="D58" s="76" t="str">
        <f>IF(AND(OR(Simul_ConstruRemo!$R$52="SI",Simul_ConstruRemo!$R$52=""),A58&lt;=K58),"Si","No")</f>
        <v>No</v>
      </c>
      <c r="E58" s="69">
        <f>IF(A58="","",
IF(E57+0.15%&gt;=Simul_ConstruRemo!$AY$9,Simul_ConstruRemo!$AY$9,
E57+0.15%))</f>
        <v>0.10249999999999999</v>
      </c>
      <c r="F58" s="69">
        <f t="shared" si="4"/>
        <v>-1.5E-3</v>
      </c>
      <c r="G58" s="69">
        <f>IF(I57+F58&gt;Simul_ConstruRemo!$AY$9,Simul_ConstruRemo!$AY$9,
IF(I57+F58&lt;Simul_ConstruRemo!$AY$8,Simul_ConstruRemo!$AY$8,
I57+F58))</f>
        <v>9.1999999999999998E-2</v>
      </c>
      <c r="H58" s="69">
        <f>IF(AND(D57="Si",G58=Simul_ConstruRemo!$AY$8),0,
IF(AND(D57="Si",G58=Simul_ConstruRemo!$AY$9),0,
IF(AND(D57="No",G58=Simul_ConstruRemo!$AY$9),0,
IF(D57="Si",-0.15%,
IF(AND(D57="No",J57&gt;=0),0,
IF(D57="No",0.15%))))))</f>
        <v>0</v>
      </c>
      <c r="I58" s="199">
        <f>IF(G58+H58&gt;Simul_ConstruRemo!$AY$9,Simul_ConstruRemo!$AY$9,
IF(G58+H58&lt;Simul_ConstruRemo!$AY$8,Simul_ConstruRemo!$AY$8,
G58+H58))</f>
        <v>9.1999999999999998E-2</v>
      </c>
      <c r="J58" s="199">
        <f t="shared" si="3"/>
        <v>0</v>
      </c>
      <c r="K58" s="76">
        <f>VALUE(ROUNDUP((Simul_ConstruRemo!$I$21+(Simul_ConstruRemo!$I$19/12)),0))</f>
        <v>21</v>
      </c>
      <c r="M58" s="63"/>
      <c r="O58" s="192"/>
      <c r="P58" s="192"/>
      <c r="Q58" s="192"/>
      <c r="R58" s="192"/>
      <c r="S58" s="192"/>
    </row>
    <row r="59" spans="1:20" x14ac:dyDescent="0.25">
      <c r="A59" s="91"/>
      <c r="B59" s="192"/>
      <c r="C59" s="91"/>
      <c r="D59" s="91"/>
      <c r="E59" s="192"/>
      <c r="F59" s="13"/>
      <c r="G59" s="13"/>
      <c r="H59" s="13"/>
      <c r="I59" s="13"/>
      <c r="J59" s="192"/>
      <c r="K59" s="192"/>
      <c r="L59" s="91"/>
      <c r="M59" s="192"/>
      <c r="N59" s="91"/>
      <c r="O59" s="192"/>
      <c r="P59" s="192"/>
      <c r="Q59" s="192"/>
      <c r="R59" s="192"/>
      <c r="S59" s="192"/>
      <c r="T59" s="192"/>
    </row>
    <row r="60" spans="1:20" x14ac:dyDescent="0.25">
      <c r="A60" s="91"/>
      <c r="B60" s="192"/>
      <c r="C60" s="91"/>
      <c r="D60" s="91"/>
      <c r="E60" s="192"/>
      <c r="F60" s="13"/>
      <c r="G60" s="13"/>
      <c r="H60" s="13"/>
      <c r="I60" s="13"/>
      <c r="J60" s="192"/>
      <c r="K60" s="192"/>
      <c r="L60" s="91"/>
      <c r="M60" s="192"/>
      <c r="N60" s="91"/>
      <c r="O60" s="192"/>
      <c r="P60" s="192"/>
      <c r="Q60" s="192"/>
      <c r="R60" s="192"/>
      <c r="S60" s="192"/>
      <c r="T60" s="192"/>
    </row>
    <row r="61" spans="1:20" x14ac:dyDescent="0.25">
      <c r="A61" s="91"/>
      <c r="B61" s="192"/>
      <c r="C61" s="91"/>
      <c r="D61" s="91"/>
      <c r="E61" s="192"/>
      <c r="F61" s="13"/>
      <c r="G61" s="13"/>
      <c r="H61" s="13"/>
      <c r="I61" s="13"/>
      <c r="J61" s="192"/>
      <c r="K61" s="192"/>
      <c r="L61" s="91"/>
      <c r="M61" s="192"/>
      <c r="N61" s="91"/>
      <c r="O61" s="192"/>
      <c r="P61" s="192"/>
      <c r="Q61" s="192"/>
      <c r="R61" s="192"/>
      <c r="S61" s="192"/>
      <c r="T61" s="192"/>
    </row>
    <row r="66" spans="1:10" x14ac:dyDescent="0.25">
      <c r="A66" s="860" t="s">
        <v>356</v>
      </c>
      <c r="B66" s="861"/>
      <c r="C66" s="861"/>
      <c r="D66" s="861"/>
      <c r="E66" s="861"/>
      <c r="F66" s="861"/>
      <c r="G66" s="861"/>
      <c r="H66" s="861"/>
      <c r="I66" s="861"/>
      <c r="J66" s="862"/>
    </row>
    <row r="67" spans="1:10" ht="60" x14ac:dyDescent="0.25">
      <c r="A67" s="67" t="s">
        <v>37</v>
      </c>
      <c r="B67" s="67" t="s">
        <v>38</v>
      </c>
      <c r="C67" s="67" t="s">
        <v>49</v>
      </c>
      <c r="D67" s="67" t="s">
        <v>50</v>
      </c>
      <c r="E67" s="68" t="s">
        <v>153</v>
      </c>
      <c r="F67" s="67" t="s">
        <v>47</v>
      </c>
      <c r="G67" s="67" t="s">
        <v>312</v>
      </c>
      <c r="H67" s="67" t="s">
        <v>48</v>
      </c>
      <c r="I67" s="67" t="s">
        <v>313</v>
      </c>
      <c r="J67" s="202" t="s">
        <v>269</v>
      </c>
    </row>
    <row r="68" spans="1:10" x14ac:dyDescent="0.25">
      <c r="A68" s="76">
        <v>1</v>
      </c>
      <c r="B68" s="200">
        <f>IF(Caratula_Patrimonial!$F$23&lt;A68,"",I68)</f>
        <v>0.10299999999999999</v>
      </c>
      <c r="C68" s="76" t="str">
        <f>IF(Caratula_Patrimonial!$F$23&gt;=A68,"Si","No")</f>
        <v>Si</v>
      </c>
      <c r="D68" s="76" t="str">
        <f>IF(AND(OR(Caratula_Patrimonial!$R$34="SI",Caratula_Patrimonial!$R$34=""),Caratula_Patrimonial!$F$23&gt;=A68),"Si","No")</f>
        <v>No</v>
      </c>
      <c r="E68" s="69">
        <f>Caratula_Patrimonial!$AQ$31</f>
        <v>0.10299999999999999</v>
      </c>
      <c r="F68" s="69"/>
      <c r="G68" s="69"/>
      <c r="H68" s="69"/>
      <c r="I68" s="199">
        <f>Caratula_Patrimonial!$AQ$31</f>
        <v>0.10299999999999999</v>
      </c>
      <c r="J68" s="199">
        <v>0</v>
      </c>
    </row>
    <row r="69" spans="1:10" x14ac:dyDescent="0.25">
      <c r="A69" s="76">
        <v>2</v>
      </c>
      <c r="B69" s="201">
        <f>IF(Caratula_Patrimonial!$F$23&lt;A69,"",I69)</f>
        <v>0.10299999999999999</v>
      </c>
      <c r="C69" s="76" t="str">
        <f>IF(Caratula_Patrimonial!$F$23&gt;=A69,"Si","No")</f>
        <v>Si</v>
      </c>
      <c r="D69" s="76" t="str">
        <f>IF(AND(OR(Caratula_Patrimonial!$R$34="SI",Caratula_Patrimonial!$R$34=""),Caratula_Patrimonial!$F$23&gt;=A69),"Si","No")</f>
        <v>No</v>
      </c>
      <c r="E69" s="69">
        <f>Caratula_Patrimonial!$AQ$31</f>
        <v>0.10299999999999999</v>
      </c>
      <c r="F69" s="69"/>
      <c r="G69" s="69"/>
      <c r="H69" s="69">
        <f>IF(AND(D68="Si",G69=Caratula_Patrimonial!$AQ$32),0,
IF(AND(D68="Si",G69=Caratula_Patrimonial!$AQ$33),0,
IF(AND(D68="No",G69=Caratula_Patrimonial!$AQ$33),0,
IF(D68="Si",-0.15%,
IF(AND(D68="No",J68&gt;=0),0,
IF(D68="No",0.15%))))))</f>
        <v>0</v>
      </c>
      <c r="I69" s="199">
        <f>IF(I68+H69&lt;Caratula_Patrimonial!$AQ$32,Caratula_Patrimonial!$AQ$32,
IF(I68+H69&gt;Caratula_Patrimonial!$AQ$33,Caratula_Patrimonial!$AQ$33,
I68+H69))</f>
        <v>0.10299999999999999</v>
      </c>
      <c r="J69" s="199">
        <f t="shared" ref="J69:J92" si="5">+H69+J68</f>
        <v>0</v>
      </c>
    </row>
    <row r="70" spans="1:10" x14ac:dyDescent="0.25">
      <c r="A70" s="76">
        <v>3</v>
      </c>
      <c r="B70" s="201">
        <f>IF(Caratula_Patrimonial!$F$23&lt;A70,"",I70)</f>
        <v>0.10149999999999999</v>
      </c>
      <c r="C70" s="76" t="str">
        <f>IF(Caratula_Patrimonial!$F$23&gt;=A70,"Si","No")</f>
        <v>Si</v>
      </c>
      <c r="D70" s="76" t="str">
        <f>IF(AND(OR(Caratula_Patrimonial!$R$34="SI",Caratula_Patrimonial!$R$34=""),Caratula_Patrimonial!$F$23&gt;=A70),"Si","No")</f>
        <v>No</v>
      </c>
      <c r="E70" s="69">
        <f>IF(A70="","",
IF(E69+0.15%&gt;=Caratula_Patrimonial!$AQ$33,Caratula_Patrimonial!$AQ$33,
E69+0.15%))</f>
        <v>0.1045</v>
      </c>
      <c r="F70" s="69">
        <f>IF(A70="","",
IF(OR(C68="No",C69="No"),0.15%,-0.15%))</f>
        <v>-1.5E-3</v>
      </c>
      <c r="G70" s="69">
        <f>IF(I69+F70&gt;Caratula_Patrimonial!$AQ$33,Caratula_Patrimonial!$AQ$33,
IF(I69+F70&lt;Caratula_Patrimonial!$AQ$32,Caratula_Patrimonial!$AQ$32,
I69+F70))</f>
        <v>0.10149999999999999</v>
      </c>
      <c r="H70" s="69">
        <f>IF(AND(D69="Si",G70=Caratula_Patrimonial!$AQ$32),0,
IF(AND(D69="Si",G70=Caratula_Patrimonial!$AQ$33),0,
IF(AND(D69="No",G70=Caratula_Patrimonial!$AQ$33),0,
IF(D69="Si",-0.15%,
IF(AND(D69="No",J69&gt;=0),0,
IF(D69="No",0.15%))))))</f>
        <v>0</v>
      </c>
      <c r="I70" s="199">
        <f>IF(G70+H70&gt;Caratula_Patrimonial!$AQ$33,Caratula_Patrimonial!$AQ$33,
IF(G70+H70&lt;Caratula_Patrimonial!$AQ$32,Caratula_Patrimonial!$AQ$32,
G70+H70))</f>
        <v>0.10149999999999999</v>
      </c>
      <c r="J70" s="199">
        <f t="shared" si="5"/>
        <v>0</v>
      </c>
    </row>
    <row r="71" spans="1:10" x14ac:dyDescent="0.25">
      <c r="A71" s="76">
        <v>4</v>
      </c>
      <c r="B71" s="201">
        <f>IF(Caratula_Patrimonial!$F$23&lt;A71,"",I71)</f>
        <v>9.9999999999999992E-2</v>
      </c>
      <c r="C71" s="76" t="str">
        <f>IF(Caratula_Patrimonial!$F$23&gt;=A71,"Si","No")</f>
        <v>Si</v>
      </c>
      <c r="D71" s="76" t="str">
        <f>IF(AND(OR(Caratula_Patrimonial!$R$34="SI",Caratula_Patrimonial!$R$34=""),Caratula_Patrimonial!$F$23&gt;=A71),"Si","No")</f>
        <v>No</v>
      </c>
      <c r="E71" s="69">
        <f>IF(A71="","",
IF(E70+0.15%&gt;=Caratula_Patrimonial!$AQ$33,Caratula_Patrimonial!$AQ$33,
E70+0.15%))</f>
        <v>0.106</v>
      </c>
      <c r="F71" s="69">
        <f>IF(A71="","",
IF(C70="No",0.15%,
-0.15%))</f>
        <v>-1.5E-3</v>
      </c>
      <c r="G71" s="69">
        <f>IF(I70+F71&gt;Caratula_Patrimonial!$AQ$33,Caratula_Patrimonial!$AQ$33,
IF(I70+F71&lt;Caratula_Patrimonial!$AQ$32,Caratula_Patrimonial!$AQ$32,
I70+F71))</f>
        <v>9.9999999999999992E-2</v>
      </c>
      <c r="H71" s="69">
        <f>IF(AND(D70="Si",G71=Caratula_Patrimonial!$AQ$32),0,
IF(AND(D70="Si",G71=Caratula_Patrimonial!$AQ$33),0,
IF(AND(D70="No",G71=Caratula_Patrimonial!$AQ$33),0,
IF(D70="Si",-0.15%,
IF(AND(D70="No",J70&gt;=0),0,
IF(D70="No",0.15%))))))</f>
        <v>0</v>
      </c>
      <c r="I71" s="199">
        <f>IF(G71+H71&gt;Caratula_Patrimonial!$AQ$33,Caratula_Patrimonial!$AQ$33,
IF(G71+H71&lt;Caratula_Patrimonial!$AQ$32,Caratula_Patrimonial!$AQ$32,
G71+H71))</f>
        <v>9.9999999999999992E-2</v>
      </c>
      <c r="J71" s="199">
        <f t="shared" si="5"/>
        <v>0</v>
      </c>
    </row>
    <row r="72" spans="1:10" x14ac:dyDescent="0.25">
      <c r="A72" s="76">
        <v>5</v>
      </c>
      <c r="B72" s="201">
        <f>IF(Caratula_Patrimonial!$F$23&lt;A72,"",I72)</f>
        <v>0.1</v>
      </c>
      <c r="C72" s="76" t="str">
        <f>IF(Caratula_Patrimonial!$F$23&gt;=A72,"Si","No")</f>
        <v>Si</v>
      </c>
      <c r="D72" s="76" t="str">
        <f>IF(AND(OR(Caratula_Patrimonial!$R$34="SI",Caratula_Patrimonial!$R$34=""),Caratula_Patrimonial!$F$23&gt;=A72),"Si","No")</f>
        <v>No</v>
      </c>
      <c r="E72" s="69">
        <f>IF(A72="","",
IF(E71+0.15%&gt;=Caratula_Patrimonial!$AQ$33,Caratula_Patrimonial!$AQ$33,
E71+0.15%))</f>
        <v>0.1075</v>
      </c>
      <c r="F72" s="69">
        <f t="shared" ref="F72:F92" si="6">IF(A72="","",
IF(C71="No",0.15%,
-0.15%))</f>
        <v>-1.5E-3</v>
      </c>
      <c r="G72" s="69">
        <f>IF(I71+F72&gt;Caratula_Patrimonial!$AQ$33,Caratula_Patrimonial!$AQ$33,
IF(I71+F72&lt;Caratula_Patrimonial!$AQ$32,Caratula_Patrimonial!$AQ$32,
I71+F72))</f>
        <v>0.1</v>
      </c>
      <c r="H72" s="69">
        <f>IF(AND(D71="Si",G72=Caratula_Patrimonial!$AQ$32),0,
IF(AND(D71="Si",G72=Caratula_Patrimonial!$AQ$33),0,
IF(AND(D71="No",G72=Caratula_Patrimonial!$AQ$33),0,
IF(D71="Si",-0.15%,
IF(AND(D71="No",J71&gt;=0),0,
IF(D71="No",0.15%))))))</f>
        <v>0</v>
      </c>
      <c r="I72" s="199">
        <f>IF(G72+H72&gt;Caratula_Patrimonial!$AQ$33,Caratula_Patrimonial!$AQ$33,
IF(G72+H72&lt;Caratula_Patrimonial!$AQ$32,Caratula_Patrimonial!$AQ$32,
G72+H72))</f>
        <v>0.1</v>
      </c>
      <c r="J72" s="199">
        <f t="shared" si="5"/>
        <v>0</v>
      </c>
    </row>
    <row r="73" spans="1:10" x14ac:dyDescent="0.25">
      <c r="A73" s="76">
        <v>6</v>
      </c>
      <c r="B73" s="201">
        <f>IF(Caratula_Patrimonial!$F$23&lt;A73,"",I73)</f>
        <v>0.1</v>
      </c>
      <c r="C73" s="76" t="str">
        <f>IF(Caratula_Patrimonial!$F$23&gt;=A73,"Si","No")</f>
        <v>Si</v>
      </c>
      <c r="D73" s="76" t="str">
        <f>IF(AND(OR(Caratula_Patrimonial!$R$34="SI",Caratula_Patrimonial!$R$34=""),Caratula_Patrimonial!$F$23&gt;=A73),"Si","No")</f>
        <v>No</v>
      </c>
      <c r="E73" s="69">
        <f>IF(A73="","",
IF(E72+0.15%&gt;=Caratula_Patrimonial!$AQ$33,Caratula_Patrimonial!$AQ$33,
E72+0.15%))</f>
        <v>0.109</v>
      </c>
      <c r="F73" s="69">
        <f t="shared" si="6"/>
        <v>-1.5E-3</v>
      </c>
      <c r="G73" s="69">
        <f>IF(I72+F73&gt;Caratula_Patrimonial!$AQ$33,Caratula_Patrimonial!$AQ$33,
IF(I72+F73&lt;Caratula_Patrimonial!$AQ$32,Caratula_Patrimonial!$AQ$32,
I72+F73))</f>
        <v>0.1</v>
      </c>
      <c r="H73" s="69">
        <f>IF(AND(D72="Si",G73=Caratula_Patrimonial!$AQ$32),0,
IF(AND(D72="Si",G73=Caratula_Patrimonial!$AQ$33),0,
IF(AND(D72="No",G73=Caratula_Patrimonial!$AQ$33),0,
IF(D72="Si",-0.15%,
IF(AND(D72="No",J72&gt;=0),0,
IF(D72="No",0.15%))))))</f>
        <v>0</v>
      </c>
      <c r="I73" s="199">
        <f>IF(G73+H73&gt;Caratula_Patrimonial!$AQ$33,Caratula_Patrimonial!$AQ$33,
IF(G73+H73&lt;Caratula_Patrimonial!$AQ$32,Caratula_Patrimonial!$AQ$32,
G73+H73))</f>
        <v>0.1</v>
      </c>
      <c r="J73" s="199">
        <f t="shared" si="5"/>
        <v>0</v>
      </c>
    </row>
    <row r="74" spans="1:10" x14ac:dyDescent="0.25">
      <c r="A74" s="76">
        <v>7</v>
      </c>
      <c r="B74" s="201">
        <f>IF(Caratula_Patrimonial!$F$23&lt;A74,"",I74)</f>
        <v>0.1</v>
      </c>
      <c r="C74" s="76" t="str">
        <f>IF(Caratula_Patrimonial!$F$23&gt;=A74,"Si","No")</f>
        <v>Si</v>
      </c>
      <c r="D74" s="76" t="str">
        <f>IF(AND(OR(Caratula_Patrimonial!$R$34="SI",Caratula_Patrimonial!$R$34=""),Caratula_Patrimonial!$F$23&gt;=A74),"Si","No")</f>
        <v>No</v>
      </c>
      <c r="E74" s="69">
        <f>IF(A74="","",
IF(E73+0.15%&gt;=Caratula_Patrimonial!$AQ$33,Caratula_Patrimonial!$AQ$33,
E73+0.15%))</f>
        <v>0.1105</v>
      </c>
      <c r="F74" s="69">
        <f t="shared" si="6"/>
        <v>-1.5E-3</v>
      </c>
      <c r="G74" s="69">
        <f>IF(I73+F74&gt;Caratula_Patrimonial!$AQ$33,Caratula_Patrimonial!$AQ$33,
IF(I73+F74&lt;Caratula_Patrimonial!$AQ$32,Caratula_Patrimonial!$AQ$32,
I73+F74))</f>
        <v>0.1</v>
      </c>
      <c r="H74" s="69">
        <f>IF(AND(D73="Si",G74=Caratula_Patrimonial!$AQ$32),0,
IF(AND(D73="Si",G74=Caratula_Patrimonial!$AQ$33),0,
IF(AND(D73="No",G74=Caratula_Patrimonial!$AQ$33),0,
IF(D73="Si",-0.15%,
IF(AND(D73="No",J73&gt;=0),0,
IF(D73="No",0.15%))))))</f>
        <v>0</v>
      </c>
      <c r="I74" s="199">
        <f>IF(G74+H74&gt;Caratula_Patrimonial!$AQ$33,Caratula_Patrimonial!$AQ$33,
IF(G74+H74&lt;Caratula_Patrimonial!$AQ$32,Caratula_Patrimonial!$AQ$32,
G74+H74))</f>
        <v>0.1</v>
      </c>
      <c r="J74" s="199">
        <f t="shared" si="5"/>
        <v>0</v>
      </c>
    </row>
    <row r="75" spans="1:10" x14ac:dyDescent="0.25">
      <c r="A75" s="76">
        <v>8</v>
      </c>
      <c r="B75" s="201">
        <f>IF(Caratula_Patrimonial!$F$23&lt;A75,"",I75)</f>
        <v>0.1</v>
      </c>
      <c r="C75" s="76" t="str">
        <f>IF(Caratula_Patrimonial!$F$23&gt;=A75,"Si","No")</f>
        <v>Si</v>
      </c>
      <c r="D75" s="76" t="str">
        <f>IF(AND(OR(Caratula_Patrimonial!$R$34="SI",Caratula_Patrimonial!$R$34=""),Caratula_Patrimonial!$F$23&gt;=A75),"Si","No")</f>
        <v>No</v>
      </c>
      <c r="E75" s="69">
        <f>IF(A75="","",
IF(E74+0.15%&gt;=Caratula_Patrimonial!$AQ$33,Caratula_Patrimonial!$AQ$33,
E74+0.15%))</f>
        <v>0.112</v>
      </c>
      <c r="F75" s="69">
        <f t="shared" si="6"/>
        <v>-1.5E-3</v>
      </c>
      <c r="G75" s="69">
        <f>IF(I74+F75&gt;Caratula_Patrimonial!$AQ$33,Caratula_Patrimonial!$AQ$33,
IF(I74+F75&lt;Caratula_Patrimonial!$AQ$32,Caratula_Patrimonial!$AQ$32,
I74+F75))</f>
        <v>0.1</v>
      </c>
      <c r="H75" s="69">
        <f>IF(AND(D74="Si",G75=Caratula_Patrimonial!$AQ$32),0,
IF(AND(D74="Si",G75=Caratula_Patrimonial!$AQ$33),0,
IF(AND(D74="No",G75=Caratula_Patrimonial!$AQ$33),0,
IF(D74="Si",-0.15%,
IF(AND(D74="No",J74&gt;=0),0,
IF(D74="No",0.15%))))))</f>
        <v>0</v>
      </c>
      <c r="I75" s="199">
        <f>IF(G75+H75&gt;Caratula_Patrimonial!$AQ$33,Caratula_Patrimonial!$AQ$33,
IF(G75+H75&lt;Caratula_Patrimonial!$AQ$32,Caratula_Patrimonial!$AQ$32,
G75+H75))</f>
        <v>0.1</v>
      </c>
      <c r="J75" s="199">
        <f t="shared" si="5"/>
        <v>0</v>
      </c>
    </row>
    <row r="76" spans="1:10" x14ac:dyDescent="0.25">
      <c r="A76" s="76">
        <v>9</v>
      </c>
      <c r="B76" s="201">
        <f>IF(Caratula_Patrimonial!$F$23&lt;A76,"",I76)</f>
        <v>0.1</v>
      </c>
      <c r="C76" s="76" t="str">
        <f>IF(Caratula_Patrimonial!$F$23&gt;=A76,"Si","No")</f>
        <v>Si</v>
      </c>
      <c r="D76" s="76" t="str">
        <f>IF(AND(OR(Caratula_Patrimonial!$R$34="SI",Caratula_Patrimonial!$R$34=""),Caratula_Patrimonial!$F$23&gt;=A76),"Si","No")</f>
        <v>No</v>
      </c>
      <c r="E76" s="69">
        <f>IF(A76="","",
IF(E75+0.15%&gt;=Caratula_Patrimonial!$AQ$33,Caratula_Patrimonial!$AQ$33,
E75+0.15%))</f>
        <v>0.112</v>
      </c>
      <c r="F76" s="69">
        <f t="shared" si="6"/>
        <v>-1.5E-3</v>
      </c>
      <c r="G76" s="69">
        <f>IF(I75+F76&gt;Caratula_Patrimonial!$AQ$33,Caratula_Patrimonial!$AQ$33,
IF(I75+F76&lt;Caratula_Patrimonial!$AQ$32,Caratula_Patrimonial!$AQ$32,
I75+F76))</f>
        <v>0.1</v>
      </c>
      <c r="H76" s="69">
        <f>IF(AND(D75="Si",G76=Caratula_Patrimonial!$AQ$32),0,
IF(AND(D75="Si",G76=Caratula_Patrimonial!$AQ$33),0,
IF(AND(D75="No",G76=Caratula_Patrimonial!$AQ$33),0,
IF(D75="Si",-0.15%,
IF(AND(D75="No",J75&gt;=0),0,
IF(D75="No",0.15%))))))</f>
        <v>0</v>
      </c>
      <c r="I76" s="199">
        <f>IF(G76+H76&gt;Caratula_Patrimonial!$AQ$33,Caratula_Patrimonial!$AQ$33,
IF(G76+H76&lt;Caratula_Patrimonial!$AQ$32,Caratula_Patrimonial!$AQ$32,
G76+H76))</f>
        <v>0.1</v>
      </c>
      <c r="J76" s="199">
        <f t="shared" si="5"/>
        <v>0</v>
      </c>
    </row>
    <row r="77" spans="1:10" x14ac:dyDescent="0.25">
      <c r="A77" s="76">
        <v>10</v>
      </c>
      <c r="B77" s="201">
        <f>IF(Caratula_Patrimonial!$F$23&lt;A77,"",I77)</f>
        <v>0.1</v>
      </c>
      <c r="C77" s="76" t="str">
        <f>IF(Caratula_Patrimonial!$F$23&gt;=A77,"Si","No")</f>
        <v>Si</v>
      </c>
      <c r="D77" s="76" t="str">
        <f>IF(AND(OR(Caratula_Patrimonial!$R$34="SI",Caratula_Patrimonial!$R$34=""),Caratula_Patrimonial!$F$23&gt;=A77),"Si","No")</f>
        <v>No</v>
      </c>
      <c r="E77" s="69">
        <f>IF(A77="","",
IF(E76+0.15%&gt;=Caratula_Patrimonial!$AQ$33,Caratula_Patrimonial!$AQ$33,
E76+0.15%))</f>
        <v>0.112</v>
      </c>
      <c r="F77" s="69">
        <f t="shared" si="6"/>
        <v>-1.5E-3</v>
      </c>
      <c r="G77" s="69">
        <f>IF(I76+F77&gt;Caratula_Patrimonial!$AQ$33,Caratula_Patrimonial!$AQ$33,
IF(I76+F77&lt;Caratula_Patrimonial!$AQ$32,Caratula_Patrimonial!$AQ$32,
I76+F77))</f>
        <v>0.1</v>
      </c>
      <c r="H77" s="69">
        <f>IF(AND(D76="Si",G77=Caratula_Patrimonial!$AQ$32),0,
IF(AND(D76="Si",G77=Caratula_Patrimonial!$AQ$33),0,
IF(AND(D76="No",G77=Caratula_Patrimonial!$AQ$33),0,
IF(D76="Si",-0.15%,
IF(AND(D76="No",J76&gt;=0),0,
IF(D76="No",0.15%))))))</f>
        <v>0</v>
      </c>
      <c r="I77" s="199">
        <f>IF(G77+H77&gt;Caratula_Patrimonial!$AQ$33,Caratula_Patrimonial!$AQ$33,
IF(G77+H77&lt;Caratula_Patrimonial!$AQ$32,Caratula_Patrimonial!$AQ$32,
G77+H77))</f>
        <v>0.1</v>
      </c>
      <c r="J77" s="199">
        <f t="shared" si="5"/>
        <v>0</v>
      </c>
    </row>
    <row r="78" spans="1:10" x14ac:dyDescent="0.25">
      <c r="A78" s="76">
        <v>11</v>
      </c>
      <c r="B78" s="201">
        <f>IF(Caratula_Patrimonial!$F$23&lt;A78,"",I78)</f>
        <v>0.1</v>
      </c>
      <c r="C78" s="76" t="str">
        <f>IF(Caratula_Patrimonial!$F$23&gt;=A78,"Si","No")</f>
        <v>Si</v>
      </c>
      <c r="D78" s="76" t="str">
        <f>IF(AND(OR(Caratula_Patrimonial!$R$34="SI",Caratula_Patrimonial!$R$34=""),Caratula_Patrimonial!$F$23&gt;=A78),"Si","No")</f>
        <v>No</v>
      </c>
      <c r="E78" s="69">
        <f>IF(A78="","",
IF(E77+0.15%&gt;=Caratula_Patrimonial!$AQ$33,Caratula_Patrimonial!$AQ$33,
E77+0.15%))</f>
        <v>0.112</v>
      </c>
      <c r="F78" s="69">
        <f t="shared" si="6"/>
        <v>-1.5E-3</v>
      </c>
      <c r="G78" s="69">
        <f>IF(I77+F78&gt;Caratula_Patrimonial!$AQ$33,Caratula_Patrimonial!$AQ$33,
IF(I77+F78&lt;Caratula_Patrimonial!$AQ$32,Caratula_Patrimonial!$AQ$32,
I77+F78))</f>
        <v>0.1</v>
      </c>
      <c r="H78" s="69">
        <f>IF(AND(D77="Si",G78=Caratula_Patrimonial!$AQ$32),0,
IF(AND(D77="Si",G78=Caratula_Patrimonial!$AQ$33),0,
IF(AND(D77="No",G78=Caratula_Patrimonial!$AQ$33),0,
IF(D77="Si",-0.15%,
IF(AND(D77="No",J77&gt;=0),0,
IF(D77="No",0.15%))))))</f>
        <v>0</v>
      </c>
      <c r="I78" s="199">
        <f>IF(G78+H78&gt;Caratula_Patrimonial!$AQ$33,Caratula_Patrimonial!$AQ$33,
IF(G78+H78&lt;Caratula_Patrimonial!$AQ$32,Caratula_Patrimonial!$AQ$32,
G78+H78))</f>
        <v>0.1</v>
      </c>
      <c r="J78" s="199">
        <f t="shared" si="5"/>
        <v>0</v>
      </c>
    </row>
    <row r="79" spans="1:10" x14ac:dyDescent="0.25">
      <c r="A79" s="76">
        <v>12</v>
      </c>
      <c r="B79" s="201">
        <f>IF(Caratula_Patrimonial!$F$23&lt;A79,"",I79)</f>
        <v>0.1</v>
      </c>
      <c r="C79" s="76" t="str">
        <f>IF(Caratula_Patrimonial!$F$23&gt;=A79,"Si","No")</f>
        <v>Si</v>
      </c>
      <c r="D79" s="76" t="str">
        <f>IF(AND(OR(Caratula_Patrimonial!$R$34="SI",Caratula_Patrimonial!$R$34=""),Caratula_Patrimonial!$F$23&gt;=A79),"Si","No")</f>
        <v>No</v>
      </c>
      <c r="E79" s="69">
        <f>IF(A79="","",
IF(E78+0.15%&gt;=Caratula_Patrimonial!$AQ$33,Caratula_Patrimonial!$AQ$33,
E78+0.15%))</f>
        <v>0.112</v>
      </c>
      <c r="F79" s="69">
        <f t="shared" si="6"/>
        <v>-1.5E-3</v>
      </c>
      <c r="G79" s="69">
        <f>IF(I78+F79&gt;Caratula_Patrimonial!$AQ$33,Caratula_Patrimonial!$AQ$33,
IF(I78+F79&lt;Caratula_Patrimonial!$AQ$32,Caratula_Patrimonial!$AQ$32,
I78+F79))</f>
        <v>0.1</v>
      </c>
      <c r="H79" s="69">
        <f>IF(AND(D78="Si",G79=Caratula_Patrimonial!$AQ$32),0,
IF(AND(D78="Si",G79=Caratula_Patrimonial!$AQ$33),0,
IF(AND(D78="No",G79=Caratula_Patrimonial!$AQ$33),0,
IF(D78="Si",-0.15%,
IF(AND(D78="No",J78&gt;=0),0,
IF(D78="No",0.15%))))))</f>
        <v>0</v>
      </c>
      <c r="I79" s="199">
        <f>IF(G79+H79&gt;Caratula_Patrimonial!$AQ$33,Caratula_Patrimonial!$AQ$33,
IF(G79+H79&lt;Caratula_Patrimonial!$AQ$32,Caratula_Patrimonial!$AQ$32,
G79+H79))</f>
        <v>0.1</v>
      </c>
      <c r="J79" s="199">
        <f t="shared" si="5"/>
        <v>0</v>
      </c>
    </row>
    <row r="80" spans="1:10" x14ac:dyDescent="0.25">
      <c r="A80" s="76">
        <v>13</v>
      </c>
      <c r="B80" s="201">
        <f>IF(Caratula_Patrimonial!$F$23&lt;A80,"",I80)</f>
        <v>0.1</v>
      </c>
      <c r="C80" s="76" t="str">
        <f>IF(Caratula_Patrimonial!$F$23&gt;=A80,"Si","No")</f>
        <v>Si</v>
      </c>
      <c r="D80" s="76" t="str">
        <f>IF(AND(OR(Caratula_Patrimonial!$R$34="SI",Caratula_Patrimonial!$R$34=""),Caratula_Patrimonial!$F$23&gt;=A80),"Si","No")</f>
        <v>No</v>
      </c>
      <c r="E80" s="69">
        <f>IF(A80="","",
IF(E79+0.15%&gt;=Caratula_Patrimonial!$AQ$33,Caratula_Patrimonial!$AQ$33,
E79+0.15%))</f>
        <v>0.112</v>
      </c>
      <c r="F80" s="69">
        <f t="shared" si="6"/>
        <v>-1.5E-3</v>
      </c>
      <c r="G80" s="69">
        <f>IF(I79+F80&gt;Caratula_Patrimonial!$AQ$33,Caratula_Patrimonial!$AQ$33,
IF(I79+F80&lt;Caratula_Patrimonial!$AQ$32,Caratula_Patrimonial!$AQ$32,
I79+F80))</f>
        <v>0.1</v>
      </c>
      <c r="H80" s="69">
        <f>IF(AND(D79="Si",G80=Caratula_Patrimonial!$AQ$32),0,
IF(AND(D79="Si",G80=Caratula_Patrimonial!$AQ$33),0,
IF(AND(D79="No",G80=Caratula_Patrimonial!$AQ$33),0,
IF(D79="Si",-0.15%,
IF(AND(D79="No",J79&gt;=0),0,
IF(D79="No",0.15%))))))</f>
        <v>0</v>
      </c>
      <c r="I80" s="199">
        <f>IF(G80+H80&gt;Caratula_Patrimonial!$AQ$33,Caratula_Patrimonial!$AQ$33,
IF(G80+H80&lt;Caratula_Patrimonial!$AQ$32,Caratula_Patrimonial!$AQ$32,
G80+H80))</f>
        <v>0.1</v>
      </c>
      <c r="J80" s="199">
        <f t="shared" si="5"/>
        <v>0</v>
      </c>
    </row>
    <row r="81" spans="1:10" x14ac:dyDescent="0.25">
      <c r="A81" s="76">
        <v>14</v>
      </c>
      <c r="B81" s="201">
        <f>IF(Caratula_Patrimonial!$F$23&lt;A81,"",I81)</f>
        <v>0.1</v>
      </c>
      <c r="C81" s="76" t="str">
        <f>IF(Caratula_Patrimonial!$F$23&gt;=A81,"Si","No")</f>
        <v>Si</v>
      </c>
      <c r="D81" s="76" t="str">
        <f>IF(AND(OR(Caratula_Patrimonial!$R$34="SI",Caratula_Patrimonial!$R$34=""),Caratula_Patrimonial!$F$23&gt;=A81),"Si","No")</f>
        <v>No</v>
      </c>
      <c r="E81" s="69">
        <f>IF(A81="","",
IF(E80+0.15%&gt;=Caratula_Patrimonial!$AQ$33,Caratula_Patrimonial!$AQ$33,
E80+0.15%))</f>
        <v>0.112</v>
      </c>
      <c r="F81" s="69">
        <f t="shared" si="6"/>
        <v>-1.5E-3</v>
      </c>
      <c r="G81" s="69">
        <f>IF(I80+F81&gt;Caratula_Patrimonial!$AQ$33,Caratula_Patrimonial!$AQ$33,
IF(I80+F81&lt;Caratula_Patrimonial!$AQ$32,Caratula_Patrimonial!$AQ$32,
I80+F81))</f>
        <v>0.1</v>
      </c>
      <c r="H81" s="69">
        <f>IF(AND(D80="Si",G81=Caratula_Patrimonial!$AQ$32),0,
IF(AND(D80="Si",G81=Caratula_Patrimonial!$AQ$33),0,
IF(AND(D80="No",G81=Caratula_Patrimonial!$AQ$33),0,
IF(D80="Si",-0.15%,
IF(AND(D80="No",J80&gt;=0),0,
IF(D80="No",0.15%))))))</f>
        <v>0</v>
      </c>
      <c r="I81" s="199">
        <f>IF(G81+H81&gt;Caratula_Patrimonial!$AQ$33,Caratula_Patrimonial!$AQ$33,
IF(G81+H81&lt;Caratula_Patrimonial!$AQ$32,Caratula_Patrimonial!$AQ$32,
G81+H81))</f>
        <v>0.1</v>
      </c>
      <c r="J81" s="199">
        <f t="shared" si="5"/>
        <v>0</v>
      </c>
    </row>
    <row r="82" spans="1:10" x14ac:dyDescent="0.25">
      <c r="A82" s="76">
        <v>15</v>
      </c>
      <c r="B82" s="201">
        <f>IF(Caratula_Patrimonial!$F$23&lt;A82,"",I82)</f>
        <v>0.1</v>
      </c>
      <c r="C82" s="76" t="str">
        <f>IF(Caratula_Patrimonial!$F$23&gt;=A82,"Si","No")</f>
        <v>Si</v>
      </c>
      <c r="D82" s="76" t="str">
        <f>IF(AND(OR(Caratula_Patrimonial!$R$34="SI",Caratula_Patrimonial!$R$34=""),Caratula_Patrimonial!$F$23&gt;=A82),"Si","No")</f>
        <v>No</v>
      </c>
      <c r="E82" s="69">
        <f>IF(A82="","",
IF(E81+0.15%&gt;=Caratula_Patrimonial!$AQ$33,Caratula_Patrimonial!$AQ$33,
E81+0.15%))</f>
        <v>0.112</v>
      </c>
      <c r="F82" s="69">
        <f t="shared" si="6"/>
        <v>-1.5E-3</v>
      </c>
      <c r="G82" s="69">
        <f>IF(I81+F82&gt;Caratula_Patrimonial!$AQ$33,Caratula_Patrimonial!$AQ$33,
IF(I81+F82&lt;Caratula_Patrimonial!$AQ$32,Caratula_Patrimonial!$AQ$32,
I81+F82))</f>
        <v>0.1</v>
      </c>
      <c r="H82" s="69">
        <f>IF(AND(D81="Si",G82=Caratula_Patrimonial!$AQ$32),0,
IF(AND(D81="Si",G82=Caratula_Patrimonial!$AQ$33),0,
IF(AND(D81="No",G82=Caratula_Patrimonial!$AQ$33),0,
IF(D81="Si",-0.15%,
IF(AND(D81="No",J81&gt;=0),0,
IF(D81="No",0.15%))))))</f>
        <v>0</v>
      </c>
      <c r="I82" s="199">
        <f>IF(G82+H82&gt;Caratula_Patrimonial!$AQ$33,Caratula_Patrimonial!$AQ$33,
IF(G82+H82&lt;Caratula_Patrimonial!$AQ$32,Caratula_Patrimonial!$AQ$32,
G82+H82))</f>
        <v>0.1</v>
      </c>
      <c r="J82" s="199">
        <f t="shared" si="5"/>
        <v>0</v>
      </c>
    </row>
    <row r="83" spans="1:10" x14ac:dyDescent="0.25">
      <c r="A83" s="76">
        <v>16</v>
      </c>
      <c r="B83" s="201">
        <f>IF(Caratula_Patrimonial!$F$23&lt;A83,"",I83)</f>
        <v>0.1</v>
      </c>
      <c r="C83" s="76" t="str">
        <f>IF(Caratula_Patrimonial!$F$23&gt;=A83,"Si","No")</f>
        <v>Si</v>
      </c>
      <c r="D83" s="76" t="str">
        <f>IF(AND(OR(Caratula_Patrimonial!$R$34="SI",Caratula_Patrimonial!$R$34=""),Caratula_Patrimonial!$F$23&gt;=A83),"Si","No")</f>
        <v>No</v>
      </c>
      <c r="E83" s="69">
        <f>IF(A83="","",
IF(E82+0.15%&gt;=Caratula_Patrimonial!$AQ$33,Caratula_Patrimonial!$AQ$33,
E82+0.15%))</f>
        <v>0.112</v>
      </c>
      <c r="F83" s="69">
        <f t="shared" si="6"/>
        <v>-1.5E-3</v>
      </c>
      <c r="G83" s="69">
        <f>IF(I82+F83&gt;Caratula_Patrimonial!$AQ$33,Caratula_Patrimonial!$AQ$33,
IF(I82+F83&lt;Caratula_Patrimonial!$AQ$32,Caratula_Patrimonial!$AQ$32,
I82+F83))</f>
        <v>0.1</v>
      </c>
      <c r="H83" s="69">
        <f>IF(AND(D82="Si",G83=Caratula_Patrimonial!$AQ$32),0,
IF(AND(D82="Si",G83=Caratula_Patrimonial!$AQ$33),0,
IF(AND(D82="No",G83=Caratula_Patrimonial!$AQ$33),0,
IF(D82="Si",-0.15%,
IF(AND(D82="No",J82&gt;=0),0,
IF(D82="No",0.15%))))))</f>
        <v>0</v>
      </c>
      <c r="I83" s="199">
        <f>IF(G83+H83&gt;Caratula_Patrimonial!$AQ$33,Caratula_Patrimonial!$AQ$33,
IF(G83+H83&lt;Caratula_Patrimonial!$AQ$32,Caratula_Patrimonial!$AQ$32,
G83+H83))</f>
        <v>0.1</v>
      </c>
      <c r="J83" s="199">
        <f t="shared" si="5"/>
        <v>0</v>
      </c>
    </row>
    <row r="84" spans="1:10" x14ac:dyDescent="0.25">
      <c r="A84" s="76">
        <v>17</v>
      </c>
      <c r="B84" s="201">
        <f>IF(Caratula_Patrimonial!$F$23&lt;A84,"",I84)</f>
        <v>0.1</v>
      </c>
      <c r="C84" s="76" t="str">
        <f>IF(Caratula_Patrimonial!$F$23&gt;=A84,"Si","No")</f>
        <v>Si</v>
      </c>
      <c r="D84" s="76" t="str">
        <f>IF(AND(OR(Caratula_Patrimonial!$R$34="SI",Caratula_Patrimonial!$R$34=""),Caratula_Patrimonial!$F$23&gt;=A84),"Si","No")</f>
        <v>No</v>
      </c>
      <c r="E84" s="69">
        <f>IF(A84="","",
IF(E83+0.15%&gt;=Caratula_Patrimonial!$AQ$33,Caratula_Patrimonial!$AQ$33,
E83+0.15%))</f>
        <v>0.112</v>
      </c>
      <c r="F84" s="69">
        <f t="shared" si="6"/>
        <v>-1.5E-3</v>
      </c>
      <c r="G84" s="69">
        <f>IF(I83+F84&gt;Caratula_Patrimonial!$AQ$33,Caratula_Patrimonial!$AQ$33,
IF(I83+F84&lt;Caratula_Patrimonial!$AQ$32,Caratula_Patrimonial!$AQ$32,
I83+F84))</f>
        <v>0.1</v>
      </c>
      <c r="H84" s="69">
        <f>IF(AND(D83="Si",G84=Caratula_Patrimonial!$AQ$32),0,
IF(AND(D83="Si",G84=Caratula_Patrimonial!$AQ$33),0,
IF(AND(D83="No",G84=Caratula_Patrimonial!$AQ$33),0,
IF(D83="Si",-0.15%,
IF(AND(D83="No",J83&gt;=0),0,
IF(D83="No",0.15%))))))</f>
        <v>0</v>
      </c>
      <c r="I84" s="199">
        <f>IF(G84+H84&gt;Caratula_Patrimonial!$AQ$33,Caratula_Patrimonial!$AQ$33,
IF(G84+H84&lt;Caratula_Patrimonial!$AQ$32,Caratula_Patrimonial!$AQ$32,
G84+H84))</f>
        <v>0.1</v>
      </c>
      <c r="J84" s="199">
        <f t="shared" si="5"/>
        <v>0</v>
      </c>
    </row>
    <row r="85" spans="1:10" x14ac:dyDescent="0.25">
      <c r="A85" s="76">
        <v>18</v>
      </c>
      <c r="B85" s="69">
        <f>IF(Caratula_Patrimonial!$F$23&lt;A85,"",I85)</f>
        <v>0.1</v>
      </c>
      <c r="C85" s="76" t="str">
        <f>IF(Caratula_Patrimonial!$F$23&gt;=A85,"Si","No")</f>
        <v>Si</v>
      </c>
      <c r="D85" s="76" t="str">
        <f>IF(AND(OR(Caratula_Patrimonial!$R$34="SI",Caratula_Patrimonial!$R$34=""),Caratula_Patrimonial!$F$23&gt;=A85),"Si","No")</f>
        <v>No</v>
      </c>
      <c r="E85" s="69">
        <f>IF(A85="","",
IF(E84+0.15%&gt;=Caratula_Patrimonial!$AQ$33,Caratula_Patrimonial!$AQ$33,
E84+0.15%))</f>
        <v>0.112</v>
      </c>
      <c r="F85" s="69">
        <f t="shared" si="6"/>
        <v>-1.5E-3</v>
      </c>
      <c r="G85" s="69">
        <f>IF(I84+F85&gt;Caratula_Patrimonial!$AQ$33,Caratula_Patrimonial!$AQ$33,
IF(I84+F85&lt;Caratula_Patrimonial!$AQ$32,Caratula_Patrimonial!$AQ$32,
I84+F85))</f>
        <v>0.1</v>
      </c>
      <c r="H85" s="69">
        <f>IF(AND(D84="Si",G85=Caratula_Patrimonial!$AQ$32),0,
IF(AND(D84="Si",G85=Caratula_Patrimonial!$AQ$33),0,
IF(AND(D84="No",G85=Caratula_Patrimonial!$AQ$33),0,
IF(D84="Si",-0.15%,
IF(AND(D84="No",J84&gt;=0),0,
IF(D84="No",0.15%))))))</f>
        <v>0</v>
      </c>
      <c r="I85" s="199">
        <f>IF(G85+H85&gt;Caratula_Patrimonial!$AQ$33,Caratula_Patrimonial!$AQ$33,
IF(G85+H85&lt;Caratula_Patrimonial!$AQ$32,Caratula_Patrimonial!$AQ$32,
G85+H85))</f>
        <v>0.1</v>
      </c>
      <c r="J85" s="199">
        <f t="shared" si="5"/>
        <v>0</v>
      </c>
    </row>
    <row r="86" spans="1:10" x14ac:dyDescent="0.25">
      <c r="A86" s="76">
        <v>19</v>
      </c>
      <c r="B86" s="69">
        <f>IF(Caratula_Patrimonial!$F$23&lt;A86,"",I86)</f>
        <v>0.1</v>
      </c>
      <c r="C86" s="76" t="str">
        <f>IF(Caratula_Patrimonial!$F$23&gt;=A86,"Si","No")</f>
        <v>Si</v>
      </c>
      <c r="D86" s="76" t="str">
        <f>IF(AND(OR(Caratula_Patrimonial!$R$34="SI",Caratula_Patrimonial!$R$34=""),Caratula_Patrimonial!$F$23&gt;=A86),"Si","No")</f>
        <v>No</v>
      </c>
      <c r="E86" s="69">
        <f>IF(A86="","",
IF(E85+0.15%&gt;=Caratula_Patrimonial!$AQ$33,Caratula_Patrimonial!$AQ$33,
E85+0.15%))</f>
        <v>0.112</v>
      </c>
      <c r="F86" s="69">
        <f t="shared" si="6"/>
        <v>-1.5E-3</v>
      </c>
      <c r="G86" s="69">
        <f>IF(I85+F86&gt;Caratula_Patrimonial!$AQ$33,Caratula_Patrimonial!$AQ$33,
IF(I85+F86&lt;Caratula_Patrimonial!$AQ$32,Caratula_Patrimonial!$AQ$32,
I85+F86))</f>
        <v>0.1</v>
      </c>
      <c r="H86" s="69">
        <f>IF(AND(D85="Si",G86=Caratula_Patrimonial!$AQ$32),0,
IF(AND(D85="Si",G86=Caratula_Patrimonial!$AQ$33),0,
IF(AND(D85="No",G86=Caratula_Patrimonial!$AQ$33),0,
IF(D85="Si",-0.15%,
IF(AND(D85="No",J85&gt;=0),0,
IF(D85="No",0.15%))))))</f>
        <v>0</v>
      </c>
      <c r="I86" s="199">
        <f>IF(G86+H86&gt;Caratula_Patrimonial!$AQ$33,Caratula_Patrimonial!$AQ$33,
IF(G86+H86&lt;Caratula_Patrimonial!$AQ$32,Caratula_Patrimonial!$AQ$32,
G86+H86))</f>
        <v>0.1</v>
      </c>
      <c r="J86" s="199">
        <f t="shared" si="5"/>
        <v>0</v>
      </c>
    </row>
    <row r="87" spans="1:10" x14ac:dyDescent="0.25">
      <c r="A87" s="76">
        <v>20</v>
      </c>
      <c r="B87" s="69">
        <f>IF(Caratula_Patrimonial!$F$23&lt;A87,"",I87)</f>
        <v>0.1</v>
      </c>
      <c r="C87" s="76" t="str">
        <f>IF(Caratula_Patrimonial!$F$23&gt;=A87,"Si","No")</f>
        <v>Si</v>
      </c>
      <c r="D87" s="76" t="str">
        <f>IF(AND(OR(Caratula_Patrimonial!$R$34="SI",Caratula_Patrimonial!$R$34=""),Caratula_Patrimonial!$F$23&gt;=A87),"Si","No")</f>
        <v>No</v>
      </c>
      <c r="E87" s="69">
        <f>IF(A87="","",
IF(E86+0.15%&gt;=Caratula_Patrimonial!$AQ$33,Caratula_Patrimonial!$AQ$33,
E86+0.15%))</f>
        <v>0.112</v>
      </c>
      <c r="F87" s="69">
        <f t="shared" si="6"/>
        <v>-1.5E-3</v>
      </c>
      <c r="G87" s="69">
        <f>IF(I86+F87&gt;Caratula_Patrimonial!$AQ$33,Caratula_Patrimonial!$AQ$33,
IF(I86+F87&lt;Caratula_Patrimonial!$AQ$32,Caratula_Patrimonial!$AQ$32,
I86+F87))</f>
        <v>0.1</v>
      </c>
      <c r="H87" s="69">
        <f>IF(AND(D86="Si",G87=Caratula_Patrimonial!$AQ$32),0,
IF(AND(D86="Si",G87=Caratula_Patrimonial!$AQ$33),0,
IF(AND(D86="No",G87=Caratula_Patrimonial!$AQ$33),0,
IF(D86="Si",-0.15%,
IF(AND(D86="No",J86&gt;=0),0,
IF(D86="No",0.15%))))))</f>
        <v>0</v>
      </c>
      <c r="I87" s="199">
        <f>IF(G87+H87&gt;Caratula_Patrimonial!$AQ$33,Caratula_Patrimonial!$AQ$33,
IF(G87+H87&lt;Caratula_Patrimonial!$AQ$32,Caratula_Patrimonial!$AQ$32,
G87+H87))</f>
        <v>0.1</v>
      </c>
      <c r="J87" s="199">
        <f t="shared" si="5"/>
        <v>0</v>
      </c>
    </row>
    <row r="88" spans="1:10" x14ac:dyDescent="0.25">
      <c r="A88" s="76">
        <v>21</v>
      </c>
      <c r="B88" s="69" t="str">
        <f>IF(Caratula_Patrimonial!$F$23&lt;A88,"",I88)</f>
        <v/>
      </c>
      <c r="C88" s="76" t="str">
        <f>IF(Caratula_Patrimonial!$F$23&gt;=A88,"Si","No")</f>
        <v>No</v>
      </c>
      <c r="D88" s="76" t="str">
        <f>IF(AND(OR(Caratula_Patrimonial!$R$34="SI",Caratula_Patrimonial!$R$34=""),Caratula_Patrimonial!$F$23&gt;=A88),"Si","No")</f>
        <v>No</v>
      </c>
      <c r="E88" s="69">
        <f>IF(A88="","",
IF(E87+0.15%&gt;=Caratula_Patrimonial!$AQ$33,Caratula_Patrimonial!$AQ$33,
E87+0.15%))</f>
        <v>0.112</v>
      </c>
      <c r="F88" s="69">
        <f t="shared" si="6"/>
        <v>-1.5E-3</v>
      </c>
      <c r="G88" s="69">
        <f>IF(I87+F88&gt;Caratula_Patrimonial!$AQ$33,Caratula_Patrimonial!$AQ$33,
IF(I87+F88&lt;Caratula_Patrimonial!$AQ$32,Caratula_Patrimonial!$AQ$32,
I87+F88))</f>
        <v>0.1</v>
      </c>
      <c r="H88" s="69">
        <f>IF(AND(D87="Si",G88=Caratula_Patrimonial!$AQ$32),0,
IF(AND(D87="Si",G88=Caratula_Patrimonial!$AQ$33),0,
IF(AND(D87="No",G88=Caratula_Patrimonial!$AQ$33),0,
IF(D87="Si",-0.15%,
IF(AND(D87="No",J87&gt;=0),0,
IF(D87="No",0.15%))))))</f>
        <v>0</v>
      </c>
      <c r="I88" s="199">
        <f>IF(G88+H88&gt;Caratula_Patrimonial!$AQ$33,Caratula_Patrimonial!$AQ$33,
IF(G88+H88&lt;Caratula_Patrimonial!$AQ$32,Caratula_Patrimonial!$AQ$32,
G88+H88))</f>
        <v>0.1</v>
      </c>
      <c r="J88" s="199">
        <f t="shared" si="5"/>
        <v>0</v>
      </c>
    </row>
    <row r="89" spans="1:10" x14ac:dyDescent="0.25">
      <c r="A89" s="76">
        <v>22</v>
      </c>
      <c r="B89" s="69" t="str">
        <f>IF(Caratula_Patrimonial!$F$23&lt;A89,"",I89)</f>
        <v/>
      </c>
      <c r="C89" s="76" t="str">
        <f>IF(Caratula_Patrimonial!$F$23&gt;=A89,"Si","No")</f>
        <v>No</v>
      </c>
      <c r="D89" s="76" t="str">
        <f>IF(AND(OR(Caratula_Patrimonial!$R$34="SI",Caratula_Patrimonial!$R$34=""),Caratula_Patrimonial!$F$23&gt;=A89),"Si","No")</f>
        <v>No</v>
      </c>
      <c r="E89" s="69">
        <f>IF(A89="","",
IF(E88+0.15%&gt;=Caratula_Patrimonial!$AQ$33,Caratula_Patrimonial!$AQ$33,
E88+0.15%))</f>
        <v>0.112</v>
      </c>
      <c r="F89" s="69">
        <f t="shared" si="6"/>
        <v>1.5E-3</v>
      </c>
      <c r="G89" s="69">
        <f>IF(I88+F89&gt;Caratula_Patrimonial!$AQ$33,Caratula_Patrimonial!$AQ$33,
IF(I88+F89&lt;Caratula_Patrimonial!$AQ$32,Caratula_Patrimonial!$AQ$32,
I88+F89))</f>
        <v>0.10150000000000001</v>
      </c>
      <c r="H89" s="69">
        <f>IF(AND(D88="Si",G89=Caratula_Patrimonial!$AQ$32),0,
IF(AND(D88="Si",G89=Caratula_Patrimonial!$AQ$33),0,
IF(AND(D88="No",G89=Caratula_Patrimonial!$AQ$33),0,
IF(D88="Si",-0.15%,
IF(AND(D88="No",J88&gt;=0),0,
IF(D88="No",0.15%))))))</f>
        <v>0</v>
      </c>
      <c r="I89" s="199">
        <f>IF(G89+H89&gt;Caratula_Patrimonial!$AQ$33,Caratula_Patrimonial!$AQ$33,
IF(G89+H89&lt;Caratula_Patrimonial!$AQ$32,Caratula_Patrimonial!$AQ$32,
G89+H89))</f>
        <v>0.10150000000000001</v>
      </c>
      <c r="J89" s="199">
        <f t="shared" si="5"/>
        <v>0</v>
      </c>
    </row>
    <row r="90" spans="1:10" x14ac:dyDescent="0.25">
      <c r="A90" s="76">
        <v>23</v>
      </c>
      <c r="B90" s="69" t="str">
        <f>IF(Caratula_Patrimonial!$F$23&lt;A90,"",I90)</f>
        <v/>
      </c>
      <c r="C90" s="76" t="str">
        <f>IF(Caratula_Patrimonial!$F$23&gt;=A90,"Si","No")</f>
        <v>No</v>
      </c>
      <c r="D90" s="76" t="str">
        <f>IF(AND(OR(Caratula_Patrimonial!$R$34="SI",Caratula_Patrimonial!$R$34=""),Caratula_Patrimonial!$F$23&gt;=A90),"Si","No")</f>
        <v>No</v>
      </c>
      <c r="E90" s="69">
        <f>IF(A90="","",
IF(E89+0.15%&gt;=Caratula_Patrimonial!$AQ$33,Caratula_Patrimonial!$AQ$33,
E89+0.15%))</f>
        <v>0.112</v>
      </c>
      <c r="F90" s="69">
        <f t="shared" si="6"/>
        <v>1.5E-3</v>
      </c>
      <c r="G90" s="69">
        <f>IF(I89+F90&gt;Caratula_Patrimonial!$AQ$33,Caratula_Patrimonial!$AQ$33,
IF(I89+F90&lt;Caratula_Patrimonial!$AQ$32,Caratula_Patrimonial!$AQ$32,
I89+F90))</f>
        <v>0.10300000000000001</v>
      </c>
      <c r="H90" s="69">
        <f>IF(AND(D89="Si",G90=Caratula_Patrimonial!$AQ$32),0,
IF(AND(D89="Si",G90=Caratula_Patrimonial!$AQ$33),0,
IF(AND(D89="No",G90=Caratula_Patrimonial!$AQ$33),0,
IF(D89="Si",-0.15%,
IF(AND(D89="No",J89&gt;=0),0,
IF(D89="No",0.15%))))))</f>
        <v>0</v>
      </c>
      <c r="I90" s="199">
        <f>IF(G90+H90&gt;Caratula_Patrimonial!$AQ$33,Caratula_Patrimonial!$AQ$33,
IF(G90+H90&lt;Caratula_Patrimonial!$AQ$32,Caratula_Patrimonial!$AQ$32,
G90+H90))</f>
        <v>0.10300000000000001</v>
      </c>
      <c r="J90" s="199">
        <f t="shared" si="5"/>
        <v>0</v>
      </c>
    </row>
    <row r="91" spans="1:10" x14ac:dyDescent="0.25">
      <c r="A91" s="76">
        <v>24</v>
      </c>
      <c r="B91" s="69" t="str">
        <f>IF(Caratula_Patrimonial!$F$23&lt;A91,"",I91)</f>
        <v/>
      </c>
      <c r="C91" s="76" t="str">
        <f>IF(Caratula_Patrimonial!$F$23&gt;=A91,"Si","No")</f>
        <v>No</v>
      </c>
      <c r="D91" s="76" t="str">
        <f>IF(AND(OR(Caratula_Patrimonial!$R$34="SI",Caratula_Patrimonial!$R$34=""),Caratula_Patrimonial!$F$23&gt;=A91),"Si","No")</f>
        <v>No</v>
      </c>
      <c r="E91" s="69">
        <f>IF(A91="","",
IF(E90+0.15%&gt;=Caratula_Patrimonial!$AQ$33,Caratula_Patrimonial!$AQ$33,
E90+0.15%))</f>
        <v>0.112</v>
      </c>
      <c r="F91" s="69">
        <f t="shared" si="6"/>
        <v>1.5E-3</v>
      </c>
      <c r="G91" s="69">
        <f>IF(I90+F91&gt;Caratula_Patrimonial!$AQ$33,Caratula_Patrimonial!$AQ$33,
IF(I90+F91&lt;Caratula_Patrimonial!$AQ$32,Caratula_Patrimonial!$AQ$32,
I90+F91))</f>
        <v>0.10450000000000001</v>
      </c>
      <c r="H91" s="69">
        <f>IF(AND(D90="Si",G91=Caratula_Patrimonial!$AQ$32),0,
IF(AND(D90="Si",G91=Caratula_Patrimonial!$AQ$33),0,
IF(AND(D90="No",G91=Caratula_Patrimonial!$AQ$33),0,
IF(D90="Si",-0.15%,
IF(AND(D90="No",J90&gt;=0),0,
IF(D90="No",0.15%))))))</f>
        <v>0</v>
      </c>
      <c r="I91" s="199">
        <f>IF(G91+H91&gt;Caratula_Patrimonial!$AQ$33,Caratula_Patrimonial!$AQ$33,
IF(G91+H91&lt;Caratula_Patrimonial!$AQ$32,Caratula_Patrimonial!$AQ$32,
G91+H91))</f>
        <v>0.10450000000000001</v>
      </c>
      <c r="J91" s="199">
        <f t="shared" si="5"/>
        <v>0</v>
      </c>
    </row>
    <row r="92" spans="1:10" x14ac:dyDescent="0.25">
      <c r="A92" s="76">
        <v>25</v>
      </c>
      <c r="B92" s="69" t="str">
        <f>IF(Caratula_Patrimonial!$F$23&lt;A92,"",I92)</f>
        <v/>
      </c>
      <c r="C92" s="76" t="str">
        <f>IF(Caratula_Patrimonial!$F$23&gt;=A92,"Si","No")</f>
        <v>No</v>
      </c>
      <c r="D92" s="76" t="str">
        <f>IF(AND(OR(Caratula_Patrimonial!$R$34="SI",Caratula_Patrimonial!$R$34=""),Caratula_Patrimonial!$F$23&gt;=A92),"Si","No")</f>
        <v>No</v>
      </c>
      <c r="E92" s="69">
        <f>IF(A92="","",
IF(E91+0.15%&gt;=Caratula_Patrimonial!$AQ$33,Caratula_Patrimonial!$AQ$33,
E91+0.15%))</f>
        <v>0.112</v>
      </c>
      <c r="F92" s="69">
        <f t="shared" si="6"/>
        <v>1.5E-3</v>
      </c>
      <c r="G92" s="69">
        <f>IF(I91+F92&gt;Caratula_Patrimonial!$AQ$33,Caratula_Patrimonial!$AQ$33,
IF(I91+F92&lt;Caratula_Patrimonial!$AQ$32,Caratula_Patrimonial!$AQ$32,
I91+F92))</f>
        <v>0.10600000000000001</v>
      </c>
      <c r="H92" s="69">
        <f>IF(AND(D91="Si",G92=Caratula_Patrimonial!$AQ$32),0,
IF(AND(D91="Si",G92=Caratula_Patrimonial!$AQ$33),0,
IF(AND(D91="No",G92=Caratula_Patrimonial!$AQ$33),0,
IF(D91="Si",-0.15%,
IF(AND(D91="No",J91&gt;=0),0,
IF(D91="No",0.15%))))))</f>
        <v>0</v>
      </c>
      <c r="I92" s="199">
        <f>IF(G92+H92&gt;Caratula_Patrimonial!$AQ$33,Caratula_Patrimonial!$AQ$33,
IF(G92+H92&lt;Caratula_Patrimonial!$AQ$32,Caratula_Patrimonial!$AQ$32,
G92+H92))</f>
        <v>0.10600000000000001</v>
      </c>
      <c r="J92" s="199">
        <f t="shared" si="5"/>
        <v>0</v>
      </c>
    </row>
  </sheetData>
  <sheetProtection algorithmName="SHA-512" hashValue="FAWWqd3Ywf/TSccsgBs4dzJSxBvqvHykdlNvKGFwX1g2Zgiohf4FZHHS/BdY24sJYLBzAj8pEn79gsx3dA5+iA==" saltValue="E4STiuj2amy9u3Dxm1Y/tw==" spinCount="100000" sheet="1" objects="1" scenarios="1"/>
  <mergeCells count="2">
    <mergeCell ref="A35:J35"/>
    <mergeCell ref="A66:J66"/>
  </mergeCells>
  <conditionalFormatting sqref="F4:F26">
    <cfRule type="expression" dxfId="65" priority="10">
      <formula>$F4=-0.15%</formula>
    </cfRule>
  </conditionalFormatting>
  <conditionalFormatting sqref="H3:H26">
    <cfRule type="expression" dxfId="64" priority="9">
      <formula>$H3=-0.15%</formula>
    </cfRule>
  </conditionalFormatting>
  <conditionalFormatting sqref="F39:F58">
    <cfRule type="expression" dxfId="63" priority="8">
      <formula>$F39=-0.15%</formula>
    </cfRule>
  </conditionalFormatting>
  <conditionalFormatting sqref="H38:H58">
    <cfRule type="expression" dxfId="62" priority="5">
      <formula>$H38=-0.15%</formula>
    </cfRule>
  </conditionalFormatting>
  <conditionalFormatting sqref="G2:G26">
    <cfRule type="expression" dxfId="61" priority="11">
      <formula>$G2=#REF!</formula>
    </cfRule>
    <cfRule type="expression" dxfId="60" priority="12">
      <formula>$G2=#REF!</formula>
    </cfRule>
  </conditionalFormatting>
  <conditionalFormatting sqref="G39:G58">
    <cfRule type="expression" dxfId="59" priority="6">
      <formula>$G39=#REF!</formula>
    </cfRule>
    <cfRule type="expression" dxfId="58" priority="7">
      <formula>$G39=#REF!</formula>
    </cfRule>
  </conditionalFormatting>
  <conditionalFormatting sqref="F70:F92">
    <cfRule type="expression" dxfId="57" priority="2">
      <formula>$F70=-0.15%</formula>
    </cfRule>
  </conditionalFormatting>
  <conditionalFormatting sqref="H69:H92">
    <cfRule type="expression" dxfId="56" priority="1">
      <formula>$H69=-0.15%</formula>
    </cfRule>
  </conditionalFormatting>
  <conditionalFormatting sqref="G68:G92">
    <cfRule type="expression" dxfId="55" priority="3">
      <formula>$G68=#REF!</formula>
    </cfRule>
    <cfRule type="expression" dxfId="54" priority="4">
      <formula>$G68=#REF!</formula>
    </cfRule>
  </conditionalFormatting>
  <pageMargins left="0.7" right="0.7" top="0.75" bottom="0.75" header="0.3" footer="0.3"/>
  <pageSetup orientation="portrait" r:id="rId1"/>
  <headerFooter>
    <oddFooter>&amp;C&amp;1#&amp;"Calibri"&amp;10&amp;K000000PUBLIC</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D2D3F-A020-4CD5-9C87-DE53A32BE0C7}">
  <sheetPr codeName="Hoja11"/>
  <dimension ref="B2:EE372"/>
  <sheetViews>
    <sheetView showGridLines="0" zoomScaleNormal="100" zoomScaleSheetLayoutView="85" workbookViewId="0"/>
  </sheetViews>
  <sheetFormatPr baseColWidth="10" defaultColWidth="11.42578125" defaultRowHeight="15.75" x14ac:dyDescent="0.25"/>
  <cols>
    <col min="1" max="1" width="2.85546875" style="324" customWidth="1"/>
    <col min="2" max="2" width="6.7109375" style="324" customWidth="1"/>
    <col min="3" max="3" width="23" style="324" customWidth="1"/>
    <col min="4" max="10" width="9" style="324" customWidth="1"/>
    <col min="11" max="11" width="9.85546875" style="324" customWidth="1"/>
    <col min="12" max="13" width="9" style="324" customWidth="1"/>
    <col min="14" max="18" width="13.140625" style="324" customWidth="1"/>
    <col min="19" max="25" width="9" style="324" customWidth="1"/>
    <col min="26" max="27" width="11.85546875" style="324" hidden="1" customWidth="1"/>
    <col min="28" max="28" width="15.140625" style="324" hidden="1" customWidth="1"/>
    <col min="29" max="29" width="17" style="324" hidden="1" customWidth="1"/>
    <col min="30" max="36" width="11.42578125" style="324" hidden="1" customWidth="1"/>
    <col min="37" max="37" width="27.42578125" style="324" hidden="1" customWidth="1"/>
    <col min="38" max="38" width="24.7109375" style="324" hidden="1" customWidth="1"/>
    <col min="39" max="39" width="22.140625" style="324" hidden="1" customWidth="1"/>
    <col min="40" max="41" width="11.42578125" style="324" hidden="1" customWidth="1"/>
    <col min="42" max="42" width="24.140625" style="324" hidden="1" customWidth="1"/>
    <col min="43" max="43" width="26.140625" style="324" hidden="1" customWidth="1"/>
    <col min="44" max="44" width="17.28515625" style="324" hidden="1" customWidth="1"/>
    <col min="45" max="45" width="27.28515625" style="324" hidden="1" customWidth="1"/>
    <col min="46" max="46" width="24.140625" style="324" hidden="1" customWidth="1"/>
    <col min="47" max="50" width="11.42578125" style="324" hidden="1" customWidth="1"/>
    <col min="51" max="52" width="22.7109375" style="324" hidden="1" customWidth="1"/>
    <col min="53" max="53" width="20.140625" style="324" hidden="1" customWidth="1"/>
    <col min="54" max="54" width="12.85546875" style="324" hidden="1" customWidth="1"/>
    <col min="55" max="55" width="8.28515625" style="324" hidden="1" customWidth="1"/>
    <col min="56" max="56" width="29" style="324" hidden="1" customWidth="1"/>
    <col min="57" max="57" width="29.7109375" style="324" hidden="1" customWidth="1"/>
    <col min="58" max="58" width="24" style="324" hidden="1" customWidth="1"/>
    <col min="59" max="59" width="15.5703125" style="324" hidden="1" customWidth="1"/>
    <col min="60" max="60" width="35.85546875" style="324" hidden="1" customWidth="1"/>
    <col min="61" max="61" width="21.85546875" style="324" hidden="1" customWidth="1"/>
    <col min="62" max="62" width="21" style="324" hidden="1" customWidth="1"/>
    <col min="63" max="63" width="11.42578125" style="324" hidden="1" customWidth="1"/>
    <col min="64" max="64" width="16.140625" style="324" hidden="1" customWidth="1"/>
    <col min="65" max="89" width="11.42578125" style="324" hidden="1" customWidth="1"/>
    <col min="90" max="90" width="16.28515625" style="324" hidden="1" customWidth="1"/>
    <col min="91" max="135" width="11.42578125" style="324" hidden="1" customWidth="1"/>
    <col min="136" max="167" width="11.42578125" style="324" customWidth="1"/>
    <col min="168" max="16384" width="11.42578125" style="324"/>
  </cols>
  <sheetData>
    <row r="2" spans="2:65" x14ac:dyDescent="0.25">
      <c r="H2" s="325"/>
    </row>
    <row r="4" spans="2:65" hidden="1" x14ac:dyDescent="0.25"/>
    <row r="5" spans="2:65" ht="6" customHeight="1" x14ac:dyDescent="0.25">
      <c r="C5" s="326"/>
      <c r="D5" s="611"/>
      <c r="E5" s="611"/>
      <c r="F5" s="611"/>
    </row>
    <row r="6" spans="2:65" ht="34.5" customHeight="1" x14ac:dyDescent="0.25">
      <c r="C6" s="325"/>
    </row>
    <row r="7" spans="2:65" ht="16.5" thickBot="1" x14ac:dyDescent="0.3"/>
    <row r="8" spans="2:65" ht="17.25" thickTop="1" thickBot="1" x14ac:dyDescent="0.3">
      <c r="D8" s="664"/>
      <c r="E8" s="665"/>
      <c r="F8" s="665"/>
      <c r="G8" s="665"/>
      <c r="H8" s="665"/>
      <c r="I8" s="665"/>
      <c r="J8" s="665"/>
      <c r="K8" s="666"/>
      <c r="R8" s="667"/>
      <c r="S8" s="668"/>
      <c r="T8" s="669"/>
    </row>
    <row r="9" spans="2:65" ht="17.25" thickTop="1" thickBot="1" x14ac:dyDescent="0.3">
      <c r="D9" s="664"/>
      <c r="E9" s="665"/>
      <c r="F9" s="665"/>
      <c r="G9" s="665"/>
      <c r="H9" s="665"/>
      <c r="I9" s="665"/>
      <c r="J9" s="665"/>
      <c r="K9" s="666"/>
      <c r="R9" s="721">
        <f ca="1">TODAY()</f>
        <v>46126</v>
      </c>
      <c r="S9" s="721"/>
      <c r="T9" s="721"/>
      <c r="U9" s="721"/>
      <c r="V9" s="721"/>
    </row>
    <row r="10" spans="2:65" ht="16.5" thickTop="1" x14ac:dyDescent="0.25">
      <c r="H10" s="327"/>
      <c r="Q10" s="609" t="str">
        <f>Formulario!H3</f>
        <v>Versión M111 V3</v>
      </c>
      <c r="R10" s="609"/>
      <c r="S10" s="609"/>
      <c r="T10" s="609"/>
      <c r="U10" s="609"/>
      <c r="V10" s="609"/>
    </row>
    <row r="11" spans="2:65" ht="3" customHeight="1" x14ac:dyDescent="0.25">
      <c r="B11" s="328"/>
      <c r="C11" s="328"/>
      <c r="D11" s="329"/>
      <c r="E11" s="329"/>
      <c r="F11" s="329"/>
      <c r="G11" s="329"/>
      <c r="H11" s="329"/>
      <c r="I11" s="329"/>
      <c r="J11" s="329"/>
      <c r="K11" s="329"/>
      <c r="L11" s="329"/>
      <c r="M11" s="329"/>
      <c r="N11" s="329"/>
      <c r="O11" s="329"/>
      <c r="P11" s="329"/>
      <c r="Q11" s="329"/>
      <c r="R11" s="329"/>
      <c r="S11" s="329"/>
      <c r="T11" s="329"/>
      <c r="U11" s="329"/>
      <c r="V11" s="329"/>
      <c r="W11" s="329"/>
      <c r="X11" s="329"/>
      <c r="Y11" s="329"/>
    </row>
    <row r="12" spans="2:65" x14ac:dyDescent="0.25">
      <c r="B12" s="330"/>
      <c r="C12" s="331"/>
      <c r="AS12" s="324" t="str">
        <f>TRIM(IF(AND(F24=10.3%,F25="Si"),CONCATENATE(F20," ",F17," ",F18," ",F22," ",F21," ",F16," ",F25," ",F23," ",F24),CONCATENATE(F20," ",F17," ",F18," ",F22," ",F21," ",F16," ",F23," ",F24)))</f>
        <v>Pago_Hipoteca+Liquidez PF Wealth &amp; Premier Executive Pago_Fijo_Puntual Si 20 0.103</v>
      </c>
    </row>
    <row r="13" spans="2:65" x14ac:dyDescent="0.25">
      <c r="C13" s="331" t="s">
        <v>320</v>
      </c>
      <c r="AP13" s="506" t="s">
        <v>389</v>
      </c>
      <c r="AQ13" s="353" t="str">
        <f>IF(OR(F25="NO",F25=""),"NO","SI")</f>
        <v>SI</v>
      </c>
    </row>
    <row r="14" spans="2:65" ht="16.5" thickBot="1" x14ac:dyDescent="0.3">
      <c r="H14" s="332"/>
      <c r="N14" s="325" t="s">
        <v>117</v>
      </c>
      <c r="AQ14" s="333"/>
      <c r="AR14" s="441"/>
      <c r="AS14" s="325"/>
      <c r="AT14" s="333"/>
    </row>
    <row r="15" spans="2:65" ht="17.25" thickTop="1" thickBot="1" x14ac:dyDescent="0.3">
      <c r="C15" s="670" t="s">
        <v>193</v>
      </c>
      <c r="D15" s="670"/>
      <c r="E15" s="670"/>
      <c r="F15" s="334"/>
      <c r="G15" s="334"/>
      <c r="H15" s="334"/>
      <c r="I15" s="334"/>
      <c r="J15" s="334"/>
      <c r="K15" s="335"/>
      <c r="N15" s="619" t="s">
        <v>118</v>
      </c>
      <c r="O15" s="620"/>
      <c r="P15" s="620"/>
      <c r="Q15" s="620"/>
      <c r="R15" s="620"/>
      <c r="S15" s="620"/>
      <c r="T15" s="620"/>
      <c r="U15" s="620"/>
      <c r="V15" s="620"/>
      <c r="W15" s="621"/>
      <c r="X15" s="325"/>
      <c r="Y15" s="325"/>
      <c r="Z15" s="325"/>
      <c r="AA15" s="325"/>
      <c r="AB15" s="325"/>
      <c r="AC15" s="325"/>
      <c r="AD15" s="325"/>
      <c r="AE15" s="325"/>
      <c r="AF15" s="325"/>
      <c r="AG15" s="325"/>
      <c r="AQ15" s="336"/>
      <c r="AR15" s="337"/>
      <c r="AS15" s="337"/>
      <c r="AT15" s="338"/>
    </row>
    <row r="16" spans="2:65" ht="22.5" customHeight="1" thickTop="1" thickBot="1" x14ac:dyDescent="0.3">
      <c r="C16" s="610" t="s">
        <v>339</v>
      </c>
      <c r="D16" s="610"/>
      <c r="E16" s="610"/>
      <c r="F16" s="607" t="s">
        <v>171</v>
      </c>
      <c r="G16" s="607"/>
      <c r="H16" s="607"/>
      <c r="I16" s="607"/>
      <c r="J16" s="607"/>
      <c r="K16" s="608"/>
      <c r="N16" s="694" t="str">
        <f>IF(O16&gt;=0,"Enganche","")</f>
        <v>Enganche</v>
      </c>
      <c r="O16" s="695"/>
      <c r="P16" s="695"/>
      <c r="Q16" s="695"/>
      <c r="R16" s="695"/>
      <c r="S16" s="686">
        <f>IFERROR(IF(OR(F20="Pago_de_Hipoteca",F20="Pago_Hipoteca+Liquidez",F20="Liquidez"),0,F28-IF(F21="Cofinavit",F32+F33+U24,U24)),0)</f>
        <v>0</v>
      </c>
      <c r="T16" s="686"/>
      <c r="U16" s="686"/>
      <c r="V16" s="686"/>
      <c r="W16" s="687"/>
      <c r="AC16" s="339"/>
      <c r="AD16" s="339"/>
      <c r="AE16" s="339"/>
      <c r="AF16" s="339"/>
      <c r="AG16" s="339"/>
      <c r="AL16" s="340">
        <f>IF(F27="Por Valor de la Vivienda",AL21,IF(AL17&lt;100000,"-",AL17))</f>
        <v>7800000</v>
      </c>
      <c r="AM16" s="341">
        <f>IFERROR(MIN(AL16,AL20),0)</f>
        <v>7800000</v>
      </c>
      <c r="AP16" s="342" t="s">
        <v>5</v>
      </c>
      <c r="AQ16" s="342" t="s">
        <v>272</v>
      </c>
      <c r="AR16" s="342" t="s">
        <v>273</v>
      </c>
      <c r="AS16" s="342" t="s">
        <v>274</v>
      </c>
      <c r="AT16" s="342" t="s">
        <v>275</v>
      </c>
      <c r="BA16" s="343" t="s">
        <v>141</v>
      </c>
      <c r="BB16" s="344" t="s">
        <v>31</v>
      </c>
      <c r="BC16" s="345" t="s">
        <v>297</v>
      </c>
      <c r="BD16" s="346" t="s">
        <v>298</v>
      </c>
      <c r="BE16" s="346" t="s">
        <v>299</v>
      </c>
      <c r="BF16" s="347" t="s">
        <v>300</v>
      </c>
      <c r="BG16" s="347" t="s">
        <v>301</v>
      </c>
      <c r="BH16" s="348" t="s">
        <v>302</v>
      </c>
      <c r="BI16" s="348" t="s">
        <v>303</v>
      </c>
      <c r="BJ16" s="348" t="s">
        <v>304</v>
      </c>
      <c r="BM16" s="324" t="s">
        <v>377</v>
      </c>
    </row>
    <row r="17" spans="2:65" ht="17.25" thickTop="1" thickBot="1" x14ac:dyDescent="0.3">
      <c r="C17" s="610" t="s">
        <v>340</v>
      </c>
      <c r="D17" s="610"/>
      <c r="E17" s="617"/>
      <c r="F17" s="606" t="s">
        <v>132</v>
      </c>
      <c r="G17" s="607"/>
      <c r="H17" s="607"/>
      <c r="I17" s="607"/>
      <c r="J17" s="607"/>
      <c r="K17" s="608"/>
      <c r="N17" s="689" t="s">
        <v>465</v>
      </c>
      <c r="O17" s="690"/>
      <c r="P17" s="690"/>
      <c r="Q17" s="690"/>
      <c r="R17" s="690"/>
      <c r="S17" s="672">
        <f>IF(N17="Sin Cobro de Gastos de Preoriginación - Avalúo Hipotecario",0,IF(F20="Pago_de_Hipoteca",0,VLOOKUP(F28,Costo_Avaluos!A3:B11,2)))</f>
        <v>23200</v>
      </c>
      <c r="T17" s="672"/>
      <c r="U17" s="672"/>
      <c r="V17" s="672"/>
      <c r="W17" s="673"/>
      <c r="AC17" s="349"/>
      <c r="AD17" s="349"/>
      <c r="AE17" s="349"/>
      <c r="AF17" s="349"/>
      <c r="AG17" s="349"/>
      <c r="AK17" s="342" t="s">
        <v>276</v>
      </c>
      <c r="AL17" s="350">
        <f>IFERROR(
VLOOKUP(F20,AP17:AR22,IF(OR(F27="Por monto de crédito y valor de la vivienda",F27="Por Valor de la Vivienda"),2,3),0),0)</f>
        <v>7800000</v>
      </c>
      <c r="AP17" s="336" t="s">
        <v>114</v>
      </c>
      <c r="AQ17" s="337" t="e">
        <f>MIN(VLOOKUP(F21,$AP$27:$AQ$29,2,0),IF(F27="Por monto de crédito y valor de la vivienda",F29,50000000),F28*AS17,50000000)</f>
        <v>#N/A</v>
      </c>
      <c r="AR17" s="337">
        <f>MIN($S$28,IF($F$20=$AP$17,IF(OR($F$21=$AP$27,$F$21=$AP$28,$F$21=$AP$29),$F$28*$AS$17,IF($F$32+$F$33&gt;0.1*F$28,F$28-$F$32,
IF($F$32&lt;0.05*$F$28,$S$28,$F$28*0.95-$F$32)))),$F$28*$AS$17)</f>
        <v>0</v>
      </c>
      <c r="AS17" s="351">
        <f>IF(F25="No",0.7,
IF(AND(F20="Pago_de_Hipoteca",F24=0.0965,F26="Si"),0.7,
IF(AND(F24=0.106,F20="Adquisicion",F21="Mercado_Abierto",F17="PF",F19="Si"),0.9,
IF(AND(F20="Pago_de_Hipoteca",F26="Si"),0.9,
IF(AND(F24=10.3%,F25="Si"),VLOOKUP(TRIM(CONCATENATE(F20," ",F17," ",F18," ",F22," ",F21," ",F16," ",F25," ",F23," ",F24)),Condicione_Financieras_Patrimon!B:X,20,0),VLOOKUP(TRIM(CONCATENATE(F20," ",F17," ",F18," ",F22," ",F21," ",F16," ",F23," ",F24)),Condicione_Financieras_Patrimon!B:X,20,0))))))</f>
        <v>0.85</v>
      </c>
      <c r="AT17" s="352">
        <v>350000</v>
      </c>
      <c r="BA17" s="353" t="s">
        <v>142</v>
      </c>
      <c r="BB17" s="354">
        <f>IF(AND(F18="Wealth &amp; Premier Executive",F20="Adquisicion"),Catalogos!AW2,IF(F20="Liquidez",Catalogos!BD2,Catalogos!AZ2))</f>
        <v>9.6500000000000002E-2</v>
      </c>
      <c r="BC17" s="355">
        <v>0.73</v>
      </c>
      <c r="BD17" s="355">
        <v>0.68</v>
      </c>
      <c r="BE17" s="355">
        <v>0.73</v>
      </c>
      <c r="BF17" s="355">
        <v>0.73</v>
      </c>
      <c r="BG17" s="355">
        <v>0.75</v>
      </c>
      <c r="BH17" s="356">
        <f t="shared" ref="BH17:BH23" si="0">$V$64/100%/BD17</f>
        <v>17607.843137254902</v>
      </c>
      <c r="BI17" s="356">
        <f t="shared" ref="BI17:BI23" si="1">$V$64/100%/BF17</f>
        <v>16401.826484018267</v>
      </c>
      <c r="BJ17" s="357">
        <f>IF(OR(F21="Apoyo Infonavit",F21="Cofinavit"),VLOOKUP(F24,BB17:BI23,8,0),VLOOKUP(F24,BB17:BI23,7,))</f>
        <v>17607.843137254902</v>
      </c>
      <c r="BM17" s="324" t="str">
        <f>CONCATENATE(F16,"_",BM18)</f>
        <v>Pago_Fijo_Puntual_Wealth_Premier_Executive</v>
      </c>
    </row>
    <row r="18" spans="2:65" ht="18.75" customHeight="1" thickTop="1" thickBot="1" x14ac:dyDescent="0.3">
      <c r="C18" s="610" t="s">
        <v>357</v>
      </c>
      <c r="D18" s="610"/>
      <c r="E18" s="617"/>
      <c r="F18" s="869" t="s">
        <v>175</v>
      </c>
      <c r="G18" s="870"/>
      <c r="H18" s="870"/>
      <c r="I18" s="870"/>
      <c r="J18" s="870"/>
      <c r="K18" s="871"/>
      <c r="M18" s="358" t="s">
        <v>260</v>
      </c>
      <c r="N18" s="689" t="s">
        <v>466</v>
      </c>
      <c r="O18" s="690"/>
      <c r="P18" s="690"/>
      <c r="Q18" s="690"/>
      <c r="R18" s="690"/>
      <c r="S18" s="688">
        <f>IF(N18="Sin Comisiones",0,IF(N18="C. Penalización Pago Anticipado",VLOOKUP(TRIM(CONCATENATE(F20," ",F17," ",F18," ",F22," ",F21," ",F16," ",F23)),Condicione_Financieras_Patrimon!A:W,19,0),VLOOKUP(TRIM(CONCATENATE(F20," ",F17," ",F18," ",F22," ",F21," ",F16," ",F23)),Condicione_Financieras_Patrimon!A:W,20,0)))</f>
        <v>0</v>
      </c>
      <c r="T18" s="688"/>
      <c r="U18" s="672">
        <f>IF(OR(N18="C. Penalización Pago Anticipado",N18="Sin Comisiones"),0,IFERROR(IF($F$27="Por ingresos del cliente",$AM$16,IF($F$29=0,$AL$42,AL42))*S18,0))</f>
        <v>0</v>
      </c>
      <c r="V18" s="672"/>
      <c r="W18" s="673"/>
      <c r="AC18" s="339"/>
      <c r="AD18" s="339"/>
      <c r="AE18" s="339"/>
      <c r="AF18" s="339"/>
      <c r="AG18" s="339"/>
      <c r="AK18" s="336"/>
      <c r="AP18" s="336" t="s">
        <v>173</v>
      </c>
      <c r="AQ18" s="350">
        <f>IF(F27="Por Valor de la Vivienda",MIN(F28*AS17,50000000),MIN(F28*AS17,F29,50000000))</f>
        <v>7800000</v>
      </c>
      <c r="AR18" s="337">
        <f>MIN(F28*AS17,S28)</f>
        <v>17607.843137254902</v>
      </c>
      <c r="AS18" s="359"/>
      <c r="AT18" s="352">
        <v>350000</v>
      </c>
      <c r="BA18" s="353">
        <v>1</v>
      </c>
      <c r="BB18" s="354">
        <f>IF(AND(F18="Wealth &amp; Premier Executive",F20="Adquisicion"),Catalogos!AW3,IF(F20="Liquidez",Catalogos!BD3,Catalogos!AZ3))</f>
        <v>0.10299999999999999</v>
      </c>
      <c r="BC18" s="355">
        <v>0.73</v>
      </c>
      <c r="BD18" s="355">
        <v>0.68</v>
      </c>
      <c r="BE18" s="355">
        <v>0.73</v>
      </c>
      <c r="BF18" s="355">
        <v>0.73</v>
      </c>
      <c r="BG18" s="355">
        <v>0.75</v>
      </c>
      <c r="BH18" s="356">
        <f t="shared" si="0"/>
        <v>17607.843137254902</v>
      </c>
      <c r="BI18" s="356">
        <f t="shared" si="1"/>
        <v>16401.826484018267</v>
      </c>
      <c r="BM18" s="324" t="s">
        <v>383</v>
      </c>
    </row>
    <row r="19" spans="2:65" ht="17.25" thickTop="1" thickBot="1" x14ac:dyDescent="0.3">
      <c r="C19" s="610" t="s">
        <v>271</v>
      </c>
      <c r="D19" s="610"/>
      <c r="E19" s="610"/>
      <c r="F19" s="607" t="s">
        <v>148</v>
      </c>
      <c r="G19" s="607"/>
      <c r="H19" s="607"/>
      <c r="I19" s="607"/>
      <c r="J19" s="607"/>
      <c r="K19" s="607"/>
      <c r="N19" s="658" t="s">
        <v>119</v>
      </c>
      <c r="O19" s="659"/>
      <c r="P19" s="659"/>
      <c r="Q19" s="659"/>
      <c r="R19" s="659"/>
      <c r="S19" s="675">
        <f>VLOOKUP(TRIM(CONCATENATE(F20," ",F17," ",F18," ",F22," ",F21," ",F16," ",F23)),Condicione_Financieras_Patrimon!A:W,22,0)</f>
        <v>0</v>
      </c>
      <c r="T19" s="675"/>
      <c r="U19" s="675"/>
      <c r="V19" s="675"/>
      <c r="W19" s="676"/>
      <c r="AC19" s="360"/>
      <c r="AD19" s="360"/>
      <c r="AE19" s="360"/>
      <c r="AF19" s="360"/>
      <c r="AG19" s="360"/>
      <c r="AK19" s="336"/>
      <c r="AL19" s="341"/>
      <c r="AP19" s="336" t="s">
        <v>115</v>
      </c>
      <c r="AQ19" s="350">
        <f>MIN($F$28*AS17,$F$29,70000000)</f>
        <v>7800000</v>
      </c>
      <c r="AR19" s="337">
        <f>MIN(F28*AS17,S28,50000000)</f>
        <v>17607.843137254902</v>
      </c>
      <c r="AS19" s="359"/>
      <c r="AT19" s="352">
        <v>350000</v>
      </c>
      <c r="BA19" s="353">
        <v>2</v>
      </c>
      <c r="BB19" s="354">
        <f>IF(AND(F18="Wealth &amp; Premier Executive",F20="Adquisicion"),Catalogos!AW4,IF(F20="Liquidez",Catalogos!BD4,Catalogos!AZ4))</f>
        <v>0.10299999999999999</v>
      </c>
      <c r="BC19" s="355">
        <v>0.73</v>
      </c>
      <c r="BD19" s="355">
        <v>0.65</v>
      </c>
      <c r="BE19" s="355">
        <v>0.7</v>
      </c>
      <c r="BF19" s="355">
        <v>0.73</v>
      </c>
      <c r="BG19" s="355">
        <v>0.75</v>
      </c>
      <c r="BH19" s="356">
        <f t="shared" si="0"/>
        <v>18420.51282051282</v>
      </c>
      <c r="BI19" s="356">
        <f t="shared" si="1"/>
        <v>16401.826484018267</v>
      </c>
    </row>
    <row r="20" spans="2:65" ht="17.25" thickTop="1" thickBot="1" x14ac:dyDescent="0.3">
      <c r="C20" s="610" t="s">
        <v>338</v>
      </c>
      <c r="D20" s="610"/>
      <c r="E20" s="617"/>
      <c r="F20" s="606" t="s">
        <v>174</v>
      </c>
      <c r="G20" s="607"/>
      <c r="H20" s="607"/>
      <c r="I20" s="607"/>
      <c r="J20" s="607"/>
      <c r="K20" s="608"/>
      <c r="N20" s="658" t="s">
        <v>341</v>
      </c>
      <c r="O20" s="659"/>
      <c r="P20" s="659" t="b">
        <v>0</v>
      </c>
      <c r="Q20" s="659"/>
      <c r="R20" s="659"/>
      <c r="S20" s="698">
        <v>2.5000000000000001E-2</v>
      </c>
      <c r="T20" s="699"/>
      <c r="U20" s="672">
        <f>IF(OR(F20="Pago_de_Hipoteca",F20="Liquidez",F20="Pago_Hipoteca+Liquidez"),U24*S20,F28*S20)</f>
        <v>195000</v>
      </c>
      <c r="V20" s="672"/>
      <c r="W20" s="673"/>
      <c r="AC20" s="349"/>
      <c r="AD20" s="349"/>
      <c r="AE20" s="349"/>
      <c r="AF20" s="349"/>
      <c r="AG20" s="349"/>
      <c r="AK20" s="336" t="s">
        <v>277</v>
      </c>
      <c r="AL20" s="340">
        <f>IFERROR(MIN(F28*(AL23-AL24),IF(F27="Por Valor de la Vivienda",MIN(AL21+AL27,AL16),IF(AL17&lt;100000,"-",MIN(AL17+AL27,AL16)))),0)</f>
        <v>7800000</v>
      </c>
      <c r="AP20" s="336" t="s">
        <v>174</v>
      </c>
      <c r="AQ20" s="350">
        <f>MIN($F$28*AS17,$F$29,70000000)</f>
        <v>7800000</v>
      </c>
      <c r="AR20" s="337">
        <f>MIN(F28*AS17,S28)</f>
        <v>17607.843137254902</v>
      </c>
      <c r="AS20" s="359"/>
      <c r="AT20" s="352">
        <v>350000</v>
      </c>
      <c r="BA20" s="353">
        <v>3</v>
      </c>
      <c r="BB20" s="354">
        <f>IF(AND(F18="Wealth &amp; Premier Executive",F20="Adquisicion"),Catalogos!AW5,IF(F20="Liquidez",Catalogos!BD5,Catalogos!AZ5))</f>
        <v>0.106</v>
      </c>
      <c r="BC20" s="355">
        <v>0.71</v>
      </c>
      <c r="BD20" s="355">
        <v>0.6</v>
      </c>
      <c r="BE20" s="355">
        <v>0.65</v>
      </c>
      <c r="BF20" s="355">
        <v>0.73</v>
      </c>
      <c r="BG20" s="355">
        <v>0.75</v>
      </c>
      <c r="BH20" s="356">
        <f t="shared" si="0"/>
        <v>19955.555555555558</v>
      </c>
      <c r="BI20" s="356">
        <f t="shared" si="1"/>
        <v>16401.826484018267</v>
      </c>
    </row>
    <row r="21" spans="2:65" ht="17.25" thickTop="1" thickBot="1" x14ac:dyDescent="0.3">
      <c r="C21" s="610" t="str">
        <f>IF(OR(F20="Adquisicion",F20="Exclusiva",F20="Nomina Especial"),"Tipo de Programa *","")</f>
        <v/>
      </c>
      <c r="D21" s="610"/>
      <c r="E21" s="617"/>
      <c r="F21" s="622"/>
      <c r="G21" s="623"/>
      <c r="H21" s="623"/>
      <c r="I21" s="623"/>
      <c r="J21" s="623"/>
      <c r="K21" s="624"/>
      <c r="N21" s="696" t="s">
        <v>121</v>
      </c>
      <c r="O21" s="697"/>
      <c r="P21" s="697"/>
      <c r="Q21" s="697"/>
      <c r="R21" s="697"/>
      <c r="S21" s="648">
        <f>IF(S16&lt;=0,0,S16)+IF(ISNUMBER(S17),S17,0)+IF(ISNUMBER(S19),S19,0)+IF(ISNUMBER(U20),U20,0)+IF(ISNUMBER(U18),U18,0)</f>
        <v>218200</v>
      </c>
      <c r="T21" s="648"/>
      <c r="U21" s="648"/>
      <c r="V21" s="648"/>
      <c r="W21" s="649"/>
      <c r="AK21" s="342" t="s">
        <v>278</v>
      </c>
      <c r="AL21" s="350">
        <f>IF(OR(F20=AP17,F20=AP21),MIN(IF(F21=AP29,AQ29,AS17*F28),AS17*F28,30000000),MIN(AS17*F28,30000000))-IF(AND(F27="Monto del Crédito",F20=AP17),F29,0)</f>
        <v>8500000</v>
      </c>
      <c r="AP21" s="336" t="s">
        <v>116</v>
      </c>
      <c r="AQ21" s="337" t="e">
        <f>MIN(VLOOKUP(F21,$AP$27:$AQ$29,2,0),IF(F27="Por monto de crédito y valor de la vivienda",F29,50000000),F28*AS17,50000000)</f>
        <v>#N/A</v>
      </c>
      <c r="AR21" s="337">
        <f>MIN($S$28,IF($F$20=$AP$21,IF(OR($F$21=$AP$27,$F$21=$AP$28,$F$21=$AP$29),$F$28*$AS$17,IF($F$32+$F$33&gt;0.1*$F$28,$F$28-$F$32-$F$33,IF($F$32&lt;0.05*$F$28,$S$28,$F$28*0.95-$F$33)))),$F$28*$AS$17)</f>
        <v>0</v>
      </c>
      <c r="AS21" s="359"/>
      <c r="AT21" s="352">
        <v>350000</v>
      </c>
      <c r="BA21" s="353">
        <v>4</v>
      </c>
      <c r="BB21" s="354">
        <f>IF(AND(F18="Wealth &amp; Premier Executive",F20="Adquisicion"),Catalogos!AW6,IF(F20="Liquidez",Catalogos!BD6,Catalogos!AZ6))</f>
        <v>0</v>
      </c>
      <c r="BC21" s="355">
        <v>0.71</v>
      </c>
      <c r="BD21" s="355">
        <v>0.55000000000000004</v>
      </c>
      <c r="BE21" s="355">
        <v>0.6</v>
      </c>
      <c r="BF21" s="355">
        <v>0.73</v>
      </c>
      <c r="BG21" s="355">
        <v>0.75</v>
      </c>
      <c r="BH21" s="356">
        <f t="shared" si="0"/>
        <v>21769.696969696968</v>
      </c>
      <c r="BI21" s="356">
        <f t="shared" si="1"/>
        <v>16401.826484018267</v>
      </c>
    </row>
    <row r="22" spans="2:65" ht="17.25" thickTop="1" thickBot="1" x14ac:dyDescent="0.3">
      <c r="C22" s="610" t="str">
        <f>IF(AND(OR(F18="Premier",F18="No_Premier",F18="Wealth &amp; Premier Executive"),F20="Pago_Hipoteca+Liquidez"),"",IF(F18="No_Premier","Tipo de Cliente *",""))</f>
        <v/>
      </c>
      <c r="D22" s="610"/>
      <c r="E22" s="610"/>
      <c r="F22" s="623"/>
      <c r="G22" s="623"/>
      <c r="H22" s="623"/>
      <c r="I22" s="623"/>
      <c r="J22" s="623"/>
      <c r="K22" s="623"/>
      <c r="S22" s="435"/>
      <c r="T22" s="435"/>
      <c r="U22" s="435"/>
      <c r="V22" s="435"/>
      <c r="W22" s="435"/>
      <c r="AK22" s="336"/>
      <c r="AP22" s="336" t="s">
        <v>279</v>
      </c>
      <c r="AQ22" s="337" t="e">
        <f>MIN(VLOOKUP(F21,$AP$27:$AQ$29,2,0),IF(F27="Por monto de crédito y valor de la vivienda",F29,50000000),F28*AS17,50000000)</f>
        <v>#N/A</v>
      </c>
      <c r="AR22" s="337">
        <f>MIN($S$28,IF($F$20=$AP$22,IF(OR($F$21=$AP$27,$F$21=$AP$28,$F$21=$AP$29),$F$28*$AS$17,IF($F$32+$F$33&gt;0.1*$F$28,$F$28-$F$32-$F$33,IF($F$32&lt;0.05*$F$28,$S$28,$F$28*0.95-$F$33)))),$F$28*$AS$17)</f>
        <v>0</v>
      </c>
      <c r="AS22" s="359"/>
      <c r="AT22" s="352">
        <v>350000</v>
      </c>
      <c r="BA22" s="353">
        <v>5</v>
      </c>
      <c r="BB22" s="354">
        <f>IF(AND(F18="Wealth &amp; Premier Executive",F20="Adquisicion"),Catalogos!AW6,IF(F20="Liquidez",Catalogos!BD6,Catalogos!AZ6))</f>
        <v>0</v>
      </c>
      <c r="BC22" s="355">
        <v>0.55000000000000004</v>
      </c>
      <c r="BD22" s="355">
        <v>0.55000000000000004</v>
      </c>
      <c r="BE22" s="355">
        <v>0.6</v>
      </c>
      <c r="BF22" s="355">
        <v>0.5</v>
      </c>
      <c r="BG22" s="355">
        <v>0.75</v>
      </c>
      <c r="BH22" s="356">
        <f t="shared" si="0"/>
        <v>21769.696969696968</v>
      </c>
      <c r="BI22" s="356">
        <f t="shared" si="1"/>
        <v>23946.666666666668</v>
      </c>
    </row>
    <row r="23" spans="2:65" ht="17.25" thickTop="1" thickBot="1" x14ac:dyDescent="0.3">
      <c r="C23" s="610" t="s">
        <v>342</v>
      </c>
      <c r="D23" s="610"/>
      <c r="E23" s="617"/>
      <c r="F23" s="606">
        <v>20</v>
      </c>
      <c r="G23" s="607"/>
      <c r="H23" s="607"/>
      <c r="I23" s="607"/>
      <c r="J23" s="607"/>
      <c r="K23" s="608"/>
      <c r="N23" s="619" t="s">
        <v>122</v>
      </c>
      <c r="O23" s="620"/>
      <c r="P23" s="620"/>
      <c r="Q23" s="620"/>
      <c r="R23" s="620"/>
      <c r="S23" s="620"/>
      <c r="T23" s="620"/>
      <c r="U23" s="620"/>
      <c r="V23" s="620"/>
      <c r="W23" s="621"/>
      <c r="AK23" s="361" t="s">
        <v>280</v>
      </c>
      <c r="AL23" s="362">
        <f>AS17</f>
        <v>0.85</v>
      </c>
      <c r="BA23" s="353">
        <v>6</v>
      </c>
      <c r="BB23" s="354">
        <f>IF(AND(F18="Wealth &amp; Premier Executive",F20="Adquisicion"),Catalogos!AW6,IF(F20="Liquidez",Catalogos!BD6,Catalogos!AZ6))</f>
        <v>0</v>
      </c>
      <c r="BC23" s="355">
        <v>0.5</v>
      </c>
      <c r="BD23" s="363">
        <v>0.5</v>
      </c>
      <c r="BE23" s="355">
        <v>0.5</v>
      </c>
      <c r="BF23" s="355">
        <v>0.5</v>
      </c>
      <c r="BG23" s="355">
        <v>0.5</v>
      </c>
      <c r="BH23" s="356">
        <f t="shared" si="0"/>
        <v>23946.666666666668</v>
      </c>
      <c r="BI23" s="356">
        <f t="shared" si="1"/>
        <v>23946.666666666668</v>
      </c>
    </row>
    <row r="24" spans="2:65" ht="17.25" thickTop="1" thickBot="1" x14ac:dyDescent="0.3">
      <c r="C24" s="610" t="s">
        <v>343</v>
      </c>
      <c r="D24" s="610"/>
      <c r="E24" s="617"/>
      <c r="F24" s="625">
        <v>0.10299999999999999</v>
      </c>
      <c r="G24" s="626"/>
      <c r="H24" s="626"/>
      <c r="I24" s="626"/>
      <c r="J24" s="626"/>
      <c r="K24" s="627"/>
      <c r="N24" s="694" t="s">
        <v>123</v>
      </c>
      <c r="O24" s="695"/>
      <c r="P24" s="695"/>
      <c r="Q24" s="695"/>
      <c r="R24" s="695"/>
      <c r="S24" s="693">
        <f>IFERROR(U24/F28,0)</f>
        <v>0.78</v>
      </c>
      <c r="T24" s="693"/>
      <c r="U24" s="691">
        <f>IFERROR(IF(AND(F20="Adquisicion",F25=""),AM16,
IF(AND(F20="Liquidez",IF(E3&lt;&gt;"","-",
IF(F20="Pago Hipoteca+Liquidez",MIN(AL16,F34+F28*0.2),
IF(OR(F20="Adquisicion",F20="Exclusiva",F20="Nomina Especial"),AL20,AL16)))&gt;70000000),70000000,IF(E3&lt;&gt;"","-",
IF(F20="Pago Hipoteca+Liquidez",MIN(AL16,F34+F28*0.7),
IF(OR(F20="Adquisicion",F20="Exclusiva",F20="Nomina Especial"),AL20,AL16))))-IF(F27="Por Valor de la Vivienda",F35,0)),0)</f>
        <v>7800000</v>
      </c>
      <c r="V24" s="691"/>
      <c r="W24" s="692"/>
      <c r="AK24" s="361" t="s">
        <v>281</v>
      </c>
      <c r="AL24" s="364">
        <f>IF(AND(F21="Cofinavit",F32&gt;1),1-(F28-F32)/F28,IF(F21="Apoyo Infonavit",1-(F28-F32)/F28,0))</f>
        <v>0</v>
      </c>
    </row>
    <row r="25" spans="2:65" ht="22.5" customHeight="1" thickTop="1" thickBot="1" x14ac:dyDescent="0.3">
      <c r="C25" s="719" t="str">
        <f>IF(AND(F24=10.3%,F20="Pago_Hipoteca+Liquidez"),"¿LTV Intregrado Mayor a 70 %? *",IF(F24=10.3%,"¿LTV Mayor a 70 %? *",""))</f>
        <v>¿LTV Intregrado Mayor a 70 %? *</v>
      </c>
      <c r="D25" s="719"/>
      <c r="E25" s="719"/>
      <c r="F25" s="720" t="s">
        <v>147</v>
      </c>
      <c r="G25" s="720"/>
      <c r="H25" s="720"/>
      <c r="I25" s="720"/>
      <c r="J25" s="720"/>
      <c r="K25" s="720"/>
      <c r="N25" s="658" t="s">
        <v>39</v>
      </c>
      <c r="O25" s="659"/>
      <c r="P25" s="659"/>
      <c r="Q25" s="659"/>
      <c r="R25" s="659"/>
      <c r="S25" s="684">
        <f>F24</f>
        <v>0.10299999999999999</v>
      </c>
      <c r="T25" s="684"/>
      <c r="U25" s="684"/>
      <c r="V25" s="684"/>
      <c r="W25" s="685"/>
      <c r="AK25" s="361" t="s">
        <v>282</v>
      </c>
      <c r="AL25" s="365">
        <f>IF(U20="-",0,-F33)</f>
        <v>0</v>
      </c>
    </row>
    <row r="26" spans="2:65" ht="17.25" thickTop="1" thickBot="1" x14ac:dyDescent="0.3">
      <c r="B26" s="722" t="str">
        <f>IF(F20="Pago_de_Hipoteca","¿La hipoteca proviene de un Cofinavit? *","")</f>
        <v/>
      </c>
      <c r="C26" s="722"/>
      <c r="D26" s="722"/>
      <c r="E26" s="723"/>
      <c r="F26" s="622"/>
      <c r="G26" s="623"/>
      <c r="H26" s="623"/>
      <c r="I26" s="623"/>
      <c r="J26" s="623"/>
      <c r="K26" s="624"/>
      <c r="N26" s="658" t="s">
        <v>349</v>
      </c>
      <c r="O26" s="659"/>
      <c r="P26" s="659"/>
      <c r="Q26" s="659"/>
      <c r="R26" s="659"/>
      <c r="S26" s="681">
        <f>MAX(V64:W363)</f>
        <v>11973.333333333334</v>
      </c>
      <c r="T26" s="681"/>
      <c r="U26" s="681"/>
      <c r="V26" s="681"/>
      <c r="W26" s="682"/>
      <c r="AK26" s="361" t="s">
        <v>283</v>
      </c>
      <c r="AL26" s="365" t="str">
        <f>IF(F20=AP18,"",IF(F20=AP19,"",IF(F20=AP20,"",IF(OR(F21&amp;F20="Cofinavit"&amp;"Adquisicion",F21&amp;F20="Cofinavit"&amp;"Exclusiva",F21&amp;F20="Cofinavit"&amp;"Nomina Especial"),F28-F32-AL16,F28-AL16))))</f>
        <v/>
      </c>
      <c r="AP26" s="366" t="s">
        <v>285</v>
      </c>
      <c r="AQ26" s="366" t="s">
        <v>286</v>
      </c>
      <c r="AR26" s="366" t="s">
        <v>287</v>
      </c>
      <c r="AS26" s="366" t="s">
        <v>288</v>
      </c>
    </row>
    <row r="27" spans="2:65" ht="17.25" thickTop="1" thickBot="1" x14ac:dyDescent="0.3">
      <c r="C27" s="610" t="s">
        <v>344</v>
      </c>
      <c r="D27" s="610"/>
      <c r="E27" s="617"/>
      <c r="F27" s="606" t="s">
        <v>473</v>
      </c>
      <c r="G27" s="607"/>
      <c r="H27" s="607"/>
      <c r="I27" s="607"/>
      <c r="J27" s="607"/>
      <c r="K27" s="608"/>
      <c r="N27" s="677" t="str">
        <f>IF(K21=V6,"CAT HSBC**","CAT**")</f>
        <v>CAT HSBC**</v>
      </c>
      <c r="O27" s="678"/>
      <c r="P27" s="678"/>
      <c r="Q27" s="678"/>
      <c r="R27" s="678"/>
      <c r="S27" s="656">
        <f>IF(ISERROR(((1+IRR(AM63:AM363))^(12))-1),"-",(((1+IRR(AM63:AM363))^(12))-1))</f>
        <v>0.1153012592243623</v>
      </c>
      <c r="T27" s="656"/>
      <c r="U27" s="656"/>
      <c r="V27" s="656"/>
      <c r="W27" s="657"/>
      <c r="AK27" s="361" t="s">
        <v>284</v>
      </c>
      <c r="AL27" s="365">
        <f>IFERROR(AL25+IF(AL26="-",0,AL26)-IF(F27="Por Valor de la Vivienda",0,0),2)</f>
        <v>2</v>
      </c>
      <c r="AP27" s="367" t="s">
        <v>396</v>
      </c>
      <c r="AQ27" s="368">
        <f>F29</f>
        <v>7800000</v>
      </c>
      <c r="AR27" s="368" t="s">
        <v>289</v>
      </c>
      <c r="AS27" s="369">
        <f>IF(AND(F20="Pago_de_Hipoteca",F26="Si"),F28*0.9,
IF(AND(OR(F21="Cofinavit",F21="Apoyo Infonavit"),F20="Adquisicion",F25="No"),(F28*0.7)-F32,
IF(AND(OR(F21="Cofinavit",F21="Apoyo Infonavit"),F20="Adquisicion"),(F28*VLOOKUP(TRIM(CONCATENATE(F20," ",F17," ",F18," ",F22," ",F21," ",F16," ",F25," ",F23," ",F24)),Condicione_Financieras_Patrimon!B:W,20,0))-F32,
IF(F25="No",F28*0.7,
F28*IF(AND(F24=10.3%,F25="Si"),VLOOKUP(TRIM(CONCATENATE(F20," ",F17," ",F18," ",F22," ",F21," ",F16," ",F25," ",F23," ",F24)),Condicione_Financieras_Patrimon!B:X,20,0),VLOOKUP(TRIM(CONCATENATE(F20," ",F17," ",F18," ",F22," ",F21," ",F16," ",F23," ",F24)),Condicione_Financieras_Patrimon!B:X,20,0))))))</f>
        <v>8500000</v>
      </c>
    </row>
    <row r="28" spans="2:65" ht="17.25" thickTop="1" thickBot="1" x14ac:dyDescent="0.3">
      <c r="C28" s="610" t="s">
        <v>345</v>
      </c>
      <c r="D28" s="610"/>
      <c r="E28" s="617"/>
      <c r="F28" s="628">
        <v>10000000</v>
      </c>
      <c r="G28" s="629"/>
      <c r="H28" s="629"/>
      <c r="I28" s="629"/>
      <c r="J28" s="629"/>
      <c r="K28" s="630"/>
      <c r="N28" s="679" t="str">
        <f>IF(OR(F27="Por ingresos del cliente",F27="Por Campaña"),"Monto Máximo Por Ingresos","Ingreso Neto Requerido")</f>
        <v>Ingreso Neto Requerido</v>
      </c>
      <c r="O28" s="680"/>
      <c r="P28" s="680"/>
      <c r="Q28" s="680"/>
      <c r="R28" s="680"/>
      <c r="S28" s="648">
        <f>IFERROR(
IF(F28="","-",
IF(OR(F27="Por ingresos del cliente",F27="Por Campaña"),ROUND(AL35/AL38*1000,-3),
IF(F20="Liquidez",MIN(5000000,IF(OR(F27="Por monto de crédito y valor de la vivienda",F27="Por Valor de la Vivienda"),BJ17,ROUND(AL35/AL38*1000,-3))),
IF(OR(F27="Por monto de crédito y valor de la vivienda",F27="Por Valor de la Vivienda"),BJ17)))),0)</f>
        <v>17607.843137254902</v>
      </c>
      <c r="T28" s="648"/>
      <c r="U28" s="648"/>
      <c r="V28" s="648"/>
      <c r="W28" s="649"/>
      <c r="AP28" s="367" t="s">
        <v>112</v>
      </c>
      <c r="AQ28" s="370">
        <f>AS29</f>
        <v>8500000</v>
      </c>
      <c r="AR28" s="368" t="s">
        <v>290</v>
      </c>
      <c r="AS28" s="369">
        <f>IF(SUM(AS27,F32)&lt;SUM(F28,S17,S20*F28),SUM(F28,S17,S20*F28)-SUM(F32,F33),AS27)</f>
        <v>10273200</v>
      </c>
      <c r="AU28" s="341"/>
    </row>
    <row r="29" spans="2:65" ht="17.25" thickTop="1" thickBot="1" x14ac:dyDescent="0.3">
      <c r="C29" s="610" t="str">
        <f>IF(OR(F27="Por ingresos del cliente",F27="Por Valor de la Vivienda",F27="Por Campaña"),"","Monto Solicitado de Crédito *")</f>
        <v>Monto Solicitado de Crédito *</v>
      </c>
      <c r="D29" s="610"/>
      <c r="E29" s="617"/>
      <c r="F29" s="612">
        <v>7800000</v>
      </c>
      <c r="G29" s="613"/>
      <c r="H29" s="613"/>
      <c r="I29" s="613"/>
      <c r="J29" s="613"/>
      <c r="K29" s="614"/>
      <c r="M29" s="371"/>
      <c r="N29" s="371"/>
      <c r="O29" s="371"/>
      <c r="P29" s="371"/>
      <c r="Q29" s="371"/>
      <c r="R29" s="372"/>
      <c r="S29" s="372"/>
      <c r="T29" s="372"/>
      <c r="U29" s="372"/>
      <c r="V29" s="372"/>
      <c r="AK29" s="598" t="s">
        <v>477</v>
      </c>
      <c r="AL29" s="600">
        <v>3566.22</v>
      </c>
      <c r="AP29" s="367" t="s">
        <v>113</v>
      </c>
      <c r="AQ29" s="370">
        <f>AS29</f>
        <v>8500000</v>
      </c>
      <c r="AR29" s="368"/>
      <c r="AS29" s="373">
        <f>MIN(AS27,AS28)</f>
        <v>8500000</v>
      </c>
    </row>
    <row r="30" spans="2:65" ht="24.75" customHeight="1" thickTop="1" x14ac:dyDescent="0.25">
      <c r="C30" s="610" t="str">
        <f>IF(OR(F21="Apoyo Infonavit",F27="Por ingresos del cliente"),"Ingreso Mensual Neto *",IF(F27="Por Campaña","Pago mensual máximo *",""))</f>
        <v/>
      </c>
      <c r="D30" s="610"/>
      <c r="E30" s="610"/>
      <c r="F30" s="615"/>
      <c r="G30" s="615"/>
      <c r="H30" s="615"/>
      <c r="I30" s="615"/>
      <c r="J30" s="615"/>
      <c r="K30" s="615"/>
      <c r="N30" s="650" t="str">
        <f>IF(F20="Pago_Hipoteca+Liquidez","Pago Mensual","")</f>
        <v>Pago Mensual</v>
      </c>
      <c r="O30" s="650"/>
      <c r="P30" s="650"/>
      <c r="Q30" s="650"/>
      <c r="R30" s="650"/>
      <c r="S30" s="650"/>
      <c r="T30" s="650"/>
      <c r="U30" s="650"/>
      <c r="V30" s="650"/>
      <c r="W30" s="650"/>
    </row>
    <row r="31" spans="2:65" ht="19.5" customHeight="1" thickBot="1" x14ac:dyDescent="0.3">
      <c r="B31" s="610" t="str">
        <f>IF(F27="Por ingresos del cliente","Pago Mensual en Buro(Obligaciones) *","")</f>
        <v/>
      </c>
      <c r="C31" s="610"/>
      <c r="D31" s="610"/>
      <c r="E31" s="610"/>
      <c r="F31" s="616"/>
      <c r="G31" s="616"/>
      <c r="H31" s="616"/>
      <c r="I31" s="616"/>
      <c r="J31" s="616"/>
      <c r="K31" s="616"/>
      <c r="N31" s="701" t="str">
        <f>IF(F20="Pago_Hipoteca+Liquidez","Pago Hipoteca","")</f>
        <v>Pago Hipoteca</v>
      </c>
      <c r="O31" s="701"/>
      <c r="P31" s="701"/>
      <c r="Q31" s="701"/>
      <c r="R31" s="701"/>
      <c r="S31" s="700">
        <f>IF(OR(F34="",F36=""),"",(F34*$AQ$40/1000)+(IF((($F$28*0.8)*($AQ$38/1.16))&gt;C64*($AQ$38/1.16),($F$28*0.8)*($AQ$38/1.16))/1000)+F34*$AQ$35/1000)</f>
        <v>74268.965517241377</v>
      </c>
      <c r="T31" s="700"/>
      <c r="U31" s="700"/>
      <c r="V31" s="700"/>
      <c r="W31" s="700"/>
      <c r="AA31" s="374"/>
      <c r="AL31" s="341"/>
      <c r="AP31" s="367" t="s">
        <v>31</v>
      </c>
      <c r="AQ31" s="354">
        <f>VLOOKUP(TRIM(CONCATENATE($F$20," ",$F$17," ",$F$18," ",$F$22," ",$F$21," ",$F$16," ",$F$23," ",F24)),Condicione_Financieras_Patrimon!B:W,13,0)</f>
        <v>0.10299999999999999</v>
      </c>
      <c r="AR31" s="337"/>
      <c r="AS31" s="359"/>
    </row>
    <row r="32" spans="2:65" ht="17.25" thickTop="1" thickBot="1" x14ac:dyDescent="0.3">
      <c r="B32" s="632" t="str">
        <f>IF(AND(OR(F20="Adquisicion",F20="Exclusiva",F20="Nomina Especial"),F21="Cofinavit"),"Crédito Otorgado menos Ecotecnologías","")</f>
        <v/>
      </c>
      <c r="C32" s="632"/>
      <c r="D32" s="632"/>
      <c r="E32" s="633"/>
      <c r="F32" s="612"/>
      <c r="G32" s="613"/>
      <c r="H32" s="613"/>
      <c r="I32" s="613"/>
      <c r="J32" s="613"/>
      <c r="K32" s="614"/>
      <c r="N32" s="701" t="str">
        <f>IF(F20="Pago_Hipoteca+Liquidez","Liquidez","")</f>
        <v>Liquidez</v>
      </c>
      <c r="O32" s="701"/>
      <c r="P32" s="701"/>
      <c r="Q32" s="701"/>
      <c r="R32" s="701"/>
      <c r="S32" s="700">
        <f>IF(OR(F34="",F36=""),"",((U24-F34)*$AQ$40/1000)+((U24-F34)*$AQ$35/1000)+(U24-F34)*(S25/12)*0.16)</f>
        <v>11973.333333333334</v>
      </c>
      <c r="T32" s="700"/>
      <c r="U32" s="700"/>
      <c r="V32" s="700"/>
      <c r="W32" s="700"/>
      <c r="AA32" s="374"/>
      <c r="AP32" s="375" t="s">
        <v>26</v>
      </c>
      <c r="AQ32" s="354">
        <f>VLOOKUP(TRIM(CONCATENATE($F$20," ",$F$17," ",$F$18," ",$F$22," ",$F$21," ",$F$16," ",$F$23," ",F24)),Condicione_Financieras_Patrimon!B:W,14,0)</f>
        <v>0.1</v>
      </c>
    </row>
    <row r="33" spans="2:90" ht="17.25" thickTop="1" thickBot="1" x14ac:dyDescent="0.3">
      <c r="C33" s="610" t="str">
        <f>IF(AND(OR(F20="Adquisicion",F20="Exclusiva",F20="Nomina Especial"),F21="Cofinavit"),"Saldo Subcuenta de Vivienda",IF(AND(OR(F20="Adquisicion",F20="Exclusiva",F20="Nomina Especial"),F21="CI+CB"),"Saldo Subcuenta de Vivienda",""))</f>
        <v/>
      </c>
      <c r="D33" s="610"/>
      <c r="E33" s="610"/>
      <c r="F33" s="613"/>
      <c r="G33" s="613"/>
      <c r="H33" s="613"/>
      <c r="I33" s="613"/>
      <c r="J33" s="613"/>
      <c r="K33" s="613"/>
      <c r="AK33" s="376" t="s">
        <v>291</v>
      </c>
      <c r="AL33" s="377">
        <f>IF(F27="Por Campaña",100%,65%)</f>
        <v>0.65</v>
      </c>
      <c r="AP33" s="375" t="s">
        <v>23</v>
      </c>
      <c r="AQ33" s="354">
        <f>VLOOKUP(TRIM(CONCATENATE($F$20," ",$F$17," ",$F$18," ",$F$22," ",$F$21," ",$F$16," ",$F$23," ",F24)),Condicione_Financieras_Patrimon!B:W,15,0)</f>
        <v>0.112</v>
      </c>
    </row>
    <row r="34" spans="2:90" ht="17.25" thickTop="1" thickBot="1" x14ac:dyDescent="0.3">
      <c r="C34" s="610" t="str">
        <f>IF(F20="Pago_Hipoteca+Liquidez","Monto de Hipoteca Actual *","")</f>
        <v>Monto de Hipoteca Actual *</v>
      </c>
      <c r="D34" s="610"/>
      <c r="E34" s="610"/>
      <c r="F34" s="613">
        <v>6800000</v>
      </c>
      <c r="G34" s="613"/>
      <c r="H34" s="613"/>
      <c r="I34" s="613"/>
      <c r="J34" s="613"/>
      <c r="K34" s="613"/>
      <c r="M34" s="324" t="s">
        <v>53</v>
      </c>
      <c r="R34" s="463" t="s">
        <v>191</v>
      </c>
      <c r="AK34" s="376" t="s">
        <v>292</v>
      </c>
      <c r="AL34" s="377">
        <v>1</v>
      </c>
      <c r="AP34" s="375" t="s">
        <v>296</v>
      </c>
      <c r="AQ34" s="375">
        <f>IF(F20="Liquidez",0.348,IF(F20&amp;F18&amp;F21="AdquisicionNo_PremierMercado_Abierto",0.29,0))</f>
        <v>0</v>
      </c>
    </row>
    <row r="35" spans="2:90" ht="17.25" thickTop="1" thickBot="1" x14ac:dyDescent="0.3">
      <c r="C35" s="610" t="str">
        <f>IF(AND(OR(F20="Adquisicion",F20="Exclusiva"),F27="Por Valor de la Vivienda"),"Enganche Adicional *","")</f>
        <v/>
      </c>
      <c r="D35" s="610"/>
      <c r="E35" s="617"/>
      <c r="F35" s="612"/>
      <c r="G35" s="613"/>
      <c r="H35" s="613"/>
      <c r="I35" s="613"/>
      <c r="J35" s="613"/>
      <c r="K35" s="614"/>
      <c r="AL35" s="378">
        <f>MIN(((IF(F19="SI",F34,0)+F30)*AL33),(((IF(F19="SI",F23,0)+F30)*AL33)-F31))*AL34</f>
        <v>0</v>
      </c>
      <c r="AP35" s="375" t="s">
        <v>34</v>
      </c>
      <c r="AQ35" s="379">
        <f>VLOOKUP(TRIM(CONCATENATE(F20," ",F17," ",F18," ",F22," ",F21," ",F16," ",F23)),Condicione_Financieras_Patrimon!A:W,17,0)</f>
        <v>0.44</v>
      </c>
    </row>
    <row r="36" spans="2:90" ht="16.5" thickTop="1" x14ac:dyDescent="0.25">
      <c r="C36" s="610" t="str">
        <f>IF(F20="Pago_Hipoteca+Liquidez","Crédito a Simular *","")</f>
        <v>Crédito a Simular *</v>
      </c>
      <c r="D36" s="610"/>
      <c r="E36" s="610"/>
      <c r="F36" s="618" t="s">
        <v>115</v>
      </c>
      <c r="G36" s="618"/>
      <c r="H36" s="618"/>
      <c r="I36" s="618"/>
      <c r="J36" s="618"/>
      <c r="K36" s="618"/>
      <c r="M36" s="324" t="s">
        <v>354</v>
      </c>
      <c r="R36" s="463" t="s">
        <v>467</v>
      </c>
      <c r="AP36" s="375" t="s">
        <v>305</v>
      </c>
      <c r="AQ36" s="379">
        <f>VLOOKUP(TRIM(CONCATENATE(F20," ",F17," ",F18," ",F22," ",F21," ",F16," ",F23)),Condicione_Financieras_Patrimon!A:W,18,0)*IF(F27="Por Campaña",1,0.7)</f>
        <v>0.22217999999999999</v>
      </c>
    </row>
    <row r="37" spans="2:90" x14ac:dyDescent="0.25">
      <c r="AP37" s="375" t="s">
        <v>306</v>
      </c>
      <c r="AQ37" s="375">
        <v>0</v>
      </c>
    </row>
    <row r="38" spans="2:90" ht="63" customHeight="1" x14ac:dyDescent="0.25">
      <c r="F38" s="604" t="str">
        <f>CONCATENATE(AZ67," ",AZ68)</f>
        <v xml:space="preserve"> </v>
      </c>
      <c r="G38" s="604"/>
      <c r="H38" s="604"/>
      <c r="I38" s="604"/>
      <c r="J38" s="604"/>
      <c r="K38" s="604"/>
      <c r="M38" s="451"/>
      <c r="AK38" s="376" t="s">
        <v>307</v>
      </c>
      <c r="AL38" s="381">
        <f>IF(AND(F24=10.3%,F25="Si"),VLOOKUP(TRIM(CONCATENATE(F20," ",F17," ",F18," ",F22," ",F21," ",F16," ",F25," ",F23," ",F24)),Condicione_Financieras_Patrimon!B:W,12,0),VLOOKUP(TRIM(CONCATENATE(F20," ",F17," ",F18," ",F22," ",F21," ",F16," ",F23," ",F24)),Condicione_Financieras_Patrimon!B:W,12,0))</f>
        <v>10.82</v>
      </c>
      <c r="AP38" s="375" t="s">
        <v>315</v>
      </c>
      <c r="AQ38" s="379">
        <f>VLOOKUP(TRIM(CONCATENATE(F20," ",F17," ",F18," ",F22," ",F21," ",F16," ",F23)),Condicione_Financieras_Patrimon!A:W,18,0)</f>
        <v>0.31740000000000002</v>
      </c>
    </row>
    <row r="39" spans="2:90" x14ac:dyDescent="0.25">
      <c r="AK39" s="376" t="s">
        <v>293</v>
      </c>
      <c r="AL39" s="356">
        <f>MAX(V64:W363)</f>
        <v>11973.333333333334</v>
      </c>
    </row>
    <row r="40" spans="2:90" x14ac:dyDescent="0.25">
      <c r="AP40" s="375" t="s">
        <v>22</v>
      </c>
      <c r="AQ40" s="382">
        <f>IF(AND(F24=10.3%,F25="Si"),VLOOKUP(TRIM(CONCATENATE(F20," ",F17," ",F18," ",F22," ",F21," ",F16," ",F25," ",F23," ",F24)),Condicione_Financieras_Patrimon!B:W,11,0),VLOOKUP(TRIM(CONCATENATE(F20," ",F17," ",F18," ",F22," ",F21," ",F16," ",F23," ",F24)),Condicione_Financieras_Patrimon!B:W,11,0))</f>
        <v>10.16</v>
      </c>
    </row>
    <row r="41" spans="2:90" ht="16.5" thickBot="1" x14ac:dyDescent="0.3">
      <c r="B41" s="644" t="str">
        <f>IF(V365&gt;0,"Pago Total del Crédito","")</f>
        <v>Pago Total del Crédito</v>
      </c>
      <c r="C41" s="644"/>
      <c r="D41" s="644"/>
      <c r="E41" s="647" t="str">
        <f>IF(V365&gt;0,"Plazo Para Liquidar el Crédito","")</f>
        <v>Plazo Para Liquidar el Crédito</v>
      </c>
      <c r="F41" s="647"/>
      <c r="G41" s="647"/>
      <c r="H41" s="647"/>
      <c r="I41" s="647" t="str">
        <f>IF(V365&gt;0,"Ahorro Total","")</f>
        <v>Ahorro Total</v>
      </c>
      <c r="J41" s="647"/>
      <c r="K41" s="647"/>
      <c r="N41" s="663" t="str">
        <f>IF(R36="SI","CONDICIONES DEL CREDITO DE LIQUIDEZ","")</f>
        <v>CONDICIONES DEL CREDITO DE LIQUIDEZ</v>
      </c>
      <c r="O41" s="663"/>
      <c r="P41" s="663"/>
      <c r="Q41" s="663"/>
      <c r="R41" s="663"/>
      <c r="S41" s="663"/>
      <c r="T41" s="663"/>
      <c r="U41" s="663"/>
      <c r="V41" s="663"/>
      <c r="W41" s="663"/>
      <c r="X41" s="663"/>
      <c r="Y41" s="663"/>
    </row>
    <row r="42" spans="2:90" ht="39" customHeight="1" x14ac:dyDescent="0.25">
      <c r="B42" s="605">
        <f>IF(V365&gt;0,V365,"")</f>
        <v>2378823.9831304811</v>
      </c>
      <c r="C42" s="605"/>
      <c r="D42" s="605"/>
      <c r="E42" s="644" t="str">
        <f>IF(V365&gt;0,CH50,"")</f>
        <v>211 Meses</v>
      </c>
      <c r="F42" s="644"/>
      <c r="G42" s="644"/>
      <c r="H42" s="644"/>
      <c r="I42" s="605">
        <f>IF(V365&gt;0,BZ50,"")</f>
        <v>350285.32653678022</v>
      </c>
      <c r="J42" s="605"/>
      <c r="K42" s="605"/>
      <c r="N42" s="446" t="str">
        <f>IF(OR(R36="NO",R36=""),"","Plazo")</f>
        <v>Plazo</v>
      </c>
      <c r="O42" s="650" t="str">
        <f>IF(OR(R36="NO",R36=""),"","Monto Solicitado")</f>
        <v>Monto Solicitado</v>
      </c>
      <c r="P42" s="650"/>
      <c r="Q42" s="650"/>
      <c r="R42" s="446" t="str">
        <f>IF(OR(R36="NO",R36=""),"","Tasa")</f>
        <v>Tasa</v>
      </c>
      <c r="S42" s="650" t="str">
        <f>IF(OR(R36="NO",R36=""),"","Pago Mensual Máximo")</f>
        <v>Pago Mensual Máximo</v>
      </c>
      <c r="T42" s="650"/>
      <c r="U42" s="650"/>
      <c r="V42" s="650" t="str">
        <f>IF(OR(R36="NO",R36=""),"","Pago Total del Crédito")</f>
        <v>Pago Total del Crédito</v>
      </c>
      <c r="W42" s="650"/>
      <c r="X42" s="650"/>
      <c r="Y42" s="446" t="str">
        <f>IF(OR(R36="NO",R36=""),"","CAT")</f>
        <v>CAT</v>
      </c>
      <c r="AK42" s="383"/>
      <c r="AL42" s="384">
        <f>MIN(AL43,AL44,AL45)</f>
        <v>7800000</v>
      </c>
      <c r="BM42" s="385" t="s">
        <v>54</v>
      </c>
      <c r="BN42" s="385" t="s">
        <v>55</v>
      </c>
      <c r="BO42" s="385" t="s">
        <v>56</v>
      </c>
      <c r="BP42" s="385" t="s">
        <v>57</v>
      </c>
      <c r="BQ42" s="385" t="s">
        <v>58</v>
      </c>
      <c r="BR42" s="385" t="s">
        <v>59</v>
      </c>
      <c r="BS42" s="385" t="s">
        <v>60</v>
      </c>
      <c r="BT42" s="385" t="s">
        <v>61</v>
      </c>
      <c r="BU42" s="385" t="s">
        <v>62</v>
      </c>
      <c r="BV42" s="385" t="s">
        <v>63</v>
      </c>
      <c r="BW42" s="385" t="s">
        <v>64</v>
      </c>
      <c r="BX42" s="385" t="s">
        <v>65</v>
      </c>
      <c r="BY42" s="385" t="s">
        <v>66</v>
      </c>
      <c r="BZ42" s="385" t="s">
        <v>67</v>
      </c>
      <c r="CA42" s="385" t="s">
        <v>68</v>
      </c>
      <c r="CB42" s="385" t="s">
        <v>69</v>
      </c>
      <c r="CC42" s="385" t="s">
        <v>70</v>
      </c>
      <c r="CD42" s="385" t="s">
        <v>71</v>
      </c>
      <c r="CE42" s="385" t="s">
        <v>72</v>
      </c>
      <c r="CF42" s="385" t="s">
        <v>73</v>
      </c>
      <c r="CG42" s="385" t="s">
        <v>74</v>
      </c>
      <c r="CH42" s="385" t="s">
        <v>75</v>
      </c>
      <c r="CI42" s="385" t="s">
        <v>76</v>
      </c>
      <c r="CJ42" s="385" t="s">
        <v>77</v>
      </c>
      <c r="CK42" s="385" t="s">
        <v>78</v>
      </c>
      <c r="CL42" s="385" t="s">
        <v>124</v>
      </c>
    </row>
    <row r="43" spans="2:90" ht="30" customHeight="1" x14ac:dyDescent="0.25">
      <c r="N43" s="452"/>
      <c r="O43" s="707"/>
      <c r="P43" s="707"/>
      <c r="Q43" s="707"/>
      <c r="R43" s="447" t="str">
        <f>IFERROR(IF(OR(R36="NO",R36=""),"",IF(OR(N43="",O43=""),"",Tabla_Amor_Redispon_Patrimonial!J10)),"")</f>
        <v/>
      </c>
      <c r="S43" s="651" t="str">
        <f>IF(OR(R36="NO",R36=""),"",IF(MAX(Tabla_Amor_Redispon_Patrimonial!K21:K200)=0,"",MAX(Tabla_Amor_Redispon_Patrimonial!K21:K200)))</f>
        <v/>
      </c>
      <c r="T43" s="651"/>
      <c r="U43" s="651"/>
      <c r="V43" s="651" t="str">
        <f>IF(OR(R36="NO",R36=""),"",IF(Tabla_Amor_Redispon_Patrimonial!K202=0,"",Tabla_Amor_Redispon_Patrimonial!K202))</f>
        <v/>
      </c>
      <c r="W43" s="651"/>
      <c r="X43" s="651"/>
      <c r="Y43" s="448" t="str">
        <f>IF(OR(R36="NO",R36=""),"",Tabla_Amor_Redispon_Patrimonial!J17)</f>
        <v>-</v>
      </c>
      <c r="AK43" s="386" t="s">
        <v>294</v>
      </c>
      <c r="AL43" s="387">
        <f>IF(F27="Por monto de crédito y valor de la vivienda",F29,AL44)</f>
        <v>7800000</v>
      </c>
      <c r="BL43" s="388" t="s">
        <v>32</v>
      </c>
      <c r="BM43" s="389" t="b">
        <v>1</v>
      </c>
      <c r="BN43" s="389" t="b">
        <v>1</v>
      </c>
      <c r="BO43" s="389" t="b">
        <v>1</v>
      </c>
      <c r="BP43" s="389" t="b">
        <v>1</v>
      </c>
      <c r="BQ43" s="389" t="b">
        <v>1</v>
      </c>
      <c r="BR43" s="389" t="b">
        <v>1</v>
      </c>
      <c r="BS43" s="389" t="b">
        <v>1</v>
      </c>
      <c r="BT43" s="389" t="b">
        <v>1</v>
      </c>
      <c r="BU43" s="389" t="b">
        <v>1</v>
      </c>
      <c r="BV43" s="389" t="b">
        <v>1</v>
      </c>
      <c r="BW43" s="389" t="b">
        <v>1</v>
      </c>
      <c r="BX43" s="389" t="b">
        <v>1</v>
      </c>
      <c r="BY43" s="389" t="b">
        <v>1</v>
      </c>
      <c r="BZ43" s="389" t="b">
        <v>1</v>
      </c>
      <c r="CA43" s="389" t="b">
        <v>1</v>
      </c>
      <c r="CB43" s="389" t="b">
        <v>1</v>
      </c>
      <c r="CC43" s="389" t="b">
        <v>1</v>
      </c>
      <c r="CD43" s="389" t="b">
        <v>1</v>
      </c>
      <c r="CE43" s="389" t="b">
        <v>1</v>
      </c>
      <c r="CF43" s="389" t="b">
        <v>1</v>
      </c>
      <c r="CG43" s="389" t="b">
        <v>0</v>
      </c>
      <c r="CH43" s="389" t="b">
        <v>0</v>
      </c>
      <c r="CI43" s="389" t="b">
        <v>0</v>
      </c>
      <c r="CJ43" s="389" t="b">
        <v>0</v>
      </c>
      <c r="CK43" s="389" t="b">
        <v>0</v>
      </c>
      <c r="CL43" s="390" cm="1">
        <f t="array" ref="CL43">IF(F23=25,AVERAGE(BM43:CK43*1),IF(F23=20,AVERAGE(BM43:CF43*1),IF(F23=19,AVERAGE(BM43:CE43*1),IF(F23=18,AVERAGE(BM43:CD43*1),IF(F23=17,AVERAGE(BM43:CC43*1),IF(F23=16,AVERAGE(BM43:CB43*1),IF(F23=15,AVERAGE(BM43:CA43*1),IF(F23=14,AVERAGE(BM43:BZ43*1),IF(F23=13,AVERAGE(BM43:BY43*1),IF(F23=12,AVERAGE(BM43:BX43*1),IF(F23=11,AVERAGE(BM43:BW43*1),IF(F23=10,AVERAGE(BM43:BV43*1),IF(F23=9,AVERAGE(BM43:BU43*1),IF(F23=8,AVERAGE(BM43:BT43*1),IF(F23=7,AVERAGE(BM43:BS43*1),IF(F23=6,AVERAGE(BM43:BR43*1),IF(F23=5,AVERAGE(BM43:BQ43*1),IF(F23=4,AVERAGE(BM43:BP43*1),IF(F23=3,AVERAGE(BM43:BO43*1))))))))))))))))))))</f>
        <v>1</v>
      </c>
    </row>
    <row r="44" spans="2:90" ht="30" hidden="1" customHeight="1" x14ac:dyDescent="0.25">
      <c r="B44" s="380"/>
      <c r="C44" s="380"/>
      <c r="D44" s="380"/>
      <c r="E44" s="380"/>
      <c r="F44" s="380"/>
      <c r="G44" s="380"/>
      <c r="H44" s="380"/>
      <c r="I44" s="380"/>
      <c r="J44" s="380"/>
      <c r="K44" s="380"/>
      <c r="L44" s="380"/>
      <c r="M44" s="380"/>
      <c r="N44" s="380"/>
      <c r="O44" s="380"/>
      <c r="P44" s="380"/>
      <c r="Q44" s="380"/>
      <c r="R44" s="380"/>
      <c r="S44" s="380"/>
      <c r="T44" s="380"/>
      <c r="U44" s="380"/>
      <c r="V44" s="380"/>
      <c r="W44" s="380"/>
      <c r="X44" s="380"/>
      <c r="Y44" s="380"/>
      <c r="AK44" s="386" t="s">
        <v>295</v>
      </c>
      <c r="AL44" s="391" t="str">
        <f>IF($F$27="Por Valor de la Vivienda",MIN(($F$28*$AS$17)-$F$35,AL21),"")</f>
        <v/>
      </c>
      <c r="BL44" s="388" t="s">
        <v>33</v>
      </c>
      <c r="BM44" s="389" t="b">
        <v>1</v>
      </c>
      <c r="BN44" s="389" t="b">
        <v>1</v>
      </c>
      <c r="BO44" s="389" t="b">
        <v>1</v>
      </c>
      <c r="BP44" s="389" t="b">
        <v>1</v>
      </c>
      <c r="BQ44" s="389" t="b">
        <v>1</v>
      </c>
      <c r="BR44" s="389" t="b">
        <v>1</v>
      </c>
      <c r="BS44" s="389" t="b">
        <v>1</v>
      </c>
      <c r="BT44" s="389" t="b">
        <v>1</v>
      </c>
      <c r="BU44" s="389" t="b">
        <v>1</v>
      </c>
      <c r="BV44" s="389" t="b">
        <v>1</v>
      </c>
      <c r="BW44" s="389" t="b">
        <v>1</v>
      </c>
      <c r="BX44" s="389" t="b">
        <v>1</v>
      </c>
      <c r="BY44" s="389" t="b">
        <v>1</v>
      </c>
      <c r="BZ44" s="389" t="b">
        <v>1</v>
      </c>
      <c r="CA44" s="389" t="b">
        <v>1</v>
      </c>
      <c r="CB44" s="389" t="b">
        <v>1</v>
      </c>
      <c r="CC44" s="389" t="b">
        <v>1</v>
      </c>
      <c r="CD44" s="389" t="b">
        <v>1</v>
      </c>
      <c r="CE44" s="389" t="b">
        <v>1</v>
      </c>
      <c r="CF44" s="389" t="b">
        <v>1</v>
      </c>
      <c r="CG44" s="389" t="b">
        <v>0</v>
      </c>
      <c r="CH44" s="389" t="b">
        <v>0</v>
      </c>
      <c r="CI44" s="389" t="b">
        <v>0</v>
      </c>
      <c r="CJ44" s="389" t="b">
        <v>0</v>
      </c>
      <c r="CK44" s="389" t="b">
        <v>0</v>
      </c>
      <c r="CL44" s="390" cm="1">
        <f t="array" ref="CL44">IF(F23=25,AVERAGE(BM44:CK44*1),
IF(F23=20,AVERAGE(BM44:CF44*1),
IF(F23=19,AVERAGE(BM44:CE44*1),
IF(F23=18,AVERAGE(BM44:CD44*1),
IF(F23=17,AVERAGE(BM44:CC44*1),
IF(F23=16,AVERAGE(BM44:CB44*1),
IF(F23=15,AVERAGE(BM44:CA44*1),
IF(F23=14,AVERAGE(BM44:BZ44*1),
IF(F23=13,AVERAGE(BM44:BY44*1),
IF(F23=12,AVERAGE(BM44:BX44*1),
IF(F23=11,AVERAGE(BM44:BW44*1),
IF(F23=10,AVERAGE(BM44:BV44*1),
IF(F23=9,AVERAGE(BM44:BU44*1),
IF(F23=8,AVERAGE(BM44:BT44*1),
IF(F23=7,AVERAGE(BM44:BS44*1),
IF(F23=6,AVERAGE(BM44:BR44*1),
IF(F23=5,AVERAGE(BM44:BQ44*1),
IF(F23=4,AVERAGE(BM44:BP44*1),
IF(F23=3,AVERAGE(BM44:BO44*1),
)))))))))))))))))))</f>
        <v>1</v>
      </c>
    </row>
    <row r="45" spans="2:90" ht="16.5" hidden="1" thickBot="1" x14ac:dyDescent="0.3">
      <c r="B45" s="380"/>
      <c r="C45" s="380"/>
      <c r="D45" s="380"/>
      <c r="E45" s="380"/>
      <c r="F45" s="380"/>
      <c r="G45" s="380"/>
      <c r="H45" s="380"/>
      <c r="I45" s="380"/>
      <c r="J45" s="380"/>
      <c r="K45" s="380"/>
      <c r="L45" s="380"/>
      <c r="M45" s="380"/>
      <c r="N45" s="380"/>
      <c r="O45" s="380"/>
      <c r="P45" s="380"/>
      <c r="Q45" s="380"/>
      <c r="R45" s="380"/>
      <c r="S45" s="380"/>
      <c r="T45" s="380"/>
      <c r="U45" s="380"/>
      <c r="V45" s="380"/>
      <c r="W45" s="380"/>
      <c r="X45" s="380"/>
      <c r="Y45" s="380"/>
      <c r="AK45" s="392"/>
      <c r="AL45" s="393">
        <f>MIN($F$28-$F$32-$F$33-F35,$F$28*1-$F$32)</f>
        <v>10000000</v>
      </c>
    </row>
    <row r="46" spans="2:90" hidden="1" x14ac:dyDescent="0.25">
      <c r="B46" s="380"/>
      <c r="C46" s="380"/>
      <c r="D46" s="380"/>
      <c r="E46" s="380"/>
      <c r="F46" s="380"/>
      <c r="G46" s="380"/>
      <c r="H46" s="380"/>
      <c r="I46" s="380"/>
      <c r="J46" s="380"/>
      <c r="K46" s="380"/>
      <c r="L46" s="380"/>
      <c r="M46" s="380"/>
      <c r="N46" s="380"/>
      <c r="O46" s="380"/>
      <c r="P46" s="380"/>
      <c r="Q46" s="380"/>
      <c r="R46" s="380"/>
      <c r="S46" s="380"/>
      <c r="T46" s="380"/>
      <c r="U46" s="380"/>
      <c r="V46" s="380"/>
      <c r="W46" s="380"/>
      <c r="X46" s="380"/>
      <c r="Y46" s="380"/>
      <c r="BL46" s="388" t="s">
        <v>31</v>
      </c>
      <c r="BM46" s="394" t="str">
        <f>'Tabla_Puntual&amp;Relacionamiento'!B2</f>
        <v/>
      </c>
      <c r="BN46" s="394" t="str">
        <f>'Tabla_Puntual&amp;Relacionamiento'!B3</f>
        <v/>
      </c>
      <c r="BO46" s="394" t="str">
        <f>'Tabla_Puntual&amp;Relacionamiento'!B4</f>
        <v/>
      </c>
      <c r="BP46" s="394" t="str">
        <f>'Tabla_Puntual&amp;Relacionamiento'!B5</f>
        <v/>
      </c>
      <c r="BQ46" s="394" t="str">
        <f>'Tabla_Puntual&amp;Relacionamiento'!B6</f>
        <v/>
      </c>
      <c r="BR46" s="394" t="str">
        <f>'Tabla_Puntual&amp;Relacionamiento'!B7</f>
        <v/>
      </c>
      <c r="BS46" s="394" t="str">
        <f>'Tabla_Puntual&amp;Relacionamiento'!B8</f>
        <v/>
      </c>
      <c r="BT46" s="394" t="str">
        <f>'Tabla_Puntual&amp;Relacionamiento'!B9</f>
        <v/>
      </c>
      <c r="BU46" s="394" t="str">
        <f>'Tabla_Puntual&amp;Relacionamiento'!B10</f>
        <v/>
      </c>
      <c r="BV46" s="394" t="str">
        <f>'Tabla_Puntual&amp;Relacionamiento'!B11</f>
        <v/>
      </c>
      <c r="BW46" s="394" t="str">
        <f>'Tabla_Puntual&amp;Relacionamiento'!B12</f>
        <v/>
      </c>
      <c r="BX46" s="394" t="str">
        <f>'Tabla_Puntual&amp;Relacionamiento'!B13</f>
        <v/>
      </c>
      <c r="BY46" s="394" t="str">
        <f>'Tabla_Puntual&amp;Relacionamiento'!B14</f>
        <v/>
      </c>
      <c r="BZ46" s="394" t="str">
        <f>'Tabla_Puntual&amp;Relacionamiento'!B15</f>
        <v/>
      </c>
      <c r="CA46" s="394" t="str">
        <f>'Tabla_Puntual&amp;Relacionamiento'!B16</f>
        <v/>
      </c>
      <c r="CB46" s="394" t="str">
        <f>'Tabla_Puntual&amp;Relacionamiento'!B17</f>
        <v/>
      </c>
      <c r="CC46" s="394" t="str">
        <f>'Tabla_Puntual&amp;Relacionamiento'!B18</f>
        <v/>
      </c>
      <c r="CD46" s="394" t="str">
        <f>'Tabla_Puntual&amp;Relacionamiento'!B19</f>
        <v/>
      </c>
      <c r="CE46" s="394" t="str">
        <f>'Tabla_Puntual&amp;Relacionamiento'!B20</f>
        <v/>
      </c>
      <c r="CF46" s="394" t="str">
        <f>'Tabla_Puntual&amp;Relacionamiento'!B21</f>
        <v/>
      </c>
      <c r="CG46" s="394" t="str">
        <f>'Tabla_Puntual&amp;Relacionamiento'!B22</f>
        <v/>
      </c>
      <c r="CH46" s="394" t="str">
        <f>'Tabla_Puntual&amp;Relacionamiento'!B23</f>
        <v/>
      </c>
      <c r="CI46" s="394" t="str">
        <f>'Tabla_Puntual&amp;Relacionamiento'!B24</f>
        <v/>
      </c>
      <c r="CJ46" s="394" t="str">
        <f>'Tabla_Puntual&amp;Relacionamiento'!B25</f>
        <v/>
      </c>
      <c r="CK46" s="394" t="str">
        <f>'Tabla_Puntual&amp;Relacionamiento'!B26</f>
        <v/>
      </c>
    </row>
    <row r="47" spans="2:90" ht="16.5" hidden="1" thickBot="1" x14ac:dyDescent="0.3">
      <c r="B47" s="380"/>
      <c r="C47" s="380"/>
      <c r="D47" s="380"/>
      <c r="E47" s="380"/>
      <c r="F47" s="380"/>
      <c r="G47" s="380"/>
      <c r="H47" s="380"/>
      <c r="I47" s="380"/>
      <c r="J47" s="380"/>
      <c r="K47" s="380"/>
      <c r="L47" s="380"/>
      <c r="M47" s="380"/>
      <c r="N47" s="380"/>
      <c r="O47" s="380"/>
      <c r="P47" s="380"/>
      <c r="Q47" s="380"/>
      <c r="R47" s="380"/>
      <c r="S47" s="380"/>
      <c r="T47" s="380"/>
      <c r="U47" s="380"/>
      <c r="V47" s="380"/>
      <c r="W47" s="380"/>
      <c r="X47" s="380"/>
      <c r="Y47" s="380"/>
    </row>
    <row r="48" spans="2:90" ht="17.25" hidden="1" thickTop="1" thickBot="1" x14ac:dyDescent="0.3">
      <c r="B48" s="380"/>
      <c r="C48" s="380"/>
      <c r="D48" s="395"/>
      <c r="E48" s="395"/>
      <c r="F48" s="395"/>
      <c r="G48" s="395"/>
      <c r="H48" s="395"/>
      <c r="I48" s="395"/>
      <c r="J48" s="395"/>
      <c r="K48" s="395"/>
      <c r="L48" s="395"/>
      <c r="M48" s="395"/>
      <c r="N48" s="395"/>
      <c r="O48" s="395"/>
      <c r="P48" s="395"/>
      <c r="Q48" s="395"/>
      <c r="R48" s="395"/>
      <c r="S48" s="395"/>
      <c r="T48" s="395"/>
      <c r="U48" s="395"/>
      <c r="V48" s="395"/>
      <c r="W48" s="395"/>
      <c r="X48" s="395"/>
      <c r="Y48" s="395"/>
      <c r="Z48" s="364"/>
      <c r="AA48" s="364"/>
      <c r="AB48" s="364"/>
      <c r="BL48" s="704" t="str">
        <f>IF(AND(OR(CL43=0,CL44=0),F21="Apoyo Infonavit"),"BENEFICIO DEL PRODUCTO",IF(OR(CL43&lt;&gt;0,CL44&lt;&gt;0),"BENEFICIO DEL PRODUCTO",""))</f>
        <v>BENEFICIO DEL PRODUCTO</v>
      </c>
      <c r="BM48" s="705"/>
      <c r="BN48" s="705"/>
      <c r="BO48" s="705"/>
      <c r="BP48" s="705"/>
      <c r="BQ48" s="705"/>
      <c r="BR48" s="705"/>
      <c r="BS48" s="705"/>
      <c r="BT48" s="705"/>
      <c r="BU48" s="705"/>
      <c r="BV48" s="705"/>
      <c r="BW48" s="705"/>
      <c r="BX48" s="705"/>
      <c r="BY48" s="705"/>
      <c r="BZ48" s="705"/>
      <c r="CA48" s="705"/>
      <c r="CB48" s="705"/>
      <c r="CC48" s="705"/>
      <c r="CD48" s="705"/>
      <c r="CE48" s="705"/>
      <c r="CF48" s="705"/>
      <c r="CG48" s="705"/>
      <c r="CH48" s="705"/>
      <c r="CI48" s="705"/>
      <c r="CJ48" s="705"/>
      <c r="CK48" s="706"/>
    </row>
    <row r="49" spans="2:89" ht="16.5" hidden="1" thickTop="1" x14ac:dyDescent="0.25">
      <c r="B49" s="380"/>
      <c r="C49" s="380"/>
      <c r="D49" s="380"/>
      <c r="E49" s="380"/>
      <c r="F49" s="380"/>
      <c r="G49" s="380"/>
      <c r="H49" s="380"/>
      <c r="I49" s="380"/>
      <c r="J49" s="380"/>
      <c r="K49" s="380"/>
      <c r="L49" s="380"/>
      <c r="M49" s="380"/>
      <c r="N49" s="380"/>
      <c r="O49" s="380"/>
      <c r="P49" s="380"/>
      <c r="Q49" s="380"/>
      <c r="R49" s="396"/>
      <c r="S49" s="396"/>
      <c r="T49" s="396"/>
      <c r="U49" s="380"/>
      <c r="V49" s="380"/>
      <c r="W49" s="380"/>
      <c r="X49" s="380"/>
      <c r="Y49" s="380"/>
      <c r="BL49" s="397"/>
      <c r="BM49" s="398"/>
      <c r="BN49" s="398"/>
      <c r="BO49" s="398"/>
      <c r="BP49" s="398"/>
      <c r="BQ49" s="398"/>
      <c r="BR49" s="398"/>
      <c r="BS49" s="398"/>
      <c r="BT49" s="398"/>
      <c r="BU49" s="398"/>
      <c r="BV49" s="645" t="s">
        <v>166</v>
      </c>
      <c r="BW49" s="645"/>
      <c r="BX49" s="645"/>
      <c r="BY49" s="399"/>
      <c r="BZ49" s="645" t="str">
        <f>IF(AND(OR(CL43=0,CL44=0),F21="Apoyo Infonavit"),"Ahorro Total",IF(OR(CL43&lt;&gt;0,CL44&lt;&gt;0),"Ahorro Total",""))</f>
        <v>Ahorro Total</v>
      </c>
      <c r="CA49" s="645"/>
      <c r="CB49" s="645"/>
      <c r="CD49" s="645" t="str">
        <f>IF(AND(OR(CL43=0,CL44=0),F21="Apoyo Infonavit"),"Reducción de Plazo",IF(OR(CL43&lt;&gt;0,CL44&lt;&gt;0),"Reducción de Plazo",""))</f>
        <v>Reducción de Plazo</v>
      </c>
      <c r="CE49" s="645"/>
      <c r="CF49" s="645"/>
      <c r="CG49" s="399"/>
      <c r="CH49" s="645" t="s">
        <v>167</v>
      </c>
      <c r="CI49" s="645"/>
      <c r="CJ49" s="645"/>
      <c r="CK49" s="400" t="s">
        <v>155</v>
      </c>
    </row>
    <row r="50" spans="2:89" hidden="1" x14ac:dyDescent="0.25">
      <c r="B50" s="380"/>
      <c r="C50" s="380"/>
      <c r="D50" s="380"/>
      <c r="E50" s="380"/>
      <c r="F50" s="380"/>
      <c r="G50" s="380"/>
      <c r="H50" s="380"/>
      <c r="I50" s="380"/>
      <c r="J50" s="380"/>
      <c r="K50" s="380"/>
      <c r="L50" s="380"/>
      <c r="M50" s="380"/>
      <c r="N50" s="380"/>
      <c r="O50" s="380"/>
      <c r="P50" s="380"/>
      <c r="Q50" s="380"/>
      <c r="R50" s="380"/>
      <c r="S50" s="380"/>
      <c r="T50" s="380"/>
      <c r="U50" s="380"/>
      <c r="V50" s="380"/>
      <c r="W50" s="380"/>
      <c r="X50" s="380"/>
      <c r="Y50" s="380"/>
      <c r="BL50" s="401"/>
      <c r="BM50" s="655" t="str">
        <f>IF(AND(F20="Pago_Hipoteca+Liquidez",F36=""),"Selecciona el Crédito a Simular Pago de Hipoteca o Liquidez",IF(AND(CL43=0,CL44&lt;&gt;0),"Sin Pago Puntual Con Relacionamiento",IF(AND(CL43&lt;&gt;0,CL44&lt;&gt;0),"Con Pago Puntual y Relacionamiento",IF(AND(CL43&lt;&gt;0,CL44=0),"Con Pago Puntual Sin Relacionamiento",IF(AND(CL43=0,CL44=0),"Sin Pago Puntual y Sin Relacinamiento")))))</f>
        <v>Con Pago Puntual y Relacionamiento</v>
      </c>
      <c r="BN50" s="655"/>
      <c r="BO50" s="655"/>
      <c r="BP50" s="655"/>
      <c r="BQ50" s="655"/>
      <c r="BR50" s="655"/>
      <c r="BS50" s="655"/>
      <c r="BT50" s="655"/>
      <c r="BU50" s="655"/>
      <c r="BV50" s="646">
        <f>IF(AND(F20="Pago_Hipoteca+Liquidez",F36=""),"",V365)</f>
        <v>2378823.9831304811</v>
      </c>
      <c r="BW50" s="646"/>
      <c r="BX50" s="646"/>
      <c r="BY50" s="325"/>
      <c r="BZ50" s="662">
        <f>IF(AND(F20="Pago_Hipoteca+Liquidez",F36=""),"",IF(AND(OR(CL43=0,CL44=0),F21="Apoyo Infonavit"),Tabla_Amort_PatrimonialPeorEsce!S322-V365,IF(OR(CL43&lt;&gt;0,CL44&lt;&gt;0),Tabla_Amort_PatrimonialPeorEsce!S322-V365,"")))</f>
        <v>350285.32653678022</v>
      </c>
      <c r="CA50" s="662"/>
      <c r="CB50" s="662"/>
      <c r="CD50" s="653" t="str">
        <f>IF(AND(F20="Pago_Hipoteca+Liquidez",F36=""),"",IF(AND(OR(CL43=0,CL44=0),F21="Apoyo Infonavit"),CONCATENATE(Tabla_Amort_PatrimonialPeorEsce!U322-COUNT(V64:W363)," ","Meses"),IF(OR(CL43&lt;&gt;0,CL44&lt;&gt;0),CONCATENATE(Tabla_Amort_PatrimonialPeorEsce!U322-COUNT(V64:W363)," ","Meses"),"")))</f>
        <v>29 Meses</v>
      </c>
      <c r="CE50" s="653"/>
      <c r="CF50" s="653"/>
      <c r="CG50" s="402"/>
      <c r="CH50" s="683" t="str">
        <f>IF(AND(F20="Pago_Hipoteca+Liquidez",F36=""),"",CONCATENATE(Tabla_Amort_PatrimonialPeorEsce!U322-(Tabla_Amort_PatrimonialPeorEsce!U322-COUNT(V64:W363))," ","Meses"))</f>
        <v>211 Meses</v>
      </c>
      <c r="CI50" s="683"/>
      <c r="CJ50" s="683"/>
      <c r="CK50" s="403">
        <f>IF(AND(F20="Pago_Hipoteca+Liquidez",F36=""),"",S27)</f>
        <v>0.1153012592243623</v>
      </c>
    </row>
    <row r="51" spans="2:89" ht="16.5" hidden="1" thickBot="1" x14ac:dyDescent="0.3">
      <c r="B51" s="380"/>
      <c r="C51" s="380"/>
      <c r="D51" s="380"/>
      <c r="E51" s="380"/>
      <c r="F51" s="380"/>
      <c r="G51" s="380"/>
      <c r="H51" s="380"/>
      <c r="I51" s="380"/>
      <c r="J51" s="380"/>
      <c r="K51" s="380"/>
      <c r="L51" s="380"/>
      <c r="M51" s="380"/>
      <c r="N51" s="380"/>
      <c r="O51" s="380"/>
      <c r="P51" s="380"/>
      <c r="Q51" s="380"/>
      <c r="R51" s="380"/>
      <c r="S51" s="380"/>
      <c r="T51" s="380"/>
      <c r="U51" s="380"/>
      <c r="V51" s="380"/>
      <c r="W51" s="380"/>
      <c r="X51" s="380"/>
      <c r="Y51" s="380"/>
      <c r="BL51" s="404"/>
      <c r="BM51" s="708"/>
      <c r="BN51" s="708"/>
      <c r="BO51" s="708"/>
      <c r="BP51" s="708"/>
      <c r="BQ51" s="708"/>
      <c r="BR51" s="708"/>
      <c r="BS51" s="708"/>
      <c r="BT51" s="708"/>
      <c r="BU51" s="708"/>
      <c r="BV51" s="654"/>
      <c r="BW51" s="654"/>
      <c r="BX51" s="654"/>
      <c r="BY51" s="654"/>
      <c r="BZ51" s="405"/>
      <c r="CA51" s="661"/>
      <c r="CB51" s="661"/>
      <c r="CC51" s="661"/>
      <c r="CD51" s="661"/>
      <c r="CE51" s="405"/>
      <c r="CF51" s="660"/>
      <c r="CG51" s="660"/>
      <c r="CH51" s="660"/>
      <c r="CI51" s="660"/>
      <c r="CJ51" s="405"/>
      <c r="CK51" s="406"/>
    </row>
    <row r="52" spans="2:89" ht="16.5" hidden="1" thickTop="1" x14ac:dyDescent="0.25">
      <c r="B52" s="380"/>
      <c r="C52" s="380"/>
      <c r="D52" s="380"/>
      <c r="E52" s="380"/>
      <c r="F52" s="380"/>
      <c r="G52" s="380"/>
      <c r="H52" s="380"/>
      <c r="I52" s="380"/>
      <c r="J52" s="380"/>
      <c r="K52" s="380"/>
      <c r="L52" s="380"/>
      <c r="M52" s="380"/>
      <c r="N52" s="380"/>
      <c r="O52" s="380"/>
      <c r="P52" s="380"/>
      <c r="Q52" s="380"/>
      <c r="R52" s="380"/>
      <c r="S52" s="380"/>
      <c r="T52" s="380"/>
      <c r="U52" s="380"/>
      <c r="V52" s="380"/>
      <c r="W52" s="380"/>
      <c r="X52" s="380"/>
      <c r="Y52" s="380"/>
    </row>
    <row r="53" spans="2:89" hidden="1" x14ac:dyDescent="0.25">
      <c r="B53" s="380"/>
      <c r="C53" s="380"/>
      <c r="D53" s="380"/>
      <c r="E53" s="380"/>
      <c r="F53" s="380"/>
      <c r="G53" s="380"/>
      <c r="H53" s="380"/>
      <c r="I53" s="380"/>
      <c r="J53" s="380"/>
      <c r="K53" s="380"/>
      <c r="L53" s="380"/>
      <c r="M53" s="380"/>
      <c r="N53" s="380"/>
      <c r="O53" s="380"/>
      <c r="P53" s="380"/>
      <c r="Q53" s="380"/>
      <c r="R53" s="380"/>
      <c r="S53" s="380"/>
      <c r="T53" s="380"/>
      <c r="U53" s="380"/>
      <c r="V53" s="380"/>
      <c r="W53" s="380"/>
      <c r="X53" s="380"/>
      <c r="Y53" s="380"/>
    </row>
    <row r="54" spans="2:89" hidden="1" x14ac:dyDescent="0.25">
      <c r="B54" s="380"/>
      <c r="C54" s="380"/>
      <c r="D54" s="380"/>
      <c r="E54" s="380"/>
      <c r="F54" s="380"/>
      <c r="G54" s="380"/>
      <c r="H54" s="407"/>
      <c r="I54" s="407"/>
      <c r="J54" s="380"/>
      <c r="K54" s="380"/>
      <c r="L54" s="380"/>
      <c r="M54" s="380"/>
      <c r="N54" s="380"/>
      <c r="O54" s="380"/>
      <c r="P54" s="380"/>
      <c r="Q54" s="380"/>
      <c r="R54" s="380"/>
      <c r="S54" s="380"/>
      <c r="T54" s="380"/>
      <c r="U54" s="380"/>
      <c r="V54" s="380"/>
      <c r="W54" s="380"/>
      <c r="X54" s="380"/>
      <c r="Y54" s="380"/>
    </row>
    <row r="55" spans="2:89" hidden="1" x14ac:dyDescent="0.25">
      <c r="B55" s="380"/>
      <c r="C55" s="380"/>
      <c r="D55" s="380"/>
      <c r="E55" s="380"/>
      <c r="F55" s="380"/>
      <c r="G55" s="380"/>
      <c r="H55" s="380"/>
      <c r="I55" s="380"/>
      <c r="J55" s="380"/>
      <c r="K55" s="380"/>
      <c r="L55" s="380"/>
      <c r="M55" s="380"/>
      <c r="N55" s="380"/>
      <c r="O55" s="380"/>
      <c r="P55" s="380"/>
      <c r="Q55" s="380"/>
      <c r="R55" s="380"/>
      <c r="S55" s="380"/>
      <c r="T55" s="380"/>
      <c r="U55" s="380"/>
      <c r="V55" s="380"/>
      <c r="W55" s="380"/>
      <c r="X55" s="380"/>
      <c r="Y55" s="380"/>
    </row>
    <row r="56" spans="2:89" hidden="1" x14ac:dyDescent="0.25">
      <c r="B56" s="380"/>
      <c r="C56" s="408"/>
      <c r="D56" s="380"/>
      <c r="E56" s="380"/>
      <c r="F56" s="380"/>
      <c r="G56" s="380"/>
      <c r="H56" s="409"/>
      <c r="I56" s="409"/>
      <c r="J56" s="409"/>
      <c r="K56" s="409"/>
      <c r="L56" s="409"/>
      <c r="M56" s="409"/>
      <c r="N56" s="409"/>
      <c r="O56" s="409"/>
      <c r="P56" s="409"/>
      <c r="Q56" s="409"/>
      <c r="R56" s="409"/>
      <c r="S56" s="409"/>
      <c r="T56" s="409"/>
      <c r="U56" s="409"/>
      <c r="V56" s="409"/>
      <c r="W56" s="409"/>
      <c r="X56" s="409"/>
      <c r="Y56" s="409"/>
      <c r="Z56" s="410"/>
      <c r="AA56" s="410"/>
      <c r="AB56" s="410"/>
    </row>
    <row r="57" spans="2:89" hidden="1" x14ac:dyDescent="0.25">
      <c r="B57" s="408"/>
      <c r="C57" s="408"/>
      <c r="D57" s="380"/>
      <c r="E57" s="380"/>
      <c r="F57" s="380"/>
      <c r="G57" s="380"/>
      <c r="H57" s="411"/>
      <c r="I57" s="411"/>
      <c r="J57" s="411"/>
      <c r="K57" s="411"/>
      <c r="L57" s="411"/>
      <c r="M57" s="411"/>
      <c r="N57" s="411"/>
      <c r="O57" s="411"/>
      <c r="P57" s="411"/>
      <c r="Q57" s="411"/>
      <c r="R57" s="411"/>
      <c r="S57" s="411"/>
      <c r="T57" s="380"/>
      <c r="U57" s="380"/>
      <c r="V57" s="412"/>
      <c r="W57" s="408"/>
      <c r="X57" s="380"/>
      <c r="Y57" s="380"/>
      <c r="Z57" s="410"/>
      <c r="AA57" s="410"/>
      <c r="AB57" s="410"/>
    </row>
    <row r="58" spans="2:89" hidden="1" x14ac:dyDescent="0.25">
      <c r="B58" s="413"/>
      <c r="C58" s="413"/>
      <c r="D58" s="413"/>
      <c r="E58" s="413"/>
      <c r="F58" s="413"/>
      <c r="G58" s="409"/>
      <c r="H58" s="409"/>
      <c r="I58" s="409"/>
      <c r="J58" s="380"/>
      <c r="K58" s="380"/>
      <c r="L58" s="380"/>
      <c r="M58" s="380"/>
      <c r="N58" s="380"/>
      <c r="O58" s="380"/>
      <c r="P58" s="380"/>
      <c r="Q58" s="380"/>
      <c r="R58" s="380"/>
      <c r="S58" s="380"/>
      <c r="T58" s="380"/>
      <c r="U58" s="380"/>
      <c r="V58" s="380"/>
      <c r="W58" s="380"/>
      <c r="X58" s="380"/>
      <c r="Y58" s="380"/>
    </row>
    <row r="59" spans="2:89" hidden="1" x14ac:dyDescent="0.25">
      <c r="B59" s="414"/>
      <c r="C59" s="414"/>
      <c r="D59" s="414"/>
      <c r="E59" s="414"/>
      <c r="F59" s="414"/>
      <c r="G59" s="380"/>
      <c r="H59" s="380"/>
      <c r="I59" s="380"/>
      <c r="J59" s="380"/>
      <c r="K59" s="380"/>
      <c r="L59" s="380"/>
      <c r="M59" s="380"/>
      <c r="N59" s="380"/>
      <c r="O59" s="380"/>
      <c r="P59" s="380"/>
      <c r="Q59" s="380"/>
      <c r="R59" s="380"/>
      <c r="S59" s="380"/>
      <c r="T59" s="380"/>
      <c r="U59" s="380"/>
      <c r="V59" s="380"/>
      <c r="W59" s="380"/>
      <c r="X59" s="380"/>
      <c r="Y59" s="380"/>
    </row>
    <row r="60" spans="2:89" hidden="1" x14ac:dyDescent="0.25">
      <c r="B60" s="412"/>
      <c r="C60" s="408"/>
      <c r="D60" s="411"/>
      <c r="E60" s="411"/>
      <c r="F60" s="411"/>
      <c r="G60" s="380"/>
      <c r="H60" s="380"/>
      <c r="I60" s="380"/>
      <c r="J60" s="380"/>
      <c r="K60" s="380"/>
      <c r="L60" s="380"/>
      <c r="M60" s="380"/>
      <c r="N60" s="380"/>
      <c r="O60" s="380"/>
      <c r="P60" s="380"/>
      <c r="Q60" s="380"/>
      <c r="R60" s="380"/>
      <c r="S60" s="380"/>
      <c r="T60" s="380"/>
      <c r="U60" s="380"/>
      <c r="V60" s="380"/>
      <c r="W60" s="380"/>
      <c r="X60" s="380"/>
      <c r="Y60" s="380"/>
      <c r="Z60" s="410"/>
      <c r="AA60" s="410"/>
      <c r="AB60" s="410"/>
    </row>
    <row r="61" spans="2:89" ht="16.5" thickBot="1" x14ac:dyDescent="0.3">
      <c r="C61" s="410"/>
      <c r="D61" s="410"/>
      <c r="E61" s="410"/>
      <c r="F61" s="410"/>
      <c r="G61" s="410"/>
      <c r="H61" s="410"/>
      <c r="I61" s="410"/>
      <c r="J61" s="410"/>
      <c r="K61" s="410"/>
      <c r="L61" s="410"/>
      <c r="M61" s="410"/>
      <c r="N61" s="410"/>
      <c r="O61" s="410"/>
      <c r="P61" s="410"/>
      <c r="Q61" s="410"/>
      <c r="R61" s="410"/>
      <c r="S61" s="410"/>
      <c r="T61" s="410"/>
      <c r="U61" s="410"/>
      <c r="V61" s="410"/>
    </row>
    <row r="62" spans="2:89" ht="32.25" thickBot="1" x14ac:dyDescent="0.3">
      <c r="B62" s="415" t="s">
        <v>314</v>
      </c>
      <c r="C62" s="415" t="s">
        <v>10</v>
      </c>
      <c r="D62" s="709" t="s">
        <v>317</v>
      </c>
      <c r="E62" s="709"/>
      <c r="F62" s="709" t="s">
        <v>12</v>
      </c>
      <c r="G62" s="709"/>
      <c r="H62" s="709" t="str">
        <f>IF(F20="Liquidez","Iva Intereses",IF(AND(F20="Pago_Hipoteca+Liquidez",F36="Liquidez"),"Iva Intereses",""))</f>
        <v>Iva Intereses</v>
      </c>
      <c r="I62" s="709"/>
      <c r="J62" s="709" t="s">
        <v>13</v>
      </c>
      <c r="K62" s="709"/>
      <c r="L62" s="709" t="s">
        <v>14</v>
      </c>
      <c r="M62" s="709"/>
      <c r="N62" s="709" t="s">
        <v>316</v>
      </c>
      <c r="O62" s="709"/>
      <c r="P62" s="709" t="s">
        <v>163</v>
      </c>
      <c r="Q62" s="709"/>
      <c r="R62" s="709" t="s">
        <v>18</v>
      </c>
      <c r="S62" s="709"/>
      <c r="T62" s="415" t="s">
        <v>31</v>
      </c>
      <c r="U62" s="415" t="s">
        <v>126</v>
      </c>
      <c r="V62" s="709" t="s">
        <v>159</v>
      </c>
      <c r="W62" s="709"/>
      <c r="X62" s="709" t="s">
        <v>15</v>
      </c>
      <c r="Y62" s="709"/>
      <c r="AL62" s="416" t="s">
        <v>160</v>
      </c>
      <c r="AM62" s="417" t="s">
        <v>134</v>
      </c>
      <c r="AN62" s="709" t="s">
        <v>16</v>
      </c>
      <c r="AO62" s="709"/>
      <c r="AP62" s="709" t="s">
        <v>17</v>
      </c>
      <c r="AQ62" s="709"/>
      <c r="AR62" s="442" t="s">
        <v>347</v>
      </c>
      <c r="AS62" s="324" t="s">
        <v>399</v>
      </c>
      <c r="AW62" s="324" t="s">
        <v>482</v>
      </c>
    </row>
    <row r="63" spans="2:89" x14ac:dyDescent="0.25">
      <c r="B63" s="418"/>
      <c r="C63" s="419"/>
      <c r="D63" s="674"/>
      <c r="E63" s="674"/>
      <c r="F63" s="711"/>
      <c r="G63" s="711"/>
      <c r="H63" s="713"/>
      <c r="I63" s="713"/>
      <c r="J63" s="711"/>
      <c r="K63" s="711"/>
      <c r="L63" s="674"/>
      <c r="M63" s="674"/>
      <c r="N63" s="711"/>
      <c r="O63" s="711"/>
      <c r="P63" s="867"/>
      <c r="Q63" s="867"/>
      <c r="R63" s="712"/>
      <c r="S63" s="712"/>
      <c r="V63" s="642"/>
      <c r="W63" s="642"/>
      <c r="X63" s="642">
        <f>IF(F38&lt;&gt;" ",0,IF(AND(OR(F34="",F36=""),F20="Pago_Hipoteca+Liquidez"),0,IF(AND(F20="Pago_Hipoteca+Liquidez",F36="Pago de Hipoteca"),F34,IF(AND(F20="Pago_Hipoteca+Liquidez",F36="Liquidez"),U24-F34,U24))))</f>
        <v>1000000</v>
      </c>
      <c r="Y63" s="642"/>
      <c r="AB63" s="341"/>
      <c r="AL63" s="420"/>
      <c r="AM63" s="421">
        <f>IF(ISNUMBER(X63),-X63,0)+IF(N18="C. Contratación Crédito",IF(ISNUMBER(S18),S18*X63,0),0)+IF(ISNUMBER(S17),S17/1.16,0)+IF(ISNUMBER(Caratula_Patrimonial!S19),Caratula_Patrimonial!S19/1.16)</f>
        <v>-980000</v>
      </c>
      <c r="AN63" s="868"/>
      <c r="AO63" s="868"/>
      <c r="AP63" s="637"/>
      <c r="AQ63" s="637"/>
      <c r="AR63" s="426">
        <f>MAX(B64:B363)</f>
        <v>211</v>
      </c>
    </row>
    <row r="64" spans="2:89" x14ac:dyDescent="0.25">
      <c r="B64" s="418">
        <v>1</v>
      </c>
      <c r="C64" s="423">
        <f>X63</f>
        <v>1000000</v>
      </c>
      <c r="D64" s="643">
        <f>IF(B64="","",AL64-F64)</f>
        <v>1576.6666666666661</v>
      </c>
      <c r="E64" s="643"/>
      <c r="F64" s="643">
        <f t="shared" ref="F64:F127" si="2">IF(B64="","",IF(X63*(T64/12)&lt;0,"",X63*(T64/12)))</f>
        <v>8583.3333333333339</v>
      </c>
      <c r="G64" s="643"/>
      <c r="H64" s="671">
        <f t="shared" ref="H64:H127" si="3">IFERROR(IF($F$20="Liquidez",F64*0.16,
IF(AND($F$20="Pago_Hipoteca+Liquidez",$F$36="Liquidez"),F64*0.16,0)),0)</f>
        <v>1373.3333333333335</v>
      </c>
      <c r="I64" s="671"/>
      <c r="J64" s="640">
        <f>IF(B64="","",C64*$AQ$35/1000)</f>
        <v>440</v>
      </c>
      <c r="K64" s="640"/>
      <c r="L64" s="631">
        <f t="shared" ref="L64:L127" si="4">IF(B64="","",IF(AND($F$20="Pago_Hipoteca+Liquidez",$F$36="Liquidez"),0,
IF((($F$28*0.7)*$AQ$38)&gt;C64*$AQ$38,($F$28*0.7)*($AQ$38)/1000,($AQ$38*C64)/1000)))</f>
        <v>0</v>
      </c>
      <c r="M64" s="631"/>
      <c r="N64" s="631">
        <f>IF(B64="","",VLOOKUP(TRIM(CONCATENATE($F$20," ",$F$17," ",$F$18," ",$F$22," ",$F$21," ",$F$16," ",$F$23," ",$F$24)),Condicione_Financieras_Patrimon!B:W,22,0)*1.16)</f>
        <v>0</v>
      </c>
      <c r="O64" s="631"/>
      <c r="P64" s="641"/>
      <c r="Q64" s="641"/>
      <c r="R64" s="631"/>
      <c r="S64" s="631"/>
      <c r="T64" s="424">
        <f>IF(B64="","",'Tabla_Puntual&amp;Relacionamiento'!$B$68)</f>
        <v>0.10299999999999999</v>
      </c>
      <c r="U64" s="425"/>
      <c r="V64" s="642">
        <f t="shared" ref="V64:V127" si="5">IF(B64="","",D64+F64+H64+J64+L64+N64)</f>
        <v>11973.333333333334</v>
      </c>
      <c r="W64" s="642"/>
      <c r="X64" s="642">
        <f t="shared" ref="X64:X127" si="6">IFERROR(IF(C64="","",IF((C64-D64-P64+AN64+AP64-R64)&lt;1,0,C64-D64-P64+AN64+AP64-R64)),0)</f>
        <v>998423.33333333337</v>
      </c>
      <c r="Y64" s="642"/>
      <c r="AB64" s="341"/>
      <c r="AC64" s="341"/>
      <c r="AI64" s="341"/>
      <c r="AL64" s="420">
        <f>IF(B64="","",IF(X63&lt;AL63,X63+F64,$X$63*$AQ$40/1000))</f>
        <v>10160</v>
      </c>
      <c r="AM64" s="421">
        <f>IF(C64="",0,AL64+J64+AS64+(N64/1.16)+R64)</f>
        <v>10600</v>
      </c>
      <c r="AN64" s="865">
        <f t="shared" ref="AN64:AN123" si="7">IF(B64="","",IF(OR($N$18="C. Contratación Crédito",P64=""),0,IF(AND(P64&gt;0,$S$18&gt;0),P64*$S$18,0)))</f>
        <v>0</v>
      </c>
      <c r="AO64" s="865"/>
      <c r="AP64" s="866">
        <f>IF(B64="","",IF(AN64&gt;0,AN64*0.16,0))</f>
        <v>0</v>
      </c>
      <c r="AQ64" s="866"/>
      <c r="AR64" s="422"/>
      <c r="AS64" s="522">
        <f>IF(B64="","",IF(AND($F$20="Pago_Hipoteca+Liquidez",$F$36="Liquidez"),0,
IF((($F$28*0.7)*$AQ$38/1.16)&gt;C64*$AQ$38/1.16,($F$28*0.7)*($AQ$38/1.16)/1000,($AQ$38/1.16)*C64)/1000))</f>
        <v>0</v>
      </c>
      <c r="AW64" s="324" t="s">
        <v>483</v>
      </c>
      <c r="AZ64" s="341">
        <f>U24</f>
        <v>7800000</v>
      </c>
    </row>
    <row r="65" spans="2:53" x14ac:dyDescent="0.25">
      <c r="B65" s="426">
        <f t="shared" ref="B65:B128" si="8">IF(OR(B64="",X64&lt;=0),"",IF(B64+1&lt;=F$23*12,B64+1,""))</f>
        <v>2</v>
      </c>
      <c r="C65" s="423">
        <f t="shared" ref="C65:C128" si="9">IF(B65="","",IF(IF(C64="","",C64-D64-R64)&lt;0.01,AQ64,IF(C64="","",X64)))</f>
        <v>998423.33333333337</v>
      </c>
      <c r="D65" s="643">
        <f>IF(B65="","",AL65-F65)</f>
        <v>1590.1997222222217</v>
      </c>
      <c r="E65" s="643"/>
      <c r="F65" s="643">
        <f t="shared" si="2"/>
        <v>8569.8002777777783</v>
      </c>
      <c r="G65" s="643"/>
      <c r="H65" s="671">
        <f t="shared" si="3"/>
        <v>1371.1680444444446</v>
      </c>
      <c r="I65" s="671"/>
      <c r="J65" s="640">
        <f t="shared" ref="J65:J128" si="10">IF(B65="","",C65*$AQ$35/1000)</f>
        <v>439.30626666666666</v>
      </c>
      <c r="K65" s="640"/>
      <c r="L65" s="631">
        <f t="shared" si="4"/>
        <v>0</v>
      </c>
      <c r="M65" s="631"/>
      <c r="N65" s="631">
        <f>IF(B65="","",VLOOKUP(TRIM(CONCATENATE($F$20," ",$F$17," ",$F$18," ",$F$22," ",$F$21," ",$F$16," ",$F$23," ",$F$24)),Condicione_Financieras_Patrimon!B:W,22,0)*1.16)</f>
        <v>0</v>
      </c>
      <c r="O65" s="631"/>
      <c r="P65" s="641"/>
      <c r="Q65" s="641"/>
      <c r="R65" s="631">
        <f>IF(OR(X64=0,X64=""),"",IF($F$21="Apoyo Infonavit",IF(D65&gt;=C65,0,MIN(IF($F$30="",0,Caratula_Patrimonial!$F$30),$AL$29*25)*10%),0))</f>
        <v>0</v>
      </c>
      <c r="S65" s="631"/>
      <c r="T65" s="424">
        <f>IF(B65="","",'Tabla_Puntual&amp;Relacionamiento'!$B$68)</f>
        <v>0.10299999999999999</v>
      </c>
      <c r="U65" s="424"/>
      <c r="V65" s="642">
        <f t="shared" si="5"/>
        <v>11970.474311111111</v>
      </c>
      <c r="W65" s="642"/>
      <c r="X65" s="642">
        <f t="shared" si="6"/>
        <v>996833.1336111112</v>
      </c>
      <c r="Y65" s="642"/>
      <c r="AE65" s="341"/>
      <c r="AL65" s="420">
        <f t="shared" ref="AL65:AL128" si="11">IF(B65="","",
IF(X64&lt;AL64,X64+F65,
IF($F$16="Pago_Fijo_Puntual",$X$63*$AQ$40/1000,
IF($F$16="Pago_Bajo_Puntual",AL64+(AL64*U65)))))</f>
        <v>10160</v>
      </c>
      <c r="AM65" s="421">
        <f>IF(C65="",0,AL65+J65+AS65+(N65/1.16)+R65)</f>
        <v>10599.306266666666</v>
      </c>
      <c r="AN65" s="865">
        <f t="shared" si="7"/>
        <v>0</v>
      </c>
      <c r="AO65" s="865"/>
      <c r="AP65" s="866">
        <f>IF(B65="","",IF(AN65&gt;0,AN65*0.16,0))</f>
        <v>0</v>
      </c>
      <c r="AQ65" s="866"/>
      <c r="AR65" s="422"/>
      <c r="AS65" s="522">
        <f t="shared" ref="AS65:AS128" si="12">IF(B65="","",IF(AND($F$20="Pago_Hipoteca+Liquidez",$F$36="Liquidez"),0,
IF((($F$28*0.7)*$AQ$38/1.16)&gt;C65*$AQ$38/1.16,($F$28*0.7)*($AQ$38/1.16),($AQ$38/1.16)*C65)/1000))</f>
        <v>0</v>
      </c>
      <c r="AW65" s="324" t="s">
        <v>484</v>
      </c>
      <c r="AZ65" s="341">
        <f>F34</f>
        <v>6800000</v>
      </c>
      <c r="BA65" s="601">
        <f>AZ65/AZ64</f>
        <v>0.87179487179487181</v>
      </c>
    </row>
    <row r="66" spans="2:53" x14ac:dyDescent="0.25">
      <c r="B66" s="426">
        <f t="shared" si="8"/>
        <v>3</v>
      </c>
      <c r="C66" s="423">
        <f t="shared" si="9"/>
        <v>996833.1336111112</v>
      </c>
      <c r="D66" s="643">
        <f t="shared" ref="D66:D129" si="13">IF(B66="","",AL66-F66)</f>
        <v>1603.848936504628</v>
      </c>
      <c r="E66" s="643"/>
      <c r="F66" s="643">
        <f t="shared" si="2"/>
        <v>8556.151063495372</v>
      </c>
      <c r="G66" s="643"/>
      <c r="H66" s="671">
        <f t="shared" si="3"/>
        <v>1368.9841701592595</v>
      </c>
      <c r="I66" s="671"/>
      <c r="J66" s="640">
        <f t="shared" si="10"/>
        <v>438.60657878888895</v>
      </c>
      <c r="K66" s="640"/>
      <c r="L66" s="631">
        <f t="shared" si="4"/>
        <v>0</v>
      </c>
      <c r="M66" s="631"/>
      <c r="N66" s="631">
        <f>IF(B66="","",VLOOKUP(TRIM(CONCATENATE($F$20," ",$F$17," ",$F$18," ",$F$22," ",$F$21," ",$F$16," ",$F$23," ",$F$24)),Condicione_Financieras_Patrimon!B:W,22,0)*1.16)</f>
        <v>0</v>
      </c>
      <c r="O66" s="631"/>
      <c r="P66" s="641"/>
      <c r="Q66" s="641"/>
      <c r="R66" s="631"/>
      <c r="S66" s="631"/>
      <c r="T66" s="424">
        <f>IF(B66="","",'Tabla_Puntual&amp;Relacionamiento'!$B$68)</f>
        <v>0.10299999999999999</v>
      </c>
      <c r="U66" s="424"/>
      <c r="V66" s="642">
        <f t="shared" si="5"/>
        <v>11967.590748948149</v>
      </c>
      <c r="W66" s="642"/>
      <c r="X66" s="642">
        <f t="shared" si="6"/>
        <v>995229.28467460652</v>
      </c>
      <c r="Y66" s="642"/>
      <c r="AF66" s="341"/>
      <c r="AL66" s="420">
        <f t="shared" si="11"/>
        <v>10160</v>
      </c>
      <c r="AM66" s="421">
        <f>IF(C66="",0,AL66+J66+AS66+(N66/1.16)+R66)</f>
        <v>10598.606578788889</v>
      </c>
      <c r="AN66" s="865">
        <f t="shared" si="7"/>
        <v>0</v>
      </c>
      <c r="AO66" s="865"/>
      <c r="AP66" s="866">
        <f>IF(B66="","",IF(AN66&gt;0,AN66*0.16,0))</f>
        <v>0</v>
      </c>
      <c r="AQ66" s="866"/>
      <c r="AR66" s="422"/>
      <c r="AS66" s="522">
        <f t="shared" si="12"/>
        <v>0</v>
      </c>
      <c r="AW66" s="324" t="s">
        <v>485</v>
      </c>
      <c r="AZ66" s="341">
        <f>AZ64-AZ65</f>
        <v>1000000</v>
      </c>
      <c r="BA66" s="601">
        <f>AZ66/AZ64</f>
        <v>0.12820512820512819</v>
      </c>
    </row>
    <row r="67" spans="2:53" x14ac:dyDescent="0.25">
      <c r="B67" s="426">
        <f t="shared" si="8"/>
        <v>4</v>
      </c>
      <c r="C67" s="423">
        <f t="shared" si="9"/>
        <v>995229.28467460652</v>
      </c>
      <c r="D67" s="643">
        <f t="shared" si="13"/>
        <v>1617.6153065429608</v>
      </c>
      <c r="E67" s="643"/>
      <c r="F67" s="643">
        <f t="shared" si="2"/>
        <v>8542.3846934570392</v>
      </c>
      <c r="G67" s="643"/>
      <c r="H67" s="671">
        <f t="shared" si="3"/>
        <v>1366.7815509531263</v>
      </c>
      <c r="I67" s="671"/>
      <c r="J67" s="640">
        <f t="shared" si="10"/>
        <v>437.90088525682688</v>
      </c>
      <c r="K67" s="640"/>
      <c r="L67" s="631">
        <f t="shared" si="4"/>
        <v>0</v>
      </c>
      <c r="M67" s="631"/>
      <c r="N67" s="631">
        <f>IF(B67="","",VLOOKUP(TRIM(CONCATENATE($F$20," ",$F$17," ",$F$18," ",$F$22," ",$F$21," ",$F$16," ",$F$23," ",$F$24)),Condicione_Financieras_Patrimon!B:W,22,0)*1.16)</f>
        <v>0</v>
      </c>
      <c r="O67" s="631"/>
      <c r="P67" s="641"/>
      <c r="Q67" s="641"/>
      <c r="R67" s="631">
        <f>IF(OR(X66=0,X66=""),"",IF($F$21="Apoyo Infonavit",IF(D67&gt;=C67,0,MIN(IF($F$30="",0,Caratula_Patrimonial!$F$30),$AL$29*25)*10%),0))</f>
        <v>0</v>
      </c>
      <c r="S67" s="631"/>
      <c r="T67" s="424">
        <f>IF(B67="","",'Tabla_Puntual&amp;Relacionamiento'!$B$68)</f>
        <v>0.10299999999999999</v>
      </c>
      <c r="U67" s="424"/>
      <c r="V67" s="642">
        <f t="shared" si="5"/>
        <v>11964.682436209954</v>
      </c>
      <c r="W67" s="642"/>
      <c r="X67" s="642">
        <f t="shared" si="6"/>
        <v>993611.66936806357</v>
      </c>
      <c r="Y67" s="642"/>
      <c r="AL67" s="420">
        <f t="shared" si="11"/>
        <v>10160</v>
      </c>
      <c r="AM67" s="421">
        <f t="shared" ref="AM67:AM130" si="14">IF(C67="",0,AL67+J67+AS67+(N67/1.16)+R67)</f>
        <v>10597.900885256828</v>
      </c>
      <c r="AN67" s="865">
        <f t="shared" si="7"/>
        <v>0</v>
      </c>
      <c r="AO67" s="865"/>
      <c r="AP67" s="866">
        <f t="shared" ref="AP67:AP123" si="15">IF(B67="","",IF(AN67&gt;0,AN67*0.16,0))</f>
        <v>0</v>
      </c>
      <c r="AQ67" s="866"/>
      <c r="AR67" s="427"/>
      <c r="AS67" s="522">
        <f t="shared" si="12"/>
        <v>0</v>
      </c>
      <c r="AW67" s="324" t="s">
        <v>486</v>
      </c>
      <c r="AZ67" s="324" t="str">
        <f>IFERROR(IF(AND(BA66&gt;50%,F20="Pago_Hipoteca+Liquidez"),"El % del Crédito de Liquidez no puede ser mayor a 50 %",""),"")</f>
        <v/>
      </c>
    </row>
    <row r="68" spans="2:53" x14ac:dyDescent="0.25">
      <c r="B68" s="426">
        <f t="shared" si="8"/>
        <v>5</v>
      </c>
      <c r="C68" s="423">
        <f t="shared" si="9"/>
        <v>993611.66936806357</v>
      </c>
      <c r="D68" s="643">
        <f t="shared" si="13"/>
        <v>1631.4998379241206</v>
      </c>
      <c r="E68" s="643"/>
      <c r="F68" s="643">
        <f t="shared" si="2"/>
        <v>8528.5001620758794</v>
      </c>
      <c r="G68" s="643"/>
      <c r="H68" s="671">
        <f t="shared" si="3"/>
        <v>1364.5600259321407</v>
      </c>
      <c r="I68" s="671"/>
      <c r="J68" s="640">
        <f t="shared" si="10"/>
        <v>437.18913452194801</v>
      </c>
      <c r="K68" s="640"/>
      <c r="L68" s="631">
        <f t="shared" si="4"/>
        <v>0</v>
      </c>
      <c r="M68" s="631"/>
      <c r="N68" s="631">
        <f>IF(B68="","",VLOOKUP(TRIM(CONCATENATE($F$20," ",$F$17," ",$F$18," ",$F$22," ",$F$21," ",$F$16," ",$F$23," ",$F$24)),Condicione_Financieras_Patrimon!B:W,22,0)*1.16)</f>
        <v>0</v>
      </c>
      <c r="O68" s="631"/>
      <c r="P68" s="641"/>
      <c r="Q68" s="641"/>
      <c r="R68" s="631"/>
      <c r="S68" s="631"/>
      <c r="T68" s="424">
        <f>IF(B68="","",'Tabla_Puntual&amp;Relacionamiento'!$B$68)</f>
        <v>0.10299999999999999</v>
      </c>
      <c r="U68" s="424"/>
      <c r="V68" s="642">
        <f t="shared" si="5"/>
        <v>11961.749160454088</v>
      </c>
      <c r="W68" s="642"/>
      <c r="X68" s="642">
        <f t="shared" si="6"/>
        <v>991980.16953013942</v>
      </c>
      <c r="Y68" s="642"/>
      <c r="AL68" s="420">
        <f t="shared" si="11"/>
        <v>10160</v>
      </c>
      <c r="AM68" s="421">
        <f t="shared" si="14"/>
        <v>10597.189134521948</v>
      </c>
      <c r="AN68" s="865">
        <f t="shared" si="7"/>
        <v>0</v>
      </c>
      <c r="AO68" s="865"/>
      <c r="AP68" s="866">
        <f t="shared" si="15"/>
        <v>0</v>
      </c>
      <c r="AQ68" s="866"/>
      <c r="AR68" s="427"/>
      <c r="AS68" s="522">
        <f t="shared" si="12"/>
        <v>0</v>
      </c>
      <c r="AW68" s="324" t="s">
        <v>487</v>
      </c>
      <c r="AZ68" s="324" t="str">
        <f>IFERROR(IF(AND(AZ66&gt;1000000,F20="Pago_Hipoteca+Liquidez"),"El Monto del Crédito de Liquidez no puede ser mayor a $1,000,000",""),"")</f>
        <v/>
      </c>
    </row>
    <row r="69" spans="2:53" x14ac:dyDescent="0.25">
      <c r="B69" s="426">
        <f t="shared" si="8"/>
        <v>6</v>
      </c>
      <c r="C69" s="423">
        <f t="shared" si="9"/>
        <v>991980.16953013942</v>
      </c>
      <c r="D69" s="643">
        <f t="shared" si="13"/>
        <v>1645.5035448663039</v>
      </c>
      <c r="E69" s="643"/>
      <c r="F69" s="643">
        <f t="shared" si="2"/>
        <v>8514.4964551336961</v>
      </c>
      <c r="G69" s="643"/>
      <c r="H69" s="671">
        <f t="shared" si="3"/>
        <v>1362.3194328213915</v>
      </c>
      <c r="I69" s="671"/>
      <c r="J69" s="640">
        <f t="shared" si="10"/>
        <v>436.47127459326134</v>
      </c>
      <c r="K69" s="640"/>
      <c r="L69" s="631">
        <f t="shared" si="4"/>
        <v>0</v>
      </c>
      <c r="M69" s="631"/>
      <c r="N69" s="631">
        <f>IF(B69="","",VLOOKUP(TRIM(CONCATENATE($F$20," ",$F$17," ",$F$18," ",$F$22," ",$F$21," ",$F$16," ",$F$23," ",$F$24)),Condicione_Financieras_Patrimon!B:W,22,0)*1.16)</f>
        <v>0</v>
      </c>
      <c r="O69" s="631"/>
      <c r="P69" s="641"/>
      <c r="Q69" s="641"/>
      <c r="R69" s="631">
        <f>IF(OR(X68=0,X68=""),"",IF($F$21="Apoyo Infonavit",IF(D69&gt;=C69,0,MIN(IF($F$30="",0,Caratula_Patrimonial!$F$30),$AL$29*25)*10%),0))</f>
        <v>0</v>
      </c>
      <c r="S69" s="631"/>
      <c r="T69" s="424">
        <f>IF(B69="","",'Tabla_Puntual&amp;Relacionamiento'!$B$68)</f>
        <v>0.10299999999999999</v>
      </c>
      <c r="U69" s="424"/>
      <c r="V69" s="642">
        <f t="shared" si="5"/>
        <v>11958.790707414653</v>
      </c>
      <c r="W69" s="642"/>
      <c r="X69" s="642">
        <f t="shared" si="6"/>
        <v>990334.66598527308</v>
      </c>
      <c r="Y69" s="642"/>
      <c r="AL69" s="420">
        <f t="shared" si="11"/>
        <v>10160</v>
      </c>
      <c r="AM69" s="421">
        <f t="shared" si="14"/>
        <v>10596.471274593261</v>
      </c>
      <c r="AN69" s="865">
        <f>IF(B69="","",IF(OR($N$18="C. Contratación Crédito",P69=""),0,IF(AND(P69&gt;0,$S$18&gt;0),P69*$S$18,0)))</f>
        <v>0</v>
      </c>
      <c r="AO69" s="865"/>
      <c r="AP69" s="866">
        <f t="shared" si="15"/>
        <v>0</v>
      </c>
      <c r="AQ69" s="866"/>
      <c r="AR69" s="427"/>
      <c r="AS69" s="522">
        <f t="shared" si="12"/>
        <v>0</v>
      </c>
    </row>
    <row r="70" spans="2:53" x14ac:dyDescent="0.25">
      <c r="B70" s="426">
        <f t="shared" si="8"/>
        <v>7</v>
      </c>
      <c r="C70" s="423">
        <f t="shared" si="9"/>
        <v>990334.66598527308</v>
      </c>
      <c r="D70" s="643">
        <f t="shared" si="13"/>
        <v>1659.6274502930719</v>
      </c>
      <c r="E70" s="643"/>
      <c r="F70" s="643">
        <f t="shared" si="2"/>
        <v>8500.3725497069281</v>
      </c>
      <c r="G70" s="643"/>
      <c r="H70" s="671">
        <f t="shared" si="3"/>
        <v>1360.0596079531085</v>
      </c>
      <c r="I70" s="671"/>
      <c r="J70" s="640">
        <f t="shared" si="10"/>
        <v>435.74725303352011</v>
      </c>
      <c r="K70" s="640"/>
      <c r="L70" s="631">
        <f t="shared" si="4"/>
        <v>0</v>
      </c>
      <c r="M70" s="631"/>
      <c r="N70" s="631">
        <f>IF(B70="","",VLOOKUP(TRIM(CONCATENATE($F$20," ",$F$17," ",$F$18," ",$F$22," ",$F$21," ",$F$16," ",$F$23," ",$F$24)),Condicione_Financieras_Patrimon!B:W,22,0)*1.16)</f>
        <v>0</v>
      </c>
      <c r="O70" s="631"/>
      <c r="P70" s="641"/>
      <c r="Q70" s="641"/>
      <c r="R70" s="631"/>
      <c r="S70" s="631"/>
      <c r="T70" s="424">
        <f>IF(B70="","",'Tabla_Puntual&amp;Relacionamiento'!$B$68)</f>
        <v>0.10299999999999999</v>
      </c>
      <c r="U70" s="424"/>
      <c r="V70" s="642">
        <f t="shared" si="5"/>
        <v>11955.806860986628</v>
      </c>
      <c r="W70" s="642"/>
      <c r="X70" s="642">
        <f t="shared" si="6"/>
        <v>988675.03853498003</v>
      </c>
      <c r="Y70" s="642"/>
      <c r="AL70" s="420">
        <f t="shared" si="11"/>
        <v>10160</v>
      </c>
      <c r="AM70" s="421">
        <f t="shared" si="14"/>
        <v>10595.74725303352</v>
      </c>
      <c r="AN70" s="865">
        <f t="shared" si="7"/>
        <v>0</v>
      </c>
      <c r="AO70" s="865"/>
      <c r="AP70" s="866">
        <f t="shared" si="15"/>
        <v>0</v>
      </c>
      <c r="AQ70" s="866"/>
      <c r="AR70" s="427"/>
      <c r="AS70" s="522">
        <f t="shared" si="12"/>
        <v>0</v>
      </c>
    </row>
    <row r="71" spans="2:53" x14ac:dyDescent="0.25">
      <c r="B71" s="426">
        <f t="shared" si="8"/>
        <v>8</v>
      </c>
      <c r="C71" s="423">
        <f t="shared" si="9"/>
        <v>988675.03853498003</v>
      </c>
      <c r="D71" s="643">
        <f t="shared" si="13"/>
        <v>1673.8725859080878</v>
      </c>
      <c r="E71" s="643"/>
      <c r="F71" s="643">
        <f t="shared" si="2"/>
        <v>8486.1274140919122</v>
      </c>
      <c r="G71" s="643"/>
      <c r="H71" s="671">
        <f t="shared" si="3"/>
        <v>1357.7803862547059</v>
      </c>
      <c r="I71" s="671"/>
      <c r="J71" s="640">
        <f t="shared" si="10"/>
        <v>435.01701695539123</v>
      </c>
      <c r="K71" s="640"/>
      <c r="L71" s="631">
        <f t="shared" si="4"/>
        <v>0</v>
      </c>
      <c r="M71" s="631"/>
      <c r="N71" s="631">
        <f>IF(B71="","",VLOOKUP(TRIM(CONCATENATE($F$20," ",$F$17," ",$F$18," ",$F$22," ",$F$21," ",$F$16," ",$F$23," ",$F$24)),Condicione_Financieras_Patrimon!B:W,22,0)*1.16)</f>
        <v>0</v>
      </c>
      <c r="O71" s="631"/>
      <c r="P71" s="641"/>
      <c r="Q71" s="641"/>
      <c r="R71" s="631">
        <f>IF(OR(X70=0,X70=""),"",IF($F$21="Apoyo Infonavit",IF(D71&gt;=C71,0,MIN(IF($F$30="",0,Caratula_Patrimonial!$F$30),$AL$29*25)*10%),0))</f>
        <v>0</v>
      </c>
      <c r="S71" s="631"/>
      <c r="T71" s="424">
        <f>IF(B71="","",'Tabla_Puntual&amp;Relacionamiento'!$B$68)</f>
        <v>0.10299999999999999</v>
      </c>
      <c r="U71" s="424"/>
      <c r="V71" s="642">
        <f t="shared" si="5"/>
        <v>11952.797403210097</v>
      </c>
      <c r="W71" s="642"/>
      <c r="X71" s="642">
        <f t="shared" si="6"/>
        <v>987001.16594907199</v>
      </c>
      <c r="Y71" s="642"/>
      <c r="AL71" s="420">
        <f t="shared" si="11"/>
        <v>10160</v>
      </c>
      <c r="AM71" s="421">
        <f t="shared" si="14"/>
        <v>10595.017016955391</v>
      </c>
      <c r="AN71" s="865">
        <f t="shared" si="7"/>
        <v>0</v>
      </c>
      <c r="AO71" s="865"/>
      <c r="AP71" s="866">
        <f t="shared" si="15"/>
        <v>0</v>
      </c>
      <c r="AQ71" s="866"/>
      <c r="AR71" s="427"/>
      <c r="AS71" s="522">
        <f t="shared" si="12"/>
        <v>0</v>
      </c>
    </row>
    <row r="72" spans="2:53" x14ac:dyDescent="0.25">
      <c r="B72" s="426">
        <f t="shared" si="8"/>
        <v>9</v>
      </c>
      <c r="C72" s="423">
        <f t="shared" si="9"/>
        <v>987001.16594907199</v>
      </c>
      <c r="D72" s="643">
        <f t="shared" si="13"/>
        <v>1688.2399922704644</v>
      </c>
      <c r="E72" s="643"/>
      <c r="F72" s="643">
        <f t="shared" si="2"/>
        <v>8471.7600077295356</v>
      </c>
      <c r="G72" s="643"/>
      <c r="H72" s="671">
        <f t="shared" si="3"/>
        <v>1355.4816012367257</v>
      </c>
      <c r="I72" s="671"/>
      <c r="J72" s="640">
        <f t="shared" si="10"/>
        <v>434.28051301759166</v>
      </c>
      <c r="K72" s="640"/>
      <c r="L72" s="631">
        <f t="shared" si="4"/>
        <v>0</v>
      </c>
      <c r="M72" s="631"/>
      <c r="N72" s="631">
        <f>IF(B72="","",VLOOKUP(TRIM(CONCATENATE($F$20," ",$F$17," ",$F$18," ",$F$22," ",$F$21," ",$F$16," ",$F$23," ",$F$24)),Condicione_Financieras_Patrimon!B:W,22,0)*1.16)</f>
        <v>0</v>
      </c>
      <c r="O72" s="631"/>
      <c r="P72" s="641"/>
      <c r="Q72" s="641"/>
      <c r="R72" s="631"/>
      <c r="S72" s="631"/>
      <c r="T72" s="424">
        <f>IF(B72="","",'Tabla_Puntual&amp;Relacionamiento'!$B$68)</f>
        <v>0.10299999999999999</v>
      </c>
      <c r="U72" s="424"/>
      <c r="V72" s="642">
        <f t="shared" si="5"/>
        <v>11949.762114254318</v>
      </c>
      <c r="W72" s="642"/>
      <c r="X72" s="642">
        <f t="shared" si="6"/>
        <v>985312.92595680151</v>
      </c>
      <c r="Y72" s="642"/>
      <c r="AL72" s="420">
        <f t="shared" si="11"/>
        <v>10160</v>
      </c>
      <c r="AM72" s="421">
        <f t="shared" si="14"/>
        <v>10594.280513017591</v>
      </c>
      <c r="AN72" s="865">
        <f t="shared" si="7"/>
        <v>0</v>
      </c>
      <c r="AO72" s="865"/>
      <c r="AP72" s="866">
        <f t="shared" si="15"/>
        <v>0</v>
      </c>
      <c r="AQ72" s="866"/>
      <c r="AR72" s="427"/>
      <c r="AS72" s="522">
        <f t="shared" si="12"/>
        <v>0</v>
      </c>
    </row>
    <row r="73" spans="2:53" x14ac:dyDescent="0.25">
      <c r="B73" s="426">
        <f t="shared" si="8"/>
        <v>10</v>
      </c>
      <c r="C73" s="423">
        <f t="shared" si="9"/>
        <v>985312.92595680151</v>
      </c>
      <c r="D73" s="643">
        <f t="shared" si="13"/>
        <v>1702.7307188707873</v>
      </c>
      <c r="E73" s="643"/>
      <c r="F73" s="643">
        <f t="shared" si="2"/>
        <v>8457.2692811292127</v>
      </c>
      <c r="G73" s="643"/>
      <c r="H73" s="671">
        <f t="shared" si="3"/>
        <v>1353.1630849806741</v>
      </c>
      <c r="I73" s="671"/>
      <c r="J73" s="640">
        <f t="shared" si="10"/>
        <v>433.53768742099265</v>
      </c>
      <c r="K73" s="640"/>
      <c r="L73" s="631">
        <f t="shared" si="4"/>
        <v>0</v>
      </c>
      <c r="M73" s="631"/>
      <c r="N73" s="631">
        <f>IF(B73="","",VLOOKUP(TRIM(CONCATENATE($F$20," ",$F$17," ",$F$18," ",$F$22," ",$F$21," ",$F$16," ",$F$23," ",$F$24)),Condicione_Financieras_Patrimon!B:W,22,0)*1.16)</f>
        <v>0</v>
      </c>
      <c r="O73" s="631"/>
      <c r="P73" s="641"/>
      <c r="Q73" s="641"/>
      <c r="R73" s="631">
        <f>IF(OR(X72=0,X72=""),"",IF($F$21="Apoyo Infonavit",IF(D73&gt;=C73,0,MIN(IF($F$30="",0,Caratula_Patrimonial!$F$30),$AL$29*25)*10%),0))</f>
        <v>0</v>
      </c>
      <c r="S73" s="631"/>
      <c r="T73" s="424">
        <f>IF(B73="","",'Tabla_Puntual&amp;Relacionamiento'!$B$68)</f>
        <v>0.10299999999999999</v>
      </c>
      <c r="U73" s="424"/>
      <c r="V73" s="642">
        <f t="shared" si="5"/>
        <v>11946.700772401666</v>
      </c>
      <c r="W73" s="642"/>
      <c r="X73" s="642">
        <f t="shared" si="6"/>
        <v>983610.19523793075</v>
      </c>
      <c r="Y73" s="642"/>
      <c r="AL73" s="420">
        <f t="shared" si="11"/>
        <v>10160</v>
      </c>
      <c r="AM73" s="421">
        <f t="shared" si="14"/>
        <v>10593.537687420992</v>
      </c>
      <c r="AN73" s="865">
        <f t="shared" si="7"/>
        <v>0</v>
      </c>
      <c r="AO73" s="865"/>
      <c r="AP73" s="866">
        <f t="shared" si="15"/>
        <v>0</v>
      </c>
      <c r="AQ73" s="866"/>
      <c r="AR73" s="427"/>
      <c r="AS73" s="522">
        <f t="shared" si="12"/>
        <v>0</v>
      </c>
    </row>
    <row r="74" spans="2:53" x14ac:dyDescent="0.25">
      <c r="B74" s="426">
        <f t="shared" si="8"/>
        <v>11</v>
      </c>
      <c r="C74" s="423">
        <f t="shared" si="9"/>
        <v>983610.19523793075</v>
      </c>
      <c r="D74" s="643">
        <f t="shared" si="13"/>
        <v>1717.3458242077613</v>
      </c>
      <c r="E74" s="643"/>
      <c r="F74" s="643">
        <f t="shared" si="2"/>
        <v>8442.6541757922387</v>
      </c>
      <c r="G74" s="643"/>
      <c r="H74" s="671">
        <f t="shared" si="3"/>
        <v>1350.8246681267583</v>
      </c>
      <c r="I74" s="671"/>
      <c r="J74" s="640">
        <f t="shared" si="10"/>
        <v>432.78848590468954</v>
      </c>
      <c r="K74" s="640"/>
      <c r="L74" s="631">
        <f t="shared" si="4"/>
        <v>0</v>
      </c>
      <c r="M74" s="631"/>
      <c r="N74" s="631">
        <f>IF(B74="","",VLOOKUP(TRIM(CONCATENATE($F$20," ",$F$17," ",$F$18," ",$F$22," ",$F$21," ",$F$16," ",$F$23," ",$F$24)),Condicione_Financieras_Patrimon!B:W,22,0)*1.16)</f>
        <v>0</v>
      </c>
      <c r="O74" s="631"/>
      <c r="P74" s="641"/>
      <c r="Q74" s="641"/>
      <c r="R74" s="631"/>
      <c r="S74" s="631"/>
      <c r="T74" s="424">
        <f>IF(B74="","",'Tabla_Puntual&amp;Relacionamiento'!$B$68)</f>
        <v>0.10299999999999999</v>
      </c>
      <c r="U74" s="424"/>
      <c r="V74" s="642">
        <f t="shared" si="5"/>
        <v>11943.613154031449</v>
      </c>
      <c r="W74" s="642"/>
      <c r="X74" s="642">
        <f t="shared" si="6"/>
        <v>981892.84941372299</v>
      </c>
      <c r="Y74" s="642"/>
      <c r="AL74" s="420">
        <f t="shared" si="11"/>
        <v>10160</v>
      </c>
      <c r="AM74" s="421">
        <f t="shared" si="14"/>
        <v>10592.78848590469</v>
      </c>
      <c r="AN74" s="865">
        <f t="shared" si="7"/>
        <v>0</v>
      </c>
      <c r="AO74" s="865"/>
      <c r="AP74" s="866">
        <f t="shared" si="15"/>
        <v>0</v>
      </c>
      <c r="AQ74" s="866"/>
      <c r="AR74" s="427"/>
      <c r="AS74" s="522">
        <f t="shared" si="12"/>
        <v>0</v>
      </c>
    </row>
    <row r="75" spans="2:53" x14ac:dyDescent="0.25">
      <c r="B75" s="426">
        <f t="shared" si="8"/>
        <v>12</v>
      </c>
      <c r="C75" s="423">
        <f t="shared" si="9"/>
        <v>981892.84941372299</v>
      </c>
      <c r="D75" s="643">
        <f t="shared" si="13"/>
        <v>1732.0863758655451</v>
      </c>
      <c r="E75" s="643"/>
      <c r="F75" s="643">
        <f t="shared" si="2"/>
        <v>8427.9136241344549</v>
      </c>
      <c r="G75" s="643"/>
      <c r="H75" s="671">
        <f t="shared" si="3"/>
        <v>1348.4661798615127</v>
      </c>
      <c r="I75" s="671"/>
      <c r="J75" s="640">
        <f t="shared" si="10"/>
        <v>432.03285374203813</v>
      </c>
      <c r="K75" s="640"/>
      <c r="L75" s="631">
        <f t="shared" si="4"/>
        <v>0</v>
      </c>
      <c r="M75" s="631"/>
      <c r="N75" s="631">
        <f>IF(B75="","",VLOOKUP(TRIM(CONCATENATE($F$20," ",$F$17," ",$F$18," ",$F$22," ",$F$21," ",$F$16," ",$F$23," ",$F$24)),Condicione_Financieras_Patrimon!B:W,22,0)*1.16)</f>
        <v>0</v>
      </c>
      <c r="O75" s="631"/>
      <c r="P75" s="641"/>
      <c r="Q75" s="641"/>
      <c r="R75" s="631">
        <f>IF(OR(X74=0,X74=""),"",IF($F$21="Apoyo Infonavit",IF(D75&gt;=C75,0,MIN(IF($F$30="",0,Caratula_Patrimonial!$F$30),$AL$29*25)*10%),0))</f>
        <v>0</v>
      </c>
      <c r="S75" s="631"/>
      <c r="T75" s="424">
        <f>IF(B75="","",'Tabla_Puntual&amp;Relacionamiento'!$B$68)</f>
        <v>0.10299999999999999</v>
      </c>
      <c r="U75" s="424"/>
      <c r="V75" s="642">
        <f t="shared" si="5"/>
        <v>11940.49903360355</v>
      </c>
      <c r="W75" s="642"/>
      <c r="X75" s="642">
        <f t="shared" si="6"/>
        <v>980160.76303785748</v>
      </c>
      <c r="Y75" s="642"/>
      <c r="AL75" s="420">
        <f t="shared" si="11"/>
        <v>10160</v>
      </c>
      <c r="AM75" s="421">
        <f t="shared" si="14"/>
        <v>10592.032853742037</v>
      </c>
      <c r="AN75" s="865">
        <f t="shared" si="7"/>
        <v>0</v>
      </c>
      <c r="AO75" s="865"/>
      <c r="AP75" s="866">
        <f t="shared" si="15"/>
        <v>0</v>
      </c>
      <c r="AQ75" s="866"/>
      <c r="AR75" s="427"/>
      <c r="AS75" s="522">
        <f t="shared" si="12"/>
        <v>0</v>
      </c>
    </row>
    <row r="76" spans="2:53" x14ac:dyDescent="0.25">
      <c r="B76" s="426">
        <f t="shared" si="8"/>
        <v>13</v>
      </c>
      <c r="C76" s="423">
        <f t="shared" si="9"/>
        <v>980160.76303785748</v>
      </c>
      <c r="D76" s="643">
        <f t="shared" si="13"/>
        <v>1746.9534505917236</v>
      </c>
      <c r="E76" s="643"/>
      <c r="F76" s="643">
        <f t="shared" si="2"/>
        <v>8413.0465494082764</v>
      </c>
      <c r="G76" s="643"/>
      <c r="H76" s="671">
        <f t="shared" si="3"/>
        <v>1346.0874479053243</v>
      </c>
      <c r="I76" s="671"/>
      <c r="J76" s="640">
        <f t="shared" si="10"/>
        <v>431.27073573665729</v>
      </c>
      <c r="K76" s="640"/>
      <c r="L76" s="631">
        <f t="shared" si="4"/>
        <v>0</v>
      </c>
      <c r="M76" s="631"/>
      <c r="N76" s="631">
        <f>IF(B76="","",VLOOKUP(TRIM(CONCATENATE($F$20," ",$F$17," ",$F$18," ",$F$22," ",$F$21," ",$F$16," ",$F$23," ",$F$24)),Condicione_Financieras_Patrimon!B:W,22,0)*1.16)</f>
        <v>0</v>
      </c>
      <c r="O76" s="631"/>
      <c r="P76" s="641"/>
      <c r="Q76" s="641"/>
      <c r="R76" s="631"/>
      <c r="S76" s="631"/>
      <c r="T76" s="424">
        <f>IF(B76="","",'Tabla_Puntual&amp;Relacionamiento'!$B$69)</f>
        <v>0.10299999999999999</v>
      </c>
      <c r="U76" s="424" t="str">
        <f>IF(B76="","",IF($F$16="Pago_Bajo_Puntual",0.019,""))</f>
        <v/>
      </c>
      <c r="V76" s="642">
        <f t="shared" si="5"/>
        <v>11937.358183641982</v>
      </c>
      <c r="W76" s="642"/>
      <c r="X76" s="642">
        <f t="shared" si="6"/>
        <v>978413.80958726571</v>
      </c>
      <c r="Y76" s="642"/>
      <c r="AL76" s="420">
        <f t="shared" si="11"/>
        <v>10160</v>
      </c>
      <c r="AM76" s="421">
        <f t="shared" si="14"/>
        <v>10591.270735736658</v>
      </c>
      <c r="AN76" s="865">
        <f t="shared" si="7"/>
        <v>0</v>
      </c>
      <c r="AO76" s="865"/>
      <c r="AP76" s="866">
        <f t="shared" si="15"/>
        <v>0</v>
      </c>
      <c r="AQ76" s="866"/>
      <c r="AR76" s="427"/>
      <c r="AS76" s="522">
        <f t="shared" si="12"/>
        <v>0</v>
      </c>
    </row>
    <row r="77" spans="2:53" x14ac:dyDescent="0.25">
      <c r="B77" s="426">
        <f t="shared" si="8"/>
        <v>14</v>
      </c>
      <c r="C77" s="423">
        <f t="shared" si="9"/>
        <v>978413.80958726571</v>
      </c>
      <c r="D77" s="643">
        <f t="shared" si="13"/>
        <v>1761.9481343759689</v>
      </c>
      <c r="E77" s="643"/>
      <c r="F77" s="643">
        <f t="shared" si="2"/>
        <v>8398.0518656240311</v>
      </c>
      <c r="G77" s="643"/>
      <c r="H77" s="671">
        <f t="shared" si="3"/>
        <v>1343.6882984998449</v>
      </c>
      <c r="I77" s="671"/>
      <c r="J77" s="640">
        <f t="shared" si="10"/>
        <v>430.50207621839689</v>
      </c>
      <c r="K77" s="640"/>
      <c r="L77" s="631">
        <f t="shared" si="4"/>
        <v>0</v>
      </c>
      <c r="M77" s="631"/>
      <c r="N77" s="631">
        <f>IF(B77="","",VLOOKUP(TRIM(CONCATENATE($F$20," ",$F$17," ",$F$18," ",$F$22," ",$F$21," ",$F$16," ",$F$23," ",$F$24)),Condicione_Financieras_Patrimon!B:W,22,0)*1.16)</f>
        <v>0</v>
      </c>
      <c r="O77" s="631"/>
      <c r="P77" s="641"/>
      <c r="Q77" s="641"/>
      <c r="R77" s="631">
        <f>IF(OR(X76=0,X76=""),"",IF($F$21="Apoyo Infonavit",IF(D77&gt;=C77,0,MIN(IF($F$30="",0,Caratula_Patrimonial!$F$30),$AL$29*25)*10%),0))</f>
        <v>0</v>
      </c>
      <c r="S77" s="631"/>
      <c r="T77" s="424">
        <f>IF(B77="","",'Tabla_Puntual&amp;Relacionamiento'!$B$69)</f>
        <v>0.10299999999999999</v>
      </c>
      <c r="U77" s="424"/>
      <c r="V77" s="642">
        <f t="shared" si="5"/>
        <v>11934.190374718242</v>
      </c>
      <c r="W77" s="642"/>
      <c r="X77" s="642">
        <f t="shared" si="6"/>
        <v>976651.86145288975</v>
      </c>
      <c r="Y77" s="642"/>
      <c r="AL77" s="420">
        <f t="shared" si="11"/>
        <v>10160</v>
      </c>
      <c r="AM77" s="421">
        <f t="shared" si="14"/>
        <v>10590.502076218398</v>
      </c>
      <c r="AN77" s="865">
        <f t="shared" si="7"/>
        <v>0</v>
      </c>
      <c r="AO77" s="865"/>
      <c r="AP77" s="866">
        <f t="shared" si="15"/>
        <v>0</v>
      </c>
      <c r="AQ77" s="866"/>
      <c r="AR77" s="427"/>
      <c r="AS77" s="522">
        <f t="shared" si="12"/>
        <v>0</v>
      </c>
    </row>
    <row r="78" spans="2:53" x14ac:dyDescent="0.25">
      <c r="B78" s="426">
        <f t="shared" si="8"/>
        <v>15</v>
      </c>
      <c r="C78" s="423">
        <f t="shared" si="9"/>
        <v>976651.86145288975</v>
      </c>
      <c r="D78" s="643">
        <f t="shared" si="13"/>
        <v>1777.0715225293625</v>
      </c>
      <c r="E78" s="643"/>
      <c r="F78" s="643">
        <f t="shared" si="2"/>
        <v>8382.9284774706375</v>
      </c>
      <c r="G78" s="643"/>
      <c r="H78" s="671">
        <f t="shared" si="3"/>
        <v>1341.2685563953021</v>
      </c>
      <c r="I78" s="671"/>
      <c r="J78" s="640">
        <f t="shared" si="10"/>
        <v>429.7268190392715</v>
      </c>
      <c r="K78" s="640"/>
      <c r="L78" s="631">
        <f t="shared" si="4"/>
        <v>0</v>
      </c>
      <c r="M78" s="631"/>
      <c r="N78" s="631">
        <f>IF(B78="","",VLOOKUP(TRIM(CONCATENATE($F$20," ",$F$17," ",$F$18," ",$F$22," ",$F$21," ",$F$16," ",$F$23," ",$F$24)),Condicione_Financieras_Patrimon!B:W,22,0)*1.16)</f>
        <v>0</v>
      </c>
      <c r="O78" s="631"/>
      <c r="P78" s="641"/>
      <c r="Q78" s="641"/>
      <c r="R78" s="631"/>
      <c r="S78" s="631"/>
      <c r="T78" s="424">
        <f>IF(B78="","",'Tabla_Puntual&amp;Relacionamiento'!$B$69)</f>
        <v>0.10299999999999999</v>
      </c>
      <c r="U78" s="424"/>
      <c r="V78" s="642">
        <f t="shared" si="5"/>
        <v>11930.995375434573</v>
      </c>
      <c r="W78" s="642"/>
      <c r="X78" s="642">
        <f t="shared" si="6"/>
        <v>974874.78993036039</v>
      </c>
      <c r="Y78" s="642"/>
      <c r="AL78" s="420">
        <f t="shared" si="11"/>
        <v>10160</v>
      </c>
      <c r="AM78" s="421">
        <f t="shared" si="14"/>
        <v>10589.726819039272</v>
      </c>
      <c r="AN78" s="865">
        <f t="shared" si="7"/>
        <v>0</v>
      </c>
      <c r="AO78" s="865"/>
      <c r="AP78" s="866">
        <f t="shared" si="15"/>
        <v>0</v>
      </c>
      <c r="AQ78" s="866"/>
      <c r="AR78" s="427"/>
      <c r="AS78" s="522">
        <f t="shared" si="12"/>
        <v>0</v>
      </c>
    </row>
    <row r="79" spans="2:53" x14ac:dyDescent="0.25">
      <c r="B79" s="426">
        <f t="shared" si="8"/>
        <v>16</v>
      </c>
      <c r="C79" s="423">
        <f t="shared" si="9"/>
        <v>974874.78993036039</v>
      </c>
      <c r="D79" s="643">
        <f t="shared" si="13"/>
        <v>1792.3247197644068</v>
      </c>
      <c r="E79" s="643"/>
      <c r="F79" s="643">
        <f t="shared" si="2"/>
        <v>8367.6752802355932</v>
      </c>
      <c r="G79" s="643"/>
      <c r="H79" s="671">
        <f t="shared" si="3"/>
        <v>1338.828044837695</v>
      </c>
      <c r="I79" s="671"/>
      <c r="J79" s="640">
        <f t="shared" si="10"/>
        <v>428.94490756935858</v>
      </c>
      <c r="K79" s="640"/>
      <c r="L79" s="631">
        <f t="shared" si="4"/>
        <v>0</v>
      </c>
      <c r="M79" s="631"/>
      <c r="N79" s="631">
        <f>IF(B79="","",VLOOKUP(TRIM(CONCATENATE($F$20," ",$F$17," ",$F$18," ",$F$22," ",$F$21," ",$F$16," ",$F$23," ",$F$24)),Condicione_Financieras_Patrimon!B:W,22,0)*1.16)</f>
        <v>0</v>
      </c>
      <c r="O79" s="631"/>
      <c r="P79" s="641"/>
      <c r="Q79" s="641"/>
      <c r="R79" s="631">
        <f>IF(OR(X78=0,X78=""),"",IF($F$21="Apoyo Infonavit",IF(D79&gt;=C79,0,MIN(IF($F$30="",0,Caratula_Patrimonial!$F$30),$AL$29*25)*10%),0))</f>
        <v>0</v>
      </c>
      <c r="S79" s="631"/>
      <c r="T79" s="424">
        <f>IF(B79="","",'Tabla_Puntual&amp;Relacionamiento'!$B$69)</f>
        <v>0.10299999999999999</v>
      </c>
      <c r="U79" s="424"/>
      <c r="V79" s="642">
        <f t="shared" si="5"/>
        <v>11927.772952407055</v>
      </c>
      <c r="W79" s="642"/>
      <c r="X79" s="642">
        <f t="shared" si="6"/>
        <v>973082.46521059598</v>
      </c>
      <c r="Y79" s="642"/>
      <c r="AL79" s="420">
        <f t="shared" si="11"/>
        <v>10160</v>
      </c>
      <c r="AM79" s="421">
        <f t="shared" si="14"/>
        <v>10588.944907569359</v>
      </c>
      <c r="AN79" s="865">
        <f t="shared" si="7"/>
        <v>0</v>
      </c>
      <c r="AO79" s="865"/>
      <c r="AP79" s="866">
        <f t="shared" si="15"/>
        <v>0</v>
      </c>
      <c r="AQ79" s="866"/>
      <c r="AR79" s="427"/>
      <c r="AS79" s="522">
        <f t="shared" si="12"/>
        <v>0</v>
      </c>
    </row>
    <row r="80" spans="2:53" x14ac:dyDescent="0.25">
      <c r="B80" s="426">
        <f t="shared" si="8"/>
        <v>17</v>
      </c>
      <c r="C80" s="423">
        <f t="shared" si="9"/>
        <v>973082.46521059598</v>
      </c>
      <c r="D80" s="643">
        <f t="shared" si="13"/>
        <v>1807.7088402757181</v>
      </c>
      <c r="E80" s="643"/>
      <c r="F80" s="643">
        <f t="shared" si="2"/>
        <v>8352.2911597242819</v>
      </c>
      <c r="G80" s="643"/>
      <c r="H80" s="671">
        <f t="shared" si="3"/>
        <v>1336.3665855558852</v>
      </c>
      <c r="I80" s="671"/>
      <c r="J80" s="640">
        <f t="shared" si="10"/>
        <v>428.15628469266227</v>
      </c>
      <c r="K80" s="640"/>
      <c r="L80" s="631">
        <f t="shared" si="4"/>
        <v>0</v>
      </c>
      <c r="M80" s="631"/>
      <c r="N80" s="631">
        <f>IF(B80="","",VLOOKUP(TRIM(CONCATENATE($F$20," ",$F$17," ",$F$18," ",$F$22," ",$F$21," ",$F$16," ",$F$23," ",$F$24)),Condicione_Financieras_Patrimon!B:W,22,0)*1.16)</f>
        <v>0</v>
      </c>
      <c r="O80" s="631"/>
      <c r="P80" s="641"/>
      <c r="Q80" s="641"/>
      <c r="R80" s="631"/>
      <c r="S80" s="631"/>
      <c r="T80" s="424">
        <f>IF(B80="","",'Tabla_Puntual&amp;Relacionamiento'!$B$69)</f>
        <v>0.10299999999999999</v>
      </c>
      <c r="U80" s="424"/>
      <c r="V80" s="642">
        <f t="shared" si="5"/>
        <v>11924.522870248547</v>
      </c>
      <c r="W80" s="642"/>
      <c r="X80" s="642">
        <f t="shared" si="6"/>
        <v>971274.75637032022</v>
      </c>
      <c r="Y80" s="642"/>
      <c r="AL80" s="420">
        <f t="shared" si="11"/>
        <v>10160</v>
      </c>
      <c r="AM80" s="421">
        <f t="shared" si="14"/>
        <v>10588.156284692663</v>
      </c>
      <c r="AN80" s="865">
        <f t="shared" si="7"/>
        <v>0</v>
      </c>
      <c r="AO80" s="865"/>
      <c r="AP80" s="866">
        <f t="shared" si="15"/>
        <v>0</v>
      </c>
      <c r="AQ80" s="866"/>
      <c r="AR80" s="427"/>
      <c r="AS80" s="522">
        <f t="shared" si="12"/>
        <v>0</v>
      </c>
    </row>
    <row r="81" spans="2:45" x14ac:dyDescent="0.25">
      <c r="B81" s="426">
        <f t="shared" si="8"/>
        <v>18</v>
      </c>
      <c r="C81" s="423">
        <f t="shared" si="9"/>
        <v>971274.75637032022</v>
      </c>
      <c r="D81" s="643">
        <f t="shared" si="13"/>
        <v>1823.2250078214183</v>
      </c>
      <c r="E81" s="643"/>
      <c r="F81" s="643">
        <f t="shared" si="2"/>
        <v>8336.7749921785817</v>
      </c>
      <c r="G81" s="643"/>
      <c r="H81" s="671">
        <f t="shared" si="3"/>
        <v>1333.883998748573</v>
      </c>
      <c r="I81" s="671"/>
      <c r="J81" s="640">
        <f t="shared" si="10"/>
        <v>427.3608928029409</v>
      </c>
      <c r="K81" s="640"/>
      <c r="L81" s="631">
        <f t="shared" si="4"/>
        <v>0</v>
      </c>
      <c r="M81" s="631"/>
      <c r="N81" s="631">
        <f>IF(B81="","",VLOOKUP(TRIM(CONCATENATE($F$20," ",$F$17," ",$F$18," ",$F$22," ",$F$21," ",$F$16," ",$F$23," ",$F$24)),Condicione_Financieras_Patrimon!B:W,22,0)*1.16)</f>
        <v>0</v>
      </c>
      <c r="O81" s="631"/>
      <c r="P81" s="641"/>
      <c r="Q81" s="641"/>
      <c r="R81" s="631">
        <f>IF(OR(X80=0,X80=""),"",IF($F$21="Apoyo Infonavit",IF(D81&gt;=C81,0,MIN(IF($F$30="",0,Caratula_Patrimonial!$F$30),$AL$29*25)*10%),0))</f>
        <v>0</v>
      </c>
      <c r="S81" s="631"/>
      <c r="T81" s="424">
        <f>IF(B81="","",'Tabla_Puntual&amp;Relacionamiento'!$B$69)</f>
        <v>0.10299999999999999</v>
      </c>
      <c r="U81" s="424"/>
      <c r="V81" s="642">
        <f t="shared" si="5"/>
        <v>11921.244891551514</v>
      </c>
      <c r="W81" s="642"/>
      <c r="X81" s="642">
        <f t="shared" si="6"/>
        <v>969451.53136249876</v>
      </c>
      <c r="Y81" s="642"/>
      <c r="AL81" s="420">
        <f t="shared" si="11"/>
        <v>10160</v>
      </c>
      <c r="AM81" s="421">
        <f t="shared" si="14"/>
        <v>10587.360892802941</v>
      </c>
      <c r="AN81" s="865">
        <f t="shared" si="7"/>
        <v>0</v>
      </c>
      <c r="AO81" s="865"/>
      <c r="AP81" s="866">
        <f t="shared" si="15"/>
        <v>0</v>
      </c>
      <c r="AQ81" s="866"/>
      <c r="AR81" s="427"/>
      <c r="AS81" s="522">
        <f t="shared" si="12"/>
        <v>0</v>
      </c>
    </row>
    <row r="82" spans="2:45" x14ac:dyDescent="0.25">
      <c r="B82" s="426">
        <f t="shared" si="8"/>
        <v>19</v>
      </c>
      <c r="C82" s="423">
        <f t="shared" si="9"/>
        <v>969451.53136249876</v>
      </c>
      <c r="D82" s="643">
        <f t="shared" si="13"/>
        <v>1838.8743558052192</v>
      </c>
      <c r="E82" s="643"/>
      <c r="F82" s="643">
        <f t="shared" si="2"/>
        <v>8321.1256441947808</v>
      </c>
      <c r="G82" s="643"/>
      <c r="H82" s="671">
        <f t="shared" si="3"/>
        <v>1331.380103071165</v>
      </c>
      <c r="I82" s="671"/>
      <c r="J82" s="640">
        <f t="shared" si="10"/>
        <v>426.55867379949945</v>
      </c>
      <c r="K82" s="640"/>
      <c r="L82" s="631">
        <f t="shared" si="4"/>
        <v>0</v>
      </c>
      <c r="M82" s="631"/>
      <c r="N82" s="631">
        <f>IF(B82="","",VLOOKUP(TRIM(CONCATENATE($F$20," ",$F$17," ",$F$18," ",$F$22," ",$F$21," ",$F$16," ",$F$23," ",$F$24)),Condicione_Financieras_Patrimon!B:W,22,0)*1.16)</f>
        <v>0</v>
      </c>
      <c r="O82" s="631"/>
      <c r="P82" s="641"/>
      <c r="Q82" s="641"/>
      <c r="R82" s="631"/>
      <c r="S82" s="631"/>
      <c r="T82" s="424">
        <f>IF(B82="","",'Tabla_Puntual&amp;Relacionamiento'!$B$69)</f>
        <v>0.10299999999999999</v>
      </c>
      <c r="U82" s="424"/>
      <c r="V82" s="642">
        <f t="shared" si="5"/>
        <v>11917.938776870666</v>
      </c>
      <c r="W82" s="642"/>
      <c r="X82" s="642">
        <f t="shared" si="6"/>
        <v>967612.65700669354</v>
      </c>
      <c r="Y82" s="642"/>
      <c r="AL82" s="420">
        <f t="shared" si="11"/>
        <v>10160</v>
      </c>
      <c r="AM82" s="421">
        <f t="shared" si="14"/>
        <v>10586.5586737995</v>
      </c>
      <c r="AN82" s="865">
        <f t="shared" si="7"/>
        <v>0</v>
      </c>
      <c r="AO82" s="865"/>
      <c r="AP82" s="866">
        <f t="shared" si="15"/>
        <v>0</v>
      </c>
      <c r="AQ82" s="866"/>
      <c r="AR82" s="427"/>
      <c r="AS82" s="522">
        <f t="shared" si="12"/>
        <v>0</v>
      </c>
    </row>
    <row r="83" spans="2:45" x14ac:dyDescent="0.25">
      <c r="B83" s="426">
        <f t="shared" si="8"/>
        <v>20</v>
      </c>
      <c r="C83" s="423">
        <f t="shared" si="9"/>
        <v>967612.65700669354</v>
      </c>
      <c r="D83" s="643">
        <f t="shared" si="13"/>
        <v>1854.6580273592135</v>
      </c>
      <c r="E83" s="643"/>
      <c r="F83" s="643">
        <f t="shared" si="2"/>
        <v>8305.3419726407865</v>
      </c>
      <c r="G83" s="643"/>
      <c r="H83" s="671">
        <f t="shared" si="3"/>
        <v>1328.8547156225259</v>
      </c>
      <c r="I83" s="671"/>
      <c r="J83" s="640">
        <f t="shared" si="10"/>
        <v>425.74956908294519</v>
      </c>
      <c r="K83" s="640"/>
      <c r="L83" s="631">
        <f t="shared" si="4"/>
        <v>0</v>
      </c>
      <c r="M83" s="631"/>
      <c r="N83" s="631">
        <f>IF(B83="","",VLOOKUP(TRIM(CONCATENATE($F$20," ",$F$17," ",$F$18," ",$F$22," ",$F$21," ",$F$16," ",$F$23," ",$F$24)),Condicione_Financieras_Patrimon!B:W,22,0)*1.16)</f>
        <v>0</v>
      </c>
      <c r="O83" s="631"/>
      <c r="P83" s="641"/>
      <c r="Q83" s="641"/>
      <c r="R83" s="631">
        <f>IF(OR(X82=0,X82=""),"",IF($F$21="Apoyo Infonavit",IF(D83&gt;=C83,0,MIN(IF($F$30="",0,Caratula_Patrimonial!$F$30),$AL$29*25)*10%),0))</f>
        <v>0</v>
      </c>
      <c r="S83" s="631"/>
      <c r="T83" s="424">
        <f>IF(B83="","",'Tabla_Puntual&amp;Relacionamiento'!$B$69)</f>
        <v>0.10299999999999999</v>
      </c>
      <c r="U83" s="424"/>
      <c r="V83" s="642">
        <f t="shared" si="5"/>
        <v>11914.60428470547</v>
      </c>
      <c r="W83" s="642"/>
      <c r="X83" s="642">
        <f t="shared" si="6"/>
        <v>965757.99897933437</v>
      </c>
      <c r="Y83" s="642"/>
      <c r="AL83" s="420">
        <f t="shared" si="11"/>
        <v>10160</v>
      </c>
      <c r="AM83" s="421">
        <f t="shared" si="14"/>
        <v>10585.749569082946</v>
      </c>
      <c r="AN83" s="865">
        <f t="shared" si="7"/>
        <v>0</v>
      </c>
      <c r="AO83" s="865"/>
      <c r="AP83" s="866">
        <f t="shared" si="15"/>
        <v>0</v>
      </c>
      <c r="AQ83" s="866"/>
      <c r="AR83" s="427"/>
      <c r="AS83" s="522">
        <f t="shared" si="12"/>
        <v>0</v>
      </c>
    </row>
    <row r="84" spans="2:45" x14ac:dyDescent="0.25">
      <c r="B84" s="426">
        <f t="shared" si="8"/>
        <v>21</v>
      </c>
      <c r="C84" s="423">
        <f t="shared" si="9"/>
        <v>965757.99897933437</v>
      </c>
      <c r="D84" s="643">
        <f t="shared" si="13"/>
        <v>1870.5771754273792</v>
      </c>
      <c r="E84" s="643"/>
      <c r="F84" s="643">
        <f t="shared" si="2"/>
        <v>8289.4228245726208</v>
      </c>
      <c r="G84" s="643"/>
      <c r="H84" s="671">
        <f t="shared" si="3"/>
        <v>1326.3076519316194</v>
      </c>
      <c r="I84" s="671"/>
      <c r="J84" s="640">
        <f t="shared" si="10"/>
        <v>424.93351955090714</v>
      </c>
      <c r="K84" s="640"/>
      <c r="L84" s="631">
        <f t="shared" si="4"/>
        <v>0</v>
      </c>
      <c r="M84" s="631"/>
      <c r="N84" s="631">
        <f>IF(B84="","",VLOOKUP(TRIM(CONCATENATE($F$20," ",$F$17," ",$F$18," ",$F$22," ",$F$21," ",$F$16," ",$F$23," ",$F$24)),Condicione_Financieras_Patrimon!B:W,22,0)*1.16)</f>
        <v>0</v>
      </c>
      <c r="O84" s="631"/>
      <c r="P84" s="641"/>
      <c r="Q84" s="641"/>
      <c r="R84" s="631"/>
      <c r="S84" s="631"/>
      <c r="T84" s="424">
        <f>IF(B84="","",'Tabla_Puntual&amp;Relacionamiento'!$B$69)</f>
        <v>0.10299999999999999</v>
      </c>
      <c r="U84" s="424"/>
      <c r="V84" s="642">
        <f t="shared" si="5"/>
        <v>11911.241171482527</v>
      </c>
      <c r="W84" s="642"/>
      <c r="X84" s="642">
        <f t="shared" si="6"/>
        <v>963887.42180390703</v>
      </c>
      <c r="Y84" s="642"/>
      <c r="AL84" s="420">
        <f t="shared" si="11"/>
        <v>10160</v>
      </c>
      <c r="AM84" s="421">
        <f t="shared" si="14"/>
        <v>10584.933519550907</v>
      </c>
      <c r="AN84" s="865">
        <f t="shared" si="7"/>
        <v>0</v>
      </c>
      <c r="AO84" s="865"/>
      <c r="AP84" s="866">
        <f t="shared" si="15"/>
        <v>0</v>
      </c>
      <c r="AQ84" s="866"/>
      <c r="AR84" s="427"/>
      <c r="AS84" s="522">
        <f t="shared" si="12"/>
        <v>0</v>
      </c>
    </row>
    <row r="85" spans="2:45" x14ac:dyDescent="0.25">
      <c r="B85" s="426">
        <f t="shared" si="8"/>
        <v>22</v>
      </c>
      <c r="C85" s="423">
        <f t="shared" si="9"/>
        <v>963887.42180390703</v>
      </c>
      <c r="D85" s="643">
        <f t="shared" si="13"/>
        <v>1886.6329628497988</v>
      </c>
      <c r="E85" s="643"/>
      <c r="F85" s="643">
        <f t="shared" si="2"/>
        <v>8273.3670371502012</v>
      </c>
      <c r="G85" s="643"/>
      <c r="H85" s="671">
        <f t="shared" si="3"/>
        <v>1323.7387259440322</v>
      </c>
      <c r="I85" s="671"/>
      <c r="J85" s="640">
        <f t="shared" si="10"/>
        <v>424.11046559371908</v>
      </c>
      <c r="K85" s="640"/>
      <c r="L85" s="631">
        <f t="shared" si="4"/>
        <v>0</v>
      </c>
      <c r="M85" s="631"/>
      <c r="N85" s="631">
        <f>IF(B85="","",VLOOKUP(TRIM(CONCATENATE($F$20," ",$F$17," ",$F$18," ",$F$22," ",$F$21," ",$F$16," ",$F$23," ",$F$24)),Condicione_Financieras_Patrimon!B:W,22,0)*1.16)</f>
        <v>0</v>
      </c>
      <c r="O85" s="631"/>
      <c r="P85" s="641"/>
      <c r="Q85" s="641"/>
      <c r="R85" s="631">
        <f>IF(OR(X84=0,X84=""),"",IF($F$21="Apoyo Infonavit",IF(D85&gt;=C85,0,MIN(IF($F$30="",0,Caratula_Patrimonial!$F$30),$AL$29*25)*10%),0))</f>
        <v>0</v>
      </c>
      <c r="S85" s="631"/>
      <c r="T85" s="424">
        <f>IF(B85="","",'Tabla_Puntual&amp;Relacionamiento'!$B$69)</f>
        <v>0.10299999999999999</v>
      </c>
      <c r="U85" s="424"/>
      <c r="V85" s="642">
        <f t="shared" si="5"/>
        <v>11907.849191537753</v>
      </c>
      <c r="W85" s="642"/>
      <c r="X85" s="642">
        <f t="shared" si="6"/>
        <v>962000.78884105722</v>
      </c>
      <c r="Y85" s="642"/>
      <c r="AL85" s="420">
        <f t="shared" si="11"/>
        <v>10160</v>
      </c>
      <c r="AM85" s="421">
        <f t="shared" si="14"/>
        <v>10584.11046559372</v>
      </c>
      <c r="AN85" s="865">
        <f t="shared" si="7"/>
        <v>0</v>
      </c>
      <c r="AO85" s="865"/>
      <c r="AP85" s="866">
        <f t="shared" si="15"/>
        <v>0</v>
      </c>
      <c r="AQ85" s="866"/>
      <c r="AR85" s="427"/>
      <c r="AS85" s="522">
        <f t="shared" si="12"/>
        <v>0</v>
      </c>
    </row>
    <row r="86" spans="2:45" x14ac:dyDescent="0.25">
      <c r="B86" s="426">
        <f t="shared" si="8"/>
        <v>23</v>
      </c>
      <c r="C86" s="423">
        <f t="shared" si="9"/>
        <v>962000.78884105722</v>
      </c>
      <c r="D86" s="643">
        <f t="shared" si="13"/>
        <v>1902.8265624475916</v>
      </c>
      <c r="E86" s="643"/>
      <c r="F86" s="643">
        <f t="shared" si="2"/>
        <v>8257.1734375524084</v>
      </c>
      <c r="G86" s="643"/>
      <c r="H86" s="671">
        <f t="shared" si="3"/>
        <v>1321.1477500083854</v>
      </c>
      <c r="I86" s="671"/>
      <c r="J86" s="640">
        <f t="shared" si="10"/>
        <v>423.28034709006516</v>
      </c>
      <c r="K86" s="640"/>
      <c r="L86" s="631">
        <f t="shared" si="4"/>
        <v>0</v>
      </c>
      <c r="M86" s="631"/>
      <c r="N86" s="631">
        <f>IF(B86="","",VLOOKUP(TRIM(CONCATENATE($F$20," ",$F$17," ",$F$18," ",$F$22," ",$F$21," ",$F$16," ",$F$23," ",$F$24)),Condicione_Financieras_Patrimon!B:W,22,0)*1.16)</f>
        <v>0</v>
      </c>
      <c r="O86" s="631"/>
      <c r="P86" s="641"/>
      <c r="Q86" s="641"/>
      <c r="R86" s="631"/>
      <c r="S86" s="631"/>
      <c r="T86" s="424">
        <f>IF(B86="","",'Tabla_Puntual&amp;Relacionamiento'!$B$69)</f>
        <v>0.10299999999999999</v>
      </c>
      <c r="U86" s="424"/>
      <c r="V86" s="642">
        <f t="shared" si="5"/>
        <v>11904.428097098451</v>
      </c>
      <c r="W86" s="642"/>
      <c r="X86" s="642">
        <f t="shared" si="6"/>
        <v>960097.96227860963</v>
      </c>
      <c r="Y86" s="642"/>
      <c r="AL86" s="420">
        <f t="shared" si="11"/>
        <v>10160</v>
      </c>
      <c r="AM86" s="421">
        <f t="shared" si="14"/>
        <v>10583.280347090065</v>
      </c>
      <c r="AN86" s="865">
        <f t="shared" si="7"/>
        <v>0</v>
      </c>
      <c r="AO86" s="865"/>
      <c r="AP86" s="866">
        <f t="shared" si="15"/>
        <v>0</v>
      </c>
      <c r="AQ86" s="866"/>
      <c r="AR86" s="427"/>
      <c r="AS86" s="522">
        <f t="shared" si="12"/>
        <v>0</v>
      </c>
    </row>
    <row r="87" spans="2:45" x14ac:dyDescent="0.25">
      <c r="B87" s="426">
        <f t="shared" si="8"/>
        <v>24</v>
      </c>
      <c r="C87" s="423">
        <f t="shared" si="9"/>
        <v>960097.96227860963</v>
      </c>
      <c r="D87" s="643">
        <f t="shared" si="13"/>
        <v>1919.159157108601</v>
      </c>
      <c r="E87" s="643"/>
      <c r="F87" s="643">
        <f t="shared" si="2"/>
        <v>8240.840842891399</v>
      </c>
      <c r="G87" s="643"/>
      <c r="H87" s="671">
        <f t="shared" si="3"/>
        <v>1318.5345348626238</v>
      </c>
      <c r="I87" s="671"/>
      <c r="J87" s="640">
        <f t="shared" si="10"/>
        <v>422.44310340258824</v>
      </c>
      <c r="K87" s="640"/>
      <c r="L87" s="631">
        <f t="shared" si="4"/>
        <v>0</v>
      </c>
      <c r="M87" s="631"/>
      <c r="N87" s="631">
        <f>IF(B87="","",VLOOKUP(TRIM(CONCATENATE($F$20," ",$F$17," ",$F$18," ",$F$22," ",$F$21," ",$F$16," ",$F$23," ",$F$24)),Condicione_Financieras_Patrimon!B:W,22,0)*1.16)</f>
        <v>0</v>
      </c>
      <c r="O87" s="631"/>
      <c r="P87" s="641"/>
      <c r="Q87" s="641"/>
      <c r="R87" s="631">
        <f>IF(OR(X86=0,X86=""),"",IF($F$21="Apoyo Infonavit",IF(D87&gt;=C87,0,MIN(IF($F$30="",0,Caratula_Patrimonial!$F$30),$AL$29*25)*10%),0))</f>
        <v>0</v>
      </c>
      <c r="S87" s="631"/>
      <c r="T87" s="424">
        <f>IF(B87="","",'Tabla_Puntual&amp;Relacionamiento'!$B$69)</f>
        <v>0.10299999999999999</v>
      </c>
      <c r="U87" s="424"/>
      <c r="V87" s="642">
        <f t="shared" si="5"/>
        <v>11900.977638265211</v>
      </c>
      <c r="W87" s="642"/>
      <c r="X87" s="642">
        <f t="shared" si="6"/>
        <v>958178.803121501</v>
      </c>
      <c r="Y87" s="642"/>
      <c r="AL87" s="420">
        <f t="shared" si="11"/>
        <v>10160</v>
      </c>
      <c r="AM87" s="421">
        <f t="shared" si="14"/>
        <v>10582.443103402587</v>
      </c>
      <c r="AN87" s="865">
        <f t="shared" si="7"/>
        <v>0</v>
      </c>
      <c r="AO87" s="865"/>
      <c r="AP87" s="866">
        <f t="shared" si="15"/>
        <v>0</v>
      </c>
      <c r="AQ87" s="866"/>
      <c r="AR87" s="427"/>
      <c r="AS87" s="522">
        <f t="shared" si="12"/>
        <v>0</v>
      </c>
    </row>
    <row r="88" spans="2:45" x14ac:dyDescent="0.25">
      <c r="B88" s="426">
        <f t="shared" si="8"/>
        <v>25</v>
      </c>
      <c r="C88" s="423">
        <f t="shared" si="9"/>
        <v>958178.803121501</v>
      </c>
      <c r="D88" s="643">
        <f t="shared" si="13"/>
        <v>2055.4042902639703</v>
      </c>
      <c r="E88" s="643"/>
      <c r="F88" s="643">
        <f t="shared" si="2"/>
        <v>8104.5957097360297</v>
      </c>
      <c r="G88" s="643"/>
      <c r="H88" s="671">
        <f t="shared" si="3"/>
        <v>1296.7353135577648</v>
      </c>
      <c r="I88" s="671"/>
      <c r="J88" s="640">
        <f t="shared" si="10"/>
        <v>421.59867337346043</v>
      </c>
      <c r="K88" s="640"/>
      <c r="L88" s="631">
        <f t="shared" si="4"/>
        <v>0</v>
      </c>
      <c r="M88" s="631"/>
      <c r="N88" s="631">
        <f>IF(B88="","",VLOOKUP(TRIM(CONCATENATE($F$20," ",$F$17," ",$F$18," ",$F$22," ",$F$21," ",$F$16," ",$F$23," ",$F$24)),Condicione_Financieras_Patrimon!B:W,22,0)*1.16)</f>
        <v>0</v>
      </c>
      <c r="O88" s="631"/>
      <c r="P88" s="641"/>
      <c r="Q88" s="641"/>
      <c r="R88" s="631"/>
      <c r="S88" s="631"/>
      <c r="T88" s="424">
        <f>IF(B88="","",'Tabla_Puntual&amp;Relacionamiento'!$B$70)</f>
        <v>0.10149999999999999</v>
      </c>
      <c r="U88" s="424" t="str">
        <f>IF(B88="","",IF($F$16="Pago_Bajo_Puntual",0.019,""))</f>
        <v/>
      </c>
      <c r="V88" s="642">
        <f t="shared" si="5"/>
        <v>11878.333986931226</v>
      </c>
      <c r="W88" s="642"/>
      <c r="X88" s="642">
        <f t="shared" si="6"/>
        <v>956123.39883123699</v>
      </c>
      <c r="Y88" s="642"/>
      <c r="AL88" s="420">
        <f t="shared" si="11"/>
        <v>10160</v>
      </c>
      <c r="AM88" s="421">
        <f t="shared" si="14"/>
        <v>10581.598673373461</v>
      </c>
      <c r="AN88" s="865">
        <f t="shared" si="7"/>
        <v>0</v>
      </c>
      <c r="AO88" s="865"/>
      <c r="AP88" s="866">
        <f t="shared" si="15"/>
        <v>0</v>
      </c>
      <c r="AQ88" s="866"/>
      <c r="AR88" s="427"/>
      <c r="AS88" s="522">
        <f t="shared" si="12"/>
        <v>0</v>
      </c>
    </row>
    <row r="89" spans="2:45" x14ac:dyDescent="0.25">
      <c r="B89" s="426">
        <f t="shared" si="8"/>
        <v>26</v>
      </c>
      <c r="C89" s="423">
        <f t="shared" si="9"/>
        <v>956123.39883123699</v>
      </c>
      <c r="D89" s="643">
        <f t="shared" si="13"/>
        <v>2072.789584885787</v>
      </c>
      <c r="E89" s="643"/>
      <c r="F89" s="643">
        <f t="shared" si="2"/>
        <v>8087.210415114213</v>
      </c>
      <c r="G89" s="643"/>
      <c r="H89" s="671">
        <f t="shared" si="3"/>
        <v>1293.953666418274</v>
      </c>
      <c r="I89" s="671"/>
      <c r="J89" s="640">
        <f t="shared" si="10"/>
        <v>420.69429548574425</v>
      </c>
      <c r="K89" s="640"/>
      <c r="L89" s="631">
        <f t="shared" si="4"/>
        <v>0</v>
      </c>
      <c r="M89" s="631"/>
      <c r="N89" s="631">
        <f>IF(B89="","",VLOOKUP(TRIM(CONCATENATE($F$20," ",$F$17," ",$F$18," ",$F$22," ",$F$21," ",$F$16," ",$F$23," ",$F$24)),Condicione_Financieras_Patrimon!B:W,22,0)*1.16)</f>
        <v>0</v>
      </c>
      <c r="O89" s="631"/>
      <c r="P89" s="641"/>
      <c r="Q89" s="641"/>
      <c r="R89" s="631">
        <f>IF(OR(X88=0,X88=""),"",IF($F$21="Apoyo Infonavit",IF(D89&gt;=C89,0,MIN(IF($F$30="",0,Caratula_Patrimonial!$F$30),$AL$29*25)*10%),0))</f>
        <v>0</v>
      </c>
      <c r="S89" s="631"/>
      <c r="T89" s="424">
        <f>IF(B89="","",'Tabla_Puntual&amp;Relacionamiento'!$B$70)</f>
        <v>0.10149999999999999</v>
      </c>
      <c r="U89" s="424"/>
      <c r="V89" s="642">
        <f t="shared" si="5"/>
        <v>11874.647961904018</v>
      </c>
      <c r="W89" s="642"/>
      <c r="X89" s="642">
        <f t="shared" si="6"/>
        <v>954050.60924635117</v>
      </c>
      <c r="Y89" s="642"/>
      <c r="AL89" s="420">
        <f t="shared" si="11"/>
        <v>10160</v>
      </c>
      <c r="AM89" s="421">
        <f t="shared" si="14"/>
        <v>10580.694295485744</v>
      </c>
      <c r="AN89" s="865">
        <f t="shared" si="7"/>
        <v>0</v>
      </c>
      <c r="AO89" s="865"/>
      <c r="AP89" s="866">
        <f t="shared" si="15"/>
        <v>0</v>
      </c>
      <c r="AQ89" s="866"/>
      <c r="AR89" s="427"/>
      <c r="AS89" s="522">
        <f t="shared" si="12"/>
        <v>0</v>
      </c>
    </row>
    <row r="90" spans="2:45" x14ac:dyDescent="0.25">
      <c r="B90" s="426">
        <f t="shared" si="8"/>
        <v>27</v>
      </c>
      <c r="C90" s="423">
        <f t="shared" si="9"/>
        <v>954050.60924635117</v>
      </c>
      <c r="D90" s="643">
        <f t="shared" si="13"/>
        <v>2090.3219301246127</v>
      </c>
      <c r="E90" s="643"/>
      <c r="F90" s="643">
        <f t="shared" si="2"/>
        <v>8069.6780698753873</v>
      </c>
      <c r="G90" s="643"/>
      <c r="H90" s="671">
        <f t="shared" si="3"/>
        <v>1291.1484911800619</v>
      </c>
      <c r="I90" s="671"/>
      <c r="J90" s="640">
        <f t="shared" si="10"/>
        <v>419.7822680683945</v>
      </c>
      <c r="K90" s="640"/>
      <c r="L90" s="631">
        <f t="shared" si="4"/>
        <v>0</v>
      </c>
      <c r="M90" s="631"/>
      <c r="N90" s="631">
        <f>IF(B90="","",VLOOKUP(TRIM(CONCATENATE($F$20," ",$F$17," ",$F$18," ",$F$22," ",$F$21," ",$F$16," ",$F$23," ",$F$24)),Condicione_Financieras_Patrimon!B:W,22,0)*1.16)</f>
        <v>0</v>
      </c>
      <c r="O90" s="631"/>
      <c r="P90" s="641"/>
      <c r="Q90" s="641"/>
      <c r="R90" s="631"/>
      <c r="S90" s="631"/>
      <c r="T90" s="424">
        <f>IF(B90="","",'Tabla_Puntual&amp;Relacionamiento'!$B$70)</f>
        <v>0.10149999999999999</v>
      </c>
      <c r="U90" s="424"/>
      <c r="V90" s="642">
        <f t="shared" si="5"/>
        <v>11870.930759248457</v>
      </c>
      <c r="W90" s="642"/>
      <c r="X90" s="642">
        <f t="shared" si="6"/>
        <v>951960.28731622652</v>
      </c>
      <c r="Y90" s="642"/>
      <c r="AL90" s="420">
        <f t="shared" si="11"/>
        <v>10160</v>
      </c>
      <c r="AM90" s="421">
        <f t="shared" si="14"/>
        <v>10579.782268068395</v>
      </c>
      <c r="AN90" s="865">
        <f t="shared" si="7"/>
        <v>0</v>
      </c>
      <c r="AO90" s="865"/>
      <c r="AP90" s="866">
        <f t="shared" si="15"/>
        <v>0</v>
      </c>
      <c r="AQ90" s="866"/>
      <c r="AR90" s="427"/>
      <c r="AS90" s="522">
        <f t="shared" si="12"/>
        <v>0</v>
      </c>
    </row>
    <row r="91" spans="2:45" x14ac:dyDescent="0.25">
      <c r="B91" s="426">
        <f t="shared" si="8"/>
        <v>28</v>
      </c>
      <c r="C91" s="423">
        <f t="shared" si="9"/>
        <v>951960.28731622652</v>
      </c>
      <c r="D91" s="643">
        <f t="shared" si="13"/>
        <v>2108.0025697835845</v>
      </c>
      <c r="E91" s="643"/>
      <c r="F91" s="643">
        <f t="shared" si="2"/>
        <v>8051.9974302164155</v>
      </c>
      <c r="G91" s="643"/>
      <c r="H91" s="671">
        <f t="shared" si="3"/>
        <v>1288.3195888346265</v>
      </c>
      <c r="I91" s="671"/>
      <c r="J91" s="640">
        <f t="shared" si="10"/>
        <v>418.86252641913967</v>
      </c>
      <c r="K91" s="640"/>
      <c r="L91" s="631">
        <f t="shared" si="4"/>
        <v>0</v>
      </c>
      <c r="M91" s="631"/>
      <c r="N91" s="631">
        <f>IF(B91="","",VLOOKUP(TRIM(CONCATENATE($F$20," ",$F$17," ",$F$18," ",$F$22," ",$F$21," ",$F$16," ",$F$23," ",$F$24)),Condicione_Financieras_Patrimon!B:W,22,0)*1.16)</f>
        <v>0</v>
      </c>
      <c r="O91" s="631"/>
      <c r="P91" s="641"/>
      <c r="Q91" s="641"/>
      <c r="R91" s="631">
        <f>IF(OR(X90=0,X90=""),"",IF($F$21="Apoyo Infonavit",IF(D91&gt;=C91,0,MIN(IF($F$30="",0,Caratula_Patrimonial!$F$30),$AL$29*25)*10%),0))</f>
        <v>0</v>
      </c>
      <c r="S91" s="631"/>
      <c r="T91" s="424">
        <f>IF(B91="","",'Tabla_Puntual&amp;Relacionamiento'!$B$70)</f>
        <v>0.10149999999999999</v>
      </c>
      <c r="U91" s="424"/>
      <c r="V91" s="642">
        <f t="shared" si="5"/>
        <v>11867.182115253767</v>
      </c>
      <c r="W91" s="642"/>
      <c r="X91" s="642">
        <f t="shared" si="6"/>
        <v>949852.28474644292</v>
      </c>
      <c r="Y91" s="642"/>
      <c r="AL91" s="420">
        <f t="shared" si="11"/>
        <v>10160</v>
      </c>
      <c r="AM91" s="421">
        <f t="shared" si="14"/>
        <v>10578.86252641914</v>
      </c>
      <c r="AN91" s="865">
        <f t="shared" si="7"/>
        <v>0</v>
      </c>
      <c r="AO91" s="865"/>
      <c r="AP91" s="866">
        <f t="shared" si="15"/>
        <v>0</v>
      </c>
      <c r="AQ91" s="866"/>
      <c r="AR91" s="427"/>
      <c r="AS91" s="522">
        <f t="shared" si="12"/>
        <v>0</v>
      </c>
    </row>
    <row r="92" spans="2:45" x14ac:dyDescent="0.25">
      <c r="B92" s="426">
        <f t="shared" si="8"/>
        <v>29</v>
      </c>
      <c r="C92" s="423">
        <f t="shared" si="9"/>
        <v>949852.28474644292</v>
      </c>
      <c r="D92" s="643">
        <f t="shared" si="13"/>
        <v>2125.8327581863368</v>
      </c>
      <c r="E92" s="643"/>
      <c r="F92" s="643">
        <f t="shared" si="2"/>
        <v>8034.1672418136632</v>
      </c>
      <c r="G92" s="643"/>
      <c r="H92" s="671">
        <f t="shared" si="3"/>
        <v>1285.4667586901862</v>
      </c>
      <c r="I92" s="671"/>
      <c r="J92" s="640">
        <f t="shared" si="10"/>
        <v>417.93500528843492</v>
      </c>
      <c r="K92" s="640"/>
      <c r="L92" s="631">
        <f t="shared" si="4"/>
        <v>0</v>
      </c>
      <c r="M92" s="631"/>
      <c r="N92" s="631">
        <f>IF(B92="","",VLOOKUP(TRIM(CONCATENATE($F$20," ",$F$17," ",$F$18," ",$F$22," ",$F$21," ",$F$16," ",$F$23," ",$F$24)),Condicione_Financieras_Patrimon!B:W,22,0)*1.16)</f>
        <v>0</v>
      </c>
      <c r="O92" s="631"/>
      <c r="P92" s="641"/>
      <c r="Q92" s="641"/>
      <c r="R92" s="631"/>
      <c r="S92" s="631"/>
      <c r="T92" s="424">
        <f>IF(B92="","",'Tabla_Puntual&amp;Relacionamiento'!$B$70)</f>
        <v>0.10149999999999999</v>
      </c>
      <c r="U92" s="424"/>
      <c r="V92" s="642">
        <f t="shared" si="5"/>
        <v>11863.401763978622</v>
      </c>
      <c r="W92" s="642"/>
      <c r="X92" s="642">
        <f t="shared" si="6"/>
        <v>947726.45198825654</v>
      </c>
      <c r="Y92" s="642"/>
      <c r="AL92" s="420">
        <f t="shared" si="11"/>
        <v>10160</v>
      </c>
      <c r="AM92" s="421">
        <f t="shared" si="14"/>
        <v>10577.935005288435</v>
      </c>
      <c r="AN92" s="865">
        <f t="shared" si="7"/>
        <v>0</v>
      </c>
      <c r="AO92" s="865"/>
      <c r="AP92" s="866">
        <f t="shared" si="15"/>
        <v>0</v>
      </c>
      <c r="AQ92" s="866"/>
      <c r="AR92" s="427"/>
      <c r="AS92" s="522">
        <f t="shared" si="12"/>
        <v>0</v>
      </c>
    </row>
    <row r="93" spans="2:45" x14ac:dyDescent="0.25">
      <c r="B93" s="426">
        <f t="shared" si="8"/>
        <v>30</v>
      </c>
      <c r="C93" s="423">
        <f t="shared" si="9"/>
        <v>947726.45198825654</v>
      </c>
      <c r="D93" s="643">
        <f t="shared" si="13"/>
        <v>2143.8137602659972</v>
      </c>
      <c r="E93" s="643"/>
      <c r="F93" s="643">
        <f t="shared" si="2"/>
        <v>8016.1862397340028</v>
      </c>
      <c r="G93" s="643"/>
      <c r="H93" s="671">
        <f t="shared" si="3"/>
        <v>1282.5897983574405</v>
      </c>
      <c r="I93" s="671"/>
      <c r="J93" s="640">
        <f t="shared" si="10"/>
        <v>416.9996388748329</v>
      </c>
      <c r="K93" s="640"/>
      <c r="L93" s="631">
        <f t="shared" si="4"/>
        <v>0</v>
      </c>
      <c r="M93" s="631"/>
      <c r="N93" s="631">
        <f>IF(B93="","",VLOOKUP(TRIM(CONCATENATE($F$20," ",$F$17," ",$F$18," ",$F$22," ",$F$21," ",$F$16," ",$F$23," ",$F$24)),Condicione_Financieras_Patrimon!B:W,22,0)*1.16)</f>
        <v>0</v>
      </c>
      <c r="O93" s="631"/>
      <c r="P93" s="641"/>
      <c r="Q93" s="641"/>
      <c r="R93" s="631">
        <f>IF(OR(X92=0,X92=""),"",IF($F$21="Apoyo Infonavit",IF(D93&gt;=C93,0,MIN(IF($F$30="",0,Caratula_Patrimonial!$F$30),$AL$29*25)*10%),0))</f>
        <v>0</v>
      </c>
      <c r="S93" s="631"/>
      <c r="T93" s="424">
        <f>IF(B93="","",'Tabla_Puntual&amp;Relacionamiento'!$B$70)</f>
        <v>0.10149999999999999</v>
      </c>
      <c r="U93" s="424"/>
      <c r="V93" s="642">
        <f t="shared" si="5"/>
        <v>11859.589437232273</v>
      </c>
      <c r="W93" s="642"/>
      <c r="X93" s="642">
        <f t="shared" si="6"/>
        <v>945582.6382279906</v>
      </c>
      <c r="Y93" s="642"/>
      <c r="AL93" s="420">
        <f t="shared" si="11"/>
        <v>10160</v>
      </c>
      <c r="AM93" s="421">
        <f t="shared" si="14"/>
        <v>10576.999638874833</v>
      </c>
      <c r="AN93" s="865">
        <f t="shared" si="7"/>
        <v>0</v>
      </c>
      <c r="AO93" s="865"/>
      <c r="AP93" s="866">
        <f t="shared" si="15"/>
        <v>0</v>
      </c>
      <c r="AQ93" s="866"/>
      <c r="AR93" s="427"/>
      <c r="AS93" s="522">
        <f t="shared" si="12"/>
        <v>0</v>
      </c>
    </row>
    <row r="94" spans="2:45" x14ac:dyDescent="0.25">
      <c r="B94" s="426">
        <f t="shared" si="8"/>
        <v>31</v>
      </c>
      <c r="C94" s="423">
        <f t="shared" si="9"/>
        <v>945582.6382279906</v>
      </c>
      <c r="D94" s="643">
        <f t="shared" si="13"/>
        <v>2161.9468516549132</v>
      </c>
      <c r="E94" s="643"/>
      <c r="F94" s="643">
        <f t="shared" si="2"/>
        <v>7998.0531483450868</v>
      </c>
      <c r="G94" s="643"/>
      <c r="H94" s="671">
        <f t="shared" si="3"/>
        <v>1279.688503735214</v>
      </c>
      <c r="I94" s="671"/>
      <c r="J94" s="640">
        <f t="shared" si="10"/>
        <v>416.05636082031583</v>
      </c>
      <c r="K94" s="640"/>
      <c r="L94" s="631">
        <f t="shared" si="4"/>
        <v>0</v>
      </c>
      <c r="M94" s="631"/>
      <c r="N94" s="631">
        <f>IF(B94="","",VLOOKUP(TRIM(CONCATENATE($F$20," ",$F$17," ",$F$18," ",$F$22," ",$F$21," ",$F$16," ",$F$23," ",$F$24)),Condicione_Financieras_Patrimon!B:W,22,0)*1.16)</f>
        <v>0</v>
      </c>
      <c r="O94" s="631"/>
      <c r="P94" s="641"/>
      <c r="Q94" s="641"/>
      <c r="R94" s="631"/>
      <c r="S94" s="631"/>
      <c r="T94" s="424">
        <f>IF(B94="","",'Tabla_Puntual&amp;Relacionamiento'!$B$70)</f>
        <v>0.10149999999999999</v>
      </c>
      <c r="U94" s="424"/>
      <c r="V94" s="642">
        <f t="shared" si="5"/>
        <v>11855.744864555531</v>
      </c>
      <c r="W94" s="642"/>
      <c r="X94" s="642">
        <f t="shared" si="6"/>
        <v>943420.69137633569</v>
      </c>
      <c r="Y94" s="642"/>
      <c r="AL94" s="420">
        <f t="shared" si="11"/>
        <v>10160</v>
      </c>
      <c r="AM94" s="421">
        <f t="shared" si="14"/>
        <v>10576.056360820316</v>
      </c>
      <c r="AN94" s="865">
        <f t="shared" si="7"/>
        <v>0</v>
      </c>
      <c r="AO94" s="865"/>
      <c r="AP94" s="866">
        <f t="shared" si="15"/>
        <v>0</v>
      </c>
      <c r="AQ94" s="866"/>
      <c r="AR94" s="427"/>
      <c r="AS94" s="522">
        <f t="shared" si="12"/>
        <v>0</v>
      </c>
    </row>
    <row r="95" spans="2:45" x14ac:dyDescent="0.25">
      <c r="B95" s="426">
        <f t="shared" si="8"/>
        <v>32</v>
      </c>
      <c r="C95" s="423">
        <f t="shared" si="9"/>
        <v>943420.69137633569</v>
      </c>
      <c r="D95" s="643">
        <f t="shared" si="13"/>
        <v>2180.233318775161</v>
      </c>
      <c r="E95" s="643"/>
      <c r="F95" s="643">
        <f t="shared" si="2"/>
        <v>7979.766681224839</v>
      </c>
      <c r="G95" s="643"/>
      <c r="H95" s="671">
        <f t="shared" si="3"/>
        <v>1276.7626689959743</v>
      </c>
      <c r="I95" s="671"/>
      <c r="J95" s="640">
        <f t="shared" si="10"/>
        <v>415.10510420558768</v>
      </c>
      <c r="K95" s="640"/>
      <c r="L95" s="631">
        <f t="shared" si="4"/>
        <v>0</v>
      </c>
      <c r="M95" s="631"/>
      <c r="N95" s="631">
        <f>IF(B95="","",VLOOKUP(TRIM(CONCATENATE($F$20," ",$F$17," ",$F$18," ",$F$22," ",$F$21," ",$F$16," ",$F$23," ",$F$24)),Condicione_Financieras_Patrimon!B:W,22,0)*1.16)</f>
        <v>0</v>
      </c>
      <c r="O95" s="631"/>
      <c r="P95" s="641"/>
      <c r="Q95" s="641"/>
      <c r="R95" s="631">
        <f>IF(OR(X94=0,X94=""),"",IF($F$21="Apoyo Infonavit",IF(D95&gt;=C95,0,MIN(IF($F$30="",0,Caratula_Patrimonial!$F$30),$AL$29*25)*10%),0))</f>
        <v>0</v>
      </c>
      <c r="S95" s="631"/>
      <c r="T95" s="424">
        <f>IF(B95="","",'Tabla_Puntual&amp;Relacionamiento'!$B$70)</f>
        <v>0.10149999999999999</v>
      </c>
      <c r="U95" s="424"/>
      <c r="V95" s="642">
        <f t="shared" si="5"/>
        <v>11851.867773201562</v>
      </c>
      <c r="W95" s="642"/>
      <c r="X95" s="642">
        <f t="shared" si="6"/>
        <v>941240.45805756049</v>
      </c>
      <c r="Y95" s="642"/>
      <c r="AL95" s="420">
        <f t="shared" si="11"/>
        <v>10160</v>
      </c>
      <c r="AM95" s="421">
        <f t="shared" si="14"/>
        <v>10575.105104205588</v>
      </c>
      <c r="AN95" s="865">
        <f t="shared" si="7"/>
        <v>0</v>
      </c>
      <c r="AO95" s="865"/>
      <c r="AP95" s="866">
        <f t="shared" si="15"/>
        <v>0</v>
      </c>
      <c r="AQ95" s="866"/>
      <c r="AR95" s="427"/>
      <c r="AS95" s="522">
        <f t="shared" si="12"/>
        <v>0</v>
      </c>
    </row>
    <row r="96" spans="2:45" x14ac:dyDescent="0.25">
      <c r="B96" s="426">
        <f t="shared" si="8"/>
        <v>33</v>
      </c>
      <c r="C96" s="423">
        <f t="shared" si="9"/>
        <v>941240.45805756049</v>
      </c>
      <c r="D96" s="643">
        <f t="shared" si="13"/>
        <v>2198.6744589298005</v>
      </c>
      <c r="E96" s="643"/>
      <c r="F96" s="643">
        <f t="shared" si="2"/>
        <v>7961.3255410701995</v>
      </c>
      <c r="G96" s="643"/>
      <c r="H96" s="671">
        <f t="shared" si="3"/>
        <v>1273.8120865712319</v>
      </c>
      <c r="I96" s="671"/>
      <c r="J96" s="640">
        <f t="shared" si="10"/>
        <v>414.14580154532661</v>
      </c>
      <c r="K96" s="640"/>
      <c r="L96" s="631">
        <f t="shared" si="4"/>
        <v>0</v>
      </c>
      <c r="M96" s="631"/>
      <c r="N96" s="631">
        <f>IF(B96="","",VLOOKUP(TRIM(CONCATENATE($F$20," ",$F$17," ",$F$18," ",$F$22," ",$F$21," ",$F$16," ",$F$23," ",$F$24)),Condicione_Financieras_Patrimon!B:W,22,0)*1.16)</f>
        <v>0</v>
      </c>
      <c r="O96" s="631"/>
      <c r="P96" s="641"/>
      <c r="Q96" s="641"/>
      <c r="R96" s="631"/>
      <c r="S96" s="631"/>
      <c r="T96" s="424">
        <f>IF(B96="","",'Tabla_Puntual&amp;Relacionamiento'!$B$70)</f>
        <v>0.10149999999999999</v>
      </c>
      <c r="U96" s="424"/>
      <c r="V96" s="642">
        <f t="shared" si="5"/>
        <v>11847.957888116558</v>
      </c>
      <c r="W96" s="642"/>
      <c r="X96" s="642">
        <f t="shared" si="6"/>
        <v>939041.78359863069</v>
      </c>
      <c r="Y96" s="642"/>
      <c r="AL96" s="420">
        <f t="shared" si="11"/>
        <v>10160</v>
      </c>
      <c r="AM96" s="421">
        <f t="shared" si="14"/>
        <v>10574.145801545326</v>
      </c>
      <c r="AN96" s="865">
        <f t="shared" si="7"/>
        <v>0</v>
      </c>
      <c r="AO96" s="865"/>
      <c r="AP96" s="866">
        <f t="shared" si="15"/>
        <v>0</v>
      </c>
      <c r="AQ96" s="866"/>
      <c r="AR96" s="427"/>
      <c r="AS96" s="522">
        <f t="shared" si="12"/>
        <v>0</v>
      </c>
    </row>
    <row r="97" spans="2:45" x14ac:dyDescent="0.25">
      <c r="B97" s="426">
        <f t="shared" si="8"/>
        <v>34</v>
      </c>
      <c r="C97" s="423">
        <f t="shared" si="9"/>
        <v>939041.78359863069</v>
      </c>
      <c r="D97" s="643">
        <f t="shared" si="13"/>
        <v>2217.2715803949159</v>
      </c>
      <c r="E97" s="643"/>
      <c r="F97" s="643">
        <f t="shared" si="2"/>
        <v>7942.7284196050841</v>
      </c>
      <c r="G97" s="643"/>
      <c r="H97" s="671">
        <f t="shared" si="3"/>
        <v>1270.8365471368136</v>
      </c>
      <c r="I97" s="671"/>
      <c r="J97" s="640">
        <f t="shared" si="10"/>
        <v>413.17838478339746</v>
      </c>
      <c r="K97" s="640"/>
      <c r="L97" s="631">
        <f t="shared" si="4"/>
        <v>0</v>
      </c>
      <c r="M97" s="631"/>
      <c r="N97" s="631">
        <f>IF(B97="","",VLOOKUP(TRIM(CONCATENATE($F$20," ",$F$17," ",$F$18," ",$F$22," ",$F$21," ",$F$16," ",$F$23," ",$F$24)),Condicione_Financieras_Patrimon!B:W,22,0)*1.16)</f>
        <v>0</v>
      </c>
      <c r="O97" s="631"/>
      <c r="P97" s="641"/>
      <c r="Q97" s="641"/>
      <c r="R97" s="631">
        <f>IF(OR(X96=0,X96=""),"",IF($F$21="Apoyo Infonavit",IF(D97&gt;=C97,0,MIN(IF($F$30="",0,Caratula_Patrimonial!$F$30),$AL$29*25)*10%),0))</f>
        <v>0</v>
      </c>
      <c r="S97" s="631"/>
      <c r="T97" s="424">
        <f>IF(B97="","",'Tabla_Puntual&amp;Relacionamiento'!$B$70)</f>
        <v>0.10149999999999999</v>
      </c>
      <c r="U97" s="424"/>
      <c r="V97" s="642">
        <f t="shared" si="5"/>
        <v>11844.014931920212</v>
      </c>
      <c r="W97" s="642"/>
      <c r="X97" s="642">
        <f t="shared" si="6"/>
        <v>936824.51201823575</v>
      </c>
      <c r="Y97" s="642"/>
      <c r="AL97" s="420">
        <f t="shared" si="11"/>
        <v>10160</v>
      </c>
      <c r="AM97" s="421">
        <f t="shared" si="14"/>
        <v>10573.178384783398</v>
      </c>
      <c r="AN97" s="865">
        <f t="shared" si="7"/>
        <v>0</v>
      </c>
      <c r="AO97" s="865"/>
      <c r="AP97" s="866">
        <f t="shared" si="15"/>
        <v>0</v>
      </c>
      <c r="AQ97" s="866"/>
      <c r="AR97" s="427"/>
      <c r="AS97" s="522">
        <f t="shared" si="12"/>
        <v>0</v>
      </c>
    </row>
    <row r="98" spans="2:45" x14ac:dyDescent="0.25">
      <c r="B98" s="426">
        <f t="shared" si="8"/>
        <v>35</v>
      </c>
      <c r="C98" s="423">
        <f t="shared" si="9"/>
        <v>936824.51201823575</v>
      </c>
      <c r="D98" s="643">
        <f t="shared" si="13"/>
        <v>2236.0260025124226</v>
      </c>
      <c r="E98" s="643"/>
      <c r="F98" s="643">
        <f t="shared" si="2"/>
        <v>7923.9739974875774</v>
      </c>
      <c r="G98" s="643"/>
      <c r="H98" s="671">
        <f t="shared" si="3"/>
        <v>1267.8358395980124</v>
      </c>
      <c r="I98" s="671"/>
      <c r="J98" s="640">
        <f t="shared" si="10"/>
        <v>412.20278528802368</v>
      </c>
      <c r="K98" s="640"/>
      <c r="L98" s="631">
        <f t="shared" si="4"/>
        <v>0</v>
      </c>
      <c r="M98" s="631"/>
      <c r="N98" s="631">
        <f>IF(B98="","",VLOOKUP(TRIM(CONCATENATE($F$20," ",$F$17," ",$F$18," ",$F$22," ",$F$21," ",$F$16," ",$F$23," ",$F$24)),Condicione_Financieras_Patrimon!B:W,22,0)*1.16)</f>
        <v>0</v>
      </c>
      <c r="O98" s="631"/>
      <c r="P98" s="641"/>
      <c r="Q98" s="641"/>
      <c r="R98" s="631"/>
      <c r="S98" s="631"/>
      <c r="T98" s="424">
        <f>IF(B98="","",'Tabla_Puntual&amp;Relacionamiento'!$B$70)</f>
        <v>0.10149999999999999</v>
      </c>
      <c r="U98" s="424"/>
      <c r="V98" s="642">
        <f t="shared" si="5"/>
        <v>11840.038624886036</v>
      </c>
      <c r="W98" s="642"/>
      <c r="X98" s="642">
        <f t="shared" si="6"/>
        <v>934588.48601572332</v>
      </c>
      <c r="Y98" s="642"/>
      <c r="AL98" s="420">
        <f t="shared" si="11"/>
        <v>10160</v>
      </c>
      <c r="AM98" s="421">
        <f t="shared" si="14"/>
        <v>10572.202785288024</v>
      </c>
      <c r="AN98" s="865">
        <f t="shared" si="7"/>
        <v>0</v>
      </c>
      <c r="AO98" s="865"/>
      <c r="AP98" s="866">
        <f t="shared" si="15"/>
        <v>0</v>
      </c>
      <c r="AQ98" s="866"/>
      <c r="AR98" s="427"/>
      <c r="AS98" s="522">
        <f t="shared" si="12"/>
        <v>0</v>
      </c>
    </row>
    <row r="99" spans="2:45" x14ac:dyDescent="0.25">
      <c r="B99" s="426">
        <f t="shared" si="8"/>
        <v>36</v>
      </c>
      <c r="C99" s="423">
        <f t="shared" si="9"/>
        <v>934588.48601572332</v>
      </c>
      <c r="D99" s="643">
        <f t="shared" si="13"/>
        <v>2254.9390557836732</v>
      </c>
      <c r="E99" s="643"/>
      <c r="F99" s="643">
        <f t="shared" si="2"/>
        <v>7905.0609442163268</v>
      </c>
      <c r="G99" s="643"/>
      <c r="H99" s="671">
        <f t="shared" si="3"/>
        <v>1264.8097510746122</v>
      </c>
      <c r="I99" s="671"/>
      <c r="J99" s="640">
        <f t="shared" si="10"/>
        <v>411.21893384691828</v>
      </c>
      <c r="K99" s="640"/>
      <c r="L99" s="631">
        <f t="shared" si="4"/>
        <v>0</v>
      </c>
      <c r="M99" s="631"/>
      <c r="N99" s="631">
        <f>IF(B99="","",VLOOKUP(TRIM(CONCATENATE($F$20," ",$F$17," ",$F$18," ",$F$22," ",$F$21," ",$F$16," ",$F$23," ",$F$24)),Condicione_Financieras_Patrimon!B:W,22,0)*1.16)</f>
        <v>0</v>
      </c>
      <c r="O99" s="631"/>
      <c r="P99" s="641"/>
      <c r="Q99" s="641"/>
      <c r="R99" s="631">
        <f>IF(OR(X98=0,X98=""),"",IF($F$21="Apoyo Infonavit",IF(D99&gt;=C99,0,MIN(IF($F$30="",0,Caratula_Patrimonial!$F$30),$AL$29*25)*10%),0))</f>
        <v>0</v>
      </c>
      <c r="S99" s="631"/>
      <c r="T99" s="424">
        <f>IF(B99="","",'Tabla_Puntual&amp;Relacionamiento'!$B$70)</f>
        <v>0.10149999999999999</v>
      </c>
      <c r="U99" s="424"/>
      <c r="V99" s="642">
        <f t="shared" si="5"/>
        <v>11836.02868492153</v>
      </c>
      <c r="W99" s="642"/>
      <c r="X99" s="642">
        <f t="shared" si="6"/>
        <v>932333.54695993965</v>
      </c>
      <c r="Y99" s="642"/>
      <c r="AL99" s="420">
        <f t="shared" si="11"/>
        <v>10160</v>
      </c>
      <c r="AM99" s="421">
        <f t="shared" si="14"/>
        <v>10571.218933846918</v>
      </c>
      <c r="AN99" s="865">
        <f t="shared" si="7"/>
        <v>0</v>
      </c>
      <c r="AO99" s="865"/>
      <c r="AP99" s="866">
        <f t="shared" si="15"/>
        <v>0</v>
      </c>
      <c r="AQ99" s="866"/>
      <c r="AR99" s="427"/>
      <c r="AS99" s="522">
        <f t="shared" si="12"/>
        <v>0</v>
      </c>
    </row>
    <row r="100" spans="2:45" x14ac:dyDescent="0.25">
      <c r="B100" s="426">
        <f t="shared" si="8"/>
        <v>37</v>
      </c>
      <c r="C100" s="423">
        <f t="shared" si="9"/>
        <v>932333.54695993965</v>
      </c>
      <c r="D100" s="643">
        <f t="shared" si="13"/>
        <v>2390.5537753338367</v>
      </c>
      <c r="E100" s="643"/>
      <c r="F100" s="643">
        <f t="shared" si="2"/>
        <v>7769.4462246661633</v>
      </c>
      <c r="G100" s="643"/>
      <c r="H100" s="671">
        <f t="shared" si="3"/>
        <v>1243.1113959465861</v>
      </c>
      <c r="I100" s="671"/>
      <c r="J100" s="640">
        <f t="shared" si="10"/>
        <v>410.22676066237347</v>
      </c>
      <c r="K100" s="640"/>
      <c r="L100" s="631">
        <f t="shared" si="4"/>
        <v>0</v>
      </c>
      <c r="M100" s="631"/>
      <c r="N100" s="631">
        <f>IF(B100="","",VLOOKUP(TRIM(CONCATENATE($F$20," ",$F$17," ",$F$18," ",$F$22," ",$F$21," ",$F$16," ",$F$23," ",$F$24)),Condicione_Financieras_Patrimon!B:W,22,0)*1.16)</f>
        <v>0</v>
      </c>
      <c r="O100" s="631"/>
      <c r="P100" s="641"/>
      <c r="Q100" s="641"/>
      <c r="R100" s="631"/>
      <c r="S100" s="631"/>
      <c r="T100" s="424">
        <f>IF(B100="","",'Tabla_Puntual&amp;Relacionamiento'!$B$71)</f>
        <v>9.9999999999999992E-2</v>
      </c>
      <c r="U100" s="424" t="str">
        <f>IF(B100="","",IF($F$16="Pago_Bajo_Puntual",0.019,""))</f>
        <v/>
      </c>
      <c r="V100" s="642">
        <f t="shared" si="5"/>
        <v>11813.338156608959</v>
      </c>
      <c r="W100" s="642"/>
      <c r="X100" s="642">
        <f t="shared" si="6"/>
        <v>929942.99318460585</v>
      </c>
      <c r="Y100" s="642"/>
      <c r="AL100" s="420">
        <f t="shared" si="11"/>
        <v>10160</v>
      </c>
      <c r="AM100" s="421">
        <f t="shared" si="14"/>
        <v>10570.226760662374</v>
      </c>
      <c r="AN100" s="865">
        <f t="shared" si="7"/>
        <v>0</v>
      </c>
      <c r="AO100" s="865"/>
      <c r="AP100" s="866">
        <f t="shared" si="15"/>
        <v>0</v>
      </c>
      <c r="AQ100" s="866"/>
      <c r="AR100" s="427"/>
      <c r="AS100" s="522">
        <f t="shared" si="12"/>
        <v>0</v>
      </c>
    </row>
    <row r="101" spans="2:45" x14ac:dyDescent="0.25">
      <c r="B101" s="426">
        <f t="shared" si="8"/>
        <v>38</v>
      </c>
      <c r="C101" s="423">
        <f t="shared" si="9"/>
        <v>929942.99318460585</v>
      </c>
      <c r="D101" s="643">
        <f t="shared" si="13"/>
        <v>2410.4750567949513</v>
      </c>
      <c r="E101" s="643"/>
      <c r="F101" s="643">
        <f t="shared" si="2"/>
        <v>7749.5249432050487</v>
      </c>
      <c r="G101" s="643"/>
      <c r="H101" s="671">
        <f t="shared" si="3"/>
        <v>1239.9239909128078</v>
      </c>
      <c r="I101" s="671"/>
      <c r="J101" s="640">
        <f t="shared" si="10"/>
        <v>409.17491700122656</v>
      </c>
      <c r="K101" s="640"/>
      <c r="L101" s="631">
        <f t="shared" si="4"/>
        <v>0</v>
      </c>
      <c r="M101" s="631"/>
      <c r="N101" s="631">
        <f>IF(B101="","",VLOOKUP(TRIM(CONCATENATE($F$20," ",$F$17," ",$F$18," ",$F$22," ",$F$21," ",$F$16," ",$F$23," ",$F$24)),Condicione_Financieras_Patrimon!B:W,22,0)*1.16)</f>
        <v>0</v>
      </c>
      <c r="O101" s="631"/>
      <c r="P101" s="641"/>
      <c r="Q101" s="641"/>
      <c r="R101" s="631">
        <f>IF(OR(X100=0,X100=""),"",IF($F$21="Apoyo Infonavit",IF(D101&gt;=C101,0,MIN(IF($F$30="",0,Caratula_Patrimonial!$F$30),$AL$29*25)*10%),0))</f>
        <v>0</v>
      </c>
      <c r="S101" s="631"/>
      <c r="T101" s="424">
        <f>IF(B101="","",'Tabla_Puntual&amp;Relacionamiento'!$B$71)</f>
        <v>9.9999999999999992E-2</v>
      </c>
      <c r="U101" s="424"/>
      <c r="V101" s="642">
        <f t="shared" si="5"/>
        <v>11809.098907914034</v>
      </c>
      <c r="W101" s="642"/>
      <c r="X101" s="642">
        <f t="shared" si="6"/>
        <v>927532.51812781091</v>
      </c>
      <c r="Y101" s="642"/>
      <c r="AL101" s="420">
        <f t="shared" si="11"/>
        <v>10160</v>
      </c>
      <c r="AM101" s="421">
        <f t="shared" si="14"/>
        <v>10569.174917001226</v>
      </c>
      <c r="AN101" s="865">
        <f t="shared" si="7"/>
        <v>0</v>
      </c>
      <c r="AO101" s="865"/>
      <c r="AP101" s="866">
        <f t="shared" si="15"/>
        <v>0</v>
      </c>
      <c r="AQ101" s="866"/>
      <c r="AR101" s="427"/>
      <c r="AS101" s="522">
        <f t="shared" si="12"/>
        <v>0</v>
      </c>
    </row>
    <row r="102" spans="2:45" x14ac:dyDescent="0.25">
      <c r="B102" s="426">
        <f t="shared" si="8"/>
        <v>39</v>
      </c>
      <c r="C102" s="423">
        <f t="shared" si="9"/>
        <v>927532.51812781091</v>
      </c>
      <c r="D102" s="643">
        <f t="shared" si="13"/>
        <v>2430.5623489349091</v>
      </c>
      <c r="E102" s="643"/>
      <c r="F102" s="643">
        <f t="shared" si="2"/>
        <v>7729.4376510650909</v>
      </c>
      <c r="G102" s="643"/>
      <c r="H102" s="671">
        <f t="shared" si="3"/>
        <v>1236.7100241704145</v>
      </c>
      <c r="I102" s="671"/>
      <c r="J102" s="640">
        <f>IF(B102="","",C102*$AQ$35/1000)</f>
        <v>408.11430797623677</v>
      </c>
      <c r="K102" s="640"/>
      <c r="L102" s="631">
        <f t="shared" si="4"/>
        <v>0</v>
      </c>
      <c r="M102" s="631"/>
      <c r="N102" s="631">
        <f>IF(B102="","",VLOOKUP(TRIM(CONCATENATE($F$20," ",$F$17," ",$F$18," ",$F$22," ",$F$21," ",$F$16," ",$F$23," ",$F$24)),Condicione_Financieras_Patrimon!B:W,22,0)*1.16)</f>
        <v>0</v>
      </c>
      <c r="O102" s="631"/>
      <c r="P102" s="641"/>
      <c r="Q102" s="641"/>
      <c r="R102" s="631"/>
      <c r="S102" s="631"/>
      <c r="T102" s="424">
        <f>IF(B102="","",'Tabla_Puntual&amp;Relacionamiento'!$B$71)</f>
        <v>9.9999999999999992E-2</v>
      </c>
      <c r="U102" s="424"/>
      <c r="V102" s="642">
        <f t="shared" si="5"/>
        <v>11804.824332146651</v>
      </c>
      <c r="W102" s="642"/>
      <c r="X102" s="642">
        <f t="shared" si="6"/>
        <v>925101.95577887597</v>
      </c>
      <c r="Y102" s="642"/>
      <c r="AL102" s="420">
        <f t="shared" si="11"/>
        <v>10160</v>
      </c>
      <c r="AM102" s="421">
        <f t="shared" si="14"/>
        <v>10568.114307976237</v>
      </c>
      <c r="AN102" s="865">
        <f t="shared" si="7"/>
        <v>0</v>
      </c>
      <c r="AO102" s="865"/>
      <c r="AP102" s="866">
        <f t="shared" si="15"/>
        <v>0</v>
      </c>
      <c r="AQ102" s="866"/>
      <c r="AR102" s="427"/>
      <c r="AS102" s="522">
        <f t="shared" si="12"/>
        <v>0</v>
      </c>
    </row>
    <row r="103" spans="2:45" x14ac:dyDescent="0.25">
      <c r="B103" s="426">
        <f t="shared" si="8"/>
        <v>40</v>
      </c>
      <c r="C103" s="423">
        <f t="shared" si="9"/>
        <v>925101.95577887597</v>
      </c>
      <c r="D103" s="643">
        <f t="shared" si="13"/>
        <v>2450.8170351760336</v>
      </c>
      <c r="E103" s="643"/>
      <c r="F103" s="643">
        <f t="shared" si="2"/>
        <v>7709.1829648239664</v>
      </c>
      <c r="G103" s="643"/>
      <c r="H103" s="671">
        <f t="shared" si="3"/>
        <v>1233.4692743718347</v>
      </c>
      <c r="I103" s="671"/>
      <c r="J103" s="640">
        <f t="shared" si="10"/>
        <v>407.04486054270546</v>
      </c>
      <c r="K103" s="640"/>
      <c r="L103" s="631">
        <f t="shared" si="4"/>
        <v>0</v>
      </c>
      <c r="M103" s="631"/>
      <c r="N103" s="631">
        <f>IF(B103="","",VLOOKUP(TRIM(CONCATENATE($F$20," ",$F$17," ",$F$18," ",$F$22," ",$F$21," ",$F$16," ",$F$23," ",$F$24)),Condicione_Financieras_Patrimon!B:W,22,0)*1.16)</f>
        <v>0</v>
      </c>
      <c r="O103" s="631"/>
      <c r="P103" s="641"/>
      <c r="Q103" s="641"/>
      <c r="R103" s="631">
        <f>IF(OR(X102=0,X102=""),"",IF($F$21="Apoyo Infonavit",IF(D103&gt;=C103,0,MIN(IF($F$30="",0,Caratula_Patrimonial!$F$30),$AL$29*25)*10%),0))</f>
        <v>0</v>
      </c>
      <c r="S103" s="631"/>
      <c r="T103" s="424">
        <f>IF(B103="","",'Tabla_Puntual&amp;Relacionamiento'!$B$71)</f>
        <v>9.9999999999999992E-2</v>
      </c>
      <c r="U103" s="424"/>
      <c r="V103" s="642">
        <f t="shared" si="5"/>
        <v>11800.514134914542</v>
      </c>
      <c r="W103" s="642"/>
      <c r="X103" s="642">
        <f t="shared" si="6"/>
        <v>922651.13874369999</v>
      </c>
      <c r="Y103" s="642"/>
      <c r="AL103" s="420">
        <f t="shared" si="11"/>
        <v>10160</v>
      </c>
      <c r="AM103" s="421">
        <f t="shared" si="14"/>
        <v>10567.044860542705</v>
      </c>
      <c r="AN103" s="865">
        <f t="shared" si="7"/>
        <v>0</v>
      </c>
      <c r="AO103" s="865"/>
      <c r="AP103" s="866">
        <f t="shared" si="15"/>
        <v>0</v>
      </c>
      <c r="AQ103" s="866"/>
      <c r="AR103" s="427"/>
      <c r="AS103" s="522">
        <f t="shared" si="12"/>
        <v>0</v>
      </c>
    </row>
    <row r="104" spans="2:45" x14ac:dyDescent="0.25">
      <c r="B104" s="426">
        <f t="shared" si="8"/>
        <v>41</v>
      </c>
      <c r="C104" s="423">
        <f t="shared" si="9"/>
        <v>922651.13874369999</v>
      </c>
      <c r="D104" s="643">
        <f t="shared" si="13"/>
        <v>2471.240510469167</v>
      </c>
      <c r="E104" s="643"/>
      <c r="F104" s="643">
        <f t="shared" si="2"/>
        <v>7688.759489530833</v>
      </c>
      <c r="G104" s="643"/>
      <c r="H104" s="671">
        <f t="shared" si="3"/>
        <v>1230.2015183249332</v>
      </c>
      <c r="I104" s="671"/>
      <c r="J104" s="640">
        <f t="shared" si="10"/>
        <v>405.96650104722801</v>
      </c>
      <c r="K104" s="640"/>
      <c r="L104" s="631">
        <f t="shared" si="4"/>
        <v>0</v>
      </c>
      <c r="M104" s="631"/>
      <c r="N104" s="631">
        <f>IF(B104="","",VLOOKUP(TRIM(CONCATENATE($F$20," ",$F$17," ",$F$18," ",$F$22," ",$F$21," ",$F$16," ",$F$23," ",$F$24)),Condicione_Financieras_Patrimon!B:W,22,0)*1.16)</f>
        <v>0</v>
      </c>
      <c r="O104" s="631"/>
      <c r="P104" s="641"/>
      <c r="Q104" s="641"/>
      <c r="R104" s="631"/>
      <c r="S104" s="631"/>
      <c r="T104" s="424">
        <f>IF(B104="","",'Tabla_Puntual&amp;Relacionamiento'!$B$71)</f>
        <v>9.9999999999999992E-2</v>
      </c>
      <c r="U104" s="424"/>
      <c r="V104" s="642">
        <f t="shared" si="5"/>
        <v>11796.16801937216</v>
      </c>
      <c r="W104" s="642"/>
      <c r="X104" s="642">
        <f t="shared" si="6"/>
        <v>920179.89823323081</v>
      </c>
      <c r="Y104" s="642"/>
      <c r="AL104" s="420">
        <f t="shared" si="11"/>
        <v>10160</v>
      </c>
      <c r="AM104" s="421">
        <f t="shared" si="14"/>
        <v>10565.966501047227</v>
      </c>
      <c r="AN104" s="865">
        <f t="shared" si="7"/>
        <v>0</v>
      </c>
      <c r="AO104" s="865"/>
      <c r="AP104" s="866">
        <f t="shared" si="15"/>
        <v>0</v>
      </c>
      <c r="AQ104" s="866"/>
      <c r="AR104" s="427"/>
      <c r="AS104" s="522">
        <f t="shared" si="12"/>
        <v>0</v>
      </c>
    </row>
    <row r="105" spans="2:45" x14ac:dyDescent="0.25">
      <c r="B105" s="426">
        <f t="shared" si="8"/>
        <v>42</v>
      </c>
      <c r="C105" s="423">
        <f t="shared" si="9"/>
        <v>920179.89823323081</v>
      </c>
      <c r="D105" s="643">
        <f t="shared" si="13"/>
        <v>2491.8341813897432</v>
      </c>
      <c r="E105" s="643"/>
      <c r="F105" s="643">
        <f t="shared" si="2"/>
        <v>7668.1658186102568</v>
      </c>
      <c r="G105" s="643"/>
      <c r="H105" s="671">
        <f t="shared" si="3"/>
        <v>1226.9065309776411</v>
      </c>
      <c r="I105" s="671"/>
      <c r="J105" s="640">
        <f t="shared" si="10"/>
        <v>404.87915522262159</v>
      </c>
      <c r="K105" s="640"/>
      <c r="L105" s="631">
        <f t="shared" si="4"/>
        <v>0</v>
      </c>
      <c r="M105" s="631"/>
      <c r="N105" s="631">
        <f>IF(B105="","",VLOOKUP(TRIM(CONCATENATE($F$20," ",$F$17," ",$F$18," ",$F$22," ",$F$21," ",$F$16," ",$F$23," ",$F$24)),Condicione_Financieras_Patrimon!B:W,22,0)*1.16)</f>
        <v>0</v>
      </c>
      <c r="O105" s="631"/>
      <c r="P105" s="641"/>
      <c r="Q105" s="641"/>
      <c r="R105" s="631">
        <f>IF(OR(X104=0,X104=""),"",IF($F$21="Apoyo Infonavit",IF(D105&gt;=C105,0,MIN(IF($F$30="",0,Caratula_Patrimonial!$F$30),$AL$29*25)*10%),0))</f>
        <v>0</v>
      </c>
      <c r="S105" s="631"/>
      <c r="T105" s="424">
        <f>IF(B105="","",'Tabla_Puntual&amp;Relacionamiento'!$B$71)</f>
        <v>9.9999999999999992E-2</v>
      </c>
      <c r="U105" s="424"/>
      <c r="V105" s="642">
        <f t="shared" si="5"/>
        <v>11791.785686200263</v>
      </c>
      <c r="W105" s="642"/>
      <c r="X105" s="642">
        <f t="shared" si="6"/>
        <v>917688.06405184104</v>
      </c>
      <c r="Y105" s="642"/>
      <c r="AL105" s="420">
        <f t="shared" si="11"/>
        <v>10160</v>
      </c>
      <c r="AM105" s="421">
        <f t="shared" si="14"/>
        <v>10564.879155222621</v>
      </c>
      <c r="AN105" s="865">
        <f t="shared" si="7"/>
        <v>0</v>
      </c>
      <c r="AO105" s="865"/>
      <c r="AP105" s="866">
        <f t="shared" si="15"/>
        <v>0</v>
      </c>
      <c r="AQ105" s="866"/>
      <c r="AR105" s="427"/>
      <c r="AS105" s="522">
        <f t="shared" si="12"/>
        <v>0</v>
      </c>
    </row>
    <row r="106" spans="2:45" x14ac:dyDescent="0.25">
      <c r="B106" s="426">
        <f t="shared" si="8"/>
        <v>43</v>
      </c>
      <c r="C106" s="423">
        <f t="shared" si="9"/>
        <v>917688.06405184104</v>
      </c>
      <c r="D106" s="643">
        <f t="shared" si="13"/>
        <v>2512.5994662346584</v>
      </c>
      <c r="E106" s="643"/>
      <c r="F106" s="643">
        <f t="shared" si="2"/>
        <v>7647.4005337653416</v>
      </c>
      <c r="G106" s="643"/>
      <c r="H106" s="671">
        <f t="shared" si="3"/>
        <v>1223.5840854024548</v>
      </c>
      <c r="I106" s="671"/>
      <c r="J106" s="640">
        <f t="shared" si="10"/>
        <v>403.78274818281011</v>
      </c>
      <c r="K106" s="640"/>
      <c r="L106" s="631">
        <f t="shared" si="4"/>
        <v>0</v>
      </c>
      <c r="M106" s="631"/>
      <c r="N106" s="631">
        <f>IF(B106="","",VLOOKUP(TRIM(CONCATENATE($F$20," ",$F$17," ",$F$18," ",$F$22," ",$F$21," ",$F$16," ",$F$23," ",$F$24)),Condicione_Financieras_Patrimon!B:W,22,0)*1.16)</f>
        <v>0</v>
      </c>
      <c r="O106" s="631"/>
      <c r="P106" s="641"/>
      <c r="Q106" s="641"/>
      <c r="R106" s="631"/>
      <c r="S106" s="631"/>
      <c r="T106" s="424">
        <f>IF(B106="","",'Tabla_Puntual&amp;Relacionamiento'!$B$71)</f>
        <v>9.9999999999999992E-2</v>
      </c>
      <c r="U106" s="424"/>
      <c r="V106" s="642">
        <f t="shared" si="5"/>
        <v>11787.366833585265</v>
      </c>
      <c r="W106" s="642"/>
      <c r="X106" s="642">
        <f t="shared" si="6"/>
        <v>915175.46458560636</v>
      </c>
      <c r="Y106" s="642"/>
      <c r="AL106" s="420">
        <f t="shared" si="11"/>
        <v>10160</v>
      </c>
      <c r="AM106" s="421">
        <f t="shared" si="14"/>
        <v>10563.78274818281</v>
      </c>
      <c r="AN106" s="865">
        <f t="shared" si="7"/>
        <v>0</v>
      </c>
      <c r="AO106" s="865"/>
      <c r="AP106" s="866">
        <f t="shared" si="15"/>
        <v>0</v>
      </c>
      <c r="AQ106" s="866"/>
      <c r="AR106" s="427"/>
      <c r="AS106" s="522">
        <f t="shared" si="12"/>
        <v>0</v>
      </c>
    </row>
    <row r="107" spans="2:45" x14ac:dyDescent="0.25">
      <c r="B107" s="426">
        <f t="shared" si="8"/>
        <v>44</v>
      </c>
      <c r="C107" s="423">
        <f t="shared" si="9"/>
        <v>915175.46458560636</v>
      </c>
      <c r="D107" s="643">
        <f t="shared" si="13"/>
        <v>2533.5377951199471</v>
      </c>
      <c r="E107" s="643"/>
      <c r="F107" s="643">
        <f t="shared" si="2"/>
        <v>7626.4622048800529</v>
      </c>
      <c r="G107" s="643"/>
      <c r="H107" s="671">
        <f t="shared" si="3"/>
        <v>1220.2339527808085</v>
      </c>
      <c r="I107" s="671"/>
      <c r="J107" s="640">
        <f t="shared" si="10"/>
        <v>402.67720441766681</v>
      </c>
      <c r="K107" s="640"/>
      <c r="L107" s="631">
        <f t="shared" si="4"/>
        <v>0</v>
      </c>
      <c r="M107" s="631"/>
      <c r="N107" s="631">
        <f>IF(B107="","",VLOOKUP(TRIM(CONCATENATE($F$20," ",$F$17," ",$F$18," ",$F$22," ",$F$21," ",$F$16," ",$F$23," ",$F$24)),Condicione_Financieras_Patrimon!B:W,22,0)*1.16)</f>
        <v>0</v>
      </c>
      <c r="O107" s="631"/>
      <c r="P107" s="641"/>
      <c r="Q107" s="641"/>
      <c r="R107" s="631">
        <f>IF(OR(X106=0,X106=""),"",IF($F$21="Apoyo Infonavit",IF(D107&gt;=C107,0,MIN(IF($F$30="",0,Caratula_Patrimonial!$F$30),$AL$29*25)*10%),0))</f>
        <v>0</v>
      </c>
      <c r="S107" s="631"/>
      <c r="T107" s="424">
        <f>IF(B107="","",'Tabla_Puntual&amp;Relacionamiento'!$B$71)</f>
        <v>9.9999999999999992E-2</v>
      </c>
      <c r="U107" s="424"/>
      <c r="V107" s="642">
        <f t="shared" si="5"/>
        <v>11782.911157198476</v>
      </c>
      <c r="W107" s="642"/>
      <c r="X107" s="642">
        <f t="shared" si="6"/>
        <v>912641.92679048644</v>
      </c>
      <c r="Y107" s="642"/>
      <c r="AL107" s="420">
        <f t="shared" si="11"/>
        <v>10160</v>
      </c>
      <c r="AM107" s="421">
        <f t="shared" si="14"/>
        <v>10562.677204417667</v>
      </c>
      <c r="AN107" s="865">
        <f t="shared" si="7"/>
        <v>0</v>
      </c>
      <c r="AO107" s="865"/>
      <c r="AP107" s="866">
        <f t="shared" si="15"/>
        <v>0</v>
      </c>
      <c r="AQ107" s="866"/>
      <c r="AR107" s="427"/>
      <c r="AS107" s="522">
        <f t="shared" si="12"/>
        <v>0</v>
      </c>
    </row>
    <row r="108" spans="2:45" x14ac:dyDescent="0.25">
      <c r="B108" s="426">
        <f t="shared" si="8"/>
        <v>45</v>
      </c>
      <c r="C108" s="423">
        <f t="shared" si="9"/>
        <v>912641.92679048644</v>
      </c>
      <c r="D108" s="643">
        <f t="shared" si="13"/>
        <v>2554.6506100792794</v>
      </c>
      <c r="E108" s="643"/>
      <c r="F108" s="643">
        <f t="shared" si="2"/>
        <v>7605.3493899207206</v>
      </c>
      <c r="G108" s="643"/>
      <c r="H108" s="671">
        <f t="shared" si="3"/>
        <v>1216.8559023873154</v>
      </c>
      <c r="I108" s="671"/>
      <c r="J108" s="640">
        <f t="shared" si="10"/>
        <v>401.56244778781399</v>
      </c>
      <c r="K108" s="640"/>
      <c r="L108" s="631">
        <f t="shared" si="4"/>
        <v>0</v>
      </c>
      <c r="M108" s="631"/>
      <c r="N108" s="631">
        <f>IF(B108="","",VLOOKUP(TRIM(CONCATENATE($F$20," ",$F$17," ",$F$18," ",$F$22," ",$F$21," ",$F$16," ",$F$23," ",$F$24)),Condicione_Financieras_Patrimon!B:W,22,0)*1.16)</f>
        <v>0</v>
      </c>
      <c r="O108" s="631"/>
      <c r="P108" s="641"/>
      <c r="Q108" s="641"/>
      <c r="R108" s="631"/>
      <c r="S108" s="631"/>
      <c r="T108" s="424">
        <f>IF(B108="","",'Tabla_Puntual&amp;Relacionamiento'!$B$71)</f>
        <v>9.9999999999999992E-2</v>
      </c>
      <c r="U108" s="424"/>
      <c r="V108" s="642">
        <f t="shared" si="5"/>
        <v>11778.418350175129</v>
      </c>
      <c r="W108" s="642"/>
      <c r="X108" s="642">
        <f t="shared" si="6"/>
        <v>910087.27618040715</v>
      </c>
      <c r="Y108" s="642"/>
      <c r="AL108" s="420">
        <f t="shared" si="11"/>
        <v>10160</v>
      </c>
      <c r="AM108" s="421">
        <f t="shared" si="14"/>
        <v>10561.562447787814</v>
      </c>
      <c r="AN108" s="865">
        <f t="shared" si="7"/>
        <v>0</v>
      </c>
      <c r="AO108" s="865"/>
      <c r="AP108" s="866">
        <f t="shared" si="15"/>
        <v>0</v>
      </c>
      <c r="AQ108" s="866"/>
      <c r="AR108" s="427"/>
      <c r="AS108" s="522">
        <f t="shared" si="12"/>
        <v>0</v>
      </c>
    </row>
    <row r="109" spans="2:45" x14ac:dyDescent="0.25">
      <c r="B109" s="426">
        <f t="shared" si="8"/>
        <v>46</v>
      </c>
      <c r="C109" s="423">
        <f t="shared" si="9"/>
        <v>910087.27618040715</v>
      </c>
      <c r="D109" s="643">
        <f t="shared" si="13"/>
        <v>2575.9393651632736</v>
      </c>
      <c r="E109" s="643"/>
      <c r="F109" s="643">
        <f t="shared" si="2"/>
        <v>7584.0606348367264</v>
      </c>
      <c r="G109" s="643"/>
      <c r="H109" s="671">
        <f t="shared" si="3"/>
        <v>1213.4497015738762</v>
      </c>
      <c r="I109" s="671"/>
      <c r="J109" s="640">
        <f t="shared" si="10"/>
        <v>400.43840151937917</v>
      </c>
      <c r="K109" s="640"/>
      <c r="L109" s="631">
        <f t="shared" si="4"/>
        <v>0</v>
      </c>
      <c r="M109" s="631"/>
      <c r="N109" s="631">
        <f>IF(B109="","",VLOOKUP(TRIM(CONCATENATE($F$20," ",$F$17," ",$F$18," ",$F$22," ",$F$21," ",$F$16," ",$F$23," ",$F$24)),Condicione_Financieras_Patrimon!B:W,22,0)*1.16)</f>
        <v>0</v>
      </c>
      <c r="O109" s="631"/>
      <c r="P109" s="641"/>
      <c r="Q109" s="641"/>
      <c r="R109" s="631">
        <f>IF(OR(X108=0,X108=""),"",IF($F$21="Apoyo Infonavit",IF(D109&gt;=C109,0,MIN(IF($F$30="",0,Caratula_Patrimonial!$F$30),$AL$29*25)*10%),0))</f>
        <v>0</v>
      </c>
      <c r="S109" s="631"/>
      <c r="T109" s="424">
        <f>IF(B109="","",'Tabla_Puntual&amp;Relacionamiento'!$B$71)</f>
        <v>9.9999999999999992E-2</v>
      </c>
      <c r="U109" s="424"/>
      <c r="V109" s="642">
        <f t="shared" si="5"/>
        <v>11773.888103093255</v>
      </c>
      <c r="W109" s="642"/>
      <c r="X109" s="642">
        <f t="shared" si="6"/>
        <v>907511.33681524382</v>
      </c>
      <c r="Y109" s="642"/>
      <c r="AL109" s="420">
        <f t="shared" si="11"/>
        <v>10160</v>
      </c>
      <c r="AM109" s="421">
        <f t="shared" si="14"/>
        <v>10560.438401519379</v>
      </c>
      <c r="AN109" s="865">
        <f t="shared" si="7"/>
        <v>0</v>
      </c>
      <c r="AO109" s="865"/>
      <c r="AP109" s="866">
        <f t="shared" si="15"/>
        <v>0</v>
      </c>
      <c r="AQ109" s="866"/>
      <c r="AR109" s="427"/>
      <c r="AS109" s="522">
        <f t="shared" si="12"/>
        <v>0</v>
      </c>
    </row>
    <row r="110" spans="2:45" x14ac:dyDescent="0.25">
      <c r="B110" s="426">
        <f t="shared" si="8"/>
        <v>47</v>
      </c>
      <c r="C110" s="423">
        <f t="shared" si="9"/>
        <v>907511.33681524382</v>
      </c>
      <c r="D110" s="643">
        <f t="shared" si="13"/>
        <v>2597.4055265396346</v>
      </c>
      <c r="E110" s="643"/>
      <c r="F110" s="643">
        <f t="shared" si="2"/>
        <v>7562.5944734603654</v>
      </c>
      <c r="G110" s="643"/>
      <c r="H110" s="671">
        <f t="shared" si="3"/>
        <v>1210.0151157536584</v>
      </c>
      <c r="I110" s="671"/>
      <c r="J110" s="640">
        <f t="shared" si="10"/>
        <v>399.30498819870729</v>
      </c>
      <c r="K110" s="640"/>
      <c r="L110" s="631">
        <f t="shared" si="4"/>
        <v>0</v>
      </c>
      <c r="M110" s="631"/>
      <c r="N110" s="631">
        <f>IF(B110="","",VLOOKUP(TRIM(CONCATENATE($F$20," ",$F$17," ",$F$18," ",$F$22," ",$F$21," ",$F$16," ",$F$23," ",$F$24)),Condicione_Financieras_Patrimon!B:W,22,0)*1.16)</f>
        <v>0</v>
      </c>
      <c r="O110" s="631"/>
      <c r="P110" s="641"/>
      <c r="Q110" s="641"/>
      <c r="R110" s="631"/>
      <c r="S110" s="631"/>
      <c r="T110" s="424">
        <f>IF(B110="","",'Tabla_Puntual&amp;Relacionamiento'!$B$71)</f>
        <v>9.9999999999999992E-2</v>
      </c>
      <c r="U110" s="424"/>
      <c r="V110" s="642">
        <f t="shared" si="5"/>
        <v>11769.320103952366</v>
      </c>
      <c r="W110" s="642"/>
      <c r="X110" s="642">
        <f t="shared" si="6"/>
        <v>904913.93128870416</v>
      </c>
      <c r="Y110" s="642"/>
      <c r="AL110" s="420">
        <f t="shared" si="11"/>
        <v>10160</v>
      </c>
      <c r="AM110" s="421">
        <f t="shared" si="14"/>
        <v>10559.304988198708</v>
      </c>
      <c r="AN110" s="865">
        <f t="shared" si="7"/>
        <v>0</v>
      </c>
      <c r="AO110" s="865"/>
      <c r="AP110" s="866">
        <f t="shared" si="15"/>
        <v>0</v>
      </c>
      <c r="AQ110" s="866"/>
      <c r="AR110" s="427"/>
      <c r="AS110" s="522">
        <f t="shared" si="12"/>
        <v>0</v>
      </c>
    </row>
    <row r="111" spans="2:45" x14ac:dyDescent="0.25">
      <c r="B111" s="426">
        <f t="shared" si="8"/>
        <v>48</v>
      </c>
      <c r="C111" s="423">
        <f t="shared" si="9"/>
        <v>904913.93128870416</v>
      </c>
      <c r="D111" s="643">
        <f t="shared" si="13"/>
        <v>2619.0505725941321</v>
      </c>
      <c r="E111" s="643"/>
      <c r="F111" s="643">
        <f t="shared" si="2"/>
        <v>7540.9494274058679</v>
      </c>
      <c r="G111" s="643"/>
      <c r="H111" s="671">
        <f t="shared" si="3"/>
        <v>1206.551908384939</v>
      </c>
      <c r="I111" s="671"/>
      <c r="J111" s="640">
        <f t="shared" si="10"/>
        <v>398.16212976702985</v>
      </c>
      <c r="K111" s="640"/>
      <c r="L111" s="631">
        <f t="shared" si="4"/>
        <v>0</v>
      </c>
      <c r="M111" s="631"/>
      <c r="N111" s="631">
        <f>IF(B111="","",VLOOKUP(TRIM(CONCATENATE($F$20," ",$F$17," ",$F$18," ",$F$22," ",$F$21," ",$F$16," ",$F$23," ",$F$24)),Condicione_Financieras_Patrimon!B:W,22,0)*1.16)</f>
        <v>0</v>
      </c>
      <c r="O111" s="631"/>
      <c r="P111" s="641"/>
      <c r="Q111" s="641"/>
      <c r="R111" s="631">
        <f>IF(OR(X110=0,X110=""),"",IF($F$21="Apoyo Infonavit",IF(D111&gt;=C111,0,MIN(IF($F$30="",0,Caratula_Patrimonial!$F$30),$AL$29*25)*10%),0))</f>
        <v>0</v>
      </c>
      <c r="S111" s="631"/>
      <c r="T111" s="424">
        <f>IF(B111="","",'Tabla_Puntual&amp;Relacionamiento'!$B$71)</f>
        <v>9.9999999999999992E-2</v>
      </c>
      <c r="U111" s="424"/>
      <c r="V111" s="642">
        <f t="shared" si="5"/>
        <v>11764.714038151969</v>
      </c>
      <c r="W111" s="642"/>
      <c r="X111" s="642">
        <f t="shared" si="6"/>
        <v>902294.88071611</v>
      </c>
      <c r="Y111" s="642"/>
      <c r="AL111" s="420">
        <f t="shared" si="11"/>
        <v>10160</v>
      </c>
      <c r="AM111" s="421">
        <f t="shared" si="14"/>
        <v>10558.16212976703</v>
      </c>
      <c r="AN111" s="865">
        <f t="shared" si="7"/>
        <v>0</v>
      </c>
      <c r="AO111" s="865"/>
      <c r="AP111" s="866">
        <f t="shared" si="15"/>
        <v>0</v>
      </c>
      <c r="AQ111" s="866"/>
      <c r="AR111" s="427"/>
      <c r="AS111" s="522">
        <f t="shared" si="12"/>
        <v>0</v>
      </c>
    </row>
    <row r="112" spans="2:45" x14ac:dyDescent="0.25">
      <c r="B112" s="426">
        <f t="shared" si="8"/>
        <v>49</v>
      </c>
      <c r="C112" s="423">
        <f t="shared" si="9"/>
        <v>902294.88071611</v>
      </c>
      <c r="D112" s="643">
        <f t="shared" si="13"/>
        <v>2640.8759940324171</v>
      </c>
      <c r="E112" s="643"/>
      <c r="F112" s="643">
        <f t="shared" si="2"/>
        <v>7519.1240059675829</v>
      </c>
      <c r="G112" s="643"/>
      <c r="H112" s="671">
        <f t="shared" si="3"/>
        <v>1203.0598409548134</v>
      </c>
      <c r="I112" s="671"/>
      <c r="J112" s="640">
        <f t="shared" si="10"/>
        <v>397.00974751508841</v>
      </c>
      <c r="K112" s="640"/>
      <c r="L112" s="631">
        <f t="shared" si="4"/>
        <v>0</v>
      </c>
      <c r="M112" s="631"/>
      <c r="N112" s="631">
        <f>IF(B112="","",VLOOKUP(TRIM(CONCATENATE($F$20," ",$F$17," ",$F$18," ",$F$22," ",$F$21," ",$F$16," ",$F$23," ",$F$24)),Condicione_Financieras_Patrimon!B:W,22,0)*1.16)</f>
        <v>0</v>
      </c>
      <c r="O112" s="631"/>
      <c r="P112" s="641"/>
      <c r="Q112" s="641"/>
      <c r="R112" s="631"/>
      <c r="S112" s="631"/>
      <c r="T112" s="424">
        <f>IF(B112="","",'Tabla_Puntual&amp;Relacionamiento'!$B$72)</f>
        <v>0.1</v>
      </c>
      <c r="U112" s="424" t="str">
        <f>IF(B112="","",IF($F$16="Pago_Bajo_Puntual",0.019,""))</f>
        <v/>
      </c>
      <c r="V112" s="642">
        <f t="shared" si="5"/>
        <v>11760.069588469902</v>
      </c>
      <c r="W112" s="642"/>
      <c r="X112" s="642">
        <f t="shared" si="6"/>
        <v>899654.00472207763</v>
      </c>
      <c r="Y112" s="642"/>
      <c r="AL112" s="420">
        <f t="shared" si="11"/>
        <v>10160</v>
      </c>
      <c r="AM112" s="421">
        <f t="shared" si="14"/>
        <v>10557.009747515089</v>
      </c>
      <c r="AN112" s="865">
        <f t="shared" si="7"/>
        <v>0</v>
      </c>
      <c r="AO112" s="865"/>
      <c r="AP112" s="866">
        <f t="shared" si="15"/>
        <v>0</v>
      </c>
      <c r="AQ112" s="866"/>
      <c r="AR112" s="427"/>
      <c r="AS112" s="522">
        <f t="shared" si="12"/>
        <v>0</v>
      </c>
    </row>
    <row r="113" spans="2:45" x14ac:dyDescent="0.25">
      <c r="B113" s="426">
        <f t="shared" si="8"/>
        <v>50</v>
      </c>
      <c r="C113" s="423">
        <f t="shared" si="9"/>
        <v>899654.00472207763</v>
      </c>
      <c r="D113" s="643">
        <f t="shared" si="13"/>
        <v>2662.8832939826862</v>
      </c>
      <c r="E113" s="643"/>
      <c r="F113" s="643">
        <f t="shared" si="2"/>
        <v>7497.1167060173138</v>
      </c>
      <c r="G113" s="643"/>
      <c r="H113" s="671">
        <f t="shared" si="3"/>
        <v>1199.5386729627703</v>
      </c>
      <c r="I113" s="671"/>
      <c r="J113" s="640">
        <f t="shared" si="10"/>
        <v>395.84776207771415</v>
      </c>
      <c r="K113" s="640"/>
      <c r="L113" s="631">
        <f t="shared" si="4"/>
        <v>0</v>
      </c>
      <c r="M113" s="631"/>
      <c r="N113" s="631">
        <f>IF(B113="","",VLOOKUP(TRIM(CONCATENATE($F$20," ",$F$17," ",$F$18," ",$F$22," ",$F$21," ",$F$16," ",$F$23," ",$F$24)),Condicione_Financieras_Patrimon!B:W,22,0)*1.16)</f>
        <v>0</v>
      </c>
      <c r="O113" s="631"/>
      <c r="P113" s="641"/>
      <c r="Q113" s="641"/>
      <c r="R113" s="631">
        <f>IF(OR(X112=0,X112=""),"",IF($F$21="Apoyo Infonavit",IF(D113&gt;=C113,0,MIN(IF($F$30="",0,Caratula_Patrimonial!$F$30),$AL$29*25)*10%),0))</f>
        <v>0</v>
      </c>
      <c r="S113" s="631"/>
      <c r="T113" s="424">
        <f>IF(B113="","",'Tabla_Puntual&amp;Relacionamiento'!$B$72)</f>
        <v>0.1</v>
      </c>
      <c r="U113" s="424"/>
      <c r="V113" s="642">
        <f t="shared" si="5"/>
        <v>11755.386435040484</v>
      </c>
      <c r="W113" s="642"/>
      <c r="X113" s="642">
        <f t="shared" si="6"/>
        <v>896991.12142809492</v>
      </c>
      <c r="Y113" s="642"/>
      <c r="AL113" s="420">
        <f t="shared" si="11"/>
        <v>10160</v>
      </c>
      <c r="AM113" s="421">
        <f t="shared" si="14"/>
        <v>10555.847762077714</v>
      </c>
      <c r="AN113" s="865">
        <f t="shared" si="7"/>
        <v>0</v>
      </c>
      <c r="AO113" s="865"/>
      <c r="AP113" s="866">
        <f t="shared" si="15"/>
        <v>0</v>
      </c>
      <c r="AQ113" s="866"/>
      <c r="AR113" s="427"/>
      <c r="AS113" s="522">
        <f t="shared" si="12"/>
        <v>0</v>
      </c>
    </row>
    <row r="114" spans="2:45" x14ac:dyDescent="0.25">
      <c r="B114" s="426">
        <f t="shared" si="8"/>
        <v>51</v>
      </c>
      <c r="C114" s="423">
        <f t="shared" si="9"/>
        <v>896991.12142809492</v>
      </c>
      <c r="D114" s="643">
        <f t="shared" si="13"/>
        <v>2685.0739880992087</v>
      </c>
      <c r="E114" s="643"/>
      <c r="F114" s="643">
        <f t="shared" si="2"/>
        <v>7474.9260119007913</v>
      </c>
      <c r="G114" s="643"/>
      <c r="H114" s="671">
        <f t="shared" si="3"/>
        <v>1195.9881619041266</v>
      </c>
      <c r="I114" s="671"/>
      <c r="J114" s="640">
        <f t="shared" si="10"/>
        <v>394.67609342836175</v>
      </c>
      <c r="K114" s="640"/>
      <c r="L114" s="631">
        <f t="shared" si="4"/>
        <v>0</v>
      </c>
      <c r="M114" s="631"/>
      <c r="N114" s="631">
        <f>IF(B114="","",VLOOKUP(TRIM(CONCATENATE($F$20," ",$F$17," ",$F$18," ",$F$22," ",$F$21," ",$F$16," ",$F$23," ",$F$24)),Condicione_Financieras_Patrimon!B:W,22,0)*1.16)</f>
        <v>0</v>
      </c>
      <c r="O114" s="631"/>
      <c r="P114" s="641"/>
      <c r="Q114" s="641"/>
      <c r="R114" s="631"/>
      <c r="S114" s="631"/>
      <c r="T114" s="424">
        <f>IF(B114="","",'Tabla_Puntual&amp;Relacionamiento'!$B$72)</f>
        <v>0.1</v>
      </c>
      <c r="U114" s="424"/>
      <c r="V114" s="642">
        <f t="shared" si="5"/>
        <v>11750.664255332487</v>
      </c>
      <c r="W114" s="642"/>
      <c r="X114" s="642">
        <f t="shared" si="6"/>
        <v>894306.04743999569</v>
      </c>
      <c r="Y114" s="642"/>
      <c r="AL114" s="420">
        <f t="shared" si="11"/>
        <v>10160</v>
      </c>
      <c r="AM114" s="421">
        <f t="shared" si="14"/>
        <v>10554.676093428361</v>
      </c>
      <c r="AN114" s="865">
        <f t="shared" si="7"/>
        <v>0</v>
      </c>
      <c r="AO114" s="865"/>
      <c r="AP114" s="866">
        <f t="shared" si="15"/>
        <v>0</v>
      </c>
      <c r="AQ114" s="866"/>
      <c r="AR114" s="427"/>
      <c r="AS114" s="522">
        <f t="shared" si="12"/>
        <v>0</v>
      </c>
    </row>
    <row r="115" spans="2:45" x14ac:dyDescent="0.25">
      <c r="B115" s="426">
        <f t="shared" si="8"/>
        <v>52</v>
      </c>
      <c r="C115" s="423">
        <f t="shared" si="9"/>
        <v>894306.04743999569</v>
      </c>
      <c r="D115" s="643">
        <f t="shared" si="13"/>
        <v>2707.4496046667027</v>
      </c>
      <c r="E115" s="643"/>
      <c r="F115" s="643">
        <f t="shared" si="2"/>
        <v>7452.5503953332973</v>
      </c>
      <c r="G115" s="643"/>
      <c r="H115" s="671">
        <f t="shared" si="3"/>
        <v>1192.4080632533276</v>
      </c>
      <c r="I115" s="671"/>
      <c r="J115" s="640">
        <f t="shared" si="10"/>
        <v>393.49466087359815</v>
      </c>
      <c r="K115" s="640"/>
      <c r="L115" s="631">
        <f t="shared" si="4"/>
        <v>0</v>
      </c>
      <c r="M115" s="631"/>
      <c r="N115" s="631">
        <f>IF(B115="","",VLOOKUP(TRIM(CONCATENATE($F$20," ",$F$17," ",$F$18," ",$F$22," ",$F$21," ",$F$16," ",$F$23," ",$F$24)),Condicione_Financieras_Patrimon!B:W,22,0)*1.16)</f>
        <v>0</v>
      </c>
      <c r="O115" s="631"/>
      <c r="P115" s="641"/>
      <c r="Q115" s="641"/>
      <c r="R115" s="631">
        <f>IF(OR(X114=0,X114=""),"",IF($F$21="Apoyo Infonavit",IF(D115&gt;=C115,0,MIN(IF($F$30="",0,Caratula_Patrimonial!$F$30),$AL$29*25)*10%),0))</f>
        <v>0</v>
      </c>
      <c r="S115" s="631"/>
      <c r="T115" s="424">
        <f>IF(B115="","",'Tabla_Puntual&amp;Relacionamiento'!$B$72)</f>
        <v>0.1</v>
      </c>
      <c r="U115" s="424"/>
      <c r="V115" s="642">
        <f t="shared" si="5"/>
        <v>11745.902724126925</v>
      </c>
      <c r="W115" s="642"/>
      <c r="X115" s="642">
        <f t="shared" si="6"/>
        <v>891598.59783532901</v>
      </c>
      <c r="Y115" s="642"/>
      <c r="AL115" s="420">
        <f t="shared" si="11"/>
        <v>10160</v>
      </c>
      <c r="AM115" s="421">
        <f t="shared" si="14"/>
        <v>10553.494660873599</v>
      </c>
      <c r="AN115" s="865">
        <f t="shared" si="7"/>
        <v>0</v>
      </c>
      <c r="AO115" s="865"/>
      <c r="AP115" s="866">
        <f t="shared" si="15"/>
        <v>0</v>
      </c>
      <c r="AQ115" s="866"/>
      <c r="AR115" s="427"/>
      <c r="AS115" s="522">
        <f t="shared" si="12"/>
        <v>0</v>
      </c>
    </row>
    <row r="116" spans="2:45" x14ac:dyDescent="0.25">
      <c r="B116" s="426">
        <f t="shared" si="8"/>
        <v>53</v>
      </c>
      <c r="C116" s="423">
        <f t="shared" si="9"/>
        <v>891598.59783532901</v>
      </c>
      <c r="D116" s="643">
        <f t="shared" si="13"/>
        <v>2730.0116847055915</v>
      </c>
      <c r="E116" s="643"/>
      <c r="F116" s="643">
        <f t="shared" si="2"/>
        <v>7429.9883152944085</v>
      </c>
      <c r="G116" s="643"/>
      <c r="H116" s="671">
        <f t="shared" si="3"/>
        <v>1188.7981304471055</v>
      </c>
      <c r="I116" s="671"/>
      <c r="J116" s="640">
        <f t="shared" si="10"/>
        <v>392.30338304754474</v>
      </c>
      <c r="K116" s="640"/>
      <c r="L116" s="631">
        <f t="shared" si="4"/>
        <v>0</v>
      </c>
      <c r="M116" s="631"/>
      <c r="N116" s="631">
        <f>IF(B116="","",VLOOKUP(TRIM(CONCATENATE($F$20," ",$F$17," ",$F$18," ",$F$22," ",$F$21," ",$F$16," ",$F$23," ",$F$24)),Condicione_Financieras_Patrimon!B:W,22,0)*1.16)</f>
        <v>0</v>
      </c>
      <c r="O116" s="631"/>
      <c r="P116" s="641"/>
      <c r="Q116" s="641"/>
      <c r="R116" s="631"/>
      <c r="S116" s="631"/>
      <c r="T116" s="424">
        <f>IF(B116="","",'Tabla_Puntual&amp;Relacionamiento'!$B$72)</f>
        <v>0.1</v>
      </c>
      <c r="U116" s="424"/>
      <c r="V116" s="642">
        <f t="shared" si="5"/>
        <v>11741.10151349465</v>
      </c>
      <c r="W116" s="642"/>
      <c r="X116" s="642">
        <f t="shared" si="6"/>
        <v>888868.58615062339</v>
      </c>
      <c r="Y116" s="642"/>
      <c r="AL116" s="420">
        <f t="shared" si="11"/>
        <v>10160</v>
      </c>
      <c r="AM116" s="421">
        <f t="shared" si="14"/>
        <v>10552.303383047545</v>
      </c>
      <c r="AN116" s="865">
        <f t="shared" si="7"/>
        <v>0</v>
      </c>
      <c r="AO116" s="865"/>
      <c r="AP116" s="866">
        <f t="shared" si="15"/>
        <v>0</v>
      </c>
      <c r="AQ116" s="866"/>
      <c r="AR116" s="427"/>
      <c r="AS116" s="522">
        <f t="shared" si="12"/>
        <v>0</v>
      </c>
    </row>
    <row r="117" spans="2:45" x14ac:dyDescent="0.25">
      <c r="B117" s="426">
        <f t="shared" si="8"/>
        <v>54</v>
      </c>
      <c r="C117" s="423">
        <f t="shared" si="9"/>
        <v>888868.58615062339</v>
      </c>
      <c r="D117" s="643">
        <f t="shared" si="13"/>
        <v>2752.7617820781388</v>
      </c>
      <c r="E117" s="643"/>
      <c r="F117" s="643">
        <f t="shared" si="2"/>
        <v>7407.2382179218612</v>
      </c>
      <c r="G117" s="643"/>
      <c r="H117" s="671">
        <f t="shared" si="3"/>
        <v>1185.1581148674977</v>
      </c>
      <c r="I117" s="671"/>
      <c r="J117" s="640">
        <f t="shared" si="10"/>
        <v>391.10217790627428</v>
      </c>
      <c r="K117" s="640"/>
      <c r="L117" s="631">
        <f t="shared" si="4"/>
        <v>0</v>
      </c>
      <c r="M117" s="631"/>
      <c r="N117" s="631">
        <f>IF(B117="","",VLOOKUP(TRIM(CONCATENATE($F$20," ",$F$17," ",$F$18," ",$F$22," ",$F$21," ",$F$16," ",$F$23," ",$F$24)),Condicione_Financieras_Patrimon!B:W,22,0)*1.16)</f>
        <v>0</v>
      </c>
      <c r="O117" s="631"/>
      <c r="P117" s="641"/>
      <c r="Q117" s="641"/>
      <c r="R117" s="631">
        <f>IF(OR(X116=0,X116=""),"",IF($F$21="Apoyo Infonavit",IF(D117&gt;=C117,0,MIN(IF($F$30="",0,Caratula_Patrimonial!$F$30),$AL$29*25)*10%),0))</f>
        <v>0</v>
      </c>
      <c r="S117" s="631"/>
      <c r="T117" s="424">
        <f>IF(B117="","",'Tabla_Puntual&amp;Relacionamiento'!$B$72)</f>
        <v>0.1</v>
      </c>
      <c r="U117" s="424"/>
      <c r="V117" s="642">
        <f t="shared" si="5"/>
        <v>11736.260292773772</v>
      </c>
      <c r="W117" s="642"/>
      <c r="X117" s="642">
        <f t="shared" si="6"/>
        <v>886115.8243685452</v>
      </c>
      <c r="Y117" s="642"/>
      <c r="AL117" s="420">
        <f t="shared" si="11"/>
        <v>10160</v>
      </c>
      <c r="AM117" s="421">
        <f t="shared" si="14"/>
        <v>10551.102177906274</v>
      </c>
      <c r="AN117" s="865">
        <f t="shared" si="7"/>
        <v>0</v>
      </c>
      <c r="AO117" s="865"/>
      <c r="AP117" s="866">
        <f t="shared" si="15"/>
        <v>0</v>
      </c>
      <c r="AQ117" s="866"/>
      <c r="AR117" s="427"/>
      <c r="AS117" s="522">
        <f t="shared" si="12"/>
        <v>0</v>
      </c>
    </row>
    <row r="118" spans="2:45" x14ac:dyDescent="0.25">
      <c r="B118" s="426">
        <f t="shared" si="8"/>
        <v>55</v>
      </c>
      <c r="C118" s="423">
        <f t="shared" si="9"/>
        <v>886115.8243685452</v>
      </c>
      <c r="D118" s="643">
        <f t="shared" si="13"/>
        <v>2775.7014635954565</v>
      </c>
      <c r="E118" s="643"/>
      <c r="F118" s="643">
        <f t="shared" si="2"/>
        <v>7384.2985364045435</v>
      </c>
      <c r="G118" s="643"/>
      <c r="H118" s="671">
        <f t="shared" si="3"/>
        <v>1181.4877658247269</v>
      </c>
      <c r="I118" s="671"/>
      <c r="J118" s="640">
        <f t="shared" si="10"/>
        <v>389.89096272215988</v>
      </c>
      <c r="K118" s="640"/>
      <c r="L118" s="631">
        <f t="shared" si="4"/>
        <v>0</v>
      </c>
      <c r="M118" s="631"/>
      <c r="N118" s="631">
        <f>IF(B118="","",VLOOKUP(TRIM(CONCATENATE($F$20," ",$F$17," ",$F$18," ",$F$22," ",$F$21," ",$F$16," ",$F$23," ",$F$24)),Condicione_Financieras_Patrimon!B:W,22,0)*1.16)</f>
        <v>0</v>
      </c>
      <c r="O118" s="631"/>
      <c r="P118" s="641"/>
      <c r="Q118" s="641"/>
      <c r="R118" s="631"/>
      <c r="S118" s="631"/>
      <c r="T118" s="424">
        <f>IF(B118="","",'Tabla_Puntual&amp;Relacionamiento'!$B$72)</f>
        <v>0.1</v>
      </c>
      <c r="U118" s="424"/>
      <c r="V118" s="642">
        <f t="shared" si="5"/>
        <v>11731.378728546888</v>
      </c>
      <c r="W118" s="642"/>
      <c r="X118" s="642">
        <f t="shared" si="6"/>
        <v>883340.12290494971</v>
      </c>
      <c r="Y118" s="642"/>
      <c r="AL118" s="420">
        <f t="shared" si="11"/>
        <v>10160</v>
      </c>
      <c r="AM118" s="421">
        <f t="shared" si="14"/>
        <v>10549.89096272216</v>
      </c>
      <c r="AN118" s="865">
        <f t="shared" si="7"/>
        <v>0</v>
      </c>
      <c r="AO118" s="865"/>
      <c r="AP118" s="866">
        <f t="shared" si="15"/>
        <v>0</v>
      </c>
      <c r="AQ118" s="866"/>
      <c r="AR118" s="427"/>
      <c r="AS118" s="522">
        <f t="shared" si="12"/>
        <v>0</v>
      </c>
    </row>
    <row r="119" spans="2:45" x14ac:dyDescent="0.25">
      <c r="B119" s="426">
        <f t="shared" si="8"/>
        <v>56</v>
      </c>
      <c r="C119" s="423">
        <f t="shared" si="9"/>
        <v>883340.12290494971</v>
      </c>
      <c r="D119" s="643">
        <f t="shared" si="13"/>
        <v>2798.8323091254197</v>
      </c>
      <c r="E119" s="643"/>
      <c r="F119" s="643">
        <f t="shared" si="2"/>
        <v>7361.1676908745803</v>
      </c>
      <c r="G119" s="643"/>
      <c r="H119" s="671">
        <f t="shared" si="3"/>
        <v>1177.7868305399329</v>
      </c>
      <c r="I119" s="671"/>
      <c r="J119" s="640">
        <f t="shared" si="10"/>
        <v>388.66965407817787</v>
      </c>
      <c r="K119" s="640"/>
      <c r="L119" s="631">
        <f t="shared" si="4"/>
        <v>0</v>
      </c>
      <c r="M119" s="631"/>
      <c r="N119" s="631">
        <f>IF(B119="","",VLOOKUP(TRIM(CONCATENATE($F$20," ",$F$17," ",$F$18," ",$F$22," ",$F$21," ",$F$16," ",$F$23," ",$F$24)),Condicione_Financieras_Patrimon!B:W,22,0)*1.16)</f>
        <v>0</v>
      </c>
      <c r="O119" s="631"/>
      <c r="P119" s="641"/>
      <c r="Q119" s="641"/>
      <c r="R119" s="631">
        <f>IF(OR(X118=0,X118=""),"",IF($F$21="Apoyo Infonavit",IF(D119&gt;=C119,0,MIN(IF($F$30="",0,Caratula_Patrimonial!$F$30),$AL$29*25)*10%),0))</f>
        <v>0</v>
      </c>
      <c r="S119" s="631"/>
      <c r="T119" s="424">
        <f>IF(B119="","",'Tabla_Puntual&amp;Relacionamiento'!$B$72)</f>
        <v>0.1</v>
      </c>
      <c r="U119" s="424"/>
      <c r="V119" s="642">
        <f t="shared" si="5"/>
        <v>11726.456484618111</v>
      </c>
      <c r="W119" s="642"/>
      <c r="X119" s="642">
        <f t="shared" si="6"/>
        <v>880541.29059582425</v>
      </c>
      <c r="Y119" s="642"/>
      <c r="AL119" s="420">
        <f t="shared" si="11"/>
        <v>10160</v>
      </c>
      <c r="AM119" s="421">
        <f t="shared" si="14"/>
        <v>10548.669654078178</v>
      </c>
      <c r="AN119" s="865">
        <f t="shared" si="7"/>
        <v>0</v>
      </c>
      <c r="AO119" s="865"/>
      <c r="AP119" s="866">
        <f t="shared" si="15"/>
        <v>0</v>
      </c>
      <c r="AQ119" s="866"/>
      <c r="AR119" s="427"/>
      <c r="AS119" s="522">
        <f t="shared" si="12"/>
        <v>0</v>
      </c>
    </row>
    <row r="120" spans="2:45" x14ac:dyDescent="0.25">
      <c r="B120" s="426">
        <f t="shared" si="8"/>
        <v>57</v>
      </c>
      <c r="C120" s="423">
        <f t="shared" si="9"/>
        <v>880541.29059582425</v>
      </c>
      <c r="D120" s="643">
        <f t="shared" si="13"/>
        <v>2822.1559117014649</v>
      </c>
      <c r="E120" s="643"/>
      <c r="F120" s="643">
        <f t="shared" si="2"/>
        <v>7337.8440882985351</v>
      </c>
      <c r="G120" s="643"/>
      <c r="H120" s="671">
        <f t="shared" si="3"/>
        <v>1174.0550541277657</v>
      </c>
      <c r="I120" s="671"/>
      <c r="J120" s="640">
        <f t="shared" si="10"/>
        <v>387.43816786216269</v>
      </c>
      <c r="K120" s="640"/>
      <c r="L120" s="631">
        <f t="shared" si="4"/>
        <v>0</v>
      </c>
      <c r="M120" s="631"/>
      <c r="N120" s="631">
        <f>IF(B120="","",VLOOKUP(TRIM(CONCATENATE($F$20," ",$F$17," ",$F$18," ",$F$22," ",$F$21," ",$F$16," ",$F$23," ",$F$24)),Condicione_Financieras_Patrimon!B:W,22,0)*1.16)</f>
        <v>0</v>
      </c>
      <c r="O120" s="631"/>
      <c r="P120" s="641"/>
      <c r="Q120" s="641"/>
      <c r="R120" s="631"/>
      <c r="S120" s="631"/>
      <c r="T120" s="424">
        <f>IF(B120="","",'Tabla_Puntual&amp;Relacionamiento'!$B$72)</f>
        <v>0.1</v>
      </c>
      <c r="U120" s="424"/>
      <c r="V120" s="642">
        <f t="shared" si="5"/>
        <v>11721.493221989929</v>
      </c>
      <c r="W120" s="642"/>
      <c r="X120" s="642">
        <f t="shared" si="6"/>
        <v>877719.13468412275</v>
      </c>
      <c r="Y120" s="642"/>
      <c r="AL120" s="420">
        <f t="shared" si="11"/>
        <v>10160</v>
      </c>
      <c r="AM120" s="421">
        <f t="shared" si="14"/>
        <v>10547.438167862163</v>
      </c>
      <c r="AN120" s="865">
        <f t="shared" si="7"/>
        <v>0</v>
      </c>
      <c r="AO120" s="865"/>
      <c r="AP120" s="866">
        <f t="shared" si="15"/>
        <v>0</v>
      </c>
      <c r="AQ120" s="866"/>
      <c r="AR120" s="427"/>
      <c r="AS120" s="522">
        <f t="shared" si="12"/>
        <v>0</v>
      </c>
    </row>
    <row r="121" spans="2:45" x14ac:dyDescent="0.25">
      <c r="B121" s="426">
        <f t="shared" si="8"/>
        <v>58</v>
      </c>
      <c r="C121" s="423">
        <f t="shared" si="9"/>
        <v>877719.13468412275</v>
      </c>
      <c r="D121" s="643">
        <f t="shared" si="13"/>
        <v>2845.6738776323109</v>
      </c>
      <c r="E121" s="643"/>
      <c r="F121" s="643">
        <f t="shared" si="2"/>
        <v>7314.3261223676891</v>
      </c>
      <c r="G121" s="643"/>
      <c r="H121" s="671">
        <f t="shared" si="3"/>
        <v>1170.2921795788302</v>
      </c>
      <c r="I121" s="671"/>
      <c r="J121" s="640">
        <f t="shared" si="10"/>
        <v>386.19641926101406</v>
      </c>
      <c r="K121" s="640"/>
      <c r="L121" s="631">
        <f t="shared" si="4"/>
        <v>0</v>
      </c>
      <c r="M121" s="631"/>
      <c r="N121" s="631">
        <f>IF(B121="","",VLOOKUP(TRIM(CONCATENATE($F$20," ",$F$17," ",$F$18," ",$F$22," ",$F$21," ",$F$16," ",$F$23," ",$F$24)),Condicione_Financieras_Patrimon!B:W,22,0)*1.16)</f>
        <v>0</v>
      </c>
      <c r="O121" s="631"/>
      <c r="P121" s="641"/>
      <c r="Q121" s="641"/>
      <c r="R121" s="631">
        <f>IF(OR(X120=0,X120=""),"",IF($F$21="Apoyo Infonavit",IF(D121&gt;=C121,0,MIN(IF($F$30="",0,Caratula_Patrimonial!$F$30),$AL$29*25)*10%),0))</f>
        <v>0</v>
      </c>
      <c r="S121" s="631"/>
      <c r="T121" s="424">
        <f>IF(B121="","",'Tabla_Puntual&amp;Relacionamiento'!$B$72)</f>
        <v>0.1</v>
      </c>
      <c r="U121" s="424"/>
      <c r="V121" s="642">
        <f t="shared" si="5"/>
        <v>11716.488598839844</v>
      </c>
      <c r="W121" s="642"/>
      <c r="X121" s="642">
        <f t="shared" si="6"/>
        <v>874873.46080649039</v>
      </c>
      <c r="Y121" s="642"/>
      <c r="AL121" s="420">
        <f t="shared" si="11"/>
        <v>10160</v>
      </c>
      <c r="AM121" s="421">
        <f t="shared" si="14"/>
        <v>10546.196419261014</v>
      </c>
      <c r="AN121" s="865">
        <f t="shared" si="7"/>
        <v>0</v>
      </c>
      <c r="AO121" s="865"/>
      <c r="AP121" s="866">
        <f t="shared" si="15"/>
        <v>0</v>
      </c>
      <c r="AQ121" s="866"/>
      <c r="AR121" s="427"/>
      <c r="AS121" s="522">
        <f t="shared" si="12"/>
        <v>0</v>
      </c>
    </row>
    <row r="122" spans="2:45" x14ac:dyDescent="0.25">
      <c r="B122" s="426">
        <f t="shared" si="8"/>
        <v>59</v>
      </c>
      <c r="C122" s="423">
        <f t="shared" si="9"/>
        <v>874873.46080649039</v>
      </c>
      <c r="D122" s="643">
        <f t="shared" si="13"/>
        <v>2869.3878266125803</v>
      </c>
      <c r="E122" s="643"/>
      <c r="F122" s="643">
        <f t="shared" si="2"/>
        <v>7290.6121733874197</v>
      </c>
      <c r="G122" s="643"/>
      <c r="H122" s="671">
        <f t="shared" si="3"/>
        <v>1166.4979477419872</v>
      </c>
      <c r="I122" s="671"/>
      <c r="J122" s="640">
        <f t="shared" si="10"/>
        <v>384.94432275485582</v>
      </c>
      <c r="K122" s="640"/>
      <c r="L122" s="631">
        <f t="shared" si="4"/>
        <v>0</v>
      </c>
      <c r="M122" s="631"/>
      <c r="N122" s="631">
        <f>IF(B122="","",VLOOKUP(TRIM(CONCATENATE($F$20," ",$F$17," ",$F$18," ",$F$22," ",$F$21," ",$F$16," ",$F$23," ",$F$24)),Condicione_Financieras_Patrimon!B:W,22,0)*1.16)</f>
        <v>0</v>
      </c>
      <c r="O122" s="631"/>
      <c r="P122" s="641"/>
      <c r="Q122" s="641"/>
      <c r="R122" s="631"/>
      <c r="S122" s="631"/>
      <c r="T122" s="424">
        <f>IF(B122="","",'Tabla_Puntual&amp;Relacionamiento'!$B$72)</f>
        <v>0.1</v>
      </c>
      <c r="U122" s="424"/>
      <c r="V122" s="642">
        <f t="shared" si="5"/>
        <v>11711.442270496844</v>
      </c>
      <c r="W122" s="642"/>
      <c r="X122" s="642">
        <f t="shared" si="6"/>
        <v>872004.07297987782</v>
      </c>
      <c r="Y122" s="642"/>
      <c r="AL122" s="420">
        <f t="shared" si="11"/>
        <v>10160</v>
      </c>
      <c r="AM122" s="421">
        <f t="shared" si="14"/>
        <v>10544.944322754856</v>
      </c>
      <c r="AN122" s="865">
        <f t="shared" si="7"/>
        <v>0</v>
      </c>
      <c r="AO122" s="865"/>
      <c r="AP122" s="866">
        <f t="shared" si="15"/>
        <v>0</v>
      </c>
      <c r="AQ122" s="866"/>
      <c r="AR122" s="427"/>
      <c r="AS122" s="522">
        <f t="shared" si="12"/>
        <v>0</v>
      </c>
    </row>
    <row r="123" spans="2:45" x14ac:dyDescent="0.25">
      <c r="B123" s="426">
        <f t="shared" si="8"/>
        <v>60</v>
      </c>
      <c r="C123" s="423">
        <f t="shared" si="9"/>
        <v>872004.07297987782</v>
      </c>
      <c r="D123" s="643">
        <f t="shared" si="13"/>
        <v>2893.2993918343518</v>
      </c>
      <c r="E123" s="643"/>
      <c r="F123" s="643">
        <f t="shared" si="2"/>
        <v>7266.7006081656482</v>
      </c>
      <c r="G123" s="643"/>
      <c r="H123" s="671">
        <f t="shared" si="3"/>
        <v>1162.6720973065037</v>
      </c>
      <c r="I123" s="671"/>
      <c r="J123" s="640">
        <f t="shared" si="10"/>
        <v>383.68179211114625</v>
      </c>
      <c r="K123" s="640"/>
      <c r="L123" s="631">
        <f t="shared" si="4"/>
        <v>0</v>
      </c>
      <c r="M123" s="631"/>
      <c r="N123" s="631">
        <f>IF(B123="","",VLOOKUP(TRIM(CONCATENATE($F$20," ",$F$17," ",$F$18," ",$F$22," ",$F$21," ",$F$16," ",$F$23," ",$F$24)),Condicione_Financieras_Patrimon!B:W,22,0)*1.16)</f>
        <v>0</v>
      </c>
      <c r="O123" s="631"/>
      <c r="P123" s="641"/>
      <c r="Q123" s="641"/>
      <c r="R123" s="631">
        <f>IF(OR(X122=0,X122=""),"",IF($F$21="Apoyo Infonavit",IF(D123&gt;=C123,0,MIN(IF($F$30="",0,Caratula_Patrimonial!$F$30),$AL$29*25)*10%),0))</f>
        <v>0</v>
      </c>
      <c r="S123" s="631"/>
      <c r="T123" s="424">
        <f>IF(B123="","",'Tabla_Puntual&amp;Relacionamiento'!$B$72)</f>
        <v>0.1</v>
      </c>
      <c r="U123" s="424"/>
      <c r="V123" s="642">
        <f t="shared" si="5"/>
        <v>11706.353889417651</v>
      </c>
      <c r="W123" s="642"/>
      <c r="X123" s="642">
        <f t="shared" si="6"/>
        <v>869110.77358804352</v>
      </c>
      <c r="Y123" s="642"/>
      <c r="AL123" s="420">
        <f t="shared" si="11"/>
        <v>10160</v>
      </c>
      <c r="AM123" s="421">
        <f t="shared" si="14"/>
        <v>10543.681792111147</v>
      </c>
      <c r="AN123" s="865">
        <f t="shared" si="7"/>
        <v>0</v>
      </c>
      <c r="AO123" s="865"/>
      <c r="AP123" s="866">
        <f t="shared" si="15"/>
        <v>0</v>
      </c>
      <c r="AQ123" s="866"/>
      <c r="AR123" s="427"/>
      <c r="AS123" s="522">
        <f t="shared" si="12"/>
        <v>0</v>
      </c>
    </row>
    <row r="124" spans="2:45" x14ac:dyDescent="0.25">
      <c r="B124" s="426">
        <f t="shared" si="8"/>
        <v>61</v>
      </c>
      <c r="C124" s="423">
        <f t="shared" si="9"/>
        <v>869110.77358804352</v>
      </c>
      <c r="D124" s="643">
        <f t="shared" si="13"/>
        <v>2917.4102200996376</v>
      </c>
      <c r="E124" s="643"/>
      <c r="F124" s="643">
        <f t="shared" si="2"/>
        <v>7242.5897799003624</v>
      </c>
      <c r="G124" s="643"/>
      <c r="H124" s="671">
        <f t="shared" si="3"/>
        <v>1158.8143647840579</v>
      </c>
      <c r="I124" s="671"/>
      <c r="J124" s="640">
        <f t="shared" si="10"/>
        <v>382.40874037873914</v>
      </c>
      <c r="K124" s="640"/>
      <c r="L124" s="631">
        <f t="shared" si="4"/>
        <v>0</v>
      </c>
      <c r="M124" s="631"/>
      <c r="N124" s="631">
        <f>IF(B124="","",VLOOKUP(TRIM(CONCATENATE($F$20," ",$F$17," ",$F$18," ",$F$22," ",$F$21," ",$F$16," ",$F$23," ",$F$24)),Condicione_Financieras_Patrimon!B:W,22,0)*1.16)</f>
        <v>0</v>
      </c>
      <c r="O124" s="631"/>
      <c r="P124" s="641"/>
      <c r="Q124" s="641"/>
      <c r="R124" s="631"/>
      <c r="S124" s="631"/>
      <c r="T124" s="424">
        <f>IF(B124="","",'Tabla_Puntual&amp;Relacionamiento'!$B$73)</f>
        <v>0.1</v>
      </c>
      <c r="U124" s="424" t="str">
        <f>IF(B124="","",IF($F$16="Pago_Bajo_Puntual",0.019,""))</f>
        <v/>
      </c>
      <c r="V124" s="642">
        <f t="shared" si="5"/>
        <v>11701.223105162799</v>
      </c>
      <c r="W124" s="642"/>
      <c r="X124" s="642">
        <f t="shared" si="6"/>
        <v>866193.36336794391</v>
      </c>
      <c r="Y124" s="642"/>
      <c r="AL124" s="420">
        <f t="shared" si="11"/>
        <v>10160</v>
      </c>
      <c r="AM124" s="421">
        <f t="shared" si="14"/>
        <v>10542.40874037874</v>
      </c>
      <c r="AN124" s="637"/>
      <c r="AO124" s="637"/>
      <c r="AP124" s="634"/>
      <c r="AQ124" s="634"/>
      <c r="AR124" s="427"/>
      <c r="AS124" s="522">
        <f t="shared" si="12"/>
        <v>0</v>
      </c>
    </row>
    <row r="125" spans="2:45" x14ac:dyDescent="0.25">
      <c r="B125" s="426">
        <f t="shared" si="8"/>
        <v>62</v>
      </c>
      <c r="C125" s="423">
        <f t="shared" si="9"/>
        <v>866193.36336794391</v>
      </c>
      <c r="D125" s="643">
        <f t="shared" si="13"/>
        <v>2941.7219719338009</v>
      </c>
      <c r="E125" s="643"/>
      <c r="F125" s="643">
        <f t="shared" si="2"/>
        <v>7218.2780280661991</v>
      </c>
      <c r="G125" s="643"/>
      <c r="H125" s="671">
        <f t="shared" si="3"/>
        <v>1154.9244844905918</v>
      </c>
      <c r="I125" s="671"/>
      <c r="J125" s="640">
        <f t="shared" si="10"/>
        <v>381.12507988189532</v>
      </c>
      <c r="K125" s="640"/>
      <c r="L125" s="631">
        <f t="shared" si="4"/>
        <v>0</v>
      </c>
      <c r="M125" s="631"/>
      <c r="N125" s="631">
        <f>IF(B125="","",VLOOKUP(TRIM(CONCATENATE($F$20," ",$F$17," ",$F$18," ",$F$22," ",$F$21," ",$F$16," ",$F$23," ",$F$24)),Condicione_Financieras_Patrimon!B:W,22,0)*1.16)</f>
        <v>0</v>
      </c>
      <c r="O125" s="631"/>
      <c r="P125" s="641"/>
      <c r="Q125" s="641"/>
      <c r="R125" s="631">
        <f>IF(OR(X124=0,X124=""),"",IF($F$21="Apoyo Infonavit",IF(D125&gt;=C125,0,MIN(IF($F$30="",0,Caratula_Patrimonial!$F$30),$AL$29*25)*10%),0))</f>
        <v>0</v>
      </c>
      <c r="S125" s="631"/>
      <c r="T125" s="424">
        <f>IF(B125="","",'Tabla_Puntual&amp;Relacionamiento'!$B$73)</f>
        <v>0.1</v>
      </c>
      <c r="U125" s="424"/>
      <c r="V125" s="642">
        <f t="shared" si="5"/>
        <v>11696.049564372486</v>
      </c>
      <c r="W125" s="642"/>
      <c r="X125" s="642">
        <f t="shared" si="6"/>
        <v>863251.64139601006</v>
      </c>
      <c r="Y125" s="642"/>
      <c r="AL125" s="420">
        <f t="shared" si="11"/>
        <v>10160</v>
      </c>
      <c r="AM125" s="421">
        <f t="shared" si="14"/>
        <v>10541.125079881895</v>
      </c>
      <c r="AN125" s="637"/>
      <c r="AO125" s="637"/>
      <c r="AP125" s="634"/>
      <c r="AQ125" s="634"/>
      <c r="AR125" s="427"/>
      <c r="AS125" s="522">
        <f t="shared" si="12"/>
        <v>0</v>
      </c>
    </row>
    <row r="126" spans="2:45" x14ac:dyDescent="0.25">
      <c r="B126" s="426">
        <f t="shared" si="8"/>
        <v>63</v>
      </c>
      <c r="C126" s="423">
        <f t="shared" si="9"/>
        <v>863251.64139601006</v>
      </c>
      <c r="D126" s="643">
        <f t="shared" si="13"/>
        <v>2966.2363216999165</v>
      </c>
      <c r="E126" s="643"/>
      <c r="F126" s="643">
        <f t="shared" si="2"/>
        <v>7193.7636783000835</v>
      </c>
      <c r="G126" s="643"/>
      <c r="H126" s="671">
        <f t="shared" si="3"/>
        <v>1151.0021885280134</v>
      </c>
      <c r="I126" s="671"/>
      <c r="J126" s="640">
        <f t="shared" si="10"/>
        <v>379.83072221424442</v>
      </c>
      <c r="K126" s="640"/>
      <c r="L126" s="631">
        <f t="shared" si="4"/>
        <v>0</v>
      </c>
      <c r="M126" s="631"/>
      <c r="N126" s="631">
        <f>IF(B126="","",VLOOKUP(TRIM(CONCATENATE($F$20," ",$F$17," ",$F$18," ",$F$22," ",$F$21," ",$F$16," ",$F$23," ",$F$24)),Condicione_Financieras_Patrimon!B:W,22,0)*1.16)</f>
        <v>0</v>
      </c>
      <c r="O126" s="631"/>
      <c r="P126" s="641"/>
      <c r="Q126" s="641"/>
      <c r="R126" s="631"/>
      <c r="S126" s="631"/>
      <c r="T126" s="424">
        <f>IF(B126="","",'Tabla_Puntual&amp;Relacionamiento'!$B$73)</f>
        <v>0.1</v>
      </c>
      <c r="U126" s="424"/>
      <c r="V126" s="642">
        <f t="shared" si="5"/>
        <v>11690.832910742258</v>
      </c>
      <c r="W126" s="642"/>
      <c r="X126" s="642">
        <f t="shared" si="6"/>
        <v>860285.40507431014</v>
      </c>
      <c r="Y126" s="642"/>
      <c r="AL126" s="420">
        <f t="shared" si="11"/>
        <v>10160</v>
      </c>
      <c r="AM126" s="421">
        <f t="shared" si="14"/>
        <v>10539.830722214245</v>
      </c>
      <c r="AN126" s="637"/>
      <c r="AO126" s="637"/>
      <c r="AP126" s="634"/>
      <c r="AQ126" s="634"/>
      <c r="AR126" s="427"/>
      <c r="AS126" s="522">
        <f t="shared" si="12"/>
        <v>0</v>
      </c>
    </row>
    <row r="127" spans="2:45" x14ac:dyDescent="0.25">
      <c r="B127" s="426">
        <f t="shared" si="8"/>
        <v>64</v>
      </c>
      <c r="C127" s="423">
        <f t="shared" si="9"/>
        <v>860285.40507431014</v>
      </c>
      <c r="D127" s="643">
        <f t="shared" si="13"/>
        <v>2990.9549577140824</v>
      </c>
      <c r="E127" s="643"/>
      <c r="F127" s="643">
        <f t="shared" si="2"/>
        <v>7169.0450422859176</v>
      </c>
      <c r="G127" s="643"/>
      <c r="H127" s="671">
        <f t="shared" si="3"/>
        <v>1147.0472067657468</v>
      </c>
      <c r="I127" s="671"/>
      <c r="J127" s="640">
        <f t="shared" si="10"/>
        <v>378.52557823269643</v>
      </c>
      <c r="K127" s="640"/>
      <c r="L127" s="631">
        <f t="shared" si="4"/>
        <v>0</v>
      </c>
      <c r="M127" s="631"/>
      <c r="N127" s="631">
        <f>IF(B127="","",VLOOKUP(TRIM(CONCATENATE($F$20," ",$F$17," ",$F$18," ",$F$22," ",$F$21," ",$F$16," ",$F$23," ",$F$24)),Condicione_Financieras_Patrimon!B:W,22,0)*1.16)</f>
        <v>0</v>
      </c>
      <c r="O127" s="631"/>
      <c r="P127" s="641"/>
      <c r="Q127" s="641"/>
      <c r="R127" s="631">
        <f>IF(OR(X126=0,X126=""),"",IF($F$21="Apoyo Infonavit",IF(D127&gt;=C127,0,MIN(IF($F$30="",0,Caratula_Patrimonial!$F$30),$AL$29*25)*10%),0))</f>
        <v>0</v>
      </c>
      <c r="S127" s="631"/>
      <c r="T127" s="424">
        <f>IF(B127="","",'Tabla_Puntual&amp;Relacionamiento'!$B$73)</f>
        <v>0.1</v>
      </c>
      <c r="U127" s="424"/>
      <c r="V127" s="642">
        <f t="shared" si="5"/>
        <v>11685.572784998443</v>
      </c>
      <c r="W127" s="642"/>
      <c r="X127" s="642">
        <f t="shared" si="6"/>
        <v>857294.45011659607</v>
      </c>
      <c r="Y127" s="642"/>
      <c r="AL127" s="420">
        <f t="shared" si="11"/>
        <v>10160</v>
      </c>
      <c r="AM127" s="421">
        <f t="shared" si="14"/>
        <v>10538.525578232697</v>
      </c>
      <c r="AN127" s="637"/>
      <c r="AO127" s="637"/>
      <c r="AP127" s="634"/>
      <c r="AQ127" s="634"/>
      <c r="AR127" s="427"/>
      <c r="AS127" s="522">
        <f t="shared" si="12"/>
        <v>0</v>
      </c>
    </row>
    <row r="128" spans="2:45" x14ac:dyDescent="0.25">
      <c r="B128" s="426">
        <f t="shared" si="8"/>
        <v>65</v>
      </c>
      <c r="C128" s="423">
        <f t="shared" si="9"/>
        <v>857294.45011659607</v>
      </c>
      <c r="D128" s="643">
        <f t="shared" si="13"/>
        <v>3015.8795823616992</v>
      </c>
      <c r="E128" s="643"/>
      <c r="F128" s="643">
        <f t="shared" ref="F128:F191" si="16">IF(B128="","",IF(X127*(T128/12)&lt;0,"",X127*(T128/12)))</f>
        <v>7144.1204176383008</v>
      </c>
      <c r="G128" s="643"/>
      <c r="H128" s="671">
        <f t="shared" ref="H128:H191" si="17">IFERROR(IF($F$20="Liquidez",F128*0.16,
IF(AND($F$20="Pago_Hipoteca+Liquidez",$F$36="Liquidez"),F128*0.16,0)),0)</f>
        <v>1143.0592668221282</v>
      </c>
      <c r="I128" s="671"/>
      <c r="J128" s="640">
        <f t="shared" si="10"/>
        <v>377.20955805130228</v>
      </c>
      <c r="K128" s="640"/>
      <c r="L128" s="631">
        <f t="shared" ref="L128:L191" si="18">IF(B128="","",IF(AND($F$20="Pago_Hipoteca+Liquidez",$F$36="Liquidez"),0,
IF((($F$28*0.7)*$AQ$38)&gt;C128*$AQ$38,($F$28*0.7)*($AQ$38)/1000,($AQ$38*C128)/1000)))</f>
        <v>0</v>
      </c>
      <c r="M128" s="631"/>
      <c r="N128" s="631">
        <f>IF(B128="","",VLOOKUP(TRIM(CONCATENATE($F$20," ",$F$17," ",$F$18," ",$F$22," ",$F$21," ",$F$16," ",$F$23," ",$F$24)),Condicione_Financieras_Patrimon!B:W,22,0)*1.16)</f>
        <v>0</v>
      </c>
      <c r="O128" s="631"/>
      <c r="P128" s="641"/>
      <c r="Q128" s="641"/>
      <c r="R128" s="631"/>
      <c r="S128" s="631"/>
      <c r="T128" s="424">
        <f>IF(B128="","",'Tabla_Puntual&amp;Relacionamiento'!$B$73)</f>
        <v>0.1</v>
      </c>
      <c r="U128" s="424"/>
      <c r="V128" s="642">
        <f t="shared" ref="V128:V191" si="19">IF(B128="","",D128+F128+H128+J128+L128+N128)</f>
        <v>11680.26882487343</v>
      </c>
      <c r="W128" s="642"/>
      <c r="X128" s="642">
        <f t="shared" ref="X128:X191" si="20">IFERROR(IF(C128="","",IF((C128-D128-P128+AN128+AP128-R128)&lt;1,0,C128-D128-P128+AN128+AP128-R128)),0)</f>
        <v>854278.5705342344</v>
      </c>
      <c r="Y128" s="642"/>
      <c r="AL128" s="420">
        <f t="shared" si="11"/>
        <v>10160</v>
      </c>
      <c r="AM128" s="421">
        <f t="shared" si="14"/>
        <v>10537.209558051301</v>
      </c>
      <c r="AN128" s="637"/>
      <c r="AO128" s="637"/>
      <c r="AP128" s="634"/>
      <c r="AQ128" s="634"/>
      <c r="AR128" s="427"/>
      <c r="AS128" s="522">
        <f t="shared" si="12"/>
        <v>0</v>
      </c>
    </row>
    <row r="129" spans="2:45" x14ac:dyDescent="0.25">
      <c r="B129" s="426">
        <f t="shared" ref="B129:B192" si="21">IF(OR(B128="",X128&lt;=0),"",IF(B128+1&lt;=F$23*12,B128+1,""))</f>
        <v>66</v>
      </c>
      <c r="C129" s="423">
        <f t="shared" ref="C129:C192" si="22">IF(B129="","",IF(IF(C128="","",C128-D128-R128)&lt;0.01,AQ128,IF(C128="","",X128)))</f>
        <v>854278.5705342344</v>
      </c>
      <c r="D129" s="643">
        <f t="shared" si="13"/>
        <v>3041.0119122147134</v>
      </c>
      <c r="E129" s="643"/>
      <c r="F129" s="643">
        <f t="shared" si="16"/>
        <v>7118.9880877852866</v>
      </c>
      <c r="G129" s="643"/>
      <c r="H129" s="671">
        <f t="shared" si="17"/>
        <v>1139.0380940456459</v>
      </c>
      <c r="I129" s="671"/>
      <c r="J129" s="640">
        <f t="shared" ref="J129:J192" si="23">IF(B129="","",C129*$AQ$35/1000)</f>
        <v>375.88257103506311</v>
      </c>
      <c r="K129" s="640"/>
      <c r="L129" s="631">
        <f t="shared" si="18"/>
        <v>0</v>
      </c>
      <c r="M129" s="631"/>
      <c r="N129" s="631">
        <f>IF(B129="","",VLOOKUP(TRIM(CONCATENATE($F$20," ",$F$17," ",$F$18," ",$F$22," ",$F$21," ",$F$16," ",$F$23," ",$F$24)),Condicione_Financieras_Patrimon!B:W,22,0)*1.16)</f>
        <v>0</v>
      </c>
      <c r="O129" s="631"/>
      <c r="P129" s="641"/>
      <c r="Q129" s="641"/>
      <c r="R129" s="631">
        <f>IF(OR(X128=0,X128=""),"",IF($F$21="Apoyo Infonavit",IF(D129&gt;=C129,0,MIN(IF($F$30="",0,Caratula_Patrimonial!$F$30),$AL$29*25)*10%),0))</f>
        <v>0</v>
      </c>
      <c r="S129" s="631"/>
      <c r="T129" s="424">
        <f>IF(B129="","",'Tabla_Puntual&amp;Relacionamiento'!$B$73)</f>
        <v>0.1</v>
      </c>
      <c r="U129" s="424"/>
      <c r="V129" s="642">
        <f t="shared" si="19"/>
        <v>11674.920665080708</v>
      </c>
      <c r="W129" s="642"/>
      <c r="X129" s="642">
        <f t="shared" si="20"/>
        <v>851237.55862201971</v>
      </c>
      <c r="Y129" s="642"/>
      <c r="AL129" s="420">
        <f t="shared" ref="AL129:AL192" si="24">IF(B129="","",
IF(X128&lt;AL128,X128+F129,
IF($F$16="Pago_Fijo_Puntual",$X$63*$AQ$40/1000,
IF($F$16="Pago_Bajo_Puntual",AL128+(AL128*U129)))))</f>
        <v>10160</v>
      </c>
      <c r="AM129" s="421">
        <f t="shared" si="14"/>
        <v>10535.882571035063</v>
      </c>
      <c r="AN129" s="637"/>
      <c r="AO129" s="637"/>
      <c r="AP129" s="634"/>
      <c r="AQ129" s="634"/>
      <c r="AR129" s="427"/>
      <c r="AS129" s="522">
        <f t="shared" ref="AS129:AS192" si="25">IF(B129="","",IF(AND($F$20="Pago_Hipoteca+Liquidez",$F$36="Liquidez"),0,
IF((($F$28*0.7)*$AQ$38/1.16)&gt;C129*$AQ$38/1.16,($F$28*0.7)*($AQ$38/1.16),($AQ$38/1.16)*C129)/1000))</f>
        <v>0</v>
      </c>
    </row>
    <row r="130" spans="2:45" x14ac:dyDescent="0.25">
      <c r="B130" s="426">
        <f t="shared" si="21"/>
        <v>67</v>
      </c>
      <c r="C130" s="423">
        <f t="shared" si="22"/>
        <v>851237.55862201971</v>
      </c>
      <c r="D130" s="643">
        <f t="shared" ref="D130:D193" si="26">IF(B130="","",AL130-F130)</f>
        <v>3066.353678149836</v>
      </c>
      <c r="E130" s="643"/>
      <c r="F130" s="643">
        <f t="shared" si="16"/>
        <v>7093.646321850164</v>
      </c>
      <c r="G130" s="643"/>
      <c r="H130" s="671">
        <f t="shared" si="17"/>
        <v>1134.9834114960263</v>
      </c>
      <c r="I130" s="671"/>
      <c r="J130" s="640">
        <f t="shared" si="23"/>
        <v>374.54452579368865</v>
      </c>
      <c r="K130" s="640"/>
      <c r="L130" s="631">
        <f t="shared" si="18"/>
        <v>0</v>
      </c>
      <c r="M130" s="631"/>
      <c r="N130" s="631">
        <f>IF(B130="","",VLOOKUP(TRIM(CONCATENATE($F$20," ",$F$17," ",$F$18," ",$F$22," ",$F$21," ",$F$16," ",$F$23," ",$F$24)),Condicione_Financieras_Patrimon!B:W,22,0)*1.16)</f>
        <v>0</v>
      </c>
      <c r="O130" s="631"/>
      <c r="P130" s="641"/>
      <c r="Q130" s="641"/>
      <c r="R130" s="631"/>
      <c r="S130" s="631"/>
      <c r="T130" s="424">
        <f>IF(B130="","",'Tabla_Puntual&amp;Relacionamiento'!$B$73)</f>
        <v>0.1</v>
      </c>
      <c r="U130" s="424"/>
      <c r="V130" s="642">
        <f t="shared" si="19"/>
        <v>11669.527937289715</v>
      </c>
      <c r="W130" s="642"/>
      <c r="X130" s="642">
        <f t="shared" si="20"/>
        <v>848171.20494386985</v>
      </c>
      <c r="Y130" s="642"/>
      <c r="AL130" s="420">
        <f t="shared" si="24"/>
        <v>10160</v>
      </c>
      <c r="AM130" s="421">
        <f t="shared" si="14"/>
        <v>10534.544525793688</v>
      </c>
      <c r="AN130" s="637"/>
      <c r="AO130" s="637"/>
      <c r="AP130" s="634"/>
      <c r="AQ130" s="634"/>
      <c r="AR130" s="427"/>
      <c r="AS130" s="522">
        <f t="shared" si="25"/>
        <v>0</v>
      </c>
    </row>
    <row r="131" spans="2:45" x14ac:dyDescent="0.25">
      <c r="B131" s="426">
        <f t="shared" si="21"/>
        <v>68</v>
      </c>
      <c r="C131" s="423">
        <f t="shared" si="22"/>
        <v>848171.20494386985</v>
      </c>
      <c r="D131" s="643">
        <f t="shared" si="26"/>
        <v>3091.9066254677518</v>
      </c>
      <c r="E131" s="643"/>
      <c r="F131" s="643">
        <f t="shared" si="16"/>
        <v>7068.0933745322482</v>
      </c>
      <c r="G131" s="643"/>
      <c r="H131" s="671">
        <f t="shared" si="17"/>
        <v>1130.8949399251596</v>
      </c>
      <c r="I131" s="671"/>
      <c r="J131" s="640">
        <f t="shared" si="23"/>
        <v>373.19533017530273</v>
      </c>
      <c r="K131" s="640"/>
      <c r="L131" s="631">
        <f t="shared" si="18"/>
        <v>0</v>
      </c>
      <c r="M131" s="631"/>
      <c r="N131" s="631">
        <f>IF(B131="","",VLOOKUP(TRIM(CONCATENATE($F$20," ",$F$17," ",$F$18," ",$F$22," ",$F$21," ",$F$16," ",$F$23," ",$F$24)),Condicione_Financieras_Patrimon!B:W,22,0)*1.16)</f>
        <v>0</v>
      </c>
      <c r="O131" s="631"/>
      <c r="P131" s="641"/>
      <c r="Q131" s="641"/>
      <c r="R131" s="631">
        <f>IF(OR(X130=0,X130=""),"",IF($F$21="Apoyo Infonavit",IF(D131&gt;=C131,0,MIN(IF($F$30="",0,Caratula_Patrimonial!$F$30),$AL$29*25)*10%),0))</f>
        <v>0</v>
      </c>
      <c r="S131" s="631"/>
      <c r="T131" s="424">
        <f>IF(B131="","",'Tabla_Puntual&amp;Relacionamiento'!$B$73)</f>
        <v>0.1</v>
      </c>
      <c r="U131" s="424"/>
      <c r="V131" s="642">
        <f t="shared" si="19"/>
        <v>11664.090270100462</v>
      </c>
      <c r="W131" s="642"/>
      <c r="X131" s="642">
        <f t="shared" si="20"/>
        <v>845079.29831840214</v>
      </c>
      <c r="Y131" s="642"/>
      <c r="AL131" s="420">
        <f t="shared" si="24"/>
        <v>10160</v>
      </c>
      <c r="AM131" s="421">
        <f t="shared" ref="AM131:AM194" si="27">IF(C131="",0,AL131+J131+AS131+(N131/1.16)+R131)</f>
        <v>10533.195330175302</v>
      </c>
      <c r="AN131" s="637"/>
      <c r="AO131" s="637"/>
      <c r="AP131" s="634"/>
      <c r="AQ131" s="634"/>
      <c r="AR131" s="427"/>
      <c r="AS131" s="522">
        <f t="shared" si="25"/>
        <v>0</v>
      </c>
    </row>
    <row r="132" spans="2:45" x14ac:dyDescent="0.25">
      <c r="B132" s="426">
        <f t="shared" si="21"/>
        <v>69</v>
      </c>
      <c r="C132" s="423">
        <f t="shared" si="22"/>
        <v>845079.29831840214</v>
      </c>
      <c r="D132" s="643">
        <f t="shared" si="26"/>
        <v>3117.6725140133158</v>
      </c>
      <c r="E132" s="643"/>
      <c r="F132" s="643">
        <f t="shared" si="16"/>
        <v>7042.3274859866842</v>
      </c>
      <c r="G132" s="643"/>
      <c r="H132" s="671">
        <f t="shared" si="17"/>
        <v>1126.7723977578696</v>
      </c>
      <c r="I132" s="671"/>
      <c r="J132" s="640">
        <f t="shared" si="23"/>
        <v>371.83489126009692</v>
      </c>
      <c r="K132" s="640"/>
      <c r="L132" s="631">
        <f t="shared" si="18"/>
        <v>0</v>
      </c>
      <c r="M132" s="631"/>
      <c r="N132" s="631">
        <f>IF(B132="","",VLOOKUP(TRIM(CONCATENATE($F$20," ",$F$17," ",$F$18," ",$F$22," ",$F$21," ",$F$16," ",$F$23," ",$F$24)),Condicione_Financieras_Patrimon!B:W,22,0)*1.16)</f>
        <v>0</v>
      </c>
      <c r="O132" s="631"/>
      <c r="P132" s="641"/>
      <c r="Q132" s="641"/>
      <c r="R132" s="631"/>
      <c r="S132" s="631"/>
      <c r="T132" s="424">
        <f>IF(B132="","",'Tabla_Puntual&amp;Relacionamiento'!$B$73)</f>
        <v>0.1</v>
      </c>
      <c r="U132" s="424"/>
      <c r="V132" s="642">
        <f t="shared" si="19"/>
        <v>11658.607289017968</v>
      </c>
      <c r="W132" s="642"/>
      <c r="X132" s="642">
        <f t="shared" si="20"/>
        <v>841961.62580438878</v>
      </c>
      <c r="Y132" s="642"/>
      <c r="AL132" s="420">
        <f t="shared" si="24"/>
        <v>10160</v>
      </c>
      <c r="AM132" s="421">
        <f t="shared" si="27"/>
        <v>10531.834891260098</v>
      </c>
      <c r="AN132" s="637"/>
      <c r="AO132" s="637"/>
      <c r="AP132" s="634"/>
      <c r="AQ132" s="634"/>
      <c r="AR132" s="427"/>
      <c r="AS132" s="522">
        <f t="shared" si="25"/>
        <v>0</v>
      </c>
    </row>
    <row r="133" spans="2:45" x14ac:dyDescent="0.25">
      <c r="B133" s="426">
        <f t="shared" si="21"/>
        <v>70</v>
      </c>
      <c r="C133" s="423">
        <f t="shared" si="22"/>
        <v>841961.62580438878</v>
      </c>
      <c r="D133" s="643">
        <f t="shared" si="26"/>
        <v>3143.6531182967601</v>
      </c>
      <c r="E133" s="643"/>
      <c r="F133" s="643">
        <f t="shared" si="16"/>
        <v>7016.3468817032399</v>
      </c>
      <c r="G133" s="643"/>
      <c r="H133" s="671">
        <f t="shared" si="17"/>
        <v>1122.6155010725183</v>
      </c>
      <c r="I133" s="671"/>
      <c r="J133" s="640">
        <f t="shared" si="23"/>
        <v>370.46311535393107</v>
      </c>
      <c r="K133" s="640"/>
      <c r="L133" s="631">
        <f t="shared" si="18"/>
        <v>0</v>
      </c>
      <c r="M133" s="631"/>
      <c r="N133" s="631">
        <f>IF(B133="","",VLOOKUP(TRIM(CONCATENATE($F$20," ",$F$17," ",$F$18," ",$F$22," ",$F$21," ",$F$16," ",$F$23," ",$F$24)),Condicione_Financieras_Patrimon!B:W,22,0)*1.16)</f>
        <v>0</v>
      </c>
      <c r="O133" s="631"/>
      <c r="P133" s="641"/>
      <c r="Q133" s="641"/>
      <c r="R133" s="631">
        <f>IF(OR(X132=0,X132=""),"",IF($F$21="Apoyo Infonavit",IF(D133&gt;=C133,0,MIN(IF($F$30="",0,Caratula_Patrimonial!$F$30),$AL$29*25)*10%),0))</f>
        <v>0</v>
      </c>
      <c r="S133" s="631"/>
      <c r="T133" s="424">
        <f>IF(B133="","",'Tabla_Puntual&amp;Relacionamiento'!$B$73)</f>
        <v>0.1</v>
      </c>
      <c r="U133" s="424"/>
      <c r="V133" s="642">
        <f t="shared" si="19"/>
        <v>11653.078616426448</v>
      </c>
      <c r="W133" s="642"/>
      <c r="X133" s="642">
        <f t="shared" si="20"/>
        <v>838817.97268609202</v>
      </c>
      <c r="Y133" s="642"/>
      <c r="AL133" s="420">
        <f t="shared" si="24"/>
        <v>10160</v>
      </c>
      <c r="AM133" s="421">
        <f t="shared" si="27"/>
        <v>10530.46311535393</v>
      </c>
      <c r="AN133" s="637"/>
      <c r="AO133" s="637"/>
      <c r="AP133" s="634"/>
      <c r="AQ133" s="634"/>
      <c r="AR133" s="427"/>
      <c r="AS133" s="522">
        <f t="shared" si="25"/>
        <v>0</v>
      </c>
    </row>
    <row r="134" spans="2:45" x14ac:dyDescent="0.25">
      <c r="B134" s="426">
        <f t="shared" si="21"/>
        <v>71</v>
      </c>
      <c r="C134" s="423">
        <f t="shared" si="22"/>
        <v>838817.97268609202</v>
      </c>
      <c r="D134" s="643">
        <f t="shared" si="26"/>
        <v>3169.8502276158997</v>
      </c>
      <c r="E134" s="643"/>
      <c r="F134" s="643">
        <f t="shared" si="16"/>
        <v>6990.1497723841003</v>
      </c>
      <c r="G134" s="643"/>
      <c r="H134" s="671">
        <f t="shared" si="17"/>
        <v>1118.4239635814561</v>
      </c>
      <c r="I134" s="671"/>
      <c r="J134" s="640">
        <f t="shared" si="23"/>
        <v>369.07990798188047</v>
      </c>
      <c r="K134" s="640"/>
      <c r="L134" s="631">
        <f t="shared" si="18"/>
        <v>0</v>
      </c>
      <c r="M134" s="631"/>
      <c r="N134" s="631">
        <f>IF(B134="","",VLOOKUP(TRIM(CONCATENATE($F$20," ",$F$17," ",$F$18," ",$F$22," ",$F$21," ",$F$16," ",$F$23," ",$F$24)),Condicione_Financieras_Patrimon!B:W,22,0)*1.16)</f>
        <v>0</v>
      </c>
      <c r="O134" s="631"/>
      <c r="P134" s="641"/>
      <c r="Q134" s="641"/>
      <c r="R134" s="631"/>
      <c r="S134" s="631"/>
      <c r="T134" s="424">
        <f>IF(B134="","",'Tabla_Puntual&amp;Relacionamiento'!$B$73)</f>
        <v>0.1</v>
      </c>
      <c r="U134" s="424"/>
      <c r="V134" s="642">
        <f t="shared" si="19"/>
        <v>11647.503871563336</v>
      </c>
      <c r="W134" s="642"/>
      <c r="X134" s="642">
        <f t="shared" si="20"/>
        <v>835648.12245847611</v>
      </c>
      <c r="Y134" s="642"/>
      <c r="AL134" s="420">
        <f t="shared" si="24"/>
        <v>10160</v>
      </c>
      <c r="AM134" s="421">
        <f t="shared" si="27"/>
        <v>10529.079907981881</v>
      </c>
      <c r="AN134" s="637"/>
      <c r="AO134" s="637"/>
      <c r="AP134" s="634"/>
      <c r="AQ134" s="634"/>
      <c r="AR134" s="427"/>
      <c r="AS134" s="522">
        <f t="shared" si="25"/>
        <v>0</v>
      </c>
    </row>
    <row r="135" spans="2:45" x14ac:dyDescent="0.25">
      <c r="B135" s="426">
        <f t="shared" si="21"/>
        <v>72</v>
      </c>
      <c r="C135" s="423">
        <f t="shared" si="22"/>
        <v>835648.12245847611</v>
      </c>
      <c r="D135" s="643">
        <f t="shared" si="26"/>
        <v>3196.2656461793658</v>
      </c>
      <c r="E135" s="643"/>
      <c r="F135" s="643">
        <f t="shared" si="16"/>
        <v>6963.7343538206342</v>
      </c>
      <c r="G135" s="643"/>
      <c r="H135" s="671">
        <f t="shared" si="17"/>
        <v>1114.1974966113014</v>
      </c>
      <c r="I135" s="671"/>
      <c r="J135" s="640">
        <f t="shared" si="23"/>
        <v>367.6851738817295</v>
      </c>
      <c r="K135" s="640"/>
      <c r="L135" s="631">
        <f t="shared" si="18"/>
        <v>0</v>
      </c>
      <c r="M135" s="631"/>
      <c r="N135" s="631">
        <f>IF(B135="","",VLOOKUP(TRIM(CONCATENATE($F$20," ",$F$17," ",$F$18," ",$F$22," ",$F$21," ",$F$16," ",$F$23," ",$F$24)),Condicione_Financieras_Patrimon!B:W,22,0)*1.16)</f>
        <v>0</v>
      </c>
      <c r="O135" s="631"/>
      <c r="P135" s="641"/>
      <c r="Q135" s="641"/>
      <c r="R135" s="631">
        <f>IF(OR(X134=0,X134=""),"",IF($F$21="Apoyo Infonavit",IF(D135&gt;=C135,0,MIN(IF($F$30="",0,Caratula_Patrimonial!$F$30),$AL$29*25)*10%),0))</f>
        <v>0</v>
      </c>
      <c r="S135" s="631"/>
      <c r="T135" s="424">
        <f>IF(B135="","",'Tabla_Puntual&amp;Relacionamiento'!$B$73)</f>
        <v>0.1</v>
      </c>
      <c r="U135" s="424"/>
      <c r="V135" s="642">
        <f t="shared" si="19"/>
        <v>11641.882670493031</v>
      </c>
      <c r="W135" s="642"/>
      <c r="X135" s="642">
        <f t="shared" si="20"/>
        <v>832451.85681229678</v>
      </c>
      <c r="Y135" s="642"/>
      <c r="AL135" s="420">
        <f t="shared" si="24"/>
        <v>10160</v>
      </c>
      <c r="AM135" s="421">
        <f t="shared" si="27"/>
        <v>10527.685173881729</v>
      </c>
      <c r="AN135" s="637"/>
      <c r="AO135" s="637"/>
      <c r="AP135" s="634"/>
      <c r="AQ135" s="634"/>
      <c r="AR135" s="427"/>
      <c r="AS135" s="522">
        <f t="shared" si="25"/>
        <v>0</v>
      </c>
    </row>
    <row r="136" spans="2:45" x14ac:dyDescent="0.25">
      <c r="B136" s="426">
        <f t="shared" si="21"/>
        <v>73</v>
      </c>
      <c r="C136" s="423">
        <f t="shared" si="22"/>
        <v>832451.85681229678</v>
      </c>
      <c r="D136" s="643">
        <f t="shared" si="26"/>
        <v>3222.9011932308604</v>
      </c>
      <c r="E136" s="643"/>
      <c r="F136" s="643">
        <f t="shared" si="16"/>
        <v>6937.0988067691396</v>
      </c>
      <c r="G136" s="643"/>
      <c r="H136" s="671">
        <f t="shared" si="17"/>
        <v>1109.9358090830624</v>
      </c>
      <c r="I136" s="671"/>
      <c r="J136" s="640">
        <f t="shared" si="23"/>
        <v>366.27881699741062</v>
      </c>
      <c r="K136" s="640"/>
      <c r="L136" s="631">
        <f t="shared" si="18"/>
        <v>0</v>
      </c>
      <c r="M136" s="631"/>
      <c r="N136" s="631">
        <f>IF(B136="","",VLOOKUP(TRIM(CONCATENATE($F$20," ",$F$17," ",$F$18," ",$F$22," ",$F$21," ",$F$16," ",$F$23," ",$F$24)),Condicione_Financieras_Patrimon!B:W,22,0)*1.16)</f>
        <v>0</v>
      </c>
      <c r="O136" s="631"/>
      <c r="P136" s="641"/>
      <c r="Q136" s="641"/>
      <c r="R136" s="631"/>
      <c r="S136" s="631"/>
      <c r="T136" s="424">
        <f>IF(B136="","",'Tabla_Puntual&amp;Relacionamiento'!$B$74)</f>
        <v>0.1</v>
      </c>
      <c r="U136" s="424" t="str">
        <f>IF(B136="","",IF($F$16="Pago_Bajo_Puntual",0.019,""))</f>
        <v/>
      </c>
      <c r="V136" s="642">
        <f t="shared" si="19"/>
        <v>11636.214626080473</v>
      </c>
      <c r="W136" s="642"/>
      <c r="X136" s="642">
        <f t="shared" si="20"/>
        <v>829228.95561906591</v>
      </c>
      <c r="Y136" s="642"/>
      <c r="AL136" s="420">
        <f t="shared" si="24"/>
        <v>10160</v>
      </c>
      <c r="AM136" s="421">
        <f t="shared" si="27"/>
        <v>10526.27881699741</v>
      </c>
      <c r="AN136" s="637"/>
      <c r="AO136" s="637"/>
      <c r="AP136" s="634"/>
      <c r="AQ136" s="634"/>
      <c r="AR136" s="427"/>
      <c r="AS136" s="522">
        <f t="shared" si="25"/>
        <v>0</v>
      </c>
    </row>
    <row r="137" spans="2:45" x14ac:dyDescent="0.25">
      <c r="B137" s="426">
        <f t="shared" si="21"/>
        <v>74</v>
      </c>
      <c r="C137" s="423">
        <f t="shared" si="22"/>
        <v>829228.95561906591</v>
      </c>
      <c r="D137" s="643">
        <f t="shared" si="26"/>
        <v>3249.7587031744506</v>
      </c>
      <c r="E137" s="643"/>
      <c r="F137" s="643">
        <f t="shared" si="16"/>
        <v>6910.2412968255494</v>
      </c>
      <c r="G137" s="643"/>
      <c r="H137" s="671">
        <f t="shared" si="17"/>
        <v>1105.6386074920879</v>
      </c>
      <c r="I137" s="671"/>
      <c r="J137" s="640">
        <f t="shared" si="23"/>
        <v>364.86074047238895</v>
      </c>
      <c r="K137" s="640"/>
      <c r="L137" s="631">
        <f t="shared" si="18"/>
        <v>0</v>
      </c>
      <c r="M137" s="631"/>
      <c r="N137" s="631">
        <f>IF(B137="","",VLOOKUP(TRIM(CONCATENATE($F$20," ",$F$17," ",$F$18," ",$F$22," ",$F$21," ",$F$16," ",$F$23," ",$F$24)),Condicione_Financieras_Patrimon!B:W,22,0)*1.16)</f>
        <v>0</v>
      </c>
      <c r="O137" s="631"/>
      <c r="P137" s="641"/>
      <c r="Q137" s="641"/>
      <c r="R137" s="631">
        <f>IF(OR(X136=0,X136=""),"",IF($F$21="Apoyo Infonavit",IF(D137&gt;=C137,0,MIN(IF($F$30="",0,Caratula_Patrimonial!$F$30),$AL$29*25)*10%),0))</f>
        <v>0</v>
      </c>
      <c r="S137" s="631"/>
      <c r="T137" s="424">
        <f>IF(B137="","",'Tabla_Puntual&amp;Relacionamiento'!$B$74)</f>
        <v>0.1</v>
      </c>
      <c r="U137" s="424"/>
      <c r="V137" s="642">
        <f t="shared" si="19"/>
        <v>11630.499347964478</v>
      </c>
      <c r="W137" s="642"/>
      <c r="X137" s="642">
        <f t="shared" si="20"/>
        <v>825979.19691589149</v>
      </c>
      <c r="Y137" s="642"/>
      <c r="AL137" s="420">
        <f t="shared" si="24"/>
        <v>10160</v>
      </c>
      <c r="AM137" s="421">
        <f t="shared" si="27"/>
        <v>10524.86074047239</v>
      </c>
      <c r="AN137" s="637"/>
      <c r="AO137" s="637"/>
      <c r="AP137" s="634"/>
      <c r="AQ137" s="634"/>
      <c r="AR137" s="427"/>
      <c r="AS137" s="522">
        <f t="shared" si="25"/>
        <v>0</v>
      </c>
    </row>
    <row r="138" spans="2:45" x14ac:dyDescent="0.25">
      <c r="B138" s="426">
        <f t="shared" si="21"/>
        <v>75</v>
      </c>
      <c r="C138" s="423">
        <f t="shared" si="22"/>
        <v>825979.19691589149</v>
      </c>
      <c r="D138" s="643">
        <f t="shared" si="26"/>
        <v>3276.8400257009043</v>
      </c>
      <c r="E138" s="643"/>
      <c r="F138" s="643">
        <f t="shared" si="16"/>
        <v>6883.1599742990957</v>
      </c>
      <c r="G138" s="643"/>
      <c r="H138" s="671">
        <f t="shared" si="17"/>
        <v>1101.3055958878554</v>
      </c>
      <c r="I138" s="671"/>
      <c r="J138" s="640">
        <f t="shared" si="23"/>
        <v>363.43084664299226</v>
      </c>
      <c r="K138" s="640"/>
      <c r="L138" s="631">
        <f t="shared" si="18"/>
        <v>0</v>
      </c>
      <c r="M138" s="631"/>
      <c r="N138" s="631">
        <f>IF(B138="","",VLOOKUP(TRIM(CONCATENATE($F$20," ",$F$17," ",$F$18," ",$F$22," ",$F$21," ",$F$16," ",$F$23," ",$F$24)),Condicione_Financieras_Patrimon!B:W,22,0)*1.16)</f>
        <v>0</v>
      </c>
      <c r="O138" s="631"/>
      <c r="P138" s="641"/>
      <c r="Q138" s="641"/>
      <c r="R138" s="631"/>
      <c r="S138" s="631"/>
      <c r="T138" s="424">
        <f>IF(B138="","",'Tabla_Puntual&amp;Relacionamiento'!$B$74)</f>
        <v>0.1</v>
      </c>
      <c r="U138" s="424"/>
      <c r="V138" s="642">
        <f t="shared" si="19"/>
        <v>11624.736442530848</v>
      </c>
      <c r="W138" s="642"/>
      <c r="X138" s="642">
        <f t="shared" si="20"/>
        <v>822702.35689019063</v>
      </c>
      <c r="Y138" s="642"/>
      <c r="AL138" s="420">
        <f t="shared" si="24"/>
        <v>10160</v>
      </c>
      <c r="AM138" s="421">
        <f t="shared" si="27"/>
        <v>10523.430846642992</v>
      </c>
      <c r="AN138" s="637"/>
      <c r="AO138" s="637"/>
      <c r="AP138" s="634"/>
      <c r="AQ138" s="634"/>
      <c r="AR138" s="427"/>
      <c r="AS138" s="522">
        <f t="shared" si="25"/>
        <v>0</v>
      </c>
    </row>
    <row r="139" spans="2:45" x14ac:dyDescent="0.25">
      <c r="B139" s="426">
        <f t="shared" si="21"/>
        <v>76</v>
      </c>
      <c r="C139" s="423">
        <f t="shared" si="22"/>
        <v>822702.35689019063</v>
      </c>
      <c r="D139" s="643">
        <f t="shared" si="26"/>
        <v>3304.1470259150783</v>
      </c>
      <c r="E139" s="643"/>
      <c r="F139" s="643">
        <f t="shared" si="16"/>
        <v>6855.8529740849217</v>
      </c>
      <c r="G139" s="643"/>
      <c r="H139" s="671">
        <f t="shared" si="17"/>
        <v>1096.9364758535876</v>
      </c>
      <c r="I139" s="671"/>
      <c r="J139" s="640">
        <f t="shared" si="23"/>
        <v>361.98903703168389</v>
      </c>
      <c r="K139" s="640"/>
      <c r="L139" s="631">
        <f t="shared" si="18"/>
        <v>0</v>
      </c>
      <c r="M139" s="631"/>
      <c r="N139" s="631">
        <f>IF(B139="","",VLOOKUP(TRIM(CONCATENATE($F$20," ",$F$17," ",$F$18," ",$F$22," ",$F$21," ",$F$16," ",$F$23," ",$F$24)),Condicione_Financieras_Patrimon!B:W,22,0)*1.16)</f>
        <v>0</v>
      </c>
      <c r="O139" s="631"/>
      <c r="P139" s="641"/>
      <c r="Q139" s="641"/>
      <c r="R139" s="631">
        <f>IF(OR(X138=0,X138=""),"",IF($F$21="Apoyo Infonavit",IF(D139&gt;=C139,0,MIN(IF($F$30="",0,Caratula_Patrimonial!$F$30),$AL$29*25)*10%),0))</f>
        <v>0</v>
      </c>
      <c r="S139" s="631"/>
      <c r="T139" s="424">
        <f>IF(B139="","",'Tabla_Puntual&amp;Relacionamiento'!$B$74)</f>
        <v>0.1</v>
      </c>
      <c r="U139" s="424"/>
      <c r="V139" s="642">
        <f t="shared" si="19"/>
        <v>11618.925512885273</v>
      </c>
      <c r="W139" s="642"/>
      <c r="X139" s="642">
        <f t="shared" si="20"/>
        <v>819398.20986427553</v>
      </c>
      <c r="Y139" s="642"/>
      <c r="AL139" s="420">
        <f t="shared" si="24"/>
        <v>10160</v>
      </c>
      <c r="AM139" s="421">
        <f t="shared" si="27"/>
        <v>10521.989037031684</v>
      </c>
      <c r="AN139" s="637"/>
      <c r="AO139" s="637"/>
      <c r="AP139" s="634"/>
      <c r="AQ139" s="634"/>
      <c r="AR139" s="427"/>
      <c r="AS139" s="522">
        <f t="shared" si="25"/>
        <v>0</v>
      </c>
    </row>
    <row r="140" spans="2:45" x14ac:dyDescent="0.25">
      <c r="B140" s="426">
        <f t="shared" si="21"/>
        <v>77</v>
      </c>
      <c r="C140" s="423">
        <f t="shared" si="22"/>
        <v>819398.20986427553</v>
      </c>
      <c r="D140" s="643">
        <f t="shared" si="26"/>
        <v>3331.6815844643706</v>
      </c>
      <c r="E140" s="643"/>
      <c r="F140" s="643">
        <f t="shared" si="16"/>
        <v>6828.3184155356294</v>
      </c>
      <c r="G140" s="643"/>
      <c r="H140" s="671">
        <f t="shared" si="17"/>
        <v>1092.5309464857007</v>
      </c>
      <c r="I140" s="671"/>
      <c r="J140" s="640">
        <f t="shared" si="23"/>
        <v>360.53521234028125</v>
      </c>
      <c r="K140" s="640"/>
      <c r="L140" s="631">
        <f t="shared" si="18"/>
        <v>0</v>
      </c>
      <c r="M140" s="631"/>
      <c r="N140" s="631">
        <f>IF(B140="","",VLOOKUP(TRIM(CONCATENATE($F$20," ",$F$17," ",$F$18," ",$F$22," ",$F$21," ",$F$16," ",$F$23," ",$F$24)),Condicione_Financieras_Patrimon!B:W,22,0)*1.16)</f>
        <v>0</v>
      </c>
      <c r="O140" s="631"/>
      <c r="P140" s="641"/>
      <c r="Q140" s="641"/>
      <c r="R140" s="631"/>
      <c r="S140" s="631"/>
      <c r="T140" s="424">
        <f>IF(B140="","",'Tabla_Puntual&amp;Relacionamiento'!$B$74)</f>
        <v>0.1</v>
      </c>
      <c r="U140" s="424"/>
      <c r="V140" s="642">
        <f t="shared" si="19"/>
        <v>11613.066158825981</v>
      </c>
      <c r="W140" s="642"/>
      <c r="X140" s="642">
        <f t="shared" si="20"/>
        <v>816066.52827981114</v>
      </c>
      <c r="Y140" s="642"/>
      <c r="AL140" s="420">
        <f t="shared" si="24"/>
        <v>10160</v>
      </c>
      <c r="AM140" s="421">
        <f t="shared" si="27"/>
        <v>10520.535212340281</v>
      </c>
      <c r="AN140" s="637"/>
      <c r="AO140" s="637"/>
      <c r="AP140" s="634"/>
      <c r="AQ140" s="634"/>
      <c r="AR140" s="427"/>
      <c r="AS140" s="522">
        <f t="shared" si="25"/>
        <v>0</v>
      </c>
    </row>
    <row r="141" spans="2:45" x14ac:dyDescent="0.25">
      <c r="B141" s="426">
        <f t="shared" si="21"/>
        <v>78</v>
      </c>
      <c r="C141" s="423">
        <f t="shared" si="22"/>
        <v>816066.52827981114</v>
      </c>
      <c r="D141" s="643">
        <f t="shared" si="26"/>
        <v>3359.4455976682402</v>
      </c>
      <c r="E141" s="643"/>
      <c r="F141" s="643">
        <f t="shared" si="16"/>
        <v>6800.5544023317598</v>
      </c>
      <c r="G141" s="643"/>
      <c r="H141" s="671">
        <f t="shared" si="17"/>
        <v>1088.0887043730816</v>
      </c>
      <c r="I141" s="671"/>
      <c r="J141" s="640">
        <f t="shared" si="23"/>
        <v>359.06927244311692</v>
      </c>
      <c r="K141" s="640"/>
      <c r="L141" s="631">
        <f t="shared" si="18"/>
        <v>0</v>
      </c>
      <c r="M141" s="631"/>
      <c r="N141" s="631">
        <f>IF(B141="","",VLOOKUP(TRIM(CONCATENATE($F$20," ",$F$17," ",$F$18," ",$F$22," ",$F$21," ",$F$16," ",$F$23," ",$F$24)),Condicione_Financieras_Patrimon!B:W,22,0)*1.16)</f>
        <v>0</v>
      </c>
      <c r="O141" s="631"/>
      <c r="P141" s="641"/>
      <c r="Q141" s="641"/>
      <c r="R141" s="631">
        <f>IF(OR(X140=0,X140=""),"",IF($F$21="Apoyo Infonavit",IF(D141&gt;=C141,0,MIN(IF($F$30="",0,Caratula_Patrimonial!$F$30),$AL$29*25)*10%),0))</f>
        <v>0</v>
      </c>
      <c r="S141" s="631"/>
      <c r="T141" s="424">
        <f>IF(B141="","",'Tabla_Puntual&amp;Relacionamiento'!$B$74)</f>
        <v>0.1</v>
      </c>
      <c r="U141" s="424"/>
      <c r="V141" s="642">
        <f t="shared" si="19"/>
        <v>11607.157976816199</v>
      </c>
      <c r="W141" s="642"/>
      <c r="X141" s="642">
        <f t="shared" si="20"/>
        <v>812707.08268214285</v>
      </c>
      <c r="Y141" s="642"/>
      <c r="AL141" s="420">
        <f t="shared" si="24"/>
        <v>10160</v>
      </c>
      <c r="AM141" s="421">
        <f t="shared" si="27"/>
        <v>10519.069272443117</v>
      </c>
      <c r="AN141" s="637"/>
      <c r="AO141" s="637"/>
      <c r="AP141" s="634"/>
      <c r="AQ141" s="634"/>
      <c r="AR141" s="427"/>
      <c r="AS141" s="522">
        <f t="shared" si="25"/>
        <v>0</v>
      </c>
    </row>
    <row r="142" spans="2:45" x14ac:dyDescent="0.25">
      <c r="B142" s="426">
        <f t="shared" si="21"/>
        <v>79</v>
      </c>
      <c r="C142" s="423">
        <f t="shared" si="22"/>
        <v>812707.08268214285</v>
      </c>
      <c r="D142" s="643">
        <f t="shared" si="26"/>
        <v>3387.4409776488101</v>
      </c>
      <c r="E142" s="643"/>
      <c r="F142" s="643">
        <f t="shared" si="16"/>
        <v>6772.5590223511899</v>
      </c>
      <c r="G142" s="643"/>
      <c r="H142" s="671">
        <f t="shared" si="17"/>
        <v>1083.6094435761904</v>
      </c>
      <c r="I142" s="671"/>
      <c r="J142" s="640">
        <f t="shared" si="23"/>
        <v>357.59111638014286</v>
      </c>
      <c r="K142" s="640"/>
      <c r="L142" s="631">
        <f t="shared" si="18"/>
        <v>0</v>
      </c>
      <c r="M142" s="631"/>
      <c r="N142" s="631">
        <f>IF(B142="","",VLOOKUP(TRIM(CONCATENATE($F$20," ",$F$17," ",$F$18," ",$F$22," ",$F$21," ",$F$16," ",$F$23," ",$F$24)),Condicione_Financieras_Patrimon!B:W,22,0)*1.16)</f>
        <v>0</v>
      </c>
      <c r="O142" s="631"/>
      <c r="P142" s="641"/>
      <c r="Q142" s="641"/>
      <c r="R142" s="631"/>
      <c r="S142" s="631"/>
      <c r="T142" s="424">
        <f>IF(B142="","",'Tabla_Puntual&amp;Relacionamiento'!$B$74)</f>
        <v>0.1</v>
      </c>
      <c r="U142" s="424"/>
      <c r="V142" s="642">
        <f t="shared" si="19"/>
        <v>11601.200559956333</v>
      </c>
      <c r="W142" s="642"/>
      <c r="X142" s="642">
        <f t="shared" si="20"/>
        <v>809319.64170449402</v>
      </c>
      <c r="Y142" s="642"/>
      <c r="AL142" s="420">
        <f t="shared" si="24"/>
        <v>10160</v>
      </c>
      <c r="AM142" s="421">
        <f t="shared" si="27"/>
        <v>10517.591116380143</v>
      </c>
      <c r="AN142" s="637"/>
      <c r="AO142" s="637"/>
      <c r="AP142" s="634"/>
      <c r="AQ142" s="634"/>
      <c r="AR142" s="427"/>
      <c r="AS142" s="522">
        <f t="shared" si="25"/>
        <v>0</v>
      </c>
    </row>
    <row r="143" spans="2:45" x14ac:dyDescent="0.25">
      <c r="B143" s="426">
        <f t="shared" si="21"/>
        <v>80</v>
      </c>
      <c r="C143" s="423">
        <f t="shared" si="22"/>
        <v>809319.64170449402</v>
      </c>
      <c r="D143" s="643">
        <f t="shared" si="26"/>
        <v>3415.6696524625504</v>
      </c>
      <c r="E143" s="643"/>
      <c r="F143" s="643">
        <f t="shared" si="16"/>
        <v>6744.3303475374496</v>
      </c>
      <c r="G143" s="643"/>
      <c r="H143" s="671">
        <f t="shared" si="17"/>
        <v>1079.0928556059919</v>
      </c>
      <c r="I143" s="671"/>
      <c r="J143" s="640">
        <f t="shared" si="23"/>
        <v>356.10064234997742</v>
      </c>
      <c r="K143" s="640"/>
      <c r="L143" s="631">
        <f t="shared" si="18"/>
        <v>0</v>
      </c>
      <c r="M143" s="631"/>
      <c r="N143" s="631">
        <f>IF(B143="","",VLOOKUP(TRIM(CONCATENATE($F$20," ",$F$17," ",$F$18," ",$F$22," ",$F$21," ",$F$16," ",$F$23," ",$F$24)),Condicione_Financieras_Patrimon!B:W,22,0)*1.16)</f>
        <v>0</v>
      </c>
      <c r="O143" s="631"/>
      <c r="P143" s="641"/>
      <c r="Q143" s="641"/>
      <c r="R143" s="631">
        <f>IF(OR(X142=0,X142=""),"",IF($F$21="Apoyo Infonavit",IF(D143&gt;=C143,0,MIN(IF($F$30="",0,Caratula_Patrimonial!$F$30),$AL$29*25)*10%),0))</f>
        <v>0</v>
      </c>
      <c r="S143" s="631"/>
      <c r="T143" s="424">
        <f>IF(B143="","",'Tabla_Puntual&amp;Relacionamiento'!$B$74)</f>
        <v>0.1</v>
      </c>
      <c r="U143" s="424"/>
      <c r="V143" s="642">
        <f t="shared" si="19"/>
        <v>11595.193497955968</v>
      </c>
      <c r="W143" s="642"/>
      <c r="X143" s="642">
        <f t="shared" si="20"/>
        <v>805903.97205203143</v>
      </c>
      <c r="Y143" s="642"/>
      <c r="AL143" s="420">
        <f t="shared" si="24"/>
        <v>10160</v>
      </c>
      <c r="AM143" s="421">
        <f t="shared" si="27"/>
        <v>10516.100642349977</v>
      </c>
      <c r="AN143" s="637"/>
      <c r="AO143" s="637"/>
      <c r="AP143" s="634"/>
      <c r="AQ143" s="634"/>
      <c r="AR143" s="427"/>
      <c r="AS143" s="522">
        <f t="shared" si="25"/>
        <v>0</v>
      </c>
    </row>
    <row r="144" spans="2:45" x14ac:dyDescent="0.25">
      <c r="B144" s="426">
        <f t="shared" si="21"/>
        <v>81</v>
      </c>
      <c r="C144" s="423">
        <f t="shared" si="22"/>
        <v>805903.97205203143</v>
      </c>
      <c r="D144" s="643">
        <f t="shared" si="26"/>
        <v>3444.1335662330712</v>
      </c>
      <c r="E144" s="643"/>
      <c r="F144" s="643">
        <f t="shared" si="16"/>
        <v>6715.8664337669288</v>
      </c>
      <c r="G144" s="643"/>
      <c r="H144" s="671">
        <f t="shared" si="17"/>
        <v>1074.5386294027087</v>
      </c>
      <c r="I144" s="671"/>
      <c r="J144" s="640">
        <f t="shared" si="23"/>
        <v>354.59774770289386</v>
      </c>
      <c r="K144" s="640"/>
      <c r="L144" s="631">
        <f t="shared" si="18"/>
        <v>0</v>
      </c>
      <c r="M144" s="631"/>
      <c r="N144" s="631">
        <f>IF(B144="","",VLOOKUP(TRIM(CONCATENATE($F$20," ",$F$17," ",$F$18," ",$F$22," ",$F$21," ",$F$16," ",$F$23," ",$F$24)),Condicione_Financieras_Patrimon!B:W,22,0)*1.16)</f>
        <v>0</v>
      </c>
      <c r="O144" s="631"/>
      <c r="P144" s="641"/>
      <c r="Q144" s="641"/>
      <c r="R144" s="631"/>
      <c r="S144" s="631"/>
      <c r="T144" s="424">
        <f>IF(B144="","",'Tabla_Puntual&amp;Relacionamiento'!$B$74)</f>
        <v>0.1</v>
      </c>
      <c r="U144" s="424"/>
      <c r="V144" s="642">
        <f t="shared" si="19"/>
        <v>11589.136377105602</v>
      </c>
      <c r="W144" s="642"/>
      <c r="X144" s="642">
        <f t="shared" si="20"/>
        <v>802459.83848579833</v>
      </c>
      <c r="Y144" s="642"/>
      <c r="AL144" s="420">
        <f t="shared" si="24"/>
        <v>10160</v>
      </c>
      <c r="AM144" s="421">
        <f t="shared" si="27"/>
        <v>10514.597747702894</v>
      </c>
      <c r="AN144" s="637"/>
      <c r="AO144" s="637"/>
      <c r="AP144" s="634"/>
      <c r="AQ144" s="634"/>
      <c r="AR144" s="427"/>
      <c r="AS144" s="522">
        <f t="shared" si="25"/>
        <v>0</v>
      </c>
    </row>
    <row r="145" spans="2:45" x14ac:dyDescent="0.25">
      <c r="B145" s="426">
        <f t="shared" si="21"/>
        <v>82</v>
      </c>
      <c r="C145" s="423">
        <f t="shared" si="22"/>
        <v>802459.83848579833</v>
      </c>
      <c r="D145" s="643">
        <f t="shared" si="26"/>
        <v>3472.8346792850143</v>
      </c>
      <c r="E145" s="643"/>
      <c r="F145" s="643">
        <f t="shared" si="16"/>
        <v>6687.1653207149857</v>
      </c>
      <c r="G145" s="643"/>
      <c r="H145" s="671">
        <f t="shared" si="17"/>
        <v>1069.9464513143978</v>
      </c>
      <c r="I145" s="671"/>
      <c r="J145" s="640">
        <f t="shared" si="23"/>
        <v>353.08232893375128</v>
      </c>
      <c r="K145" s="640"/>
      <c r="L145" s="631">
        <f t="shared" si="18"/>
        <v>0</v>
      </c>
      <c r="M145" s="631"/>
      <c r="N145" s="631">
        <f>IF(B145="","",VLOOKUP(TRIM(CONCATENATE($F$20," ",$F$17," ",$F$18," ",$F$22," ",$F$21," ",$F$16," ",$F$23," ",$F$24)),Condicione_Financieras_Patrimon!B:W,22,0)*1.16)</f>
        <v>0</v>
      </c>
      <c r="O145" s="631"/>
      <c r="P145" s="641"/>
      <c r="Q145" s="641"/>
      <c r="R145" s="631">
        <f>IF(OR(X144=0,X144=""),"",IF($F$21="Apoyo Infonavit",IF(D145&gt;=C145,0,MIN(IF($F$30="",0,Caratula_Patrimonial!$F$30),$AL$29*25)*10%),0))</f>
        <v>0</v>
      </c>
      <c r="S145" s="631"/>
      <c r="T145" s="424">
        <f>IF(B145="","",'Tabla_Puntual&amp;Relacionamiento'!$B$74)</f>
        <v>0.1</v>
      </c>
      <c r="U145" s="424"/>
      <c r="V145" s="642">
        <f t="shared" si="19"/>
        <v>11583.028780248149</v>
      </c>
      <c r="W145" s="642"/>
      <c r="X145" s="642">
        <f t="shared" si="20"/>
        <v>798987.00380651327</v>
      </c>
      <c r="Y145" s="642"/>
      <c r="AL145" s="420">
        <f t="shared" si="24"/>
        <v>10160</v>
      </c>
      <c r="AM145" s="421">
        <f t="shared" si="27"/>
        <v>10513.082328933751</v>
      </c>
      <c r="AN145" s="637"/>
      <c r="AO145" s="637"/>
      <c r="AP145" s="634"/>
      <c r="AQ145" s="634"/>
      <c r="AR145" s="427"/>
      <c r="AS145" s="522">
        <f t="shared" si="25"/>
        <v>0</v>
      </c>
    </row>
    <row r="146" spans="2:45" x14ac:dyDescent="0.25">
      <c r="B146" s="426">
        <f t="shared" si="21"/>
        <v>83</v>
      </c>
      <c r="C146" s="423">
        <f t="shared" si="22"/>
        <v>798987.00380651327</v>
      </c>
      <c r="D146" s="643">
        <f t="shared" si="26"/>
        <v>3501.7749682790563</v>
      </c>
      <c r="E146" s="643"/>
      <c r="F146" s="643">
        <f t="shared" si="16"/>
        <v>6658.2250317209437</v>
      </c>
      <c r="G146" s="643"/>
      <c r="H146" s="671">
        <f t="shared" si="17"/>
        <v>1065.3160050753511</v>
      </c>
      <c r="I146" s="671"/>
      <c r="J146" s="640">
        <f t="shared" si="23"/>
        <v>351.55428167486588</v>
      </c>
      <c r="K146" s="640"/>
      <c r="L146" s="631">
        <f t="shared" si="18"/>
        <v>0</v>
      </c>
      <c r="M146" s="631"/>
      <c r="N146" s="631">
        <f>IF(B146="","",VLOOKUP(TRIM(CONCATENATE($F$20," ",$F$17," ",$F$18," ",$F$22," ",$F$21," ",$F$16," ",$F$23," ",$F$24)),Condicione_Financieras_Patrimon!B:W,22,0)*1.16)</f>
        <v>0</v>
      </c>
      <c r="O146" s="631"/>
      <c r="P146" s="641"/>
      <c r="Q146" s="641"/>
      <c r="R146" s="631"/>
      <c r="S146" s="631"/>
      <c r="T146" s="424">
        <f>IF(B146="","",'Tabla_Puntual&amp;Relacionamiento'!$B$74)</f>
        <v>0.1</v>
      </c>
      <c r="U146" s="424"/>
      <c r="V146" s="642">
        <f t="shared" si="19"/>
        <v>11576.870286750216</v>
      </c>
      <c r="W146" s="642"/>
      <c r="X146" s="642">
        <f t="shared" si="20"/>
        <v>795485.22883823421</v>
      </c>
      <c r="Y146" s="642"/>
      <c r="AL146" s="420">
        <f t="shared" si="24"/>
        <v>10160</v>
      </c>
      <c r="AM146" s="421">
        <f t="shared" si="27"/>
        <v>10511.554281674866</v>
      </c>
      <c r="AN146" s="637"/>
      <c r="AO146" s="637"/>
      <c r="AP146" s="634"/>
      <c r="AQ146" s="634"/>
      <c r="AR146" s="427"/>
      <c r="AS146" s="522">
        <f t="shared" si="25"/>
        <v>0</v>
      </c>
    </row>
    <row r="147" spans="2:45" x14ac:dyDescent="0.25">
      <c r="B147" s="426">
        <f t="shared" si="21"/>
        <v>84</v>
      </c>
      <c r="C147" s="423">
        <f t="shared" si="22"/>
        <v>795485.22883823421</v>
      </c>
      <c r="D147" s="643">
        <f t="shared" si="26"/>
        <v>3530.9564263480488</v>
      </c>
      <c r="E147" s="643"/>
      <c r="F147" s="643">
        <f t="shared" si="16"/>
        <v>6629.0435736519512</v>
      </c>
      <c r="G147" s="643"/>
      <c r="H147" s="671">
        <f t="shared" si="17"/>
        <v>1060.6469717843122</v>
      </c>
      <c r="I147" s="671"/>
      <c r="J147" s="640">
        <f t="shared" si="23"/>
        <v>350.01350068882306</v>
      </c>
      <c r="K147" s="640"/>
      <c r="L147" s="631">
        <f t="shared" si="18"/>
        <v>0</v>
      </c>
      <c r="M147" s="631"/>
      <c r="N147" s="631">
        <f>IF(B147="","",VLOOKUP(TRIM(CONCATENATE($F$20," ",$F$17," ",$F$18," ",$F$22," ",$F$21," ",$F$16," ",$F$23," ",$F$24)),Condicione_Financieras_Patrimon!B:W,22,0)*1.16)</f>
        <v>0</v>
      </c>
      <c r="O147" s="631"/>
      <c r="P147" s="641"/>
      <c r="Q147" s="641"/>
      <c r="R147" s="631">
        <f>IF(OR(X146=0,X146=""),"",IF($F$21="Apoyo Infonavit",IF(D147&gt;=C147,0,MIN(IF($F$30="",0,Caratula_Patrimonial!$F$30),$AL$29*25)*10%),0))</f>
        <v>0</v>
      </c>
      <c r="S147" s="631"/>
      <c r="T147" s="424">
        <f>IF(B147="","",'Tabla_Puntual&amp;Relacionamiento'!$B$74)</f>
        <v>0.1</v>
      </c>
      <c r="U147" s="424"/>
      <c r="V147" s="642">
        <f t="shared" si="19"/>
        <v>11570.660472473135</v>
      </c>
      <c r="W147" s="642"/>
      <c r="X147" s="642">
        <f t="shared" si="20"/>
        <v>791954.27241188614</v>
      </c>
      <c r="Y147" s="642"/>
      <c r="AL147" s="420">
        <f t="shared" si="24"/>
        <v>10160</v>
      </c>
      <c r="AM147" s="421">
        <f t="shared" si="27"/>
        <v>10510.013500688823</v>
      </c>
      <c r="AN147" s="637"/>
      <c r="AO147" s="637"/>
      <c r="AP147" s="634"/>
      <c r="AQ147" s="634"/>
      <c r="AR147" s="427"/>
      <c r="AS147" s="522">
        <f t="shared" si="25"/>
        <v>0</v>
      </c>
    </row>
    <row r="148" spans="2:45" x14ac:dyDescent="0.25">
      <c r="B148" s="426">
        <f t="shared" si="21"/>
        <v>85</v>
      </c>
      <c r="C148" s="423">
        <f t="shared" si="22"/>
        <v>791954.27241188614</v>
      </c>
      <c r="D148" s="643">
        <f t="shared" si="26"/>
        <v>3560.381063234282</v>
      </c>
      <c r="E148" s="643"/>
      <c r="F148" s="643">
        <f t="shared" si="16"/>
        <v>6599.618936765718</v>
      </c>
      <c r="G148" s="643"/>
      <c r="H148" s="671">
        <f t="shared" si="17"/>
        <v>1055.9390298825149</v>
      </c>
      <c r="I148" s="671"/>
      <c r="J148" s="640">
        <f t="shared" si="23"/>
        <v>348.45987986122992</v>
      </c>
      <c r="K148" s="640"/>
      <c r="L148" s="631">
        <f t="shared" si="18"/>
        <v>0</v>
      </c>
      <c r="M148" s="631"/>
      <c r="N148" s="631">
        <f>IF(B148="","",VLOOKUP(TRIM(CONCATENATE($F$20," ",$F$17," ",$F$18," ",$F$22," ",$F$21," ",$F$16," ",$F$23," ",$F$24)),Condicione_Financieras_Patrimon!B:W,22,0)*1.16)</f>
        <v>0</v>
      </c>
      <c r="O148" s="631"/>
      <c r="P148" s="641"/>
      <c r="Q148" s="641"/>
      <c r="R148" s="631"/>
      <c r="S148" s="631"/>
      <c r="T148" s="424">
        <f>IF(B148="","",'Tabla_Puntual&amp;Relacionamiento'!$B$75)</f>
        <v>0.1</v>
      </c>
      <c r="U148" s="424" t="str">
        <f>IF(B148="","",IF($F$16="Pago_Bajo_Puntual",0.019,""))</f>
        <v/>
      </c>
      <c r="V148" s="642">
        <f t="shared" si="19"/>
        <v>11564.398909743744</v>
      </c>
      <c r="W148" s="642"/>
      <c r="X148" s="642">
        <f t="shared" si="20"/>
        <v>788393.89134865184</v>
      </c>
      <c r="Y148" s="642"/>
      <c r="AL148" s="420">
        <f t="shared" si="24"/>
        <v>10160</v>
      </c>
      <c r="AM148" s="421">
        <f t="shared" si="27"/>
        <v>10508.45987986123</v>
      </c>
      <c r="AN148" s="637"/>
      <c r="AO148" s="637"/>
      <c r="AP148" s="634"/>
      <c r="AQ148" s="634"/>
      <c r="AR148" s="427"/>
      <c r="AS148" s="522">
        <f t="shared" si="25"/>
        <v>0</v>
      </c>
    </row>
    <row r="149" spans="2:45" x14ac:dyDescent="0.25">
      <c r="B149" s="426">
        <f t="shared" si="21"/>
        <v>86</v>
      </c>
      <c r="C149" s="423">
        <f t="shared" si="22"/>
        <v>788393.89134865184</v>
      </c>
      <c r="D149" s="643">
        <f t="shared" si="26"/>
        <v>3590.0509054279019</v>
      </c>
      <c r="E149" s="643"/>
      <c r="F149" s="643">
        <f t="shared" si="16"/>
        <v>6569.9490945720981</v>
      </c>
      <c r="G149" s="643"/>
      <c r="H149" s="671">
        <f t="shared" si="17"/>
        <v>1051.1918551315357</v>
      </c>
      <c r="I149" s="671"/>
      <c r="J149" s="640">
        <f t="shared" si="23"/>
        <v>346.89331219340681</v>
      </c>
      <c r="K149" s="640"/>
      <c r="L149" s="631">
        <f t="shared" si="18"/>
        <v>0</v>
      </c>
      <c r="M149" s="631"/>
      <c r="N149" s="631">
        <f>IF(B149="","",VLOOKUP(TRIM(CONCATENATE($F$20," ",$F$17," ",$F$18," ",$F$22," ",$F$21," ",$F$16," ",$F$23," ",$F$24)),Condicione_Financieras_Patrimon!B:W,22,0)*1.16)</f>
        <v>0</v>
      </c>
      <c r="O149" s="631"/>
      <c r="P149" s="641"/>
      <c r="Q149" s="641"/>
      <c r="R149" s="631">
        <f>IF(OR(X148=0,X148=""),"",IF($F$21="Apoyo Infonavit",IF(D149&gt;=C149,0,MIN(IF($F$30="",0,Caratula_Patrimonial!$F$30),$AL$29*25)*10%),0))</f>
        <v>0</v>
      </c>
      <c r="S149" s="631"/>
      <c r="T149" s="424">
        <f>IF(B149="","",'Tabla_Puntual&amp;Relacionamiento'!$B$75)</f>
        <v>0.1</v>
      </c>
      <c r="U149" s="424"/>
      <c r="V149" s="642">
        <f t="shared" si="19"/>
        <v>11558.085167324942</v>
      </c>
      <c r="W149" s="642"/>
      <c r="X149" s="642">
        <f t="shared" si="20"/>
        <v>784803.84044322395</v>
      </c>
      <c r="Y149" s="642"/>
      <c r="AL149" s="420">
        <f t="shared" si="24"/>
        <v>10160</v>
      </c>
      <c r="AM149" s="421">
        <f t="shared" si="27"/>
        <v>10506.893312193406</v>
      </c>
      <c r="AN149" s="637"/>
      <c r="AO149" s="637"/>
      <c r="AP149" s="634"/>
      <c r="AQ149" s="634"/>
      <c r="AR149" s="427"/>
      <c r="AS149" s="522">
        <f t="shared" si="25"/>
        <v>0</v>
      </c>
    </row>
    <row r="150" spans="2:45" x14ac:dyDescent="0.25">
      <c r="B150" s="426">
        <f t="shared" si="21"/>
        <v>87</v>
      </c>
      <c r="C150" s="423">
        <f t="shared" si="22"/>
        <v>784803.84044322395</v>
      </c>
      <c r="D150" s="643">
        <f t="shared" si="26"/>
        <v>3619.9679963064673</v>
      </c>
      <c r="E150" s="643"/>
      <c r="F150" s="643">
        <f t="shared" si="16"/>
        <v>6540.0320036935327</v>
      </c>
      <c r="G150" s="643"/>
      <c r="H150" s="671">
        <f t="shared" si="17"/>
        <v>1046.4051205909652</v>
      </c>
      <c r="I150" s="671"/>
      <c r="J150" s="640">
        <f t="shared" si="23"/>
        <v>345.31368979501855</v>
      </c>
      <c r="K150" s="640"/>
      <c r="L150" s="631">
        <f t="shared" si="18"/>
        <v>0</v>
      </c>
      <c r="M150" s="631"/>
      <c r="N150" s="631">
        <f>IF(B150="","",VLOOKUP(TRIM(CONCATENATE($F$20," ",$F$17," ",$F$18," ",$F$22," ",$F$21," ",$F$16," ",$F$23," ",$F$24)),Condicione_Financieras_Patrimon!B:W,22,0)*1.16)</f>
        <v>0</v>
      </c>
      <c r="O150" s="631"/>
      <c r="P150" s="641"/>
      <c r="Q150" s="641"/>
      <c r="R150" s="631"/>
      <c r="S150" s="631"/>
      <c r="T150" s="424">
        <f>IF(B150="","",'Tabla_Puntual&amp;Relacionamiento'!$B$75)</f>
        <v>0.1</v>
      </c>
      <c r="U150" s="424"/>
      <c r="V150" s="642">
        <f t="shared" si="19"/>
        <v>11551.718810385984</v>
      </c>
      <c r="W150" s="642"/>
      <c r="X150" s="642">
        <f t="shared" si="20"/>
        <v>781183.87244691746</v>
      </c>
      <c r="Y150" s="642"/>
      <c r="AL150" s="420">
        <f t="shared" si="24"/>
        <v>10160</v>
      </c>
      <c r="AM150" s="421">
        <f t="shared" si="27"/>
        <v>10505.313689795019</v>
      </c>
      <c r="AN150" s="637"/>
      <c r="AO150" s="637"/>
      <c r="AP150" s="634"/>
      <c r="AQ150" s="634"/>
      <c r="AR150" s="427"/>
      <c r="AS150" s="522">
        <f t="shared" si="25"/>
        <v>0</v>
      </c>
    </row>
    <row r="151" spans="2:45" x14ac:dyDescent="0.25">
      <c r="B151" s="426">
        <f t="shared" si="21"/>
        <v>88</v>
      </c>
      <c r="C151" s="423">
        <f t="shared" si="22"/>
        <v>781183.87244691746</v>
      </c>
      <c r="D151" s="643">
        <f t="shared" si="26"/>
        <v>3650.1343962756882</v>
      </c>
      <c r="E151" s="643"/>
      <c r="F151" s="643">
        <f t="shared" si="16"/>
        <v>6509.8656037243118</v>
      </c>
      <c r="G151" s="643"/>
      <c r="H151" s="671">
        <f t="shared" si="17"/>
        <v>1041.5784965958899</v>
      </c>
      <c r="I151" s="671"/>
      <c r="J151" s="640">
        <f t="shared" si="23"/>
        <v>343.72090387664366</v>
      </c>
      <c r="K151" s="640"/>
      <c r="L151" s="631">
        <f t="shared" si="18"/>
        <v>0</v>
      </c>
      <c r="M151" s="631"/>
      <c r="N151" s="631">
        <f>IF(B151="","",VLOOKUP(TRIM(CONCATENATE($F$20," ",$F$17," ",$F$18," ",$F$22," ",$F$21," ",$F$16," ",$F$23," ",$F$24)),Condicione_Financieras_Patrimon!B:W,22,0)*1.16)</f>
        <v>0</v>
      </c>
      <c r="O151" s="631"/>
      <c r="P151" s="641"/>
      <c r="Q151" s="641"/>
      <c r="R151" s="631">
        <f>IF(OR(X150=0,X150=""),"",IF($F$21="Apoyo Infonavit",IF(D151&gt;=C151,0,MIN(IF($F$30="",0,Caratula_Patrimonial!$F$30),$AL$29*25)*10%),0))</f>
        <v>0</v>
      </c>
      <c r="S151" s="631"/>
      <c r="T151" s="424">
        <f>IF(B151="","",'Tabla_Puntual&amp;Relacionamiento'!$B$75)</f>
        <v>0.1</v>
      </c>
      <c r="U151" s="424"/>
      <c r="V151" s="642">
        <f t="shared" si="19"/>
        <v>11545.299400472533</v>
      </c>
      <c r="W151" s="642"/>
      <c r="X151" s="642">
        <f t="shared" si="20"/>
        <v>777533.73805064172</v>
      </c>
      <c r="Y151" s="642"/>
      <c r="AL151" s="420">
        <f t="shared" si="24"/>
        <v>10160</v>
      </c>
      <c r="AM151" s="421">
        <f t="shared" si="27"/>
        <v>10503.720903876643</v>
      </c>
      <c r="AN151" s="637"/>
      <c r="AO151" s="637"/>
      <c r="AP151" s="634"/>
      <c r="AQ151" s="634"/>
      <c r="AR151" s="427"/>
      <c r="AS151" s="522">
        <f t="shared" si="25"/>
        <v>0</v>
      </c>
    </row>
    <row r="152" spans="2:45" x14ac:dyDescent="0.25">
      <c r="B152" s="426">
        <f t="shared" si="21"/>
        <v>89</v>
      </c>
      <c r="C152" s="423">
        <f t="shared" si="22"/>
        <v>777533.73805064172</v>
      </c>
      <c r="D152" s="643">
        <f t="shared" si="26"/>
        <v>3680.5521829113186</v>
      </c>
      <c r="E152" s="643"/>
      <c r="F152" s="643">
        <f t="shared" si="16"/>
        <v>6479.4478170886814</v>
      </c>
      <c r="G152" s="643"/>
      <c r="H152" s="671">
        <f t="shared" si="17"/>
        <v>1036.7116507341891</v>
      </c>
      <c r="I152" s="671"/>
      <c r="J152" s="640">
        <f t="shared" si="23"/>
        <v>342.11484474228234</v>
      </c>
      <c r="K152" s="640"/>
      <c r="L152" s="631">
        <f t="shared" si="18"/>
        <v>0</v>
      </c>
      <c r="M152" s="631"/>
      <c r="N152" s="631">
        <f>IF(B152="","",VLOOKUP(TRIM(CONCATENATE($F$20," ",$F$17," ",$F$18," ",$F$22," ",$F$21," ",$F$16," ",$F$23," ",$F$24)),Condicione_Financieras_Patrimon!B:W,22,0)*1.16)</f>
        <v>0</v>
      </c>
      <c r="O152" s="631"/>
      <c r="P152" s="641"/>
      <c r="Q152" s="641"/>
      <c r="R152" s="631"/>
      <c r="S152" s="631"/>
      <c r="T152" s="424">
        <f>IF(B152="","",'Tabla_Puntual&amp;Relacionamiento'!$B$75)</f>
        <v>0.1</v>
      </c>
      <c r="U152" s="424"/>
      <c r="V152" s="642">
        <f t="shared" si="19"/>
        <v>11538.826495476471</v>
      </c>
      <c r="W152" s="642"/>
      <c r="X152" s="642">
        <f t="shared" si="20"/>
        <v>773853.18586773041</v>
      </c>
      <c r="Y152" s="642"/>
      <c r="AL152" s="420">
        <f t="shared" si="24"/>
        <v>10160</v>
      </c>
      <c r="AM152" s="421">
        <f t="shared" si="27"/>
        <v>10502.114844742282</v>
      </c>
      <c r="AN152" s="637"/>
      <c r="AO152" s="637"/>
      <c r="AP152" s="634"/>
      <c r="AQ152" s="634"/>
      <c r="AR152" s="427"/>
      <c r="AS152" s="522">
        <f t="shared" si="25"/>
        <v>0</v>
      </c>
    </row>
    <row r="153" spans="2:45" x14ac:dyDescent="0.25">
      <c r="B153" s="426">
        <f t="shared" si="21"/>
        <v>90</v>
      </c>
      <c r="C153" s="423">
        <f t="shared" si="22"/>
        <v>773853.18586773041</v>
      </c>
      <c r="D153" s="643">
        <f t="shared" si="26"/>
        <v>3711.2234511022471</v>
      </c>
      <c r="E153" s="643"/>
      <c r="F153" s="643">
        <f t="shared" si="16"/>
        <v>6448.7765488977529</v>
      </c>
      <c r="G153" s="643"/>
      <c r="H153" s="671">
        <f t="shared" si="17"/>
        <v>1031.8042478236405</v>
      </c>
      <c r="I153" s="671"/>
      <c r="J153" s="640">
        <f t="shared" si="23"/>
        <v>340.49540178180138</v>
      </c>
      <c r="K153" s="640"/>
      <c r="L153" s="631">
        <f t="shared" si="18"/>
        <v>0</v>
      </c>
      <c r="M153" s="631"/>
      <c r="N153" s="631">
        <f>IF(B153="","",VLOOKUP(TRIM(CONCATENATE($F$20," ",$F$17," ",$F$18," ",$F$22," ",$F$21," ",$F$16," ",$F$23," ",$F$24)),Condicione_Financieras_Patrimon!B:W,22,0)*1.16)</f>
        <v>0</v>
      </c>
      <c r="O153" s="631"/>
      <c r="P153" s="641"/>
      <c r="Q153" s="641"/>
      <c r="R153" s="631">
        <f>IF(OR(X152=0,X152=""),"",IF($F$21="Apoyo Infonavit",IF(D153&gt;=C153,0,MIN(IF($F$30="",0,Caratula_Patrimonial!$F$30),$AL$29*25)*10%),0))</f>
        <v>0</v>
      </c>
      <c r="S153" s="631"/>
      <c r="T153" s="424">
        <f>IF(B153="","",'Tabla_Puntual&amp;Relacionamiento'!$B$75)</f>
        <v>0.1</v>
      </c>
      <c r="U153" s="424"/>
      <c r="V153" s="642">
        <f t="shared" si="19"/>
        <v>11532.299649605442</v>
      </c>
      <c r="W153" s="642"/>
      <c r="X153" s="642">
        <f t="shared" si="20"/>
        <v>770141.96241662814</v>
      </c>
      <c r="Y153" s="642"/>
      <c r="AL153" s="420">
        <f t="shared" si="24"/>
        <v>10160</v>
      </c>
      <c r="AM153" s="421">
        <f t="shared" si="27"/>
        <v>10500.495401781802</v>
      </c>
      <c r="AN153" s="637"/>
      <c r="AO153" s="637"/>
      <c r="AP153" s="634"/>
      <c r="AQ153" s="634"/>
      <c r="AR153" s="427"/>
      <c r="AS153" s="522">
        <f t="shared" si="25"/>
        <v>0</v>
      </c>
    </row>
    <row r="154" spans="2:45" x14ac:dyDescent="0.25">
      <c r="B154" s="426">
        <f t="shared" si="21"/>
        <v>91</v>
      </c>
      <c r="C154" s="423">
        <f t="shared" si="22"/>
        <v>770141.96241662814</v>
      </c>
      <c r="D154" s="643">
        <f t="shared" si="26"/>
        <v>3742.1503131947657</v>
      </c>
      <c r="E154" s="643"/>
      <c r="F154" s="643">
        <f t="shared" si="16"/>
        <v>6417.8496868052343</v>
      </c>
      <c r="G154" s="643"/>
      <c r="H154" s="671">
        <f t="shared" si="17"/>
        <v>1026.8559498888376</v>
      </c>
      <c r="I154" s="671"/>
      <c r="J154" s="640">
        <f t="shared" si="23"/>
        <v>338.86246346331637</v>
      </c>
      <c r="K154" s="640"/>
      <c r="L154" s="631">
        <f t="shared" si="18"/>
        <v>0</v>
      </c>
      <c r="M154" s="631"/>
      <c r="N154" s="631">
        <f>IF(B154="","",VLOOKUP(TRIM(CONCATENATE($F$20," ",$F$17," ",$F$18," ",$F$22," ",$F$21," ",$F$16," ",$F$23," ",$F$24)),Condicione_Financieras_Patrimon!B:W,22,0)*1.16)</f>
        <v>0</v>
      </c>
      <c r="O154" s="631"/>
      <c r="P154" s="641"/>
      <c r="Q154" s="641"/>
      <c r="R154" s="631"/>
      <c r="S154" s="631"/>
      <c r="T154" s="424">
        <f>IF(B154="","",'Tabla_Puntual&amp;Relacionamiento'!$B$75)</f>
        <v>0.1</v>
      </c>
      <c r="U154" s="424"/>
      <c r="V154" s="642">
        <f t="shared" si="19"/>
        <v>11525.718413352153</v>
      </c>
      <c r="W154" s="642"/>
      <c r="X154" s="642">
        <f t="shared" si="20"/>
        <v>766399.81210343342</v>
      </c>
      <c r="Y154" s="642"/>
      <c r="AL154" s="420">
        <f t="shared" si="24"/>
        <v>10160</v>
      </c>
      <c r="AM154" s="421">
        <f t="shared" si="27"/>
        <v>10498.862463463316</v>
      </c>
      <c r="AN154" s="637"/>
      <c r="AO154" s="637"/>
      <c r="AP154" s="634"/>
      <c r="AQ154" s="634"/>
      <c r="AR154" s="427"/>
      <c r="AS154" s="522">
        <f t="shared" si="25"/>
        <v>0</v>
      </c>
    </row>
    <row r="155" spans="2:45" x14ac:dyDescent="0.25">
      <c r="B155" s="426">
        <f t="shared" si="21"/>
        <v>92</v>
      </c>
      <c r="C155" s="423">
        <f t="shared" si="22"/>
        <v>766399.81210343342</v>
      </c>
      <c r="D155" s="643">
        <f t="shared" si="26"/>
        <v>3773.3348991380553</v>
      </c>
      <c r="E155" s="643"/>
      <c r="F155" s="643">
        <f t="shared" si="16"/>
        <v>6386.6651008619447</v>
      </c>
      <c r="G155" s="643"/>
      <c r="H155" s="671">
        <f t="shared" si="17"/>
        <v>1021.8664161379112</v>
      </c>
      <c r="I155" s="671"/>
      <c r="J155" s="640">
        <f t="shared" si="23"/>
        <v>337.2159173255107</v>
      </c>
      <c r="K155" s="640"/>
      <c r="L155" s="631">
        <f t="shared" si="18"/>
        <v>0</v>
      </c>
      <c r="M155" s="631"/>
      <c r="N155" s="631">
        <f>IF(B155="","",VLOOKUP(TRIM(CONCATENATE($F$20," ",$F$17," ",$F$18," ",$F$22," ",$F$21," ",$F$16," ",$F$23," ",$F$24)),Condicione_Financieras_Patrimon!B:W,22,0)*1.16)</f>
        <v>0</v>
      </c>
      <c r="O155" s="631"/>
      <c r="P155" s="641"/>
      <c r="Q155" s="641"/>
      <c r="R155" s="631">
        <f>IF(OR(X154=0,X154=""),"",IF($F$21="Apoyo Infonavit",IF(D155&gt;=C155,0,MIN(IF($F$30="",0,Caratula_Patrimonial!$F$30),$AL$29*25)*10%),0))</f>
        <v>0</v>
      </c>
      <c r="S155" s="631"/>
      <c r="T155" s="424">
        <f>IF(B155="","",'Tabla_Puntual&amp;Relacionamiento'!$B$75)</f>
        <v>0.1</v>
      </c>
      <c r="U155" s="424"/>
      <c r="V155" s="642">
        <f t="shared" si="19"/>
        <v>11519.082333463422</v>
      </c>
      <c r="W155" s="642"/>
      <c r="X155" s="642">
        <f t="shared" si="20"/>
        <v>762626.47720429534</v>
      </c>
      <c r="Y155" s="642"/>
      <c r="AL155" s="420">
        <f t="shared" si="24"/>
        <v>10160</v>
      </c>
      <c r="AM155" s="421">
        <f t="shared" si="27"/>
        <v>10497.215917325511</v>
      </c>
      <c r="AN155" s="637"/>
      <c r="AO155" s="637"/>
      <c r="AP155" s="634"/>
      <c r="AQ155" s="634"/>
      <c r="AR155" s="427"/>
      <c r="AS155" s="522">
        <f t="shared" si="25"/>
        <v>0</v>
      </c>
    </row>
    <row r="156" spans="2:45" x14ac:dyDescent="0.25">
      <c r="B156" s="426">
        <f t="shared" si="21"/>
        <v>93</v>
      </c>
      <c r="C156" s="423">
        <f t="shared" si="22"/>
        <v>762626.47720429534</v>
      </c>
      <c r="D156" s="643">
        <f t="shared" si="26"/>
        <v>3804.7793566308719</v>
      </c>
      <c r="E156" s="643"/>
      <c r="F156" s="643">
        <f t="shared" si="16"/>
        <v>6355.2206433691281</v>
      </c>
      <c r="G156" s="643"/>
      <c r="H156" s="671">
        <f t="shared" si="17"/>
        <v>1016.8353029390605</v>
      </c>
      <c r="I156" s="671"/>
      <c r="J156" s="640">
        <f t="shared" si="23"/>
        <v>335.55564996988994</v>
      </c>
      <c r="K156" s="640"/>
      <c r="L156" s="631">
        <f t="shared" si="18"/>
        <v>0</v>
      </c>
      <c r="M156" s="631"/>
      <c r="N156" s="631">
        <f>IF(B156="","",VLOOKUP(TRIM(CONCATENATE($F$20," ",$F$17," ",$F$18," ",$F$22," ",$F$21," ",$F$16," ",$F$23," ",$F$24)),Condicione_Financieras_Patrimon!B:W,22,0)*1.16)</f>
        <v>0</v>
      </c>
      <c r="O156" s="631"/>
      <c r="P156" s="641"/>
      <c r="Q156" s="641"/>
      <c r="R156" s="631"/>
      <c r="S156" s="631"/>
      <c r="T156" s="424">
        <f>IF(B156="","",'Tabla_Puntual&amp;Relacionamiento'!$B$75)</f>
        <v>0.1</v>
      </c>
      <c r="U156" s="424"/>
      <c r="V156" s="642">
        <f t="shared" si="19"/>
        <v>11512.390952908951</v>
      </c>
      <c r="W156" s="642"/>
      <c r="X156" s="642">
        <f t="shared" si="20"/>
        <v>758821.69784766447</v>
      </c>
      <c r="Y156" s="642"/>
      <c r="AL156" s="420">
        <f t="shared" si="24"/>
        <v>10160</v>
      </c>
      <c r="AM156" s="421">
        <f t="shared" si="27"/>
        <v>10495.555649969891</v>
      </c>
      <c r="AN156" s="637"/>
      <c r="AO156" s="637"/>
      <c r="AP156" s="634"/>
      <c r="AQ156" s="634"/>
      <c r="AR156" s="427"/>
      <c r="AS156" s="522">
        <f t="shared" si="25"/>
        <v>0</v>
      </c>
    </row>
    <row r="157" spans="2:45" x14ac:dyDescent="0.25">
      <c r="B157" s="426">
        <f t="shared" si="21"/>
        <v>94</v>
      </c>
      <c r="C157" s="423">
        <f t="shared" si="22"/>
        <v>758821.69784766447</v>
      </c>
      <c r="D157" s="643">
        <f t="shared" si="26"/>
        <v>3836.4858512694627</v>
      </c>
      <c r="E157" s="643"/>
      <c r="F157" s="643">
        <f t="shared" si="16"/>
        <v>6323.5141487305373</v>
      </c>
      <c r="G157" s="643"/>
      <c r="H157" s="671">
        <f t="shared" si="17"/>
        <v>1011.762263796886</v>
      </c>
      <c r="I157" s="671"/>
      <c r="J157" s="640">
        <f t="shared" si="23"/>
        <v>333.88154705297239</v>
      </c>
      <c r="K157" s="640"/>
      <c r="L157" s="631">
        <f t="shared" si="18"/>
        <v>0</v>
      </c>
      <c r="M157" s="631"/>
      <c r="N157" s="631">
        <f>IF(B157="","",VLOOKUP(TRIM(CONCATENATE($F$20," ",$F$17," ",$F$18," ",$F$22," ",$F$21," ",$F$16," ",$F$23," ",$F$24)),Condicione_Financieras_Patrimon!B:W,22,0)*1.16)</f>
        <v>0</v>
      </c>
      <c r="O157" s="631"/>
      <c r="P157" s="641"/>
      <c r="Q157" s="641"/>
      <c r="R157" s="631">
        <f>IF(OR(X156=0,X156=""),"",IF($F$21="Apoyo Infonavit",IF(D157&gt;=C157,0,MIN(IF($F$30="",0,Caratula_Patrimonial!$F$30),$AL$29*25)*10%),0))</f>
        <v>0</v>
      </c>
      <c r="S157" s="631"/>
      <c r="T157" s="424">
        <f>IF(B157="","",'Tabla_Puntual&amp;Relacionamiento'!$B$75)</f>
        <v>0.1</v>
      </c>
      <c r="U157" s="424"/>
      <c r="V157" s="642">
        <f t="shared" si="19"/>
        <v>11505.643810849857</v>
      </c>
      <c r="W157" s="642"/>
      <c r="X157" s="642">
        <f t="shared" si="20"/>
        <v>754985.21199639502</v>
      </c>
      <c r="Y157" s="642"/>
      <c r="AL157" s="420">
        <f t="shared" si="24"/>
        <v>10160</v>
      </c>
      <c r="AM157" s="421">
        <f t="shared" si="27"/>
        <v>10493.881547052972</v>
      </c>
      <c r="AN157" s="637"/>
      <c r="AO157" s="637"/>
      <c r="AP157" s="634"/>
      <c r="AQ157" s="634"/>
      <c r="AR157" s="427"/>
      <c r="AS157" s="522">
        <f t="shared" si="25"/>
        <v>0</v>
      </c>
    </row>
    <row r="158" spans="2:45" x14ac:dyDescent="0.25">
      <c r="B158" s="426">
        <f t="shared" si="21"/>
        <v>95</v>
      </c>
      <c r="C158" s="423">
        <f t="shared" si="22"/>
        <v>754985.21199639502</v>
      </c>
      <c r="D158" s="643">
        <f t="shared" si="26"/>
        <v>3868.4565666967083</v>
      </c>
      <c r="E158" s="643"/>
      <c r="F158" s="643">
        <f t="shared" si="16"/>
        <v>6291.5434333032917</v>
      </c>
      <c r="G158" s="643"/>
      <c r="H158" s="671">
        <f t="shared" si="17"/>
        <v>1006.6469493285267</v>
      </c>
      <c r="I158" s="671"/>
      <c r="J158" s="640">
        <f t="shared" si="23"/>
        <v>332.19349327841383</v>
      </c>
      <c r="K158" s="640"/>
      <c r="L158" s="631">
        <f t="shared" si="18"/>
        <v>0</v>
      </c>
      <c r="M158" s="631"/>
      <c r="N158" s="631">
        <f>IF(B158="","",VLOOKUP(TRIM(CONCATENATE($F$20," ",$F$17," ",$F$18," ",$F$22," ",$F$21," ",$F$16," ",$F$23," ",$F$24)),Condicione_Financieras_Patrimon!B:W,22,0)*1.16)</f>
        <v>0</v>
      </c>
      <c r="O158" s="631"/>
      <c r="P158" s="641"/>
      <c r="Q158" s="641"/>
      <c r="R158" s="631"/>
      <c r="S158" s="631"/>
      <c r="T158" s="424">
        <f>IF(B158="","",'Tabla_Puntual&amp;Relacionamiento'!$B$75)</f>
        <v>0.1</v>
      </c>
      <c r="U158" s="424"/>
      <c r="V158" s="642">
        <f t="shared" si="19"/>
        <v>11498.840442606939</v>
      </c>
      <c r="W158" s="642"/>
      <c r="X158" s="642">
        <f t="shared" si="20"/>
        <v>751116.75542969827</v>
      </c>
      <c r="Y158" s="642"/>
      <c r="AL158" s="420">
        <f t="shared" si="24"/>
        <v>10160</v>
      </c>
      <c r="AM158" s="421">
        <f t="shared" si="27"/>
        <v>10492.193493278413</v>
      </c>
      <c r="AN158" s="637"/>
      <c r="AO158" s="637"/>
      <c r="AP158" s="634"/>
      <c r="AQ158" s="634"/>
      <c r="AR158" s="427"/>
      <c r="AS158" s="522">
        <f t="shared" si="25"/>
        <v>0</v>
      </c>
    </row>
    <row r="159" spans="2:45" x14ac:dyDescent="0.25">
      <c r="B159" s="426">
        <f t="shared" si="21"/>
        <v>96</v>
      </c>
      <c r="C159" s="423">
        <f t="shared" si="22"/>
        <v>751116.75542969827</v>
      </c>
      <c r="D159" s="643">
        <f t="shared" si="26"/>
        <v>3900.6937047525143</v>
      </c>
      <c r="E159" s="643"/>
      <c r="F159" s="643">
        <f t="shared" si="16"/>
        <v>6259.3062952474857</v>
      </c>
      <c r="G159" s="643"/>
      <c r="H159" s="671">
        <f t="shared" si="17"/>
        <v>1001.4890072395978</v>
      </c>
      <c r="I159" s="671"/>
      <c r="J159" s="640">
        <f t="shared" si="23"/>
        <v>330.49137238906724</v>
      </c>
      <c r="K159" s="640"/>
      <c r="L159" s="631">
        <f t="shared" si="18"/>
        <v>0</v>
      </c>
      <c r="M159" s="631"/>
      <c r="N159" s="631">
        <f>IF(B159="","",VLOOKUP(TRIM(CONCATENATE($F$20," ",$F$17," ",$F$18," ",$F$22," ",$F$21," ",$F$16," ",$F$23," ",$F$24)),Condicione_Financieras_Patrimon!B:W,22,0)*1.16)</f>
        <v>0</v>
      </c>
      <c r="O159" s="631"/>
      <c r="P159" s="641"/>
      <c r="Q159" s="641"/>
      <c r="R159" s="631">
        <f>IF(OR(X158=0,X158=""),"",IF($F$21="Apoyo Infonavit",IF(D159&gt;=C159,0,MIN(IF($F$30="",0,Caratula_Patrimonial!$F$30),$AL$29*25)*10%),0))</f>
        <v>0</v>
      </c>
      <c r="S159" s="631"/>
      <c r="T159" s="424">
        <f>IF(B159="","",'Tabla_Puntual&amp;Relacionamiento'!$B$75)</f>
        <v>0.1</v>
      </c>
      <c r="U159" s="424"/>
      <c r="V159" s="642">
        <f t="shared" si="19"/>
        <v>11491.980379628665</v>
      </c>
      <c r="W159" s="642"/>
      <c r="X159" s="642">
        <f t="shared" si="20"/>
        <v>747216.06172494579</v>
      </c>
      <c r="Y159" s="642"/>
      <c r="AL159" s="420">
        <f t="shared" si="24"/>
        <v>10160</v>
      </c>
      <c r="AM159" s="421">
        <f t="shared" si="27"/>
        <v>10490.491372389068</v>
      </c>
      <c r="AN159" s="637"/>
      <c r="AO159" s="637"/>
      <c r="AP159" s="634"/>
      <c r="AQ159" s="634"/>
      <c r="AR159" s="427"/>
      <c r="AS159" s="522">
        <f t="shared" si="25"/>
        <v>0</v>
      </c>
    </row>
    <row r="160" spans="2:45" x14ac:dyDescent="0.25">
      <c r="B160" s="426">
        <f t="shared" si="21"/>
        <v>97</v>
      </c>
      <c r="C160" s="423">
        <f t="shared" si="22"/>
        <v>747216.06172494579</v>
      </c>
      <c r="D160" s="643">
        <f t="shared" si="26"/>
        <v>3933.1994856254514</v>
      </c>
      <c r="E160" s="643"/>
      <c r="F160" s="643">
        <f t="shared" si="16"/>
        <v>6226.8005143745486</v>
      </c>
      <c r="G160" s="643"/>
      <c r="H160" s="671">
        <f t="shared" si="17"/>
        <v>996.28808229992785</v>
      </c>
      <c r="I160" s="671"/>
      <c r="J160" s="640">
        <f t="shared" si="23"/>
        <v>328.77506715897619</v>
      </c>
      <c r="K160" s="640"/>
      <c r="L160" s="631">
        <f t="shared" si="18"/>
        <v>0</v>
      </c>
      <c r="M160" s="631"/>
      <c r="N160" s="631">
        <f>IF(B160="","",VLOOKUP(TRIM(CONCATENATE($F$20," ",$F$17," ",$F$18," ",$F$22," ",$F$21," ",$F$16," ",$F$23," ",$F$24)),Condicione_Financieras_Patrimon!B:W,22,0)*1.16)</f>
        <v>0</v>
      </c>
      <c r="O160" s="631"/>
      <c r="P160" s="641"/>
      <c r="Q160" s="641"/>
      <c r="R160" s="631"/>
      <c r="S160" s="631"/>
      <c r="T160" s="424">
        <f>IF(B160="","",'Tabla_Puntual&amp;Relacionamiento'!$B$76)</f>
        <v>0.1</v>
      </c>
      <c r="U160" s="424" t="str">
        <f>IF(B160="","",IF($F$16="Pago_Bajo_Puntual",0.019,""))</f>
        <v/>
      </c>
      <c r="V160" s="642">
        <f t="shared" si="19"/>
        <v>11485.063149458905</v>
      </c>
      <c r="W160" s="642"/>
      <c r="X160" s="642">
        <f t="shared" si="20"/>
        <v>743282.8622393203</v>
      </c>
      <c r="Y160" s="642"/>
      <c r="AL160" s="420">
        <f t="shared" si="24"/>
        <v>10160</v>
      </c>
      <c r="AM160" s="421">
        <f t="shared" si="27"/>
        <v>10488.775067158977</v>
      </c>
      <c r="AN160" s="637"/>
      <c r="AO160" s="637"/>
      <c r="AP160" s="634"/>
      <c r="AQ160" s="634"/>
      <c r="AR160" s="427"/>
      <c r="AS160" s="522">
        <f t="shared" si="25"/>
        <v>0</v>
      </c>
    </row>
    <row r="161" spans="2:45" x14ac:dyDescent="0.25">
      <c r="B161" s="426">
        <f t="shared" si="21"/>
        <v>98</v>
      </c>
      <c r="C161" s="423">
        <f t="shared" si="22"/>
        <v>743282.8622393203</v>
      </c>
      <c r="D161" s="643">
        <f t="shared" si="26"/>
        <v>3965.9761480056641</v>
      </c>
      <c r="E161" s="643"/>
      <c r="F161" s="643">
        <f t="shared" si="16"/>
        <v>6194.0238519943359</v>
      </c>
      <c r="G161" s="643"/>
      <c r="H161" s="671">
        <f t="shared" si="17"/>
        <v>991.04381631909382</v>
      </c>
      <c r="I161" s="671"/>
      <c r="J161" s="640">
        <f t="shared" si="23"/>
        <v>327.04445938530091</v>
      </c>
      <c r="K161" s="640"/>
      <c r="L161" s="631">
        <f t="shared" si="18"/>
        <v>0</v>
      </c>
      <c r="M161" s="631"/>
      <c r="N161" s="631">
        <f>IF(B161="","",VLOOKUP(TRIM(CONCATENATE($F$20," ",$F$17," ",$F$18," ",$F$22," ",$F$21," ",$F$16," ",$F$23," ",$F$24)),Condicione_Financieras_Patrimon!B:W,22,0)*1.16)</f>
        <v>0</v>
      </c>
      <c r="O161" s="631"/>
      <c r="P161" s="641"/>
      <c r="Q161" s="641"/>
      <c r="R161" s="631">
        <f>IF(OR(X160=0,X160=""),"",IF($F$21="Apoyo Infonavit",IF(D161&gt;=C161,0,MIN(IF($F$30="",0,Caratula_Patrimonial!$F$30),$AL$29*25)*10%),0))</f>
        <v>0</v>
      </c>
      <c r="S161" s="631"/>
      <c r="T161" s="424">
        <f>IF(B161="","",'Tabla_Puntual&amp;Relacionamiento'!$B$76)</f>
        <v>0.1</v>
      </c>
      <c r="U161" s="424"/>
      <c r="V161" s="642">
        <f t="shared" si="19"/>
        <v>11478.088275704395</v>
      </c>
      <c r="W161" s="642"/>
      <c r="X161" s="642">
        <f t="shared" si="20"/>
        <v>739316.88609131461</v>
      </c>
      <c r="Y161" s="642"/>
      <c r="AL161" s="420">
        <f t="shared" si="24"/>
        <v>10160</v>
      </c>
      <c r="AM161" s="421">
        <f t="shared" si="27"/>
        <v>10487.044459385301</v>
      </c>
      <c r="AN161" s="637"/>
      <c r="AO161" s="637"/>
      <c r="AP161" s="634"/>
      <c r="AQ161" s="634"/>
      <c r="AR161" s="427"/>
      <c r="AS161" s="522">
        <f t="shared" si="25"/>
        <v>0</v>
      </c>
    </row>
    <row r="162" spans="2:45" x14ac:dyDescent="0.25">
      <c r="B162" s="426">
        <f t="shared" si="21"/>
        <v>99</v>
      </c>
      <c r="C162" s="423">
        <f t="shared" si="22"/>
        <v>739316.88609131461</v>
      </c>
      <c r="D162" s="643">
        <f t="shared" si="26"/>
        <v>3999.0259492390451</v>
      </c>
      <c r="E162" s="643"/>
      <c r="F162" s="643">
        <f t="shared" si="16"/>
        <v>6160.9740507609549</v>
      </c>
      <c r="G162" s="643"/>
      <c r="H162" s="671">
        <f t="shared" si="17"/>
        <v>985.75584812175282</v>
      </c>
      <c r="I162" s="671"/>
      <c r="J162" s="640">
        <f t="shared" si="23"/>
        <v>325.29942988017842</v>
      </c>
      <c r="K162" s="640"/>
      <c r="L162" s="631">
        <f t="shared" si="18"/>
        <v>0</v>
      </c>
      <c r="M162" s="631"/>
      <c r="N162" s="631">
        <f>IF(B162="","",VLOOKUP(TRIM(CONCATENATE($F$20," ",$F$17," ",$F$18," ",$F$22," ",$F$21," ",$F$16," ",$F$23," ",$F$24)),Condicione_Financieras_Patrimon!B:W,22,0)*1.16)</f>
        <v>0</v>
      </c>
      <c r="O162" s="631"/>
      <c r="P162" s="641"/>
      <c r="Q162" s="641"/>
      <c r="R162" s="631"/>
      <c r="S162" s="631"/>
      <c r="T162" s="424">
        <f>IF(B162="","",'Tabla_Puntual&amp;Relacionamiento'!$B$76)</f>
        <v>0.1</v>
      </c>
      <c r="U162" s="424"/>
      <c r="V162" s="642">
        <f t="shared" si="19"/>
        <v>11471.055278001932</v>
      </c>
      <c r="W162" s="642"/>
      <c r="X162" s="642">
        <f t="shared" si="20"/>
        <v>735317.86014207557</v>
      </c>
      <c r="Y162" s="642"/>
      <c r="AL162" s="420">
        <f t="shared" si="24"/>
        <v>10160</v>
      </c>
      <c r="AM162" s="421">
        <f t="shared" si="27"/>
        <v>10485.299429880179</v>
      </c>
      <c r="AN162" s="637"/>
      <c r="AO162" s="637"/>
      <c r="AP162" s="634"/>
      <c r="AQ162" s="634"/>
      <c r="AR162" s="427"/>
      <c r="AS162" s="522">
        <f t="shared" si="25"/>
        <v>0</v>
      </c>
    </row>
    <row r="163" spans="2:45" x14ac:dyDescent="0.25">
      <c r="B163" s="426">
        <f t="shared" si="21"/>
        <v>100</v>
      </c>
      <c r="C163" s="423">
        <f t="shared" si="22"/>
        <v>735317.86014207557</v>
      </c>
      <c r="D163" s="643">
        <f t="shared" si="26"/>
        <v>4032.3511654827034</v>
      </c>
      <c r="E163" s="643"/>
      <c r="F163" s="643">
        <f t="shared" si="16"/>
        <v>6127.6488345172966</v>
      </c>
      <c r="G163" s="643"/>
      <c r="H163" s="671">
        <f t="shared" si="17"/>
        <v>980.42381352276743</v>
      </c>
      <c r="I163" s="671"/>
      <c r="J163" s="640">
        <f t="shared" si="23"/>
        <v>323.53985846251322</v>
      </c>
      <c r="K163" s="640"/>
      <c r="L163" s="631">
        <f t="shared" si="18"/>
        <v>0</v>
      </c>
      <c r="M163" s="631"/>
      <c r="N163" s="631">
        <f>IF(B163="","",VLOOKUP(TRIM(CONCATENATE($F$20," ",$F$17," ",$F$18," ",$F$22," ",$F$21," ",$F$16," ",$F$23," ",$F$24)),Condicione_Financieras_Patrimon!B:W,22,0)*1.16)</f>
        <v>0</v>
      </c>
      <c r="O163" s="631"/>
      <c r="P163" s="641"/>
      <c r="Q163" s="641"/>
      <c r="R163" s="631">
        <f>IF(OR(X162=0,X162=""),"",IF($F$21="Apoyo Infonavit",IF(D163&gt;=C163,0,MIN(IF($F$30="",0,Caratula_Patrimonial!$F$30),$AL$29*25)*10%),0))</f>
        <v>0</v>
      </c>
      <c r="S163" s="631"/>
      <c r="T163" s="424">
        <f>IF(B163="","",'Tabla_Puntual&amp;Relacionamiento'!$B$76)</f>
        <v>0.1</v>
      </c>
      <c r="U163" s="424"/>
      <c r="V163" s="642">
        <f t="shared" si="19"/>
        <v>11463.963671985281</v>
      </c>
      <c r="W163" s="642"/>
      <c r="X163" s="642">
        <f t="shared" si="20"/>
        <v>731285.50897659292</v>
      </c>
      <c r="Y163" s="642"/>
      <c r="AL163" s="420">
        <f t="shared" si="24"/>
        <v>10160</v>
      </c>
      <c r="AM163" s="421">
        <f t="shared" si="27"/>
        <v>10483.539858462513</v>
      </c>
      <c r="AN163" s="637"/>
      <c r="AO163" s="637"/>
      <c r="AP163" s="634"/>
      <c r="AQ163" s="634"/>
      <c r="AR163" s="427"/>
      <c r="AS163" s="522">
        <f t="shared" si="25"/>
        <v>0</v>
      </c>
    </row>
    <row r="164" spans="2:45" x14ac:dyDescent="0.25">
      <c r="B164" s="426">
        <f t="shared" si="21"/>
        <v>101</v>
      </c>
      <c r="C164" s="423">
        <f t="shared" si="22"/>
        <v>731285.50897659292</v>
      </c>
      <c r="D164" s="643">
        <f t="shared" si="26"/>
        <v>4065.9540918617258</v>
      </c>
      <c r="E164" s="643"/>
      <c r="F164" s="643">
        <f t="shared" si="16"/>
        <v>6094.0459081382742</v>
      </c>
      <c r="G164" s="643"/>
      <c r="H164" s="671">
        <f t="shared" si="17"/>
        <v>975.04734530212386</v>
      </c>
      <c r="I164" s="671"/>
      <c r="J164" s="640">
        <f t="shared" si="23"/>
        <v>321.76562394970091</v>
      </c>
      <c r="K164" s="640"/>
      <c r="L164" s="631">
        <f t="shared" si="18"/>
        <v>0</v>
      </c>
      <c r="M164" s="631"/>
      <c r="N164" s="631">
        <f>IF(B164="","",VLOOKUP(TRIM(CONCATENATE($F$20," ",$F$17," ",$F$18," ",$F$22," ",$F$21," ",$F$16," ",$F$23," ",$F$24)),Condicione_Financieras_Patrimon!B:W,22,0)*1.16)</f>
        <v>0</v>
      </c>
      <c r="O164" s="631"/>
      <c r="P164" s="641"/>
      <c r="Q164" s="641"/>
      <c r="R164" s="631"/>
      <c r="S164" s="631"/>
      <c r="T164" s="424">
        <f>IF(B164="","",'Tabla_Puntual&amp;Relacionamiento'!$B$76)</f>
        <v>0.1</v>
      </c>
      <c r="U164" s="424"/>
      <c r="V164" s="642">
        <f t="shared" si="19"/>
        <v>11456.812969251825</v>
      </c>
      <c r="W164" s="642"/>
      <c r="X164" s="642">
        <f t="shared" si="20"/>
        <v>727219.55488473119</v>
      </c>
      <c r="Y164" s="642"/>
      <c r="AL164" s="420">
        <f t="shared" si="24"/>
        <v>10160</v>
      </c>
      <c r="AM164" s="421">
        <f t="shared" si="27"/>
        <v>10481.765623949701</v>
      </c>
      <c r="AN164" s="637"/>
      <c r="AO164" s="637"/>
      <c r="AP164" s="634"/>
      <c r="AQ164" s="634"/>
      <c r="AR164" s="427"/>
      <c r="AS164" s="522">
        <f t="shared" si="25"/>
        <v>0</v>
      </c>
    </row>
    <row r="165" spans="2:45" x14ac:dyDescent="0.25">
      <c r="B165" s="426">
        <f t="shared" si="21"/>
        <v>102</v>
      </c>
      <c r="C165" s="423">
        <f t="shared" si="22"/>
        <v>727219.55488473119</v>
      </c>
      <c r="D165" s="643">
        <f t="shared" si="26"/>
        <v>4099.8370426272404</v>
      </c>
      <c r="E165" s="643"/>
      <c r="F165" s="643">
        <f t="shared" si="16"/>
        <v>6060.1629573727596</v>
      </c>
      <c r="G165" s="643"/>
      <c r="H165" s="671">
        <f t="shared" si="17"/>
        <v>969.62607317964159</v>
      </c>
      <c r="I165" s="671"/>
      <c r="J165" s="640">
        <f t="shared" si="23"/>
        <v>319.97660414928174</v>
      </c>
      <c r="K165" s="640"/>
      <c r="L165" s="631">
        <f t="shared" si="18"/>
        <v>0</v>
      </c>
      <c r="M165" s="631"/>
      <c r="N165" s="631">
        <f>IF(B165="","",VLOOKUP(TRIM(CONCATENATE($F$20," ",$F$17," ",$F$18," ",$F$22," ",$F$21," ",$F$16," ",$F$23," ",$F$24)),Condicione_Financieras_Patrimon!B:W,22,0)*1.16)</f>
        <v>0</v>
      </c>
      <c r="O165" s="631"/>
      <c r="P165" s="641"/>
      <c r="Q165" s="641"/>
      <c r="R165" s="631">
        <f>IF(OR(X164=0,X164=""),"",IF($F$21="Apoyo Infonavit",IF(D165&gt;=C165,0,MIN(IF($F$30="",0,Caratula_Patrimonial!$F$30),$AL$29*25)*10%),0))</f>
        <v>0</v>
      </c>
      <c r="S165" s="631"/>
      <c r="T165" s="424">
        <f>IF(B165="","",'Tabla_Puntual&amp;Relacionamiento'!$B$76)</f>
        <v>0.1</v>
      </c>
      <c r="U165" s="424"/>
      <c r="V165" s="642">
        <f t="shared" si="19"/>
        <v>11449.602677328923</v>
      </c>
      <c r="W165" s="642"/>
      <c r="X165" s="642">
        <f t="shared" si="20"/>
        <v>723119.71784210391</v>
      </c>
      <c r="Y165" s="642"/>
      <c r="AL165" s="420">
        <f t="shared" si="24"/>
        <v>10160</v>
      </c>
      <c r="AM165" s="421">
        <f t="shared" si="27"/>
        <v>10479.976604149282</v>
      </c>
      <c r="AN165" s="637"/>
      <c r="AO165" s="637"/>
      <c r="AP165" s="634"/>
      <c r="AQ165" s="634"/>
      <c r="AR165" s="427"/>
      <c r="AS165" s="522">
        <f t="shared" si="25"/>
        <v>0</v>
      </c>
    </row>
    <row r="166" spans="2:45" x14ac:dyDescent="0.25">
      <c r="B166" s="426">
        <f t="shared" si="21"/>
        <v>103</v>
      </c>
      <c r="C166" s="423">
        <f t="shared" si="22"/>
        <v>723119.71784210391</v>
      </c>
      <c r="D166" s="643">
        <f t="shared" si="26"/>
        <v>4134.0023513158012</v>
      </c>
      <c r="E166" s="643"/>
      <c r="F166" s="643">
        <f t="shared" si="16"/>
        <v>6025.9976486841988</v>
      </c>
      <c r="G166" s="643"/>
      <c r="H166" s="671">
        <f t="shared" si="17"/>
        <v>964.15962378947188</v>
      </c>
      <c r="I166" s="671"/>
      <c r="J166" s="640">
        <f t="shared" si="23"/>
        <v>318.17267585052571</v>
      </c>
      <c r="K166" s="640"/>
      <c r="L166" s="631">
        <f t="shared" si="18"/>
        <v>0</v>
      </c>
      <c r="M166" s="631"/>
      <c r="N166" s="631">
        <f>IF(B166="","",VLOOKUP(TRIM(CONCATENATE($F$20," ",$F$17," ",$F$18," ",$F$22," ",$F$21," ",$F$16," ",$F$23," ",$F$24)),Condicione_Financieras_Patrimon!B:W,22,0)*1.16)</f>
        <v>0</v>
      </c>
      <c r="O166" s="631"/>
      <c r="P166" s="641"/>
      <c r="Q166" s="641"/>
      <c r="R166" s="631"/>
      <c r="S166" s="631"/>
      <c r="T166" s="424">
        <f>IF(B166="","",'Tabla_Puntual&amp;Relacionamiento'!$B$76)</f>
        <v>0.1</v>
      </c>
      <c r="U166" s="424"/>
      <c r="V166" s="642">
        <f t="shared" si="19"/>
        <v>11442.332299639998</v>
      </c>
      <c r="W166" s="642"/>
      <c r="X166" s="642">
        <f t="shared" si="20"/>
        <v>718985.7154907881</v>
      </c>
      <c r="Y166" s="642"/>
      <c r="AL166" s="420">
        <f t="shared" si="24"/>
        <v>10160</v>
      </c>
      <c r="AM166" s="421">
        <f t="shared" si="27"/>
        <v>10478.172675850527</v>
      </c>
      <c r="AN166" s="637"/>
      <c r="AO166" s="637"/>
      <c r="AP166" s="634"/>
      <c r="AQ166" s="634"/>
      <c r="AR166" s="427"/>
      <c r="AS166" s="522">
        <f t="shared" si="25"/>
        <v>0</v>
      </c>
    </row>
    <row r="167" spans="2:45" x14ac:dyDescent="0.25">
      <c r="B167" s="426">
        <f t="shared" si="21"/>
        <v>104</v>
      </c>
      <c r="C167" s="423">
        <f t="shared" si="22"/>
        <v>718985.7154907881</v>
      </c>
      <c r="D167" s="643">
        <f t="shared" si="26"/>
        <v>4168.4523709100995</v>
      </c>
      <c r="E167" s="643"/>
      <c r="F167" s="643">
        <f t="shared" si="16"/>
        <v>5991.5476290899005</v>
      </c>
      <c r="G167" s="643"/>
      <c r="H167" s="671">
        <f t="shared" si="17"/>
        <v>958.64762065438413</v>
      </c>
      <c r="I167" s="671"/>
      <c r="J167" s="640">
        <f t="shared" si="23"/>
        <v>316.35371481594677</v>
      </c>
      <c r="K167" s="640"/>
      <c r="L167" s="631">
        <f t="shared" si="18"/>
        <v>0</v>
      </c>
      <c r="M167" s="631"/>
      <c r="N167" s="631">
        <f>IF(B167="","",VLOOKUP(TRIM(CONCATENATE($F$20," ",$F$17," ",$F$18," ",$F$22," ",$F$21," ",$F$16," ",$F$23," ",$F$24)),Condicione_Financieras_Patrimon!B:W,22,0)*1.16)</f>
        <v>0</v>
      </c>
      <c r="O167" s="631"/>
      <c r="P167" s="641"/>
      <c r="Q167" s="641"/>
      <c r="R167" s="631">
        <f>IF(OR(X166=0,X166=""),"",IF($F$21="Apoyo Infonavit",IF(D167&gt;=C167,0,MIN(IF($F$30="",0,Caratula_Patrimonial!$F$30),$AL$29*25)*10%),0))</f>
        <v>0</v>
      </c>
      <c r="S167" s="631"/>
      <c r="T167" s="424">
        <f>IF(B167="","",'Tabla_Puntual&amp;Relacionamiento'!$B$76)</f>
        <v>0.1</v>
      </c>
      <c r="U167" s="424"/>
      <c r="V167" s="642">
        <f t="shared" si="19"/>
        <v>11435.001335470331</v>
      </c>
      <c r="W167" s="642"/>
      <c r="X167" s="642">
        <f t="shared" si="20"/>
        <v>714817.26311987801</v>
      </c>
      <c r="Y167" s="642"/>
      <c r="AL167" s="420">
        <f t="shared" si="24"/>
        <v>10160</v>
      </c>
      <c r="AM167" s="421">
        <f t="shared" si="27"/>
        <v>10476.353714815947</v>
      </c>
      <c r="AN167" s="637"/>
      <c r="AO167" s="637"/>
      <c r="AP167" s="634"/>
      <c r="AQ167" s="634"/>
      <c r="AR167" s="427"/>
      <c r="AS167" s="522">
        <f t="shared" si="25"/>
        <v>0</v>
      </c>
    </row>
    <row r="168" spans="2:45" x14ac:dyDescent="0.25">
      <c r="B168" s="426">
        <f t="shared" si="21"/>
        <v>105</v>
      </c>
      <c r="C168" s="423">
        <f t="shared" si="22"/>
        <v>714817.26311987801</v>
      </c>
      <c r="D168" s="643">
        <f t="shared" si="26"/>
        <v>4203.1894740010166</v>
      </c>
      <c r="E168" s="643"/>
      <c r="F168" s="643">
        <f t="shared" si="16"/>
        <v>5956.8105259989834</v>
      </c>
      <c r="G168" s="643"/>
      <c r="H168" s="671">
        <f t="shared" si="17"/>
        <v>953.08968415983736</v>
      </c>
      <c r="I168" s="671"/>
      <c r="J168" s="640">
        <f t="shared" si="23"/>
        <v>314.5195957727463</v>
      </c>
      <c r="K168" s="640"/>
      <c r="L168" s="631">
        <f t="shared" si="18"/>
        <v>0</v>
      </c>
      <c r="M168" s="631"/>
      <c r="N168" s="631">
        <f>IF(B168="","",VLOOKUP(TRIM(CONCATENATE($F$20," ",$F$17," ",$F$18," ",$F$22," ",$F$21," ",$F$16," ",$F$23," ",$F$24)),Condicione_Financieras_Patrimon!B:W,22,0)*1.16)</f>
        <v>0</v>
      </c>
      <c r="O168" s="631"/>
      <c r="P168" s="641"/>
      <c r="Q168" s="641"/>
      <c r="R168" s="631"/>
      <c r="S168" s="631"/>
      <c r="T168" s="424">
        <f>IF(B168="","",'Tabla_Puntual&amp;Relacionamiento'!$B$76)</f>
        <v>0.1</v>
      </c>
      <c r="U168" s="424"/>
      <c r="V168" s="642">
        <f t="shared" si="19"/>
        <v>11427.609279932583</v>
      </c>
      <c r="W168" s="642"/>
      <c r="X168" s="642">
        <f t="shared" si="20"/>
        <v>710614.07364587695</v>
      </c>
      <c r="Y168" s="642"/>
      <c r="AL168" s="420">
        <f t="shared" si="24"/>
        <v>10160</v>
      </c>
      <c r="AM168" s="421">
        <f t="shared" si="27"/>
        <v>10474.519595772746</v>
      </c>
      <c r="AN168" s="637"/>
      <c r="AO168" s="637"/>
      <c r="AP168" s="634"/>
      <c r="AQ168" s="634"/>
      <c r="AR168" s="427"/>
      <c r="AS168" s="522">
        <f t="shared" si="25"/>
        <v>0</v>
      </c>
    </row>
    <row r="169" spans="2:45" x14ac:dyDescent="0.25">
      <c r="B169" s="426">
        <f t="shared" si="21"/>
        <v>106</v>
      </c>
      <c r="C169" s="423">
        <f t="shared" si="22"/>
        <v>710614.07364587695</v>
      </c>
      <c r="D169" s="643">
        <f t="shared" si="26"/>
        <v>4238.2160529510256</v>
      </c>
      <c r="E169" s="643"/>
      <c r="F169" s="643">
        <f t="shared" si="16"/>
        <v>5921.7839470489744</v>
      </c>
      <c r="G169" s="643"/>
      <c r="H169" s="671">
        <f t="shared" si="17"/>
        <v>947.48543152783589</v>
      </c>
      <c r="I169" s="671"/>
      <c r="J169" s="640">
        <f t="shared" si="23"/>
        <v>312.67019240418591</v>
      </c>
      <c r="K169" s="640"/>
      <c r="L169" s="631">
        <f t="shared" si="18"/>
        <v>0</v>
      </c>
      <c r="M169" s="631"/>
      <c r="N169" s="631">
        <f>IF(B169="","",VLOOKUP(TRIM(CONCATENATE($F$20," ",$F$17," ",$F$18," ",$F$22," ",$F$21," ",$F$16," ",$F$23," ",$F$24)),Condicione_Financieras_Patrimon!B:W,22,0)*1.16)</f>
        <v>0</v>
      </c>
      <c r="O169" s="631"/>
      <c r="P169" s="641"/>
      <c r="Q169" s="641"/>
      <c r="R169" s="631">
        <f>IF(OR(X168=0,X168=""),"",IF($F$21="Apoyo Infonavit",IF(D169&gt;=C169,0,MIN(IF($F$30="",0,Caratula_Patrimonial!$F$30),$AL$29*25)*10%),0))</f>
        <v>0</v>
      </c>
      <c r="S169" s="631"/>
      <c r="T169" s="424">
        <f>IF(B169="","",'Tabla_Puntual&amp;Relacionamiento'!$B$76)</f>
        <v>0.1</v>
      </c>
      <c r="U169" s="424"/>
      <c r="V169" s="642">
        <f t="shared" si="19"/>
        <v>11420.155623932022</v>
      </c>
      <c r="W169" s="642"/>
      <c r="X169" s="642">
        <f t="shared" si="20"/>
        <v>706375.8575929259</v>
      </c>
      <c r="Y169" s="642"/>
      <c r="AL169" s="420">
        <f t="shared" si="24"/>
        <v>10160</v>
      </c>
      <c r="AM169" s="421">
        <f t="shared" si="27"/>
        <v>10472.670192404186</v>
      </c>
      <c r="AN169" s="637"/>
      <c r="AO169" s="637"/>
      <c r="AP169" s="634"/>
      <c r="AQ169" s="634"/>
      <c r="AR169" s="427"/>
      <c r="AS169" s="522">
        <f t="shared" si="25"/>
        <v>0</v>
      </c>
    </row>
    <row r="170" spans="2:45" x14ac:dyDescent="0.25">
      <c r="B170" s="426">
        <f t="shared" si="21"/>
        <v>107</v>
      </c>
      <c r="C170" s="423">
        <f t="shared" si="22"/>
        <v>706375.8575929259</v>
      </c>
      <c r="D170" s="643">
        <f t="shared" si="26"/>
        <v>4273.5345200589509</v>
      </c>
      <c r="E170" s="643"/>
      <c r="F170" s="643">
        <f t="shared" si="16"/>
        <v>5886.4654799410491</v>
      </c>
      <c r="G170" s="643"/>
      <c r="H170" s="671">
        <f t="shared" si="17"/>
        <v>941.83447679056792</v>
      </c>
      <c r="I170" s="671"/>
      <c r="J170" s="640">
        <f t="shared" si="23"/>
        <v>310.80537734088739</v>
      </c>
      <c r="K170" s="640"/>
      <c r="L170" s="631">
        <f t="shared" si="18"/>
        <v>0</v>
      </c>
      <c r="M170" s="631"/>
      <c r="N170" s="631">
        <f>IF(B170="","",VLOOKUP(TRIM(CONCATENATE($F$20," ",$F$17," ",$F$18," ",$F$22," ",$F$21," ",$F$16," ",$F$23," ",$F$24)),Condicione_Financieras_Patrimon!B:W,22,0)*1.16)</f>
        <v>0</v>
      </c>
      <c r="O170" s="631"/>
      <c r="P170" s="641"/>
      <c r="Q170" s="641"/>
      <c r="R170" s="631"/>
      <c r="S170" s="631"/>
      <c r="T170" s="424">
        <f>IF(B170="","",'Tabla_Puntual&amp;Relacionamiento'!$B$76)</f>
        <v>0.1</v>
      </c>
      <c r="U170" s="424"/>
      <c r="V170" s="642">
        <f t="shared" si="19"/>
        <v>11412.639854131456</v>
      </c>
      <c r="W170" s="642"/>
      <c r="X170" s="642">
        <f t="shared" si="20"/>
        <v>702102.323072867</v>
      </c>
      <c r="Y170" s="642"/>
      <c r="AL170" s="420">
        <f t="shared" si="24"/>
        <v>10160</v>
      </c>
      <c r="AM170" s="421">
        <f t="shared" si="27"/>
        <v>10470.805377340886</v>
      </c>
      <c r="AN170" s="637"/>
      <c r="AO170" s="637"/>
      <c r="AP170" s="634"/>
      <c r="AQ170" s="634"/>
      <c r="AR170" s="427"/>
      <c r="AS170" s="522">
        <f t="shared" si="25"/>
        <v>0</v>
      </c>
    </row>
    <row r="171" spans="2:45" x14ac:dyDescent="0.25">
      <c r="B171" s="426">
        <f t="shared" si="21"/>
        <v>108</v>
      </c>
      <c r="C171" s="423">
        <f t="shared" si="22"/>
        <v>702102.323072867</v>
      </c>
      <c r="D171" s="643">
        <f t="shared" si="26"/>
        <v>4309.147307726108</v>
      </c>
      <c r="E171" s="643"/>
      <c r="F171" s="643">
        <f t="shared" si="16"/>
        <v>5850.852692273892</v>
      </c>
      <c r="G171" s="643"/>
      <c r="H171" s="671">
        <f t="shared" si="17"/>
        <v>936.13643076382277</v>
      </c>
      <c r="I171" s="671"/>
      <c r="J171" s="640">
        <f t="shared" si="23"/>
        <v>308.92502215206144</v>
      </c>
      <c r="K171" s="640"/>
      <c r="L171" s="631">
        <f t="shared" si="18"/>
        <v>0</v>
      </c>
      <c r="M171" s="631"/>
      <c r="N171" s="631">
        <f>IF(B171="","",VLOOKUP(TRIM(CONCATENATE($F$20," ",$F$17," ",$F$18," ",$F$22," ",$F$21," ",$F$16," ",$F$23," ",$F$24)),Condicione_Financieras_Patrimon!B:W,22,0)*1.16)</f>
        <v>0</v>
      </c>
      <c r="O171" s="631"/>
      <c r="P171" s="641"/>
      <c r="Q171" s="641"/>
      <c r="R171" s="631">
        <f>IF(OR(X170=0,X170=""),"",IF($F$21="Apoyo Infonavit",IF(D171&gt;=C171,0,MIN(IF($F$30="",0,Caratula_Patrimonial!$F$30),$AL$29*25)*10%),0))</f>
        <v>0</v>
      </c>
      <c r="S171" s="631"/>
      <c r="T171" s="424">
        <f>IF(B171="","",'Tabla_Puntual&amp;Relacionamiento'!$B$76)</f>
        <v>0.1</v>
      </c>
      <c r="U171" s="424"/>
      <c r="V171" s="642">
        <f t="shared" si="19"/>
        <v>11405.061452915885</v>
      </c>
      <c r="W171" s="642"/>
      <c r="X171" s="642">
        <f t="shared" si="20"/>
        <v>697793.17576514091</v>
      </c>
      <c r="Y171" s="642"/>
      <c r="AL171" s="420">
        <f t="shared" si="24"/>
        <v>10160</v>
      </c>
      <c r="AM171" s="421">
        <f t="shared" si="27"/>
        <v>10468.925022152062</v>
      </c>
      <c r="AN171" s="637"/>
      <c r="AO171" s="637"/>
      <c r="AP171" s="634"/>
      <c r="AQ171" s="634"/>
      <c r="AR171" s="427"/>
      <c r="AS171" s="522">
        <f t="shared" si="25"/>
        <v>0</v>
      </c>
    </row>
    <row r="172" spans="2:45" x14ac:dyDescent="0.25">
      <c r="B172" s="426">
        <f t="shared" si="21"/>
        <v>109</v>
      </c>
      <c r="C172" s="423">
        <f t="shared" si="22"/>
        <v>697793.17576514091</v>
      </c>
      <c r="D172" s="643">
        <f t="shared" si="26"/>
        <v>4345.0568686238257</v>
      </c>
      <c r="E172" s="643"/>
      <c r="F172" s="643">
        <f t="shared" si="16"/>
        <v>5814.9431313761743</v>
      </c>
      <c r="G172" s="643"/>
      <c r="H172" s="671">
        <f t="shared" si="17"/>
        <v>930.39090102018793</v>
      </c>
      <c r="I172" s="671"/>
      <c r="J172" s="640">
        <f t="shared" si="23"/>
        <v>307.02899733666203</v>
      </c>
      <c r="K172" s="640"/>
      <c r="L172" s="631">
        <f t="shared" si="18"/>
        <v>0</v>
      </c>
      <c r="M172" s="631"/>
      <c r="N172" s="631">
        <f>IF(B172="","",VLOOKUP(TRIM(CONCATENATE($F$20," ",$F$17," ",$F$18," ",$F$22," ",$F$21," ",$F$16," ",$F$23," ",$F$24)),Condicione_Financieras_Patrimon!B:W,22,0)*1.16)</f>
        <v>0</v>
      </c>
      <c r="O172" s="631"/>
      <c r="P172" s="641"/>
      <c r="Q172" s="641"/>
      <c r="R172" s="631"/>
      <c r="S172" s="631"/>
      <c r="T172" s="424">
        <f>IF(B172="","",'Tabla_Puntual&amp;Relacionamiento'!$B$77)</f>
        <v>0.1</v>
      </c>
      <c r="U172" s="424" t="str">
        <f>IF(B172="","",IF($F$16="Pago_Bajo_Puntual",0.019,""))</f>
        <v/>
      </c>
      <c r="V172" s="642">
        <f t="shared" si="19"/>
        <v>11397.419898356849</v>
      </c>
      <c r="W172" s="642"/>
      <c r="X172" s="642">
        <f t="shared" si="20"/>
        <v>693448.11889651709</v>
      </c>
      <c r="Y172" s="642"/>
      <c r="AL172" s="420">
        <f t="shared" si="24"/>
        <v>10160</v>
      </c>
      <c r="AM172" s="421">
        <f t="shared" si="27"/>
        <v>10467.028997336662</v>
      </c>
      <c r="AN172" s="637"/>
      <c r="AO172" s="637"/>
      <c r="AP172" s="634"/>
      <c r="AQ172" s="634"/>
      <c r="AR172" s="427"/>
      <c r="AS172" s="522">
        <f t="shared" si="25"/>
        <v>0</v>
      </c>
    </row>
    <row r="173" spans="2:45" x14ac:dyDescent="0.25">
      <c r="B173" s="426">
        <f t="shared" si="21"/>
        <v>110</v>
      </c>
      <c r="C173" s="423">
        <f t="shared" si="22"/>
        <v>693448.11889651709</v>
      </c>
      <c r="D173" s="643">
        <f t="shared" si="26"/>
        <v>4381.265675862358</v>
      </c>
      <c r="E173" s="643"/>
      <c r="F173" s="643">
        <f t="shared" si="16"/>
        <v>5778.734324137642</v>
      </c>
      <c r="G173" s="643"/>
      <c r="H173" s="671">
        <f t="shared" si="17"/>
        <v>924.59749186202271</v>
      </c>
      <c r="I173" s="671"/>
      <c r="J173" s="640">
        <f t="shared" si="23"/>
        <v>305.11717231446755</v>
      </c>
      <c r="K173" s="640"/>
      <c r="L173" s="631">
        <f t="shared" si="18"/>
        <v>0</v>
      </c>
      <c r="M173" s="631"/>
      <c r="N173" s="631">
        <f>IF(B173="","",VLOOKUP(TRIM(CONCATENATE($F$20," ",$F$17," ",$F$18," ",$F$22," ",$F$21," ",$F$16," ",$F$23," ",$F$24)),Condicione_Financieras_Patrimon!B:W,22,0)*1.16)</f>
        <v>0</v>
      </c>
      <c r="O173" s="631"/>
      <c r="P173" s="641"/>
      <c r="Q173" s="641"/>
      <c r="R173" s="631">
        <f>IF(OR(X172=0,X172=""),"",IF($F$21="Apoyo Infonavit",IF(D173&gt;=C173,0,MIN(IF($F$30="",0,Caratula_Patrimonial!$F$30),$AL$29*25)*10%),0))</f>
        <v>0</v>
      </c>
      <c r="S173" s="631"/>
      <c r="T173" s="424">
        <f>IF(B173="","",'Tabla_Puntual&amp;Relacionamiento'!$B$77)</f>
        <v>0.1</v>
      </c>
      <c r="U173" s="424"/>
      <c r="V173" s="642">
        <f t="shared" si="19"/>
        <v>11389.71466417649</v>
      </c>
      <c r="W173" s="642"/>
      <c r="X173" s="642">
        <f t="shared" si="20"/>
        <v>689066.85322065477</v>
      </c>
      <c r="Y173" s="642"/>
      <c r="AL173" s="420">
        <f t="shared" si="24"/>
        <v>10160</v>
      </c>
      <c r="AM173" s="421">
        <f t="shared" si="27"/>
        <v>10465.117172314467</v>
      </c>
      <c r="AN173" s="637"/>
      <c r="AO173" s="637"/>
      <c r="AP173" s="634"/>
      <c r="AQ173" s="634"/>
      <c r="AR173" s="427"/>
      <c r="AS173" s="522">
        <f t="shared" si="25"/>
        <v>0</v>
      </c>
    </row>
    <row r="174" spans="2:45" x14ac:dyDescent="0.25">
      <c r="B174" s="426">
        <f t="shared" si="21"/>
        <v>111</v>
      </c>
      <c r="C174" s="423">
        <f t="shared" si="22"/>
        <v>689066.85322065477</v>
      </c>
      <c r="D174" s="643">
        <f t="shared" si="26"/>
        <v>4417.7762231612105</v>
      </c>
      <c r="E174" s="643"/>
      <c r="F174" s="643">
        <f t="shared" si="16"/>
        <v>5742.2237768387895</v>
      </c>
      <c r="G174" s="643"/>
      <c r="H174" s="671">
        <f t="shared" si="17"/>
        <v>918.75580429420631</v>
      </c>
      <c r="I174" s="671"/>
      <c r="J174" s="640">
        <f t="shared" si="23"/>
        <v>303.18941541708807</v>
      </c>
      <c r="K174" s="640"/>
      <c r="L174" s="631">
        <f t="shared" si="18"/>
        <v>0</v>
      </c>
      <c r="M174" s="631"/>
      <c r="N174" s="631">
        <f>IF(B174="","",VLOOKUP(TRIM(CONCATENATE($F$20," ",$F$17," ",$F$18," ",$F$22," ",$F$21," ",$F$16," ",$F$23," ",$F$24)),Condicione_Financieras_Patrimon!B:W,22,0)*1.16)</f>
        <v>0</v>
      </c>
      <c r="O174" s="631"/>
      <c r="P174" s="641"/>
      <c r="Q174" s="641"/>
      <c r="R174" s="631"/>
      <c r="S174" s="631"/>
      <c r="T174" s="424">
        <f>IF(B174="","",'Tabla_Puntual&amp;Relacionamiento'!$B$77)</f>
        <v>0.1</v>
      </c>
      <c r="U174" s="424"/>
      <c r="V174" s="642">
        <f t="shared" si="19"/>
        <v>11381.945219711293</v>
      </c>
      <c r="W174" s="642"/>
      <c r="X174" s="642">
        <f t="shared" si="20"/>
        <v>684649.07699749351</v>
      </c>
      <c r="Y174" s="642"/>
      <c r="AL174" s="420">
        <f t="shared" si="24"/>
        <v>10160</v>
      </c>
      <c r="AM174" s="421">
        <f t="shared" si="27"/>
        <v>10463.189415417088</v>
      </c>
      <c r="AN174" s="637"/>
      <c r="AO174" s="637"/>
      <c r="AP174" s="634"/>
      <c r="AQ174" s="634"/>
      <c r="AR174" s="427"/>
      <c r="AS174" s="522">
        <f t="shared" si="25"/>
        <v>0</v>
      </c>
    </row>
    <row r="175" spans="2:45" x14ac:dyDescent="0.25">
      <c r="B175" s="426">
        <f t="shared" si="21"/>
        <v>112</v>
      </c>
      <c r="C175" s="423">
        <f t="shared" si="22"/>
        <v>684649.07699749351</v>
      </c>
      <c r="D175" s="643">
        <f t="shared" si="26"/>
        <v>4454.5910250208872</v>
      </c>
      <c r="E175" s="643"/>
      <c r="F175" s="643">
        <f t="shared" si="16"/>
        <v>5705.4089749791128</v>
      </c>
      <c r="G175" s="643"/>
      <c r="H175" s="671">
        <f t="shared" si="17"/>
        <v>912.86543599665811</v>
      </c>
      <c r="I175" s="671"/>
      <c r="J175" s="640">
        <f t="shared" si="23"/>
        <v>301.24559387889713</v>
      </c>
      <c r="K175" s="640"/>
      <c r="L175" s="631">
        <f t="shared" si="18"/>
        <v>0</v>
      </c>
      <c r="M175" s="631"/>
      <c r="N175" s="631">
        <f>IF(B175="","",VLOOKUP(TRIM(CONCATENATE($F$20," ",$F$17," ",$F$18," ",$F$22," ",$F$21," ",$F$16," ",$F$23," ",$F$24)),Condicione_Financieras_Patrimon!B:W,22,0)*1.16)</f>
        <v>0</v>
      </c>
      <c r="O175" s="631"/>
      <c r="P175" s="641"/>
      <c r="Q175" s="641"/>
      <c r="R175" s="631">
        <f>IF(OR(X174=0,X174=""),"",IF($F$21="Apoyo Infonavit",IF(D175&gt;=C175,0,MIN(IF($F$30="",0,Caratula_Patrimonial!$F$30),$AL$29*25)*10%),0))</f>
        <v>0</v>
      </c>
      <c r="S175" s="631"/>
      <c r="T175" s="424">
        <f>IF(B175="","",'Tabla_Puntual&amp;Relacionamiento'!$B$77)</f>
        <v>0.1</v>
      </c>
      <c r="U175" s="424"/>
      <c r="V175" s="642">
        <f t="shared" si="19"/>
        <v>11374.111029875556</v>
      </c>
      <c r="W175" s="642"/>
      <c r="X175" s="642">
        <f t="shared" si="20"/>
        <v>680194.48597247258</v>
      </c>
      <c r="Y175" s="642"/>
      <c r="AL175" s="420">
        <f t="shared" si="24"/>
        <v>10160</v>
      </c>
      <c r="AM175" s="421">
        <f t="shared" si="27"/>
        <v>10461.245593878897</v>
      </c>
      <c r="AN175" s="637"/>
      <c r="AO175" s="637"/>
      <c r="AP175" s="634"/>
      <c r="AQ175" s="634"/>
      <c r="AR175" s="427"/>
      <c r="AS175" s="522">
        <f t="shared" si="25"/>
        <v>0</v>
      </c>
    </row>
    <row r="176" spans="2:45" x14ac:dyDescent="0.25">
      <c r="B176" s="426">
        <f t="shared" si="21"/>
        <v>113</v>
      </c>
      <c r="C176" s="423">
        <f t="shared" si="22"/>
        <v>680194.48597247258</v>
      </c>
      <c r="D176" s="643">
        <f t="shared" si="26"/>
        <v>4491.7126168960622</v>
      </c>
      <c r="E176" s="643"/>
      <c r="F176" s="643">
        <f t="shared" si="16"/>
        <v>5668.2873831039378</v>
      </c>
      <c r="G176" s="643"/>
      <c r="H176" s="671">
        <f t="shared" si="17"/>
        <v>906.92598129663008</v>
      </c>
      <c r="I176" s="671"/>
      <c r="J176" s="640">
        <f t="shared" si="23"/>
        <v>299.28557382788796</v>
      </c>
      <c r="K176" s="640"/>
      <c r="L176" s="631">
        <f t="shared" si="18"/>
        <v>0</v>
      </c>
      <c r="M176" s="631"/>
      <c r="N176" s="631">
        <f>IF(B176="","",VLOOKUP(TRIM(CONCATENATE($F$20," ",$F$17," ",$F$18," ",$F$22," ",$F$21," ",$F$16," ",$F$23," ",$F$24)),Condicione_Financieras_Patrimon!B:W,22,0)*1.16)</f>
        <v>0</v>
      </c>
      <c r="O176" s="631"/>
      <c r="P176" s="641"/>
      <c r="Q176" s="641"/>
      <c r="R176" s="631"/>
      <c r="S176" s="631"/>
      <c r="T176" s="424">
        <f>IF(B176="","",'Tabla_Puntual&amp;Relacionamiento'!$B$77)</f>
        <v>0.1</v>
      </c>
      <c r="U176" s="424"/>
      <c r="V176" s="642">
        <f t="shared" si="19"/>
        <v>11366.211555124519</v>
      </c>
      <c r="W176" s="642"/>
      <c r="X176" s="642">
        <f t="shared" si="20"/>
        <v>675702.77335557656</v>
      </c>
      <c r="Y176" s="642"/>
      <c r="AL176" s="420">
        <f t="shared" si="24"/>
        <v>10160</v>
      </c>
      <c r="AM176" s="421">
        <f t="shared" si="27"/>
        <v>10459.285573827889</v>
      </c>
      <c r="AN176" s="637"/>
      <c r="AO176" s="637"/>
      <c r="AP176" s="634"/>
      <c r="AQ176" s="634"/>
      <c r="AR176" s="427"/>
      <c r="AS176" s="522">
        <f t="shared" si="25"/>
        <v>0</v>
      </c>
    </row>
    <row r="177" spans="2:45" x14ac:dyDescent="0.25">
      <c r="B177" s="426">
        <f t="shared" si="21"/>
        <v>114</v>
      </c>
      <c r="C177" s="423">
        <f t="shared" si="22"/>
        <v>675702.77335557656</v>
      </c>
      <c r="D177" s="643">
        <f t="shared" si="26"/>
        <v>4529.1435553701958</v>
      </c>
      <c r="E177" s="643"/>
      <c r="F177" s="643">
        <f t="shared" si="16"/>
        <v>5630.8564446298042</v>
      </c>
      <c r="G177" s="643"/>
      <c r="H177" s="671">
        <f t="shared" si="17"/>
        <v>900.93703114076868</v>
      </c>
      <c r="I177" s="671"/>
      <c r="J177" s="640">
        <f t="shared" si="23"/>
        <v>297.30922027645369</v>
      </c>
      <c r="K177" s="640"/>
      <c r="L177" s="631">
        <f t="shared" si="18"/>
        <v>0</v>
      </c>
      <c r="M177" s="631"/>
      <c r="N177" s="631">
        <f>IF(B177="","",VLOOKUP(TRIM(CONCATENATE($F$20," ",$F$17," ",$F$18," ",$F$22," ",$F$21," ",$F$16," ",$F$23," ",$F$24)),Condicione_Financieras_Patrimon!B:W,22,0)*1.16)</f>
        <v>0</v>
      </c>
      <c r="O177" s="631"/>
      <c r="P177" s="641"/>
      <c r="Q177" s="641"/>
      <c r="R177" s="631">
        <f>IF(OR(X176=0,X176=""),"",IF($F$21="Apoyo Infonavit",IF(D177&gt;=C177,0,MIN(IF($F$30="",0,Caratula_Patrimonial!$F$30),$AL$29*25)*10%),0))</f>
        <v>0</v>
      </c>
      <c r="S177" s="631"/>
      <c r="T177" s="424">
        <f>IF(B177="","",'Tabla_Puntual&amp;Relacionamiento'!$B$77)</f>
        <v>0.1</v>
      </c>
      <c r="U177" s="424"/>
      <c r="V177" s="642">
        <f t="shared" si="19"/>
        <v>11358.246251417222</v>
      </c>
      <c r="W177" s="642"/>
      <c r="X177" s="642">
        <f t="shared" si="20"/>
        <v>671173.6298002064</v>
      </c>
      <c r="Y177" s="642"/>
      <c r="AL177" s="420">
        <f t="shared" si="24"/>
        <v>10160</v>
      </c>
      <c r="AM177" s="421">
        <f t="shared" si="27"/>
        <v>10457.309220276453</v>
      </c>
      <c r="AN177" s="637"/>
      <c r="AO177" s="637"/>
      <c r="AP177" s="634"/>
      <c r="AQ177" s="634"/>
      <c r="AR177" s="427"/>
      <c r="AS177" s="522">
        <f t="shared" si="25"/>
        <v>0</v>
      </c>
    </row>
    <row r="178" spans="2:45" x14ac:dyDescent="0.25">
      <c r="B178" s="426">
        <f t="shared" si="21"/>
        <v>115</v>
      </c>
      <c r="C178" s="423">
        <f t="shared" si="22"/>
        <v>671173.6298002064</v>
      </c>
      <c r="D178" s="643">
        <f t="shared" si="26"/>
        <v>4566.8864183316136</v>
      </c>
      <c r="E178" s="643"/>
      <c r="F178" s="643">
        <f t="shared" si="16"/>
        <v>5593.1135816683864</v>
      </c>
      <c r="G178" s="643"/>
      <c r="H178" s="671">
        <f t="shared" si="17"/>
        <v>894.89817306694181</v>
      </c>
      <c r="I178" s="671"/>
      <c r="J178" s="640">
        <f t="shared" si="23"/>
        <v>295.31639711209084</v>
      </c>
      <c r="K178" s="640"/>
      <c r="L178" s="631">
        <f t="shared" si="18"/>
        <v>0</v>
      </c>
      <c r="M178" s="631"/>
      <c r="N178" s="631">
        <f>IF(B178="","",VLOOKUP(TRIM(CONCATENATE($F$20," ",$F$17," ",$F$18," ",$F$22," ",$F$21," ",$F$16," ",$F$23," ",$F$24)),Condicione_Financieras_Patrimon!B:W,22,0)*1.16)</f>
        <v>0</v>
      </c>
      <c r="O178" s="631"/>
      <c r="P178" s="641"/>
      <c r="Q178" s="641"/>
      <c r="R178" s="631"/>
      <c r="S178" s="631"/>
      <c r="T178" s="424">
        <f>IF(B178="","",'Tabla_Puntual&amp;Relacionamiento'!$B$77)</f>
        <v>0.1</v>
      </c>
      <c r="U178" s="424"/>
      <c r="V178" s="642">
        <f t="shared" si="19"/>
        <v>11350.214570179032</v>
      </c>
      <c r="W178" s="642"/>
      <c r="X178" s="642">
        <f t="shared" si="20"/>
        <v>666606.74338187475</v>
      </c>
      <c r="Y178" s="642"/>
      <c r="AL178" s="420">
        <f t="shared" si="24"/>
        <v>10160</v>
      </c>
      <c r="AM178" s="421">
        <f t="shared" si="27"/>
        <v>10455.31639711209</v>
      </c>
      <c r="AN178" s="637"/>
      <c r="AO178" s="637"/>
      <c r="AP178" s="634"/>
      <c r="AQ178" s="634"/>
      <c r="AR178" s="427"/>
      <c r="AS178" s="522">
        <f t="shared" si="25"/>
        <v>0</v>
      </c>
    </row>
    <row r="179" spans="2:45" x14ac:dyDescent="0.25">
      <c r="B179" s="426">
        <f t="shared" si="21"/>
        <v>116</v>
      </c>
      <c r="C179" s="423">
        <f t="shared" si="22"/>
        <v>666606.74338187475</v>
      </c>
      <c r="D179" s="643">
        <f t="shared" si="26"/>
        <v>4604.9438051510442</v>
      </c>
      <c r="E179" s="643"/>
      <c r="F179" s="643">
        <f t="shared" si="16"/>
        <v>5555.0561948489558</v>
      </c>
      <c r="G179" s="643"/>
      <c r="H179" s="671">
        <f t="shared" si="17"/>
        <v>888.80899117583294</v>
      </c>
      <c r="I179" s="671"/>
      <c r="J179" s="640">
        <f t="shared" si="23"/>
        <v>293.30696708802486</v>
      </c>
      <c r="K179" s="640"/>
      <c r="L179" s="631">
        <f t="shared" si="18"/>
        <v>0</v>
      </c>
      <c r="M179" s="631"/>
      <c r="N179" s="631">
        <f>IF(B179="","",VLOOKUP(TRIM(CONCATENATE($F$20," ",$F$17," ",$F$18," ",$F$22," ",$F$21," ",$F$16," ",$F$23," ",$F$24)),Condicione_Financieras_Patrimon!B:W,22,0)*1.16)</f>
        <v>0</v>
      </c>
      <c r="O179" s="631"/>
      <c r="P179" s="641"/>
      <c r="Q179" s="641"/>
      <c r="R179" s="631">
        <f>IF(OR(X178=0,X178=""),"",IF($F$21="Apoyo Infonavit",IF(D179&gt;=C179,0,MIN(IF($F$30="",0,Caratula_Patrimonial!$F$30),$AL$29*25)*10%),0))</f>
        <v>0</v>
      </c>
      <c r="S179" s="631"/>
      <c r="T179" s="424">
        <f>IF(B179="","",'Tabla_Puntual&amp;Relacionamiento'!$B$77)</f>
        <v>0.1</v>
      </c>
      <c r="U179" s="424"/>
      <c r="V179" s="642">
        <f t="shared" si="19"/>
        <v>11342.115958263857</v>
      </c>
      <c r="W179" s="642"/>
      <c r="X179" s="642">
        <f t="shared" si="20"/>
        <v>662001.79957672372</v>
      </c>
      <c r="Y179" s="642"/>
      <c r="AL179" s="420">
        <f t="shared" si="24"/>
        <v>10160</v>
      </c>
      <c r="AM179" s="421">
        <f t="shared" si="27"/>
        <v>10453.306967088025</v>
      </c>
      <c r="AN179" s="637"/>
      <c r="AO179" s="637"/>
      <c r="AP179" s="634"/>
      <c r="AQ179" s="634"/>
      <c r="AR179" s="427"/>
      <c r="AS179" s="522">
        <f t="shared" si="25"/>
        <v>0</v>
      </c>
    </row>
    <row r="180" spans="2:45" x14ac:dyDescent="0.25">
      <c r="B180" s="426">
        <f t="shared" si="21"/>
        <v>117</v>
      </c>
      <c r="C180" s="423">
        <f t="shared" si="22"/>
        <v>662001.79957672372</v>
      </c>
      <c r="D180" s="643">
        <f t="shared" si="26"/>
        <v>4643.318336860636</v>
      </c>
      <c r="E180" s="643"/>
      <c r="F180" s="643">
        <f t="shared" si="16"/>
        <v>5516.681663139364</v>
      </c>
      <c r="G180" s="643"/>
      <c r="H180" s="671">
        <f t="shared" si="17"/>
        <v>882.6690661022983</v>
      </c>
      <c r="I180" s="671"/>
      <c r="J180" s="640">
        <f t="shared" si="23"/>
        <v>291.28079181375841</v>
      </c>
      <c r="K180" s="640"/>
      <c r="L180" s="631">
        <f t="shared" si="18"/>
        <v>0</v>
      </c>
      <c r="M180" s="631"/>
      <c r="N180" s="631">
        <f>IF(B180="","",VLOOKUP(TRIM(CONCATENATE($F$20," ",$F$17," ",$F$18," ",$F$22," ",$F$21," ",$F$16," ",$F$23," ",$F$24)),Condicione_Financieras_Patrimon!B:W,22,0)*1.16)</f>
        <v>0</v>
      </c>
      <c r="O180" s="631"/>
      <c r="P180" s="641"/>
      <c r="Q180" s="641"/>
      <c r="R180" s="631"/>
      <c r="S180" s="631"/>
      <c r="T180" s="424">
        <f>IF(B180="","",'Tabla_Puntual&amp;Relacionamiento'!$B$77)</f>
        <v>0.1</v>
      </c>
      <c r="U180" s="424"/>
      <c r="V180" s="642">
        <f t="shared" si="19"/>
        <v>11333.949857916057</v>
      </c>
      <c r="W180" s="642"/>
      <c r="X180" s="642">
        <f t="shared" si="20"/>
        <v>657358.48123986309</v>
      </c>
      <c r="Y180" s="642"/>
      <c r="AL180" s="420">
        <f t="shared" si="24"/>
        <v>10160</v>
      </c>
      <c r="AM180" s="421">
        <f t="shared" si="27"/>
        <v>10451.280791813759</v>
      </c>
      <c r="AN180" s="637"/>
      <c r="AO180" s="637"/>
      <c r="AP180" s="634"/>
      <c r="AQ180" s="634"/>
      <c r="AR180" s="427"/>
      <c r="AS180" s="522">
        <f t="shared" si="25"/>
        <v>0</v>
      </c>
    </row>
    <row r="181" spans="2:45" x14ac:dyDescent="0.25">
      <c r="B181" s="426">
        <f t="shared" si="21"/>
        <v>118</v>
      </c>
      <c r="C181" s="423">
        <f t="shared" si="22"/>
        <v>657358.48123986309</v>
      </c>
      <c r="D181" s="643">
        <f t="shared" si="26"/>
        <v>4682.0126563344747</v>
      </c>
      <c r="E181" s="643"/>
      <c r="F181" s="643">
        <f t="shared" si="16"/>
        <v>5477.9873436655253</v>
      </c>
      <c r="G181" s="643"/>
      <c r="H181" s="671">
        <f t="shared" si="17"/>
        <v>876.47797498648401</v>
      </c>
      <c r="I181" s="671"/>
      <c r="J181" s="640">
        <f t="shared" si="23"/>
        <v>289.23773174553975</v>
      </c>
      <c r="K181" s="640"/>
      <c r="L181" s="631">
        <f t="shared" si="18"/>
        <v>0</v>
      </c>
      <c r="M181" s="631"/>
      <c r="N181" s="631">
        <f>IF(B181="","",VLOOKUP(TRIM(CONCATENATE($F$20," ",$F$17," ",$F$18," ",$F$22," ",$F$21," ",$F$16," ",$F$23," ",$F$24)),Condicione_Financieras_Patrimon!B:W,22,0)*1.16)</f>
        <v>0</v>
      </c>
      <c r="O181" s="631"/>
      <c r="P181" s="641"/>
      <c r="Q181" s="641"/>
      <c r="R181" s="631">
        <f>IF(OR(X180=0,X180=""),"",IF($F$21="Apoyo Infonavit",IF(D181&gt;=C181,0,MIN(IF($F$30="",0,Caratula_Patrimonial!$F$30),$AL$29*25)*10%),0))</f>
        <v>0</v>
      </c>
      <c r="S181" s="631"/>
      <c r="T181" s="424">
        <f>IF(B181="","",'Tabla_Puntual&amp;Relacionamiento'!$B$77)</f>
        <v>0.1</v>
      </c>
      <c r="U181" s="424"/>
      <c r="V181" s="642">
        <f t="shared" si="19"/>
        <v>11325.715706732024</v>
      </c>
      <c r="W181" s="642"/>
      <c r="X181" s="642">
        <f t="shared" si="20"/>
        <v>652676.46858352865</v>
      </c>
      <c r="Y181" s="642"/>
      <c r="AL181" s="420">
        <f t="shared" si="24"/>
        <v>10160</v>
      </c>
      <c r="AM181" s="421">
        <f t="shared" si="27"/>
        <v>10449.237731745539</v>
      </c>
      <c r="AN181" s="637"/>
      <c r="AO181" s="637"/>
      <c r="AP181" s="634"/>
      <c r="AQ181" s="634"/>
      <c r="AR181" s="427"/>
      <c r="AS181" s="522">
        <f t="shared" si="25"/>
        <v>0</v>
      </c>
    </row>
    <row r="182" spans="2:45" x14ac:dyDescent="0.25">
      <c r="B182" s="426">
        <f t="shared" si="21"/>
        <v>119</v>
      </c>
      <c r="C182" s="423">
        <f t="shared" si="22"/>
        <v>652676.46858352865</v>
      </c>
      <c r="D182" s="643">
        <f t="shared" si="26"/>
        <v>4721.0294284705942</v>
      </c>
      <c r="E182" s="643"/>
      <c r="F182" s="643">
        <f t="shared" si="16"/>
        <v>5438.9705715294058</v>
      </c>
      <c r="G182" s="643"/>
      <c r="H182" s="671">
        <f t="shared" si="17"/>
        <v>870.2352914447049</v>
      </c>
      <c r="I182" s="671"/>
      <c r="J182" s="640">
        <f t="shared" si="23"/>
        <v>287.17764617675266</v>
      </c>
      <c r="K182" s="640"/>
      <c r="L182" s="631">
        <f t="shared" si="18"/>
        <v>0</v>
      </c>
      <c r="M182" s="631"/>
      <c r="N182" s="631">
        <f>IF(B182="","",VLOOKUP(TRIM(CONCATENATE($F$20," ",$F$17," ",$F$18," ",$F$22," ",$F$21," ",$F$16," ",$F$23," ",$F$24)),Condicione_Financieras_Patrimon!B:W,22,0)*1.16)</f>
        <v>0</v>
      </c>
      <c r="O182" s="631"/>
      <c r="P182" s="641"/>
      <c r="Q182" s="641"/>
      <c r="R182" s="631"/>
      <c r="S182" s="631"/>
      <c r="T182" s="424">
        <f>IF(B182="","",'Tabla_Puntual&amp;Relacionamiento'!$B$77)</f>
        <v>0.1</v>
      </c>
      <c r="U182" s="424"/>
      <c r="V182" s="642">
        <f t="shared" si="19"/>
        <v>11317.412937621459</v>
      </c>
      <c r="W182" s="642"/>
      <c r="X182" s="642">
        <f t="shared" si="20"/>
        <v>647955.439155058</v>
      </c>
      <c r="Y182" s="642"/>
      <c r="AL182" s="420">
        <f t="shared" si="24"/>
        <v>10160</v>
      </c>
      <c r="AM182" s="421">
        <f t="shared" si="27"/>
        <v>10447.177646176753</v>
      </c>
      <c r="AN182" s="637"/>
      <c r="AO182" s="637"/>
      <c r="AP182" s="634"/>
      <c r="AQ182" s="634"/>
      <c r="AR182" s="427"/>
      <c r="AS182" s="522">
        <f t="shared" si="25"/>
        <v>0</v>
      </c>
    </row>
    <row r="183" spans="2:45" x14ac:dyDescent="0.25">
      <c r="B183" s="426">
        <f t="shared" si="21"/>
        <v>120</v>
      </c>
      <c r="C183" s="423">
        <f t="shared" si="22"/>
        <v>647955.439155058</v>
      </c>
      <c r="D183" s="643">
        <f t="shared" si="26"/>
        <v>4760.3713403745169</v>
      </c>
      <c r="E183" s="643"/>
      <c r="F183" s="643">
        <f t="shared" si="16"/>
        <v>5399.6286596254831</v>
      </c>
      <c r="G183" s="643"/>
      <c r="H183" s="671">
        <f t="shared" si="17"/>
        <v>863.94058554007734</v>
      </c>
      <c r="I183" s="671"/>
      <c r="J183" s="640">
        <f t="shared" si="23"/>
        <v>285.10039322822553</v>
      </c>
      <c r="K183" s="640"/>
      <c r="L183" s="631">
        <f t="shared" si="18"/>
        <v>0</v>
      </c>
      <c r="M183" s="631"/>
      <c r="N183" s="631">
        <f>IF(B183="","",VLOOKUP(TRIM(CONCATENATE($F$20," ",$F$17," ",$F$18," ",$F$22," ",$F$21," ",$F$16," ",$F$23," ",$F$24)),Condicione_Financieras_Patrimon!B:W,22,0)*1.16)</f>
        <v>0</v>
      </c>
      <c r="O183" s="631"/>
      <c r="P183" s="641"/>
      <c r="Q183" s="641"/>
      <c r="R183" s="631">
        <f>IF(OR(X182=0,X182=""),"",IF($F$21="Apoyo Infonavit",IF(D183&gt;=C183,0,MIN(IF($F$30="",0,Caratula_Patrimonial!$F$30),$AL$29*25)*10%),0))</f>
        <v>0</v>
      </c>
      <c r="S183" s="631"/>
      <c r="T183" s="424">
        <f>IF(B183="","",'Tabla_Puntual&amp;Relacionamiento'!$B$77)</f>
        <v>0.1</v>
      </c>
      <c r="U183" s="424"/>
      <c r="V183" s="642">
        <f t="shared" si="19"/>
        <v>11309.040978768302</v>
      </c>
      <c r="W183" s="642"/>
      <c r="X183" s="642">
        <f t="shared" si="20"/>
        <v>643195.06781468354</v>
      </c>
      <c r="Y183" s="642"/>
      <c r="AL183" s="420">
        <f t="shared" si="24"/>
        <v>10160</v>
      </c>
      <c r="AM183" s="421">
        <f t="shared" si="27"/>
        <v>10445.100393228226</v>
      </c>
      <c r="AN183" s="637"/>
      <c r="AO183" s="637"/>
      <c r="AP183" s="634"/>
      <c r="AQ183" s="634"/>
      <c r="AR183" s="427"/>
      <c r="AS183" s="522">
        <f t="shared" si="25"/>
        <v>0</v>
      </c>
    </row>
    <row r="184" spans="2:45" x14ac:dyDescent="0.25">
      <c r="B184" s="426">
        <f t="shared" si="21"/>
        <v>121</v>
      </c>
      <c r="C184" s="423">
        <f t="shared" si="22"/>
        <v>643195.06781468354</v>
      </c>
      <c r="D184" s="643">
        <f t="shared" si="26"/>
        <v>4800.0411015443042</v>
      </c>
      <c r="E184" s="643"/>
      <c r="F184" s="643">
        <f t="shared" si="16"/>
        <v>5359.9588984556958</v>
      </c>
      <c r="G184" s="643"/>
      <c r="H184" s="671">
        <f t="shared" si="17"/>
        <v>857.59342375291135</v>
      </c>
      <c r="I184" s="671"/>
      <c r="J184" s="640">
        <f t="shared" si="23"/>
        <v>283.00582983846078</v>
      </c>
      <c r="K184" s="640"/>
      <c r="L184" s="631">
        <f t="shared" si="18"/>
        <v>0</v>
      </c>
      <c r="M184" s="631"/>
      <c r="N184" s="631">
        <f>IF(B184="","",VLOOKUP(TRIM(CONCATENATE($F$20," ",$F$17," ",$F$18," ",$F$22," ",$F$21," ",$F$16," ",$F$23," ",$F$24)),Condicione_Financieras_Patrimon!B:W,22,0)*1.16)</f>
        <v>0</v>
      </c>
      <c r="O184" s="631"/>
      <c r="P184" s="641"/>
      <c r="Q184" s="641"/>
      <c r="R184" s="631"/>
      <c r="S184" s="631"/>
      <c r="T184" s="424">
        <f>IF(B184="","",'Tabla_Puntual&amp;Relacionamiento'!$B$78)</f>
        <v>0.1</v>
      </c>
      <c r="U184" s="424" t="str">
        <f>IF(B184="","",IF($F$16="Pago_Bajo_Puntual",0.019,""))</f>
        <v/>
      </c>
      <c r="V184" s="642">
        <f t="shared" si="19"/>
        <v>11300.599253591372</v>
      </c>
      <c r="W184" s="642"/>
      <c r="X184" s="642">
        <f t="shared" si="20"/>
        <v>638395.02671313926</v>
      </c>
      <c r="Y184" s="642"/>
      <c r="AL184" s="420">
        <f t="shared" si="24"/>
        <v>10160</v>
      </c>
      <c r="AM184" s="421">
        <f t="shared" si="27"/>
        <v>10443.005829838461</v>
      </c>
      <c r="AN184" s="637"/>
      <c r="AO184" s="637"/>
      <c r="AP184" s="634"/>
      <c r="AQ184" s="634"/>
      <c r="AR184" s="427"/>
      <c r="AS184" s="522">
        <f t="shared" si="25"/>
        <v>0</v>
      </c>
    </row>
    <row r="185" spans="2:45" x14ac:dyDescent="0.25">
      <c r="B185" s="426">
        <f t="shared" si="21"/>
        <v>122</v>
      </c>
      <c r="C185" s="423">
        <f t="shared" si="22"/>
        <v>638395.02671313926</v>
      </c>
      <c r="D185" s="643">
        <f t="shared" si="26"/>
        <v>4840.0414440571731</v>
      </c>
      <c r="E185" s="643"/>
      <c r="F185" s="643">
        <f t="shared" si="16"/>
        <v>5319.9585559428269</v>
      </c>
      <c r="G185" s="643"/>
      <c r="H185" s="671">
        <f t="shared" si="17"/>
        <v>851.19336895085235</v>
      </c>
      <c r="I185" s="671"/>
      <c r="J185" s="640">
        <f t="shared" si="23"/>
        <v>280.89381175378128</v>
      </c>
      <c r="K185" s="640"/>
      <c r="L185" s="631">
        <f t="shared" si="18"/>
        <v>0</v>
      </c>
      <c r="M185" s="631"/>
      <c r="N185" s="631">
        <f>IF(B185="","",VLOOKUP(TRIM(CONCATENATE($F$20," ",$F$17," ",$F$18," ",$F$22," ",$F$21," ",$F$16," ",$F$23," ",$F$24)),Condicione_Financieras_Patrimon!B:W,22,0)*1.16)</f>
        <v>0</v>
      </c>
      <c r="O185" s="631"/>
      <c r="P185" s="641"/>
      <c r="Q185" s="641"/>
      <c r="R185" s="631">
        <f>IF(OR(X184=0,X184=""),"",IF($F$21="Apoyo Infonavit",IF(D185&gt;=C185,0,MIN(IF($F$30="",0,Caratula_Patrimonial!$F$30),$AL$29*25)*10%),0))</f>
        <v>0</v>
      </c>
      <c r="S185" s="631"/>
      <c r="T185" s="424">
        <f>IF(B185="","",'Tabla_Puntual&amp;Relacionamiento'!$B$78)</f>
        <v>0.1</v>
      </c>
      <c r="U185" s="424"/>
      <c r="V185" s="642">
        <f t="shared" si="19"/>
        <v>11292.087180704633</v>
      </c>
      <c r="W185" s="642"/>
      <c r="X185" s="642">
        <f t="shared" si="20"/>
        <v>633554.98526908213</v>
      </c>
      <c r="Y185" s="642"/>
      <c r="AL185" s="420">
        <f t="shared" si="24"/>
        <v>10160</v>
      </c>
      <c r="AM185" s="421">
        <f t="shared" si="27"/>
        <v>10440.893811753782</v>
      </c>
      <c r="AN185" s="637"/>
      <c r="AO185" s="637"/>
      <c r="AP185" s="634"/>
      <c r="AQ185" s="634"/>
      <c r="AR185" s="427"/>
      <c r="AS185" s="522">
        <f t="shared" si="25"/>
        <v>0</v>
      </c>
    </row>
    <row r="186" spans="2:45" x14ac:dyDescent="0.25">
      <c r="B186" s="426">
        <f t="shared" si="21"/>
        <v>123</v>
      </c>
      <c r="C186" s="423">
        <f t="shared" si="22"/>
        <v>633554.98526908213</v>
      </c>
      <c r="D186" s="643">
        <f t="shared" si="26"/>
        <v>4880.3751227576486</v>
      </c>
      <c r="E186" s="643"/>
      <c r="F186" s="643">
        <f t="shared" si="16"/>
        <v>5279.6248772423514</v>
      </c>
      <c r="G186" s="643"/>
      <c r="H186" s="671">
        <f t="shared" si="17"/>
        <v>844.73998035877628</v>
      </c>
      <c r="I186" s="671"/>
      <c r="J186" s="640">
        <f t="shared" si="23"/>
        <v>278.7641935183961</v>
      </c>
      <c r="K186" s="640"/>
      <c r="L186" s="631">
        <f t="shared" si="18"/>
        <v>0</v>
      </c>
      <c r="M186" s="631"/>
      <c r="N186" s="631">
        <f>IF(B186="","",VLOOKUP(TRIM(CONCATENATE($F$20," ",$F$17," ",$F$18," ",$F$22," ",$F$21," ",$F$16," ",$F$23," ",$F$24)),Condicione_Financieras_Patrimon!B:W,22,0)*1.16)</f>
        <v>0</v>
      </c>
      <c r="O186" s="631"/>
      <c r="P186" s="641"/>
      <c r="Q186" s="641"/>
      <c r="R186" s="631"/>
      <c r="S186" s="631"/>
      <c r="T186" s="424">
        <f>IF(B186="","",'Tabla_Puntual&amp;Relacionamiento'!$B$78)</f>
        <v>0.1</v>
      </c>
      <c r="U186" s="424"/>
      <c r="V186" s="642">
        <f t="shared" si="19"/>
        <v>11283.504173877172</v>
      </c>
      <c r="W186" s="642"/>
      <c r="X186" s="642">
        <f t="shared" si="20"/>
        <v>628674.6101463245</v>
      </c>
      <c r="Y186" s="642"/>
      <c r="AL186" s="420">
        <f t="shared" si="24"/>
        <v>10160</v>
      </c>
      <c r="AM186" s="421">
        <f t="shared" si="27"/>
        <v>10438.764193518396</v>
      </c>
      <c r="AN186" s="637"/>
      <c r="AO186" s="637"/>
      <c r="AP186" s="634"/>
      <c r="AQ186" s="634"/>
      <c r="AR186" s="427"/>
      <c r="AS186" s="522">
        <f t="shared" si="25"/>
        <v>0</v>
      </c>
    </row>
    <row r="187" spans="2:45" x14ac:dyDescent="0.25">
      <c r="B187" s="426">
        <f t="shared" si="21"/>
        <v>124</v>
      </c>
      <c r="C187" s="423">
        <f t="shared" si="22"/>
        <v>628674.6101463245</v>
      </c>
      <c r="D187" s="643">
        <f t="shared" si="26"/>
        <v>4921.0449154472963</v>
      </c>
      <c r="E187" s="643"/>
      <c r="F187" s="643">
        <f t="shared" si="16"/>
        <v>5238.9550845527037</v>
      </c>
      <c r="G187" s="643"/>
      <c r="H187" s="671">
        <f t="shared" si="17"/>
        <v>838.23281352843264</v>
      </c>
      <c r="I187" s="671"/>
      <c r="J187" s="640">
        <f t="shared" si="23"/>
        <v>276.61682846438282</v>
      </c>
      <c r="K187" s="640"/>
      <c r="L187" s="631">
        <f t="shared" si="18"/>
        <v>0</v>
      </c>
      <c r="M187" s="631"/>
      <c r="N187" s="631">
        <f>IF(B187="","",VLOOKUP(TRIM(CONCATENATE($F$20," ",$F$17," ",$F$18," ",$F$22," ",$F$21," ",$F$16," ",$F$23," ",$F$24)),Condicione_Financieras_Patrimon!B:W,22,0)*1.16)</f>
        <v>0</v>
      </c>
      <c r="O187" s="631"/>
      <c r="P187" s="641"/>
      <c r="Q187" s="641"/>
      <c r="R187" s="631">
        <f>IF(OR(X186=0,X186=""),"",IF($F$21="Apoyo Infonavit",IF(D187&gt;=C187,0,MIN(IF($F$30="",0,Caratula_Patrimonial!$F$30),$AL$29*25)*10%),0))</f>
        <v>0</v>
      </c>
      <c r="S187" s="631"/>
      <c r="T187" s="424">
        <f>IF(B187="","",'Tabla_Puntual&amp;Relacionamiento'!$B$78)</f>
        <v>0.1</v>
      </c>
      <c r="U187" s="424"/>
      <c r="V187" s="642">
        <f t="shared" si="19"/>
        <v>11274.849641992816</v>
      </c>
      <c r="W187" s="642"/>
      <c r="X187" s="642">
        <f t="shared" si="20"/>
        <v>623753.56523087726</v>
      </c>
      <c r="Y187" s="642"/>
      <c r="AL187" s="420">
        <f t="shared" si="24"/>
        <v>10160</v>
      </c>
      <c r="AM187" s="421">
        <f t="shared" si="27"/>
        <v>10436.616828464383</v>
      </c>
      <c r="AN187" s="637"/>
      <c r="AO187" s="637"/>
      <c r="AP187" s="634"/>
      <c r="AQ187" s="634"/>
      <c r="AR187" s="427"/>
      <c r="AS187" s="522">
        <f t="shared" si="25"/>
        <v>0</v>
      </c>
    </row>
    <row r="188" spans="2:45" x14ac:dyDescent="0.25">
      <c r="B188" s="426">
        <f t="shared" si="21"/>
        <v>125</v>
      </c>
      <c r="C188" s="423">
        <f t="shared" si="22"/>
        <v>623753.56523087726</v>
      </c>
      <c r="D188" s="643">
        <f t="shared" si="26"/>
        <v>4962.0536230760226</v>
      </c>
      <c r="E188" s="643"/>
      <c r="F188" s="643">
        <f t="shared" si="16"/>
        <v>5197.9463769239774</v>
      </c>
      <c r="G188" s="643"/>
      <c r="H188" s="671">
        <f t="shared" si="17"/>
        <v>831.67142030783634</v>
      </c>
      <c r="I188" s="671"/>
      <c r="J188" s="640">
        <f t="shared" si="23"/>
        <v>274.45156870158598</v>
      </c>
      <c r="K188" s="640"/>
      <c r="L188" s="631">
        <f t="shared" si="18"/>
        <v>0</v>
      </c>
      <c r="M188" s="631"/>
      <c r="N188" s="631">
        <f>IF(B188="","",VLOOKUP(TRIM(CONCATENATE($F$20," ",$F$17," ",$F$18," ",$F$22," ",$F$21," ",$F$16," ",$F$23," ",$F$24)),Condicione_Financieras_Patrimon!B:W,22,0)*1.16)</f>
        <v>0</v>
      </c>
      <c r="O188" s="631"/>
      <c r="P188" s="641"/>
      <c r="Q188" s="641"/>
      <c r="R188" s="631"/>
      <c r="S188" s="631"/>
      <c r="T188" s="424">
        <f>IF(B188="","",'Tabla_Puntual&amp;Relacionamiento'!$B$78)</f>
        <v>0.1</v>
      </c>
      <c r="U188" s="424"/>
      <c r="V188" s="642">
        <f t="shared" si="19"/>
        <v>11266.122989009424</v>
      </c>
      <c r="W188" s="642"/>
      <c r="X188" s="642">
        <f t="shared" si="20"/>
        <v>618791.51160780119</v>
      </c>
      <c r="Y188" s="642"/>
      <c r="AL188" s="420">
        <f t="shared" si="24"/>
        <v>10160</v>
      </c>
      <c r="AM188" s="421">
        <f t="shared" si="27"/>
        <v>10434.451568701586</v>
      </c>
      <c r="AN188" s="637"/>
      <c r="AO188" s="637"/>
      <c r="AP188" s="634"/>
      <c r="AQ188" s="634"/>
      <c r="AR188" s="427"/>
      <c r="AS188" s="522">
        <f t="shared" si="25"/>
        <v>0</v>
      </c>
    </row>
    <row r="189" spans="2:45" x14ac:dyDescent="0.25">
      <c r="B189" s="426">
        <f t="shared" si="21"/>
        <v>126</v>
      </c>
      <c r="C189" s="423">
        <f t="shared" si="22"/>
        <v>618791.51160780119</v>
      </c>
      <c r="D189" s="643">
        <f t="shared" si="26"/>
        <v>5003.4040699349898</v>
      </c>
      <c r="E189" s="643"/>
      <c r="F189" s="643">
        <f t="shared" si="16"/>
        <v>5156.5959300650102</v>
      </c>
      <c r="G189" s="643"/>
      <c r="H189" s="671">
        <f t="shared" si="17"/>
        <v>825.0553488104016</v>
      </c>
      <c r="I189" s="671"/>
      <c r="J189" s="640">
        <f t="shared" si="23"/>
        <v>272.26826510743257</v>
      </c>
      <c r="K189" s="640"/>
      <c r="L189" s="631">
        <f t="shared" si="18"/>
        <v>0</v>
      </c>
      <c r="M189" s="631"/>
      <c r="N189" s="631">
        <f>IF(B189="","",VLOOKUP(TRIM(CONCATENATE($F$20," ",$F$17," ",$F$18," ",$F$22," ",$F$21," ",$F$16," ",$F$23," ",$F$24)),Condicione_Financieras_Patrimon!B:W,22,0)*1.16)</f>
        <v>0</v>
      </c>
      <c r="O189" s="631"/>
      <c r="P189" s="641"/>
      <c r="Q189" s="641"/>
      <c r="R189" s="631">
        <f>IF(OR(X188=0,X188=""),"",IF($F$21="Apoyo Infonavit",IF(D189&gt;=C189,0,MIN(IF($F$30="",0,Caratula_Patrimonial!$F$30),$AL$29*25)*10%),0))</f>
        <v>0</v>
      </c>
      <c r="S189" s="631"/>
      <c r="T189" s="424">
        <f>IF(B189="","",'Tabla_Puntual&amp;Relacionamiento'!$B$78)</f>
        <v>0.1</v>
      </c>
      <c r="U189" s="424"/>
      <c r="V189" s="642">
        <f t="shared" si="19"/>
        <v>11257.323613917833</v>
      </c>
      <c r="W189" s="642"/>
      <c r="X189" s="642">
        <f t="shared" si="20"/>
        <v>613788.10753786622</v>
      </c>
      <c r="Y189" s="642"/>
      <c r="AL189" s="420">
        <f t="shared" si="24"/>
        <v>10160</v>
      </c>
      <c r="AM189" s="421">
        <f t="shared" si="27"/>
        <v>10432.268265107432</v>
      </c>
      <c r="AN189" s="637"/>
      <c r="AO189" s="637"/>
      <c r="AP189" s="634"/>
      <c r="AQ189" s="634"/>
      <c r="AR189" s="427"/>
      <c r="AS189" s="522">
        <f t="shared" si="25"/>
        <v>0</v>
      </c>
    </row>
    <row r="190" spans="2:45" x14ac:dyDescent="0.25">
      <c r="B190" s="426">
        <f t="shared" si="21"/>
        <v>127</v>
      </c>
      <c r="C190" s="423">
        <f t="shared" si="22"/>
        <v>613788.10753786622</v>
      </c>
      <c r="D190" s="643">
        <f t="shared" si="26"/>
        <v>5045.0991038511147</v>
      </c>
      <c r="E190" s="643"/>
      <c r="F190" s="643">
        <f t="shared" si="16"/>
        <v>5114.9008961488853</v>
      </c>
      <c r="G190" s="643"/>
      <c r="H190" s="671">
        <f t="shared" si="17"/>
        <v>818.38414338382165</v>
      </c>
      <c r="I190" s="671"/>
      <c r="J190" s="640">
        <f t="shared" si="23"/>
        <v>270.06676731666113</v>
      </c>
      <c r="K190" s="640"/>
      <c r="L190" s="631">
        <f t="shared" si="18"/>
        <v>0</v>
      </c>
      <c r="M190" s="631"/>
      <c r="N190" s="631">
        <f>IF(B190="","",VLOOKUP(TRIM(CONCATENATE($F$20," ",$F$17," ",$F$18," ",$F$22," ",$F$21," ",$F$16," ",$F$23," ",$F$24)),Condicione_Financieras_Patrimon!B:W,22,0)*1.16)</f>
        <v>0</v>
      </c>
      <c r="O190" s="631"/>
      <c r="P190" s="641"/>
      <c r="Q190" s="641"/>
      <c r="R190" s="631"/>
      <c r="S190" s="631"/>
      <c r="T190" s="424">
        <f>IF(B190="","",'Tabla_Puntual&amp;Relacionamiento'!$B$78)</f>
        <v>0.1</v>
      </c>
      <c r="U190" s="424"/>
      <c r="V190" s="642">
        <f t="shared" si="19"/>
        <v>11248.450910700483</v>
      </c>
      <c r="W190" s="642"/>
      <c r="X190" s="642">
        <f t="shared" si="20"/>
        <v>608743.00843401509</v>
      </c>
      <c r="Y190" s="642"/>
      <c r="AL190" s="420">
        <f t="shared" si="24"/>
        <v>10160</v>
      </c>
      <c r="AM190" s="421">
        <f t="shared" si="27"/>
        <v>10430.066767316661</v>
      </c>
      <c r="AN190" s="637"/>
      <c r="AO190" s="637"/>
      <c r="AP190" s="634"/>
      <c r="AQ190" s="634"/>
      <c r="AR190" s="427"/>
      <c r="AS190" s="522">
        <f t="shared" si="25"/>
        <v>0</v>
      </c>
    </row>
    <row r="191" spans="2:45" x14ac:dyDescent="0.25">
      <c r="B191" s="426">
        <f t="shared" si="21"/>
        <v>128</v>
      </c>
      <c r="C191" s="423">
        <f t="shared" si="22"/>
        <v>608743.00843401509</v>
      </c>
      <c r="D191" s="643">
        <f t="shared" si="26"/>
        <v>5087.1415963832078</v>
      </c>
      <c r="E191" s="643"/>
      <c r="F191" s="643">
        <f t="shared" si="16"/>
        <v>5072.8584036167922</v>
      </c>
      <c r="G191" s="643"/>
      <c r="H191" s="671">
        <f t="shared" si="17"/>
        <v>811.65734457868678</v>
      </c>
      <c r="I191" s="671"/>
      <c r="J191" s="640">
        <f t="shared" si="23"/>
        <v>267.84692371096668</v>
      </c>
      <c r="K191" s="640"/>
      <c r="L191" s="631">
        <f t="shared" si="18"/>
        <v>0</v>
      </c>
      <c r="M191" s="631"/>
      <c r="N191" s="631">
        <f>IF(B191="","",VLOOKUP(TRIM(CONCATENATE($F$20," ",$F$17," ",$F$18," ",$F$22," ",$F$21," ",$F$16," ",$F$23," ",$F$24)),Condicione_Financieras_Patrimon!B:W,22,0)*1.16)</f>
        <v>0</v>
      </c>
      <c r="O191" s="631"/>
      <c r="P191" s="641"/>
      <c r="Q191" s="641"/>
      <c r="R191" s="631">
        <f>IF(OR(X190=0,X190=""),"",IF($F$21="Apoyo Infonavit",IF(D191&gt;=C191,0,MIN(IF($F$30="",0,Caratula_Patrimonial!$F$30),$AL$29*25)*10%),0))</f>
        <v>0</v>
      </c>
      <c r="S191" s="631"/>
      <c r="T191" s="424">
        <f>IF(B191="","",'Tabla_Puntual&amp;Relacionamiento'!$B$78)</f>
        <v>0.1</v>
      </c>
      <c r="U191" s="424"/>
      <c r="V191" s="642">
        <f t="shared" si="19"/>
        <v>11239.504268289655</v>
      </c>
      <c r="W191" s="642"/>
      <c r="X191" s="642">
        <f t="shared" si="20"/>
        <v>603655.86683763191</v>
      </c>
      <c r="Y191" s="642"/>
      <c r="AL191" s="420">
        <f t="shared" si="24"/>
        <v>10160</v>
      </c>
      <c r="AM191" s="421">
        <f t="shared" si="27"/>
        <v>10427.846923710968</v>
      </c>
      <c r="AN191" s="637"/>
      <c r="AO191" s="637"/>
      <c r="AP191" s="634"/>
      <c r="AQ191" s="634"/>
      <c r="AR191" s="427"/>
      <c r="AS191" s="522">
        <f t="shared" si="25"/>
        <v>0</v>
      </c>
    </row>
    <row r="192" spans="2:45" x14ac:dyDescent="0.25">
      <c r="B192" s="426">
        <f t="shared" si="21"/>
        <v>129</v>
      </c>
      <c r="C192" s="423">
        <f t="shared" si="22"/>
        <v>603655.86683763191</v>
      </c>
      <c r="D192" s="643">
        <f t="shared" si="26"/>
        <v>5129.5344430197338</v>
      </c>
      <c r="E192" s="643"/>
      <c r="F192" s="643">
        <f t="shared" ref="F192:F255" si="28">IF(B192="","",IF(X191*(T192/12)&lt;0,"",X191*(T192/12)))</f>
        <v>5030.4655569802662</v>
      </c>
      <c r="G192" s="643"/>
      <c r="H192" s="671">
        <f t="shared" ref="H192:H255" si="29">IFERROR(IF($F$20="Liquidez",F192*0.16,
IF(AND($F$20="Pago_Hipoteca+Liquidez",$F$36="Liquidez"),F192*0.16,0)),0)</f>
        <v>804.8744891168426</v>
      </c>
      <c r="I192" s="671"/>
      <c r="J192" s="640">
        <f t="shared" si="23"/>
        <v>265.60858140855805</v>
      </c>
      <c r="K192" s="640"/>
      <c r="L192" s="631">
        <f t="shared" ref="L192:L255" si="30">IF(B192="","",IF(AND($F$20="Pago_Hipoteca+Liquidez",$F$36="Liquidez"),0,
IF((($F$28*0.7)*$AQ$38)&gt;C192*$AQ$38,($F$28*0.7)*($AQ$38)/1000,($AQ$38*C192)/1000)))</f>
        <v>0</v>
      </c>
      <c r="M192" s="631"/>
      <c r="N192" s="631">
        <f>IF(B192="","",VLOOKUP(TRIM(CONCATENATE($F$20," ",$F$17," ",$F$18," ",$F$22," ",$F$21," ",$F$16," ",$F$23," ",$F$24)),Condicione_Financieras_Patrimon!B:W,22,0)*1.16)</f>
        <v>0</v>
      </c>
      <c r="O192" s="631"/>
      <c r="P192" s="641"/>
      <c r="Q192" s="641"/>
      <c r="R192" s="631"/>
      <c r="S192" s="631"/>
      <c r="T192" s="424">
        <f>IF(B192="","",'Tabla_Puntual&amp;Relacionamiento'!$B$78)</f>
        <v>0.1</v>
      </c>
      <c r="U192" s="424"/>
      <c r="V192" s="642">
        <f t="shared" ref="V192:V255" si="31">IF(B192="","",D192+F192+H192+J192+L192+N192)</f>
        <v>11230.483070525401</v>
      </c>
      <c r="W192" s="642"/>
      <c r="X192" s="642">
        <f t="shared" ref="X192:X255" si="32">IFERROR(IF(C192="","",IF((C192-D192-P192+AN192+AP192-R192)&lt;1,0,C192-D192-P192+AN192+AP192-R192)),0)</f>
        <v>598526.33239461214</v>
      </c>
      <c r="Y192" s="642"/>
      <c r="AL192" s="420">
        <f t="shared" si="24"/>
        <v>10160</v>
      </c>
      <c r="AM192" s="421">
        <f t="shared" si="27"/>
        <v>10425.608581408558</v>
      </c>
      <c r="AN192" s="637"/>
      <c r="AO192" s="637"/>
      <c r="AP192" s="634"/>
      <c r="AQ192" s="634"/>
      <c r="AR192" s="427"/>
      <c r="AS192" s="522">
        <f t="shared" si="25"/>
        <v>0</v>
      </c>
    </row>
    <row r="193" spans="2:45" x14ac:dyDescent="0.25">
      <c r="B193" s="426">
        <f t="shared" ref="B193:B256" si="33">IF(OR(B192="",X192&lt;=0),"",IF(B192+1&lt;=F$23*12,B192+1,""))</f>
        <v>130</v>
      </c>
      <c r="C193" s="423">
        <f t="shared" ref="C193:C256" si="34">IF(B193="","",IF(IF(C192="","",C192-D192-R192)&lt;0.01,AQ192,IF(C192="","",X192)))</f>
        <v>598526.33239461214</v>
      </c>
      <c r="D193" s="643">
        <f t="shared" si="26"/>
        <v>5172.2805633782318</v>
      </c>
      <c r="E193" s="643"/>
      <c r="F193" s="643">
        <f t="shared" si="28"/>
        <v>4987.7194366217682</v>
      </c>
      <c r="G193" s="643"/>
      <c r="H193" s="671">
        <f t="shared" si="29"/>
        <v>798.03510985948287</v>
      </c>
      <c r="I193" s="671"/>
      <c r="J193" s="640">
        <f t="shared" ref="J193:J256" si="35">IF(B193="","",C193*$AQ$35/1000)</f>
        <v>263.35158625362936</v>
      </c>
      <c r="K193" s="640"/>
      <c r="L193" s="631">
        <f t="shared" si="30"/>
        <v>0</v>
      </c>
      <c r="M193" s="631"/>
      <c r="N193" s="631">
        <f>IF(B193="","",VLOOKUP(TRIM(CONCATENATE($F$20," ",$F$17," ",$F$18," ",$F$22," ",$F$21," ",$F$16," ",$F$23," ",$F$24)),Condicione_Financieras_Patrimon!B:W,22,0)*1.16)</f>
        <v>0</v>
      </c>
      <c r="O193" s="631"/>
      <c r="P193" s="641"/>
      <c r="Q193" s="641"/>
      <c r="R193" s="631">
        <f>IF(OR(X192=0,X192=""),"",IF($F$21="Apoyo Infonavit",IF(D193&gt;=C193,0,MIN(IF($F$30="",0,Caratula_Patrimonial!$F$30),$AL$29*25)*10%),0))</f>
        <v>0</v>
      </c>
      <c r="S193" s="631"/>
      <c r="T193" s="424">
        <f>IF(B193="","",'Tabla_Puntual&amp;Relacionamiento'!$B$78)</f>
        <v>0.1</v>
      </c>
      <c r="U193" s="424"/>
      <c r="V193" s="642">
        <f t="shared" si="31"/>
        <v>11221.386696113113</v>
      </c>
      <c r="W193" s="642"/>
      <c r="X193" s="642">
        <f t="shared" si="32"/>
        <v>593354.0518312339</v>
      </c>
      <c r="Y193" s="642"/>
      <c r="AL193" s="420">
        <f t="shared" ref="AL193:AL256" si="36">IF(B193="","",
IF(X192&lt;AL192,X192+F193,
IF($F$16="Pago_Fijo_Puntual",$X$63*$AQ$40/1000,
IF($F$16="Pago_Bajo_Puntual",AL192+(AL192*U193)))))</f>
        <v>10160</v>
      </c>
      <c r="AM193" s="421">
        <f t="shared" si="27"/>
        <v>10423.35158625363</v>
      </c>
      <c r="AN193" s="637"/>
      <c r="AO193" s="637"/>
      <c r="AP193" s="634"/>
      <c r="AQ193" s="634"/>
      <c r="AR193" s="427"/>
      <c r="AS193" s="522">
        <f t="shared" ref="AS193:AS256" si="37">IF(B193="","",IF(AND($F$20="Pago_Hipoteca+Liquidez",$F$36="Liquidez"),0,
IF((($F$28*0.7)*$AQ$38/1.16)&gt;C193*$AQ$38/1.16,($F$28*0.7)*($AQ$38/1.16),($AQ$38/1.16)*C193)/1000))</f>
        <v>0</v>
      </c>
    </row>
    <row r="194" spans="2:45" x14ac:dyDescent="0.25">
      <c r="B194" s="426">
        <f t="shared" si="33"/>
        <v>131</v>
      </c>
      <c r="C194" s="423">
        <f t="shared" si="34"/>
        <v>593354.0518312339</v>
      </c>
      <c r="D194" s="643">
        <f t="shared" ref="D194:D257" si="38">IF(B194="","",AL194-F194)</f>
        <v>5215.382901406384</v>
      </c>
      <c r="E194" s="643"/>
      <c r="F194" s="643">
        <f t="shared" si="28"/>
        <v>4944.617098593616</v>
      </c>
      <c r="G194" s="643"/>
      <c r="H194" s="671">
        <f t="shared" si="29"/>
        <v>791.13873577497861</v>
      </c>
      <c r="I194" s="671"/>
      <c r="J194" s="640">
        <f t="shared" si="35"/>
        <v>261.0757828057429</v>
      </c>
      <c r="K194" s="640"/>
      <c r="L194" s="631">
        <f t="shared" si="30"/>
        <v>0</v>
      </c>
      <c r="M194" s="631"/>
      <c r="N194" s="631">
        <f>IF(B194="","",VLOOKUP(TRIM(CONCATENATE($F$20," ",$F$17," ",$F$18," ",$F$22," ",$F$21," ",$F$16," ",$F$23," ",$F$24)),Condicione_Financieras_Patrimon!B:W,22,0)*1.16)</f>
        <v>0</v>
      </c>
      <c r="O194" s="631"/>
      <c r="P194" s="641"/>
      <c r="Q194" s="641"/>
      <c r="R194" s="631"/>
      <c r="S194" s="631"/>
      <c r="T194" s="424">
        <f>IF(B194="","",'Tabla_Puntual&amp;Relacionamiento'!$B$78)</f>
        <v>0.1</v>
      </c>
      <c r="U194" s="424"/>
      <c r="V194" s="642">
        <f t="shared" si="31"/>
        <v>11212.214518580722</v>
      </c>
      <c r="W194" s="642"/>
      <c r="X194" s="642">
        <f t="shared" si="32"/>
        <v>588138.66892982752</v>
      </c>
      <c r="Y194" s="642"/>
      <c r="AL194" s="420">
        <f t="shared" si="36"/>
        <v>10160</v>
      </c>
      <c r="AM194" s="421">
        <f t="shared" si="27"/>
        <v>10421.075782805743</v>
      </c>
      <c r="AN194" s="637"/>
      <c r="AO194" s="637"/>
      <c r="AP194" s="634"/>
      <c r="AQ194" s="634"/>
      <c r="AR194" s="427"/>
      <c r="AS194" s="522">
        <f t="shared" si="37"/>
        <v>0</v>
      </c>
    </row>
    <row r="195" spans="2:45" x14ac:dyDescent="0.25">
      <c r="B195" s="426">
        <f t="shared" si="33"/>
        <v>132</v>
      </c>
      <c r="C195" s="423">
        <f t="shared" si="34"/>
        <v>588138.66892982752</v>
      </c>
      <c r="D195" s="643">
        <f t="shared" si="38"/>
        <v>5258.8444255847708</v>
      </c>
      <c r="E195" s="643"/>
      <c r="F195" s="643">
        <f t="shared" si="28"/>
        <v>4901.1555744152292</v>
      </c>
      <c r="G195" s="643"/>
      <c r="H195" s="671">
        <f t="shared" si="29"/>
        <v>784.18489190643675</v>
      </c>
      <c r="I195" s="671"/>
      <c r="J195" s="640">
        <f t="shared" si="35"/>
        <v>258.7810143291241</v>
      </c>
      <c r="K195" s="640"/>
      <c r="L195" s="631">
        <f t="shared" si="30"/>
        <v>0</v>
      </c>
      <c r="M195" s="631"/>
      <c r="N195" s="631">
        <f>IF(B195="","",VLOOKUP(TRIM(CONCATENATE($F$20," ",$F$17," ",$F$18," ",$F$22," ",$F$21," ",$F$16," ",$F$23," ",$F$24)),Condicione_Financieras_Patrimon!B:W,22,0)*1.16)</f>
        <v>0</v>
      </c>
      <c r="O195" s="631"/>
      <c r="P195" s="641"/>
      <c r="Q195" s="641"/>
      <c r="R195" s="631">
        <f>IF(OR(X194=0,X194=""),"",IF($F$21="Apoyo Infonavit",IF(D195&gt;=C195,0,MIN(IF($F$30="",0,Caratula_Patrimonial!$F$30),$AL$29*25)*10%),0))</f>
        <v>0</v>
      </c>
      <c r="S195" s="631"/>
      <c r="T195" s="424">
        <f>IF(B195="","",'Tabla_Puntual&amp;Relacionamiento'!$B$78)</f>
        <v>0.1</v>
      </c>
      <c r="U195" s="424"/>
      <c r="V195" s="642">
        <f t="shared" si="31"/>
        <v>11202.96590623556</v>
      </c>
      <c r="W195" s="642"/>
      <c r="X195" s="642">
        <f t="shared" si="32"/>
        <v>582879.82450424274</v>
      </c>
      <c r="Y195" s="642"/>
      <c r="AL195" s="420">
        <f t="shared" si="36"/>
        <v>10160</v>
      </c>
      <c r="AM195" s="421">
        <f t="shared" ref="AM195:AM258" si="39">IF(C195="",0,AL195+J195+AS195+(N195/1.16)+R195)</f>
        <v>10418.781014329124</v>
      </c>
      <c r="AN195" s="637"/>
      <c r="AO195" s="637"/>
      <c r="AP195" s="634"/>
      <c r="AQ195" s="634"/>
      <c r="AR195" s="427"/>
      <c r="AS195" s="522">
        <f t="shared" si="37"/>
        <v>0</v>
      </c>
    </row>
    <row r="196" spans="2:45" x14ac:dyDescent="0.25">
      <c r="B196" s="426">
        <f t="shared" si="33"/>
        <v>133</v>
      </c>
      <c r="C196" s="423">
        <f t="shared" si="34"/>
        <v>582879.82450424274</v>
      </c>
      <c r="D196" s="643">
        <f t="shared" si="38"/>
        <v>5302.6681291313107</v>
      </c>
      <c r="E196" s="643"/>
      <c r="F196" s="643">
        <f t="shared" si="28"/>
        <v>4857.3318708686893</v>
      </c>
      <c r="G196" s="643"/>
      <c r="H196" s="671">
        <f t="shared" si="29"/>
        <v>777.17309933899026</v>
      </c>
      <c r="I196" s="671"/>
      <c r="J196" s="640">
        <f t="shared" si="35"/>
        <v>256.46712278186681</v>
      </c>
      <c r="K196" s="640"/>
      <c r="L196" s="631">
        <f t="shared" si="30"/>
        <v>0</v>
      </c>
      <c r="M196" s="631"/>
      <c r="N196" s="631">
        <f>IF(B196="","",VLOOKUP(TRIM(CONCATENATE($F$20," ",$F$17," ",$F$18," ",$F$22," ",$F$21," ",$F$16," ",$F$23," ",$F$24)),Condicione_Financieras_Patrimon!B:W,22,0)*1.16)</f>
        <v>0</v>
      </c>
      <c r="O196" s="631"/>
      <c r="P196" s="641"/>
      <c r="Q196" s="641"/>
      <c r="R196" s="631"/>
      <c r="S196" s="631"/>
      <c r="T196" s="424">
        <f>IF(B196="","",'Tabla_Puntual&amp;Relacionamiento'!$B$79)</f>
        <v>0.1</v>
      </c>
      <c r="U196" s="424" t="str">
        <f>IF(B196="","",IF($F$16="Pago_Bajo_Puntual",0.019,""))</f>
        <v/>
      </c>
      <c r="V196" s="642">
        <f t="shared" si="31"/>
        <v>11193.640222120857</v>
      </c>
      <c r="W196" s="642"/>
      <c r="X196" s="642">
        <f t="shared" si="32"/>
        <v>577577.15637511143</v>
      </c>
      <c r="Y196" s="642"/>
      <c r="AL196" s="420">
        <f t="shared" si="36"/>
        <v>10160</v>
      </c>
      <c r="AM196" s="421">
        <f t="shared" si="39"/>
        <v>10416.467122781867</v>
      </c>
      <c r="AN196" s="637"/>
      <c r="AO196" s="637"/>
      <c r="AP196" s="634"/>
      <c r="AQ196" s="634"/>
      <c r="AR196" s="427"/>
      <c r="AS196" s="522">
        <f t="shared" si="37"/>
        <v>0</v>
      </c>
    </row>
    <row r="197" spans="2:45" x14ac:dyDescent="0.25">
      <c r="B197" s="426">
        <f t="shared" si="33"/>
        <v>134</v>
      </c>
      <c r="C197" s="423">
        <f t="shared" si="34"/>
        <v>577577.15637511143</v>
      </c>
      <c r="D197" s="643">
        <f t="shared" si="38"/>
        <v>5346.8570302074049</v>
      </c>
      <c r="E197" s="643"/>
      <c r="F197" s="643">
        <f t="shared" si="28"/>
        <v>4813.1429697925951</v>
      </c>
      <c r="G197" s="643"/>
      <c r="H197" s="671">
        <f t="shared" si="29"/>
        <v>770.10287516681524</v>
      </c>
      <c r="I197" s="671"/>
      <c r="J197" s="640">
        <f t="shared" si="35"/>
        <v>254.13394880504904</v>
      </c>
      <c r="K197" s="640"/>
      <c r="L197" s="631">
        <f t="shared" si="30"/>
        <v>0</v>
      </c>
      <c r="M197" s="631"/>
      <c r="N197" s="631">
        <f>IF(B197="","",VLOOKUP(TRIM(CONCATENATE($F$20," ",$F$17," ",$F$18," ",$F$22," ",$F$21," ",$F$16," ",$F$23," ",$F$24)),Condicione_Financieras_Patrimon!B:W,22,0)*1.16)</f>
        <v>0</v>
      </c>
      <c r="O197" s="631"/>
      <c r="P197" s="641"/>
      <c r="Q197" s="641"/>
      <c r="R197" s="631">
        <f>IF(OR(X196=0,X196=""),"",IF($F$21="Apoyo Infonavit",IF(D197&gt;=C197,0,MIN(IF($F$30="",0,Caratula_Patrimonial!$F$30),$AL$29*25)*10%),0))</f>
        <v>0</v>
      </c>
      <c r="S197" s="631"/>
      <c r="T197" s="424">
        <f>IF(B197="","",'Tabla_Puntual&amp;Relacionamiento'!$B$79)</f>
        <v>0.1</v>
      </c>
      <c r="U197" s="424"/>
      <c r="V197" s="642">
        <f t="shared" si="31"/>
        <v>11184.236823971863</v>
      </c>
      <c r="W197" s="642"/>
      <c r="X197" s="642">
        <f t="shared" si="32"/>
        <v>572230.29934490402</v>
      </c>
      <c r="Y197" s="642"/>
      <c r="AL197" s="420">
        <f t="shared" si="36"/>
        <v>10160</v>
      </c>
      <c r="AM197" s="421">
        <f t="shared" si="39"/>
        <v>10414.133948805049</v>
      </c>
      <c r="AN197" s="637"/>
      <c r="AO197" s="637"/>
      <c r="AP197" s="634"/>
      <c r="AQ197" s="634"/>
      <c r="AR197" s="427"/>
      <c r="AS197" s="522">
        <f t="shared" si="37"/>
        <v>0</v>
      </c>
    </row>
    <row r="198" spans="2:45" x14ac:dyDescent="0.25">
      <c r="B198" s="426">
        <f t="shared" si="33"/>
        <v>135</v>
      </c>
      <c r="C198" s="423">
        <f t="shared" si="34"/>
        <v>572230.29934490402</v>
      </c>
      <c r="D198" s="643">
        <f t="shared" si="38"/>
        <v>5391.4141721258002</v>
      </c>
      <c r="E198" s="643"/>
      <c r="F198" s="643">
        <f t="shared" si="28"/>
        <v>4768.5858278741998</v>
      </c>
      <c r="G198" s="643"/>
      <c r="H198" s="671">
        <f t="shared" si="29"/>
        <v>762.97373245987194</v>
      </c>
      <c r="I198" s="671"/>
      <c r="J198" s="640">
        <f t="shared" si="35"/>
        <v>251.78133171175779</v>
      </c>
      <c r="K198" s="640"/>
      <c r="L198" s="631">
        <f t="shared" si="30"/>
        <v>0</v>
      </c>
      <c r="M198" s="631"/>
      <c r="N198" s="631">
        <f>IF(B198="","",VLOOKUP(TRIM(CONCATENATE($F$20," ",$F$17," ",$F$18," ",$F$22," ",$F$21," ",$F$16," ",$F$23," ",$F$24)),Condicione_Financieras_Patrimon!B:W,22,0)*1.16)</f>
        <v>0</v>
      </c>
      <c r="O198" s="631"/>
      <c r="P198" s="641"/>
      <c r="Q198" s="641"/>
      <c r="R198" s="631"/>
      <c r="S198" s="631"/>
      <c r="T198" s="424">
        <f>IF(B198="","",'Tabla_Puntual&amp;Relacionamiento'!$B$79)</f>
        <v>0.1</v>
      </c>
      <c r="U198" s="424"/>
      <c r="V198" s="642">
        <f t="shared" si="31"/>
        <v>11174.75506417163</v>
      </c>
      <c r="W198" s="642"/>
      <c r="X198" s="642">
        <f t="shared" si="32"/>
        <v>566838.88517277827</v>
      </c>
      <c r="Y198" s="642"/>
      <c r="AL198" s="420">
        <f t="shared" si="36"/>
        <v>10160</v>
      </c>
      <c r="AM198" s="421">
        <f t="shared" si="39"/>
        <v>10411.781331711758</v>
      </c>
      <c r="AN198" s="637"/>
      <c r="AO198" s="637"/>
      <c r="AP198" s="634"/>
      <c r="AQ198" s="634"/>
      <c r="AR198" s="427"/>
      <c r="AS198" s="522">
        <f t="shared" si="37"/>
        <v>0</v>
      </c>
    </row>
    <row r="199" spans="2:45" x14ac:dyDescent="0.25">
      <c r="B199" s="426">
        <f t="shared" si="33"/>
        <v>136</v>
      </c>
      <c r="C199" s="423">
        <f t="shared" si="34"/>
        <v>566838.88517277827</v>
      </c>
      <c r="D199" s="643">
        <f t="shared" si="38"/>
        <v>5436.342623560181</v>
      </c>
      <c r="E199" s="643"/>
      <c r="F199" s="643">
        <f t="shared" si="28"/>
        <v>4723.657376439819</v>
      </c>
      <c r="G199" s="643"/>
      <c r="H199" s="671">
        <f t="shared" si="29"/>
        <v>755.78518023037111</v>
      </c>
      <c r="I199" s="671"/>
      <c r="J199" s="640">
        <f t="shared" si="35"/>
        <v>249.40910947602245</v>
      </c>
      <c r="K199" s="640"/>
      <c r="L199" s="631">
        <f t="shared" si="30"/>
        <v>0</v>
      </c>
      <c r="M199" s="631"/>
      <c r="N199" s="631">
        <f>IF(B199="","",VLOOKUP(TRIM(CONCATENATE($F$20," ",$F$17," ",$F$18," ",$F$22," ",$F$21," ",$F$16," ",$F$23," ",$F$24)),Condicione_Financieras_Patrimon!B:W,22,0)*1.16)</f>
        <v>0</v>
      </c>
      <c r="O199" s="631"/>
      <c r="P199" s="641"/>
      <c r="Q199" s="641"/>
      <c r="R199" s="631">
        <f>IF(OR(X198=0,X198=""),"",IF($F$21="Apoyo Infonavit",IF(D199&gt;=C199,0,MIN(IF($F$30="",0,Caratula_Patrimonial!$F$30),$AL$29*25)*10%),0))</f>
        <v>0</v>
      </c>
      <c r="S199" s="631"/>
      <c r="T199" s="424">
        <f>IF(B199="","",'Tabla_Puntual&amp;Relacionamiento'!$B$79)</f>
        <v>0.1</v>
      </c>
      <c r="U199" s="424"/>
      <c r="V199" s="642">
        <f t="shared" si="31"/>
        <v>11165.194289706393</v>
      </c>
      <c r="W199" s="642"/>
      <c r="X199" s="642">
        <f t="shared" si="32"/>
        <v>561402.54254921805</v>
      </c>
      <c r="Y199" s="642"/>
      <c r="AL199" s="420">
        <f t="shared" si="36"/>
        <v>10160</v>
      </c>
      <c r="AM199" s="421">
        <f t="shared" si="39"/>
        <v>10409.409109476022</v>
      </c>
      <c r="AN199" s="637"/>
      <c r="AO199" s="637"/>
      <c r="AP199" s="634"/>
      <c r="AQ199" s="634"/>
      <c r="AR199" s="427"/>
      <c r="AS199" s="522">
        <f t="shared" si="37"/>
        <v>0</v>
      </c>
    </row>
    <row r="200" spans="2:45" x14ac:dyDescent="0.25">
      <c r="B200" s="426">
        <f t="shared" si="33"/>
        <v>137</v>
      </c>
      <c r="C200" s="423">
        <f t="shared" si="34"/>
        <v>561402.54254921805</v>
      </c>
      <c r="D200" s="643">
        <f t="shared" si="38"/>
        <v>5481.6454787565162</v>
      </c>
      <c r="E200" s="643"/>
      <c r="F200" s="643">
        <f t="shared" si="28"/>
        <v>4678.3545212434838</v>
      </c>
      <c r="G200" s="643"/>
      <c r="H200" s="671">
        <f t="shared" si="29"/>
        <v>748.53672339895741</v>
      </c>
      <c r="I200" s="671"/>
      <c r="J200" s="640">
        <f t="shared" si="35"/>
        <v>247.01711872165595</v>
      </c>
      <c r="K200" s="640"/>
      <c r="L200" s="631">
        <f t="shared" si="30"/>
        <v>0</v>
      </c>
      <c r="M200" s="631"/>
      <c r="N200" s="631">
        <f>IF(B200="","",VLOOKUP(TRIM(CONCATENATE($F$20," ",$F$17," ",$F$18," ",$F$22," ",$F$21," ",$F$16," ",$F$23," ",$F$24)),Condicione_Financieras_Patrimon!B:W,22,0)*1.16)</f>
        <v>0</v>
      </c>
      <c r="O200" s="631"/>
      <c r="P200" s="641"/>
      <c r="Q200" s="641"/>
      <c r="R200" s="631"/>
      <c r="S200" s="631"/>
      <c r="T200" s="424">
        <f>IF(B200="","",'Tabla_Puntual&amp;Relacionamiento'!$B$79)</f>
        <v>0.1</v>
      </c>
      <c r="U200" s="424"/>
      <c r="V200" s="642">
        <f t="shared" si="31"/>
        <v>11155.553842120615</v>
      </c>
      <c r="W200" s="642"/>
      <c r="X200" s="642">
        <f t="shared" si="32"/>
        <v>555920.89707046153</v>
      </c>
      <c r="Y200" s="642"/>
      <c r="AL200" s="420">
        <f t="shared" si="36"/>
        <v>10160</v>
      </c>
      <c r="AM200" s="421">
        <f t="shared" si="39"/>
        <v>10407.017118721657</v>
      </c>
      <c r="AN200" s="637"/>
      <c r="AO200" s="637"/>
      <c r="AP200" s="634"/>
      <c r="AQ200" s="634"/>
      <c r="AR200" s="427"/>
      <c r="AS200" s="522">
        <f t="shared" si="37"/>
        <v>0</v>
      </c>
    </row>
    <row r="201" spans="2:45" x14ac:dyDescent="0.25">
      <c r="B201" s="426">
        <f t="shared" si="33"/>
        <v>138</v>
      </c>
      <c r="C201" s="423">
        <f t="shared" si="34"/>
        <v>555920.89707046153</v>
      </c>
      <c r="D201" s="643">
        <f t="shared" si="38"/>
        <v>5527.3258577461538</v>
      </c>
      <c r="E201" s="643"/>
      <c r="F201" s="643">
        <f t="shared" si="28"/>
        <v>4632.6741422538462</v>
      </c>
      <c r="G201" s="643"/>
      <c r="H201" s="671">
        <f t="shared" si="29"/>
        <v>741.22786276061538</v>
      </c>
      <c r="I201" s="671"/>
      <c r="J201" s="640">
        <f t="shared" si="35"/>
        <v>244.60519471100307</v>
      </c>
      <c r="K201" s="640"/>
      <c r="L201" s="631">
        <f t="shared" si="30"/>
        <v>0</v>
      </c>
      <c r="M201" s="631"/>
      <c r="N201" s="631">
        <f>IF(B201="","",VLOOKUP(TRIM(CONCATENATE($F$20," ",$F$17," ",$F$18," ",$F$22," ",$F$21," ",$F$16," ",$F$23," ",$F$24)),Condicione_Financieras_Patrimon!B:W,22,0)*1.16)</f>
        <v>0</v>
      </c>
      <c r="O201" s="631"/>
      <c r="P201" s="641"/>
      <c r="Q201" s="641"/>
      <c r="R201" s="631">
        <f>IF(OR(X200=0,X200=""),"",IF($F$21="Apoyo Infonavit",IF(D201&gt;=C201,0,MIN(IF($F$30="",0,Caratula_Patrimonial!$F$30),$AL$29*25)*10%),0))</f>
        <v>0</v>
      </c>
      <c r="S201" s="631"/>
      <c r="T201" s="424">
        <f>IF(B201="","",'Tabla_Puntual&amp;Relacionamiento'!$B$79)</f>
        <v>0.1</v>
      </c>
      <c r="U201" s="424"/>
      <c r="V201" s="642">
        <f t="shared" si="31"/>
        <v>11145.833057471618</v>
      </c>
      <c r="W201" s="642"/>
      <c r="X201" s="642">
        <f t="shared" si="32"/>
        <v>550393.57121271535</v>
      </c>
      <c r="Y201" s="642"/>
      <c r="AL201" s="420">
        <f t="shared" si="36"/>
        <v>10160</v>
      </c>
      <c r="AM201" s="421">
        <f t="shared" si="39"/>
        <v>10404.605194711003</v>
      </c>
      <c r="AN201" s="637"/>
      <c r="AO201" s="637"/>
      <c r="AP201" s="634"/>
      <c r="AQ201" s="634"/>
      <c r="AR201" s="427"/>
      <c r="AS201" s="522">
        <f t="shared" si="37"/>
        <v>0</v>
      </c>
    </row>
    <row r="202" spans="2:45" x14ac:dyDescent="0.25">
      <c r="B202" s="426">
        <f t="shared" si="33"/>
        <v>139</v>
      </c>
      <c r="C202" s="423">
        <f t="shared" si="34"/>
        <v>550393.57121271535</v>
      </c>
      <c r="D202" s="643">
        <f t="shared" si="38"/>
        <v>5573.386906560705</v>
      </c>
      <c r="E202" s="643"/>
      <c r="F202" s="643">
        <f t="shared" si="28"/>
        <v>4586.613093439295</v>
      </c>
      <c r="G202" s="643"/>
      <c r="H202" s="671">
        <f t="shared" si="29"/>
        <v>733.85809495028718</v>
      </c>
      <c r="I202" s="671"/>
      <c r="J202" s="640">
        <f t="shared" si="35"/>
        <v>242.17317133359475</v>
      </c>
      <c r="K202" s="640"/>
      <c r="L202" s="631">
        <f t="shared" si="30"/>
        <v>0</v>
      </c>
      <c r="M202" s="631"/>
      <c r="N202" s="631">
        <f>IF(B202="","",VLOOKUP(TRIM(CONCATENATE($F$20," ",$F$17," ",$F$18," ",$F$22," ",$F$21," ",$F$16," ",$F$23," ",$F$24)),Condicione_Financieras_Patrimon!B:W,22,0)*1.16)</f>
        <v>0</v>
      </c>
      <c r="O202" s="631"/>
      <c r="P202" s="641"/>
      <c r="Q202" s="641"/>
      <c r="R202" s="631"/>
      <c r="S202" s="631"/>
      <c r="T202" s="424">
        <f>IF(B202="","",'Tabla_Puntual&amp;Relacionamiento'!$B$79)</f>
        <v>0.1</v>
      </c>
      <c r="U202" s="424"/>
      <c r="V202" s="642">
        <f t="shared" si="31"/>
        <v>11136.031266283881</v>
      </c>
      <c r="W202" s="642"/>
      <c r="X202" s="642">
        <f t="shared" si="32"/>
        <v>544820.18430615461</v>
      </c>
      <c r="Y202" s="642"/>
      <c r="AL202" s="420">
        <f t="shared" si="36"/>
        <v>10160</v>
      </c>
      <c r="AM202" s="421">
        <f t="shared" si="39"/>
        <v>10402.173171333594</v>
      </c>
      <c r="AN202" s="637"/>
      <c r="AO202" s="637"/>
      <c r="AP202" s="634"/>
      <c r="AQ202" s="634"/>
      <c r="AR202" s="427"/>
      <c r="AS202" s="522">
        <f t="shared" si="37"/>
        <v>0</v>
      </c>
    </row>
    <row r="203" spans="2:45" x14ac:dyDescent="0.25">
      <c r="B203" s="426">
        <f t="shared" si="33"/>
        <v>140</v>
      </c>
      <c r="C203" s="423">
        <f t="shared" si="34"/>
        <v>544820.18430615461</v>
      </c>
      <c r="D203" s="643">
        <f t="shared" si="38"/>
        <v>5619.8317974487118</v>
      </c>
      <c r="E203" s="643"/>
      <c r="F203" s="643">
        <f t="shared" si="28"/>
        <v>4540.1682025512882</v>
      </c>
      <c r="G203" s="643"/>
      <c r="H203" s="671">
        <f t="shared" si="29"/>
        <v>726.42691240820614</v>
      </c>
      <c r="I203" s="671"/>
      <c r="J203" s="640">
        <f t="shared" si="35"/>
        <v>239.72088109470803</v>
      </c>
      <c r="K203" s="640"/>
      <c r="L203" s="631">
        <f t="shared" si="30"/>
        <v>0</v>
      </c>
      <c r="M203" s="631"/>
      <c r="N203" s="631">
        <f>IF(B203="","",VLOOKUP(TRIM(CONCATENATE($F$20," ",$F$17," ",$F$18," ",$F$22," ",$F$21," ",$F$16," ",$F$23," ",$F$24)),Condicione_Financieras_Patrimon!B:W,22,0)*1.16)</f>
        <v>0</v>
      </c>
      <c r="O203" s="631"/>
      <c r="P203" s="641"/>
      <c r="Q203" s="641"/>
      <c r="R203" s="631">
        <f>IF(OR(X202=0,X202=""),"",IF($F$21="Apoyo Infonavit",IF(D203&gt;=C203,0,MIN(IF($F$30="",0,Caratula_Patrimonial!$F$30),$AL$29*25)*10%),0))</f>
        <v>0</v>
      </c>
      <c r="S203" s="631"/>
      <c r="T203" s="424">
        <f>IF(B203="","",'Tabla_Puntual&amp;Relacionamiento'!$B$79)</f>
        <v>0.1</v>
      </c>
      <c r="U203" s="424"/>
      <c r="V203" s="642">
        <f t="shared" si="31"/>
        <v>11126.147793502914</v>
      </c>
      <c r="W203" s="642"/>
      <c r="X203" s="642">
        <f t="shared" si="32"/>
        <v>539200.35250870592</v>
      </c>
      <c r="Y203" s="642"/>
      <c r="AL203" s="420">
        <f t="shared" si="36"/>
        <v>10160</v>
      </c>
      <c r="AM203" s="421">
        <f t="shared" si="39"/>
        <v>10399.720881094709</v>
      </c>
      <c r="AN203" s="637"/>
      <c r="AO203" s="637"/>
      <c r="AP203" s="634"/>
      <c r="AQ203" s="634"/>
      <c r="AR203" s="427"/>
      <c r="AS203" s="522">
        <f t="shared" si="37"/>
        <v>0</v>
      </c>
    </row>
    <row r="204" spans="2:45" x14ac:dyDescent="0.25">
      <c r="B204" s="426">
        <f t="shared" si="33"/>
        <v>141</v>
      </c>
      <c r="C204" s="423">
        <f t="shared" si="34"/>
        <v>539200.35250870592</v>
      </c>
      <c r="D204" s="643">
        <f t="shared" si="38"/>
        <v>5666.6637290941171</v>
      </c>
      <c r="E204" s="643"/>
      <c r="F204" s="643">
        <f t="shared" si="28"/>
        <v>4493.3362709058829</v>
      </c>
      <c r="G204" s="643"/>
      <c r="H204" s="671">
        <f t="shared" si="29"/>
        <v>718.93380334494123</v>
      </c>
      <c r="I204" s="671"/>
      <c r="J204" s="640">
        <f t="shared" si="35"/>
        <v>237.24815510383061</v>
      </c>
      <c r="K204" s="640"/>
      <c r="L204" s="631">
        <f t="shared" si="30"/>
        <v>0</v>
      </c>
      <c r="M204" s="631"/>
      <c r="N204" s="631">
        <f>IF(B204="","",VLOOKUP(TRIM(CONCATENATE($F$20," ",$F$17," ",$F$18," ",$F$22," ",$F$21," ",$F$16," ",$F$23," ",$F$24)),Condicione_Financieras_Patrimon!B:W,22,0)*1.16)</f>
        <v>0</v>
      </c>
      <c r="O204" s="631"/>
      <c r="P204" s="641"/>
      <c r="Q204" s="641"/>
      <c r="R204" s="631"/>
      <c r="S204" s="631"/>
      <c r="T204" s="424">
        <f>IF(B204="","",'Tabla_Puntual&amp;Relacionamiento'!$B$79)</f>
        <v>0.1</v>
      </c>
      <c r="U204" s="424"/>
      <c r="V204" s="642">
        <f t="shared" si="31"/>
        <v>11116.181958448773</v>
      </c>
      <c r="W204" s="642"/>
      <c r="X204" s="642">
        <f t="shared" si="32"/>
        <v>533533.68877961184</v>
      </c>
      <c r="Y204" s="642"/>
      <c r="AL204" s="420">
        <f t="shared" si="36"/>
        <v>10160</v>
      </c>
      <c r="AM204" s="421">
        <f t="shared" si="39"/>
        <v>10397.248155103831</v>
      </c>
      <c r="AN204" s="637"/>
      <c r="AO204" s="637"/>
      <c r="AP204" s="634"/>
      <c r="AQ204" s="634"/>
      <c r="AR204" s="427"/>
      <c r="AS204" s="522">
        <f t="shared" si="37"/>
        <v>0</v>
      </c>
    </row>
    <row r="205" spans="2:45" x14ac:dyDescent="0.25">
      <c r="B205" s="426">
        <f t="shared" si="33"/>
        <v>142</v>
      </c>
      <c r="C205" s="423">
        <f t="shared" si="34"/>
        <v>533533.68877961184</v>
      </c>
      <c r="D205" s="643">
        <f t="shared" si="38"/>
        <v>5713.8859268365677</v>
      </c>
      <c r="E205" s="643"/>
      <c r="F205" s="643">
        <f t="shared" si="28"/>
        <v>4446.1140731634323</v>
      </c>
      <c r="G205" s="643"/>
      <c r="H205" s="671">
        <f t="shared" si="29"/>
        <v>711.37825170614917</v>
      </c>
      <c r="I205" s="671"/>
      <c r="J205" s="640">
        <f t="shared" si="35"/>
        <v>234.75482306302922</v>
      </c>
      <c r="K205" s="640"/>
      <c r="L205" s="631">
        <f t="shared" si="30"/>
        <v>0</v>
      </c>
      <c r="M205" s="631"/>
      <c r="N205" s="631">
        <f>IF(B205="","",VLOOKUP(TRIM(CONCATENATE($F$20," ",$F$17," ",$F$18," ",$F$22," ",$F$21," ",$F$16," ",$F$23," ",$F$24)),Condicione_Financieras_Patrimon!B:W,22,0)*1.16)</f>
        <v>0</v>
      </c>
      <c r="O205" s="631"/>
      <c r="P205" s="641"/>
      <c r="Q205" s="641"/>
      <c r="R205" s="631">
        <f>IF(OR(X204=0,X204=""),"",IF($F$21="Apoyo Infonavit",IF(D205&gt;=C205,0,MIN(IF($F$30="",0,Caratula_Patrimonial!$F$30),$AL$29*25)*10%),0))</f>
        <v>0</v>
      </c>
      <c r="S205" s="631"/>
      <c r="T205" s="424">
        <f>IF(B205="","",'Tabla_Puntual&amp;Relacionamiento'!$B$79)</f>
        <v>0.1</v>
      </c>
      <c r="U205" s="424"/>
      <c r="V205" s="642">
        <f t="shared" si="31"/>
        <v>11106.133074769179</v>
      </c>
      <c r="W205" s="642"/>
      <c r="X205" s="642">
        <f t="shared" si="32"/>
        <v>527819.80285277532</v>
      </c>
      <c r="Y205" s="642"/>
      <c r="AL205" s="420">
        <f t="shared" si="36"/>
        <v>10160</v>
      </c>
      <c r="AM205" s="421">
        <f t="shared" si="39"/>
        <v>10394.754823063029</v>
      </c>
      <c r="AN205" s="637"/>
      <c r="AO205" s="637"/>
      <c r="AP205" s="634"/>
      <c r="AQ205" s="634"/>
      <c r="AR205" s="427"/>
      <c r="AS205" s="522">
        <f t="shared" si="37"/>
        <v>0</v>
      </c>
    </row>
    <row r="206" spans="2:45" x14ac:dyDescent="0.25">
      <c r="B206" s="426">
        <f t="shared" si="33"/>
        <v>143</v>
      </c>
      <c r="C206" s="423">
        <f t="shared" si="34"/>
        <v>527819.80285277532</v>
      </c>
      <c r="D206" s="643">
        <f t="shared" si="38"/>
        <v>5761.5016428935387</v>
      </c>
      <c r="E206" s="643"/>
      <c r="F206" s="643">
        <f t="shared" si="28"/>
        <v>4398.4983571064613</v>
      </c>
      <c r="G206" s="643"/>
      <c r="H206" s="671">
        <f t="shared" si="29"/>
        <v>703.75973713703377</v>
      </c>
      <c r="I206" s="671"/>
      <c r="J206" s="640">
        <f t="shared" si="35"/>
        <v>232.24071325522115</v>
      </c>
      <c r="K206" s="640"/>
      <c r="L206" s="631">
        <f t="shared" si="30"/>
        <v>0</v>
      </c>
      <c r="M206" s="631"/>
      <c r="N206" s="631">
        <f>IF(B206="","",VLOOKUP(TRIM(CONCATENATE($F$20," ",$F$17," ",$F$18," ",$F$22," ",$F$21," ",$F$16," ",$F$23," ",$F$24)),Condicione_Financieras_Patrimon!B:W,22,0)*1.16)</f>
        <v>0</v>
      </c>
      <c r="O206" s="631"/>
      <c r="P206" s="641"/>
      <c r="Q206" s="641"/>
      <c r="R206" s="631"/>
      <c r="S206" s="631"/>
      <c r="T206" s="424">
        <f>IF(B206="","",'Tabla_Puntual&amp;Relacionamiento'!$B$79)</f>
        <v>0.1</v>
      </c>
      <c r="U206" s="424"/>
      <c r="V206" s="642">
        <f t="shared" si="31"/>
        <v>11096.000450392256</v>
      </c>
      <c r="W206" s="642"/>
      <c r="X206" s="642">
        <f t="shared" si="32"/>
        <v>522058.30120988179</v>
      </c>
      <c r="Y206" s="642"/>
      <c r="AL206" s="420">
        <f t="shared" si="36"/>
        <v>10160</v>
      </c>
      <c r="AM206" s="421">
        <f t="shared" si="39"/>
        <v>10392.240713255222</v>
      </c>
      <c r="AN206" s="637"/>
      <c r="AO206" s="637"/>
      <c r="AP206" s="634"/>
      <c r="AQ206" s="634"/>
      <c r="AR206" s="427"/>
      <c r="AS206" s="522">
        <f t="shared" si="37"/>
        <v>0</v>
      </c>
    </row>
    <row r="207" spans="2:45" x14ac:dyDescent="0.25">
      <c r="B207" s="426">
        <f t="shared" si="33"/>
        <v>144</v>
      </c>
      <c r="C207" s="423">
        <f t="shared" si="34"/>
        <v>522058.30120988179</v>
      </c>
      <c r="D207" s="643">
        <f t="shared" si="38"/>
        <v>5809.5141565843187</v>
      </c>
      <c r="E207" s="643"/>
      <c r="F207" s="643">
        <f t="shared" si="28"/>
        <v>4350.4858434156813</v>
      </c>
      <c r="G207" s="643"/>
      <c r="H207" s="671">
        <f t="shared" si="29"/>
        <v>696.07773494650905</v>
      </c>
      <c r="I207" s="671"/>
      <c r="J207" s="640">
        <f t="shared" si="35"/>
        <v>229.70565253234798</v>
      </c>
      <c r="K207" s="640"/>
      <c r="L207" s="631">
        <f t="shared" si="30"/>
        <v>0</v>
      </c>
      <c r="M207" s="631"/>
      <c r="N207" s="631">
        <f>IF(B207="","",VLOOKUP(TRIM(CONCATENATE($F$20," ",$F$17," ",$F$18," ",$F$22," ",$F$21," ",$F$16," ",$F$23," ",$F$24)),Condicione_Financieras_Patrimon!B:W,22,0)*1.16)</f>
        <v>0</v>
      </c>
      <c r="O207" s="631"/>
      <c r="P207" s="641"/>
      <c r="Q207" s="641"/>
      <c r="R207" s="631">
        <f>IF(OR(X206=0,X206=""),"",IF($F$21="Apoyo Infonavit",IF(D207&gt;=C207,0,MIN(IF($F$30="",0,Caratula_Patrimonial!$F$30),$AL$29*25)*10%),0))</f>
        <v>0</v>
      </c>
      <c r="S207" s="631"/>
      <c r="T207" s="424">
        <f>IF(B207="","",'Tabla_Puntual&amp;Relacionamiento'!$B$79)</f>
        <v>0.1</v>
      </c>
      <c r="U207" s="424"/>
      <c r="V207" s="642">
        <f t="shared" si="31"/>
        <v>11085.783387478858</v>
      </c>
      <c r="W207" s="642"/>
      <c r="X207" s="642">
        <f t="shared" si="32"/>
        <v>516248.78705329745</v>
      </c>
      <c r="Y207" s="642"/>
      <c r="AL207" s="420">
        <f t="shared" si="36"/>
        <v>10160</v>
      </c>
      <c r="AM207" s="421">
        <f t="shared" si="39"/>
        <v>10389.705652532348</v>
      </c>
      <c r="AN207" s="637"/>
      <c r="AO207" s="637"/>
      <c r="AP207" s="634"/>
      <c r="AQ207" s="634"/>
      <c r="AR207" s="427"/>
      <c r="AS207" s="522">
        <f t="shared" si="37"/>
        <v>0</v>
      </c>
    </row>
    <row r="208" spans="2:45" x14ac:dyDescent="0.25">
      <c r="B208" s="426">
        <f t="shared" si="33"/>
        <v>145</v>
      </c>
      <c r="C208" s="423">
        <f t="shared" si="34"/>
        <v>516248.78705329745</v>
      </c>
      <c r="D208" s="643">
        <f t="shared" si="38"/>
        <v>5857.9267745558545</v>
      </c>
      <c r="E208" s="643"/>
      <c r="F208" s="643">
        <f t="shared" si="28"/>
        <v>4302.0732254441455</v>
      </c>
      <c r="G208" s="643"/>
      <c r="H208" s="671">
        <f t="shared" si="29"/>
        <v>688.33171607106328</v>
      </c>
      <c r="I208" s="671"/>
      <c r="J208" s="640">
        <f t="shared" si="35"/>
        <v>227.14946630345088</v>
      </c>
      <c r="K208" s="640"/>
      <c r="L208" s="631">
        <f t="shared" si="30"/>
        <v>0</v>
      </c>
      <c r="M208" s="631"/>
      <c r="N208" s="631">
        <f>IF(B208="","",VLOOKUP(TRIM(CONCATENATE($F$20," ",$F$17," ",$F$18," ",$F$22," ",$F$21," ",$F$16," ",$F$23," ",$F$24)),Condicione_Financieras_Patrimon!B:W,22,0)*1.16)</f>
        <v>0</v>
      </c>
      <c r="O208" s="631"/>
      <c r="P208" s="641"/>
      <c r="Q208" s="641"/>
      <c r="R208" s="631"/>
      <c r="S208" s="631"/>
      <c r="T208" s="424">
        <f>IF(B208="","",'Tabla_Puntual&amp;Relacionamiento'!$B$80)</f>
        <v>0.1</v>
      </c>
      <c r="U208" s="424" t="str">
        <f>IF(B208="","",IF($F$16="Pago_Bajo_Puntual",0.019,""))</f>
        <v/>
      </c>
      <c r="V208" s="642">
        <f t="shared" si="31"/>
        <v>11075.481182374513</v>
      </c>
      <c r="W208" s="642"/>
      <c r="X208" s="642">
        <f t="shared" si="32"/>
        <v>510390.86027874157</v>
      </c>
      <c r="Y208" s="642"/>
      <c r="AL208" s="420">
        <f t="shared" si="36"/>
        <v>10160</v>
      </c>
      <c r="AM208" s="421">
        <f t="shared" si="39"/>
        <v>10387.14946630345</v>
      </c>
      <c r="AN208" s="637"/>
      <c r="AO208" s="637"/>
      <c r="AP208" s="634"/>
      <c r="AQ208" s="634"/>
      <c r="AR208" s="427"/>
      <c r="AS208" s="522">
        <f t="shared" si="37"/>
        <v>0</v>
      </c>
    </row>
    <row r="209" spans="2:45" x14ac:dyDescent="0.25">
      <c r="B209" s="426">
        <f t="shared" si="33"/>
        <v>146</v>
      </c>
      <c r="C209" s="423">
        <f t="shared" si="34"/>
        <v>510390.86027874157</v>
      </c>
      <c r="D209" s="643">
        <f t="shared" si="38"/>
        <v>5906.742831010487</v>
      </c>
      <c r="E209" s="643"/>
      <c r="F209" s="643">
        <f t="shared" si="28"/>
        <v>4253.257168989513</v>
      </c>
      <c r="G209" s="643"/>
      <c r="H209" s="671">
        <f t="shared" si="29"/>
        <v>680.52114703832206</v>
      </c>
      <c r="I209" s="671"/>
      <c r="J209" s="640">
        <f t="shared" si="35"/>
        <v>224.5719785226463</v>
      </c>
      <c r="K209" s="640"/>
      <c r="L209" s="631">
        <f t="shared" si="30"/>
        <v>0</v>
      </c>
      <c r="M209" s="631"/>
      <c r="N209" s="631">
        <f>IF(B209="","",VLOOKUP(TRIM(CONCATENATE($F$20," ",$F$17," ",$F$18," ",$F$22," ",$F$21," ",$F$16," ",$F$23," ",$F$24)),Condicione_Financieras_Patrimon!B:W,22,0)*1.16)</f>
        <v>0</v>
      </c>
      <c r="O209" s="631"/>
      <c r="P209" s="641"/>
      <c r="Q209" s="641"/>
      <c r="R209" s="631">
        <f>IF(OR(X208=0,X208=""),"",IF($F$21="Apoyo Infonavit",IF(D209&gt;=C209,0,MIN(IF($F$30="",0,Caratula_Patrimonial!$F$30),$AL$29*25)*10%),0))</f>
        <v>0</v>
      </c>
      <c r="S209" s="631"/>
      <c r="T209" s="424">
        <f>IF(B209="","",'Tabla_Puntual&amp;Relacionamiento'!$B$80)</f>
        <v>0.1</v>
      </c>
      <c r="U209" s="424"/>
      <c r="V209" s="642">
        <f t="shared" si="31"/>
        <v>11065.093125560968</v>
      </c>
      <c r="W209" s="642"/>
      <c r="X209" s="642">
        <f t="shared" si="32"/>
        <v>504484.11744773109</v>
      </c>
      <c r="Y209" s="642"/>
      <c r="AL209" s="420">
        <f t="shared" si="36"/>
        <v>10160</v>
      </c>
      <c r="AM209" s="421">
        <f t="shared" si="39"/>
        <v>10384.571978522647</v>
      </c>
      <c r="AN209" s="637"/>
      <c r="AO209" s="637"/>
      <c r="AP209" s="634"/>
      <c r="AQ209" s="634"/>
      <c r="AR209" s="427"/>
      <c r="AS209" s="522">
        <f t="shared" si="37"/>
        <v>0</v>
      </c>
    </row>
    <row r="210" spans="2:45" x14ac:dyDescent="0.25">
      <c r="B210" s="426">
        <f t="shared" si="33"/>
        <v>147</v>
      </c>
      <c r="C210" s="423">
        <f t="shared" si="34"/>
        <v>504484.11744773109</v>
      </c>
      <c r="D210" s="643">
        <f t="shared" si="38"/>
        <v>5955.9656879355744</v>
      </c>
      <c r="E210" s="643"/>
      <c r="F210" s="643">
        <f t="shared" si="28"/>
        <v>4204.0343120644256</v>
      </c>
      <c r="G210" s="643"/>
      <c r="H210" s="671">
        <f t="shared" si="29"/>
        <v>672.64548993030814</v>
      </c>
      <c r="I210" s="671"/>
      <c r="J210" s="640">
        <f t="shared" si="35"/>
        <v>221.97301167700169</v>
      </c>
      <c r="K210" s="640"/>
      <c r="L210" s="631">
        <f t="shared" si="30"/>
        <v>0</v>
      </c>
      <c r="M210" s="631"/>
      <c r="N210" s="631">
        <f>IF(B210="","",VLOOKUP(TRIM(CONCATENATE($F$20," ",$F$17," ",$F$18," ",$F$22," ",$F$21," ",$F$16," ",$F$23," ",$F$24)),Condicione_Financieras_Patrimon!B:W,22,0)*1.16)</f>
        <v>0</v>
      </c>
      <c r="O210" s="631"/>
      <c r="P210" s="641"/>
      <c r="Q210" s="641"/>
      <c r="R210" s="631"/>
      <c r="S210" s="631"/>
      <c r="T210" s="424">
        <f>IF(B210="","",'Tabla_Puntual&amp;Relacionamiento'!$B$80)</f>
        <v>0.1</v>
      </c>
      <c r="U210" s="424"/>
      <c r="V210" s="642">
        <f t="shared" si="31"/>
        <v>11054.61850160731</v>
      </c>
      <c r="W210" s="642"/>
      <c r="X210" s="642">
        <f t="shared" si="32"/>
        <v>498528.1517597955</v>
      </c>
      <c r="Y210" s="642"/>
      <c r="AL210" s="420">
        <f t="shared" si="36"/>
        <v>10160</v>
      </c>
      <c r="AM210" s="421">
        <f t="shared" si="39"/>
        <v>10381.973011677002</v>
      </c>
      <c r="AN210" s="637"/>
      <c r="AO210" s="637"/>
      <c r="AP210" s="634"/>
      <c r="AQ210" s="634"/>
      <c r="AR210" s="427"/>
      <c r="AS210" s="522">
        <f t="shared" si="37"/>
        <v>0</v>
      </c>
    </row>
    <row r="211" spans="2:45" x14ac:dyDescent="0.25">
      <c r="B211" s="426">
        <f t="shared" si="33"/>
        <v>148</v>
      </c>
      <c r="C211" s="423">
        <f t="shared" si="34"/>
        <v>498528.1517597955</v>
      </c>
      <c r="D211" s="643">
        <f t="shared" si="38"/>
        <v>6005.5987353350374</v>
      </c>
      <c r="E211" s="643"/>
      <c r="F211" s="643">
        <f t="shared" si="28"/>
        <v>4154.4012646649626</v>
      </c>
      <c r="G211" s="643"/>
      <c r="H211" s="671">
        <f t="shared" si="29"/>
        <v>664.70420234639403</v>
      </c>
      <c r="I211" s="671"/>
      <c r="J211" s="640">
        <f t="shared" si="35"/>
        <v>219.35238677431002</v>
      </c>
      <c r="K211" s="640"/>
      <c r="L211" s="631">
        <f t="shared" si="30"/>
        <v>0</v>
      </c>
      <c r="M211" s="631"/>
      <c r="N211" s="631">
        <f>IF(B211="","",VLOOKUP(TRIM(CONCATENATE($F$20," ",$F$17," ",$F$18," ",$F$22," ",$F$21," ",$F$16," ",$F$23," ",$F$24)),Condicione_Financieras_Patrimon!B:W,22,0)*1.16)</f>
        <v>0</v>
      </c>
      <c r="O211" s="631"/>
      <c r="P211" s="641"/>
      <c r="Q211" s="641"/>
      <c r="R211" s="631">
        <f>IF(OR(X210=0,X210=""),"",IF($F$21="Apoyo Infonavit",IF(D211&gt;=C211,0,MIN(IF($F$30="",0,Caratula_Patrimonial!$F$30),$AL$29*25)*10%),0))</f>
        <v>0</v>
      </c>
      <c r="S211" s="631"/>
      <c r="T211" s="424">
        <f>IF(B211="","",'Tabla_Puntual&amp;Relacionamiento'!$B$80)</f>
        <v>0.1</v>
      </c>
      <c r="U211" s="424"/>
      <c r="V211" s="642">
        <f t="shared" si="31"/>
        <v>11044.056589120704</v>
      </c>
      <c r="W211" s="642"/>
      <c r="X211" s="642">
        <f t="shared" si="32"/>
        <v>492522.55302446045</v>
      </c>
      <c r="Y211" s="642"/>
      <c r="AL211" s="420">
        <f t="shared" si="36"/>
        <v>10160</v>
      </c>
      <c r="AM211" s="421">
        <f t="shared" si="39"/>
        <v>10379.35238677431</v>
      </c>
      <c r="AN211" s="637"/>
      <c r="AO211" s="637"/>
      <c r="AP211" s="634"/>
      <c r="AQ211" s="634"/>
      <c r="AR211" s="427"/>
      <c r="AS211" s="522">
        <f t="shared" si="37"/>
        <v>0</v>
      </c>
    </row>
    <row r="212" spans="2:45" x14ac:dyDescent="0.25">
      <c r="B212" s="426">
        <f t="shared" si="33"/>
        <v>149</v>
      </c>
      <c r="C212" s="423">
        <f t="shared" si="34"/>
        <v>492522.55302446045</v>
      </c>
      <c r="D212" s="643">
        <f t="shared" si="38"/>
        <v>6055.64539146283</v>
      </c>
      <c r="E212" s="643"/>
      <c r="F212" s="643">
        <f t="shared" si="28"/>
        <v>4104.35460853717</v>
      </c>
      <c r="G212" s="643"/>
      <c r="H212" s="671">
        <f t="shared" si="29"/>
        <v>656.69673736594723</v>
      </c>
      <c r="I212" s="671"/>
      <c r="J212" s="640">
        <f t="shared" si="35"/>
        <v>216.70992333076259</v>
      </c>
      <c r="K212" s="640"/>
      <c r="L212" s="631">
        <f t="shared" si="30"/>
        <v>0</v>
      </c>
      <c r="M212" s="631"/>
      <c r="N212" s="631">
        <f>IF(B212="","",VLOOKUP(TRIM(CONCATENATE($F$20," ",$F$17," ",$F$18," ",$F$22," ",$F$21," ",$F$16," ",$F$23," ",$F$24)),Condicione_Financieras_Patrimon!B:W,22,0)*1.16)</f>
        <v>0</v>
      </c>
      <c r="O212" s="631"/>
      <c r="P212" s="641"/>
      <c r="Q212" s="641"/>
      <c r="R212" s="631"/>
      <c r="S212" s="631"/>
      <c r="T212" s="424">
        <f>IF(B212="","",'Tabla_Puntual&amp;Relacionamiento'!$B$80)</f>
        <v>0.1</v>
      </c>
      <c r="U212" s="424"/>
      <c r="V212" s="642">
        <f t="shared" si="31"/>
        <v>11033.406660696708</v>
      </c>
      <c r="W212" s="642"/>
      <c r="X212" s="642">
        <f t="shared" si="32"/>
        <v>486466.90763299761</v>
      </c>
      <c r="Y212" s="642"/>
      <c r="AL212" s="420">
        <f t="shared" si="36"/>
        <v>10160</v>
      </c>
      <c r="AM212" s="421">
        <f t="shared" si="39"/>
        <v>10376.709923330762</v>
      </c>
      <c r="AN212" s="637"/>
      <c r="AO212" s="637"/>
      <c r="AP212" s="634"/>
      <c r="AQ212" s="634"/>
      <c r="AR212" s="427"/>
      <c r="AS212" s="522">
        <f t="shared" si="37"/>
        <v>0</v>
      </c>
    </row>
    <row r="213" spans="2:45" x14ac:dyDescent="0.25">
      <c r="B213" s="426">
        <f t="shared" si="33"/>
        <v>150</v>
      </c>
      <c r="C213" s="423">
        <f t="shared" si="34"/>
        <v>486466.90763299761</v>
      </c>
      <c r="D213" s="643">
        <f t="shared" si="38"/>
        <v>6106.1091030583539</v>
      </c>
      <c r="E213" s="643"/>
      <c r="F213" s="643">
        <f t="shared" si="28"/>
        <v>4053.8908969416466</v>
      </c>
      <c r="G213" s="643"/>
      <c r="H213" s="671">
        <f t="shared" si="29"/>
        <v>648.62254351066349</v>
      </c>
      <c r="I213" s="671"/>
      <c r="J213" s="640">
        <f t="shared" si="35"/>
        <v>214.04543935851896</v>
      </c>
      <c r="K213" s="640"/>
      <c r="L213" s="631">
        <f t="shared" si="30"/>
        <v>0</v>
      </c>
      <c r="M213" s="631"/>
      <c r="N213" s="631">
        <f>IF(B213="","",VLOOKUP(TRIM(CONCATENATE($F$20," ",$F$17," ",$F$18," ",$F$22," ",$F$21," ",$F$16," ",$F$23," ",$F$24)),Condicione_Financieras_Patrimon!B:W,22,0)*1.16)</f>
        <v>0</v>
      </c>
      <c r="O213" s="631"/>
      <c r="P213" s="641"/>
      <c r="Q213" s="641"/>
      <c r="R213" s="631">
        <f>IF(OR(X212=0,X212=""),"",IF($F$21="Apoyo Infonavit",IF(D213&gt;=C213,0,MIN(IF($F$30="",0,Caratula_Patrimonial!$F$30),$AL$29*25)*10%),0))</f>
        <v>0</v>
      </c>
      <c r="S213" s="631"/>
      <c r="T213" s="424">
        <f>IF(B213="","",'Tabla_Puntual&amp;Relacionamiento'!$B$80)</f>
        <v>0.1</v>
      </c>
      <c r="U213" s="424"/>
      <c r="V213" s="642">
        <f t="shared" si="31"/>
        <v>11022.667982869183</v>
      </c>
      <c r="W213" s="642"/>
      <c r="X213" s="642">
        <f t="shared" si="32"/>
        <v>480360.79852993926</v>
      </c>
      <c r="Y213" s="642"/>
      <c r="AL213" s="420">
        <f t="shared" si="36"/>
        <v>10160</v>
      </c>
      <c r="AM213" s="421">
        <f t="shared" si="39"/>
        <v>10374.045439358519</v>
      </c>
      <c r="AN213" s="637"/>
      <c r="AO213" s="637"/>
      <c r="AP213" s="634"/>
      <c r="AQ213" s="634"/>
      <c r="AR213" s="427"/>
      <c r="AS213" s="522">
        <f t="shared" si="37"/>
        <v>0</v>
      </c>
    </row>
    <row r="214" spans="2:45" x14ac:dyDescent="0.25">
      <c r="B214" s="426">
        <f t="shared" si="33"/>
        <v>151</v>
      </c>
      <c r="C214" s="423">
        <f t="shared" si="34"/>
        <v>480360.79852993926</v>
      </c>
      <c r="D214" s="643">
        <f t="shared" si="38"/>
        <v>6156.99334558384</v>
      </c>
      <c r="E214" s="643"/>
      <c r="F214" s="643">
        <f t="shared" si="28"/>
        <v>4003.0066544161605</v>
      </c>
      <c r="G214" s="643"/>
      <c r="H214" s="671">
        <f t="shared" si="29"/>
        <v>640.4810647065857</v>
      </c>
      <c r="I214" s="671"/>
      <c r="J214" s="640">
        <f t="shared" si="35"/>
        <v>211.35875135317329</v>
      </c>
      <c r="K214" s="640"/>
      <c r="L214" s="631">
        <f t="shared" si="30"/>
        <v>0</v>
      </c>
      <c r="M214" s="631"/>
      <c r="N214" s="631">
        <f>IF(B214="","",VLOOKUP(TRIM(CONCATENATE($F$20," ",$F$17," ",$F$18," ",$F$22," ",$F$21," ",$F$16," ",$F$23," ",$F$24)),Condicione_Financieras_Patrimon!B:W,22,0)*1.16)</f>
        <v>0</v>
      </c>
      <c r="O214" s="631"/>
      <c r="P214" s="641"/>
      <c r="Q214" s="641"/>
      <c r="R214" s="631"/>
      <c r="S214" s="631"/>
      <c r="T214" s="424">
        <f>IF(B214="","",'Tabla_Puntual&amp;Relacionamiento'!$B$80)</f>
        <v>0.1</v>
      </c>
      <c r="U214" s="424"/>
      <c r="V214" s="642">
        <f t="shared" si="31"/>
        <v>11011.839816059759</v>
      </c>
      <c r="W214" s="642"/>
      <c r="X214" s="642">
        <f t="shared" si="32"/>
        <v>474203.80518435541</v>
      </c>
      <c r="Y214" s="642"/>
      <c r="AL214" s="420">
        <f t="shared" si="36"/>
        <v>10160</v>
      </c>
      <c r="AM214" s="421">
        <f t="shared" si="39"/>
        <v>10371.358751353173</v>
      </c>
      <c r="AN214" s="637"/>
      <c r="AO214" s="637"/>
      <c r="AP214" s="634"/>
      <c r="AQ214" s="634"/>
      <c r="AR214" s="427"/>
      <c r="AS214" s="522">
        <f t="shared" si="37"/>
        <v>0</v>
      </c>
    </row>
    <row r="215" spans="2:45" x14ac:dyDescent="0.25">
      <c r="B215" s="426">
        <f t="shared" si="33"/>
        <v>152</v>
      </c>
      <c r="C215" s="423">
        <f t="shared" si="34"/>
        <v>474203.80518435541</v>
      </c>
      <c r="D215" s="643">
        <f t="shared" si="38"/>
        <v>6208.3016234637053</v>
      </c>
      <c r="E215" s="643"/>
      <c r="F215" s="643">
        <f t="shared" si="28"/>
        <v>3951.6983765362952</v>
      </c>
      <c r="G215" s="643"/>
      <c r="H215" s="671">
        <f t="shared" si="29"/>
        <v>632.27174024580722</v>
      </c>
      <c r="I215" s="671"/>
      <c r="J215" s="640">
        <f t="shared" si="35"/>
        <v>208.64967428111638</v>
      </c>
      <c r="K215" s="640"/>
      <c r="L215" s="631">
        <f t="shared" si="30"/>
        <v>0</v>
      </c>
      <c r="M215" s="631"/>
      <c r="N215" s="631">
        <f>IF(B215="","",VLOOKUP(TRIM(CONCATENATE($F$20," ",$F$17," ",$F$18," ",$F$22," ",$F$21," ",$F$16," ",$F$23," ",$F$24)),Condicione_Financieras_Patrimon!B:W,22,0)*1.16)</f>
        <v>0</v>
      </c>
      <c r="O215" s="631"/>
      <c r="P215" s="641"/>
      <c r="Q215" s="641"/>
      <c r="R215" s="631">
        <f>IF(OR(X214=0,X214=""),"",IF($F$21="Apoyo Infonavit",IF(D215&gt;=C215,0,MIN(IF($F$30="",0,Caratula_Patrimonial!$F$30),$AL$29*25)*10%),0))</f>
        <v>0</v>
      </c>
      <c r="S215" s="631"/>
      <c r="T215" s="424">
        <f>IF(B215="","",'Tabla_Puntual&amp;Relacionamiento'!$B$80)</f>
        <v>0.1</v>
      </c>
      <c r="U215" s="424"/>
      <c r="V215" s="642">
        <f t="shared" si="31"/>
        <v>11000.921414526923</v>
      </c>
      <c r="W215" s="642"/>
      <c r="X215" s="642">
        <f t="shared" si="32"/>
        <v>467995.50356089172</v>
      </c>
      <c r="Y215" s="642"/>
      <c r="AL215" s="420">
        <f t="shared" si="36"/>
        <v>10160</v>
      </c>
      <c r="AM215" s="421">
        <f t="shared" si="39"/>
        <v>10368.649674281116</v>
      </c>
      <c r="AN215" s="637"/>
      <c r="AO215" s="637"/>
      <c r="AP215" s="634"/>
      <c r="AQ215" s="634"/>
      <c r="AR215" s="427"/>
      <c r="AS215" s="522">
        <f t="shared" si="37"/>
        <v>0</v>
      </c>
    </row>
    <row r="216" spans="2:45" x14ac:dyDescent="0.25">
      <c r="B216" s="426">
        <f t="shared" si="33"/>
        <v>153</v>
      </c>
      <c r="C216" s="423">
        <f t="shared" si="34"/>
        <v>467995.50356089172</v>
      </c>
      <c r="D216" s="643">
        <f t="shared" si="38"/>
        <v>6260.0374703259022</v>
      </c>
      <c r="E216" s="643"/>
      <c r="F216" s="643">
        <f t="shared" si="28"/>
        <v>3899.9625296740978</v>
      </c>
      <c r="G216" s="643"/>
      <c r="H216" s="671">
        <f t="shared" si="29"/>
        <v>623.99400474785568</v>
      </c>
      <c r="I216" s="671"/>
      <c r="J216" s="640">
        <f t="shared" si="35"/>
        <v>205.91802156679236</v>
      </c>
      <c r="K216" s="640"/>
      <c r="L216" s="631">
        <f t="shared" si="30"/>
        <v>0</v>
      </c>
      <c r="M216" s="631"/>
      <c r="N216" s="631">
        <f>IF(B216="","",VLOOKUP(TRIM(CONCATENATE($F$20," ",$F$17," ",$F$18," ",$F$22," ",$F$21," ",$F$16," ",$F$23," ",$F$24)),Condicione_Financieras_Patrimon!B:W,22,0)*1.16)</f>
        <v>0</v>
      </c>
      <c r="O216" s="631"/>
      <c r="P216" s="641"/>
      <c r="Q216" s="641"/>
      <c r="R216" s="631"/>
      <c r="S216" s="631"/>
      <c r="T216" s="424">
        <f>IF(B216="","",'Tabla_Puntual&amp;Relacionamiento'!$B$80)</f>
        <v>0.1</v>
      </c>
      <c r="U216" s="424"/>
      <c r="V216" s="642">
        <f t="shared" si="31"/>
        <v>10989.912026314649</v>
      </c>
      <c r="W216" s="642"/>
      <c r="X216" s="642">
        <f t="shared" si="32"/>
        <v>461735.46609056584</v>
      </c>
      <c r="Y216" s="642"/>
      <c r="AL216" s="420">
        <f t="shared" si="36"/>
        <v>10160</v>
      </c>
      <c r="AM216" s="421">
        <f t="shared" si="39"/>
        <v>10365.918021566793</v>
      </c>
      <c r="AN216" s="637"/>
      <c r="AO216" s="637"/>
      <c r="AP216" s="634"/>
      <c r="AQ216" s="634"/>
      <c r="AR216" s="427"/>
      <c r="AS216" s="522">
        <f t="shared" si="37"/>
        <v>0</v>
      </c>
    </row>
    <row r="217" spans="2:45" x14ac:dyDescent="0.25">
      <c r="B217" s="426">
        <f t="shared" si="33"/>
        <v>154</v>
      </c>
      <c r="C217" s="423">
        <f t="shared" si="34"/>
        <v>461735.46609056584</v>
      </c>
      <c r="D217" s="643">
        <f t="shared" si="38"/>
        <v>6312.2044492452842</v>
      </c>
      <c r="E217" s="643"/>
      <c r="F217" s="643">
        <f t="shared" si="28"/>
        <v>3847.7955507547154</v>
      </c>
      <c r="G217" s="643"/>
      <c r="H217" s="671">
        <f t="shared" si="29"/>
        <v>615.64728812075452</v>
      </c>
      <c r="I217" s="671"/>
      <c r="J217" s="640">
        <f t="shared" si="35"/>
        <v>203.16360507984896</v>
      </c>
      <c r="K217" s="640"/>
      <c r="L217" s="631">
        <f t="shared" si="30"/>
        <v>0</v>
      </c>
      <c r="M217" s="631"/>
      <c r="N217" s="631">
        <f>IF(B217="","",VLOOKUP(TRIM(CONCATENATE($F$20," ",$F$17," ",$F$18," ",$F$22," ",$F$21," ",$F$16," ",$F$23," ",$F$24)),Condicione_Financieras_Patrimon!B:W,22,0)*1.16)</f>
        <v>0</v>
      </c>
      <c r="O217" s="631"/>
      <c r="P217" s="641"/>
      <c r="Q217" s="641"/>
      <c r="R217" s="631">
        <f>IF(OR(X216=0,X216=""),"",IF($F$21="Apoyo Infonavit",IF(D217&gt;=C217,0,MIN(IF($F$30="",0,Caratula_Patrimonial!$F$30),$AL$29*25)*10%),0))</f>
        <v>0</v>
      </c>
      <c r="S217" s="631"/>
      <c r="T217" s="424">
        <f>IF(B217="","",'Tabla_Puntual&amp;Relacionamiento'!$B$80)</f>
        <v>0.1</v>
      </c>
      <c r="U217" s="424"/>
      <c r="V217" s="642">
        <f t="shared" si="31"/>
        <v>10978.810893200603</v>
      </c>
      <c r="W217" s="642"/>
      <c r="X217" s="642">
        <f t="shared" si="32"/>
        <v>455423.26164132054</v>
      </c>
      <c r="Y217" s="642"/>
      <c r="AL217" s="420">
        <f t="shared" si="36"/>
        <v>10160</v>
      </c>
      <c r="AM217" s="421">
        <f t="shared" si="39"/>
        <v>10363.16360507985</v>
      </c>
      <c r="AN217" s="637"/>
      <c r="AO217" s="637"/>
      <c r="AP217" s="634"/>
      <c r="AQ217" s="634"/>
      <c r="AR217" s="427"/>
      <c r="AS217" s="522">
        <f t="shared" si="37"/>
        <v>0</v>
      </c>
    </row>
    <row r="218" spans="2:45" x14ac:dyDescent="0.25">
      <c r="B218" s="426">
        <f t="shared" si="33"/>
        <v>155</v>
      </c>
      <c r="C218" s="423">
        <f t="shared" si="34"/>
        <v>455423.26164132054</v>
      </c>
      <c r="D218" s="643">
        <f t="shared" si="38"/>
        <v>6364.8061529889956</v>
      </c>
      <c r="E218" s="643"/>
      <c r="F218" s="643">
        <f t="shared" si="28"/>
        <v>3795.1938470110044</v>
      </c>
      <c r="G218" s="643"/>
      <c r="H218" s="671">
        <f t="shared" si="29"/>
        <v>607.2310155217607</v>
      </c>
      <c r="I218" s="671"/>
      <c r="J218" s="640">
        <f t="shared" si="35"/>
        <v>200.38623512218103</v>
      </c>
      <c r="K218" s="640"/>
      <c r="L218" s="631">
        <f t="shared" si="30"/>
        <v>0</v>
      </c>
      <c r="M218" s="631"/>
      <c r="N218" s="631">
        <f>IF(B218="","",VLOOKUP(TRIM(CONCATENATE($F$20," ",$F$17," ",$F$18," ",$F$22," ",$F$21," ",$F$16," ",$F$23," ",$F$24)),Condicione_Financieras_Patrimon!B:W,22,0)*1.16)</f>
        <v>0</v>
      </c>
      <c r="O218" s="631"/>
      <c r="P218" s="641"/>
      <c r="Q218" s="641"/>
      <c r="R218" s="631"/>
      <c r="S218" s="631"/>
      <c r="T218" s="424">
        <f>IF(B218="","",'Tabla_Puntual&amp;Relacionamiento'!$B$80)</f>
        <v>0.1</v>
      </c>
      <c r="U218" s="424"/>
      <c r="V218" s="642">
        <f t="shared" si="31"/>
        <v>10967.617250643942</v>
      </c>
      <c r="W218" s="642"/>
      <c r="X218" s="642">
        <f t="shared" si="32"/>
        <v>449058.45548833156</v>
      </c>
      <c r="Y218" s="642"/>
      <c r="AL218" s="420">
        <f t="shared" si="36"/>
        <v>10160</v>
      </c>
      <c r="AM218" s="421">
        <f t="shared" si="39"/>
        <v>10360.386235122181</v>
      </c>
      <c r="AN218" s="637"/>
      <c r="AO218" s="637"/>
      <c r="AP218" s="634"/>
      <c r="AQ218" s="634"/>
      <c r="AR218" s="427"/>
      <c r="AS218" s="522">
        <f t="shared" si="37"/>
        <v>0</v>
      </c>
    </row>
    <row r="219" spans="2:45" x14ac:dyDescent="0.25">
      <c r="B219" s="426">
        <f t="shared" si="33"/>
        <v>156</v>
      </c>
      <c r="C219" s="423">
        <f t="shared" si="34"/>
        <v>449058.45548833156</v>
      </c>
      <c r="D219" s="643">
        <f t="shared" si="38"/>
        <v>6417.8462042639039</v>
      </c>
      <c r="E219" s="643"/>
      <c r="F219" s="643">
        <f t="shared" si="28"/>
        <v>3742.1537957360961</v>
      </c>
      <c r="G219" s="643"/>
      <c r="H219" s="671">
        <f t="shared" si="29"/>
        <v>598.74460731777538</v>
      </c>
      <c r="I219" s="671"/>
      <c r="J219" s="640">
        <f t="shared" si="35"/>
        <v>197.58572041486588</v>
      </c>
      <c r="K219" s="640"/>
      <c r="L219" s="631">
        <f t="shared" si="30"/>
        <v>0</v>
      </c>
      <c r="M219" s="631"/>
      <c r="N219" s="631">
        <f>IF(B219="","",VLOOKUP(TRIM(CONCATENATE($F$20," ",$F$17," ",$F$18," ",$F$22," ",$F$21," ",$F$16," ",$F$23," ",$F$24)),Condicione_Financieras_Patrimon!B:W,22,0)*1.16)</f>
        <v>0</v>
      </c>
      <c r="O219" s="631"/>
      <c r="P219" s="641"/>
      <c r="Q219" s="641"/>
      <c r="R219" s="631">
        <f>IF(OR(X218=0,X218=""),"",IF($F$21="Apoyo Infonavit",IF(D219&gt;=C219,0,MIN(IF($F$30="",0,Caratula_Patrimonial!$F$30),$AL$29*25)*10%),0))</f>
        <v>0</v>
      </c>
      <c r="S219" s="631"/>
      <c r="T219" s="424">
        <f>IF(B219="","",'Tabla_Puntual&amp;Relacionamiento'!$B$80)</f>
        <v>0.1</v>
      </c>
      <c r="U219" s="424"/>
      <c r="V219" s="642">
        <f t="shared" si="31"/>
        <v>10956.330327732641</v>
      </c>
      <c r="W219" s="642"/>
      <c r="X219" s="642">
        <f t="shared" si="32"/>
        <v>442640.60928406764</v>
      </c>
      <c r="Y219" s="642"/>
      <c r="AL219" s="420">
        <f t="shared" si="36"/>
        <v>10160</v>
      </c>
      <c r="AM219" s="421">
        <f t="shared" si="39"/>
        <v>10357.585720414865</v>
      </c>
      <c r="AN219" s="637"/>
      <c r="AO219" s="637"/>
      <c r="AP219" s="634"/>
      <c r="AQ219" s="634"/>
      <c r="AR219" s="427"/>
      <c r="AS219" s="522">
        <f t="shared" si="37"/>
        <v>0</v>
      </c>
    </row>
    <row r="220" spans="2:45" x14ac:dyDescent="0.25">
      <c r="B220" s="426">
        <f t="shared" si="33"/>
        <v>157</v>
      </c>
      <c r="C220" s="423">
        <f t="shared" si="34"/>
        <v>442640.60928406764</v>
      </c>
      <c r="D220" s="643">
        <f t="shared" si="38"/>
        <v>6471.3282559661029</v>
      </c>
      <c r="E220" s="643"/>
      <c r="F220" s="643">
        <f t="shared" si="28"/>
        <v>3688.6717440338971</v>
      </c>
      <c r="G220" s="643"/>
      <c r="H220" s="671">
        <f t="shared" si="29"/>
        <v>590.18747904542352</v>
      </c>
      <c r="I220" s="671"/>
      <c r="J220" s="640">
        <f t="shared" si="35"/>
        <v>194.76186808498974</v>
      </c>
      <c r="K220" s="640"/>
      <c r="L220" s="631">
        <f t="shared" si="30"/>
        <v>0</v>
      </c>
      <c r="M220" s="631"/>
      <c r="N220" s="631">
        <f>IF(B220="","",VLOOKUP(TRIM(CONCATENATE($F$20," ",$F$17," ",$F$18," ",$F$22," ",$F$21," ",$F$16," ",$F$23," ",$F$24)),Condicione_Financieras_Patrimon!B:W,22,0)*1.16)</f>
        <v>0</v>
      </c>
      <c r="O220" s="631"/>
      <c r="P220" s="641"/>
      <c r="Q220" s="641"/>
      <c r="R220" s="631"/>
      <c r="S220" s="631"/>
      <c r="T220" s="424">
        <f>IF(B220="","",'Tabla_Puntual&amp;Relacionamiento'!$B$81)</f>
        <v>0.1</v>
      </c>
      <c r="U220" s="424" t="str">
        <f>IF(B220="","",IF($F$16="Pago_Bajo_Puntual",0.019,""))</f>
        <v/>
      </c>
      <c r="V220" s="642">
        <f t="shared" si="31"/>
        <v>10944.949347130414</v>
      </c>
      <c r="W220" s="642"/>
      <c r="X220" s="642">
        <f t="shared" si="32"/>
        <v>436169.28102810151</v>
      </c>
      <c r="Y220" s="642"/>
      <c r="AL220" s="420">
        <f t="shared" si="36"/>
        <v>10160</v>
      </c>
      <c r="AM220" s="421">
        <f t="shared" si="39"/>
        <v>10354.76186808499</v>
      </c>
      <c r="AN220" s="637"/>
      <c r="AO220" s="637"/>
      <c r="AP220" s="634"/>
      <c r="AQ220" s="634"/>
      <c r="AR220" s="427"/>
      <c r="AS220" s="522">
        <f t="shared" si="37"/>
        <v>0</v>
      </c>
    </row>
    <row r="221" spans="2:45" x14ac:dyDescent="0.25">
      <c r="B221" s="426">
        <f t="shared" si="33"/>
        <v>158</v>
      </c>
      <c r="C221" s="423">
        <f t="shared" si="34"/>
        <v>436169.28102810151</v>
      </c>
      <c r="D221" s="643">
        <f t="shared" si="38"/>
        <v>6525.2559914324875</v>
      </c>
      <c r="E221" s="643"/>
      <c r="F221" s="643">
        <f t="shared" si="28"/>
        <v>3634.7440085675125</v>
      </c>
      <c r="G221" s="643"/>
      <c r="H221" s="671">
        <f t="shared" si="29"/>
        <v>581.55904137080199</v>
      </c>
      <c r="I221" s="671"/>
      <c r="J221" s="640">
        <f t="shared" si="35"/>
        <v>191.91448365236468</v>
      </c>
      <c r="K221" s="640"/>
      <c r="L221" s="631">
        <f t="shared" si="30"/>
        <v>0</v>
      </c>
      <c r="M221" s="631"/>
      <c r="N221" s="631">
        <f>IF(B221="","",VLOOKUP(TRIM(CONCATENATE($F$20," ",$F$17," ",$F$18," ",$F$22," ",$F$21," ",$F$16," ",$F$23," ",$F$24)),Condicione_Financieras_Patrimon!B:W,22,0)*1.16)</f>
        <v>0</v>
      </c>
      <c r="O221" s="631"/>
      <c r="P221" s="641"/>
      <c r="Q221" s="641"/>
      <c r="R221" s="631">
        <f>IF(OR(X220=0,X220=""),"",IF($F$21="Apoyo Infonavit",IF(D221&gt;=C221,0,MIN(IF($F$30="",0,Caratula_Patrimonial!$F$30),$AL$29*25)*10%),0))</f>
        <v>0</v>
      </c>
      <c r="S221" s="631"/>
      <c r="T221" s="424">
        <f>IF(B221="","",'Tabla_Puntual&amp;Relacionamiento'!$B$81)</f>
        <v>0.1</v>
      </c>
      <c r="U221" s="424"/>
      <c r="V221" s="642">
        <f t="shared" si="31"/>
        <v>10933.473525023166</v>
      </c>
      <c r="W221" s="642"/>
      <c r="X221" s="642">
        <f t="shared" si="32"/>
        <v>429644.02503666905</v>
      </c>
      <c r="Y221" s="642"/>
      <c r="AL221" s="420">
        <f t="shared" si="36"/>
        <v>10160</v>
      </c>
      <c r="AM221" s="421">
        <f t="shared" si="39"/>
        <v>10351.914483652365</v>
      </c>
      <c r="AN221" s="637"/>
      <c r="AO221" s="637"/>
      <c r="AP221" s="634"/>
      <c r="AQ221" s="634"/>
      <c r="AR221" s="427"/>
      <c r="AS221" s="522">
        <f t="shared" si="37"/>
        <v>0</v>
      </c>
    </row>
    <row r="222" spans="2:45" x14ac:dyDescent="0.25">
      <c r="B222" s="426">
        <f t="shared" si="33"/>
        <v>159</v>
      </c>
      <c r="C222" s="423">
        <f t="shared" si="34"/>
        <v>429644.02503666905</v>
      </c>
      <c r="D222" s="643">
        <f t="shared" si="38"/>
        <v>6579.6331246944246</v>
      </c>
      <c r="E222" s="643"/>
      <c r="F222" s="643">
        <f t="shared" si="28"/>
        <v>3580.3668753055754</v>
      </c>
      <c r="G222" s="643"/>
      <c r="H222" s="671">
        <f t="shared" si="29"/>
        <v>572.85870004889205</v>
      </c>
      <c r="I222" s="671"/>
      <c r="J222" s="640">
        <f t="shared" si="35"/>
        <v>189.04337101613439</v>
      </c>
      <c r="K222" s="640"/>
      <c r="L222" s="631">
        <f t="shared" si="30"/>
        <v>0</v>
      </c>
      <c r="M222" s="631"/>
      <c r="N222" s="631">
        <f>IF(B222="","",VLOOKUP(TRIM(CONCATENATE($F$20," ",$F$17," ",$F$18," ",$F$22," ",$F$21," ",$F$16," ",$F$23," ",$F$24)),Condicione_Financieras_Patrimon!B:W,22,0)*1.16)</f>
        <v>0</v>
      </c>
      <c r="O222" s="631"/>
      <c r="P222" s="641"/>
      <c r="Q222" s="641"/>
      <c r="R222" s="631"/>
      <c r="S222" s="631"/>
      <c r="T222" s="424">
        <f>IF(B222="","",'Tabla_Puntual&amp;Relacionamiento'!$B$81)</f>
        <v>0.1</v>
      </c>
      <c r="U222" s="424"/>
      <c r="V222" s="642">
        <f t="shared" si="31"/>
        <v>10921.902071065026</v>
      </c>
      <c r="W222" s="642"/>
      <c r="X222" s="642">
        <f t="shared" si="32"/>
        <v>423064.39191197464</v>
      </c>
      <c r="Y222" s="642"/>
      <c r="AL222" s="420">
        <f t="shared" si="36"/>
        <v>10160</v>
      </c>
      <c r="AM222" s="421">
        <f t="shared" si="39"/>
        <v>10349.043371016134</v>
      </c>
      <c r="AN222" s="637"/>
      <c r="AO222" s="637"/>
      <c r="AP222" s="634"/>
      <c r="AQ222" s="634"/>
      <c r="AR222" s="427"/>
      <c r="AS222" s="522">
        <f t="shared" si="37"/>
        <v>0</v>
      </c>
    </row>
    <row r="223" spans="2:45" x14ac:dyDescent="0.25">
      <c r="B223" s="426">
        <f t="shared" si="33"/>
        <v>160</v>
      </c>
      <c r="C223" s="423">
        <f t="shared" si="34"/>
        <v>423064.39191197464</v>
      </c>
      <c r="D223" s="643">
        <f t="shared" si="38"/>
        <v>6634.4634007335444</v>
      </c>
      <c r="E223" s="643"/>
      <c r="F223" s="643">
        <f t="shared" si="28"/>
        <v>3525.5365992664551</v>
      </c>
      <c r="G223" s="643"/>
      <c r="H223" s="671">
        <f t="shared" si="29"/>
        <v>564.08585588263281</v>
      </c>
      <c r="I223" s="671"/>
      <c r="J223" s="640">
        <f t="shared" si="35"/>
        <v>186.14833244126885</v>
      </c>
      <c r="K223" s="640"/>
      <c r="L223" s="631">
        <f t="shared" si="30"/>
        <v>0</v>
      </c>
      <c r="M223" s="631"/>
      <c r="N223" s="631">
        <f>IF(B223="","",VLOOKUP(TRIM(CONCATENATE($F$20," ",$F$17," ",$F$18," ",$F$22," ",$F$21," ",$F$16," ",$F$23," ",$F$24)),Condicione_Financieras_Patrimon!B:W,22,0)*1.16)</f>
        <v>0</v>
      </c>
      <c r="O223" s="631"/>
      <c r="P223" s="641"/>
      <c r="Q223" s="641"/>
      <c r="R223" s="631">
        <f>IF(OR(X222=0,X222=""),"",IF($F$21="Apoyo Infonavit",IF(D223&gt;=C223,0,MIN(IF($F$30="",0,Caratula_Patrimonial!$F$30),$AL$29*25)*10%),0))</f>
        <v>0</v>
      </c>
      <c r="S223" s="631"/>
      <c r="T223" s="424">
        <f>IF(B223="","",'Tabla_Puntual&amp;Relacionamiento'!$B$81)</f>
        <v>0.1</v>
      </c>
      <c r="U223" s="424"/>
      <c r="V223" s="642">
        <f t="shared" si="31"/>
        <v>10910.234188323902</v>
      </c>
      <c r="W223" s="642"/>
      <c r="X223" s="642">
        <f t="shared" si="32"/>
        <v>416429.9285112411</v>
      </c>
      <c r="Y223" s="642"/>
      <c r="AL223" s="420">
        <f t="shared" si="36"/>
        <v>10160</v>
      </c>
      <c r="AM223" s="421">
        <f t="shared" si="39"/>
        <v>10346.148332441269</v>
      </c>
      <c r="AN223" s="637"/>
      <c r="AO223" s="637"/>
      <c r="AP223" s="634"/>
      <c r="AQ223" s="634"/>
      <c r="AR223" s="427"/>
      <c r="AS223" s="522">
        <f t="shared" si="37"/>
        <v>0</v>
      </c>
    </row>
    <row r="224" spans="2:45" x14ac:dyDescent="0.25">
      <c r="B224" s="426">
        <f t="shared" si="33"/>
        <v>161</v>
      </c>
      <c r="C224" s="423">
        <f t="shared" si="34"/>
        <v>416429.9285112411</v>
      </c>
      <c r="D224" s="643">
        <f t="shared" si="38"/>
        <v>6689.750595739657</v>
      </c>
      <c r="E224" s="643"/>
      <c r="F224" s="643">
        <f t="shared" si="28"/>
        <v>3470.2494042603425</v>
      </c>
      <c r="G224" s="643"/>
      <c r="H224" s="671">
        <f t="shared" si="29"/>
        <v>555.23990468165482</v>
      </c>
      <c r="I224" s="671"/>
      <c r="J224" s="640">
        <f t="shared" si="35"/>
        <v>183.22916854494611</v>
      </c>
      <c r="K224" s="640"/>
      <c r="L224" s="631">
        <f t="shared" si="30"/>
        <v>0</v>
      </c>
      <c r="M224" s="631"/>
      <c r="N224" s="631">
        <f>IF(B224="","",VLOOKUP(TRIM(CONCATENATE($F$20," ",$F$17," ",$F$18," ",$F$22," ",$F$21," ",$F$16," ",$F$23," ",$F$24)),Condicione_Financieras_Patrimon!B:W,22,0)*1.16)</f>
        <v>0</v>
      </c>
      <c r="O224" s="631"/>
      <c r="P224" s="641"/>
      <c r="Q224" s="641"/>
      <c r="R224" s="631"/>
      <c r="S224" s="631"/>
      <c r="T224" s="424">
        <f>IF(B224="","",'Tabla_Puntual&amp;Relacionamiento'!$B$81)</f>
        <v>0.1</v>
      </c>
      <c r="U224" s="424"/>
      <c r="V224" s="642">
        <f t="shared" si="31"/>
        <v>10898.469073226601</v>
      </c>
      <c r="W224" s="642"/>
      <c r="X224" s="642">
        <f t="shared" si="32"/>
        <v>409740.17791550147</v>
      </c>
      <c r="Y224" s="642"/>
      <c r="AL224" s="420">
        <f t="shared" si="36"/>
        <v>10160</v>
      </c>
      <c r="AM224" s="421">
        <f t="shared" si="39"/>
        <v>10343.229168544945</v>
      </c>
      <c r="AN224" s="637"/>
      <c r="AO224" s="637"/>
      <c r="AP224" s="634"/>
      <c r="AQ224" s="634"/>
      <c r="AR224" s="427"/>
      <c r="AS224" s="522">
        <f t="shared" si="37"/>
        <v>0</v>
      </c>
    </row>
    <row r="225" spans="2:45" x14ac:dyDescent="0.25">
      <c r="B225" s="426">
        <f t="shared" si="33"/>
        <v>162</v>
      </c>
      <c r="C225" s="423">
        <f t="shared" si="34"/>
        <v>409740.17791550147</v>
      </c>
      <c r="D225" s="643">
        <f t="shared" si="38"/>
        <v>6745.498517370821</v>
      </c>
      <c r="E225" s="643"/>
      <c r="F225" s="643">
        <f t="shared" si="28"/>
        <v>3414.501482629179</v>
      </c>
      <c r="G225" s="643"/>
      <c r="H225" s="671">
        <f t="shared" si="29"/>
        <v>546.32023722066867</v>
      </c>
      <c r="I225" s="671"/>
      <c r="J225" s="640">
        <f t="shared" si="35"/>
        <v>180.28567828282064</v>
      </c>
      <c r="K225" s="640"/>
      <c r="L225" s="631">
        <f t="shared" si="30"/>
        <v>0</v>
      </c>
      <c r="M225" s="631"/>
      <c r="N225" s="631">
        <f>IF(B225="","",VLOOKUP(TRIM(CONCATENATE($F$20," ",$F$17," ",$F$18," ",$F$22," ",$F$21," ",$F$16," ",$F$23," ",$F$24)),Condicione_Financieras_Patrimon!B:W,22,0)*1.16)</f>
        <v>0</v>
      </c>
      <c r="O225" s="631"/>
      <c r="P225" s="641"/>
      <c r="Q225" s="641"/>
      <c r="R225" s="631">
        <f>IF(OR(X224=0,X224=""),"",IF($F$21="Apoyo Infonavit",IF(D225&gt;=C225,0,MIN(IF($F$30="",0,Caratula_Patrimonial!$F$30),$AL$29*25)*10%),0))</f>
        <v>0</v>
      </c>
      <c r="S225" s="631"/>
      <c r="T225" s="424">
        <f>IF(B225="","",'Tabla_Puntual&amp;Relacionamiento'!$B$81)</f>
        <v>0.1</v>
      </c>
      <c r="U225" s="424"/>
      <c r="V225" s="642">
        <f t="shared" si="31"/>
        <v>10886.605915503489</v>
      </c>
      <c r="W225" s="642"/>
      <c r="X225" s="642">
        <f t="shared" si="32"/>
        <v>402994.67939813063</v>
      </c>
      <c r="Y225" s="642"/>
      <c r="AL225" s="420">
        <f t="shared" si="36"/>
        <v>10160</v>
      </c>
      <c r="AM225" s="421">
        <f t="shared" si="39"/>
        <v>10340.28567828282</v>
      </c>
      <c r="AN225" s="637"/>
      <c r="AO225" s="637"/>
      <c r="AP225" s="634"/>
      <c r="AQ225" s="634"/>
      <c r="AR225" s="427"/>
      <c r="AS225" s="522">
        <f t="shared" si="37"/>
        <v>0</v>
      </c>
    </row>
    <row r="226" spans="2:45" x14ac:dyDescent="0.25">
      <c r="B226" s="426">
        <f t="shared" si="33"/>
        <v>163</v>
      </c>
      <c r="C226" s="423">
        <f t="shared" si="34"/>
        <v>402994.67939813063</v>
      </c>
      <c r="D226" s="643">
        <f t="shared" si="38"/>
        <v>6801.7110050155788</v>
      </c>
      <c r="E226" s="643"/>
      <c r="F226" s="643">
        <f t="shared" si="28"/>
        <v>3358.2889949844216</v>
      </c>
      <c r="G226" s="643"/>
      <c r="H226" s="671">
        <f t="shared" si="29"/>
        <v>537.32623919750745</v>
      </c>
      <c r="I226" s="671"/>
      <c r="J226" s="640">
        <f t="shared" si="35"/>
        <v>177.31765893517749</v>
      </c>
      <c r="K226" s="640"/>
      <c r="L226" s="631">
        <f t="shared" si="30"/>
        <v>0</v>
      </c>
      <c r="M226" s="631"/>
      <c r="N226" s="631">
        <f>IF(B226="","",VLOOKUP(TRIM(CONCATENATE($F$20," ",$F$17," ",$F$18," ",$F$22," ",$F$21," ",$F$16," ",$F$23," ",$F$24)),Condicione_Financieras_Patrimon!B:W,22,0)*1.16)</f>
        <v>0</v>
      </c>
      <c r="O226" s="631"/>
      <c r="P226" s="641"/>
      <c r="Q226" s="641"/>
      <c r="R226" s="631"/>
      <c r="S226" s="631"/>
      <c r="T226" s="424">
        <f>IF(B226="","",'Tabla_Puntual&amp;Relacionamiento'!$B$81)</f>
        <v>0.1</v>
      </c>
      <c r="U226" s="424"/>
      <c r="V226" s="642">
        <f t="shared" si="31"/>
        <v>10874.643898132685</v>
      </c>
      <c r="W226" s="642"/>
      <c r="X226" s="642">
        <f t="shared" si="32"/>
        <v>396192.96839311504</v>
      </c>
      <c r="Y226" s="642"/>
      <c r="AL226" s="420">
        <f t="shared" si="36"/>
        <v>10160</v>
      </c>
      <c r="AM226" s="421">
        <f t="shared" si="39"/>
        <v>10337.317658935177</v>
      </c>
      <c r="AN226" s="637"/>
      <c r="AO226" s="637"/>
      <c r="AP226" s="634"/>
      <c r="AQ226" s="634"/>
      <c r="AR226" s="427"/>
      <c r="AS226" s="522">
        <f t="shared" si="37"/>
        <v>0</v>
      </c>
    </row>
    <row r="227" spans="2:45" x14ac:dyDescent="0.25">
      <c r="B227" s="426">
        <f t="shared" si="33"/>
        <v>164</v>
      </c>
      <c r="C227" s="423">
        <f t="shared" si="34"/>
        <v>396192.96839311504</v>
      </c>
      <c r="D227" s="643">
        <f t="shared" si="38"/>
        <v>6858.3919300573743</v>
      </c>
      <c r="E227" s="643"/>
      <c r="F227" s="643">
        <f t="shared" si="28"/>
        <v>3301.6080699426252</v>
      </c>
      <c r="G227" s="643"/>
      <c r="H227" s="671">
        <f t="shared" si="29"/>
        <v>528.25729119082007</v>
      </c>
      <c r="I227" s="671"/>
      <c r="J227" s="640">
        <f t="shared" si="35"/>
        <v>174.32490609297059</v>
      </c>
      <c r="K227" s="640"/>
      <c r="L227" s="631">
        <f t="shared" si="30"/>
        <v>0</v>
      </c>
      <c r="M227" s="631"/>
      <c r="N227" s="631">
        <f>IF(B227="","",VLOOKUP(TRIM(CONCATENATE($F$20," ",$F$17," ",$F$18," ",$F$22," ",$F$21," ",$F$16," ",$F$23," ",$F$24)),Condicione_Financieras_Patrimon!B:W,22,0)*1.16)</f>
        <v>0</v>
      </c>
      <c r="O227" s="631"/>
      <c r="P227" s="641"/>
      <c r="Q227" s="641"/>
      <c r="R227" s="631">
        <f>IF(OR(X226=0,X226=""),"",IF($F$21="Apoyo Infonavit",IF(D227&gt;=C227,0,MIN(IF($F$30="",0,Caratula_Patrimonial!$F$30),$AL$29*25)*10%),0))</f>
        <v>0</v>
      </c>
      <c r="S227" s="631"/>
      <c r="T227" s="424">
        <f>IF(B227="","",'Tabla_Puntual&amp;Relacionamiento'!$B$81)</f>
        <v>0.1</v>
      </c>
      <c r="U227" s="424"/>
      <c r="V227" s="642">
        <f t="shared" si="31"/>
        <v>10862.582197283791</v>
      </c>
      <c r="W227" s="642"/>
      <c r="X227" s="642">
        <f t="shared" si="32"/>
        <v>389334.57646305766</v>
      </c>
      <c r="Y227" s="642"/>
      <c r="AL227" s="420">
        <f t="shared" si="36"/>
        <v>10160</v>
      </c>
      <c r="AM227" s="421">
        <f t="shared" si="39"/>
        <v>10334.32490609297</v>
      </c>
      <c r="AN227" s="637"/>
      <c r="AO227" s="637"/>
      <c r="AP227" s="634"/>
      <c r="AQ227" s="634"/>
      <c r="AR227" s="427"/>
      <c r="AS227" s="522">
        <f t="shared" si="37"/>
        <v>0</v>
      </c>
    </row>
    <row r="228" spans="2:45" x14ac:dyDescent="0.25">
      <c r="B228" s="426">
        <f t="shared" si="33"/>
        <v>165</v>
      </c>
      <c r="C228" s="423">
        <f t="shared" si="34"/>
        <v>389334.57646305766</v>
      </c>
      <c r="D228" s="643">
        <f t="shared" si="38"/>
        <v>6915.5451961411864</v>
      </c>
      <c r="E228" s="643"/>
      <c r="F228" s="643">
        <f t="shared" si="28"/>
        <v>3244.4548038588136</v>
      </c>
      <c r="G228" s="643"/>
      <c r="H228" s="671">
        <f t="shared" si="29"/>
        <v>519.11276861741021</v>
      </c>
      <c r="I228" s="671"/>
      <c r="J228" s="640">
        <f t="shared" si="35"/>
        <v>171.30721364374537</v>
      </c>
      <c r="K228" s="640"/>
      <c r="L228" s="631">
        <f t="shared" si="30"/>
        <v>0</v>
      </c>
      <c r="M228" s="631"/>
      <c r="N228" s="631">
        <f>IF(B228="","",VLOOKUP(TRIM(CONCATENATE($F$20," ",$F$17," ",$F$18," ",$F$22," ",$F$21," ",$F$16," ",$F$23," ",$F$24)),Condicione_Financieras_Patrimon!B:W,22,0)*1.16)</f>
        <v>0</v>
      </c>
      <c r="O228" s="631"/>
      <c r="P228" s="641"/>
      <c r="Q228" s="641"/>
      <c r="R228" s="631"/>
      <c r="S228" s="631"/>
      <c r="T228" s="424">
        <f>IF(B228="","",'Tabla_Puntual&amp;Relacionamiento'!$B$81)</f>
        <v>0.1</v>
      </c>
      <c r="U228" s="424"/>
      <c r="V228" s="642">
        <f t="shared" si="31"/>
        <v>10850.419982261155</v>
      </c>
      <c r="W228" s="642"/>
      <c r="X228" s="642">
        <f t="shared" si="32"/>
        <v>382419.03126691649</v>
      </c>
      <c r="Y228" s="642"/>
      <c r="AL228" s="420">
        <f t="shared" si="36"/>
        <v>10160</v>
      </c>
      <c r="AM228" s="421">
        <f t="shared" si="39"/>
        <v>10331.307213643746</v>
      </c>
      <c r="AN228" s="637"/>
      <c r="AO228" s="637"/>
      <c r="AP228" s="634"/>
      <c r="AQ228" s="634"/>
      <c r="AR228" s="427"/>
      <c r="AS228" s="522">
        <f t="shared" si="37"/>
        <v>0</v>
      </c>
    </row>
    <row r="229" spans="2:45" x14ac:dyDescent="0.25">
      <c r="B229" s="426">
        <f t="shared" si="33"/>
        <v>166</v>
      </c>
      <c r="C229" s="423">
        <f t="shared" si="34"/>
        <v>382419.03126691649</v>
      </c>
      <c r="D229" s="643">
        <f t="shared" si="38"/>
        <v>6973.1747394423628</v>
      </c>
      <c r="E229" s="643"/>
      <c r="F229" s="643">
        <f t="shared" si="28"/>
        <v>3186.8252605576372</v>
      </c>
      <c r="G229" s="643"/>
      <c r="H229" s="671">
        <f t="shared" si="29"/>
        <v>509.89204168922197</v>
      </c>
      <c r="I229" s="671"/>
      <c r="J229" s="640">
        <f t="shared" si="35"/>
        <v>168.26437375744325</v>
      </c>
      <c r="K229" s="640"/>
      <c r="L229" s="631">
        <f t="shared" si="30"/>
        <v>0</v>
      </c>
      <c r="M229" s="631"/>
      <c r="N229" s="631">
        <f>IF(B229="","",VLOOKUP(TRIM(CONCATENATE($F$20," ",$F$17," ",$F$18," ",$F$22," ",$F$21," ",$F$16," ",$F$23," ",$F$24)),Condicione_Financieras_Patrimon!B:W,22,0)*1.16)</f>
        <v>0</v>
      </c>
      <c r="O229" s="631"/>
      <c r="P229" s="641"/>
      <c r="Q229" s="641"/>
      <c r="R229" s="631">
        <f>IF(OR(X228=0,X228=""),"",IF($F$21="Apoyo Infonavit",IF(D229&gt;=C229,0,MIN(IF($F$30="",0,Caratula_Patrimonial!$F$30),$AL$29*25)*10%),0))</f>
        <v>0</v>
      </c>
      <c r="S229" s="631"/>
      <c r="T229" s="424">
        <f>IF(B229="","",'Tabla_Puntual&amp;Relacionamiento'!$B$81)</f>
        <v>0.1</v>
      </c>
      <c r="U229" s="424"/>
      <c r="V229" s="642">
        <f t="shared" si="31"/>
        <v>10838.156415446665</v>
      </c>
      <c r="W229" s="642"/>
      <c r="X229" s="642">
        <f t="shared" si="32"/>
        <v>375445.85652747413</v>
      </c>
      <c r="Y229" s="642"/>
      <c r="AL229" s="420">
        <f t="shared" si="36"/>
        <v>10160</v>
      </c>
      <c r="AM229" s="421">
        <f t="shared" si="39"/>
        <v>10328.264373757444</v>
      </c>
      <c r="AN229" s="637"/>
      <c r="AO229" s="637"/>
      <c r="AP229" s="634"/>
      <c r="AQ229" s="634"/>
      <c r="AR229" s="427"/>
      <c r="AS229" s="522">
        <f t="shared" si="37"/>
        <v>0</v>
      </c>
    </row>
    <row r="230" spans="2:45" x14ac:dyDescent="0.25">
      <c r="B230" s="426">
        <f t="shared" si="33"/>
        <v>167</v>
      </c>
      <c r="C230" s="423">
        <f t="shared" si="34"/>
        <v>375445.85652747413</v>
      </c>
      <c r="D230" s="643">
        <f t="shared" si="38"/>
        <v>7031.2845289377155</v>
      </c>
      <c r="E230" s="643"/>
      <c r="F230" s="643">
        <f t="shared" si="28"/>
        <v>3128.7154710622845</v>
      </c>
      <c r="G230" s="643"/>
      <c r="H230" s="671">
        <f t="shared" si="29"/>
        <v>500.59447536996555</v>
      </c>
      <c r="I230" s="671"/>
      <c r="J230" s="640">
        <f t="shared" si="35"/>
        <v>165.19617687208861</v>
      </c>
      <c r="K230" s="640"/>
      <c r="L230" s="631">
        <f t="shared" si="30"/>
        <v>0</v>
      </c>
      <c r="M230" s="631"/>
      <c r="N230" s="631">
        <f>IF(B230="","",VLOOKUP(TRIM(CONCATENATE($F$20," ",$F$17," ",$F$18," ",$F$22," ",$F$21," ",$F$16," ",$F$23," ",$F$24)),Condicione_Financieras_Patrimon!B:W,22,0)*1.16)</f>
        <v>0</v>
      </c>
      <c r="O230" s="631"/>
      <c r="P230" s="641"/>
      <c r="Q230" s="641"/>
      <c r="R230" s="631"/>
      <c r="S230" s="631"/>
      <c r="T230" s="424">
        <f>IF(B230="","",'Tabla_Puntual&amp;Relacionamiento'!$B$81)</f>
        <v>0.1</v>
      </c>
      <c r="U230" s="424"/>
      <c r="V230" s="642">
        <f t="shared" si="31"/>
        <v>10825.790652242054</v>
      </c>
      <c r="W230" s="642"/>
      <c r="X230" s="642">
        <f t="shared" si="32"/>
        <v>368414.57199853641</v>
      </c>
      <c r="Y230" s="642"/>
      <c r="AL230" s="420">
        <f t="shared" si="36"/>
        <v>10160</v>
      </c>
      <c r="AM230" s="421">
        <f t="shared" si="39"/>
        <v>10325.196176872088</v>
      </c>
      <c r="AN230" s="637"/>
      <c r="AO230" s="637"/>
      <c r="AP230" s="634"/>
      <c r="AQ230" s="634"/>
      <c r="AR230" s="427"/>
      <c r="AS230" s="522">
        <f t="shared" si="37"/>
        <v>0</v>
      </c>
    </row>
    <row r="231" spans="2:45" x14ac:dyDescent="0.25">
      <c r="B231" s="426">
        <f t="shared" si="33"/>
        <v>168</v>
      </c>
      <c r="C231" s="423">
        <f t="shared" si="34"/>
        <v>368414.57199853641</v>
      </c>
      <c r="D231" s="643">
        <f t="shared" si="38"/>
        <v>7089.8785666788626</v>
      </c>
      <c r="E231" s="643"/>
      <c r="F231" s="643">
        <f t="shared" si="28"/>
        <v>3070.1214333211369</v>
      </c>
      <c r="G231" s="643"/>
      <c r="H231" s="671">
        <f t="shared" si="29"/>
        <v>491.21942933138189</v>
      </c>
      <c r="I231" s="671"/>
      <c r="J231" s="640">
        <f t="shared" si="35"/>
        <v>162.10241167935601</v>
      </c>
      <c r="K231" s="640"/>
      <c r="L231" s="631">
        <f t="shared" si="30"/>
        <v>0</v>
      </c>
      <c r="M231" s="631"/>
      <c r="N231" s="631">
        <f>IF(B231="","",VLOOKUP(TRIM(CONCATENATE($F$20," ",$F$17," ",$F$18," ",$F$22," ",$F$21," ",$F$16," ",$F$23," ",$F$24)),Condicione_Financieras_Patrimon!B:W,22,0)*1.16)</f>
        <v>0</v>
      </c>
      <c r="O231" s="631"/>
      <c r="P231" s="641"/>
      <c r="Q231" s="641"/>
      <c r="R231" s="631">
        <f>IF(OR(X230=0,X230=""),"",IF($F$21="Apoyo Infonavit",IF(D231&gt;=C231,0,MIN(IF($F$30="",0,Caratula_Patrimonial!$F$30),$AL$29*25)*10%),0))</f>
        <v>0</v>
      </c>
      <c r="S231" s="631"/>
      <c r="T231" s="424">
        <f>IF(B231="","",'Tabla_Puntual&amp;Relacionamiento'!$B$81)</f>
        <v>0.1</v>
      </c>
      <c r="U231" s="424"/>
      <c r="V231" s="642">
        <f t="shared" si="31"/>
        <v>10813.321841010738</v>
      </c>
      <c r="W231" s="642"/>
      <c r="X231" s="642">
        <f t="shared" si="32"/>
        <v>361324.69343185757</v>
      </c>
      <c r="Y231" s="642"/>
      <c r="AL231" s="420">
        <f t="shared" si="36"/>
        <v>10160</v>
      </c>
      <c r="AM231" s="421">
        <f t="shared" si="39"/>
        <v>10322.102411679356</v>
      </c>
      <c r="AN231" s="637"/>
      <c r="AO231" s="637"/>
      <c r="AP231" s="634"/>
      <c r="AQ231" s="634"/>
      <c r="AR231" s="427"/>
      <c r="AS231" s="522">
        <f t="shared" si="37"/>
        <v>0</v>
      </c>
    </row>
    <row r="232" spans="2:45" x14ac:dyDescent="0.25">
      <c r="B232" s="426">
        <f t="shared" si="33"/>
        <v>169</v>
      </c>
      <c r="C232" s="423">
        <f t="shared" si="34"/>
        <v>361324.69343185757</v>
      </c>
      <c r="D232" s="643">
        <f t="shared" si="38"/>
        <v>7148.9608880678534</v>
      </c>
      <c r="E232" s="643"/>
      <c r="F232" s="643">
        <f t="shared" si="28"/>
        <v>3011.0391119321462</v>
      </c>
      <c r="G232" s="643"/>
      <c r="H232" s="671">
        <f t="shared" si="29"/>
        <v>481.76625790914341</v>
      </c>
      <c r="I232" s="671"/>
      <c r="J232" s="640">
        <f t="shared" si="35"/>
        <v>158.98286511001734</v>
      </c>
      <c r="K232" s="640"/>
      <c r="L232" s="631">
        <f t="shared" si="30"/>
        <v>0</v>
      </c>
      <c r="M232" s="631"/>
      <c r="N232" s="631">
        <f>IF(B232="","",VLOOKUP(TRIM(CONCATENATE($F$20," ",$F$17," ",$F$18," ",$F$22," ",$F$21," ",$F$16," ",$F$23," ",$F$24)),Condicione_Financieras_Patrimon!B:W,22,0)*1.16)</f>
        <v>0</v>
      </c>
      <c r="O232" s="631"/>
      <c r="P232" s="641"/>
      <c r="Q232" s="641"/>
      <c r="R232" s="631"/>
      <c r="S232" s="631"/>
      <c r="T232" s="424">
        <f>IF(B232="","",'Tabla_Puntual&amp;Relacionamiento'!$B$82)</f>
        <v>0.1</v>
      </c>
      <c r="U232" s="424" t="str">
        <f>IF(B232="","",IF($F$16="Pago_Bajo_Puntual",0.019,""))</f>
        <v/>
      </c>
      <c r="V232" s="642">
        <f t="shared" si="31"/>
        <v>10800.749123019161</v>
      </c>
      <c r="W232" s="642"/>
      <c r="X232" s="642">
        <f t="shared" si="32"/>
        <v>354175.73254378972</v>
      </c>
      <c r="Y232" s="642"/>
      <c r="AL232" s="420">
        <f t="shared" si="36"/>
        <v>10160</v>
      </c>
      <c r="AM232" s="421">
        <f t="shared" si="39"/>
        <v>10318.982865110018</v>
      </c>
      <c r="AN232" s="637"/>
      <c r="AO232" s="637"/>
      <c r="AP232" s="634"/>
      <c r="AQ232" s="634"/>
      <c r="AR232" s="427"/>
      <c r="AS232" s="522">
        <f t="shared" si="37"/>
        <v>0</v>
      </c>
    </row>
    <row r="233" spans="2:45" x14ac:dyDescent="0.25">
      <c r="B233" s="426">
        <f t="shared" si="33"/>
        <v>170</v>
      </c>
      <c r="C233" s="423">
        <f t="shared" si="34"/>
        <v>354175.73254378972</v>
      </c>
      <c r="D233" s="643">
        <f t="shared" si="38"/>
        <v>7208.5355621350855</v>
      </c>
      <c r="E233" s="643"/>
      <c r="F233" s="643">
        <f t="shared" si="28"/>
        <v>2951.4644378649145</v>
      </c>
      <c r="G233" s="643"/>
      <c r="H233" s="671">
        <f t="shared" si="29"/>
        <v>472.23431005838631</v>
      </c>
      <c r="I233" s="671"/>
      <c r="J233" s="640">
        <f t="shared" si="35"/>
        <v>155.83732231926749</v>
      </c>
      <c r="K233" s="640"/>
      <c r="L233" s="631">
        <f t="shared" si="30"/>
        <v>0</v>
      </c>
      <c r="M233" s="631"/>
      <c r="N233" s="631">
        <f>IF(B233="","",VLOOKUP(TRIM(CONCATENATE($F$20," ",$F$17," ",$F$18," ",$F$22," ",$F$21," ",$F$16," ",$F$23," ",$F$24)),Condicione_Financieras_Patrimon!B:W,22,0)*1.16)</f>
        <v>0</v>
      </c>
      <c r="O233" s="631"/>
      <c r="P233" s="641"/>
      <c r="Q233" s="641"/>
      <c r="R233" s="631">
        <f>IF(OR(X232=0,X232=""),"",IF($F$21="Apoyo Infonavit",IF(D233&gt;=C233,0,MIN(IF($F$30="",0,Caratula_Patrimonial!$F$30),$AL$29*25)*10%),0))</f>
        <v>0</v>
      </c>
      <c r="S233" s="631"/>
      <c r="T233" s="424">
        <f>IF(B233="","",'Tabla_Puntual&amp;Relacionamiento'!$B$82)</f>
        <v>0.1</v>
      </c>
      <c r="U233" s="424"/>
      <c r="V233" s="642">
        <f t="shared" si="31"/>
        <v>10788.071632377652</v>
      </c>
      <c r="W233" s="642"/>
      <c r="X233" s="642">
        <f t="shared" si="32"/>
        <v>346967.19698165462</v>
      </c>
      <c r="Y233" s="642"/>
      <c r="AL233" s="420">
        <f t="shared" si="36"/>
        <v>10160</v>
      </c>
      <c r="AM233" s="421">
        <f t="shared" si="39"/>
        <v>10315.837322319267</v>
      </c>
      <c r="AN233" s="637"/>
      <c r="AO233" s="637"/>
      <c r="AP233" s="634"/>
      <c r="AQ233" s="634"/>
      <c r="AR233" s="427"/>
      <c r="AS233" s="522">
        <f t="shared" si="37"/>
        <v>0</v>
      </c>
    </row>
    <row r="234" spans="2:45" x14ac:dyDescent="0.25">
      <c r="B234" s="426">
        <f t="shared" si="33"/>
        <v>171</v>
      </c>
      <c r="C234" s="423">
        <f t="shared" si="34"/>
        <v>346967.19698165462</v>
      </c>
      <c r="D234" s="643">
        <f t="shared" si="38"/>
        <v>7268.6066918195447</v>
      </c>
      <c r="E234" s="643"/>
      <c r="F234" s="643">
        <f t="shared" si="28"/>
        <v>2891.3933081804553</v>
      </c>
      <c r="G234" s="643"/>
      <c r="H234" s="671">
        <f t="shared" si="29"/>
        <v>462.62292930887287</v>
      </c>
      <c r="I234" s="671"/>
      <c r="J234" s="640">
        <f t="shared" si="35"/>
        <v>152.66556667192805</v>
      </c>
      <c r="K234" s="640"/>
      <c r="L234" s="631">
        <f t="shared" si="30"/>
        <v>0</v>
      </c>
      <c r="M234" s="631"/>
      <c r="N234" s="631">
        <f>IF(B234="","",VLOOKUP(TRIM(CONCATENATE($F$20," ",$F$17," ",$F$18," ",$F$22," ",$F$21," ",$F$16," ",$F$23," ",$F$24)),Condicione_Financieras_Patrimon!B:W,22,0)*1.16)</f>
        <v>0</v>
      </c>
      <c r="O234" s="631"/>
      <c r="P234" s="641"/>
      <c r="Q234" s="641"/>
      <c r="R234" s="631"/>
      <c r="S234" s="631"/>
      <c r="T234" s="424">
        <f>IF(B234="","",'Tabla_Puntual&amp;Relacionamiento'!$B$82)</f>
        <v>0.1</v>
      </c>
      <c r="U234" s="424"/>
      <c r="V234" s="642">
        <f t="shared" si="31"/>
        <v>10775.288495980802</v>
      </c>
      <c r="W234" s="642"/>
      <c r="X234" s="642">
        <f t="shared" si="32"/>
        <v>339698.59028983506</v>
      </c>
      <c r="Y234" s="642"/>
      <c r="AL234" s="420">
        <f t="shared" si="36"/>
        <v>10160</v>
      </c>
      <c r="AM234" s="421">
        <f t="shared" si="39"/>
        <v>10312.665566671929</v>
      </c>
      <c r="AN234" s="637"/>
      <c r="AO234" s="637"/>
      <c r="AP234" s="634"/>
      <c r="AQ234" s="634"/>
      <c r="AR234" s="427"/>
      <c r="AS234" s="522">
        <f t="shared" si="37"/>
        <v>0</v>
      </c>
    </row>
    <row r="235" spans="2:45" x14ac:dyDescent="0.25">
      <c r="B235" s="426">
        <f t="shared" si="33"/>
        <v>172</v>
      </c>
      <c r="C235" s="423">
        <f t="shared" si="34"/>
        <v>339698.59028983506</v>
      </c>
      <c r="D235" s="643">
        <f t="shared" si="38"/>
        <v>7329.1784142513743</v>
      </c>
      <c r="E235" s="643"/>
      <c r="F235" s="643">
        <f t="shared" si="28"/>
        <v>2830.8215857486257</v>
      </c>
      <c r="G235" s="643"/>
      <c r="H235" s="671">
        <f t="shared" si="29"/>
        <v>452.93145371978011</v>
      </c>
      <c r="I235" s="671"/>
      <c r="J235" s="640">
        <f t="shared" si="35"/>
        <v>149.46737972752743</v>
      </c>
      <c r="K235" s="640"/>
      <c r="L235" s="631">
        <f t="shared" si="30"/>
        <v>0</v>
      </c>
      <c r="M235" s="631"/>
      <c r="N235" s="631">
        <f>IF(B235="","",VLOOKUP(TRIM(CONCATENATE($F$20," ",$F$17," ",$F$18," ",$F$22," ",$F$21," ",$F$16," ",$F$23," ",$F$24)),Condicione_Financieras_Patrimon!B:W,22,0)*1.16)</f>
        <v>0</v>
      </c>
      <c r="O235" s="631"/>
      <c r="P235" s="641"/>
      <c r="Q235" s="641"/>
      <c r="R235" s="631">
        <f>IF(OR(X234=0,X234=""),"",IF($F$21="Apoyo Infonavit",IF(D235&gt;=C235,0,MIN(IF($F$30="",0,Caratula_Patrimonial!$F$30),$AL$29*25)*10%),0))</f>
        <v>0</v>
      </c>
      <c r="S235" s="631"/>
      <c r="T235" s="424">
        <f>IF(B235="","",'Tabla_Puntual&amp;Relacionamiento'!$B$82)</f>
        <v>0.1</v>
      </c>
      <c r="U235" s="424"/>
      <c r="V235" s="642">
        <f t="shared" si="31"/>
        <v>10762.398833447309</v>
      </c>
      <c r="W235" s="642"/>
      <c r="X235" s="642">
        <f t="shared" si="32"/>
        <v>332369.4118755837</v>
      </c>
      <c r="Y235" s="642"/>
      <c r="AL235" s="420">
        <f t="shared" si="36"/>
        <v>10160</v>
      </c>
      <c r="AM235" s="421">
        <f t="shared" si="39"/>
        <v>10309.467379727528</v>
      </c>
      <c r="AN235" s="637"/>
      <c r="AO235" s="637"/>
      <c r="AP235" s="634"/>
      <c r="AQ235" s="634"/>
      <c r="AR235" s="427"/>
      <c r="AS235" s="522">
        <f t="shared" si="37"/>
        <v>0</v>
      </c>
    </row>
    <row r="236" spans="2:45" x14ac:dyDescent="0.25">
      <c r="B236" s="426">
        <f t="shared" si="33"/>
        <v>173</v>
      </c>
      <c r="C236" s="423">
        <f t="shared" si="34"/>
        <v>332369.4118755837</v>
      </c>
      <c r="D236" s="643">
        <f t="shared" si="38"/>
        <v>7390.254901036802</v>
      </c>
      <c r="E236" s="643"/>
      <c r="F236" s="643">
        <f t="shared" si="28"/>
        <v>2769.7450989631975</v>
      </c>
      <c r="G236" s="643"/>
      <c r="H236" s="671">
        <f t="shared" si="29"/>
        <v>443.15921583411159</v>
      </c>
      <c r="I236" s="671"/>
      <c r="J236" s="640">
        <f t="shared" si="35"/>
        <v>146.24254122525684</v>
      </c>
      <c r="K236" s="640"/>
      <c r="L236" s="631">
        <f t="shared" si="30"/>
        <v>0</v>
      </c>
      <c r="M236" s="631"/>
      <c r="N236" s="631">
        <f>IF(B236="","",VLOOKUP(TRIM(CONCATENATE($F$20," ",$F$17," ",$F$18," ",$F$22," ",$F$21," ",$F$16," ",$F$23," ",$F$24)),Condicione_Financieras_Patrimon!B:W,22,0)*1.16)</f>
        <v>0</v>
      </c>
      <c r="O236" s="631"/>
      <c r="P236" s="641"/>
      <c r="Q236" s="641"/>
      <c r="R236" s="631"/>
      <c r="S236" s="631"/>
      <c r="T236" s="424">
        <f>IF(B236="","",'Tabla_Puntual&amp;Relacionamiento'!$B$82)</f>
        <v>0.1</v>
      </c>
      <c r="U236" s="424"/>
      <c r="V236" s="642">
        <f t="shared" si="31"/>
        <v>10749.401757059368</v>
      </c>
      <c r="W236" s="642"/>
      <c r="X236" s="642">
        <f t="shared" si="32"/>
        <v>324979.1569745469</v>
      </c>
      <c r="Y236" s="642"/>
      <c r="AL236" s="420">
        <f t="shared" si="36"/>
        <v>10160</v>
      </c>
      <c r="AM236" s="421">
        <f t="shared" si="39"/>
        <v>10306.242541225256</v>
      </c>
      <c r="AN236" s="637"/>
      <c r="AO236" s="637"/>
      <c r="AP236" s="634"/>
      <c r="AQ236" s="634"/>
      <c r="AR236" s="427"/>
      <c r="AS236" s="522">
        <f t="shared" si="37"/>
        <v>0</v>
      </c>
    </row>
    <row r="237" spans="2:45" x14ac:dyDescent="0.25">
      <c r="B237" s="426">
        <f t="shared" si="33"/>
        <v>174</v>
      </c>
      <c r="C237" s="423">
        <f t="shared" si="34"/>
        <v>324979.1569745469</v>
      </c>
      <c r="D237" s="643">
        <f t="shared" si="38"/>
        <v>7451.8403585454425</v>
      </c>
      <c r="E237" s="643"/>
      <c r="F237" s="643">
        <f t="shared" si="28"/>
        <v>2708.1596414545575</v>
      </c>
      <c r="G237" s="643"/>
      <c r="H237" s="671">
        <f t="shared" si="29"/>
        <v>433.30554263272921</v>
      </c>
      <c r="I237" s="671"/>
      <c r="J237" s="640">
        <f t="shared" si="35"/>
        <v>142.99082906880065</v>
      </c>
      <c r="K237" s="640"/>
      <c r="L237" s="631">
        <f t="shared" si="30"/>
        <v>0</v>
      </c>
      <c r="M237" s="631"/>
      <c r="N237" s="631">
        <f>IF(B237="","",VLOOKUP(TRIM(CONCATENATE($F$20," ",$F$17," ",$F$18," ",$F$22," ",$F$21," ",$F$16," ",$F$23," ",$F$24)),Condicione_Financieras_Patrimon!B:W,22,0)*1.16)</f>
        <v>0</v>
      </c>
      <c r="O237" s="631"/>
      <c r="P237" s="641"/>
      <c r="Q237" s="641"/>
      <c r="R237" s="631">
        <f>IF(OR(X236=0,X236=""),"",IF($F$21="Apoyo Infonavit",IF(D237&gt;=C237,0,MIN(IF($F$30="",0,Caratula_Patrimonial!$F$30),$AL$29*25)*10%),0))</f>
        <v>0</v>
      </c>
      <c r="S237" s="631"/>
      <c r="T237" s="424">
        <f>IF(B237="","",'Tabla_Puntual&amp;Relacionamiento'!$B$82)</f>
        <v>0.1</v>
      </c>
      <c r="U237" s="424"/>
      <c r="V237" s="642">
        <f t="shared" si="31"/>
        <v>10736.29637170153</v>
      </c>
      <c r="W237" s="642"/>
      <c r="X237" s="642">
        <f t="shared" si="32"/>
        <v>317527.31661600148</v>
      </c>
      <c r="Y237" s="642"/>
      <c r="AL237" s="420">
        <f t="shared" si="36"/>
        <v>10160</v>
      </c>
      <c r="AM237" s="421">
        <f t="shared" si="39"/>
        <v>10302.9908290688</v>
      </c>
      <c r="AN237" s="637"/>
      <c r="AO237" s="637"/>
      <c r="AP237" s="634"/>
      <c r="AQ237" s="634"/>
      <c r="AR237" s="427"/>
      <c r="AS237" s="522">
        <f t="shared" si="37"/>
        <v>0</v>
      </c>
    </row>
    <row r="238" spans="2:45" x14ac:dyDescent="0.25">
      <c r="B238" s="426">
        <f t="shared" si="33"/>
        <v>175</v>
      </c>
      <c r="C238" s="423">
        <f t="shared" si="34"/>
        <v>317527.31661600148</v>
      </c>
      <c r="D238" s="643">
        <f t="shared" si="38"/>
        <v>7513.9390281999877</v>
      </c>
      <c r="E238" s="643"/>
      <c r="F238" s="643">
        <f t="shared" si="28"/>
        <v>2646.0609718000123</v>
      </c>
      <c r="G238" s="643"/>
      <c r="H238" s="671">
        <f t="shared" si="29"/>
        <v>423.369755488002</v>
      </c>
      <c r="I238" s="671"/>
      <c r="J238" s="640">
        <f t="shared" si="35"/>
        <v>139.71201931104065</v>
      </c>
      <c r="K238" s="640"/>
      <c r="L238" s="631">
        <f t="shared" si="30"/>
        <v>0</v>
      </c>
      <c r="M238" s="631"/>
      <c r="N238" s="631">
        <f>IF(B238="","",VLOOKUP(TRIM(CONCATENATE($F$20," ",$F$17," ",$F$18," ",$F$22," ",$F$21," ",$F$16," ",$F$23," ",$F$24)),Condicione_Financieras_Patrimon!B:W,22,0)*1.16)</f>
        <v>0</v>
      </c>
      <c r="O238" s="631"/>
      <c r="P238" s="641"/>
      <c r="Q238" s="641"/>
      <c r="R238" s="631"/>
      <c r="S238" s="631"/>
      <c r="T238" s="424">
        <f>IF(B238="","",'Tabla_Puntual&amp;Relacionamiento'!$B$82)</f>
        <v>0.1</v>
      </c>
      <c r="U238" s="424"/>
      <c r="V238" s="642">
        <f t="shared" si="31"/>
        <v>10723.081774799042</v>
      </c>
      <c r="W238" s="642"/>
      <c r="X238" s="642">
        <f t="shared" si="32"/>
        <v>310013.37758780149</v>
      </c>
      <c r="Y238" s="642"/>
      <c r="AL238" s="420">
        <f t="shared" si="36"/>
        <v>10160</v>
      </c>
      <c r="AM238" s="421">
        <f t="shared" si="39"/>
        <v>10299.71201931104</v>
      </c>
      <c r="AN238" s="637"/>
      <c r="AO238" s="637"/>
      <c r="AP238" s="634"/>
      <c r="AQ238" s="634"/>
      <c r="AR238" s="427"/>
      <c r="AS238" s="522">
        <f t="shared" si="37"/>
        <v>0</v>
      </c>
    </row>
    <row r="239" spans="2:45" x14ac:dyDescent="0.25">
      <c r="B239" s="426">
        <f t="shared" si="33"/>
        <v>176</v>
      </c>
      <c r="C239" s="423">
        <f t="shared" si="34"/>
        <v>310013.37758780149</v>
      </c>
      <c r="D239" s="643">
        <f t="shared" si="38"/>
        <v>7576.5551867683207</v>
      </c>
      <c r="E239" s="643"/>
      <c r="F239" s="643">
        <f t="shared" si="28"/>
        <v>2583.4448132316788</v>
      </c>
      <c r="G239" s="643"/>
      <c r="H239" s="671">
        <f t="shared" si="29"/>
        <v>413.35117011706865</v>
      </c>
      <c r="I239" s="671"/>
      <c r="J239" s="640">
        <f t="shared" si="35"/>
        <v>136.40588613863267</v>
      </c>
      <c r="K239" s="640"/>
      <c r="L239" s="631">
        <f t="shared" si="30"/>
        <v>0</v>
      </c>
      <c r="M239" s="631"/>
      <c r="N239" s="631">
        <f>IF(B239="","",VLOOKUP(TRIM(CONCATENATE($F$20," ",$F$17," ",$F$18," ",$F$22," ",$F$21," ",$F$16," ",$F$23," ",$F$24)),Condicione_Financieras_Patrimon!B:W,22,0)*1.16)</f>
        <v>0</v>
      </c>
      <c r="O239" s="631"/>
      <c r="P239" s="641"/>
      <c r="Q239" s="641"/>
      <c r="R239" s="631">
        <f>IF(OR(X238=0,X238=""),"",IF($F$21="Apoyo Infonavit",IF(D239&gt;=C239,0,MIN(IF($F$30="",0,Caratula_Patrimonial!$F$30),$AL$29*25)*10%),0))</f>
        <v>0</v>
      </c>
      <c r="S239" s="631"/>
      <c r="T239" s="424">
        <f>IF(B239="","",'Tabla_Puntual&amp;Relacionamiento'!$B$82)</f>
        <v>0.1</v>
      </c>
      <c r="U239" s="424"/>
      <c r="V239" s="642">
        <f t="shared" si="31"/>
        <v>10709.757056255701</v>
      </c>
      <c r="W239" s="642"/>
      <c r="X239" s="642">
        <f t="shared" si="32"/>
        <v>302436.82240103319</v>
      </c>
      <c r="Y239" s="642"/>
      <c r="AL239" s="420">
        <f t="shared" si="36"/>
        <v>10160</v>
      </c>
      <c r="AM239" s="421">
        <f t="shared" si="39"/>
        <v>10296.405886138633</v>
      </c>
      <c r="AN239" s="637"/>
      <c r="AO239" s="637"/>
      <c r="AP239" s="634"/>
      <c r="AQ239" s="634"/>
      <c r="AR239" s="427"/>
      <c r="AS239" s="522">
        <f t="shared" si="37"/>
        <v>0</v>
      </c>
    </row>
    <row r="240" spans="2:45" x14ac:dyDescent="0.25">
      <c r="B240" s="426">
        <f t="shared" si="33"/>
        <v>177</v>
      </c>
      <c r="C240" s="423">
        <f t="shared" si="34"/>
        <v>302436.82240103319</v>
      </c>
      <c r="D240" s="643">
        <f t="shared" si="38"/>
        <v>7639.6931466580572</v>
      </c>
      <c r="E240" s="643"/>
      <c r="F240" s="643">
        <f t="shared" si="28"/>
        <v>2520.3068533419432</v>
      </c>
      <c r="G240" s="643"/>
      <c r="H240" s="671">
        <f t="shared" si="29"/>
        <v>403.24909653471093</v>
      </c>
      <c r="I240" s="671"/>
      <c r="J240" s="640">
        <f t="shared" si="35"/>
        <v>133.0722018564546</v>
      </c>
      <c r="K240" s="640"/>
      <c r="L240" s="631">
        <f t="shared" si="30"/>
        <v>0</v>
      </c>
      <c r="M240" s="631"/>
      <c r="N240" s="631">
        <f>IF(B240="","",VLOOKUP(TRIM(CONCATENATE($F$20," ",$F$17," ",$F$18," ",$F$22," ",$F$21," ",$F$16," ",$F$23," ",$F$24)),Condicione_Financieras_Patrimon!B:W,22,0)*1.16)</f>
        <v>0</v>
      </c>
      <c r="O240" s="631"/>
      <c r="P240" s="641"/>
      <c r="Q240" s="641"/>
      <c r="R240" s="631"/>
      <c r="S240" s="631"/>
      <c r="T240" s="424">
        <f>IF(B240="","",'Tabla_Puntual&amp;Relacionamiento'!$B$82)</f>
        <v>0.1</v>
      </c>
      <c r="U240" s="424"/>
      <c r="V240" s="642">
        <f t="shared" si="31"/>
        <v>10696.321298391165</v>
      </c>
      <c r="W240" s="642"/>
      <c r="X240" s="642">
        <f t="shared" si="32"/>
        <v>294797.12925437512</v>
      </c>
      <c r="Y240" s="642"/>
      <c r="AL240" s="420">
        <f t="shared" si="36"/>
        <v>10160</v>
      </c>
      <c r="AM240" s="421">
        <f t="shared" si="39"/>
        <v>10293.072201856454</v>
      </c>
      <c r="AN240" s="637"/>
      <c r="AO240" s="637"/>
      <c r="AP240" s="634"/>
      <c r="AQ240" s="634"/>
      <c r="AR240" s="427"/>
      <c r="AS240" s="522">
        <f t="shared" si="37"/>
        <v>0</v>
      </c>
    </row>
    <row r="241" spans="2:45" x14ac:dyDescent="0.25">
      <c r="B241" s="426">
        <f t="shared" si="33"/>
        <v>178</v>
      </c>
      <c r="C241" s="423">
        <f t="shared" si="34"/>
        <v>294797.12925437512</v>
      </c>
      <c r="D241" s="643">
        <f t="shared" si="38"/>
        <v>7703.3572562135405</v>
      </c>
      <c r="E241" s="643"/>
      <c r="F241" s="643">
        <f t="shared" si="28"/>
        <v>2456.6427437864595</v>
      </c>
      <c r="G241" s="643"/>
      <c r="H241" s="671">
        <f t="shared" si="29"/>
        <v>393.06283900583355</v>
      </c>
      <c r="I241" s="671"/>
      <c r="J241" s="640">
        <f t="shared" si="35"/>
        <v>129.71073687192506</v>
      </c>
      <c r="K241" s="640"/>
      <c r="L241" s="631">
        <f t="shared" si="30"/>
        <v>0</v>
      </c>
      <c r="M241" s="631"/>
      <c r="N241" s="631">
        <f>IF(B241="","",VLOOKUP(TRIM(CONCATENATE($F$20," ",$F$17," ",$F$18," ",$F$22," ",$F$21," ",$F$16," ",$F$23," ",$F$24)),Condicione_Financieras_Patrimon!B:W,22,0)*1.16)</f>
        <v>0</v>
      </c>
      <c r="O241" s="631"/>
      <c r="P241" s="641"/>
      <c r="Q241" s="641"/>
      <c r="R241" s="631">
        <f>IF(OR(X240=0,X240=""),"",IF($F$21="Apoyo Infonavit",IF(D241&gt;=C241,0,MIN(IF($F$30="",0,Caratula_Patrimonial!$F$30),$AL$29*25)*10%),0))</f>
        <v>0</v>
      </c>
      <c r="S241" s="631"/>
      <c r="T241" s="424">
        <f>IF(B241="","",'Tabla_Puntual&amp;Relacionamiento'!$B$82)</f>
        <v>0.1</v>
      </c>
      <c r="U241" s="424"/>
      <c r="V241" s="642">
        <f t="shared" si="31"/>
        <v>10682.773575877758</v>
      </c>
      <c r="W241" s="642"/>
      <c r="X241" s="642">
        <f t="shared" si="32"/>
        <v>287093.77199816157</v>
      </c>
      <c r="Y241" s="642"/>
      <c r="AL241" s="420">
        <f t="shared" si="36"/>
        <v>10160</v>
      </c>
      <c r="AM241" s="421">
        <f t="shared" si="39"/>
        <v>10289.710736871924</v>
      </c>
      <c r="AN241" s="637"/>
      <c r="AO241" s="637"/>
      <c r="AP241" s="634"/>
      <c r="AQ241" s="634"/>
      <c r="AR241" s="427"/>
      <c r="AS241" s="522">
        <f t="shared" si="37"/>
        <v>0</v>
      </c>
    </row>
    <row r="242" spans="2:45" x14ac:dyDescent="0.25">
      <c r="B242" s="426">
        <f t="shared" si="33"/>
        <v>179</v>
      </c>
      <c r="C242" s="423">
        <f t="shared" si="34"/>
        <v>287093.77199816157</v>
      </c>
      <c r="D242" s="643">
        <f t="shared" si="38"/>
        <v>7767.5519000153199</v>
      </c>
      <c r="E242" s="643"/>
      <c r="F242" s="643">
        <f t="shared" si="28"/>
        <v>2392.4480999846796</v>
      </c>
      <c r="G242" s="643"/>
      <c r="H242" s="671">
        <f t="shared" si="29"/>
        <v>382.79169599754874</v>
      </c>
      <c r="I242" s="671"/>
      <c r="J242" s="640">
        <f t="shared" si="35"/>
        <v>126.32125967919109</v>
      </c>
      <c r="K242" s="640"/>
      <c r="L242" s="631">
        <f t="shared" si="30"/>
        <v>0</v>
      </c>
      <c r="M242" s="631"/>
      <c r="N242" s="631">
        <f>IF(B242="","",VLOOKUP(TRIM(CONCATENATE($F$20," ",$F$17," ",$F$18," ",$F$22," ",$F$21," ",$F$16," ",$F$23," ",$F$24)),Condicione_Financieras_Patrimon!B:W,22,0)*1.16)</f>
        <v>0</v>
      </c>
      <c r="O242" s="631"/>
      <c r="P242" s="641"/>
      <c r="Q242" s="641"/>
      <c r="R242" s="631"/>
      <c r="S242" s="631"/>
      <c r="T242" s="424">
        <f>IF(B242="","",'Tabla_Puntual&amp;Relacionamiento'!$B$82)</f>
        <v>0.1</v>
      </c>
      <c r="U242" s="424"/>
      <c r="V242" s="642">
        <f t="shared" si="31"/>
        <v>10669.112955676739</v>
      </c>
      <c r="W242" s="642"/>
      <c r="X242" s="642">
        <f t="shared" si="32"/>
        <v>279326.22009814624</v>
      </c>
      <c r="Y242" s="642"/>
      <c r="AL242" s="420">
        <f t="shared" si="36"/>
        <v>10160</v>
      </c>
      <c r="AM242" s="421">
        <f t="shared" si="39"/>
        <v>10286.321259679191</v>
      </c>
      <c r="AN242" s="637"/>
      <c r="AO242" s="637"/>
      <c r="AP242" s="634"/>
      <c r="AQ242" s="634"/>
      <c r="AR242" s="427"/>
      <c r="AS242" s="522">
        <f t="shared" si="37"/>
        <v>0</v>
      </c>
    </row>
    <row r="243" spans="2:45" x14ac:dyDescent="0.25">
      <c r="B243" s="426">
        <f t="shared" si="33"/>
        <v>180</v>
      </c>
      <c r="C243" s="423">
        <f t="shared" si="34"/>
        <v>279326.22009814624</v>
      </c>
      <c r="D243" s="643">
        <f t="shared" si="38"/>
        <v>7832.2814991821142</v>
      </c>
      <c r="E243" s="643"/>
      <c r="F243" s="643">
        <f t="shared" si="28"/>
        <v>2327.7185008178853</v>
      </c>
      <c r="G243" s="643"/>
      <c r="H243" s="671">
        <f t="shared" si="29"/>
        <v>372.43496013086167</v>
      </c>
      <c r="I243" s="671"/>
      <c r="J243" s="640">
        <f t="shared" si="35"/>
        <v>122.90353684318434</v>
      </c>
      <c r="K243" s="640"/>
      <c r="L243" s="631">
        <f t="shared" si="30"/>
        <v>0</v>
      </c>
      <c r="M243" s="631"/>
      <c r="N243" s="631">
        <f>IF(B243="","",VLOOKUP(TRIM(CONCATENATE($F$20," ",$F$17," ",$F$18," ",$F$22," ",$F$21," ",$F$16," ",$F$23," ",$F$24)),Condicione_Financieras_Patrimon!B:W,22,0)*1.16)</f>
        <v>0</v>
      </c>
      <c r="O243" s="631"/>
      <c r="P243" s="641"/>
      <c r="Q243" s="641"/>
      <c r="R243" s="631">
        <f>IF(OR(X242=0,X242=""),"",IF($F$21="Apoyo Infonavit",IF(D243&gt;=C243,0,MIN(IF($F$30="",0,Caratula_Patrimonial!$F$30),$AL$29*25)*10%),0))</f>
        <v>0</v>
      </c>
      <c r="S243" s="631"/>
      <c r="T243" s="424">
        <f>IF(B243="","",'Tabla_Puntual&amp;Relacionamiento'!$B$82)</f>
        <v>0.1</v>
      </c>
      <c r="U243" s="424"/>
      <c r="V243" s="642">
        <f t="shared" si="31"/>
        <v>10655.338496974047</v>
      </c>
      <c r="W243" s="642"/>
      <c r="X243" s="642">
        <f t="shared" si="32"/>
        <v>271493.93859896413</v>
      </c>
      <c r="Y243" s="642"/>
      <c r="AL243" s="420">
        <f t="shared" si="36"/>
        <v>10160</v>
      </c>
      <c r="AM243" s="421">
        <f t="shared" si="39"/>
        <v>10282.903536843185</v>
      </c>
      <c r="AN243" s="637"/>
      <c r="AO243" s="637"/>
      <c r="AP243" s="634"/>
      <c r="AQ243" s="634"/>
      <c r="AR243" s="427"/>
      <c r="AS243" s="522">
        <f t="shared" si="37"/>
        <v>0</v>
      </c>
    </row>
    <row r="244" spans="2:45" x14ac:dyDescent="0.25">
      <c r="B244" s="426">
        <f t="shared" si="33"/>
        <v>181</v>
      </c>
      <c r="C244" s="423">
        <f t="shared" si="34"/>
        <v>271493.93859896413</v>
      </c>
      <c r="D244" s="643">
        <f t="shared" si="38"/>
        <v>7897.5505116752993</v>
      </c>
      <c r="E244" s="643"/>
      <c r="F244" s="643">
        <f t="shared" si="28"/>
        <v>2262.4494883247012</v>
      </c>
      <c r="G244" s="643"/>
      <c r="H244" s="671">
        <f t="shared" si="29"/>
        <v>361.99191813195222</v>
      </c>
      <c r="I244" s="671"/>
      <c r="J244" s="640">
        <f t="shared" si="35"/>
        <v>119.45733298354422</v>
      </c>
      <c r="K244" s="640"/>
      <c r="L244" s="631">
        <f t="shared" si="30"/>
        <v>0</v>
      </c>
      <c r="M244" s="631"/>
      <c r="N244" s="631">
        <f>IF(B244="","",VLOOKUP(TRIM(CONCATENATE($F$20," ",$F$17," ",$F$18," ",$F$22," ",$F$21," ",$F$16," ",$F$23," ",$F$24)),Condicione_Financieras_Patrimon!B:W,22,0)*1.16)</f>
        <v>0</v>
      </c>
      <c r="O244" s="631"/>
      <c r="P244" s="641"/>
      <c r="Q244" s="641"/>
      <c r="R244" s="631"/>
      <c r="S244" s="631"/>
      <c r="T244" s="424">
        <f>IF(B244="","",'Tabla_Puntual&amp;Relacionamiento'!$B$83)</f>
        <v>0.1</v>
      </c>
      <c r="U244" s="424" t="str">
        <f>IF(B244="","",IF($F$16="Pago_Bajo_Puntual",0.019,""))</f>
        <v/>
      </c>
      <c r="V244" s="642">
        <f t="shared" si="31"/>
        <v>10641.449251115497</v>
      </c>
      <c r="W244" s="642"/>
      <c r="X244" s="642">
        <f t="shared" si="32"/>
        <v>263596.38808728883</v>
      </c>
      <c r="Y244" s="642"/>
      <c r="AL244" s="420">
        <f t="shared" si="36"/>
        <v>10160</v>
      </c>
      <c r="AM244" s="421">
        <f t="shared" si="39"/>
        <v>10279.457332983544</v>
      </c>
      <c r="AN244" s="637"/>
      <c r="AO244" s="637"/>
      <c r="AP244" s="634"/>
      <c r="AQ244" s="634"/>
      <c r="AR244" s="427"/>
      <c r="AS244" s="522">
        <f t="shared" si="37"/>
        <v>0</v>
      </c>
    </row>
    <row r="245" spans="2:45" x14ac:dyDescent="0.25">
      <c r="B245" s="426">
        <f t="shared" si="33"/>
        <v>182</v>
      </c>
      <c r="C245" s="423">
        <f t="shared" si="34"/>
        <v>263596.38808728883</v>
      </c>
      <c r="D245" s="643">
        <f t="shared" si="38"/>
        <v>7963.3634326059264</v>
      </c>
      <c r="E245" s="643"/>
      <c r="F245" s="643">
        <f t="shared" si="28"/>
        <v>2196.6365673940736</v>
      </c>
      <c r="G245" s="643"/>
      <c r="H245" s="671">
        <f t="shared" si="29"/>
        <v>351.46185078305177</v>
      </c>
      <c r="I245" s="671"/>
      <c r="J245" s="640">
        <f t="shared" si="35"/>
        <v>115.98241075840708</v>
      </c>
      <c r="K245" s="640"/>
      <c r="L245" s="631">
        <f t="shared" si="30"/>
        <v>0</v>
      </c>
      <c r="M245" s="631"/>
      <c r="N245" s="631">
        <f>IF(B245="","",VLOOKUP(TRIM(CONCATENATE($F$20," ",$F$17," ",$F$18," ",$F$22," ",$F$21," ",$F$16," ",$F$23," ",$F$24)),Condicione_Financieras_Patrimon!B:W,22,0)*1.16)</f>
        <v>0</v>
      </c>
      <c r="O245" s="631"/>
      <c r="P245" s="641"/>
      <c r="Q245" s="641"/>
      <c r="R245" s="631">
        <f>IF(OR(X244=0,X244=""),"",IF($F$21="Apoyo Infonavit",IF(D245&gt;=C245,0,MIN(IF($F$30="",0,Caratula_Patrimonial!$F$30),$AL$29*25)*10%),0))</f>
        <v>0</v>
      </c>
      <c r="S245" s="631"/>
      <c r="T245" s="424">
        <f>IF(B245="","",'Tabla_Puntual&amp;Relacionamiento'!$B$83)</f>
        <v>0.1</v>
      </c>
      <c r="U245" s="424"/>
      <c r="V245" s="642">
        <f t="shared" si="31"/>
        <v>10627.444261541457</v>
      </c>
      <c r="W245" s="642"/>
      <c r="X245" s="642">
        <f t="shared" si="32"/>
        <v>255633.0246546829</v>
      </c>
      <c r="Y245" s="642"/>
      <c r="AL245" s="420">
        <f t="shared" si="36"/>
        <v>10160</v>
      </c>
      <c r="AM245" s="421">
        <f t="shared" si="39"/>
        <v>10275.982410758406</v>
      </c>
      <c r="AN245" s="637"/>
      <c r="AO245" s="637"/>
      <c r="AP245" s="634"/>
      <c r="AQ245" s="634"/>
      <c r="AR245" s="427"/>
      <c r="AS245" s="522">
        <f t="shared" si="37"/>
        <v>0</v>
      </c>
    </row>
    <row r="246" spans="2:45" x14ac:dyDescent="0.25">
      <c r="B246" s="426">
        <f t="shared" si="33"/>
        <v>183</v>
      </c>
      <c r="C246" s="423">
        <f t="shared" si="34"/>
        <v>255633.0246546829</v>
      </c>
      <c r="D246" s="643">
        <f t="shared" si="38"/>
        <v>8029.7247945443087</v>
      </c>
      <c r="E246" s="643"/>
      <c r="F246" s="643">
        <f t="shared" si="28"/>
        <v>2130.2752054556909</v>
      </c>
      <c r="G246" s="643"/>
      <c r="H246" s="671">
        <f t="shared" si="29"/>
        <v>340.84403287291053</v>
      </c>
      <c r="I246" s="671"/>
      <c r="J246" s="640">
        <f t="shared" si="35"/>
        <v>112.47853084806047</v>
      </c>
      <c r="K246" s="640"/>
      <c r="L246" s="631">
        <f t="shared" si="30"/>
        <v>0</v>
      </c>
      <c r="M246" s="631"/>
      <c r="N246" s="631">
        <f>IF(B246="","",VLOOKUP(TRIM(CONCATENATE($F$20," ",$F$17," ",$F$18," ",$F$22," ",$F$21," ",$F$16," ",$F$23," ",$F$24)),Condicione_Financieras_Patrimon!B:W,22,0)*1.16)</f>
        <v>0</v>
      </c>
      <c r="O246" s="631"/>
      <c r="P246" s="641"/>
      <c r="Q246" s="641"/>
      <c r="R246" s="631"/>
      <c r="S246" s="631"/>
      <c r="T246" s="424">
        <f>IF(B246="","",'Tabla_Puntual&amp;Relacionamiento'!$B$83)</f>
        <v>0.1</v>
      </c>
      <c r="U246" s="424"/>
      <c r="V246" s="642">
        <f t="shared" si="31"/>
        <v>10613.322563720971</v>
      </c>
      <c r="W246" s="642"/>
      <c r="X246" s="642">
        <f t="shared" si="32"/>
        <v>247603.29986013859</v>
      </c>
      <c r="Y246" s="642"/>
      <c r="AL246" s="420">
        <f t="shared" si="36"/>
        <v>10160</v>
      </c>
      <c r="AM246" s="421">
        <f t="shared" si="39"/>
        <v>10272.47853084806</v>
      </c>
      <c r="AN246" s="637"/>
      <c r="AO246" s="637"/>
      <c r="AP246" s="634"/>
      <c r="AQ246" s="634"/>
      <c r="AR246" s="427"/>
      <c r="AS246" s="522">
        <f t="shared" si="37"/>
        <v>0</v>
      </c>
    </row>
    <row r="247" spans="2:45" x14ac:dyDescent="0.25">
      <c r="B247" s="426">
        <f t="shared" si="33"/>
        <v>184</v>
      </c>
      <c r="C247" s="423">
        <f t="shared" si="34"/>
        <v>247603.29986013859</v>
      </c>
      <c r="D247" s="643">
        <f t="shared" si="38"/>
        <v>8096.6391678321779</v>
      </c>
      <c r="E247" s="643"/>
      <c r="F247" s="643">
        <f t="shared" si="28"/>
        <v>2063.3608321678216</v>
      </c>
      <c r="G247" s="643"/>
      <c r="H247" s="671">
        <f t="shared" si="29"/>
        <v>330.13773314685147</v>
      </c>
      <c r="I247" s="671"/>
      <c r="J247" s="640">
        <f t="shared" si="35"/>
        <v>108.94545193846098</v>
      </c>
      <c r="K247" s="640"/>
      <c r="L247" s="631">
        <f t="shared" si="30"/>
        <v>0</v>
      </c>
      <c r="M247" s="631"/>
      <c r="N247" s="631">
        <f>IF(B247="","",VLOOKUP(TRIM(CONCATENATE($F$20," ",$F$17," ",$F$18," ",$F$22," ",$F$21," ",$F$16," ",$F$23," ",$F$24)),Condicione_Financieras_Patrimon!B:W,22,0)*1.16)</f>
        <v>0</v>
      </c>
      <c r="O247" s="631"/>
      <c r="P247" s="641"/>
      <c r="Q247" s="641"/>
      <c r="R247" s="631">
        <f>IF(OR(X246=0,X246=""),"",IF($F$21="Apoyo Infonavit",IF(D247&gt;=C247,0,MIN(IF($F$30="",0,Caratula_Patrimonial!$F$30),$AL$29*25)*10%),0))</f>
        <v>0</v>
      </c>
      <c r="S247" s="631"/>
      <c r="T247" s="424">
        <f>IF(B247="","",'Tabla_Puntual&amp;Relacionamiento'!$B$83)</f>
        <v>0.1</v>
      </c>
      <c r="U247" s="424"/>
      <c r="V247" s="642">
        <f t="shared" si="31"/>
        <v>10599.083185085314</v>
      </c>
      <c r="W247" s="642"/>
      <c r="X247" s="642">
        <f t="shared" si="32"/>
        <v>239506.66069230641</v>
      </c>
      <c r="Y247" s="642"/>
      <c r="AL247" s="420">
        <f t="shared" si="36"/>
        <v>10160</v>
      </c>
      <c r="AM247" s="421">
        <f t="shared" si="39"/>
        <v>10268.945451938462</v>
      </c>
      <c r="AN247" s="637"/>
      <c r="AO247" s="637"/>
      <c r="AP247" s="634"/>
      <c r="AQ247" s="634"/>
      <c r="AR247" s="427"/>
      <c r="AS247" s="522">
        <f t="shared" si="37"/>
        <v>0</v>
      </c>
    </row>
    <row r="248" spans="2:45" x14ac:dyDescent="0.25">
      <c r="B248" s="426">
        <f t="shared" si="33"/>
        <v>185</v>
      </c>
      <c r="C248" s="423">
        <f t="shared" si="34"/>
        <v>239506.66069230641</v>
      </c>
      <c r="D248" s="643">
        <f t="shared" si="38"/>
        <v>8164.1111608974461</v>
      </c>
      <c r="E248" s="643"/>
      <c r="F248" s="643">
        <f t="shared" si="28"/>
        <v>1995.8888391025534</v>
      </c>
      <c r="G248" s="643"/>
      <c r="H248" s="671">
        <f t="shared" si="29"/>
        <v>319.34221425640857</v>
      </c>
      <c r="I248" s="671"/>
      <c r="J248" s="640">
        <f t="shared" si="35"/>
        <v>105.38293070461482</v>
      </c>
      <c r="K248" s="640"/>
      <c r="L248" s="631">
        <f t="shared" si="30"/>
        <v>0</v>
      </c>
      <c r="M248" s="631"/>
      <c r="N248" s="631">
        <f>IF(B248="","",VLOOKUP(TRIM(CONCATENATE($F$20," ",$F$17," ",$F$18," ",$F$22," ",$F$21," ",$F$16," ",$F$23," ",$F$24)),Condicione_Financieras_Patrimon!B:W,22,0)*1.16)</f>
        <v>0</v>
      </c>
      <c r="O248" s="631"/>
      <c r="P248" s="641"/>
      <c r="Q248" s="641"/>
      <c r="R248" s="631"/>
      <c r="S248" s="631"/>
      <c r="T248" s="424">
        <f>IF(B248="","",'Tabla_Puntual&amp;Relacionamiento'!$B$83)</f>
        <v>0.1</v>
      </c>
      <c r="U248" s="424"/>
      <c r="V248" s="642">
        <f t="shared" si="31"/>
        <v>10584.725144961023</v>
      </c>
      <c r="W248" s="642"/>
      <c r="X248" s="642">
        <f t="shared" si="32"/>
        <v>231342.54953140896</v>
      </c>
      <c r="Y248" s="642"/>
      <c r="AL248" s="420">
        <f t="shared" si="36"/>
        <v>10160</v>
      </c>
      <c r="AM248" s="421">
        <f t="shared" si="39"/>
        <v>10265.382930704614</v>
      </c>
      <c r="AN248" s="637"/>
      <c r="AO248" s="637"/>
      <c r="AP248" s="634"/>
      <c r="AQ248" s="634"/>
      <c r="AR248" s="427"/>
      <c r="AS248" s="522">
        <f t="shared" si="37"/>
        <v>0</v>
      </c>
    </row>
    <row r="249" spans="2:45" x14ac:dyDescent="0.25">
      <c r="B249" s="426">
        <f t="shared" si="33"/>
        <v>186</v>
      </c>
      <c r="C249" s="423">
        <f t="shared" si="34"/>
        <v>231342.54953140896</v>
      </c>
      <c r="D249" s="643">
        <f t="shared" si="38"/>
        <v>8232.1454205715927</v>
      </c>
      <c r="E249" s="643"/>
      <c r="F249" s="643">
        <f t="shared" si="28"/>
        <v>1927.854579428408</v>
      </c>
      <c r="G249" s="643"/>
      <c r="H249" s="671">
        <f t="shared" si="29"/>
        <v>308.4567327085453</v>
      </c>
      <c r="I249" s="671"/>
      <c r="J249" s="640">
        <f t="shared" si="35"/>
        <v>101.79072179381994</v>
      </c>
      <c r="K249" s="640"/>
      <c r="L249" s="631">
        <f t="shared" si="30"/>
        <v>0</v>
      </c>
      <c r="M249" s="631"/>
      <c r="N249" s="631">
        <f>IF(B249="","",VLOOKUP(TRIM(CONCATENATE($F$20," ",$F$17," ",$F$18," ",$F$22," ",$F$21," ",$F$16," ",$F$23," ",$F$24)),Condicione_Financieras_Patrimon!B:W,22,0)*1.16)</f>
        <v>0</v>
      </c>
      <c r="O249" s="631"/>
      <c r="P249" s="641"/>
      <c r="Q249" s="641"/>
      <c r="R249" s="631">
        <f>IF(OR(X248=0,X248=""),"",IF($F$21="Apoyo Infonavit",IF(D249&gt;=C249,0,MIN(IF($F$30="",0,Caratula_Patrimonial!$F$30),$AL$29*25)*10%),0))</f>
        <v>0</v>
      </c>
      <c r="S249" s="631"/>
      <c r="T249" s="424">
        <f>IF(B249="","",'Tabla_Puntual&amp;Relacionamiento'!$B$83)</f>
        <v>0.1</v>
      </c>
      <c r="U249" s="424"/>
      <c r="V249" s="642">
        <f t="shared" si="31"/>
        <v>10570.247454502365</v>
      </c>
      <c r="W249" s="642"/>
      <c r="X249" s="642">
        <f t="shared" si="32"/>
        <v>223110.40411083738</v>
      </c>
      <c r="Y249" s="642"/>
      <c r="AL249" s="420">
        <f t="shared" si="36"/>
        <v>10160</v>
      </c>
      <c r="AM249" s="421">
        <f t="shared" si="39"/>
        <v>10261.790721793819</v>
      </c>
      <c r="AN249" s="637"/>
      <c r="AO249" s="637"/>
      <c r="AP249" s="634"/>
      <c r="AQ249" s="634"/>
      <c r="AR249" s="427"/>
      <c r="AS249" s="522">
        <f t="shared" si="37"/>
        <v>0</v>
      </c>
    </row>
    <row r="250" spans="2:45" x14ac:dyDescent="0.25">
      <c r="B250" s="426">
        <f t="shared" si="33"/>
        <v>187</v>
      </c>
      <c r="C250" s="423">
        <f t="shared" si="34"/>
        <v>223110.40411083738</v>
      </c>
      <c r="D250" s="643">
        <f t="shared" si="38"/>
        <v>8300.7466324096895</v>
      </c>
      <c r="E250" s="643"/>
      <c r="F250" s="643">
        <f t="shared" si="28"/>
        <v>1859.2533675903114</v>
      </c>
      <c r="G250" s="643"/>
      <c r="H250" s="671">
        <f t="shared" si="29"/>
        <v>297.48053881444986</v>
      </c>
      <c r="I250" s="671"/>
      <c r="J250" s="640">
        <f t="shared" si="35"/>
        <v>98.168577808768447</v>
      </c>
      <c r="K250" s="640"/>
      <c r="L250" s="631">
        <f t="shared" si="30"/>
        <v>0</v>
      </c>
      <c r="M250" s="631"/>
      <c r="N250" s="631">
        <f>IF(B250="","",VLOOKUP(TRIM(CONCATENATE($F$20," ",$F$17," ",$F$18," ",$F$22," ",$F$21," ",$F$16," ",$F$23," ",$F$24)),Condicione_Financieras_Patrimon!B:W,22,0)*1.16)</f>
        <v>0</v>
      </c>
      <c r="O250" s="631"/>
      <c r="P250" s="641"/>
      <c r="Q250" s="641"/>
      <c r="R250" s="631"/>
      <c r="S250" s="631"/>
      <c r="T250" s="424">
        <f>IF(B250="","",'Tabla_Puntual&amp;Relacionamiento'!$B$83)</f>
        <v>0.1</v>
      </c>
      <c r="U250" s="424"/>
      <c r="V250" s="642">
        <f t="shared" si="31"/>
        <v>10555.649116623219</v>
      </c>
      <c r="W250" s="642"/>
      <c r="X250" s="642">
        <f t="shared" si="32"/>
        <v>214809.65747842769</v>
      </c>
      <c r="Y250" s="642"/>
      <c r="AL250" s="420">
        <f t="shared" si="36"/>
        <v>10160</v>
      </c>
      <c r="AM250" s="421">
        <f t="shared" si="39"/>
        <v>10258.168577808769</v>
      </c>
      <c r="AN250" s="637"/>
      <c r="AO250" s="637"/>
      <c r="AP250" s="634"/>
      <c r="AQ250" s="634"/>
      <c r="AR250" s="427"/>
      <c r="AS250" s="522">
        <f t="shared" si="37"/>
        <v>0</v>
      </c>
    </row>
    <row r="251" spans="2:45" x14ac:dyDescent="0.25">
      <c r="B251" s="426">
        <f t="shared" si="33"/>
        <v>188</v>
      </c>
      <c r="C251" s="423">
        <f t="shared" si="34"/>
        <v>214809.65747842769</v>
      </c>
      <c r="D251" s="643">
        <f t="shared" si="38"/>
        <v>8369.919521013102</v>
      </c>
      <c r="E251" s="643"/>
      <c r="F251" s="643">
        <f t="shared" si="28"/>
        <v>1790.0804789868973</v>
      </c>
      <c r="G251" s="643"/>
      <c r="H251" s="671">
        <f t="shared" si="29"/>
        <v>286.41287663790359</v>
      </c>
      <c r="I251" s="671"/>
      <c r="J251" s="640">
        <f t="shared" si="35"/>
        <v>94.516249290508185</v>
      </c>
      <c r="K251" s="640"/>
      <c r="L251" s="631">
        <f t="shared" si="30"/>
        <v>0</v>
      </c>
      <c r="M251" s="631"/>
      <c r="N251" s="631">
        <f>IF(B251="","",VLOOKUP(TRIM(CONCATENATE($F$20," ",$F$17," ",$F$18," ",$F$22," ",$F$21," ",$F$16," ",$F$23," ",$F$24)),Condicione_Financieras_Patrimon!B:W,22,0)*1.16)</f>
        <v>0</v>
      </c>
      <c r="O251" s="631"/>
      <c r="P251" s="641"/>
      <c r="Q251" s="641"/>
      <c r="R251" s="631">
        <f>IF(OR(X250=0,X250=""),"",IF($F$21="Apoyo Infonavit",IF(D251&gt;=C251,0,MIN(IF($F$30="",0,Caratula_Patrimonial!$F$30),$AL$29*25)*10%),0))</f>
        <v>0</v>
      </c>
      <c r="S251" s="631"/>
      <c r="T251" s="424">
        <f>IF(B251="","",'Tabla_Puntual&amp;Relacionamiento'!$B$83)</f>
        <v>0.1</v>
      </c>
      <c r="U251" s="424"/>
      <c r="V251" s="642">
        <f t="shared" si="31"/>
        <v>10540.929125928411</v>
      </c>
      <c r="W251" s="642"/>
      <c r="X251" s="642">
        <f t="shared" si="32"/>
        <v>206439.73795741459</v>
      </c>
      <c r="Y251" s="642"/>
      <c r="AL251" s="420">
        <f t="shared" si="36"/>
        <v>10160</v>
      </c>
      <c r="AM251" s="421">
        <f t="shared" si="39"/>
        <v>10254.516249290507</v>
      </c>
      <c r="AN251" s="637"/>
      <c r="AO251" s="637"/>
      <c r="AP251" s="634"/>
      <c r="AQ251" s="634"/>
      <c r="AR251" s="427"/>
      <c r="AS251" s="522">
        <f t="shared" si="37"/>
        <v>0</v>
      </c>
    </row>
    <row r="252" spans="2:45" x14ac:dyDescent="0.25">
      <c r="B252" s="426">
        <f t="shared" si="33"/>
        <v>189</v>
      </c>
      <c r="C252" s="423">
        <f t="shared" si="34"/>
        <v>206439.73795741459</v>
      </c>
      <c r="D252" s="643">
        <f t="shared" si="38"/>
        <v>8439.6688503548794</v>
      </c>
      <c r="E252" s="643"/>
      <c r="F252" s="643">
        <f t="shared" si="28"/>
        <v>1720.3311496451215</v>
      </c>
      <c r="G252" s="643"/>
      <c r="H252" s="671">
        <f t="shared" si="29"/>
        <v>275.25298394321948</v>
      </c>
      <c r="I252" s="671"/>
      <c r="J252" s="640">
        <f t="shared" si="35"/>
        <v>90.833484701262421</v>
      </c>
      <c r="K252" s="640"/>
      <c r="L252" s="631">
        <f t="shared" si="30"/>
        <v>0</v>
      </c>
      <c r="M252" s="631"/>
      <c r="N252" s="631">
        <f>IF(B252="","",VLOOKUP(TRIM(CONCATENATE($F$20," ",$F$17," ",$F$18," ",$F$22," ",$F$21," ",$F$16," ",$F$23," ",$F$24)),Condicione_Financieras_Patrimon!B:W,22,0)*1.16)</f>
        <v>0</v>
      </c>
      <c r="O252" s="631"/>
      <c r="P252" s="641"/>
      <c r="Q252" s="641"/>
      <c r="R252" s="631"/>
      <c r="S252" s="631"/>
      <c r="T252" s="424">
        <f>IF(B252="","",'Tabla_Puntual&amp;Relacionamiento'!$B$83)</f>
        <v>0.1</v>
      </c>
      <c r="U252" s="424"/>
      <c r="V252" s="642">
        <f t="shared" si="31"/>
        <v>10526.086468644482</v>
      </c>
      <c r="W252" s="642"/>
      <c r="X252" s="642">
        <f t="shared" si="32"/>
        <v>198000.06910705971</v>
      </c>
      <c r="Y252" s="642"/>
      <c r="AL252" s="420">
        <f t="shared" si="36"/>
        <v>10160</v>
      </c>
      <c r="AM252" s="421">
        <f t="shared" si="39"/>
        <v>10250.833484701263</v>
      </c>
      <c r="AN252" s="637"/>
      <c r="AO252" s="637"/>
      <c r="AP252" s="634"/>
      <c r="AQ252" s="634"/>
      <c r="AR252" s="427"/>
      <c r="AS252" s="522">
        <f t="shared" si="37"/>
        <v>0</v>
      </c>
    </row>
    <row r="253" spans="2:45" x14ac:dyDescent="0.25">
      <c r="B253" s="426">
        <f t="shared" si="33"/>
        <v>190</v>
      </c>
      <c r="C253" s="423">
        <f t="shared" si="34"/>
        <v>198000.06910705971</v>
      </c>
      <c r="D253" s="643">
        <f t="shared" si="38"/>
        <v>8509.9994241078348</v>
      </c>
      <c r="E253" s="643"/>
      <c r="F253" s="643">
        <f t="shared" si="28"/>
        <v>1650.0005758921643</v>
      </c>
      <c r="G253" s="643"/>
      <c r="H253" s="671">
        <f t="shared" si="29"/>
        <v>264.00009214274627</v>
      </c>
      <c r="I253" s="671"/>
      <c r="J253" s="640">
        <f t="shared" si="35"/>
        <v>87.12003040710627</v>
      </c>
      <c r="K253" s="640"/>
      <c r="L253" s="631">
        <f t="shared" si="30"/>
        <v>0</v>
      </c>
      <c r="M253" s="631"/>
      <c r="N253" s="631">
        <f>IF(B253="","",VLOOKUP(TRIM(CONCATENATE($F$20," ",$F$17," ",$F$18," ",$F$22," ",$F$21," ",$F$16," ",$F$23," ",$F$24)),Condicione_Financieras_Patrimon!B:W,22,0)*1.16)</f>
        <v>0</v>
      </c>
      <c r="O253" s="631"/>
      <c r="P253" s="641"/>
      <c r="Q253" s="641"/>
      <c r="R253" s="631">
        <f>IF(OR(X252=0,X252=""),"",IF($F$21="Apoyo Infonavit",IF(D253&gt;=C253,0,MIN(IF($F$30="",0,Caratula_Patrimonial!$F$30),$AL$29*25)*10%),0))</f>
        <v>0</v>
      </c>
      <c r="S253" s="631"/>
      <c r="T253" s="424">
        <f>IF(B253="","",'Tabla_Puntual&amp;Relacionamiento'!$B$83)</f>
        <v>0.1</v>
      </c>
      <c r="U253" s="424"/>
      <c r="V253" s="642">
        <f t="shared" si="31"/>
        <v>10511.120122549852</v>
      </c>
      <c r="W253" s="642"/>
      <c r="X253" s="642">
        <f t="shared" si="32"/>
        <v>189490.06968295187</v>
      </c>
      <c r="Y253" s="642"/>
      <c r="AL253" s="420">
        <f t="shared" si="36"/>
        <v>10160</v>
      </c>
      <c r="AM253" s="421">
        <f t="shared" si="39"/>
        <v>10247.120030407106</v>
      </c>
      <c r="AN253" s="637"/>
      <c r="AO253" s="637"/>
      <c r="AP253" s="634"/>
      <c r="AQ253" s="634"/>
      <c r="AR253" s="427"/>
      <c r="AS253" s="522">
        <f t="shared" si="37"/>
        <v>0</v>
      </c>
    </row>
    <row r="254" spans="2:45" x14ac:dyDescent="0.25">
      <c r="B254" s="426">
        <f t="shared" si="33"/>
        <v>191</v>
      </c>
      <c r="C254" s="423">
        <f t="shared" si="34"/>
        <v>189490.06968295187</v>
      </c>
      <c r="D254" s="643">
        <f t="shared" si="38"/>
        <v>8580.9160859754011</v>
      </c>
      <c r="E254" s="643"/>
      <c r="F254" s="643">
        <f t="shared" si="28"/>
        <v>1579.0839140245989</v>
      </c>
      <c r="G254" s="643"/>
      <c r="H254" s="671">
        <f t="shared" si="29"/>
        <v>252.65342624393583</v>
      </c>
      <c r="I254" s="671"/>
      <c r="J254" s="640">
        <f t="shared" si="35"/>
        <v>83.375630660498814</v>
      </c>
      <c r="K254" s="640"/>
      <c r="L254" s="631">
        <f t="shared" si="30"/>
        <v>0</v>
      </c>
      <c r="M254" s="631"/>
      <c r="N254" s="631">
        <f>IF(B254="","",VLOOKUP(TRIM(CONCATENATE($F$20," ",$F$17," ",$F$18," ",$F$22," ",$F$21," ",$F$16," ",$F$23," ",$F$24)),Condicione_Financieras_Patrimon!B:W,22,0)*1.16)</f>
        <v>0</v>
      </c>
      <c r="O254" s="631"/>
      <c r="P254" s="641"/>
      <c r="Q254" s="641"/>
      <c r="R254" s="631"/>
      <c r="S254" s="631"/>
      <c r="T254" s="424">
        <f>IF(B254="","",'Tabla_Puntual&amp;Relacionamiento'!$B$83)</f>
        <v>0.1</v>
      </c>
      <c r="U254" s="424"/>
      <c r="V254" s="642">
        <f t="shared" si="31"/>
        <v>10496.029056904435</v>
      </c>
      <c r="W254" s="642"/>
      <c r="X254" s="642">
        <f t="shared" si="32"/>
        <v>180909.15359697648</v>
      </c>
      <c r="Y254" s="642"/>
      <c r="AL254" s="420">
        <f t="shared" si="36"/>
        <v>10160</v>
      </c>
      <c r="AM254" s="421">
        <f t="shared" si="39"/>
        <v>10243.375630660499</v>
      </c>
      <c r="AN254" s="637"/>
      <c r="AO254" s="637"/>
      <c r="AP254" s="634"/>
      <c r="AQ254" s="634"/>
      <c r="AR254" s="427"/>
      <c r="AS254" s="522">
        <f t="shared" si="37"/>
        <v>0</v>
      </c>
    </row>
    <row r="255" spans="2:45" x14ac:dyDescent="0.25">
      <c r="B255" s="426">
        <f t="shared" si="33"/>
        <v>192</v>
      </c>
      <c r="C255" s="423">
        <f t="shared" si="34"/>
        <v>180909.15359697648</v>
      </c>
      <c r="D255" s="643">
        <f t="shared" si="38"/>
        <v>8652.4237200251955</v>
      </c>
      <c r="E255" s="643"/>
      <c r="F255" s="643">
        <f t="shared" si="28"/>
        <v>1507.576279974804</v>
      </c>
      <c r="G255" s="643"/>
      <c r="H255" s="671">
        <f t="shared" si="29"/>
        <v>241.21220479596866</v>
      </c>
      <c r="I255" s="671"/>
      <c r="J255" s="640">
        <f t="shared" si="35"/>
        <v>79.60002758266964</v>
      </c>
      <c r="K255" s="640"/>
      <c r="L255" s="631">
        <f t="shared" si="30"/>
        <v>0</v>
      </c>
      <c r="M255" s="631"/>
      <c r="N255" s="631">
        <f>IF(B255="","",VLOOKUP(TRIM(CONCATENATE($F$20," ",$F$17," ",$F$18," ",$F$22," ",$F$21," ",$F$16," ",$F$23," ",$F$24)),Condicione_Financieras_Patrimon!B:W,22,0)*1.16)</f>
        <v>0</v>
      </c>
      <c r="O255" s="631"/>
      <c r="P255" s="641"/>
      <c r="Q255" s="641"/>
      <c r="R255" s="631">
        <f>IF(OR(X254=0,X254=""),"",IF($F$21="Apoyo Infonavit",IF(D255&gt;=C255,0,MIN(IF($F$30="",0,Caratula_Patrimonial!$F$30),$AL$29*25)*10%),0))</f>
        <v>0</v>
      </c>
      <c r="S255" s="631"/>
      <c r="T255" s="424">
        <f>IF(B255="","",'Tabla_Puntual&amp;Relacionamiento'!$B$83)</f>
        <v>0.1</v>
      </c>
      <c r="U255" s="424"/>
      <c r="V255" s="642">
        <f t="shared" si="31"/>
        <v>10480.812232378639</v>
      </c>
      <c r="W255" s="642"/>
      <c r="X255" s="642">
        <f t="shared" si="32"/>
        <v>172256.72987695129</v>
      </c>
      <c r="Y255" s="642"/>
      <c r="AL255" s="420">
        <f t="shared" si="36"/>
        <v>10160</v>
      </c>
      <c r="AM255" s="421">
        <f t="shared" si="39"/>
        <v>10239.60002758267</v>
      </c>
      <c r="AN255" s="637"/>
      <c r="AO255" s="637"/>
      <c r="AP255" s="634"/>
      <c r="AQ255" s="634"/>
      <c r="AR255" s="427"/>
      <c r="AS255" s="522">
        <f t="shared" si="37"/>
        <v>0</v>
      </c>
    </row>
    <row r="256" spans="2:45" x14ac:dyDescent="0.25">
      <c r="B256" s="426">
        <f t="shared" si="33"/>
        <v>193</v>
      </c>
      <c r="C256" s="423">
        <f t="shared" si="34"/>
        <v>172256.72987695129</v>
      </c>
      <c r="D256" s="643">
        <f t="shared" si="38"/>
        <v>8724.5272510254053</v>
      </c>
      <c r="E256" s="643"/>
      <c r="F256" s="643">
        <f t="shared" ref="F256:F319" si="40">IF(B256="","",IF(X255*(T256/12)&lt;0,"",X255*(T256/12)))</f>
        <v>1435.472748974594</v>
      </c>
      <c r="G256" s="643"/>
      <c r="H256" s="671">
        <f t="shared" ref="H256:H319" si="41">IFERROR(IF($F$20="Liquidez",F256*0.16,
IF(AND($F$20="Pago_Hipoteca+Liquidez",$F$36="Liquidez"),F256*0.16,0)),0)</f>
        <v>229.67563983593504</v>
      </c>
      <c r="I256" s="671"/>
      <c r="J256" s="640">
        <f t="shared" si="35"/>
        <v>75.79296114585857</v>
      </c>
      <c r="K256" s="640"/>
      <c r="L256" s="631">
        <f t="shared" ref="L256:L319" si="42">IF(B256="","",IF(AND($F$20="Pago_Hipoteca+Liquidez",$F$36="Liquidez"),0,
IF((($F$28*0.7)*$AQ$38)&gt;C256*$AQ$38,($F$28*0.7)*($AQ$38)/1000,($AQ$38*C256)/1000)))</f>
        <v>0</v>
      </c>
      <c r="M256" s="631"/>
      <c r="N256" s="631">
        <f>IF(B256="","",VLOOKUP(TRIM(CONCATENATE($F$20," ",$F$17," ",$F$18," ",$F$22," ",$F$21," ",$F$16," ",$F$23," ",$F$24)),Condicione_Financieras_Patrimon!B:W,22,0)*1.16)</f>
        <v>0</v>
      </c>
      <c r="O256" s="631"/>
      <c r="P256" s="641"/>
      <c r="Q256" s="641"/>
      <c r="R256" s="631"/>
      <c r="S256" s="631"/>
      <c r="T256" s="424">
        <f>IF(B256="","",'Tabla_Puntual&amp;Relacionamiento'!$B$84)</f>
        <v>0.1</v>
      </c>
      <c r="U256" s="424" t="str">
        <f>IF(B256="","",IF($F$16="Pago_Bajo_Puntual",0.019,""))</f>
        <v/>
      </c>
      <c r="V256" s="642">
        <f t="shared" ref="V256:V319" si="43">IF(B256="","",D256+F256+H256+J256+L256+N256)</f>
        <v>10465.468600981794</v>
      </c>
      <c r="W256" s="642"/>
      <c r="X256" s="642">
        <f t="shared" ref="X256:X319" si="44">IFERROR(IF(C256="","",IF((C256-D256-P256+AN256+AP256-R256)&lt;1,0,C256-D256-P256+AN256+AP256-R256)),0)</f>
        <v>163532.20262592589</v>
      </c>
      <c r="Y256" s="642"/>
      <c r="AL256" s="420">
        <f t="shared" si="36"/>
        <v>10160</v>
      </c>
      <c r="AM256" s="421">
        <f t="shared" si="39"/>
        <v>10235.792961145858</v>
      </c>
      <c r="AN256" s="637"/>
      <c r="AO256" s="637"/>
      <c r="AP256" s="634"/>
      <c r="AQ256" s="634"/>
      <c r="AR256" s="427"/>
      <c r="AS256" s="522">
        <f t="shared" si="37"/>
        <v>0</v>
      </c>
    </row>
    <row r="257" spans="2:45" x14ac:dyDescent="0.25">
      <c r="B257" s="426">
        <f t="shared" ref="B257:B320" si="45">IF(OR(B256="",X256&lt;=0),"",IF(B256+1&lt;=F$23*12,B256+1,""))</f>
        <v>194</v>
      </c>
      <c r="C257" s="423">
        <f t="shared" ref="C257:C320" si="46">IF(B257="","",IF(IF(C256="","",C256-D256-R256)&lt;0.01,AQ256,IF(C256="","",X256)))</f>
        <v>163532.20262592589</v>
      </c>
      <c r="D257" s="643">
        <f t="shared" si="38"/>
        <v>8797.2316447839512</v>
      </c>
      <c r="E257" s="643"/>
      <c r="F257" s="643">
        <f t="shared" si="40"/>
        <v>1362.768355216049</v>
      </c>
      <c r="G257" s="643"/>
      <c r="H257" s="671">
        <f t="shared" si="41"/>
        <v>218.04293683456785</v>
      </c>
      <c r="I257" s="671"/>
      <c r="J257" s="640">
        <f t="shared" ref="J257:J320" si="47">IF(B257="","",C257*$AQ$35/1000)</f>
        <v>71.954169155407385</v>
      </c>
      <c r="K257" s="640"/>
      <c r="L257" s="631">
        <f t="shared" si="42"/>
        <v>0</v>
      </c>
      <c r="M257" s="631"/>
      <c r="N257" s="631">
        <f>IF(B257="","",VLOOKUP(TRIM(CONCATENATE($F$20," ",$F$17," ",$F$18," ",$F$22," ",$F$21," ",$F$16," ",$F$23," ",$F$24)),Condicione_Financieras_Patrimon!B:W,22,0)*1.16)</f>
        <v>0</v>
      </c>
      <c r="O257" s="631"/>
      <c r="P257" s="641"/>
      <c r="Q257" s="641"/>
      <c r="R257" s="631">
        <f>IF(OR(X256=0,X256=""),"",IF($F$21="Apoyo Infonavit",IF(D257&gt;=C257,0,MIN(IF($F$30="",0,Caratula_Patrimonial!$F$30),$AL$29*25)*10%),0))</f>
        <v>0</v>
      </c>
      <c r="S257" s="631"/>
      <c r="T257" s="424">
        <f>IF(B257="","",'Tabla_Puntual&amp;Relacionamiento'!$B$84)</f>
        <v>0.1</v>
      </c>
      <c r="U257" s="424"/>
      <c r="V257" s="642">
        <f t="shared" si="43"/>
        <v>10449.997105989976</v>
      </c>
      <c r="W257" s="642"/>
      <c r="X257" s="642">
        <f t="shared" si="44"/>
        <v>154734.97098114193</v>
      </c>
      <c r="Y257" s="642"/>
      <c r="AL257" s="420">
        <f t="shared" ref="AL257:AL320" si="48">IF(B257="","",
IF(X256&lt;AL256,X256+F257,
IF($F$16="Pago_Fijo_Puntual",$X$63*$AQ$40/1000,
IF($F$16="Pago_Bajo_Puntual",AL256+(AL256*U257)))))</f>
        <v>10160</v>
      </c>
      <c r="AM257" s="421">
        <f t="shared" si="39"/>
        <v>10231.954169155408</v>
      </c>
      <c r="AN257" s="637"/>
      <c r="AO257" s="637"/>
      <c r="AP257" s="634"/>
      <c r="AQ257" s="634"/>
      <c r="AR257" s="427"/>
      <c r="AS257" s="522">
        <f t="shared" ref="AS257:AS320" si="49">IF(B257="","",IF(AND($F$20="Pago_Hipoteca+Liquidez",$F$36="Liquidez"),0,
IF((($F$28*0.7)*$AQ$38/1.16)&gt;C257*$AQ$38/1.16,($F$28*0.7)*($AQ$38/1.16),($AQ$38/1.16)*C257)/1000))</f>
        <v>0</v>
      </c>
    </row>
    <row r="258" spans="2:45" x14ac:dyDescent="0.25">
      <c r="B258" s="426">
        <f t="shared" si="45"/>
        <v>195</v>
      </c>
      <c r="C258" s="423">
        <f t="shared" si="46"/>
        <v>154734.97098114193</v>
      </c>
      <c r="D258" s="643">
        <f t="shared" ref="D258:D321" si="50">IF(B258="","",AL258-F258)</f>
        <v>8870.5419084904843</v>
      </c>
      <c r="E258" s="643"/>
      <c r="F258" s="643">
        <f t="shared" si="40"/>
        <v>1289.4580915095162</v>
      </c>
      <c r="G258" s="643"/>
      <c r="H258" s="671">
        <f t="shared" si="41"/>
        <v>206.31329464152259</v>
      </c>
      <c r="I258" s="671"/>
      <c r="J258" s="640">
        <f t="shared" si="47"/>
        <v>68.083387231702446</v>
      </c>
      <c r="K258" s="640"/>
      <c r="L258" s="631">
        <f t="shared" si="42"/>
        <v>0</v>
      </c>
      <c r="M258" s="631"/>
      <c r="N258" s="631">
        <f>IF(B258="","",VLOOKUP(TRIM(CONCATENATE($F$20," ",$F$17," ",$F$18," ",$F$22," ",$F$21," ",$F$16," ",$F$23," ",$F$24)),Condicione_Financieras_Patrimon!B:W,22,0)*1.16)</f>
        <v>0</v>
      </c>
      <c r="O258" s="631"/>
      <c r="P258" s="641"/>
      <c r="Q258" s="641"/>
      <c r="R258" s="631"/>
      <c r="S258" s="631"/>
      <c r="T258" s="424">
        <f>IF(B258="","",'Tabla_Puntual&amp;Relacionamiento'!$B$84)</f>
        <v>0.1</v>
      </c>
      <c r="U258" s="424"/>
      <c r="V258" s="642">
        <f t="shared" si="43"/>
        <v>10434.396681873224</v>
      </c>
      <c r="W258" s="642"/>
      <c r="X258" s="642">
        <f t="shared" si="44"/>
        <v>145864.42907265146</v>
      </c>
      <c r="Y258" s="642"/>
      <c r="AL258" s="420">
        <f t="shared" si="48"/>
        <v>10160</v>
      </c>
      <c r="AM258" s="421">
        <f t="shared" si="39"/>
        <v>10228.083387231702</v>
      </c>
      <c r="AN258" s="637"/>
      <c r="AO258" s="637"/>
      <c r="AP258" s="634"/>
      <c r="AQ258" s="634"/>
      <c r="AR258" s="427"/>
      <c r="AS258" s="522">
        <f t="shared" si="49"/>
        <v>0</v>
      </c>
    </row>
    <row r="259" spans="2:45" x14ac:dyDescent="0.25">
      <c r="B259" s="426">
        <f t="shared" si="45"/>
        <v>196</v>
      </c>
      <c r="C259" s="423">
        <f t="shared" si="46"/>
        <v>145864.42907265146</v>
      </c>
      <c r="D259" s="643">
        <f t="shared" si="50"/>
        <v>8944.4630910612377</v>
      </c>
      <c r="E259" s="643"/>
      <c r="F259" s="643">
        <f t="shared" si="40"/>
        <v>1215.5369089387621</v>
      </c>
      <c r="G259" s="643"/>
      <c r="H259" s="671">
        <f t="shared" si="41"/>
        <v>194.48590543020194</v>
      </c>
      <c r="I259" s="671"/>
      <c r="J259" s="640">
        <f t="shared" si="47"/>
        <v>64.180348791966651</v>
      </c>
      <c r="K259" s="640"/>
      <c r="L259" s="631">
        <f t="shared" si="42"/>
        <v>0</v>
      </c>
      <c r="M259" s="631"/>
      <c r="N259" s="631">
        <f>IF(B259="","",VLOOKUP(TRIM(CONCATENATE($F$20," ",$F$17," ",$F$18," ",$F$22," ",$F$21," ",$F$16," ",$F$23," ",$F$24)),Condicione_Financieras_Patrimon!B:W,22,0)*1.16)</f>
        <v>0</v>
      </c>
      <c r="O259" s="631"/>
      <c r="P259" s="641"/>
      <c r="Q259" s="641"/>
      <c r="R259" s="631">
        <f>IF(OR(X258=0,X258=""),"",IF($F$21="Apoyo Infonavit",IF(D259&gt;=C259,0,MIN(IF($F$30="",0,Caratula_Patrimonial!$F$30),$AL$29*25)*10%),0))</f>
        <v>0</v>
      </c>
      <c r="S259" s="631"/>
      <c r="T259" s="424">
        <f>IF(B259="","",'Tabla_Puntual&amp;Relacionamiento'!$B$84)</f>
        <v>0.1</v>
      </c>
      <c r="U259" s="424"/>
      <c r="V259" s="642">
        <f t="shared" si="43"/>
        <v>10418.666254222167</v>
      </c>
      <c r="W259" s="642"/>
      <c r="X259" s="642">
        <f t="shared" si="44"/>
        <v>136919.96598159021</v>
      </c>
      <c r="Y259" s="642"/>
      <c r="AL259" s="420">
        <f t="shared" si="48"/>
        <v>10160</v>
      </c>
      <c r="AM259" s="421">
        <f t="shared" ref="AM259:AM322" si="51">IF(C259="",0,AL259+J259+AS259+(N259/1.16)+R259)</f>
        <v>10224.180348791966</v>
      </c>
      <c r="AN259" s="637"/>
      <c r="AO259" s="637"/>
      <c r="AP259" s="634"/>
      <c r="AQ259" s="634"/>
      <c r="AR259" s="427"/>
      <c r="AS259" s="522">
        <f t="shared" si="49"/>
        <v>0</v>
      </c>
    </row>
    <row r="260" spans="2:45" x14ac:dyDescent="0.25">
      <c r="B260" s="426">
        <f t="shared" si="45"/>
        <v>197</v>
      </c>
      <c r="C260" s="423">
        <f t="shared" si="46"/>
        <v>136919.96598159021</v>
      </c>
      <c r="D260" s="643">
        <f t="shared" si="50"/>
        <v>9019.0002834867482</v>
      </c>
      <c r="E260" s="643"/>
      <c r="F260" s="643">
        <f t="shared" si="40"/>
        <v>1140.9997165132518</v>
      </c>
      <c r="G260" s="643"/>
      <c r="H260" s="671">
        <f t="shared" si="41"/>
        <v>182.55995464212029</v>
      </c>
      <c r="I260" s="671"/>
      <c r="J260" s="640">
        <f t="shared" si="47"/>
        <v>60.244785031899696</v>
      </c>
      <c r="K260" s="640"/>
      <c r="L260" s="631">
        <f t="shared" si="42"/>
        <v>0</v>
      </c>
      <c r="M260" s="631"/>
      <c r="N260" s="631">
        <f>IF(B260="","",VLOOKUP(TRIM(CONCATENATE($F$20," ",$F$17," ",$F$18," ",$F$22," ",$F$21," ",$F$16," ",$F$23," ",$F$24)),Condicione_Financieras_Patrimon!B:W,22,0)*1.16)</f>
        <v>0</v>
      </c>
      <c r="O260" s="631"/>
      <c r="P260" s="641"/>
      <c r="Q260" s="641"/>
      <c r="R260" s="631"/>
      <c r="S260" s="631"/>
      <c r="T260" s="424">
        <f>IF(B260="","",'Tabla_Puntual&amp;Relacionamiento'!$B$84)</f>
        <v>0.1</v>
      </c>
      <c r="U260" s="424"/>
      <c r="V260" s="642">
        <f t="shared" si="43"/>
        <v>10402.80473967402</v>
      </c>
      <c r="W260" s="642"/>
      <c r="X260" s="642">
        <f t="shared" si="44"/>
        <v>127900.96569810346</v>
      </c>
      <c r="Y260" s="642"/>
      <c r="AL260" s="420">
        <f t="shared" si="48"/>
        <v>10160</v>
      </c>
      <c r="AM260" s="421">
        <f t="shared" si="51"/>
        <v>10220.2447850319</v>
      </c>
      <c r="AN260" s="637"/>
      <c r="AO260" s="637"/>
      <c r="AP260" s="634"/>
      <c r="AQ260" s="634"/>
      <c r="AR260" s="427"/>
      <c r="AS260" s="522">
        <f t="shared" si="49"/>
        <v>0</v>
      </c>
    </row>
    <row r="261" spans="2:45" x14ac:dyDescent="0.25">
      <c r="B261" s="426">
        <f t="shared" si="45"/>
        <v>198</v>
      </c>
      <c r="C261" s="423">
        <f t="shared" si="46"/>
        <v>127900.96569810346</v>
      </c>
      <c r="D261" s="643">
        <f t="shared" si="50"/>
        <v>9094.1586191824717</v>
      </c>
      <c r="E261" s="643"/>
      <c r="F261" s="643">
        <f t="shared" si="40"/>
        <v>1065.8413808175289</v>
      </c>
      <c r="G261" s="643"/>
      <c r="H261" s="671">
        <f t="shared" si="41"/>
        <v>170.53462093080464</v>
      </c>
      <c r="I261" s="671"/>
      <c r="J261" s="640">
        <f t="shared" si="47"/>
        <v>56.27642490716552</v>
      </c>
      <c r="K261" s="640"/>
      <c r="L261" s="631">
        <f t="shared" si="42"/>
        <v>0</v>
      </c>
      <c r="M261" s="631"/>
      <c r="N261" s="631">
        <f>IF(B261="","",VLOOKUP(TRIM(CONCATENATE($F$20," ",$F$17," ",$F$18," ",$F$22," ",$F$21," ",$F$16," ",$F$23," ",$F$24)),Condicione_Financieras_Patrimon!B:W,22,0)*1.16)</f>
        <v>0</v>
      </c>
      <c r="O261" s="631"/>
      <c r="P261" s="641"/>
      <c r="Q261" s="641"/>
      <c r="R261" s="631">
        <f>IF(OR(X260=0,X260=""),"",IF($F$21="Apoyo Infonavit",IF(D261&gt;=C261,0,MIN(IF($F$30="",0,Caratula_Patrimonial!$F$30),$AL$29*25)*10%),0))</f>
        <v>0</v>
      </c>
      <c r="S261" s="631"/>
      <c r="T261" s="424">
        <f>IF(B261="","",'Tabla_Puntual&amp;Relacionamiento'!$B$84)</f>
        <v>0.1</v>
      </c>
      <c r="U261" s="424"/>
      <c r="V261" s="642">
        <f t="shared" si="43"/>
        <v>10386.811045837971</v>
      </c>
      <c r="W261" s="642"/>
      <c r="X261" s="642">
        <f t="shared" si="44"/>
        <v>118806.80707892099</v>
      </c>
      <c r="Y261" s="642"/>
      <c r="AL261" s="420">
        <f t="shared" si="48"/>
        <v>10160</v>
      </c>
      <c r="AM261" s="421">
        <f t="shared" si="51"/>
        <v>10216.276424907166</v>
      </c>
      <c r="AN261" s="637"/>
      <c r="AO261" s="637"/>
      <c r="AP261" s="634"/>
      <c r="AQ261" s="634"/>
      <c r="AR261" s="427"/>
      <c r="AS261" s="522">
        <f t="shared" si="49"/>
        <v>0</v>
      </c>
    </row>
    <row r="262" spans="2:45" x14ac:dyDescent="0.25">
      <c r="B262" s="426">
        <f t="shared" si="45"/>
        <v>199</v>
      </c>
      <c r="C262" s="423">
        <f t="shared" si="46"/>
        <v>118806.80707892099</v>
      </c>
      <c r="D262" s="643">
        <f t="shared" si="50"/>
        <v>9169.9432743423258</v>
      </c>
      <c r="E262" s="643"/>
      <c r="F262" s="643">
        <f t="shared" si="40"/>
        <v>990.05672565767486</v>
      </c>
      <c r="G262" s="643"/>
      <c r="H262" s="671">
        <f t="shared" si="41"/>
        <v>158.40907610522797</v>
      </c>
      <c r="I262" s="671"/>
      <c r="J262" s="640">
        <f t="shared" si="47"/>
        <v>52.274995114725236</v>
      </c>
      <c r="K262" s="640"/>
      <c r="L262" s="631">
        <f t="shared" si="42"/>
        <v>0</v>
      </c>
      <c r="M262" s="631"/>
      <c r="N262" s="631">
        <f>IF(B262="","",VLOOKUP(TRIM(CONCATENATE($F$20," ",$F$17," ",$F$18," ",$F$22," ",$F$21," ",$F$16," ",$F$23," ",$F$24)),Condicione_Financieras_Patrimon!B:W,22,0)*1.16)</f>
        <v>0</v>
      </c>
      <c r="O262" s="631"/>
      <c r="P262" s="641"/>
      <c r="Q262" s="641"/>
      <c r="R262" s="631"/>
      <c r="S262" s="631"/>
      <c r="T262" s="424">
        <f>IF(B262="","",'Tabla_Puntual&amp;Relacionamiento'!$B$84)</f>
        <v>0.1</v>
      </c>
      <c r="U262" s="424"/>
      <c r="V262" s="642">
        <f t="shared" si="43"/>
        <v>10370.684071219954</v>
      </c>
      <c r="W262" s="642"/>
      <c r="X262" s="642">
        <f t="shared" si="44"/>
        <v>109636.86380457866</v>
      </c>
      <c r="Y262" s="642"/>
      <c r="AL262" s="420">
        <f t="shared" si="48"/>
        <v>10160</v>
      </c>
      <c r="AM262" s="421">
        <f t="shared" si="51"/>
        <v>10212.274995114725</v>
      </c>
      <c r="AN262" s="637"/>
      <c r="AO262" s="637"/>
      <c r="AP262" s="634"/>
      <c r="AQ262" s="634"/>
      <c r="AR262" s="427"/>
      <c r="AS262" s="522">
        <f t="shared" si="49"/>
        <v>0</v>
      </c>
    </row>
    <row r="263" spans="2:45" x14ac:dyDescent="0.25">
      <c r="B263" s="426">
        <f t="shared" si="45"/>
        <v>200</v>
      </c>
      <c r="C263" s="423">
        <f t="shared" si="46"/>
        <v>109636.86380457866</v>
      </c>
      <c r="D263" s="643">
        <f t="shared" si="50"/>
        <v>9246.3594682951771</v>
      </c>
      <c r="E263" s="643"/>
      <c r="F263" s="643">
        <f t="shared" si="40"/>
        <v>913.64053170482214</v>
      </c>
      <c r="G263" s="643"/>
      <c r="H263" s="671">
        <f t="shared" si="41"/>
        <v>146.18248507277156</v>
      </c>
      <c r="I263" s="671"/>
      <c r="J263" s="640">
        <f t="shared" si="47"/>
        <v>48.240220074014616</v>
      </c>
      <c r="K263" s="640"/>
      <c r="L263" s="631">
        <f t="shared" si="42"/>
        <v>0</v>
      </c>
      <c r="M263" s="631"/>
      <c r="N263" s="631">
        <f>IF(B263="","",VLOOKUP(TRIM(CONCATENATE($F$20," ",$F$17," ",$F$18," ",$F$22," ",$F$21," ",$F$16," ",$F$23," ",$F$24)),Condicione_Financieras_Patrimon!B:W,22,0)*1.16)</f>
        <v>0</v>
      </c>
      <c r="O263" s="631"/>
      <c r="P263" s="641"/>
      <c r="Q263" s="641"/>
      <c r="R263" s="631">
        <f>IF(OR(X262=0,X262=""),"",IF($F$21="Apoyo Infonavit",IF(D263&gt;=C263,0,MIN(IF($F$30="",0,Caratula_Patrimonial!$F$30),$AL$29*25)*10%),0))</f>
        <v>0</v>
      </c>
      <c r="S263" s="631"/>
      <c r="T263" s="424">
        <f>IF(B263="","",'Tabla_Puntual&amp;Relacionamiento'!$B$84)</f>
        <v>0.1</v>
      </c>
      <c r="U263" s="424"/>
      <c r="V263" s="642">
        <f t="shared" si="43"/>
        <v>10354.422705146786</v>
      </c>
      <c r="W263" s="642"/>
      <c r="X263" s="642">
        <f t="shared" si="44"/>
        <v>100390.50433628348</v>
      </c>
      <c r="Y263" s="642"/>
      <c r="AL263" s="420">
        <f t="shared" si="48"/>
        <v>10160</v>
      </c>
      <c r="AM263" s="421">
        <f t="shared" si="51"/>
        <v>10208.240220074014</v>
      </c>
      <c r="AN263" s="637"/>
      <c r="AO263" s="637"/>
      <c r="AP263" s="634"/>
      <c r="AQ263" s="634"/>
      <c r="AR263" s="427"/>
      <c r="AS263" s="522">
        <f t="shared" si="49"/>
        <v>0</v>
      </c>
    </row>
    <row r="264" spans="2:45" x14ac:dyDescent="0.25">
      <c r="B264" s="426">
        <f t="shared" si="45"/>
        <v>201</v>
      </c>
      <c r="C264" s="423">
        <f t="shared" si="46"/>
        <v>100390.50433628348</v>
      </c>
      <c r="D264" s="643">
        <f t="shared" si="50"/>
        <v>9323.4124638643043</v>
      </c>
      <c r="E264" s="643"/>
      <c r="F264" s="643">
        <f t="shared" si="40"/>
        <v>836.5875361356957</v>
      </c>
      <c r="G264" s="643"/>
      <c r="H264" s="671">
        <f t="shared" si="41"/>
        <v>133.85400578171132</v>
      </c>
      <c r="I264" s="671"/>
      <c r="J264" s="640">
        <f t="shared" si="47"/>
        <v>44.171821907964734</v>
      </c>
      <c r="K264" s="640"/>
      <c r="L264" s="631">
        <f t="shared" si="42"/>
        <v>0</v>
      </c>
      <c r="M264" s="631"/>
      <c r="N264" s="631">
        <f>IF(B264="","",VLOOKUP(TRIM(CONCATENATE($F$20," ",$F$17," ",$F$18," ",$F$22," ",$F$21," ",$F$16," ",$F$23," ",$F$24)),Condicione_Financieras_Patrimon!B:W,22,0)*1.16)</f>
        <v>0</v>
      </c>
      <c r="O264" s="631"/>
      <c r="P264" s="641"/>
      <c r="Q264" s="641"/>
      <c r="R264" s="631"/>
      <c r="S264" s="631"/>
      <c r="T264" s="424">
        <f>IF(B264="","",'Tabla_Puntual&amp;Relacionamiento'!$B$84)</f>
        <v>0.1</v>
      </c>
      <c r="U264" s="424"/>
      <c r="V264" s="642">
        <f t="shared" si="43"/>
        <v>10338.025827689677</v>
      </c>
      <c r="W264" s="642"/>
      <c r="X264" s="642">
        <f t="shared" si="44"/>
        <v>91067.091872419172</v>
      </c>
      <c r="Y264" s="642"/>
      <c r="AL264" s="420">
        <f t="shared" si="48"/>
        <v>10160</v>
      </c>
      <c r="AM264" s="421">
        <f t="shared" si="51"/>
        <v>10204.171821907965</v>
      </c>
      <c r="AN264" s="637"/>
      <c r="AO264" s="637"/>
      <c r="AP264" s="634"/>
      <c r="AQ264" s="634"/>
      <c r="AR264" s="427"/>
      <c r="AS264" s="522">
        <f t="shared" si="49"/>
        <v>0</v>
      </c>
    </row>
    <row r="265" spans="2:45" x14ac:dyDescent="0.25">
      <c r="B265" s="426">
        <f t="shared" si="45"/>
        <v>202</v>
      </c>
      <c r="C265" s="423">
        <f t="shared" si="46"/>
        <v>91067.091872419172</v>
      </c>
      <c r="D265" s="643">
        <f t="shared" si="50"/>
        <v>9401.1075677298395</v>
      </c>
      <c r="E265" s="643"/>
      <c r="F265" s="643">
        <f t="shared" si="40"/>
        <v>758.89243227015982</v>
      </c>
      <c r="G265" s="643"/>
      <c r="H265" s="671">
        <f t="shared" si="41"/>
        <v>121.42278916322557</v>
      </c>
      <c r="I265" s="671"/>
      <c r="J265" s="640">
        <f t="shared" si="47"/>
        <v>40.069520423864439</v>
      </c>
      <c r="K265" s="640"/>
      <c r="L265" s="631">
        <f t="shared" si="42"/>
        <v>0</v>
      </c>
      <c r="M265" s="631"/>
      <c r="N265" s="631">
        <f>IF(B265="","",VLOOKUP(TRIM(CONCATENATE($F$20," ",$F$17," ",$F$18," ",$F$22," ",$F$21," ",$F$16," ",$F$23," ",$F$24)),Condicione_Financieras_Patrimon!B:W,22,0)*1.16)</f>
        <v>0</v>
      </c>
      <c r="O265" s="631"/>
      <c r="P265" s="641"/>
      <c r="Q265" s="641"/>
      <c r="R265" s="631">
        <f>IF(OR(X264=0,X264=""),"",IF($F$21="Apoyo Infonavit",IF(D265&gt;=C265,0,MIN(IF($F$30="",0,Caratula_Patrimonial!$F$30),$AL$29*25)*10%),0))</f>
        <v>0</v>
      </c>
      <c r="S265" s="631"/>
      <c r="T265" s="424">
        <f>IF(B265="","",'Tabla_Puntual&amp;Relacionamiento'!$B$84)</f>
        <v>0.1</v>
      </c>
      <c r="U265" s="424"/>
      <c r="V265" s="642">
        <f t="shared" si="43"/>
        <v>10321.492309587089</v>
      </c>
      <c r="W265" s="642"/>
      <c r="X265" s="642">
        <f t="shared" si="44"/>
        <v>81665.984304689337</v>
      </c>
      <c r="Y265" s="642"/>
      <c r="AL265" s="420">
        <f t="shared" si="48"/>
        <v>10160</v>
      </c>
      <c r="AM265" s="421">
        <f t="shared" si="51"/>
        <v>10200.069520423864</v>
      </c>
      <c r="AN265" s="637"/>
      <c r="AO265" s="637"/>
      <c r="AP265" s="634"/>
      <c r="AQ265" s="634"/>
      <c r="AR265" s="427"/>
      <c r="AS265" s="522">
        <f t="shared" si="49"/>
        <v>0</v>
      </c>
    </row>
    <row r="266" spans="2:45" x14ac:dyDescent="0.25">
      <c r="B266" s="426">
        <f t="shared" si="45"/>
        <v>203</v>
      </c>
      <c r="C266" s="423">
        <f t="shared" si="46"/>
        <v>81665.984304689337</v>
      </c>
      <c r="D266" s="643">
        <f t="shared" si="50"/>
        <v>9479.4501307942555</v>
      </c>
      <c r="E266" s="643"/>
      <c r="F266" s="643">
        <f t="shared" si="40"/>
        <v>680.54986920574447</v>
      </c>
      <c r="G266" s="643"/>
      <c r="H266" s="671">
        <f t="shared" si="41"/>
        <v>108.88797907291912</v>
      </c>
      <c r="I266" s="671"/>
      <c r="J266" s="640">
        <f t="shared" si="47"/>
        <v>35.933033094063305</v>
      </c>
      <c r="K266" s="640"/>
      <c r="L266" s="631">
        <f t="shared" si="42"/>
        <v>0</v>
      </c>
      <c r="M266" s="631"/>
      <c r="N266" s="631">
        <f>IF(B266="","",VLOOKUP(TRIM(CONCATENATE($F$20," ",$F$17," ",$F$18," ",$F$22," ",$F$21," ",$F$16," ",$F$23," ",$F$24)),Condicione_Financieras_Patrimon!B:W,22,0)*1.16)</f>
        <v>0</v>
      </c>
      <c r="O266" s="631"/>
      <c r="P266" s="641"/>
      <c r="Q266" s="641"/>
      <c r="R266" s="631"/>
      <c r="S266" s="631"/>
      <c r="T266" s="424">
        <f>IF(B266="","",'Tabla_Puntual&amp;Relacionamiento'!$B$84)</f>
        <v>0.1</v>
      </c>
      <c r="U266" s="424"/>
      <c r="V266" s="642">
        <f t="shared" si="43"/>
        <v>10304.821012166982</v>
      </c>
      <c r="W266" s="642"/>
      <c r="X266" s="642">
        <f t="shared" si="44"/>
        <v>72186.534173895081</v>
      </c>
      <c r="Y266" s="642"/>
      <c r="AL266" s="420">
        <f t="shared" si="48"/>
        <v>10160</v>
      </c>
      <c r="AM266" s="421">
        <f t="shared" si="51"/>
        <v>10195.933033094063</v>
      </c>
      <c r="AN266" s="637"/>
      <c r="AO266" s="637"/>
      <c r="AP266" s="634"/>
      <c r="AQ266" s="634"/>
      <c r="AR266" s="427"/>
      <c r="AS266" s="522">
        <f t="shared" si="49"/>
        <v>0</v>
      </c>
    </row>
    <row r="267" spans="2:45" x14ac:dyDescent="0.25">
      <c r="B267" s="426">
        <f t="shared" si="45"/>
        <v>204</v>
      </c>
      <c r="C267" s="423">
        <f t="shared" si="46"/>
        <v>72186.534173895081</v>
      </c>
      <c r="D267" s="643">
        <f t="shared" si="50"/>
        <v>9558.4455485508752</v>
      </c>
      <c r="E267" s="643"/>
      <c r="F267" s="643">
        <f t="shared" si="40"/>
        <v>601.55445144912562</v>
      </c>
      <c r="G267" s="643"/>
      <c r="H267" s="671">
        <f t="shared" si="41"/>
        <v>96.248712231860097</v>
      </c>
      <c r="I267" s="671"/>
      <c r="J267" s="640">
        <f t="shared" si="47"/>
        <v>31.762075036513838</v>
      </c>
      <c r="K267" s="640"/>
      <c r="L267" s="631">
        <f t="shared" si="42"/>
        <v>0</v>
      </c>
      <c r="M267" s="631"/>
      <c r="N267" s="631">
        <f>IF(B267="","",VLOOKUP(TRIM(CONCATENATE($F$20," ",$F$17," ",$F$18," ",$F$22," ",$F$21," ",$F$16," ",$F$23," ",$F$24)),Condicione_Financieras_Patrimon!B:W,22,0)*1.16)</f>
        <v>0</v>
      </c>
      <c r="O267" s="631"/>
      <c r="P267" s="641"/>
      <c r="Q267" s="641"/>
      <c r="R267" s="631">
        <f>IF(OR(X266=0,X266=""),"",IF($F$21="Apoyo Infonavit",IF(D267&gt;=C267,0,MIN(IF($F$30="",0,Caratula_Patrimonial!$F$30),$AL$29*25)*10%),0))</f>
        <v>0</v>
      </c>
      <c r="S267" s="631"/>
      <c r="T267" s="424">
        <f>IF(B267="","",'Tabla_Puntual&amp;Relacionamiento'!$B$84)</f>
        <v>0.1</v>
      </c>
      <c r="U267" s="424"/>
      <c r="V267" s="642">
        <f t="shared" si="43"/>
        <v>10288.010787268373</v>
      </c>
      <c r="W267" s="642"/>
      <c r="X267" s="642">
        <f t="shared" si="44"/>
        <v>62628.088625344208</v>
      </c>
      <c r="Y267" s="642"/>
      <c r="AL267" s="420">
        <f t="shared" si="48"/>
        <v>10160</v>
      </c>
      <c r="AM267" s="421">
        <f t="shared" si="51"/>
        <v>10191.762075036513</v>
      </c>
      <c r="AN267" s="637"/>
      <c r="AO267" s="637"/>
      <c r="AP267" s="634"/>
      <c r="AQ267" s="634"/>
      <c r="AR267" s="427"/>
      <c r="AS267" s="522">
        <f t="shared" si="49"/>
        <v>0</v>
      </c>
    </row>
    <row r="268" spans="2:45" x14ac:dyDescent="0.25">
      <c r="B268" s="426">
        <f t="shared" si="45"/>
        <v>205</v>
      </c>
      <c r="C268" s="423">
        <f t="shared" si="46"/>
        <v>62628.088625344208</v>
      </c>
      <c r="D268" s="643">
        <f t="shared" si="50"/>
        <v>9638.0992614554652</v>
      </c>
      <c r="E268" s="643"/>
      <c r="F268" s="643">
        <f t="shared" si="40"/>
        <v>521.9007385445351</v>
      </c>
      <c r="G268" s="643"/>
      <c r="H268" s="671">
        <f t="shared" si="41"/>
        <v>83.504118167125611</v>
      </c>
      <c r="I268" s="671"/>
      <c r="J268" s="640">
        <f t="shared" si="47"/>
        <v>27.556358995151452</v>
      </c>
      <c r="K268" s="640"/>
      <c r="L268" s="631">
        <f t="shared" si="42"/>
        <v>0</v>
      </c>
      <c r="M268" s="631"/>
      <c r="N268" s="631">
        <f>IF(B268="","",VLOOKUP(TRIM(CONCATENATE($F$20," ",$F$17," ",$F$18," ",$F$22," ",$F$21," ",$F$16," ",$F$23," ",$F$24)),Condicione_Financieras_Patrimon!B:W,22,0)*1.16)</f>
        <v>0</v>
      </c>
      <c r="O268" s="631"/>
      <c r="P268" s="641"/>
      <c r="Q268" s="641"/>
      <c r="R268" s="631"/>
      <c r="S268" s="631"/>
      <c r="T268" s="424">
        <f>IF(B268="","",'Tabla_Puntual&amp;Relacionamiento'!$B$85)</f>
        <v>0.1</v>
      </c>
      <c r="U268" s="424" t="str">
        <f>IF(B268="","",IF($F$16="Pago_Bajo_Puntual",0.019,""))</f>
        <v/>
      </c>
      <c r="V268" s="642">
        <f t="shared" si="43"/>
        <v>10271.060477162277</v>
      </c>
      <c r="W268" s="642"/>
      <c r="X268" s="642">
        <f t="shared" si="44"/>
        <v>52989.989363888744</v>
      </c>
      <c r="Y268" s="642"/>
      <c r="AL268" s="420">
        <f t="shared" si="48"/>
        <v>10160</v>
      </c>
      <c r="AM268" s="421">
        <f t="shared" si="51"/>
        <v>10187.556358995151</v>
      </c>
      <c r="AN268" s="637"/>
      <c r="AO268" s="637"/>
      <c r="AP268" s="634"/>
      <c r="AQ268" s="634"/>
      <c r="AR268" s="427"/>
      <c r="AS268" s="522">
        <f t="shared" si="49"/>
        <v>0</v>
      </c>
    </row>
    <row r="269" spans="2:45" x14ac:dyDescent="0.25">
      <c r="B269" s="426">
        <f t="shared" si="45"/>
        <v>206</v>
      </c>
      <c r="C269" s="423">
        <f t="shared" si="46"/>
        <v>52989.989363888744</v>
      </c>
      <c r="D269" s="643">
        <f t="shared" si="50"/>
        <v>9718.4167553009265</v>
      </c>
      <c r="E269" s="643"/>
      <c r="F269" s="643">
        <f t="shared" si="40"/>
        <v>441.58324469907285</v>
      </c>
      <c r="G269" s="643"/>
      <c r="H269" s="671">
        <f t="shared" si="41"/>
        <v>70.653319151851662</v>
      </c>
      <c r="I269" s="671"/>
      <c r="J269" s="640">
        <f t="shared" si="47"/>
        <v>23.315595320111047</v>
      </c>
      <c r="K269" s="640"/>
      <c r="L269" s="631">
        <f t="shared" si="42"/>
        <v>0</v>
      </c>
      <c r="M269" s="631"/>
      <c r="N269" s="631">
        <f>IF(B269="","",VLOOKUP(TRIM(CONCATENATE($F$20," ",$F$17," ",$F$18," ",$F$22," ",$F$21," ",$F$16," ",$F$23," ",$F$24)),Condicione_Financieras_Patrimon!B:W,22,0)*1.16)</f>
        <v>0</v>
      </c>
      <c r="O269" s="631"/>
      <c r="P269" s="641"/>
      <c r="Q269" s="641"/>
      <c r="R269" s="631">
        <f>IF(OR(X268=0,X268=""),"",IF($F$21="Apoyo Infonavit",IF(D269&gt;=C269,0,MIN(IF($F$30="",0,Caratula_Patrimonial!$F$30),$AL$29*25)*10%),0))</f>
        <v>0</v>
      </c>
      <c r="S269" s="631"/>
      <c r="T269" s="424">
        <f>IF(B269="","",'Tabla_Puntual&amp;Relacionamiento'!$B$85)</f>
        <v>0.1</v>
      </c>
      <c r="U269" s="424"/>
      <c r="V269" s="642">
        <f t="shared" si="43"/>
        <v>10253.968914471963</v>
      </c>
      <c r="W269" s="642"/>
      <c r="X269" s="642">
        <f t="shared" si="44"/>
        <v>43271.57260858782</v>
      </c>
      <c r="Y269" s="642"/>
      <c r="AL269" s="420">
        <f t="shared" si="48"/>
        <v>10160</v>
      </c>
      <c r="AM269" s="421">
        <f t="shared" si="51"/>
        <v>10183.315595320111</v>
      </c>
      <c r="AN269" s="637"/>
      <c r="AO269" s="637"/>
      <c r="AP269" s="634"/>
      <c r="AQ269" s="634"/>
      <c r="AR269" s="427"/>
      <c r="AS269" s="522">
        <f t="shared" si="49"/>
        <v>0</v>
      </c>
    </row>
    <row r="270" spans="2:45" x14ac:dyDescent="0.25">
      <c r="B270" s="426">
        <f t="shared" si="45"/>
        <v>207</v>
      </c>
      <c r="C270" s="423">
        <f t="shared" si="46"/>
        <v>43271.57260858782</v>
      </c>
      <c r="D270" s="643">
        <f t="shared" si="50"/>
        <v>9799.4035615951016</v>
      </c>
      <c r="E270" s="643"/>
      <c r="F270" s="643">
        <f t="shared" si="40"/>
        <v>360.59643840489849</v>
      </c>
      <c r="G270" s="643"/>
      <c r="H270" s="671">
        <f t="shared" si="41"/>
        <v>57.695430144783757</v>
      </c>
      <c r="I270" s="671"/>
      <c r="J270" s="640">
        <f t="shared" si="47"/>
        <v>19.039491947778643</v>
      </c>
      <c r="K270" s="640"/>
      <c r="L270" s="631">
        <f t="shared" si="42"/>
        <v>0</v>
      </c>
      <c r="M270" s="631"/>
      <c r="N270" s="631">
        <f>IF(B270="","",VLOOKUP(TRIM(CONCATENATE($F$20," ",$F$17," ",$F$18," ",$F$22," ",$F$21," ",$F$16," ",$F$23," ",$F$24)),Condicione_Financieras_Patrimon!B:W,22,0)*1.16)</f>
        <v>0</v>
      </c>
      <c r="O270" s="631"/>
      <c r="P270" s="641"/>
      <c r="Q270" s="641"/>
      <c r="R270" s="631"/>
      <c r="S270" s="631"/>
      <c r="T270" s="424">
        <f>IF(B270="","",'Tabla_Puntual&amp;Relacionamiento'!$B$85)</f>
        <v>0.1</v>
      </c>
      <c r="U270" s="424"/>
      <c r="V270" s="642">
        <f t="shared" si="43"/>
        <v>10236.734922092563</v>
      </c>
      <c r="W270" s="642"/>
      <c r="X270" s="642">
        <f t="shared" si="44"/>
        <v>33472.16904699272</v>
      </c>
      <c r="Y270" s="642"/>
      <c r="AL270" s="420">
        <f t="shared" si="48"/>
        <v>10160</v>
      </c>
      <c r="AM270" s="421">
        <f t="shared" si="51"/>
        <v>10179.039491947779</v>
      </c>
      <c r="AN270" s="637"/>
      <c r="AO270" s="637"/>
      <c r="AP270" s="634"/>
      <c r="AQ270" s="634"/>
      <c r="AR270" s="427"/>
      <c r="AS270" s="522">
        <f t="shared" si="49"/>
        <v>0</v>
      </c>
    </row>
    <row r="271" spans="2:45" x14ac:dyDescent="0.25">
      <c r="B271" s="426">
        <f t="shared" si="45"/>
        <v>208</v>
      </c>
      <c r="C271" s="423">
        <f t="shared" si="46"/>
        <v>33472.16904699272</v>
      </c>
      <c r="D271" s="643">
        <f t="shared" si="50"/>
        <v>9881.0652579417274</v>
      </c>
      <c r="E271" s="643"/>
      <c r="F271" s="643">
        <f t="shared" si="40"/>
        <v>278.93474205827266</v>
      </c>
      <c r="G271" s="643"/>
      <c r="H271" s="671">
        <f t="shared" si="41"/>
        <v>44.629558729323627</v>
      </c>
      <c r="I271" s="671"/>
      <c r="J271" s="640">
        <f t="shared" si="47"/>
        <v>14.727754380676798</v>
      </c>
      <c r="K271" s="640"/>
      <c r="L271" s="631">
        <f t="shared" si="42"/>
        <v>0</v>
      </c>
      <c r="M271" s="631"/>
      <c r="N271" s="631">
        <f>IF(B271="","",VLOOKUP(TRIM(CONCATENATE($F$20," ",$F$17," ",$F$18," ",$F$22," ",$F$21," ",$F$16," ",$F$23," ",$F$24)),Condicione_Financieras_Patrimon!B:W,22,0)*1.16)</f>
        <v>0</v>
      </c>
      <c r="O271" s="631"/>
      <c r="P271" s="641"/>
      <c r="Q271" s="641"/>
      <c r="R271" s="631">
        <f>IF(OR(X270=0,X270=""),"",IF($F$21="Apoyo Infonavit",IF(D271&gt;=C271,0,MIN(IF($F$30="",0,Caratula_Patrimonial!$F$30),$AL$29*25)*10%),0))</f>
        <v>0</v>
      </c>
      <c r="S271" s="631"/>
      <c r="T271" s="424">
        <f>IF(B271="","",'Tabla_Puntual&amp;Relacionamiento'!$B$85)</f>
        <v>0.1</v>
      </c>
      <c r="U271" s="424"/>
      <c r="V271" s="642">
        <f t="shared" si="43"/>
        <v>10219.357313110002</v>
      </c>
      <c r="W271" s="642"/>
      <c r="X271" s="642">
        <f t="shared" si="44"/>
        <v>23591.103789050991</v>
      </c>
      <c r="Y271" s="642"/>
      <c r="AL271" s="420">
        <f t="shared" si="48"/>
        <v>10160</v>
      </c>
      <c r="AM271" s="421">
        <f t="shared" si="51"/>
        <v>10174.727754380678</v>
      </c>
      <c r="AN271" s="637"/>
      <c r="AO271" s="637"/>
      <c r="AP271" s="634"/>
      <c r="AQ271" s="634"/>
      <c r="AR271" s="427"/>
      <c r="AS271" s="522">
        <f t="shared" si="49"/>
        <v>0</v>
      </c>
    </row>
    <row r="272" spans="2:45" x14ac:dyDescent="0.25">
      <c r="B272" s="426">
        <f t="shared" si="45"/>
        <v>209</v>
      </c>
      <c r="C272" s="423">
        <f t="shared" si="46"/>
        <v>23591.103789050991</v>
      </c>
      <c r="D272" s="643">
        <f t="shared" si="50"/>
        <v>9963.4074684245752</v>
      </c>
      <c r="E272" s="643"/>
      <c r="F272" s="643">
        <f t="shared" si="40"/>
        <v>196.59253157542491</v>
      </c>
      <c r="G272" s="643"/>
      <c r="H272" s="671">
        <f t="shared" si="41"/>
        <v>31.454805052067986</v>
      </c>
      <c r="I272" s="671"/>
      <c r="J272" s="640">
        <f t="shared" si="47"/>
        <v>10.380085667182437</v>
      </c>
      <c r="K272" s="640"/>
      <c r="L272" s="631">
        <f t="shared" si="42"/>
        <v>0</v>
      </c>
      <c r="M272" s="631"/>
      <c r="N272" s="631">
        <f>IF(B272="","",VLOOKUP(TRIM(CONCATENATE($F$20," ",$F$17," ",$F$18," ",$F$22," ",$F$21," ",$F$16," ",$F$23," ",$F$24)),Condicione_Financieras_Patrimon!B:W,22,0)*1.16)</f>
        <v>0</v>
      </c>
      <c r="O272" s="631"/>
      <c r="P272" s="641"/>
      <c r="Q272" s="641"/>
      <c r="R272" s="631"/>
      <c r="S272" s="631"/>
      <c r="T272" s="424">
        <f>IF(B272="","",'Tabla_Puntual&amp;Relacionamiento'!$B$85)</f>
        <v>0.1</v>
      </c>
      <c r="U272" s="424"/>
      <c r="V272" s="642">
        <f t="shared" si="43"/>
        <v>10201.83489071925</v>
      </c>
      <c r="W272" s="642"/>
      <c r="X272" s="642">
        <f t="shared" si="44"/>
        <v>13627.696320626415</v>
      </c>
      <c r="Y272" s="642"/>
      <c r="AL272" s="420">
        <f t="shared" si="48"/>
        <v>10160</v>
      </c>
      <c r="AM272" s="421">
        <f t="shared" si="51"/>
        <v>10170.380085667182</v>
      </c>
      <c r="AN272" s="637"/>
      <c r="AO272" s="637"/>
      <c r="AP272" s="634"/>
      <c r="AQ272" s="634"/>
      <c r="AR272" s="427"/>
      <c r="AS272" s="522">
        <f t="shared" si="49"/>
        <v>0</v>
      </c>
    </row>
    <row r="273" spans="2:45" x14ac:dyDescent="0.25">
      <c r="B273" s="426">
        <f t="shared" si="45"/>
        <v>210</v>
      </c>
      <c r="C273" s="423">
        <f t="shared" si="46"/>
        <v>13627.696320626415</v>
      </c>
      <c r="D273" s="643">
        <f t="shared" si="50"/>
        <v>10046.43586399478</v>
      </c>
      <c r="E273" s="643"/>
      <c r="F273" s="643">
        <f t="shared" si="40"/>
        <v>113.56413600522012</v>
      </c>
      <c r="G273" s="643"/>
      <c r="H273" s="671">
        <f t="shared" si="41"/>
        <v>18.170261760835221</v>
      </c>
      <c r="I273" s="671"/>
      <c r="J273" s="640">
        <f t="shared" si="47"/>
        <v>5.9961863810756233</v>
      </c>
      <c r="K273" s="640"/>
      <c r="L273" s="631">
        <f t="shared" si="42"/>
        <v>0</v>
      </c>
      <c r="M273" s="631"/>
      <c r="N273" s="631">
        <f>IF(B273="","",VLOOKUP(TRIM(CONCATENATE($F$20," ",$F$17," ",$F$18," ",$F$22," ",$F$21," ",$F$16," ",$F$23," ",$F$24)),Condicione_Financieras_Patrimon!B:W,22,0)*1.16)</f>
        <v>0</v>
      </c>
      <c r="O273" s="631"/>
      <c r="P273" s="641"/>
      <c r="Q273" s="641"/>
      <c r="R273" s="631">
        <f>IF(OR(X272=0,X272=""),"",IF($F$21="Apoyo Infonavit",IF(D273&gt;=C273,0,MIN(IF($F$30="",0,Caratula_Patrimonial!$F$30),$AL$29*25)*10%),0))</f>
        <v>0</v>
      </c>
      <c r="S273" s="631"/>
      <c r="T273" s="424">
        <f>IF(B273="","",'Tabla_Puntual&amp;Relacionamiento'!$B$85)</f>
        <v>0.1</v>
      </c>
      <c r="U273" s="424"/>
      <c r="V273" s="642">
        <f t="shared" si="43"/>
        <v>10184.16644814191</v>
      </c>
      <c r="W273" s="642"/>
      <c r="X273" s="642">
        <f t="shared" si="44"/>
        <v>3581.260456631635</v>
      </c>
      <c r="Y273" s="642"/>
      <c r="AL273" s="420">
        <f t="shared" si="48"/>
        <v>10160</v>
      </c>
      <c r="AM273" s="421">
        <f t="shared" si="51"/>
        <v>10165.996186381075</v>
      </c>
      <c r="AN273" s="637"/>
      <c r="AO273" s="637"/>
      <c r="AP273" s="634"/>
      <c r="AQ273" s="634"/>
      <c r="AR273" s="427"/>
      <c r="AS273" s="522">
        <f t="shared" si="49"/>
        <v>0</v>
      </c>
    </row>
    <row r="274" spans="2:45" x14ac:dyDescent="0.25">
      <c r="B274" s="426">
        <f t="shared" si="45"/>
        <v>211</v>
      </c>
      <c r="C274" s="423">
        <f t="shared" si="46"/>
        <v>3581.260456631635</v>
      </c>
      <c r="D274" s="643">
        <f t="shared" si="50"/>
        <v>3581.260456631635</v>
      </c>
      <c r="E274" s="643"/>
      <c r="F274" s="643">
        <f t="shared" si="40"/>
        <v>29.843837138596957</v>
      </c>
      <c r="G274" s="643"/>
      <c r="H274" s="671">
        <f t="shared" si="41"/>
        <v>4.7750139421755131</v>
      </c>
      <c r="I274" s="671"/>
      <c r="J274" s="640">
        <f t="shared" si="47"/>
        <v>1.5757546009179193</v>
      </c>
      <c r="K274" s="640"/>
      <c r="L274" s="631">
        <f t="shared" si="42"/>
        <v>0</v>
      </c>
      <c r="M274" s="631"/>
      <c r="N274" s="631">
        <f>IF(B274="","",VLOOKUP(TRIM(CONCATENATE($F$20," ",$F$17," ",$F$18," ",$F$22," ",$F$21," ",$F$16," ",$F$23," ",$F$24)),Condicione_Financieras_Patrimon!B:W,22,0)*1.16)</f>
        <v>0</v>
      </c>
      <c r="O274" s="631"/>
      <c r="P274" s="641"/>
      <c r="Q274" s="641"/>
      <c r="R274" s="631"/>
      <c r="S274" s="631"/>
      <c r="T274" s="424">
        <f>IF(B274="","",'Tabla_Puntual&amp;Relacionamiento'!$B$85)</f>
        <v>0.1</v>
      </c>
      <c r="U274" s="424"/>
      <c r="V274" s="642">
        <f t="shared" si="43"/>
        <v>3617.4550623133255</v>
      </c>
      <c r="W274" s="642"/>
      <c r="X274" s="642">
        <f t="shared" si="44"/>
        <v>0</v>
      </c>
      <c r="Y274" s="642"/>
      <c r="AL274" s="420">
        <f t="shared" si="48"/>
        <v>3611.1042937702318</v>
      </c>
      <c r="AM274" s="421">
        <f t="shared" si="51"/>
        <v>3612.68004837115</v>
      </c>
      <c r="AN274" s="637"/>
      <c r="AO274" s="637"/>
      <c r="AP274" s="634"/>
      <c r="AQ274" s="634"/>
      <c r="AR274" s="427"/>
      <c r="AS274" s="522">
        <f t="shared" si="49"/>
        <v>0</v>
      </c>
    </row>
    <row r="275" spans="2:45" x14ac:dyDescent="0.25">
      <c r="B275" s="426" t="str">
        <f t="shared" si="45"/>
        <v/>
      </c>
      <c r="C275" s="423" t="str">
        <f t="shared" si="46"/>
        <v/>
      </c>
      <c r="D275" s="643" t="str">
        <f t="shared" si="50"/>
        <v/>
      </c>
      <c r="E275" s="643"/>
      <c r="F275" s="643" t="str">
        <f t="shared" si="40"/>
        <v/>
      </c>
      <c r="G275" s="643"/>
      <c r="H275" s="671">
        <f t="shared" si="41"/>
        <v>0</v>
      </c>
      <c r="I275" s="671"/>
      <c r="J275" s="640" t="str">
        <f t="shared" si="47"/>
        <v/>
      </c>
      <c r="K275" s="640"/>
      <c r="L275" s="631" t="str">
        <f t="shared" si="42"/>
        <v/>
      </c>
      <c r="M275" s="631"/>
      <c r="N275" s="631" t="str">
        <f>IF(B275="","",VLOOKUP(TRIM(CONCATENATE($F$20," ",$F$17," ",$F$18," ",$F$22," ",$F$21," ",$F$16," ",$F$23," ",$F$24)),Condicione_Financieras_Patrimon!B:W,22,0)*1.16)</f>
        <v/>
      </c>
      <c r="O275" s="631"/>
      <c r="P275" s="641"/>
      <c r="Q275" s="641"/>
      <c r="R275" s="631" t="str">
        <f>IF(OR(X274=0,X274=""),"",IF($F$21="Apoyo Infonavit",IF(D275&gt;=C275,0,MIN(IF($F$30="",0,Caratula_Patrimonial!$F$30),$AL$29*25)*10%),0))</f>
        <v/>
      </c>
      <c r="S275" s="631"/>
      <c r="T275" s="424" t="str">
        <f>IF(B275="","",'Tabla_Puntual&amp;Relacionamiento'!$B$85)</f>
        <v/>
      </c>
      <c r="U275" s="424"/>
      <c r="V275" s="642" t="str">
        <f t="shared" si="43"/>
        <v/>
      </c>
      <c r="W275" s="642"/>
      <c r="X275" s="642" t="str">
        <f t="shared" si="44"/>
        <v/>
      </c>
      <c r="Y275" s="642"/>
      <c r="AL275" s="420" t="str">
        <f t="shared" si="48"/>
        <v/>
      </c>
      <c r="AM275" s="421">
        <f t="shared" si="51"/>
        <v>0</v>
      </c>
      <c r="AN275" s="637"/>
      <c r="AO275" s="637"/>
      <c r="AP275" s="634"/>
      <c r="AQ275" s="634"/>
      <c r="AR275" s="427"/>
      <c r="AS275" s="522" t="str">
        <f t="shared" si="49"/>
        <v/>
      </c>
    </row>
    <row r="276" spans="2:45" x14ac:dyDescent="0.25">
      <c r="B276" s="426" t="str">
        <f t="shared" si="45"/>
        <v/>
      </c>
      <c r="C276" s="423" t="str">
        <f t="shared" si="46"/>
        <v/>
      </c>
      <c r="D276" s="643" t="str">
        <f t="shared" si="50"/>
        <v/>
      </c>
      <c r="E276" s="643"/>
      <c r="F276" s="643" t="str">
        <f t="shared" si="40"/>
        <v/>
      </c>
      <c r="G276" s="643"/>
      <c r="H276" s="671">
        <f t="shared" si="41"/>
        <v>0</v>
      </c>
      <c r="I276" s="671"/>
      <c r="J276" s="640" t="str">
        <f t="shared" si="47"/>
        <v/>
      </c>
      <c r="K276" s="640"/>
      <c r="L276" s="631" t="str">
        <f t="shared" si="42"/>
        <v/>
      </c>
      <c r="M276" s="631"/>
      <c r="N276" s="631" t="str">
        <f>IF(B276="","",VLOOKUP(TRIM(CONCATENATE($F$20," ",$F$17," ",$F$18," ",$F$22," ",$F$21," ",$F$16," ",$F$23," ",$F$24)),Condicione_Financieras_Patrimon!B:W,22,0)*1.16)</f>
        <v/>
      </c>
      <c r="O276" s="631"/>
      <c r="P276" s="641"/>
      <c r="Q276" s="641"/>
      <c r="R276" s="631"/>
      <c r="S276" s="631"/>
      <c r="T276" s="424" t="str">
        <f>IF(B276="","",'Tabla_Puntual&amp;Relacionamiento'!$B$85)</f>
        <v/>
      </c>
      <c r="U276" s="424"/>
      <c r="V276" s="642" t="str">
        <f t="shared" si="43"/>
        <v/>
      </c>
      <c r="W276" s="642"/>
      <c r="X276" s="642" t="str">
        <f t="shared" si="44"/>
        <v/>
      </c>
      <c r="Y276" s="642"/>
      <c r="AE276" s="341"/>
      <c r="AL276" s="420" t="str">
        <f t="shared" si="48"/>
        <v/>
      </c>
      <c r="AM276" s="421">
        <f t="shared" si="51"/>
        <v>0</v>
      </c>
      <c r="AN276" s="637"/>
      <c r="AO276" s="637"/>
      <c r="AP276" s="634"/>
      <c r="AQ276" s="634"/>
      <c r="AR276" s="427"/>
      <c r="AS276" s="522" t="str">
        <f t="shared" si="49"/>
        <v/>
      </c>
    </row>
    <row r="277" spans="2:45" x14ac:dyDescent="0.25">
      <c r="B277" s="426" t="str">
        <f t="shared" si="45"/>
        <v/>
      </c>
      <c r="C277" s="423" t="str">
        <f t="shared" si="46"/>
        <v/>
      </c>
      <c r="D277" s="643" t="str">
        <f t="shared" si="50"/>
        <v/>
      </c>
      <c r="E277" s="643"/>
      <c r="F277" s="643" t="str">
        <f t="shared" si="40"/>
        <v/>
      </c>
      <c r="G277" s="643"/>
      <c r="H277" s="671">
        <f t="shared" si="41"/>
        <v>0</v>
      </c>
      <c r="I277" s="671"/>
      <c r="J277" s="640" t="str">
        <f t="shared" si="47"/>
        <v/>
      </c>
      <c r="K277" s="640"/>
      <c r="L277" s="631" t="str">
        <f t="shared" si="42"/>
        <v/>
      </c>
      <c r="M277" s="631"/>
      <c r="N277" s="631" t="str">
        <f>IF(B277="","",VLOOKUP(TRIM(CONCATENATE($F$20," ",$F$17," ",$F$18," ",$F$22," ",$F$21," ",$F$16," ",$F$23," ",$F$24)),Condicione_Financieras_Patrimon!B:W,22,0)*1.16)</f>
        <v/>
      </c>
      <c r="O277" s="631"/>
      <c r="P277" s="641"/>
      <c r="Q277" s="641"/>
      <c r="R277" s="631" t="str">
        <f>IF(OR(X276=0,X276=""),"",IF($F$21="Apoyo Infonavit",IF(D277&gt;=C277,0,MIN(IF($F$30="",0,Caratula_Patrimonial!$F$30),$AL$29*25)*10%),0))</f>
        <v/>
      </c>
      <c r="S277" s="631"/>
      <c r="T277" s="424" t="str">
        <f>IF(B277="","",'Tabla_Puntual&amp;Relacionamiento'!$B$85)</f>
        <v/>
      </c>
      <c r="U277" s="424"/>
      <c r="V277" s="642" t="str">
        <f t="shared" si="43"/>
        <v/>
      </c>
      <c r="W277" s="642"/>
      <c r="X277" s="642" t="str">
        <f t="shared" si="44"/>
        <v/>
      </c>
      <c r="Y277" s="642"/>
      <c r="AL277" s="420" t="str">
        <f t="shared" si="48"/>
        <v/>
      </c>
      <c r="AM277" s="421">
        <f t="shared" si="51"/>
        <v>0</v>
      </c>
      <c r="AN277" s="637"/>
      <c r="AO277" s="637"/>
      <c r="AP277" s="634"/>
      <c r="AQ277" s="634"/>
      <c r="AR277" s="427"/>
      <c r="AS277" s="522" t="str">
        <f t="shared" si="49"/>
        <v/>
      </c>
    </row>
    <row r="278" spans="2:45" x14ac:dyDescent="0.25">
      <c r="B278" s="426" t="str">
        <f t="shared" si="45"/>
        <v/>
      </c>
      <c r="C278" s="423" t="str">
        <f t="shared" si="46"/>
        <v/>
      </c>
      <c r="D278" s="643" t="str">
        <f t="shared" si="50"/>
        <v/>
      </c>
      <c r="E278" s="643"/>
      <c r="F278" s="643" t="str">
        <f t="shared" si="40"/>
        <v/>
      </c>
      <c r="G278" s="643"/>
      <c r="H278" s="671">
        <f t="shared" si="41"/>
        <v>0</v>
      </c>
      <c r="I278" s="671"/>
      <c r="J278" s="640" t="str">
        <f t="shared" si="47"/>
        <v/>
      </c>
      <c r="K278" s="640"/>
      <c r="L278" s="631" t="str">
        <f t="shared" si="42"/>
        <v/>
      </c>
      <c r="M278" s="631"/>
      <c r="N278" s="631" t="str">
        <f>IF(B278="","",VLOOKUP(TRIM(CONCATENATE($F$20," ",$F$17," ",$F$18," ",$F$22," ",$F$21," ",$F$16," ",$F$23," ",$F$24)),Condicione_Financieras_Patrimon!B:W,22,0)*1.16)</f>
        <v/>
      </c>
      <c r="O278" s="631"/>
      <c r="P278" s="641"/>
      <c r="Q278" s="641"/>
      <c r="R278" s="631"/>
      <c r="S278" s="631"/>
      <c r="T278" s="424" t="str">
        <f>IF(B278="","",'Tabla_Puntual&amp;Relacionamiento'!$B$85)</f>
        <v/>
      </c>
      <c r="U278" s="424"/>
      <c r="V278" s="642" t="str">
        <f t="shared" si="43"/>
        <v/>
      </c>
      <c r="W278" s="642"/>
      <c r="X278" s="642" t="str">
        <f t="shared" si="44"/>
        <v/>
      </c>
      <c r="Y278" s="642"/>
      <c r="AL278" s="420" t="str">
        <f t="shared" si="48"/>
        <v/>
      </c>
      <c r="AM278" s="421">
        <f t="shared" si="51"/>
        <v>0</v>
      </c>
      <c r="AN278" s="637"/>
      <c r="AO278" s="637"/>
      <c r="AP278" s="634"/>
      <c r="AQ278" s="634"/>
      <c r="AR278" s="427"/>
      <c r="AS278" s="522" t="str">
        <f t="shared" si="49"/>
        <v/>
      </c>
    </row>
    <row r="279" spans="2:45" x14ac:dyDescent="0.25">
      <c r="B279" s="426" t="str">
        <f t="shared" si="45"/>
        <v/>
      </c>
      <c r="C279" s="423" t="str">
        <f t="shared" si="46"/>
        <v/>
      </c>
      <c r="D279" s="643" t="str">
        <f t="shared" si="50"/>
        <v/>
      </c>
      <c r="E279" s="643"/>
      <c r="F279" s="643" t="str">
        <f t="shared" si="40"/>
        <v/>
      </c>
      <c r="G279" s="643"/>
      <c r="H279" s="671">
        <f t="shared" si="41"/>
        <v>0</v>
      </c>
      <c r="I279" s="671"/>
      <c r="J279" s="640" t="str">
        <f t="shared" si="47"/>
        <v/>
      </c>
      <c r="K279" s="640"/>
      <c r="L279" s="631" t="str">
        <f t="shared" si="42"/>
        <v/>
      </c>
      <c r="M279" s="631"/>
      <c r="N279" s="631" t="str">
        <f>IF(B279="","",VLOOKUP(TRIM(CONCATENATE($F$20," ",$F$17," ",$F$18," ",$F$22," ",$F$21," ",$F$16," ",$F$23," ",$F$24)),Condicione_Financieras_Patrimon!B:W,22,0)*1.16)</f>
        <v/>
      </c>
      <c r="O279" s="631"/>
      <c r="P279" s="641"/>
      <c r="Q279" s="641"/>
      <c r="R279" s="631" t="str">
        <f>IF(OR(X278=0,X278=""),"",IF($F$21="Apoyo Infonavit",IF(D279&gt;=C279,0,MIN(IF($F$30="",0,Caratula_Patrimonial!$F$30),$AL$29*25)*10%),0))</f>
        <v/>
      </c>
      <c r="S279" s="631"/>
      <c r="T279" s="424" t="str">
        <f>IF(B279="","",'Tabla_Puntual&amp;Relacionamiento'!$B$85)</f>
        <v/>
      </c>
      <c r="U279" s="424"/>
      <c r="V279" s="642" t="str">
        <f t="shared" si="43"/>
        <v/>
      </c>
      <c r="W279" s="642"/>
      <c r="X279" s="642" t="str">
        <f t="shared" si="44"/>
        <v/>
      </c>
      <c r="Y279" s="642"/>
      <c r="AL279" s="420" t="str">
        <f t="shared" si="48"/>
        <v/>
      </c>
      <c r="AM279" s="421">
        <f t="shared" si="51"/>
        <v>0</v>
      </c>
      <c r="AN279" s="637"/>
      <c r="AO279" s="637"/>
      <c r="AP279" s="634"/>
      <c r="AQ279" s="634"/>
      <c r="AR279" s="427"/>
      <c r="AS279" s="522" t="str">
        <f t="shared" si="49"/>
        <v/>
      </c>
    </row>
    <row r="280" spans="2:45" x14ac:dyDescent="0.25">
      <c r="B280" s="426" t="str">
        <f t="shared" si="45"/>
        <v/>
      </c>
      <c r="C280" s="423" t="str">
        <f t="shared" si="46"/>
        <v/>
      </c>
      <c r="D280" s="643" t="str">
        <f t="shared" si="50"/>
        <v/>
      </c>
      <c r="E280" s="643"/>
      <c r="F280" s="643" t="str">
        <f t="shared" si="40"/>
        <v/>
      </c>
      <c r="G280" s="643"/>
      <c r="H280" s="671">
        <f t="shared" si="41"/>
        <v>0</v>
      </c>
      <c r="I280" s="671"/>
      <c r="J280" s="640" t="str">
        <f t="shared" si="47"/>
        <v/>
      </c>
      <c r="K280" s="640"/>
      <c r="L280" s="631" t="str">
        <f t="shared" si="42"/>
        <v/>
      </c>
      <c r="M280" s="631"/>
      <c r="N280" s="631" t="str">
        <f>IF(B280="","",VLOOKUP(TRIM(CONCATENATE($F$20," ",$F$17," ",$F$18," ",$F$22," ",$F$21," ",$F$16," ",$F$23," ",$F$24)),Condicione_Financieras_Patrimon!B:W,22,0)*1.16)</f>
        <v/>
      </c>
      <c r="O280" s="631"/>
      <c r="P280" s="641"/>
      <c r="Q280" s="641"/>
      <c r="R280" s="631"/>
      <c r="S280" s="631"/>
      <c r="T280" s="424" t="str">
        <f>IF(B280="","",'Tabla_Puntual&amp;Relacionamiento'!$B$86)</f>
        <v/>
      </c>
      <c r="U280" s="424" t="str">
        <f>IF(B280="","",IF($F$16="Pago_Bajo_Puntual",0.019,""))</f>
        <v/>
      </c>
      <c r="V280" s="642" t="str">
        <f t="shared" si="43"/>
        <v/>
      </c>
      <c r="W280" s="642"/>
      <c r="X280" s="642" t="str">
        <f t="shared" si="44"/>
        <v/>
      </c>
      <c r="Y280" s="642"/>
      <c r="AL280" s="420" t="str">
        <f t="shared" si="48"/>
        <v/>
      </c>
      <c r="AM280" s="421">
        <f t="shared" si="51"/>
        <v>0</v>
      </c>
      <c r="AN280" s="637"/>
      <c r="AO280" s="637"/>
      <c r="AP280" s="634"/>
      <c r="AQ280" s="634"/>
      <c r="AR280" s="427"/>
      <c r="AS280" s="522" t="str">
        <f t="shared" si="49"/>
        <v/>
      </c>
    </row>
    <row r="281" spans="2:45" x14ac:dyDescent="0.25">
      <c r="B281" s="426" t="str">
        <f t="shared" si="45"/>
        <v/>
      </c>
      <c r="C281" s="423" t="str">
        <f t="shared" si="46"/>
        <v/>
      </c>
      <c r="D281" s="643" t="str">
        <f t="shared" si="50"/>
        <v/>
      </c>
      <c r="E281" s="643"/>
      <c r="F281" s="643" t="str">
        <f t="shared" si="40"/>
        <v/>
      </c>
      <c r="G281" s="643"/>
      <c r="H281" s="671">
        <f t="shared" si="41"/>
        <v>0</v>
      </c>
      <c r="I281" s="671"/>
      <c r="J281" s="640" t="str">
        <f t="shared" si="47"/>
        <v/>
      </c>
      <c r="K281" s="640"/>
      <c r="L281" s="631" t="str">
        <f t="shared" si="42"/>
        <v/>
      </c>
      <c r="M281" s="631"/>
      <c r="N281" s="631" t="str">
        <f>IF(B281="","",VLOOKUP(TRIM(CONCATENATE($F$20," ",$F$17," ",$F$18," ",$F$22," ",$F$21," ",$F$16," ",$F$23," ",$F$24)),Condicione_Financieras_Patrimon!B:W,22,0)*1.16)</f>
        <v/>
      </c>
      <c r="O281" s="631"/>
      <c r="P281" s="641"/>
      <c r="Q281" s="641"/>
      <c r="R281" s="631" t="str">
        <f>IF(OR(X280=0,X280=""),"",IF($F$21="Apoyo Infonavit",IF(D281&gt;=C281,0,MIN(IF($F$30="",0,Caratula_Patrimonial!$F$30),$AL$29*25)*10%),0))</f>
        <v/>
      </c>
      <c r="S281" s="631"/>
      <c r="T281" s="424" t="str">
        <f>IF(B281="","",'Tabla_Puntual&amp;Relacionamiento'!$B$86)</f>
        <v/>
      </c>
      <c r="U281" s="424"/>
      <c r="V281" s="642" t="str">
        <f t="shared" si="43"/>
        <v/>
      </c>
      <c r="W281" s="642"/>
      <c r="X281" s="642" t="str">
        <f t="shared" si="44"/>
        <v/>
      </c>
      <c r="Y281" s="642"/>
      <c r="AL281" s="420" t="str">
        <f t="shared" si="48"/>
        <v/>
      </c>
      <c r="AM281" s="421">
        <f t="shared" si="51"/>
        <v>0</v>
      </c>
      <c r="AN281" s="637"/>
      <c r="AO281" s="637"/>
      <c r="AP281" s="634"/>
      <c r="AQ281" s="634"/>
      <c r="AR281" s="427"/>
      <c r="AS281" s="522" t="str">
        <f t="shared" si="49"/>
        <v/>
      </c>
    </row>
    <row r="282" spans="2:45" x14ac:dyDescent="0.25">
      <c r="B282" s="426" t="str">
        <f t="shared" si="45"/>
        <v/>
      </c>
      <c r="C282" s="423" t="str">
        <f t="shared" si="46"/>
        <v/>
      </c>
      <c r="D282" s="643" t="str">
        <f t="shared" si="50"/>
        <v/>
      </c>
      <c r="E282" s="643"/>
      <c r="F282" s="643" t="str">
        <f t="shared" si="40"/>
        <v/>
      </c>
      <c r="G282" s="643"/>
      <c r="H282" s="671">
        <f t="shared" si="41"/>
        <v>0</v>
      </c>
      <c r="I282" s="671"/>
      <c r="J282" s="640" t="str">
        <f t="shared" si="47"/>
        <v/>
      </c>
      <c r="K282" s="640"/>
      <c r="L282" s="631" t="str">
        <f t="shared" si="42"/>
        <v/>
      </c>
      <c r="M282" s="631"/>
      <c r="N282" s="631" t="str">
        <f>IF(B282="","",VLOOKUP(TRIM(CONCATENATE($F$20," ",$F$17," ",$F$18," ",$F$22," ",$F$21," ",$F$16," ",$F$23," ",$F$24)),Condicione_Financieras_Patrimon!B:W,22,0)*1.16)</f>
        <v/>
      </c>
      <c r="O282" s="631"/>
      <c r="P282" s="641"/>
      <c r="Q282" s="641"/>
      <c r="R282" s="631"/>
      <c r="S282" s="631"/>
      <c r="T282" s="424" t="str">
        <f>IF(B282="","",'Tabla_Puntual&amp;Relacionamiento'!$B$86)</f>
        <v/>
      </c>
      <c r="U282" s="424"/>
      <c r="V282" s="642" t="str">
        <f t="shared" si="43"/>
        <v/>
      </c>
      <c r="W282" s="642"/>
      <c r="X282" s="642" t="str">
        <f t="shared" si="44"/>
        <v/>
      </c>
      <c r="Y282" s="642"/>
      <c r="AL282" s="420" t="str">
        <f t="shared" si="48"/>
        <v/>
      </c>
      <c r="AM282" s="421">
        <f t="shared" si="51"/>
        <v>0</v>
      </c>
      <c r="AN282" s="637"/>
      <c r="AO282" s="637"/>
      <c r="AP282" s="634"/>
      <c r="AQ282" s="634"/>
      <c r="AR282" s="427"/>
      <c r="AS282" s="522" t="str">
        <f t="shared" si="49"/>
        <v/>
      </c>
    </row>
    <row r="283" spans="2:45" x14ac:dyDescent="0.25">
      <c r="B283" s="426" t="str">
        <f t="shared" si="45"/>
        <v/>
      </c>
      <c r="C283" s="423" t="str">
        <f t="shared" si="46"/>
        <v/>
      </c>
      <c r="D283" s="643" t="str">
        <f t="shared" si="50"/>
        <v/>
      </c>
      <c r="E283" s="643"/>
      <c r="F283" s="643" t="str">
        <f t="shared" si="40"/>
        <v/>
      </c>
      <c r="G283" s="643"/>
      <c r="H283" s="671">
        <f t="shared" si="41"/>
        <v>0</v>
      </c>
      <c r="I283" s="671"/>
      <c r="J283" s="640" t="str">
        <f t="shared" si="47"/>
        <v/>
      </c>
      <c r="K283" s="640"/>
      <c r="L283" s="631" t="str">
        <f t="shared" si="42"/>
        <v/>
      </c>
      <c r="M283" s="631"/>
      <c r="N283" s="631" t="str">
        <f>IF(B283="","",VLOOKUP(TRIM(CONCATENATE($F$20," ",$F$17," ",$F$18," ",$F$22," ",$F$21," ",$F$16," ",$F$23," ",$F$24)),Condicione_Financieras_Patrimon!B:W,22,0)*1.16)</f>
        <v/>
      </c>
      <c r="O283" s="631"/>
      <c r="P283" s="641"/>
      <c r="Q283" s="641"/>
      <c r="R283" s="631" t="str">
        <f>IF(OR(X282=0,X282=""),"",IF($F$21="Apoyo Infonavit",IF(D283&gt;=C283,0,MIN(IF($F$30="",0,Caratula_Patrimonial!$F$30),$AL$29*25)*10%),0))</f>
        <v/>
      </c>
      <c r="S283" s="631"/>
      <c r="T283" s="424" t="str">
        <f>IF(B283="","",'Tabla_Puntual&amp;Relacionamiento'!$B$86)</f>
        <v/>
      </c>
      <c r="U283" s="424"/>
      <c r="V283" s="642" t="str">
        <f t="shared" si="43"/>
        <v/>
      </c>
      <c r="W283" s="642"/>
      <c r="X283" s="642" t="str">
        <f t="shared" si="44"/>
        <v/>
      </c>
      <c r="Y283" s="642"/>
      <c r="AL283" s="420" t="str">
        <f t="shared" si="48"/>
        <v/>
      </c>
      <c r="AM283" s="421">
        <f t="shared" si="51"/>
        <v>0</v>
      </c>
      <c r="AN283" s="637"/>
      <c r="AO283" s="637"/>
      <c r="AP283" s="634"/>
      <c r="AQ283" s="634"/>
      <c r="AR283" s="427"/>
      <c r="AS283" s="522" t="str">
        <f t="shared" si="49"/>
        <v/>
      </c>
    </row>
    <row r="284" spans="2:45" x14ac:dyDescent="0.25">
      <c r="B284" s="426" t="str">
        <f t="shared" si="45"/>
        <v/>
      </c>
      <c r="C284" s="423" t="str">
        <f t="shared" si="46"/>
        <v/>
      </c>
      <c r="D284" s="643" t="str">
        <f t="shared" si="50"/>
        <v/>
      </c>
      <c r="E284" s="643"/>
      <c r="F284" s="643" t="str">
        <f t="shared" si="40"/>
        <v/>
      </c>
      <c r="G284" s="643"/>
      <c r="H284" s="671">
        <f t="shared" si="41"/>
        <v>0</v>
      </c>
      <c r="I284" s="671"/>
      <c r="J284" s="640" t="str">
        <f t="shared" si="47"/>
        <v/>
      </c>
      <c r="K284" s="640"/>
      <c r="L284" s="631" t="str">
        <f t="shared" si="42"/>
        <v/>
      </c>
      <c r="M284" s="631"/>
      <c r="N284" s="631" t="str">
        <f>IF(B284="","",VLOOKUP(TRIM(CONCATENATE($F$20," ",$F$17," ",$F$18," ",$F$22," ",$F$21," ",$F$16," ",$F$23," ",$F$24)),Condicione_Financieras_Patrimon!B:W,22,0)*1.16)</f>
        <v/>
      </c>
      <c r="O284" s="631"/>
      <c r="P284" s="641"/>
      <c r="Q284" s="641"/>
      <c r="R284" s="631"/>
      <c r="S284" s="631"/>
      <c r="T284" s="424" t="str">
        <f>IF(B284="","",'Tabla_Puntual&amp;Relacionamiento'!$B$86)</f>
        <v/>
      </c>
      <c r="U284" s="424"/>
      <c r="V284" s="642" t="str">
        <f t="shared" si="43"/>
        <v/>
      </c>
      <c r="W284" s="642"/>
      <c r="X284" s="642" t="str">
        <f t="shared" si="44"/>
        <v/>
      </c>
      <c r="Y284" s="642"/>
      <c r="AL284" s="420" t="str">
        <f t="shared" si="48"/>
        <v/>
      </c>
      <c r="AM284" s="421">
        <f t="shared" si="51"/>
        <v>0</v>
      </c>
      <c r="AN284" s="637"/>
      <c r="AO284" s="637"/>
      <c r="AP284" s="634"/>
      <c r="AQ284" s="634"/>
      <c r="AR284" s="427"/>
      <c r="AS284" s="522" t="str">
        <f t="shared" si="49"/>
        <v/>
      </c>
    </row>
    <row r="285" spans="2:45" x14ac:dyDescent="0.25">
      <c r="B285" s="426" t="str">
        <f t="shared" si="45"/>
        <v/>
      </c>
      <c r="C285" s="423" t="str">
        <f t="shared" si="46"/>
        <v/>
      </c>
      <c r="D285" s="643" t="str">
        <f t="shared" si="50"/>
        <v/>
      </c>
      <c r="E285" s="643"/>
      <c r="F285" s="643" t="str">
        <f t="shared" si="40"/>
        <v/>
      </c>
      <c r="G285" s="643"/>
      <c r="H285" s="671">
        <f t="shared" si="41"/>
        <v>0</v>
      </c>
      <c r="I285" s="671"/>
      <c r="J285" s="640" t="str">
        <f t="shared" si="47"/>
        <v/>
      </c>
      <c r="K285" s="640"/>
      <c r="L285" s="631" t="str">
        <f t="shared" si="42"/>
        <v/>
      </c>
      <c r="M285" s="631"/>
      <c r="N285" s="631" t="str">
        <f>IF(B285="","",VLOOKUP(TRIM(CONCATENATE($F$20," ",$F$17," ",$F$18," ",$F$22," ",$F$21," ",$F$16," ",$F$23," ",$F$24)),Condicione_Financieras_Patrimon!B:W,22,0)*1.16)</f>
        <v/>
      </c>
      <c r="O285" s="631"/>
      <c r="P285" s="641"/>
      <c r="Q285" s="641"/>
      <c r="R285" s="631" t="str">
        <f>IF(OR(X284=0,X284=""),"",IF($F$21="Apoyo Infonavit",IF(D285&gt;=C285,0,MIN(IF($F$30="",0,Caratula_Patrimonial!$F$30),$AL$29*25)*10%),0))</f>
        <v/>
      </c>
      <c r="S285" s="631"/>
      <c r="T285" s="424" t="str">
        <f>IF(B285="","",'Tabla_Puntual&amp;Relacionamiento'!$B$86)</f>
        <v/>
      </c>
      <c r="U285" s="424"/>
      <c r="V285" s="642" t="str">
        <f t="shared" si="43"/>
        <v/>
      </c>
      <c r="W285" s="642"/>
      <c r="X285" s="642" t="str">
        <f t="shared" si="44"/>
        <v/>
      </c>
      <c r="Y285" s="642"/>
      <c r="AL285" s="420" t="str">
        <f t="shared" si="48"/>
        <v/>
      </c>
      <c r="AM285" s="421">
        <f t="shared" si="51"/>
        <v>0</v>
      </c>
      <c r="AN285" s="637"/>
      <c r="AO285" s="637"/>
      <c r="AP285" s="634"/>
      <c r="AQ285" s="634"/>
      <c r="AR285" s="427"/>
      <c r="AS285" s="522" t="str">
        <f t="shared" si="49"/>
        <v/>
      </c>
    </row>
    <row r="286" spans="2:45" x14ac:dyDescent="0.25">
      <c r="B286" s="426" t="str">
        <f t="shared" si="45"/>
        <v/>
      </c>
      <c r="C286" s="423" t="str">
        <f t="shared" si="46"/>
        <v/>
      </c>
      <c r="D286" s="643" t="str">
        <f t="shared" si="50"/>
        <v/>
      </c>
      <c r="E286" s="643"/>
      <c r="F286" s="643" t="str">
        <f t="shared" si="40"/>
        <v/>
      </c>
      <c r="G286" s="643"/>
      <c r="H286" s="671">
        <f t="shared" si="41"/>
        <v>0</v>
      </c>
      <c r="I286" s="671"/>
      <c r="J286" s="640" t="str">
        <f t="shared" si="47"/>
        <v/>
      </c>
      <c r="K286" s="640"/>
      <c r="L286" s="631" t="str">
        <f t="shared" si="42"/>
        <v/>
      </c>
      <c r="M286" s="631"/>
      <c r="N286" s="631" t="str">
        <f>IF(B286="","",VLOOKUP(TRIM(CONCATENATE($F$20," ",$F$17," ",$F$18," ",$F$22," ",$F$21," ",$F$16," ",$F$23," ",$F$24)),Condicione_Financieras_Patrimon!B:W,22,0)*1.16)</f>
        <v/>
      </c>
      <c r="O286" s="631"/>
      <c r="P286" s="641"/>
      <c r="Q286" s="641"/>
      <c r="R286" s="631"/>
      <c r="S286" s="631"/>
      <c r="T286" s="424" t="str">
        <f>IF(B286="","",'Tabla_Puntual&amp;Relacionamiento'!$B$86)</f>
        <v/>
      </c>
      <c r="U286" s="424"/>
      <c r="V286" s="642" t="str">
        <f t="shared" si="43"/>
        <v/>
      </c>
      <c r="W286" s="642"/>
      <c r="X286" s="642" t="str">
        <f t="shared" si="44"/>
        <v/>
      </c>
      <c r="Y286" s="642"/>
      <c r="AL286" s="420" t="str">
        <f t="shared" si="48"/>
        <v/>
      </c>
      <c r="AM286" s="421">
        <f t="shared" si="51"/>
        <v>0</v>
      </c>
      <c r="AN286" s="637"/>
      <c r="AO286" s="637"/>
      <c r="AP286" s="634"/>
      <c r="AQ286" s="634"/>
      <c r="AR286" s="427"/>
      <c r="AS286" s="522" t="str">
        <f t="shared" si="49"/>
        <v/>
      </c>
    </row>
    <row r="287" spans="2:45" x14ac:dyDescent="0.25">
      <c r="B287" s="426" t="str">
        <f t="shared" si="45"/>
        <v/>
      </c>
      <c r="C287" s="423" t="str">
        <f t="shared" si="46"/>
        <v/>
      </c>
      <c r="D287" s="643" t="str">
        <f t="shared" si="50"/>
        <v/>
      </c>
      <c r="E287" s="643"/>
      <c r="F287" s="643" t="str">
        <f t="shared" si="40"/>
        <v/>
      </c>
      <c r="G287" s="643"/>
      <c r="H287" s="671">
        <f t="shared" si="41"/>
        <v>0</v>
      </c>
      <c r="I287" s="671"/>
      <c r="J287" s="640" t="str">
        <f t="shared" si="47"/>
        <v/>
      </c>
      <c r="K287" s="640"/>
      <c r="L287" s="631" t="str">
        <f t="shared" si="42"/>
        <v/>
      </c>
      <c r="M287" s="631"/>
      <c r="N287" s="631" t="str">
        <f>IF(B287="","",VLOOKUP(TRIM(CONCATENATE($F$20," ",$F$17," ",$F$18," ",$F$22," ",$F$21," ",$F$16," ",$F$23," ",$F$24)),Condicione_Financieras_Patrimon!B:W,22,0)*1.16)</f>
        <v/>
      </c>
      <c r="O287" s="631"/>
      <c r="P287" s="641"/>
      <c r="Q287" s="641"/>
      <c r="R287" s="631" t="str">
        <f>IF(OR(X286=0,X286=""),"",IF($F$21="Apoyo Infonavit",IF(D287&gt;=C287,0,MIN(IF($F$30="",0,Caratula_Patrimonial!$F$30),$AL$29*25)*10%),0))</f>
        <v/>
      </c>
      <c r="S287" s="631"/>
      <c r="T287" s="424" t="str">
        <f>IF(B287="","",'Tabla_Puntual&amp;Relacionamiento'!$B$86)</f>
        <v/>
      </c>
      <c r="U287" s="424"/>
      <c r="V287" s="642" t="str">
        <f t="shared" si="43"/>
        <v/>
      </c>
      <c r="W287" s="642"/>
      <c r="X287" s="642" t="str">
        <f t="shared" si="44"/>
        <v/>
      </c>
      <c r="Y287" s="642"/>
      <c r="AL287" s="420" t="str">
        <f t="shared" si="48"/>
        <v/>
      </c>
      <c r="AM287" s="421">
        <f t="shared" si="51"/>
        <v>0</v>
      </c>
      <c r="AN287" s="637"/>
      <c r="AO287" s="637"/>
      <c r="AP287" s="634"/>
      <c r="AQ287" s="634"/>
      <c r="AR287" s="427"/>
      <c r="AS287" s="522" t="str">
        <f t="shared" si="49"/>
        <v/>
      </c>
    </row>
    <row r="288" spans="2:45" x14ac:dyDescent="0.25">
      <c r="B288" s="426" t="str">
        <f t="shared" si="45"/>
        <v/>
      </c>
      <c r="C288" s="423" t="str">
        <f t="shared" si="46"/>
        <v/>
      </c>
      <c r="D288" s="643" t="str">
        <f t="shared" si="50"/>
        <v/>
      </c>
      <c r="E288" s="643"/>
      <c r="F288" s="643" t="str">
        <f t="shared" si="40"/>
        <v/>
      </c>
      <c r="G288" s="643"/>
      <c r="H288" s="671">
        <f t="shared" si="41"/>
        <v>0</v>
      </c>
      <c r="I288" s="671"/>
      <c r="J288" s="640" t="str">
        <f t="shared" si="47"/>
        <v/>
      </c>
      <c r="K288" s="640"/>
      <c r="L288" s="631" t="str">
        <f t="shared" si="42"/>
        <v/>
      </c>
      <c r="M288" s="631"/>
      <c r="N288" s="631" t="str">
        <f>IF(B288="","",VLOOKUP(TRIM(CONCATENATE($F$20," ",$F$17," ",$F$18," ",$F$22," ",$F$21," ",$F$16," ",$F$23," ",$F$24)),Condicione_Financieras_Patrimon!B:W,22,0)*1.16)</f>
        <v/>
      </c>
      <c r="O288" s="631"/>
      <c r="P288" s="641"/>
      <c r="Q288" s="641"/>
      <c r="R288" s="631"/>
      <c r="S288" s="631"/>
      <c r="T288" s="424" t="str">
        <f>IF(B288="","",'Tabla_Puntual&amp;Relacionamiento'!$B$86)</f>
        <v/>
      </c>
      <c r="U288" s="424"/>
      <c r="V288" s="642" t="str">
        <f t="shared" si="43"/>
        <v/>
      </c>
      <c r="W288" s="642"/>
      <c r="X288" s="642" t="str">
        <f t="shared" si="44"/>
        <v/>
      </c>
      <c r="Y288" s="642"/>
      <c r="AL288" s="420" t="str">
        <f t="shared" si="48"/>
        <v/>
      </c>
      <c r="AM288" s="421">
        <f t="shared" si="51"/>
        <v>0</v>
      </c>
      <c r="AN288" s="637"/>
      <c r="AO288" s="637"/>
      <c r="AP288" s="634"/>
      <c r="AQ288" s="634"/>
      <c r="AR288" s="427"/>
      <c r="AS288" s="522" t="str">
        <f t="shared" si="49"/>
        <v/>
      </c>
    </row>
    <row r="289" spans="2:45" x14ac:dyDescent="0.25">
      <c r="B289" s="426" t="str">
        <f t="shared" si="45"/>
        <v/>
      </c>
      <c r="C289" s="423" t="str">
        <f t="shared" si="46"/>
        <v/>
      </c>
      <c r="D289" s="643" t="str">
        <f t="shared" si="50"/>
        <v/>
      </c>
      <c r="E289" s="643"/>
      <c r="F289" s="643" t="str">
        <f t="shared" si="40"/>
        <v/>
      </c>
      <c r="G289" s="643"/>
      <c r="H289" s="671">
        <f t="shared" si="41"/>
        <v>0</v>
      </c>
      <c r="I289" s="671"/>
      <c r="J289" s="640" t="str">
        <f t="shared" si="47"/>
        <v/>
      </c>
      <c r="K289" s="640"/>
      <c r="L289" s="631" t="str">
        <f t="shared" si="42"/>
        <v/>
      </c>
      <c r="M289" s="631"/>
      <c r="N289" s="631" t="str">
        <f>IF(B289="","",VLOOKUP(TRIM(CONCATENATE($F$20," ",$F$17," ",$F$18," ",$F$22," ",$F$21," ",$F$16," ",$F$23," ",$F$24)),Condicione_Financieras_Patrimon!B:W,22,0)*1.16)</f>
        <v/>
      </c>
      <c r="O289" s="631"/>
      <c r="P289" s="641"/>
      <c r="Q289" s="641"/>
      <c r="R289" s="631" t="str">
        <f>IF(OR(X288=0,X288=""),"",IF($F$21="Apoyo Infonavit",IF(D289&gt;=C289,0,MIN(IF($F$30="",0,Caratula_Patrimonial!$F$30),$AL$29*25)*10%),0))</f>
        <v/>
      </c>
      <c r="S289" s="631"/>
      <c r="T289" s="424" t="str">
        <f>IF(B289="","",'Tabla_Puntual&amp;Relacionamiento'!$B$86)</f>
        <v/>
      </c>
      <c r="U289" s="424"/>
      <c r="V289" s="642" t="str">
        <f t="shared" si="43"/>
        <v/>
      </c>
      <c r="W289" s="642"/>
      <c r="X289" s="642" t="str">
        <f t="shared" si="44"/>
        <v/>
      </c>
      <c r="Y289" s="642"/>
      <c r="AL289" s="420" t="str">
        <f t="shared" si="48"/>
        <v/>
      </c>
      <c r="AM289" s="421">
        <f t="shared" si="51"/>
        <v>0</v>
      </c>
      <c r="AN289" s="637"/>
      <c r="AO289" s="637"/>
      <c r="AP289" s="634"/>
      <c r="AQ289" s="634"/>
      <c r="AR289" s="427"/>
      <c r="AS289" s="522" t="str">
        <f t="shared" si="49"/>
        <v/>
      </c>
    </row>
    <row r="290" spans="2:45" x14ac:dyDescent="0.25">
      <c r="B290" s="426" t="str">
        <f t="shared" si="45"/>
        <v/>
      </c>
      <c r="C290" s="423" t="str">
        <f t="shared" si="46"/>
        <v/>
      </c>
      <c r="D290" s="643" t="str">
        <f t="shared" si="50"/>
        <v/>
      </c>
      <c r="E290" s="643"/>
      <c r="F290" s="643" t="str">
        <f t="shared" si="40"/>
        <v/>
      </c>
      <c r="G290" s="643"/>
      <c r="H290" s="671">
        <f t="shared" si="41"/>
        <v>0</v>
      </c>
      <c r="I290" s="671"/>
      <c r="J290" s="640" t="str">
        <f t="shared" si="47"/>
        <v/>
      </c>
      <c r="K290" s="640"/>
      <c r="L290" s="631" t="str">
        <f t="shared" si="42"/>
        <v/>
      </c>
      <c r="M290" s="631"/>
      <c r="N290" s="631" t="str">
        <f>IF(B290="","",VLOOKUP(TRIM(CONCATENATE($F$20," ",$F$17," ",$F$18," ",$F$22," ",$F$21," ",$F$16," ",$F$23," ",$F$24)),Condicione_Financieras_Patrimon!B:W,22,0)*1.16)</f>
        <v/>
      </c>
      <c r="O290" s="631"/>
      <c r="P290" s="641"/>
      <c r="Q290" s="641"/>
      <c r="R290" s="631"/>
      <c r="S290" s="631"/>
      <c r="T290" s="424" t="str">
        <f>IF(B290="","",'Tabla_Puntual&amp;Relacionamiento'!$B$86)</f>
        <v/>
      </c>
      <c r="U290" s="424"/>
      <c r="V290" s="642" t="str">
        <f t="shared" si="43"/>
        <v/>
      </c>
      <c r="W290" s="642"/>
      <c r="X290" s="642" t="str">
        <f t="shared" si="44"/>
        <v/>
      </c>
      <c r="Y290" s="642"/>
      <c r="AL290" s="420" t="str">
        <f t="shared" si="48"/>
        <v/>
      </c>
      <c r="AM290" s="421">
        <f t="shared" si="51"/>
        <v>0</v>
      </c>
      <c r="AN290" s="637"/>
      <c r="AO290" s="637"/>
      <c r="AP290" s="634"/>
      <c r="AQ290" s="634"/>
      <c r="AR290" s="427"/>
      <c r="AS290" s="522" t="str">
        <f t="shared" si="49"/>
        <v/>
      </c>
    </row>
    <row r="291" spans="2:45" x14ac:dyDescent="0.25">
      <c r="B291" s="426" t="str">
        <f t="shared" si="45"/>
        <v/>
      </c>
      <c r="C291" s="423" t="str">
        <f t="shared" si="46"/>
        <v/>
      </c>
      <c r="D291" s="643" t="str">
        <f t="shared" si="50"/>
        <v/>
      </c>
      <c r="E291" s="643"/>
      <c r="F291" s="643" t="str">
        <f t="shared" si="40"/>
        <v/>
      </c>
      <c r="G291" s="643"/>
      <c r="H291" s="671">
        <f t="shared" si="41"/>
        <v>0</v>
      </c>
      <c r="I291" s="671"/>
      <c r="J291" s="640" t="str">
        <f t="shared" si="47"/>
        <v/>
      </c>
      <c r="K291" s="640"/>
      <c r="L291" s="631" t="str">
        <f t="shared" si="42"/>
        <v/>
      </c>
      <c r="M291" s="631"/>
      <c r="N291" s="631" t="str">
        <f>IF(B291="","",VLOOKUP(TRIM(CONCATENATE($F$20," ",$F$17," ",$F$18," ",$F$22," ",$F$21," ",$F$16," ",$F$23," ",$F$24)),Condicione_Financieras_Patrimon!B:W,22,0)*1.16)</f>
        <v/>
      </c>
      <c r="O291" s="631"/>
      <c r="P291" s="641"/>
      <c r="Q291" s="641"/>
      <c r="R291" s="631" t="str">
        <f>IF(OR(X290=0,X290=""),"",IF($F$21="Apoyo Infonavit",IF(D291&gt;=C291,0,MIN(IF($F$30="",0,Caratula_Patrimonial!$F$30),$AL$29*25)*10%),0))</f>
        <v/>
      </c>
      <c r="S291" s="631"/>
      <c r="T291" s="424" t="str">
        <f>IF(B291="","",'Tabla_Puntual&amp;Relacionamiento'!$B$86)</f>
        <v/>
      </c>
      <c r="U291" s="424"/>
      <c r="V291" s="642" t="str">
        <f t="shared" si="43"/>
        <v/>
      </c>
      <c r="W291" s="642"/>
      <c r="X291" s="642" t="str">
        <f t="shared" si="44"/>
        <v/>
      </c>
      <c r="Y291" s="642"/>
      <c r="AL291" s="420" t="str">
        <f t="shared" si="48"/>
        <v/>
      </c>
      <c r="AM291" s="421">
        <f t="shared" si="51"/>
        <v>0</v>
      </c>
      <c r="AN291" s="637"/>
      <c r="AO291" s="637"/>
      <c r="AP291" s="634"/>
      <c r="AQ291" s="634"/>
      <c r="AR291" s="427"/>
      <c r="AS291" s="522" t="str">
        <f t="shared" si="49"/>
        <v/>
      </c>
    </row>
    <row r="292" spans="2:45" x14ac:dyDescent="0.25">
      <c r="B292" s="426" t="str">
        <f t="shared" si="45"/>
        <v/>
      </c>
      <c r="C292" s="423" t="str">
        <f t="shared" si="46"/>
        <v/>
      </c>
      <c r="D292" s="643" t="str">
        <f t="shared" si="50"/>
        <v/>
      </c>
      <c r="E292" s="643"/>
      <c r="F292" s="643" t="str">
        <f t="shared" si="40"/>
        <v/>
      </c>
      <c r="G292" s="643"/>
      <c r="H292" s="671">
        <f t="shared" si="41"/>
        <v>0</v>
      </c>
      <c r="I292" s="671"/>
      <c r="J292" s="640" t="str">
        <f t="shared" si="47"/>
        <v/>
      </c>
      <c r="K292" s="640"/>
      <c r="L292" s="631" t="str">
        <f t="shared" si="42"/>
        <v/>
      </c>
      <c r="M292" s="631"/>
      <c r="N292" s="631" t="str">
        <f>IF(B292="","",VLOOKUP(TRIM(CONCATENATE($F$20," ",$F$17," ",$F$18," ",$F$22," ",$F$21," ",$F$16," ",$F$23," ",$F$24)),Condicione_Financieras_Patrimon!B:W,22,0)*1.16)</f>
        <v/>
      </c>
      <c r="O292" s="631"/>
      <c r="P292" s="641"/>
      <c r="Q292" s="641"/>
      <c r="R292" s="631"/>
      <c r="S292" s="631"/>
      <c r="T292" s="424" t="str">
        <f>IF(B292="","",'Tabla_Puntual&amp;Relacionamiento'!$B$87)</f>
        <v/>
      </c>
      <c r="U292" s="424" t="str">
        <f>IF(B292="","",IF($F$16="Pago_Bajo_Puntual",0.019,""))</f>
        <v/>
      </c>
      <c r="V292" s="642" t="str">
        <f t="shared" si="43"/>
        <v/>
      </c>
      <c r="W292" s="642"/>
      <c r="X292" s="642" t="str">
        <f t="shared" si="44"/>
        <v/>
      </c>
      <c r="Y292" s="642"/>
      <c r="AL292" s="420" t="str">
        <f t="shared" si="48"/>
        <v/>
      </c>
      <c r="AM292" s="421">
        <f t="shared" si="51"/>
        <v>0</v>
      </c>
      <c r="AN292" s="637"/>
      <c r="AO292" s="637"/>
      <c r="AP292" s="634"/>
      <c r="AQ292" s="634"/>
      <c r="AR292" s="427"/>
      <c r="AS292" s="522" t="str">
        <f t="shared" si="49"/>
        <v/>
      </c>
    </row>
    <row r="293" spans="2:45" x14ac:dyDescent="0.25">
      <c r="B293" s="426" t="str">
        <f t="shared" si="45"/>
        <v/>
      </c>
      <c r="C293" s="423" t="str">
        <f t="shared" si="46"/>
        <v/>
      </c>
      <c r="D293" s="643" t="str">
        <f t="shared" si="50"/>
        <v/>
      </c>
      <c r="E293" s="643"/>
      <c r="F293" s="643" t="str">
        <f t="shared" si="40"/>
        <v/>
      </c>
      <c r="G293" s="643"/>
      <c r="H293" s="671">
        <f t="shared" si="41"/>
        <v>0</v>
      </c>
      <c r="I293" s="671"/>
      <c r="J293" s="640" t="str">
        <f t="shared" si="47"/>
        <v/>
      </c>
      <c r="K293" s="640"/>
      <c r="L293" s="631" t="str">
        <f t="shared" si="42"/>
        <v/>
      </c>
      <c r="M293" s="631"/>
      <c r="N293" s="631" t="str">
        <f>IF(B293="","",VLOOKUP(TRIM(CONCATENATE($F$20," ",$F$17," ",$F$18," ",$F$22," ",$F$21," ",$F$16," ",$F$23," ",$F$24)),Condicione_Financieras_Patrimon!B:W,22,0)*1.16)</f>
        <v/>
      </c>
      <c r="O293" s="631"/>
      <c r="P293" s="641"/>
      <c r="Q293" s="641"/>
      <c r="R293" s="631" t="str">
        <f>IF(OR(X292=0,X292=""),"",IF($F$21="Apoyo Infonavit",IF(D293&gt;=C293,0,MIN(IF($F$30="",0,Caratula_Patrimonial!$F$30),$AL$29*25)*10%),0))</f>
        <v/>
      </c>
      <c r="S293" s="631"/>
      <c r="T293" s="424" t="str">
        <f>IF(B293="","",'Tabla_Puntual&amp;Relacionamiento'!$B$87)</f>
        <v/>
      </c>
      <c r="U293" s="424"/>
      <c r="V293" s="642" t="str">
        <f t="shared" si="43"/>
        <v/>
      </c>
      <c r="W293" s="642"/>
      <c r="X293" s="642" t="str">
        <f t="shared" si="44"/>
        <v/>
      </c>
      <c r="Y293" s="642"/>
      <c r="AL293" s="420" t="str">
        <f t="shared" si="48"/>
        <v/>
      </c>
      <c r="AM293" s="421">
        <f t="shared" si="51"/>
        <v>0</v>
      </c>
      <c r="AN293" s="637"/>
      <c r="AO293" s="637"/>
      <c r="AP293" s="634"/>
      <c r="AQ293" s="634"/>
      <c r="AR293" s="427"/>
      <c r="AS293" s="522" t="str">
        <f t="shared" si="49"/>
        <v/>
      </c>
    </row>
    <row r="294" spans="2:45" x14ac:dyDescent="0.25">
      <c r="B294" s="426" t="str">
        <f t="shared" si="45"/>
        <v/>
      </c>
      <c r="C294" s="423" t="str">
        <f t="shared" si="46"/>
        <v/>
      </c>
      <c r="D294" s="643" t="str">
        <f t="shared" si="50"/>
        <v/>
      </c>
      <c r="E294" s="643"/>
      <c r="F294" s="643" t="str">
        <f t="shared" si="40"/>
        <v/>
      </c>
      <c r="G294" s="643"/>
      <c r="H294" s="671">
        <f t="shared" si="41"/>
        <v>0</v>
      </c>
      <c r="I294" s="671"/>
      <c r="J294" s="640" t="str">
        <f t="shared" si="47"/>
        <v/>
      </c>
      <c r="K294" s="640"/>
      <c r="L294" s="631" t="str">
        <f t="shared" si="42"/>
        <v/>
      </c>
      <c r="M294" s="631"/>
      <c r="N294" s="631" t="str">
        <f>IF(B294="","",VLOOKUP(TRIM(CONCATENATE($F$20," ",$F$17," ",$F$18," ",$F$22," ",$F$21," ",$F$16," ",$F$23," ",$F$24)),Condicione_Financieras_Patrimon!B:W,22,0)*1.16)</f>
        <v/>
      </c>
      <c r="O294" s="631"/>
      <c r="P294" s="641"/>
      <c r="Q294" s="641"/>
      <c r="R294" s="631"/>
      <c r="S294" s="631"/>
      <c r="T294" s="424" t="str">
        <f>IF(B294="","",'Tabla_Puntual&amp;Relacionamiento'!$B$87)</f>
        <v/>
      </c>
      <c r="U294" s="424"/>
      <c r="V294" s="642" t="str">
        <f t="shared" si="43"/>
        <v/>
      </c>
      <c r="W294" s="642"/>
      <c r="X294" s="642" t="str">
        <f t="shared" si="44"/>
        <v/>
      </c>
      <c r="Y294" s="642"/>
      <c r="AL294" s="420" t="str">
        <f t="shared" si="48"/>
        <v/>
      </c>
      <c r="AM294" s="421">
        <f t="shared" si="51"/>
        <v>0</v>
      </c>
      <c r="AN294" s="637"/>
      <c r="AO294" s="637"/>
      <c r="AP294" s="634"/>
      <c r="AQ294" s="634"/>
      <c r="AR294" s="427"/>
      <c r="AS294" s="522" t="str">
        <f t="shared" si="49"/>
        <v/>
      </c>
    </row>
    <row r="295" spans="2:45" x14ac:dyDescent="0.25">
      <c r="B295" s="426" t="str">
        <f t="shared" si="45"/>
        <v/>
      </c>
      <c r="C295" s="423" t="str">
        <f t="shared" si="46"/>
        <v/>
      </c>
      <c r="D295" s="643" t="str">
        <f t="shared" si="50"/>
        <v/>
      </c>
      <c r="E295" s="643"/>
      <c r="F295" s="643" t="str">
        <f t="shared" si="40"/>
        <v/>
      </c>
      <c r="G295" s="643"/>
      <c r="H295" s="671">
        <f t="shared" si="41"/>
        <v>0</v>
      </c>
      <c r="I295" s="671"/>
      <c r="J295" s="640" t="str">
        <f t="shared" si="47"/>
        <v/>
      </c>
      <c r="K295" s="640"/>
      <c r="L295" s="631" t="str">
        <f t="shared" si="42"/>
        <v/>
      </c>
      <c r="M295" s="631"/>
      <c r="N295" s="631" t="str">
        <f>IF(B295="","",VLOOKUP(TRIM(CONCATENATE($F$20," ",$F$17," ",$F$18," ",$F$22," ",$F$21," ",$F$16," ",$F$23," ",$F$24)),Condicione_Financieras_Patrimon!B:W,22,0)*1.16)</f>
        <v/>
      </c>
      <c r="O295" s="631"/>
      <c r="P295" s="641"/>
      <c r="Q295" s="641"/>
      <c r="R295" s="631" t="str">
        <f>IF(OR(X294=0,X294=""),"",IF($F$21="Apoyo Infonavit",IF(D295&gt;=C295,0,MIN(IF($F$30="",0,Caratula_Patrimonial!$F$30),$AL$29*25)*10%),0))</f>
        <v/>
      </c>
      <c r="S295" s="631"/>
      <c r="T295" s="424" t="str">
        <f>IF(B295="","",'Tabla_Puntual&amp;Relacionamiento'!$B$87)</f>
        <v/>
      </c>
      <c r="U295" s="424"/>
      <c r="V295" s="642" t="str">
        <f t="shared" si="43"/>
        <v/>
      </c>
      <c r="W295" s="642"/>
      <c r="X295" s="642" t="str">
        <f t="shared" si="44"/>
        <v/>
      </c>
      <c r="Y295" s="642"/>
      <c r="AL295" s="420" t="str">
        <f t="shared" si="48"/>
        <v/>
      </c>
      <c r="AM295" s="421">
        <f t="shared" si="51"/>
        <v>0</v>
      </c>
      <c r="AN295" s="637"/>
      <c r="AO295" s="637"/>
      <c r="AP295" s="634"/>
      <c r="AQ295" s="634"/>
      <c r="AR295" s="427"/>
      <c r="AS295" s="522" t="str">
        <f t="shared" si="49"/>
        <v/>
      </c>
    </row>
    <row r="296" spans="2:45" x14ac:dyDescent="0.25">
      <c r="B296" s="426" t="str">
        <f t="shared" si="45"/>
        <v/>
      </c>
      <c r="C296" s="423" t="str">
        <f t="shared" si="46"/>
        <v/>
      </c>
      <c r="D296" s="643" t="str">
        <f t="shared" si="50"/>
        <v/>
      </c>
      <c r="E296" s="643"/>
      <c r="F296" s="643" t="str">
        <f t="shared" si="40"/>
        <v/>
      </c>
      <c r="G296" s="643"/>
      <c r="H296" s="671">
        <f t="shared" si="41"/>
        <v>0</v>
      </c>
      <c r="I296" s="671"/>
      <c r="J296" s="640" t="str">
        <f t="shared" si="47"/>
        <v/>
      </c>
      <c r="K296" s="640"/>
      <c r="L296" s="631" t="str">
        <f t="shared" si="42"/>
        <v/>
      </c>
      <c r="M296" s="631"/>
      <c r="N296" s="631" t="str">
        <f>IF(B296="","",VLOOKUP(TRIM(CONCATENATE($F$20," ",$F$17," ",$F$18," ",$F$22," ",$F$21," ",$F$16," ",$F$23," ",$F$24)),Condicione_Financieras_Patrimon!B:W,22,0)*1.16)</f>
        <v/>
      </c>
      <c r="O296" s="631"/>
      <c r="P296" s="641"/>
      <c r="Q296" s="641"/>
      <c r="R296" s="631"/>
      <c r="S296" s="631"/>
      <c r="T296" s="424" t="str">
        <f>IF(B296="","",'Tabla_Puntual&amp;Relacionamiento'!$B$87)</f>
        <v/>
      </c>
      <c r="U296" s="424"/>
      <c r="V296" s="642" t="str">
        <f t="shared" si="43"/>
        <v/>
      </c>
      <c r="W296" s="642"/>
      <c r="X296" s="642" t="str">
        <f t="shared" si="44"/>
        <v/>
      </c>
      <c r="Y296" s="642"/>
      <c r="AL296" s="420" t="str">
        <f t="shared" si="48"/>
        <v/>
      </c>
      <c r="AM296" s="421">
        <f t="shared" si="51"/>
        <v>0</v>
      </c>
      <c r="AN296" s="637"/>
      <c r="AO296" s="637"/>
      <c r="AP296" s="634"/>
      <c r="AQ296" s="634"/>
      <c r="AR296" s="427"/>
      <c r="AS296" s="522" t="str">
        <f t="shared" si="49"/>
        <v/>
      </c>
    </row>
    <row r="297" spans="2:45" x14ac:dyDescent="0.25">
      <c r="B297" s="426" t="str">
        <f t="shared" si="45"/>
        <v/>
      </c>
      <c r="C297" s="423" t="str">
        <f t="shared" si="46"/>
        <v/>
      </c>
      <c r="D297" s="643" t="str">
        <f t="shared" si="50"/>
        <v/>
      </c>
      <c r="E297" s="643"/>
      <c r="F297" s="643" t="str">
        <f t="shared" si="40"/>
        <v/>
      </c>
      <c r="G297" s="643"/>
      <c r="H297" s="671">
        <f t="shared" si="41"/>
        <v>0</v>
      </c>
      <c r="I297" s="671"/>
      <c r="J297" s="640" t="str">
        <f t="shared" si="47"/>
        <v/>
      </c>
      <c r="K297" s="640"/>
      <c r="L297" s="631" t="str">
        <f t="shared" si="42"/>
        <v/>
      </c>
      <c r="M297" s="631"/>
      <c r="N297" s="631" t="str">
        <f>IF(B297="","",VLOOKUP(TRIM(CONCATENATE($F$20," ",$F$17," ",$F$18," ",$F$22," ",$F$21," ",$F$16," ",$F$23," ",$F$24)),Condicione_Financieras_Patrimon!B:W,22,0)*1.16)</f>
        <v/>
      </c>
      <c r="O297" s="631"/>
      <c r="P297" s="641"/>
      <c r="Q297" s="641"/>
      <c r="R297" s="631" t="str">
        <f>IF(OR(X296=0,X296=""),"",IF($F$21="Apoyo Infonavit",IF(D297&gt;=C297,0,MIN(IF($F$30="",0,Caratula_Patrimonial!$F$30),$AL$29*25)*10%),0))</f>
        <v/>
      </c>
      <c r="S297" s="631"/>
      <c r="T297" s="424" t="str">
        <f>IF(B297="","",'Tabla_Puntual&amp;Relacionamiento'!$B$87)</f>
        <v/>
      </c>
      <c r="U297" s="424"/>
      <c r="V297" s="642" t="str">
        <f t="shared" si="43"/>
        <v/>
      </c>
      <c r="W297" s="642"/>
      <c r="X297" s="642" t="str">
        <f t="shared" si="44"/>
        <v/>
      </c>
      <c r="Y297" s="642"/>
      <c r="AL297" s="420" t="str">
        <f t="shared" si="48"/>
        <v/>
      </c>
      <c r="AM297" s="421">
        <f t="shared" si="51"/>
        <v>0</v>
      </c>
      <c r="AN297" s="637"/>
      <c r="AO297" s="637"/>
      <c r="AP297" s="634"/>
      <c r="AQ297" s="634"/>
      <c r="AR297" s="427"/>
      <c r="AS297" s="522" t="str">
        <f t="shared" si="49"/>
        <v/>
      </c>
    </row>
    <row r="298" spans="2:45" x14ac:dyDescent="0.25">
      <c r="B298" s="426" t="str">
        <f t="shared" si="45"/>
        <v/>
      </c>
      <c r="C298" s="423" t="str">
        <f t="shared" si="46"/>
        <v/>
      </c>
      <c r="D298" s="643" t="str">
        <f t="shared" si="50"/>
        <v/>
      </c>
      <c r="E298" s="643"/>
      <c r="F298" s="643" t="str">
        <f t="shared" si="40"/>
        <v/>
      </c>
      <c r="G298" s="643"/>
      <c r="H298" s="671">
        <f t="shared" si="41"/>
        <v>0</v>
      </c>
      <c r="I298" s="671"/>
      <c r="J298" s="640" t="str">
        <f t="shared" si="47"/>
        <v/>
      </c>
      <c r="K298" s="640"/>
      <c r="L298" s="631" t="str">
        <f t="shared" si="42"/>
        <v/>
      </c>
      <c r="M298" s="631"/>
      <c r="N298" s="631" t="str">
        <f>IF(B298="","",VLOOKUP(TRIM(CONCATENATE($F$20," ",$F$17," ",$F$18," ",$F$22," ",$F$21," ",$F$16," ",$F$23," ",$F$24)),Condicione_Financieras_Patrimon!B:W,22,0)*1.16)</f>
        <v/>
      </c>
      <c r="O298" s="631"/>
      <c r="P298" s="641"/>
      <c r="Q298" s="641"/>
      <c r="R298" s="631"/>
      <c r="S298" s="631"/>
      <c r="T298" s="424" t="str">
        <f>IF(B298="","",'Tabla_Puntual&amp;Relacionamiento'!$B$87)</f>
        <v/>
      </c>
      <c r="U298" s="424"/>
      <c r="V298" s="642" t="str">
        <f t="shared" si="43"/>
        <v/>
      </c>
      <c r="W298" s="642"/>
      <c r="X298" s="642" t="str">
        <f t="shared" si="44"/>
        <v/>
      </c>
      <c r="Y298" s="642"/>
      <c r="AL298" s="420" t="str">
        <f t="shared" si="48"/>
        <v/>
      </c>
      <c r="AM298" s="421">
        <f t="shared" si="51"/>
        <v>0</v>
      </c>
      <c r="AN298" s="637"/>
      <c r="AO298" s="637"/>
      <c r="AP298" s="634"/>
      <c r="AQ298" s="634"/>
      <c r="AR298" s="427"/>
      <c r="AS298" s="522" t="str">
        <f t="shared" si="49"/>
        <v/>
      </c>
    </row>
    <row r="299" spans="2:45" x14ac:dyDescent="0.25">
      <c r="B299" s="426" t="str">
        <f t="shared" si="45"/>
        <v/>
      </c>
      <c r="C299" s="423" t="str">
        <f t="shared" si="46"/>
        <v/>
      </c>
      <c r="D299" s="643" t="str">
        <f t="shared" si="50"/>
        <v/>
      </c>
      <c r="E299" s="643"/>
      <c r="F299" s="643" t="str">
        <f t="shared" si="40"/>
        <v/>
      </c>
      <c r="G299" s="643"/>
      <c r="H299" s="671">
        <f t="shared" si="41"/>
        <v>0</v>
      </c>
      <c r="I299" s="671"/>
      <c r="J299" s="640" t="str">
        <f t="shared" si="47"/>
        <v/>
      </c>
      <c r="K299" s="640"/>
      <c r="L299" s="631" t="str">
        <f t="shared" si="42"/>
        <v/>
      </c>
      <c r="M299" s="631"/>
      <c r="N299" s="631" t="str">
        <f>IF(B299="","",VLOOKUP(TRIM(CONCATENATE($F$20," ",$F$17," ",$F$18," ",$F$22," ",$F$21," ",$F$16," ",$F$23," ",$F$24)),Condicione_Financieras_Patrimon!B:W,22,0)*1.16)</f>
        <v/>
      </c>
      <c r="O299" s="631"/>
      <c r="P299" s="641"/>
      <c r="Q299" s="641"/>
      <c r="R299" s="631" t="str">
        <f>IF(OR(X298=0,X298=""),"",IF($F$21="Apoyo Infonavit",IF(D299&gt;=C299,0,MIN(IF($F$30="",0,Caratula_Patrimonial!$F$30),$AL$29*25)*10%),0))</f>
        <v/>
      </c>
      <c r="S299" s="631"/>
      <c r="T299" s="424" t="str">
        <f>IF(B299="","",'Tabla_Puntual&amp;Relacionamiento'!$B$87)</f>
        <v/>
      </c>
      <c r="U299" s="424"/>
      <c r="V299" s="642" t="str">
        <f t="shared" si="43"/>
        <v/>
      </c>
      <c r="W299" s="642"/>
      <c r="X299" s="642" t="str">
        <f t="shared" si="44"/>
        <v/>
      </c>
      <c r="Y299" s="642"/>
      <c r="AL299" s="420" t="str">
        <f t="shared" si="48"/>
        <v/>
      </c>
      <c r="AM299" s="421">
        <f t="shared" si="51"/>
        <v>0</v>
      </c>
      <c r="AN299" s="637"/>
      <c r="AO299" s="637"/>
      <c r="AP299" s="634"/>
      <c r="AQ299" s="634"/>
      <c r="AR299" s="427"/>
      <c r="AS299" s="522" t="str">
        <f t="shared" si="49"/>
        <v/>
      </c>
    </row>
    <row r="300" spans="2:45" x14ac:dyDescent="0.25">
      <c r="B300" s="426" t="str">
        <f t="shared" si="45"/>
        <v/>
      </c>
      <c r="C300" s="423" t="str">
        <f t="shared" si="46"/>
        <v/>
      </c>
      <c r="D300" s="643" t="str">
        <f t="shared" si="50"/>
        <v/>
      </c>
      <c r="E300" s="643"/>
      <c r="F300" s="643" t="str">
        <f t="shared" si="40"/>
        <v/>
      </c>
      <c r="G300" s="643"/>
      <c r="H300" s="671">
        <f t="shared" si="41"/>
        <v>0</v>
      </c>
      <c r="I300" s="671"/>
      <c r="J300" s="640" t="str">
        <f t="shared" si="47"/>
        <v/>
      </c>
      <c r="K300" s="640"/>
      <c r="L300" s="631" t="str">
        <f t="shared" si="42"/>
        <v/>
      </c>
      <c r="M300" s="631"/>
      <c r="N300" s="631" t="str">
        <f>IF(B300="","",VLOOKUP(TRIM(CONCATENATE($F$20," ",$F$17," ",$F$18," ",$F$22," ",$F$21," ",$F$16," ",$F$23," ",$F$24)),Condicione_Financieras_Patrimon!B:W,22,0)*1.16)</f>
        <v/>
      </c>
      <c r="O300" s="631"/>
      <c r="P300" s="641"/>
      <c r="Q300" s="641"/>
      <c r="R300" s="631"/>
      <c r="S300" s="631"/>
      <c r="T300" s="424" t="str">
        <f>IF(B300="","",'Tabla_Puntual&amp;Relacionamiento'!$B$87)</f>
        <v/>
      </c>
      <c r="U300" s="424"/>
      <c r="V300" s="642" t="str">
        <f t="shared" si="43"/>
        <v/>
      </c>
      <c r="W300" s="642"/>
      <c r="X300" s="642" t="str">
        <f t="shared" si="44"/>
        <v/>
      </c>
      <c r="Y300" s="642"/>
      <c r="AL300" s="420" t="str">
        <f t="shared" si="48"/>
        <v/>
      </c>
      <c r="AM300" s="421">
        <f t="shared" si="51"/>
        <v>0</v>
      </c>
      <c r="AN300" s="637"/>
      <c r="AO300" s="637"/>
      <c r="AP300" s="634"/>
      <c r="AQ300" s="634"/>
      <c r="AR300" s="427"/>
      <c r="AS300" s="522" t="str">
        <f t="shared" si="49"/>
        <v/>
      </c>
    </row>
    <row r="301" spans="2:45" x14ac:dyDescent="0.25">
      <c r="B301" s="426" t="str">
        <f t="shared" si="45"/>
        <v/>
      </c>
      <c r="C301" s="423" t="str">
        <f t="shared" si="46"/>
        <v/>
      </c>
      <c r="D301" s="643" t="str">
        <f t="shared" si="50"/>
        <v/>
      </c>
      <c r="E301" s="643"/>
      <c r="F301" s="643" t="str">
        <f t="shared" si="40"/>
        <v/>
      </c>
      <c r="G301" s="643"/>
      <c r="H301" s="671">
        <f t="shared" si="41"/>
        <v>0</v>
      </c>
      <c r="I301" s="671"/>
      <c r="J301" s="640" t="str">
        <f t="shared" si="47"/>
        <v/>
      </c>
      <c r="K301" s="640"/>
      <c r="L301" s="631" t="str">
        <f t="shared" si="42"/>
        <v/>
      </c>
      <c r="M301" s="631"/>
      <c r="N301" s="631" t="str">
        <f>IF(B301="","",VLOOKUP(TRIM(CONCATENATE($F$20," ",$F$17," ",$F$18," ",$F$22," ",$F$21," ",$F$16," ",$F$23," ",$F$24)),Condicione_Financieras_Patrimon!B:W,22,0)*1.16)</f>
        <v/>
      </c>
      <c r="O301" s="631"/>
      <c r="P301" s="641"/>
      <c r="Q301" s="641"/>
      <c r="R301" s="631" t="str">
        <f>IF(OR(X300=0,X300=""),"",IF($F$21="Apoyo Infonavit",IF(D301&gt;=C301,0,MIN(IF($F$30="",0,Caratula_Patrimonial!$F$30),$AL$29*25)*10%),0))</f>
        <v/>
      </c>
      <c r="S301" s="631"/>
      <c r="T301" s="424" t="str">
        <f>IF(B301="","",'Tabla_Puntual&amp;Relacionamiento'!$B$87)</f>
        <v/>
      </c>
      <c r="U301" s="424"/>
      <c r="V301" s="642" t="str">
        <f t="shared" si="43"/>
        <v/>
      </c>
      <c r="W301" s="642"/>
      <c r="X301" s="642" t="str">
        <f t="shared" si="44"/>
        <v/>
      </c>
      <c r="Y301" s="642"/>
      <c r="AL301" s="420" t="str">
        <f t="shared" si="48"/>
        <v/>
      </c>
      <c r="AM301" s="421">
        <f t="shared" si="51"/>
        <v>0</v>
      </c>
      <c r="AN301" s="637"/>
      <c r="AO301" s="637"/>
      <c r="AP301" s="634"/>
      <c r="AQ301" s="634"/>
      <c r="AR301" s="427"/>
      <c r="AS301" s="522" t="str">
        <f t="shared" si="49"/>
        <v/>
      </c>
    </row>
    <row r="302" spans="2:45" x14ac:dyDescent="0.25">
      <c r="B302" s="426" t="str">
        <f t="shared" si="45"/>
        <v/>
      </c>
      <c r="C302" s="423" t="str">
        <f t="shared" si="46"/>
        <v/>
      </c>
      <c r="D302" s="643" t="str">
        <f t="shared" si="50"/>
        <v/>
      </c>
      <c r="E302" s="643"/>
      <c r="F302" s="643" t="str">
        <f t="shared" si="40"/>
        <v/>
      </c>
      <c r="G302" s="643"/>
      <c r="H302" s="671">
        <f t="shared" si="41"/>
        <v>0</v>
      </c>
      <c r="I302" s="671"/>
      <c r="J302" s="640" t="str">
        <f t="shared" si="47"/>
        <v/>
      </c>
      <c r="K302" s="640"/>
      <c r="L302" s="631" t="str">
        <f t="shared" si="42"/>
        <v/>
      </c>
      <c r="M302" s="631"/>
      <c r="N302" s="631" t="str">
        <f>IF(B302="","",VLOOKUP(TRIM(CONCATENATE($F$20," ",$F$17," ",$F$18," ",$F$22," ",$F$21," ",$F$16," ",$F$23," ",$F$24)),Condicione_Financieras_Patrimon!B:W,22,0)*1.16)</f>
        <v/>
      </c>
      <c r="O302" s="631"/>
      <c r="P302" s="641"/>
      <c r="Q302" s="641"/>
      <c r="R302" s="631"/>
      <c r="S302" s="631"/>
      <c r="T302" s="424" t="str">
        <f>IF(B302="","",'Tabla_Puntual&amp;Relacionamiento'!$B$87)</f>
        <v/>
      </c>
      <c r="U302" s="424"/>
      <c r="V302" s="642" t="str">
        <f t="shared" si="43"/>
        <v/>
      </c>
      <c r="W302" s="642"/>
      <c r="X302" s="642" t="str">
        <f t="shared" si="44"/>
        <v/>
      </c>
      <c r="Y302" s="642"/>
      <c r="AL302" s="420" t="str">
        <f t="shared" si="48"/>
        <v/>
      </c>
      <c r="AM302" s="421">
        <f t="shared" si="51"/>
        <v>0</v>
      </c>
      <c r="AN302" s="637"/>
      <c r="AO302" s="637"/>
      <c r="AP302" s="634"/>
      <c r="AQ302" s="634"/>
      <c r="AR302" s="427"/>
      <c r="AS302" s="522" t="str">
        <f t="shared" si="49"/>
        <v/>
      </c>
    </row>
    <row r="303" spans="2:45" x14ac:dyDescent="0.25">
      <c r="B303" s="426" t="str">
        <f t="shared" si="45"/>
        <v/>
      </c>
      <c r="C303" s="423" t="str">
        <f t="shared" si="46"/>
        <v/>
      </c>
      <c r="D303" s="643" t="str">
        <f t="shared" si="50"/>
        <v/>
      </c>
      <c r="E303" s="643"/>
      <c r="F303" s="643" t="str">
        <f t="shared" si="40"/>
        <v/>
      </c>
      <c r="G303" s="643"/>
      <c r="H303" s="671">
        <f t="shared" si="41"/>
        <v>0</v>
      </c>
      <c r="I303" s="671"/>
      <c r="J303" s="640" t="str">
        <f t="shared" si="47"/>
        <v/>
      </c>
      <c r="K303" s="640"/>
      <c r="L303" s="631" t="str">
        <f t="shared" si="42"/>
        <v/>
      </c>
      <c r="M303" s="631"/>
      <c r="N303" s="631" t="str">
        <f>IF(B303="","",VLOOKUP(TRIM(CONCATENATE($F$20," ",$F$17," ",$F$18," ",$F$22," ",$F$21," ",$F$16," ",$F$23," ",$F$24)),Condicione_Financieras_Patrimon!B:W,22,0)*1.16)</f>
        <v/>
      </c>
      <c r="O303" s="631"/>
      <c r="P303" s="641"/>
      <c r="Q303" s="641"/>
      <c r="R303" s="631" t="str">
        <f>IF(OR(X302=0,X302=""),"",IF($F$21="Apoyo Infonavit",IF(D303&gt;=C303,0,MIN(IF($F$30="",0,Caratula_Patrimonial!$F$30),$AL$29*25)*10%),0))</f>
        <v/>
      </c>
      <c r="S303" s="631"/>
      <c r="T303" s="424" t="str">
        <f>IF(B303="","",'Tabla_Puntual&amp;Relacionamiento'!$B$87)</f>
        <v/>
      </c>
      <c r="U303" s="424"/>
      <c r="V303" s="642" t="str">
        <f t="shared" si="43"/>
        <v/>
      </c>
      <c r="W303" s="642"/>
      <c r="X303" s="642" t="str">
        <f t="shared" si="44"/>
        <v/>
      </c>
      <c r="Y303" s="642"/>
      <c r="AL303" s="420" t="str">
        <f t="shared" si="48"/>
        <v/>
      </c>
      <c r="AM303" s="421">
        <f t="shared" si="51"/>
        <v>0</v>
      </c>
      <c r="AN303" s="637"/>
      <c r="AO303" s="637"/>
      <c r="AP303" s="634"/>
      <c r="AQ303" s="634"/>
      <c r="AR303" s="427"/>
      <c r="AS303" s="522" t="str">
        <f t="shared" si="49"/>
        <v/>
      </c>
    </row>
    <row r="304" spans="2:45" x14ac:dyDescent="0.25">
      <c r="B304" s="426" t="str">
        <f t="shared" si="45"/>
        <v/>
      </c>
      <c r="C304" s="423" t="str">
        <f t="shared" si="46"/>
        <v/>
      </c>
      <c r="D304" s="643" t="str">
        <f t="shared" si="50"/>
        <v/>
      </c>
      <c r="E304" s="643"/>
      <c r="F304" s="643" t="str">
        <f t="shared" si="40"/>
        <v/>
      </c>
      <c r="G304" s="643"/>
      <c r="H304" s="671">
        <f t="shared" si="41"/>
        <v>0</v>
      </c>
      <c r="I304" s="671"/>
      <c r="J304" s="640" t="str">
        <f t="shared" si="47"/>
        <v/>
      </c>
      <c r="K304" s="640"/>
      <c r="L304" s="631" t="str">
        <f t="shared" si="42"/>
        <v/>
      </c>
      <c r="M304" s="631"/>
      <c r="N304" s="631" t="str">
        <f>IF(B304="","",VLOOKUP(TRIM(CONCATENATE($F$20," ",$F$17," ",$F$18," ",$F$22," ",$F$21," ",$F$16," ",$F$23," ",$F$24)),Condicione_Financieras_Patrimon!B:W,22,0)*1.16)</f>
        <v/>
      </c>
      <c r="O304" s="631"/>
      <c r="P304" s="641"/>
      <c r="Q304" s="641"/>
      <c r="R304" s="631"/>
      <c r="S304" s="631"/>
      <c r="T304" s="424" t="str">
        <f>IF(B304="","",'Tabla_Puntual&amp;Relacionamiento'!$B$88)</f>
        <v/>
      </c>
      <c r="U304" s="424" t="str">
        <f>IF(B304="","",IF($F$16="Pago_Bajo_Puntual",0.019,""))</f>
        <v/>
      </c>
      <c r="V304" s="642" t="str">
        <f t="shared" si="43"/>
        <v/>
      </c>
      <c r="W304" s="642"/>
      <c r="X304" s="642" t="str">
        <f t="shared" si="44"/>
        <v/>
      </c>
      <c r="Y304" s="642"/>
      <c r="AL304" s="420" t="str">
        <f t="shared" si="48"/>
        <v/>
      </c>
      <c r="AM304" s="421">
        <f t="shared" si="51"/>
        <v>0</v>
      </c>
      <c r="AN304" s="637"/>
      <c r="AO304" s="637"/>
      <c r="AP304" s="634"/>
      <c r="AQ304" s="634"/>
      <c r="AR304" s="427"/>
      <c r="AS304" s="522" t="str">
        <f t="shared" si="49"/>
        <v/>
      </c>
    </row>
    <row r="305" spans="2:45" x14ac:dyDescent="0.25">
      <c r="B305" s="426" t="str">
        <f t="shared" si="45"/>
        <v/>
      </c>
      <c r="C305" s="423" t="str">
        <f t="shared" si="46"/>
        <v/>
      </c>
      <c r="D305" s="643" t="str">
        <f t="shared" si="50"/>
        <v/>
      </c>
      <c r="E305" s="643"/>
      <c r="F305" s="643" t="str">
        <f t="shared" si="40"/>
        <v/>
      </c>
      <c r="G305" s="643"/>
      <c r="H305" s="671">
        <f t="shared" si="41"/>
        <v>0</v>
      </c>
      <c r="I305" s="671"/>
      <c r="J305" s="640" t="str">
        <f t="shared" si="47"/>
        <v/>
      </c>
      <c r="K305" s="640"/>
      <c r="L305" s="631" t="str">
        <f t="shared" si="42"/>
        <v/>
      </c>
      <c r="M305" s="631"/>
      <c r="N305" s="631" t="str">
        <f>IF(B305="","",VLOOKUP(TRIM(CONCATENATE($F$20," ",$F$17," ",$F$18," ",$F$22," ",$F$21," ",$F$16," ",$F$23," ",$F$24)),Condicione_Financieras_Patrimon!B:W,22,0)*1.16)</f>
        <v/>
      </c>
      <c r="O305" s="631"/>
      <c r="P305" s="641"/>
      <c r="Q305" s="641"/>
      <c r="R305" s="631" t="str">
        <f>IF(OR(X304=0,X304=""),"",IF($F$21="Apoyo Infonavit",IF(D305&gt;=C305,0,MIN(IF($F$30="",0,Caratula_Patrimonial!$F$30),$AL$29*25)*10%),0))</f>
        <v/>
      </c>
      <c r="S305" s="631"/>
      <c r="T305" s="424" t="str">
        <f>IF(B305="","",'Tabla_Puntual&amp;Relacionamiento'!$B$88)</f>
        <v/>
      </c>
      <c r="U305" s="424"/>
      <c r="V305" s="642" t="str">
        <f t="shared" si="43"/>
        <v/>
      </c>
      <c r="W305" s="642"/>
      <c r="X305" s="642" t="str">
        <f t="shared" si="44"/>
        <v/>
      </c>
      <c r="Y305" s="642"/>
      <c r="AL305" s="420" t="str">
        <f t="shared" si="48"/>
        <v/>
      </c>
      <c r="AM305" s="421">
        <f t="shared" si="51"/>
        <v>0</v>
      </c>
      <c r="AN305" s="637"/>
      <c r="AO305" s="637"/>
      <c r="AP305" s="634"/>
      <c r="AQ305" s="634"/>
      <c r="AR305" s="427"/>
      <c r="AS305" s="522" t="str">
        <f t="shared" si="49"/>
        <v/>
      </c>
    </row>
    <row r="306" spans="2:45" x14ac:dyDescent="0.25">
      <c r="B306" s="426" t="str">
        <f t="shared" si="45"/>
        <v/>
      </c>
      <c r="C306" s="423" t="str">
        <f t="shared" si="46"/>
        <v/>
      </c>
      <c r="D306" s="643" t="str">
        <f t="shared" si="50"/>
        <v/>
      </c>
      <c r="E306" s="643"/>
      <c r="F306" s="643" t="str">
        <f t="shared" si="40"/>
        <v/>
      </c>
      <c r="G306" s="643"/>
      <c r="H306" s="671">
        <f t="shared" si="41"/>
        <v>0</v>
      </c>
      <c r="I306" s="671"/>
      <c r="J306" s="640" t="str">
        <f t="shared" si="47"/>
        <v/>
      </c>
      <c r="K306" s="640"/>
      <c r="L306" s="631" t="str">
        <f t="shared" si="42"/>
        <v/>
      </c>
      <c r="M306" s="631"/>
      <c r="N306" s="631" t="str">
        <f>IF(B306="","",VLOOKUP(TRIM(CONCATENATE($F$20," ",$F$17," ",$F$18," ",$F$22," ",$F$21," ",$F$16," ",$F$23," ",$F$24)),Condicione_Financieras_Patrimon!B:W,22,0)*1.16)</f>
        <v/>
      </c>
      <c r="O306" s="631"/>
      <c r="P306" s="641"/>
      <c r="Q306" s="641"/>
      <c r="R306" s="631"/>
      <c r="S306" s="631"/>
      <c r="T306" s="424" t="str">
        <f>IF(B306="","",'Tabla_Puntual&amp;Relacionamiento'!$B$88)</f>
        <v/>
      </c>
      <c r="U306" s="424"/>
      <c r="V306" s="642" t="str">
        <f t="shared" si="43"/>
        <v/>
      </c>
      <c r="W306" s="642"/>
      <c r="X306" s="642" t="str">
        <f t="shared" si="44"/>
        <v/>
      </c>
      <c r="Y306" s="642"/>
      <c r="AL306" s="420" t="str">
        <f t="shared" si="48"/>
        <v/>
      </c>
      <c r="AM306" s="421">
        <f t="shared" si="51"/>
        <v>0</v>
      </c>
      <c r="AN306" s="637"/>
      <c r="AO306" s="637"/>
      <c r="AP306" s="634"/>
      <c r="AQ306" s="634"/>
      <c r="AR306" s="427"/>
      <c r="AS306" s="522" t="str">
        <f t="shared" si="49"/>
        <v/>
      </c>
    </row>
    <row r="307" spans="2:45" x14ac:dyDescent="0.25">
      <c r="B307" s="426" t="str">
        <f t="shared" si="45"/>
        <v/>
      </c>
      <c r="C307" s="423" t="str">
        <f t="shared" si="46"/>
        <v/>
      </c>
      <c r="D307" s="643" t="str">
        <f t="shared" si="50"/>
        <v/>
      </c>
      <c r="E307" s="643"/>
      <c r="F307" s="643" t="str">
        <f t="shared" si="40"/>
        <v/>
      </c>
      <c r="G307" s="643"/>
      <c r="H307" s="671">
        <f t="shared" si="41"/>
        <v>0</v>
      </c>
      <c r="I307" s="671"/>
      <c r="J307" s="640" t="str">
        <f t="shared" si="47"/>
        <v/>
      </c>
      <c r="K307" s="640"/>
      <c r="L307" s="631" t="str">
        <f t="shared" si="42"/>
        <v/>
      </c>
      <c r="M307" s="631"/>
      <c r="N307" s="631" t="str">
        <f>IF(B307="","",VLOOKUP(TRIM(CONCATENATE($F$20," ",$F$17," ",$F$18," ",$F$22," ",$F$21," ",$F$16," ",$F$23," ",$F$24)),Condicione_Financieras_Patrimon!B:W,22,0)*1.16)</f>
        <v/>
      </c>
      <c r="O307" s="631"/>
      <c r="P307" s="641"/>
      <c r="Q307" s="641"/>
      <c r="R307" s="631" t="str">
        <f>IF(OR(X306=0,X306=""),"",IF($F$21="Apoyo Infonavit",IF(D307&gt;=C307,0,MIN(IF($F$30="",0,Caratula_Patrimonial!$F$30),$AL$29*25)*10%),0))</f>
        <v/>
      </c>
      <c r="S307" s="631"/>
      <c r="T307" s="424" t="str">
        <f>IF(B307="","",'Tabla_Puntual&amp;Relacionamiento'!$B$88)</f>
        <v/>
      </c>
      <c r="U307" s="424"/>
      <c r="V307" s="642" t="str">
        <f t="shared" si="43"/>
        <v/>
      </c>
      <c r="W307" s="642"/>
      <c r="X307" s="642" t="str">
        <f t="shared" si="44"/>
        <v/>
      </c>
      <c r="Y307" s="642"/>
      <c r="AL307" s="420" t="str">
        <f t="shared" si="48"/>
        <v/>
      </c>
      <c r="AM307" s="421">
        <f t="shared" si="51"/>
        <v>0</v>
      </c>
      <c r="AN307" s="637"/>
      <c r="AO307" s="637"/>
      <c r="AP307" s="634"/>
      <c r="AQ307" s="634"/>
      <c r="AR307" s="427"/>
      <c r="AS307" s="522" t="str">
        <f t="shared" si="49"/>
        <v/>
      </c>
    </row>
    <row r="308" spans="2:45" x14ac:dyDescent="0.25">
      <c r="B308" s="426" t="str">
        <f t="shared" si="45"/>
        <v/>
      </c>
      <c r="C308" s="423" t="str">
        <f t="shared" si="46"/>
        <v/>
      </c>
      <c r="D308" s="643" t="str">
        <f t="shared" si="50"/>
        <v/>
      </c>
      <c r="E308" s="643"/>
      <c r="F308" s="643" t="str">
        <f t="shared" si="40"/>
        <v/>
      </c>
      <c r="G308" s="643"/>
      <c r="H308" s="671">
        <f t="shared" si="41"/>
        <v>0</v>
      </c>
      <c r="I308" s="671"/>
      <c r="J308" s="640" t="str">
        <f t="shared" si="47"/>
        <v/>
      </c>
      <c r="K308" s="640"/>
      <c r="L308" s="631" t="str">
        <f t="shared" si="42"/>
        <v/>
      </c>
      <c r="M308" s="631"/>
      <c r="N308" s="631" t="str">
        <f>IF(B308="","",VLOOKUP(TRIM(CONCATENATE($F$20," ",$F$17," ",$F$18," ",$F$22," ",$F$21," ",$F$16," ",$F$23," ",$F$24)),Condicione_Financieras_Patrimon!B:W,22,0)*1.16)</f>
        <v/>
      </c>
      <c r="O308" s="631"/>
      <c r="P308" s="641"/>
      <c r="Q308" s="641"/>
      <c r="R308" s="631"/>
      <c r="S308" s="631"/>
      <c r="T308" s="424" t="str">
        <f>IF(B308="","",'Tabla_Puntual&amp;Relacionamiento'!$B$88)</f>
        <v/>
      </c>
      <c r="U308" s="424"/>
      <c r="V308" s="642" t="str">
        <f t="shared" si="43"/>
        <v/>
      </c>
      <c r="W308" s="642"/>
      <c r="X308" s="642" t="str">
        <f t="shared" si="44"/>
        <v/>
      </c>
      <c r="Y308" s="642"/>
      <c r="AL308" s="420" t="str">
        <f t="shared" si="48"/>
        <v/>
      </c>
      <c r="AM308" s="421">
        <f t="shared" si="51"/>
        <v>0</v>
      </c>
      <c r="AN308" s="637"/>
      <c r="AO308" s="637"/>
      <c r="AP308" s="634"/>
      <c r="AQ308" s="634"/>
      <c r="AR308" s="427"/>
      <c r="AS308" s="522" t="str">
        <f t="shared" si="49"/>
        <v/>
      </c>
    </row>
    <row r="309" spans="2:45" x14ac:dyDescent="0.25">
      <c r="B309" s="426" t="str">
        <f t="shared" si="45"/>
        <v/>
      </c>
      <c r="C309" s="423" t="str">
        <f t="shared" si="46"/>
        <v/>
      </c>
      <c r="D309" s="643" t="str">
        <f t="shared" si="50"/>
        <v/>
      </c>
      <c r="E309" s="643"/>
      <c r="F309" s="643" t="str">
        <f t="shared" si="40"/>
        <v/>
      </c>
      <c r="G309" s="643"/>
      <c r="H309" s="671">
        <f t="shared" si="41"/>
        <v>0</v>
      </c>
      <c r="I309" s="671"/>
      <c r="J309" s="640" t="str">
        <f t="shared" si="47"/>
        <v/>
      </c>
      <c r="K309" s="640"/>
      <c r="L309" s="631" t="str">
        <f t="shared" si="42"/>
        <v/>
      </c>
      <c r="M309" s="631"/>
      <c r="N309" s="631" t="str">
        <f>IF(B309="","",VLOOKUP(TRIM(CONCATENATE($F$20," ",$F$17," ",$F$18," ",$F$22," ",$F$21," ",$F$16," ",$F$23," ",$F$24)),Condicione_Financieras_Patrimon!B:W,22,0)*1.16)</f>
        <v/>
      </c>
      <c r="O309" s="631"/>
      <c r="P309" s="641"/>
      <c r="Q309" s="641"/>
      <c r="R309" s="631" t="str">
        <f>IF(OR(X308=0,X308=""),"",IF($F$21="Apoyo Infonavit",IF(D309&gt;=C309,0,MIN(IF($F$30="",0,Caratula_Patrimonial!$F$30),$AL$29*25)*10%),0))</f>
        <v/>
      </c>
      <c r="S309" s="631"/>
      <c r="T309" s="424" t="str">
        <f>IF(B309="","",'Tabla_Puntual&amp;Relacionamiento'!$B$88)</f>
        <v/>
      </c>
      <c r="U309" s="424"/>
      <c r="V309" s="642" t="str">
        <f t="shared" si="43"/>
        <v/>
      </c>
      <c r="W309" s="642"/>
      <c r="X309" s="642" t="str">
        <f t="shared" si="44"/>
        <v/>
      </c>
      <c r="Y309" s="642"/>
      <c r="AL309" s="420" t="str">
        <f t="shared" si="48"/>
        <v/>
      </c>
      <c r="AM309" s="421">
        <f t="shared" si="51"/>
        <v>0</v>
      </c>
      <c r="AN309" s="637"/>
      <c r="AO309" s="637"/>
      <c r="AP309" s="634"/>
      <c r="AQ309" s="634"/>
      <c r="AR309" s="427"/>
      <c r="AS309" s="522" t="str">
        <f t="shared" si="49"/>
        <v/>
      </c>
    </row>
    <row r="310" spans="2:45" x14ac:dyDescent="0.25">
      <c r="B310" s="426" t="str">
        <f t="shared" si="45"/>
        <v/>
      </c>
      <c r="C310" s="423" t="str">
        <f t="shared" si="46"/>
        <v/>
      </c>
      <c r="D310" s="643" t="str">
        <f t="shared" si="50"/>
        <v/>
      </c>
      <c r="E310" s="643"/>
      <c r="F310" s="643" t="str">
        <f t="shared" si="40"/>
        <v/>
      </c>
      <c r="G310" s="643"/>
      <c r="H310" s="671">
        <f t="shared" si="41"/>
        <v>0</v>
      </c>
      <c r="I310" s="671"/>
      <c r="J310" s="640" t="str">
        <f t="shared" si="47"/>
        <v/>
      </c>
      <c r="K310" s="640"/>
      <c r="L310" s="631" t="str">
        <f t="shared" si="42"/>
        <v/>
      </c>
      <c r="M310" s="631"/>
      <c r="N310" s="631" t="str">
        <f>IF(B310="","",VLOOKUP(TRIM(CONCATENATE($F$20," ",$F$17," ",$F$18," ",$F$22," ",$F$21," ",$F$16," ",$F$23," ",$F$24)),Condicione_Financieras_Patrimon!B:W,22,0)*1.16)</f>
        <v/>
      </c>
      <c r="O310" s="631"/>
      <c r="P310" s="641"/>
      <c r="Q310" s="641"/>
      <c r="R310" s="631"/>
      <c r="S310" s="631"/>
      <c r="T310" s="424" t="str">
        <f>IF(B310="","",'Tabla_Puntual&amp;Relacionamiento'!$B$88)</f>
        <v/>
      </c>
      <c r="U310" s="424"/>
      <c r="V310" s="642" t="str">
        <f t="shared" si="43"/>
        <v/>
      </c>
      <c r="W310" s="642"/>
      <c r="X310" s="642" t="str">
        <f t="shared" si="44"/>
        <v/>
      </c>
      <c r="Y310" s="642"/>
      <c r="AL310" s="420" t="str">
        <f t="shared" si="48"/>
        <v/>
      </c>
      <c r="AM310" s="421">
        <f t="shared" si="51"/>
        <v>0</v>
      </c>
      <c r="AN310" s="637"/>
      <c r="AO310" s="637"/>
      <c r="AP310" s="634"/>
      <c r="AQ310" s="634"/>
      <c r="AR310" s="427"/>
      <c r="AS310" s="522" t="str">
        <f t="shared" si="49"/>
        <v/>
      </c>
    </row>
    <row r="311" spans="2:45" x14ac:dyDescent="0.25">
      <c r="B311" s="426" t="str">
        <f t="shared" si="45"/>
        <v/>
      </c>
      <c r="C311" s="423" t="str">
        <f t="shared" si="46"/>
        <v/>
      </c>
      <c r="D311" s="643" t="str">
        <f t="shared" si="50"/>
        <v/>
      </c>
      <c r="E311" s="643"/>
      <c r="F311" s="643" t="str">
        <f t="shared" si="40"/>
        <v/>
      </c>
      <c r="G311" s="643"/>
      <c r="H311" s="671">
        <f t="shared" si="41"/>
        <v>0</v>
      </c>
      <c r="I311" s="671"/>
      <c r="J311" s="640" t="str">
        <f t="shared" si="47"/>
        <v/>
      </c>
      <c r="K311" s="640"/>
      <c r="L311" s="631" t="str">
        <f t="shared" si="42"/>
        <v/>
      </c>
      <c r="M311" s="631"/>
      <c r="N311" s="631" t="str">
        <f>IF(B311="","",VLOOKUP(TRIM(CONCATENATE($F$20," ",$F$17," ",$F$18," ",$F$22," ",$F$21," ",$F$16," ",$F$23," ",$F$24)),Condicione_Financieras_Patrimon!B:W,22,0)*1.16)</f>
        <v/>
      </c>
      <c r="O311" s="631"/>
      <c r="P311" s="641"/>
      <c r="Q311" s="641"/>
      <c r="R311" s="631" t="str">
        <f>IF(OR(X310=0,X310=""),"",IF($F$21="Apoyo Infonavit",IF(D311&gt;=C311,0,MIN(IF($F$30="",0,Caratula_Patrimonial!$F$30),$AL$29*25)*10%),0))</f>
        <v/>
      </c>
      <c r="S311" s="631"/>
      <c r="T311" s="424" t="str">
        <f>IF(B311="","",'Tabla_Puntual&amp;Relacionamiento'!$B$88)</f>
        <v/>
      </c>
      <c r="U311" s="424"/>
      <c r="V311" s="642" t="str">
        <f t="shared" si="43"/>
        <v/>
      </c>
      <c r="W311" s="642"/>
      <c r="X311" s="642" t="str">
        <f t="shared" si="44"/>
        <v/>
      </c>
      <c r="Y311" s="642"/>
      <c r="AL311" s="420" t="str">
        <f t="shared" si="48"/>
        <v/>
      </c>
      <c r="AM311" s="421">
        <f t="shared" si="51"/>
        <v>0</v>
      </c>
      <c r="AN311" s="637"/>
      <c r="AO311" s="637"/>
      <c r="AP311" s="634"/>
      <c r="AQ311" s="634"/>
      <c r="AR311" s="427"/>
      <c r="AS311" s="522" t="str">
        <f t="shared" si="49"/>
        <v/>
      </c>
    </row>
    <row r="312" spans="2:45" x14ac:dyDescent="0.25">
      <c r="B312" s="426" t="str">
        <f t="shared" si="45"/>
        <v/>
      </c>
      <c r="C312" s="423" t="str">
        <f t="shared" si="46"/>
        <v/>
      </c>
      <c r="D312" s="643" t="str">
        <f t="shared" si="50"/>
        <v/>
      </c>
      <c r="E312" s="643"/>
      <c r="F312" s="643" t="str">
        <f t="shared" si="40"/>
        <v/>
      </c>
      <c r="G312" s="643"/>
      <c r="H312" s="671">
        <f t="shared" si="41"/>
        <v>0</v>
      </c>
      <c r="I312" s="671"/>
      <c r="J312" s="640" t="str">
        <f t="shared" si="47"/>
        <v/>
      </c>
      <c r="K312" s="640"/>
      <c r="L312" s="631" t="str">
        <f t="shared" si="42"/>
        <v/>
      </c>
      <c r="M312" s="631"/>
      <c r="N312" s="631" t="str">
        <f>IF(B312="","",VLOOKUP(TRIM(CONCATENATE($F$20," ",$F$17," ",$F$18," ",$F$22," ",$F$21," ",$F$16," ",$F$23," ",$F$24)),Condicione_Financieras_Patrimon!B:W,22,0)*1.16)</f>
        <v/>
      </c>
      <c r="O312" s="631"/>
      <c r="P312" s="641"/>
      <c r="Q312" s="641"/>
      <c r="R312" s="631"/>
      <c r="S312" s="631"/>
      <c r="T312" s="424" t="str">
        <f>IF(B312="","",'Tabla_Puntual&amp;Relacionamiento'!$B$88)</f>
        <v/>
      </c>
      <c r="U312" s="424"/>
      <c r="V312" s="642" t="str">
        <f t="shared" si="43"/>
        <v/>
      </c>
      <c r="W312" s="642"/>
      <c r="X312" s="642" t="str">
        <f t="shared" si="44"/>
        <v/>
      </c>
      <c r="Y312" s="642"/>
      <c r="AL312" s="420" t="str">
        <f t="shared" si="48"/>
        <v/>
      </c>
      <c r="AM312" s="421">
        <f t="shared" si="51"/>
        <v>0</v>
      </c>
      <c r="AN312" s="637"/>
      <c r="AO312" s="637"/>
      <c r="AP312" s="634"/>
      <c r="AQ312" s="634"/>
      <c r="AR312" s="427"/>
      <c r="AS312" s="522" t="str">
        <f t="shared" si="49"/>
        <v/>
      </c>
    </row>
    <row r="313" spans="2:45" x14ac:dyDescent="0.25">
      <c r="B313" s="426" t="str">
        <f t="shared" si="45"/>
        <v/>
      </c>
      <c r="C313" s="423" t="str">
        <f t="shared" si="46"/>
        <v/>
      </c>
      <c r="D313" s="643" t="str">
        <f t="shared" si="50"/>
        <v/>
      </c>
      <c r="E313" s="643"/>
      <c r="F313" s="643" t="str">
        <f t="shared" si="40"/>
        <v/>
      </c>
      <c r="G313" s="643"/>
      <c r="H313" s="671">
        <f t="shared" si="41"/>
        <v>0</v>
      </c>
      <c r="I313" s="671"/>
      <c r="J313" s="640" t="str">
        <f t="shared" si="47"/>
        <v/>
      </c>
      <c r="K313" s="640"/>
      <c r="L313" s="631" t="str">
        <f t="shared" si="42"/>
        <v/>
      </c>
      <c r="M313" s="631"/>
      <c r="N313" s="631" t="str">
        <f>IF(B313="","",VLOOKUP(TRIM(CONCATENATE($F$20," ",$F$17," ",$F$18," ",$F$22," ",$F$21," ",$F$16," ",$F$23," ",$F$24)),Condicione_Financieras_Patrimon!B:W,22,0)*1.16)</f>
        <v/>
      </c>
      <c r="O313" s="631"/>
      <c r="P313" s="641"/>
      <c r="Q313" s="641"/>
      <c r="R313" s="631" t="str">
        <f>IF(OR(X312=0,X312=""),"",IF($F$21="Apoyo Infonavit",IF(D313&gt;=C313,0,MIN(IF($F$30="",0,Caratula_Patrimonial!$F$30),$AL$29*25)*10%),0))</f>
        <v/>
      </c>
      <c r="S313" s="631"/>
      <c r="T313" s="424" t="str">
        <f>IF(B313="","",'Tabla_Puntual&amp;Relacionamiento'!$B$88)</f>
        <v/>
      </c>
      <c r="U313" s="424"/>
      <c r="V313" s="642" t="str">
        <f t="shared" si="43"/>
        <v/>
      </c>
      <c r="W313" s="642"/>
      <c r="X313" s="642" t="str">
        <f t="shared" si="44"/>
        <v/>
      </c>
      <c r="Y313" s="642"/>
      <c r="AL313" s="420" t="str">
        <f t="shared" si="48"/>
        <v/>
      </c>
      <c r="AM313" s="421">
        <f t="shared" si="51"/>
        <v>0</v>
      </c>
      <c r="AN313" s="637"/>
      <c r="AO313" s="637"/>
      <c r="AP313" s="634"/>
      <c r="AQ313" s="634"/>
      <c r="AR313" s="427"/>
      <c r="AS313" s="522" t="str">
        <f t="shared" si="49"/>
        <v/>
      </c>
    </row>
    <row r="314" spans="2:45" x14ac:dyDescent="0.25">
      <c r="B314" s="426" t="str">
        <f t="shared" si="45"/>
        <v/>
      </c>
      <c r="C314" s="423" t="str">
        <f t="shared" si="46"/>
        <v/>
      </c>
      <c r="D314" s="643" t="str">
        <f t="shared" si="50"/>
        <v/>
      </c>
      <c r="E314" s="643"/>
      <c r="F314" s="643" t="str">
        <f t="shared" si="40"/>
        <v/>
      </c>
      <c r="G314" s="643"/>
      <c r="H314" s="671">
        <f t="shared" si="41"/>
        <v>0</v>
      </c>
      <c r="I314" s="671"/>
      <c r="J314" s="640" t="str">
        <f t="shared" si="47"/>
        <v/>
      </c>
      <c r="K314" s="640"/>
      <c r="L314" s="631" t="str">
        <f t="shared" si="42"/>
        <v/>
      </c>
      <c r="M314" s="631"/>
      <c r="N314" s="631" t="str">
        <f>IF(B314="","",VLOOKUP(TRIM(CONCATENATE($F$20," ",$F$17," ",$F$18," ",$F$22," ",$F$21," ",$F$16," ",$F$23," ",$F$24)),Condicione_Financieras_Patrimon!B:W,22,0)*1.16)</f>
        <v/>
      </c>
      <c r="O314" s="631"/>
      <c r="P314" s="641"/>
      <c r="Q314" s="641"/>
      <c r="R314" s="631"/>
      <c r="S314" s="631"/>
      <c r="T314" s="424" t="str">
        <f>IF(B314="","",'Tabla_Puntual&amp;Relacionamiento'!$B$88)</f>
        <v/>
      </c>
      <c r="U314" s="424"/>
      <c r="V314" s="642" t="str">
        <f t="shared" si="43"/>
        <v/>
      </c>
      <c r="W314" s="642"/>
      <c r="X314" s="642" t="str">
        <f t="shared" si="44"/>
        <v/>
      </c>
      <c r="Y314" s="642"/>
      <c r="AL314" s="420" t="str">
        <f t="shared" si="48"/>
        <v/>
      </c>
      <c r="AM314" s="421">
        <f t="shared" si="51"/>
        <v>0</v>
      </c>
      <c r="AN314" s="637"/>
      <c r="AO314" s="637"/>
      <c r="AP314" s="634"/>
      <c r="AQ314" s="634"/>
      <c r="AR314" s="427"/>
      <c r="AS314" s="522" t="str">
        <f t="shared" si="49"/>
        <v/>
      </c>
    </row>
    <row r="315" spans="2:45" x14ac:dyDescent="0.25">
      <c r="B315" s="426" t="str">
        <f t="shared" si="45"/>
        <v/>
      </c>
      <c r="C315" s="423" t="str">
        <f t="shared" si="46"/>
        <v/>
      </c>
      <c r="D315" s="643" t="str">
        <f t="shared" si="50"/>
        <v/>
      </c>
      <c r="E315" s="643"/>
      <c r="F315" s="643" t="str">
        <f t="shared" si="40"/>
        <v/>
      </c>
      <c r="G315" s="643"/>
      <c r="H315" s="671">
        <f t="shared" si="41"/>
        <v>0</v>
      </c>
      <c r="I315" s="671"/>
      <c r="J315" s="640" t="str">
        <f t="shared" si="47"/>
        <v/>
      </c>
      <c r="K315" s="640"/>
      <c r="L315" s="631" t="str">
        <f t="shared" si="42"/>
        <v/>
      </c>
      <c r="M315" s="631"/>
      <c r="N315" s="631" t="str">
        <f>IF(B315="","",VLOOKUP(TRIM(CONCATENATE($F$20," ",$F$17," ",$F$18," ",$F$22," ",$F$21," ",$F$16," ",$F$23," ",$F$24)),Condicione_Financieras_Patrimon!B:W,22,0)*1.16)</f>
        <v/>
      </c>
      <c r="O315" s="631"/>
      <c r="P315" s="641"/>
      <c r="Q315" s="641"/>
      <c r="R315" s="631" t="str">
        <f>IF(OR(X314=0,X314=""),"",IF($F$21="Apoyo Infonavit",IF(D315&gt;=C315,0,MIN(IF($F$30="",0,Caratula_Patrimonial!$F$30),$AL$29*25)*10%),0))</f>
        <v/>
      </c>
      <c r="S315" s="631"/>
      <c r="T315" s="424" t="str">
        <f>IF(B315="","",'Tabla_Puntual&amp;Relacionamiento'!$B$88)</f>
        <v/>
      </c>
      <c r="U315" s="424"/>
      <c r="V315" s="642" t="str">
        <f t="shared" si="43"/>
        <v/>
      </c>
      <c r="W315" s="642"/>
      <c r="X315" s="642" t="str">
        <f t="shared" si="44"/>
        <v/>
      </c>
      <c r="Y315" s="642"/>
      <c r="AL315" s="420" t="str">
        <f t="shared" si="48"/>
        <v/>
      </c>
      <c r="AM315" s="421">
        <f t="shared" si="51"/>
        <v>0</v>
      </c>
      <c r="AN315" s="637"/>
      <c r="AO315" s="637"/>
      <c r="AP315" s="634"/>
      <c r="AQ315" s="634"/>
      <c r="AR315" s="427"/>
      <c r="AS315" s="522" t="str">
        <f t="shared" si="49"/>
        <v/>
      </c>
    </row>
    <row r="316" spans="2:45" x14ac:dyDescent="0.25">
      <c r="B316" s="426" t="str">
        <f t="shared" si="45"/>
        <v/>
      </c>
      <c r="C316" s="423" t="str">
        <f t="shared" si="46"/>
        <v/>
      </c>
      <c r="D316" s="643" t="str">
        <f t="shared" si="50"/>
        <v/>
      </c>
      <c r="E316" s="643"/>
      <c r="F316" s="643" t="str">
        <f t="shared" si="40"/>
        <v/>
      </c>
      <c r="G316" s="643"/>
      <c r="H316" s="671">
        <f t="shared" si="41"/>
        <v>0</v>
      </c>
      <c r="I316" s="671"/>
      <c r="J316" s="640" t="str">
        <f t="shared" si="47"/>
        <v/>
      </c>
      <c r="K316" s="640"/>
      <c r="L316" s="631" t="str">
        <f t="shared" si="42"/>
        <v/>
      </c>
      <c r="M316" s="631"/>
      <c r="N316" s="631" t="str">
        <f>IF(B316="","",VLOOKUP(TRIM(CONCATENATE($F$20," ",$F$17," ",$F$18," ",$F$22," ",$F$21," ",$F$16," ",$F$23," ",$F$24)),Condicione_Financieras_Patrimon!B:W,22,0)*1.16)</f>
        <v/>
      </c>
      <c r="O316" s="631"/>
      <c r="P316" s="641"/>
      <c r="Q316" s="641"/>
      <c r="R316" s="631"/>
      <c r="S316" s="631"/>
      <c r="T316" s="424" t="str">
        <f>IF(B316="","",'Tabla_Puntual&amp;Relacionamiento'!$B$89)</f>
        <v/>
      </c>
      <c r="U316" s="424" t="str">
        <f>IF(B316="","",IF($F$16="Pago_Bajo_Puntual",0.019,""))</f>
        <v/>
      </c>
      <c r="V316" s="642" t="str">
        <f t="shared" si="43"/>
        <v/>
      </c>
      <c r="W316" s="642"/>
      <c r="X316" s="642" t="str">
        <f t="shared" si="44"/>
        <v/>
      </c>
      <c r="Y316" s="642"/>
      <c r="AL316" s="420" t="str">
        <f t="shared" si="48"/>
        <v/>
      </c>
      <c r="AM316" s="421">
        <f t="shared" si="51"/>
        <v>0</v>
      </c>
      <c r="AN316" s="637"/>
      <c r="AO316" s="637"/>
      <c r="AP316" s="634"/>
      <c r="AQ316" s="634"/>
      <c r="AR316" s="427"/>
      <c r="AS316" s="522" t="str">
        <f t="shared" si="49"/>
        <v/>
      </c>
    </row>
    <row r="317" spans="2:45" x14ac:dyDescent="0.25">
      <c r="B317" s="426" t="str">
        <f t="shared" si="45"/>
        <v/>
      </c>
      <c r="C317" s="423" t="str">
        <f t="shared" si="46"/>
        <v/>
      </c>
      <c r="D317" s="643" t="str">
        <f t="shared" si="50"/>
        <v/>
      </c>
      <c r="E317" s="643"/>
      <c r="F317" s="643" t="str">
        <f t="shared" si="40"/>
        <v/>
      </c>
      <c r="G317" s="643"/>
      <c r="H317" s="671">
        <f t="shared" si="41"/>
        <v>0</v>
      </c>
      <c r="I317" s="671"/>
      <c r="J317" s="640" t="str">
        <f t="shared" si="47"/>
        <v/>
      </c>
      <c r="K317" s="640"/>
      <c r="L317" s="631" t="str">
        <f t="shared" si="42"/>
        <v/>
      </c>
      <c r="M317" s="631"/>
      <c r="N317" s="631" t="str">
        <f>IF(B317="","",VLOOKUP(TRIM(CONCATENATE($F$20," ",$F$17," ",$F$18," ",$F$22," ",$F$21," ",$F$16," ",$F$23," ",$F$24)),Condicione_Financieras_Patrimon!B:W,22,0)*1.16)</f>
        <v/>
      </c>
      <c r="O317" s="631"/>
      <c r="P317" s="641"/>
      <c r="Q317" s="641"/>
      <c r="R317" s="631" t="str">
        <f>IF(OR(X316=0,X316=""),"",IF($F$21="Apoyo Infonavit",IF(D317&gt;=C317,0,MIN(IF($F$30="",0,Caratula_Patrimonial!$F$30),$AL$29*25)*10%),0))</f>
        <v/>
      </c>
      <c r="S317" s="631"/>
      <c r="T317" s="424" t="str">
        <f>IF(B317="","",'Tabla_Puntual&amp;Relacionamiento'!$B$89)</f>
        <v/>
      </c>
      <c r="U317" s="424"/>
      <c r="V317" s="642" t="str">
        <f t="shared" si="43"/>
        <v/>
      </c>
      <c r="W317" s="642"/>
      <c r="X317" s="642" t="str">
        <f t="shared" si="44"/>
        <v/>
      </c>
      <c r="Y317" s="642"/>
      <c r="AL317" s="420" t="str">
        <f t="shared" si="48"/>
        <v/>
      </c>
      <c r="AM317" s="421">
        <f t="shared" si="51"/>
        <v>0</v>
      </c>
      <c r="AN317" s="637"/>
      <c r="AO317" s="637"/>
      <c r="AP317" s="634"/>
      <c r="AQ317" s="634"/>
      <c r="AR317" s="427"/>
      <c r="AS317" s="522" t="str">
        <f t="shared" si="49"/>
        <v/>
      </c>
    </row>
    <row r="318" spans="2:45" x14ac:dyDescent="0.25">
      <c r="B318" s="426" t="str">
        <f t="shared" si="45"/>
        <v/>
      </c>
      <c r="C318" s="423" t="str">
        <f t="shared" si="46"/>
        <v/>
      </c>
      <c r="D318" s="643" t="str">
        <f t="shared" si="50"/>
        <v/>
      </c>
      <c r="E318" s="643"/>
      <c r="F318" s="643" t="str">
        <f t="shared" si="40"/>
        <v/>
      </c>
      <c r="G318" s="643"/>
      <c r="H318" s="671">
        <f t="shared" si="41"/>
        <v>0</v>
      </c>
      <c r="I318" s="671"/>
      <c r="J318" s="640" t="str">
        <f t="shared" si="47"/>
        <v/>
      </c>
      <c r="K318" s="640"/>
      <c r="L318" s="631" t="str">
        <f t="shared" si="42"/>
        <v/>
      </c>
      <c r="M318" s="631"/>
      <c r="N318" s="631" t="str">
        <f>IF(B318="","",VLOOKUP(TRIM(CONCATENATE($F$20," ",$F$17," ",$F$18," ",$F$22," ",$F$21," ",$F$16," ",$F$23," ",$F$24)),Condicione_Financieras_Patrimon!B:W,22,0)*1.16)</f>
        <v/>
      </c>
      <c r="O318" s="631"/>
      <c r="P318" s="641"/>
      <c r="Q318" s="641"/>
      <c r="R318" s="631"/>
      <c r="S318" s="631"/>
      <c r="T318" s="424" t="str">
        <f>IF(B318="","",'Tabla_Puntual&amp;Relacionamiento'!$B$89)</f>
        <v/>
      </c>
      <c r="U318" s="424"/>
      <c r="V318" s="642" t="str">
        <f t="shared" si="43"/>
        <v/>
      </c>
      <c r="W318" s="642"/>
      <c r="X318" s="642" t="str">
        <f t="shared" si="44"/>
        <v/>
      </c>
      <c r="Y318" s="642"/>
      <c r="AL318" s="420" t="str">
        <f t="shared" si="48"/>
        <v/>
      </c>
      <c r="AM318" s="421">
        <f t="shared" si="51"/>
        <v>0</v>
      </c>
      <c r="AN318" s="637"/>
      <c r="AO318" s="637"/>
      <c r="AP318" s="634"/>
      <c r="AQ318" s="634"/>
      <c r="AR318" s="427"/>
      <c r="AS318" s="522" t="str">
        <f t="shared" si="49"/>
        <v/>
      </c>
    </row>
    <row r="319" spans="2:45" x14ac:dyDescent="0.25">
      <c r="B319" s="426" t="str">
        <f t="shared" si="45"/>
        <v/>
      </c>
      <c r="C319" s="423" t="str">
        <f t="shared" si="46"/>
        <v/>
      </c>
      <c r="D319" s="643" t="str">
        <f t="shared" si="50"/>
        <v/>
      </c>
      <c r="E319" s="643"/>
      <c r="F319" s="643" t="str">
        <f t="shared" si="40"/>
        <v/>
      </c>
      <c r="G319" s="643"/>
      <c r="H319" s="671">
        <f t="shared" si="41"/>
        <v>0</v>
      </c>
      <c r="I319" s="671"/>
      <c r="J319" s="640" t="str">
        <f t="shared" si="47"/>
        <v/>
      </c>
      <c r="K319" s="640"/>
      <c r="L319" s="631" t="str">
        <f t="shared" si="42"/>
        <v/>
      </c>
      <c r="M319" s="631"/>
      <c r="N319" s="631" t="str">
        <f>IF(B319="","",VLOOKUP(TRIM(CONCATENATE($F$20," ",$F$17," ",$F$18," ",$F$22," ",$F$21," ",$F$16," ",$F$23," ",$F$24)),Condicione_Financieras_Patrimon!B:W,22,0)*1.16)</f>
        <v/>
      </c>
      <c r="O319" s="631"/>
      <c r="P319" s="641"/>
      <c r="Q319" s="641"/>
      <c r="R319" s="631" t="str">
        <f>IF(OR(X318=0,X318=""),"",IF($F$21="Apoyo Infonavit",IF(D319&gt;=C319,0,MIN(IF($F$30="",0,Caratula_Patrimonial!$F$30),$AL$29*25)*10%),0))</f>
        <v/>
      </c>
      <c r="S319" s="631"/>
      <c r="T319" s="424" t="str">
        <f>IF(B319="","",'Tabla_Puntual&amp;Relacionamiento'!$B$89)</f>
        <v/>
      </c>
      <c r="U319" s="424"/>
      <c r="V319" s="642" t="str">
        <f t="shared" si="43"/>
        <v/>
      </c>
      <c r="W319" s="642"/>
      <c r="X319" s="642" t="str">
        <f t="shared" si="44"/>
        <v/>
      </c>
      <c r="Y319" s="642"/>
      <c r="AL319" s="420" t="str">
        <f t="shared" si="48"/>
        <v/>
      </c>
      <c r="AM319" s="421">
        <f t="shared" si="51"/>
        <v>0</v>
      </c>
      <c r="AN319" s="637"/>
      <c r="AO319" s="637"/>
      <c r="AP319" s="634"/>
      <c r="AQ319" s="634"/>
      <c r="AR319" s="427"/>
      <c r="AS319" s="522" t="str">
        <f t="shared" si="49"/>
        <v/>
      </c>
    </row>
    <row r="320" spans="2:45" x14ac:dyDescent="0.25">
      <c r="B320" s="426" t="str">
        <f t="shared" si="45"/>
        <v/>
      </c>
      <c r="C320" s="423" t="str">
        <f t="shared" si="46"/>
        <v/>
      </c>
      <c r="D320" s="643" t="str">
        <f t="shared" si="50"/>
        <v/>
      </c>
      <c r="E320" s="643"/>
      <c r="F320" s="643" t="str">
        <f t="shared" ref="F320:F363" si="52">IF(B320="","",IF(X319*(T320/12)&lt;0,"",X319*(T320/12)))</f>
        <v/>
      </c>
      <c r="G320" s="643"/>
      <c r="H320" s="671">
        <f t="shared" ref="H320:H363" si="53">IFERROR(IF($F$20="Liquidez",F320*0.16,
IF(AND($F$20="Pago_Hipoteca+Liquidez",$F$36="Liquidez"),F320*0.16,0)),0)</f>
        <v>0</v>
      </c>
      <c r="I320" s="671"/>
      <c r="J320" s="640" t="str">
        <f t="shared" si="47"/>
        <v/>
      </c>
      <c r="K320" s="640"/>
      <c r="L320" s="631" t="str">
        <f t="shared" ref="L320:L363" si="54">IF(B320="","",IF(AND($F$20="Pago_Hipoteca+Liquidez",$F$36="Liquidez"),0,
IF((($F$28*0.7)*$AQ$38)&gt;C320*$AQ$38,($F$28*0.7)*($AQ$38)/1000,($AQ$38*C320)/1000)))</f>
        <v/>
      </c>
      <c r="M320" s="631"/>
      <c r="N320" s="631" t="str">
        <f>IF(B320="","",VLOOKUP(TRIM(CONCATENATE($F$20," ",$F$17," ",$F$18," ",$F$22," ",$F$21," ",$F$16," ",$F$23," ",$F$24)),Condicione_Financieras_Patrimon!B:W,22,0)*1.16)</f>
        <v/>
      </c>
      <c r="O320" s="631"/>
      <c r="P320" s="641"/>
      <c r="Q320" s="641"/>
      <c r="R320" s="631"/>
      <c r="S320" s="631"/>
      <c r="T320" s="424" t="str">
        <f>IF(B320="","",'Tabla_Puntual&amp;Relacionamiento'!$B$89)</f>
        <v/>
      </c>
      <c r="U320" s="424"/>
      <c r="V320" s="642" t="str">
        <f t="shared" ref="V320:V363" si="55">IF(B320="","",D320+F320+H320+J320+L320+N320)</f>
        <v/>
      </c>
      <c r="W320" s="642"/>
      <c r="X320" s="642" t="str">
        <f t="shared" ref="X320:X363" si="56">IFERROR(IF(C320="","",IF((C320-D320-P320+AN320+AP320-R320)&lt;1,0,C320-D320-P320+AN320+AP320-R320)),0)</f>
        <v/>
      </c>
      <c r="Y320" s="642"/>
      <c r="AL320" s="420" t="str">
        <f t="shared" si="48"/>
        <v/>
      </c>
      <c r="AM320" s="421">
        <f t="shared" si="51"/>
        <v>0</v>
      </c>
      <c r="AN320" s="637"/>
      <c r="AO320" s="637"/>
      <c r="AP320" s="634"/>
      <c r="AQ320" s="634"/>
      <c r="AR320" s="427"/>
      <c r="AS320" s="522" t="str">
        <f t="shared" si="49"/>
        <v/>
      </c>
    </row>
    <row r="321" spans="2:45" x14ac:dyDescent="0.25">
      <c r="B321" s="426" t="str">
        <f t="shared" ref="B321:B363" si="57">IF(OR(B320="",X320&lt;=0),"",IF(B320+1&lt;=F$23*12,B320+1,""))</f>
        <v/>
      </c>
      <c r="C321" s="423" t="str">
        <f t="shared" ref="C321:C363" si="58">IF(B321="","",IF(IF(C320="","",C320-D320-R320)&lt;0.01,AQ320,IF(C320="","",X320)))</f>
        <v/>
      </c>
      <c r="D321" s="643" t="str">
        <f t="shared" si="50"/>
        <v/>
      </c>
      <c r="E321" s="643"/>
      <c r="F321" s="643" t="str">
        <f t="shared" si="52"/>
        <v/>
      </c>
      <c r="G321" s="643"/>
      <c r="H321" s="671">
        <f t="shared" si="53"/>
        <v>0</v>
      </c>
      <c r="I321" s="671"/>
      <c r="J321" s="640" t="str">
        <f t="shared" ref="J321:J363" si="59">IF(B321="","",C321*$AQ$35/1000)</f>
        <v/>
      </c>
      <c r="K321" s="640"/>
      <c r="L321" s="631" t="str">
        <f t="shared" si="54"/>
        <v/>
      </c>
      <c r="M321" s="631"/>
      <c r="N321" s="631" t="str">
        <f>IF(B321="","",VLOOKUP(TRIM(CONCATENATE($F$20," ",$F$17," ",$F$18," ",$F$22," ",$F$21," ",$F$16," ",$F$23," ",$F$24)),Condicione_Financieras_Patrimon!B:W,22,0)*1.16)</f>
        <v/>
      </c>
      <c r="O321" s="631"/>
      <c r="P321" s="641"/>
      <c r="Q321" s="641"/>
      <c r="R321" s="631" t="str">
        <f>IF(OR(X320=0,X320=""),"",IF($F$21="Apoyo Infonavit",IF(D321&gt;=C321,0,MIN(IF($F$30="",0,Caratula_Patrimonial!$F$30),$AL$29*25)*10%),0))</f>
        <v/>
      </c>
      <c r="S321" s="631"/>
      <c r="T321" s="424" t="str">
        <f>IF(B321="","",'Tabla_Puntual&amp;Relacionamiento'!$B$89)</f>
        <v/>
      </c>
      <c r="U321" s="424"/>
      <c r="V321" s="642" t="str">
        <f t="shared" si="55"/>
        <v/>
      </c>
      <c r="W321" s="642"/>
      <c r="X321" s="642" t="str">
        <f t="shared" si="56"/>
        <v/>
      </c>
      <c r="Y321" s="642"/>
      <c r="AL321" s="420" t="str">
        <f t="shared" ref="AL321:AL363" si="60">IF(B321="","",
IF(X320&lt;AL320,X320+F321,
IF($F$16="Pago_Fijo_Puntual",$X$63*$AQ$40/1000,
IF($F$16="Pago_Bajo_Puntual",AL320+(AL320*U321)))))</f>
        <v/>
      </c>
      <c r="AM321" s="421">
        <f t="shared" si="51"/>
        <v>0</v>
      </c>
      <c r="AN321" s="637"/>
      <c r="AO321" s="637"/>
      <c r="AP321" s="634"/>
      <c r="AQ321" s="634"/>
      <c r="AR321" s="427"/>
      <c r="AS321" s="522" t="str">
        <f t="shared" ref="AS321:AS363" si="61">IF(B321="","",IF(AND($F$20="Pago_Hipoteca+Liquidez",$F$36="Liquidez"),0,
IF((($F$28*0.7)*$AQ$38/1.16)&gt;C321*$AQ$38/1.16,($F$28*0.7)*($AQ$38/1.16),($AQ$38/1.16)*C321)/1000))</f>
        <v/>
      </c>
    </row>
    <row r="322" spans="2:45" x14ac:dyDescent="0.25">
      <c r="B322" s="426" t="str">
        <f t="shared" si="57"/>
        <v/>
      </c>
      <c r="C322" s="423" t="str">
        <f t="shared" si="58"/>
        <v/>
      </c>
      <c r="D322" s="643" t="str">
        <f t="shared" ref="D322:D363" si="62">IF(B322="","",AL322-F322)</f>
        <v/>
      </c>
      <c r="E322" s="643"/>
      <c r="F322" s="643" t="str">
        <f t="shared" si="52"/>
        <v/>
      </c>
      <c r="G322" s="643"/>
      <c r="H322" s="671">
        <f t="shared" si="53"/>
        <v>0</v>
      </c>
      <c r="I322" s="671"/>
      <c r="J322" s="640" t="str">
        <f t="shared" si="59"/>
        <v/>
      </c>
      <c r="K322" s="640"/>
      <c r="L322" s="631" t="str">
        <f t="shared" si="54"/>
        <v/>
      </c>
      <c r="M322" s="631"/>
      <c r="N322" s="631" t="str">
        <f>IF(B322="","",VLOOKUP(TRIM(CONCATENATE($F$20," ",$F$17," ",$F$18," ",$F$22," ",$F$21," ",$F$16," ",$F$23," ",$F$24)),Condicione_Financieras_Patrimon!B:W,22,0)*1.16)</f>
        <v/>
      </c>
      <c r="O322" s="631"/>
      <c r="P322" s="641"/>
      <c r="Q322" s="641"/>
      <c r="R322" s="631"/>
      <c r="S322" s="631"/>
      <c r="T322" s="424" t="str">
        <f>IF(B322="","",'Tabla_Puntual&amp;Relacionamiento'!$B$89)</f>
        <v/>
      </c>
      <c r="U322" s="424"/>
      <c r="V322" s="642" t="str">
        <f t="shared" si="55"/>
        <v/>
      </c>
      <c r="W322" s="642"/>
      <c r="X322" s="642" t="str">
        <f t="shared" si="56"/>
        <v/>
      </c>
      <c r="Y322" s="642"/>
      <c r="AL322" s="420" t="str">
        <f t="shared" si="60"/>
        <v/>
      </c>
      <c r="AM322" s="421">
        <f t="shared" si="51"/>
        <v>0</v>
      </c>
      <c r="AN322" s="637"/>
      <c r="AO322" s="637"/>
      <c r="AP322" s="634"/>
      <c r="AQ322" s="634"/>
      <c r="AR322" s="427"/>
      <c r="AS322" s="522" t="str">
        <f t="shared" si="61"/>
        <v/>
      </c>
    </row>
    <row r="323" spans="2:45" x14ac:dyDescent="0.25">
      <c r="B323" s="426" t="str">
        <f t="shared" si="57"/>
        <v/>
      </c>
      <c r="C323" s="423" t="str">
        <f t="shared" si="58"/>
        <v/>
      </c>
      <c r="D323" s="643" t="str">
        <f t="shared" si="62"/>
        <v/>
      </c>
      <c r="E323" s="643"/>
      <c r="F323" s="643" t="str">
        <f t="shared" si="52"/>
        <v/>
      </c>
      <c r="G323" s="643"/>
      <c r="H323" s="671">
        <f t="shared" si="53"/>
        <v>0</v>
      </c>
      <c r="I323" s="671"/>
      <c r="J323" s="640" t="str">
        <f t="shared" si="59"/>
        <v/>
      </c>
      <c r="K323" s="640"/>
      <c r="L323" s="631" t="str">
        <f t="shared" si="54"/>
        <v/>
      </c>
      <c r="M323" s="631"/>
      <c r="N323" s="631" t="str">
        <f>IF(B323="","",VLOOKUP(TRIM(CONCATENATE($F$20," ",$F$17," ",$F$18," ",$F$22," ",$F$21," ",$F$16," ",$F$23," ",$F$24)),Condicione_Financieras_Patrimon!B:W,22,0)*1.16)</f>
        <v/>
      </c>
      <c r="O323" s="631"/>
      <c r="P323" s="641"/>
      <c r="Q323" s="641"/>
      <c r="R323" s="631"/>
      <c r="S323" s="631"/>
      <c r="T323" s="424" t="str">
        <f>IF(B323="","",'Tabla_Puntual&amp;Relacionamiento'!$B$89)</f>
        <v/>
      </c>
      <c r="U323" s="424"/>
      <c r="V323" s="642" t="str">
        <f t="shared" si="55"/>
        <v/>
      </c>
      <c r="W323" s="642"/>
      <c r="X323" s="642" t="str">
        <f t="shared" si="56"/>
        <v/>
      </c>
      <c r="Y323" s="642"/>
      <c r="AL323" s="420" t="str">
        <f t="shared" si="60"/>
        <v/>
      </c>
      <c r="AM323" s="421">
        <f t="shared" ref="AM323:AM363" si="63">IF(C323="",0,AL323+J323+AS323+(N323/1.16)+R323)</f>
        <v>0</v>
      </c>
      <c r="AN323" s="637"/>
      <c r="AO323" s="637"/>
      <c r="AP323" s="634"/>
      <c r="AQ323" s="634"/>
      <c r="AR323" s="427"/>
      <c r="AS323" s="522" t="str">
        <f t="shared" si="61"/>
        <v/>
      </c>
    </row>
    <row r="324" spans="2:45" x14ac:dyDescent="0.25">
      <c r="B324" s="426" t="str">
        <f t="shared" si="57"/>
        <v/>
      </c>
      <c r="C324" s="423" t="str">
        <f t="shared" si="58"/>
        <v/>
      </c>
      <c r="D324" s="643" t="str">
        <f t="shared" si="62"/>
        <v/>
      </c>
      <c r="E324" s="643"/>
      <c r="F324" s="643" t="str">
        <f t="shared" si="52"/>
        <v/>
      </c>
      <c r="G324" s="643"/>
      <c r="H324" s="671">
        <f t="shared" si="53"/>
        <v>0</v>
      </c>
      <c r="I324" s="671"/>
      <c r="J324" s="640" t="str">
        <f t="shared" si="59"/>
        <v/>
      </c>
      <c r="K324" s="640"/>
      <c r="L324" s="631" t="str">
        <f t="shared" si="54"/>
        <v/>
      </c>
      <c r="M324" s="631"/>
      <c r="N324" s="631" t="str">
        <f>IF(B324="","",VLOOKUP(TRIM(CONCATENATE($F$20," ",$F$17," ",$F$18," ",$F$22," ",$F$21," ",$F$16," ",$F$23," ",$F$24)),Condicione_Financieras_Patrimon!B:W,22,0)*1.16)</f>
        <v/>
      </c>
      <c r="O324" s="631"/>
      <c r="P324" s="641"/>
      <c r="Q324" s="641"/>
      <c r="R324" s="631" t="str">
        <f>IF(OR(X323=0,X323=""),"",IF($F$21="Apoyo Infonavit",IF(D324&gt;=C324,0,MIN(IF($F$30="",0,Caratula_Patrimonial!$F$30),$AL$29*25)*10%),0))</f>
        <v/>
      </c>
      <c r="S324" s="631"/>
      <c r="T324" s="424" t="str">
        <f>IF(B324="","",'Tabla_Puntual&amp;Relacionamiento'!$B$89)</f>
        <v/>
      </c>
      <c r="U324" s="424"/>
      <c r="V324" s="642" t="str">
        <f t="shared" si="55"/>
        <v/>
      </c>
      <c r="W324" s="642"/>
      <c r="X324" s="642" t="str">
        <f t="shared" si="56"/>
        <v/>
      </c>
      <c r="Y324" s="642"/>
      <c r="AL324" s="420" t="str">
        <f t="shared" si="60"/>
        <v/>
      </c>
      <c r="AM324" s="421">
        <f t="shared" si="63"/>
        <v>0</v>
      </c>
      <c r="AN324" s="637"/>
      <c r="AO324" s="637"/>
      <c r="AP324" s="634"/>
      <c r="AQ324" s="634"/>
      <c r="AR324" s="427"/>
      <c r="AS324" s="522" t="str">
        <f t="shared" si="61"/>
        <v/>
      </c>
    </row>
    <row r="325" spans="2:45" x14ac:dyDescent="0.25">
      <c r="B325" s="426" t="str">
        <f t="shared" si="57"/>
        <v/>
      </c>
      <c r="C325" s="423" t="str">
        <f t="shared" si="58"/>
        <v/>
      </c>
      <c r="D325" s="643" t="str">
        <f t="shared" si="62"/>
        <v/>
      </c>
      <c r="E325" s="643"/>
      <c r="F325" s="643" t="str">
        <f t="shared" si="52"/>
        <v/>
      </c>
      <c r="G325" s="643"/>
      <c r="H325" s="671">
        <f t="shared" si="53"/>
        <v>0</v>
      </c>
      <c r="I325" s="671"/>
      <c r="J325" s="640" t="str">
        <f t="shared" si="59"/>
        <v/>
      </c>
      <c r="K325" s="640"/>
      <c r="L325" s="631" t="str">
        <f t="shared" si="54"/>
        <v/>
      </c>
      <c r="M325" s="631"/>
      <c r="N325" s="631" t="str">
        <f>IF(B325="","",VLOOKUP(TRIM(CONCATENATE($F$20," ",$F$17," ",$F$18," ",$F$22," ",$F$21," ",$F$16," ",$F$23," ",$F$24)),Condicione_Financieras_Patrimon!B:W,22,0)*1.16)</f>
        <v/>
      </c>
      <c r="O325" s="631"/>
      <c r="P325" s="641"/>
      <c r="Q325" s="641"/>
      <c r="R325" s="631"/>
      <c r="S325" s="631"/>
      <c r="T325" s="424" t="str">
        <f>IF(B325="","",'Tabla_Puntual&amp;Relacionamiento'!$B$89)</f>
        <v/>
      </c>
      <c r="U325" s="424"/>
      <c r="V325" s="642" t="str">
        <f t="shared" si="55"/>
        <v/>
      </c>
      <c r="W325" s="642"/>
      <c r="X325" s="642" t="str">
        <f t="shared" si="56"/>
        <v/>
      </c>
      <c r="Y325" s="642"/>
      <c r="AL325" s="420" t="str">
        <f t="shared" si="60"/>
        <v/>
      </c>
      <c r="AM325" s="421">
        <f t="shared" si="63"/>
        <v>0</v>
      </c>
      <c r="AN325" s="637"/>
      <c r="AO325" s="637"/>
      <c r="AP325" s="634"/>
      <c r="AQ325" s="634"/>
      <c r="AR325" s="427"/>
      <c r="AS325" s="522" t="str">
        <f t="shared" si="61"/>
        <v/>
      </c>
    </row>
    <row r="326" spans="2:45" x14ac:dyDescent="0.25">
      <c r="B326" s="426" t="str">
        <f t="shared" si="57"/>
        <v/>
      </c>
      <c r="C326" s="423" t="str">
        <f t="shared" si="58"/>
        <v/>
      </c>
      <c r="D326" s="643" t="str">
        <f t="shared" si="62"/>
        <v/>
      </c>
      <c r="E326" s="643"/>
      <c r="F326" s="643" t="str">
        <f t="shared" si="52"/>
        <v/>
      </c>
      <c r="G326" s="643"/>
      <c r="H326" s="671">
        <f t="shared" si="53"/>
        <v>0</v>
      </c>
      <c r="I326" s="671"/>
      <c r="J326" s="640" t="str">
        <f t="shared" si="59"/>
        <v/>
      </c>
      <c r="K326" s="640"/>
      <c r="L326" s="631" t="str">
        <f t="shared" si="54"/>
        <v/>
      </c>
      <c r="M326" s="631"/>
      <c r="N326" s="631" t="str">
        <f>IF(B326="","",VLOOKUP(TRIM(CONCATENATE($F$20," ",$F$17," ",$F$18," ",$F$22," ",$F$21," ",$F$16," ",$F$23," ",$F$24)),Condicione_Financieras_Patrimon!B:W,22,0)*1.16)</f>
        <v/>
      </c>
      <c r="O326" s="631"/>
      <c r="P326" s="641"/>
      <c r="Q326" s="641"/>
      <c r="R326" s="631" t="str">
        <f>IF(OR(X325=0,X325=""),"",IF($F$21="Apoyo Infonavit",IF(D326&gt;=C326,0,MIN(IF($F$30="",0,Caratula_Patrimonial!$F$30),$AL$29*25)*10%),0))</f>
        <v/>
      </c>
      <c r="S326" s="631"/>
      <c r="T326" s="424" t="str">
        <f>IF(B326="","",'Tabla_Puntual&amp;Relacionamiento'!$B$89)</f>
        <v/>
      </c>
      <c r="U326" s="424"/>
      <c r="V326" s="642" t="str">
        <f t="shared" si="55"/>
        <v/>
      </c>
      <c r="W326" s="642"/>
      <c r="X326" s="642" t="str">
        <f t="shared" si="56"/>
        <v/>
      </c>
      <c r="Y326" s="642"/>
      <c r="AL326" s="420" t="str">
        <f t="shared" si="60"/>
        <v/>
      </c>
      <c r="AM326" s="421">
        <f t="shared" si="63"/>
        <v>0</v>
      </c>
      <c r="AN326" s="637"/>
      <c r="AO326" s="637"/>
      <c r="AP326" s="634"/>
      <c r="AQ326" s="634"/>
      <c r="AR326" s="427"/>
      <c r="AS326" s="522" t="str">
        <f t="shared" si="61"/>
        <v/>
      </c>
    </row>
    <row r="327" spans="2:45" x14ac:dyDescent="0.25">
      <c r="B327" s="426" t="str">
        <f t="shared" si="57"/>
        <v/>
      </c>
      <c r="C327" s="423" t="str">
        <f t="shared" si="58"/>
        <v/>
      </c>
      <c r="D327" s="643" t="str">
        <f t="shared" si="62"/>
        <v/>
      </c>
      <c r="E327" s="643"/>
      <c r="F327" s="643" t="str">
        <f t="shared" si="52"/>
        <v/>
      </c>
      <c r="G327" s="643"/>
      <c r="H327" s="671">
        <f t="shared" si="53"/>
        <v>0</v>
      </c>
      <c r="I327" s="671"/>
      <c r="J327" s="640" t="str">
        <f t="shared" si="59"/>
        <v/>
      </c>
      <c r="K327" s="640"/>
      <c r="L327" s="631" t="str">
        <f t="shared" si="54"/>
        <v/>
      </c>
      <c r="M327" s="631"/>
      <c r="N327" s="631" t="str">
        <f>IF(B327="","",VLOOKUP(TRIM(CONCATENATE($F$20," ",$F$17," ",$F$18," ",$F$22," ",$F$21," ",$F$16," ",$F$23," ",$F$24)),Condicione_Financieras_Patrimon!B:W,22,0)*1.16)</f>
        <v/>
      </c>
      <c r="O327" s="631"/>
      <c r="P327" s="641"/>
      <c r="Q327" s="641"/>
      <c r="R327" s="631"/>
      <c r="S327" s="631"/>
      <c r="T327" s="424" t="str">
        <f>IF(B327="","",'Tabla_Puntual&amp;Relacionamiento'!$B$89)</f>
        <v/>
      </c>
      <c r="U327" s="424"/>
      <c r="V327" s="642" t="str">
        <f t="shared" si="55"/>
        <v/>
      </c>
      <c r="W327" s="642"/>
      <c r="X327" s="642" t="str">
        <f t="shared" si="56"/>
        <v/>
      </c>
      <c r="Y327" s="642"/>
      <c r="AL327" s="420" t="str">
        <f t="shared" si="60"/>
        <v/>
      </c>
      <c r="AM327" s="421">
        <f t="shared" si="63"/>
        <v>0</v>
      </c>
      <c r="AN327" s="637"/>
      <c r="AO327" s="637"/>
      <c r="AP327" s="634"/>
      <c r="AQ327" s="634"/>
      <c r="AR327" s="427"/>
      <c r="AS327" s="522" t="str">
        <f t="shared" si="61"/>
        <v/>
      </c>
    </row>
    <row r="328" spans="2:45" x14ac:dyDescent="0.25">
      <c r="B328" s="426" t="str">
        <f t="shared" si="57"/>
        <v/>
      </c>
      <c r="C328" s="423" t="str">
        <f t="shared" si="58"/>
        <v/>
      </c>
      <c r="D328" s="643" t="str">
        <f t="shared" si="62"/>
        <v/>
      </c>
      <c r="E328" s="643"/>
      <c r="F328" s="643" t="str">
        <f t="shared" si="52"/>
        <v/>
      </c>
      <c r="G328" s="643"/>
      <c r="H328" s="671">
        <f t="shared" si="53"/>
        <v>0</v>
      </c>
      <c r="I328" s="671"/>
      <c r="J328" s="640" t="str">
        <f t="shared" si="59"/>
        <v/>
      </c>
      <c r="K328" s="640"/>
      <c r="L328" s="631" t="str">
        <f t="shared" si="54"/>
        <v/>
      </c>
      <c r="M328" s="631"/>
      <c r="N328" s="631" t="str">
        <f>IF(B328="","",VLOOKUP(TRIM(CONCATENATE($F$20," ",$F$17," ",$F$18," ",$F$22," ",$F$21," ",$F$16," ",$F$23," ",$F$24)),Condicione_Financieras_Patrimon!B:W,22,0)*1.16)</f>
        <v/>
      </c>
      <c r="O328" s="631"/>
      <c r="P328" s="641"/>
      <c r="Q328" s="641"/>
      <c r="R328" s="631" t="str">
        <f>IF(OR(X327=0,X327=""),"",IF($F$21="Apoyo Infonavit",IF(D328&gt;=C328,0,MIN(IF($F$30="",0,Caratula_Patrimonial!$F$30),$AL$29*25)*10%),0))</f>
        <v/>
      </c>
      <c r="S328" s="631"/>
      <c r="T328" s="424" t="str">
        <f>IF(B328="","",'Tabla_Puntual&amp;Relacionamiento'!$B$90)</f>
        <v/>
      </c>
      <c r="U328" s="424" t="str">
        <f>IF(B328="","",IF($F$16="Pago_Bajo_Puntual",0.019,""))</f>
        <v/>
      </c>
      <c r="V328" s="642" t="str">
        <f t="shared" si="55"/>
        <v/>
      </c>
      <c r="W328" s="642"/>
      <c r="X328" s="642" t="str">
        <f t="shared" si="56"/>
        <v/>
      </c>
      <c r="Y328" s="642"/>
      <c r="AL328" s="420" t="str">
        <f t="shared" si="60"/>
        <v/>
      </c>
      <c r="AM328" s="421">
        <f t="shared" si="63"/>
        <v>0</v>
      </c>
      <c r="AN328" s="637"/>
      <c r="AO328" s="637"/>
      <c r="AP328" s="634"/>
      <c r="AQ328" s="634"/>
      <c r="AR328" s="427"/>
      <c r="AS328" s="522" t="str">
        <f t="shared" si="61"/>
        <v/>
      </c>
    </row>
    <row r="329" spans="2:45" x14ac:dyDescent="0.25">
      <c r="B329" s="426" t="str">
        <f t="shared" si="57"/>
        <v/>
      </c>
      <c r="C329" s="423" t="str">
        <f t="shared" si="58"/>
        <v/>
      </c>
      <c r="D329" s="643" t="str">
        <f t="shared" si="62"/>
        <v/>
      </c>
      <c r="E329" s="643"/>
      <c r="F329" s="643" t="str">
        <f t="shared" si="52"/>
        <v/>
      </c>
      <c r="G329" s="643"/>
      <c r="H329" s="671">
        <f t="shared" si="53"/>
        <v>0</v>
      </c>
      <c r="I329" s="671"/>
      <c r="J329" s="640" t="str">
        <f t="shared" si="59"/>
        <v/>
      </c>
      <c r="K329" s="640"/>
      <c r="L329" s="631" t="str">
        <f t="shared" si="54"/>
        <v/>
      </c>
      <c r="M329" s="631"/>
      <c r="N329" s="631" t="str">
        <f>IF(B329="","",VLOOKUP(TRIM(CONCATENATE($F$20," ",$F$17," ",$F$18," ",$F$22," ",$F$21," ",$F$16," ",$F$23," ",$F$24)),Condicione_Financieras_Patrimon!B:W,22,0)*1.16)</f>
        <v/>
      </c>
      <c r="O329" s="631"/>
      <c r="P329" s="641"/>
      <c r="Q329" s="641"/>
      <c r="R329" s="631"/>
      <c r="S329" s="631"/>
      <c r="T329" s="424" t="str">
        <f>IF(B329="","",'Tabla_Puntual&amp;Relacionamiento'!$B$90)</f>
        <v/>
      </c>
      <c r="U329" s="424"/>
      <c r="V329" s="642" t="str">
        <f t="shared" si="55"/>
        <v/>
      </c>
      <c r="W329" s="642"/>
      <c r="X329" s="642" t="str">
        <f t="shared" si="56"/>
        <v/>
      </c>
      <c r="Y329" s="642"/>
      <c r="AL329" s="420" t="str">
        <f t="shared" si="60"/>
        <v/>
      </c>
      <c r="AM329" s="421">
        <f t="shared" si="63"/>
        <v>0</v>
      </c>
      <c r="AN329" s="637"/>
      <c r="AO329" s="637"/>
      <c r="AP329" s="634"/>
      <c r="AQ329" s="634"/>
      <c r="AR329" s="427"/>
      <c r="AS329" s="522" t="str">
        <f t="shared" si="61"/>
        <v/>
      </c>
    </row>
    <row r="330" spans="2:45" x14ac:dyDescent="0.25">
      <c r="B330" s="426" t="str">
        <f t="shared" si="57"/>
        <v/>
      </c>
      <c r="C330" s="423" t="str">
        <f t="shared" si="58"/>
        <v/>
      </c>
      <c r="D330" s="643" t="str">
        <f t="shared" si="62"/>
        <v/>
      </c>
      <c r="E330" s="643"/>
      <c r="F330" s="643" t="str">
        <f t="shared" si="52"/>
        <v/>
      </c>
      <c r="G330" s="643"/>
      <c r="H330" s="671">
        <f t="shared" si="53"/>
        <v>0</v>
      </c>
      <c r="I330" s="671"/>
      <c r="J330" s="640" t="str">
        <f t="shared" si="59"/>
        <v/>
      </c>
      <c r="K330" s="640"/>
      <c r="L330" s="631" t="str">
        <f t="shared" si="54"/>
        <v/>
      </c>
      <c r="M330" s="631"/>
      <c r="N330" s="631" t="str">
        <f>IF(B330="","",VLOOKUP(TRIM(CONCATENATE($F$20," ",$F$17," ",$F$18," ",$F$22," ",$F$21," ",$F$16," ",$F$23," ",$F$24)),Condicione_Financieras_Patrimon!B:W,22,0)*1.16)</f>
        <v/>
      </c>
      <c r="O330" s="631"/>
      <c r="P330" s="641"/>
      <c r="Q330" s="641"/>
      <c r="R330" s="631" t="str">
        <f>IF(OR(X329=0,X329=""),"",IF($F$21="Apoyo Infonavit",IF(D330&gt;=C330,0,MIN(IF($F$30="",0,Caratula_Patrimonial!$F$30),$AL$29*25)*10%),0))</f>
        <v/>
      </c>
      <c r="S330" s="631"/>
      <c r="T330" s="424" t="str">
        <f>IF(B330="","",'Tabla_Puntual&amp;Relacionamiento'!$B$90)</f>
        <v/>
      </c>
      <c r="U330" s="424"/>
      <c r="V330" s="642" t="str">
        <f t="shared" si="55"/>
        <v/>
      </c>
      <c r="W330" s="642"/>
      <c r="X330" s="642" t="str">
        <f t="shared" si="56"/>
        <v/>
      </c>
      <c r="Y330" s="642"/>
      <c r="AL330" s="420" t="str">
        <f t="shared" si="60"/>
        <v/>
      </c>
      <c r="AM330" s="421">
        <f t="shared" si="63"/>
        <v>0</v>
      </c>
      <c r="AN330" s="637"/>
      <c r="AO330" s="637"/>
      <c r="AP330" s="634"/>
      <c r="AQ330" s="634"/>
      <c r="AR330" s="427"/>
      <c r="AS330" s="522" t="str">
        <f t="shared" si="61"/>
        <v/>
      </c>
    </row>
    <row r="331" spans="2:45" x14ac:dyDescent="0.25">
      <c r="B331" s="426" t="str">
        <f t="shared" si="57"/>
        <v/>
      </c>
      <c r="C331" s="423" t="str">
        <f t="shared" si="58"/>
        <v/>
      </c>
      <c r="D331" s="643" t="str">
        <f t="shared" si="62"/>
        <v/>
      </c>
      <c r="E331" s="643"/>
      <c r="F331" s="643" t="str">
        <f t="shared" si="52"/>
        <v/>
      </c>
      <c r="G331" s="643"/>
      <c r="H331" s="671">
        <f t="shared" si="53"/>
        <v>0</v>
      </c>
      <c r="I331" s="671"/>
      <c r="J331" s="640" t="str">
        <f t="shared" si="59"/>
        <v/>
      </c>
      <c r="K331" s="640"/>
      <c r="L331" s="631" t="str">
        <f t="shared" si="54"/>
        <v/>
      </c>
      <c r="M331" s="631"/>
      <c r="N331" s="631" t="str">
        <f>IF(B331="","",VLOOKUP(TRIM(CONCATENATE($F$20," ",$F$17," ",$F$18," ",$F$22," ",$F$21," ",$F$16," ",$F$23," ",$F$24)),Condicione_Financieras_Patrimon!B:W,22,0)*1.16)</f>
        <v/>
      </c>
      <c r="O331" s="631"/>
      <c r="P331" s="641"/>
      <c r="Q331" s="641"/>
      <c r="R331" s="631"/>
      <c r="S331" s="631"/>
      <c r="T331" s="424" t="str">
        <f>IF(B331="","",'Tabla_Puntual&amp;Relacionamiento'!$B$90)</f>
        <v/>
      </c>
      <c r="U331" s="424"/>
      <c r="V331" s="642" t="str">
        <f t="shared" si="55"/>
        <v/>
      </c>
      <c r="W331" s="642"/>
      <c r="X331" s="642" t="str">
        <f t="shared" si="56"/>
        <v/>
      </c>
      <c r="Y331" s="642"/>
      <c r="AL331" s="420" t="str">
        <f t="shared" si="60"/>
        <v/>
      </c>
      <c r="AM331" s="421">
        <f t="shared" si="63"/>
        <v>0</v>
      </c>
      <c r="AN331" s="637"/>
      <c r="AO331" s="637"/>
      <c r="AP331" s="634"/>
      <c r="AQ331" s="634"/>
      <c r="AR331" s="427"/>
      <c r="AS331" s="522" t="str">
        <f t="shared" si="61"/>
        <v/>
      </c>
    </row>
    <row r="332" spans="2:45" x14ac:dyDescent="0.25">
      <c r="B332" s="426" t="str">
        <f t="shared" si="57"/>
        <v/>
      </c>
      <c r="C332" s="423" t="str">
        <f t="shared" si="58"/>
        <v/>
      </c>
      <c r="D332" s="643" t="str">
        <f t="shared" si="62"/>
        <v/>
      </c>
      <c r="E332" s="643"/>
      <c r="F332" s="643" t="str">
        <f t="shared" si="52"/>
        <v/>
      </c>
      <c r="G332" s="643"/>
      <c r="H332" s="671">
        <f t="shared" si="53"/>
        <v>0</v>
      </c>
      <c r="I332" s="671"/>
      <c r="J332" s="640" t="str">
        <f t="shared" si="59"/>
        <v/>
      </c>
      <c r="K332" s="640"/>
      <c r="L332" s="631" t="str">
        <f t="shared" si="54"/>
        <v/>
      </c>
      <c r="M332" s="631"/>
      <c r="N332" s="631" t="str">
        <f>IF(B332="","",VLOOKUP(TRIM(CONCATENATE($F$20," ",$F$17," ",$F$18," ",$F$22," ",$F$21," ",$F$16," ",$F$23," ",$F$24)),Condicione_Financieras_Patrimon!B:W,22,0)*1.16)</f>
        <v/>
      </c>
      <c r="O332" s="631"/>
      <c r="P332" s="641"/>
      <c r="Q332" s="641"/>
      <c r="R332" s="631" t="str">
        <f>IF(OR(X331=0,X331=""),"",IF($F$21="Apoyo Infonavit",IF(D332&gt;=C332,0,MIN(IF($F$30="",0,Caratula_Patrimonial!$F$30),$AL$29*25)*10%),0))</f>
        <v/>
      </c>
      <c r="S332" s="631"/>
      <c r="T332" s="424" t="str">
        <f>IF(B332="","",'Tabla_Puntual&amp;Relacionamiento'!$B$90)</f>
        <v/>
      </c>
      <c r="U332" s="424"/>
      <c r="V332" s="642" t="str">
        <f t="shared" si="55"/>
        <v/>
      </c>
      <c r="W332" s="642"/>
      <c r="X332" s="642" t="str">
        <f t="shared" si="56"/>
        <v/>
      </c>
      <c r="Y332" s="642"/>
      <c r="AL332" s="420" t="str">
        <f t="shared" si="60"/>
        <v/>
      </c>
      <c r="AM332" s="421">
        <f t="shared" si="63"/>
        <v>0</v>
      </c>
      <c r="AN332" s="637"/>
      <c r="AO332" s="637"/>
      <c r="AP332" s="634"/>
      <c r="AQ332" s="634"/>
      <c r="AR332" s="427"/>
      <c r="AS332" s="522" t="str">
        <f t="shared" si="61"/>
        <v/>
      </c>
    </row>
    <row r="333" spans="2:45" x14ac:dyDescent="0.25">
      <c r="B333" s="426" t="str">
        <f t="shared" si="57"/>
        <v/>
      </c>
      <c r="C333" s="423" t="str">
        <f t="shared" si="58"/>
        <v/>
      </c>
      <c r="D333" s="643" t="str">
        <f t="shared" si="62"/>
        <v/>
      </c>
      <c r="E333" s="643"/>
      <c r="F333" s="643" t="str">
        <f t="shared" si="52"/>
        <v/>
      </c>
      <c r="G333" s="643"/>
      <c r="H333" s="671">
        <f t="shared" si="53"/>
        <v>0</v>
      </c>
      <c r="I333" s="671"/>
      <c r="J333" s="640" t="str">
        <f t="shared" si="59"/>
        <v/>
      </c>
      <c r="K333" s="640"/>
      <c r="L333" s="631" t="str">
        <f t="shared" si="54"/>
        <v/>
      </c>
      <c r="M333" s="631"/>
      <c r="N333" s="631" t="str">
        <f>IF(B333="","",VLOOKUP(TRIM(CONCATENATE($F$20," ",$F$17," ",$F$18," ",$F$22," ",$F$21," ",$F$16," ",$F$23," ",$F$24)),Condicione_Financieras_Patrimon!B:W,22,0)*1.16)</f>
        <v/>
      </c>
      <c r="O333" s="631"/>
      <c r="P333" s="641"/>
      <c r="Q333" s="641"/>
      <c r="R333" s="631"/>
      <c r="S333" s="631"/>
      <c r="T333" s="424" t="str">
        <f>IF(B333="","",'Tabla_Puntual&amp;Relacionamiento'!$B$90)</f>
        <v/>
      </c>
      <c r="U333" s="424"/>
      <c r="V333" s="642" t="str">
        <f t="shared" si="55"/>
        <v/>
      </c>
      <c r="W333" s="642"/>
      <c r="X333" s="642" t="str">
        <f t="shared" si="56"/>
        <v/>
      </c>
      <c r="Y333" s="642"/>
      <c r="AL333" s="420" t="str">
        <f t="shared" si="60"/>
        <v/>
      </c>
      <c r="AM333" s="421">
        <f t="shared" si="63"/>
        <v>0</v>
      </c>
      <c r="AN333" s="637"/>
      <c r="AO333" s="637"/>
      <c r="AP333" s="634"/>
      <c r="AQ333" s="634"/>
      <c r="AR333" s="427"/>
      <c r="AS333" s="522" t="str">
        <f t="shared" si="61"/>
        <v/>
      </c>
    </row>
    <row r="334" spans="2:45" x14ac:dyDescent="0.25">
      <c r="B334" s="426" t="str">
        <f t="shared" si="57"/>
        <v/>
      </c>
      <c r="C334" s="423" t="str">
        <f t="shared" si="58"/>
        <v/>
      </c>
      <c r="D334" s="643" t="str">
        <f t="shared" si="62"/>
        <v/>
      </c>
      <c r="E334" s="643"/>
      <c r="F334" s="643" t="str">
        <f t="shared" si="52"/>
        <v/>
      </c>
      <c r="G334" s="643"/>
      <c r="H334" s="671">
        <f t="shared" si="53"/>
        <v>0</v>
      </c>
      <c r="I334" s="671"/>
      <c r="J334" s="640" t="str">
        <f t="shared" si="59"/>
        <v/>
      </c>
      <c r="K334" s="640"/>
      <c r="L334" s="631" t="str">
        <f t="shared" si="54"/>
        <v/>
      </c>
      <c r="M334" s="631"/>
      <c r="N334" s="631" t="str">
        <f>IF(B334="","",VLOOKUP(TRIM(CONCATENATE($F$20," ",$F$17," ",$F$18," ",$F$22," ",$F$21," ",$F$16," ",$F$23," ",$F$24)),Condicione_Financieras_Patrimon!B:W,22,0)*1.16)</f>
        <v/>
      </c>
      <c r="O334" s="631"/>
      <c r="P334" s="641"/>
      <c r="Q334" s="641"/>
      <c r="R334" s="631" t="str">
        <f>IF(OR(X333=0,X333=""),"",IF($F$21="Apoyo Infonavit",IF(D334&gt;=C334,0,MIN(IF($F$30="",0,Caratula_Patrimonial!$F$30),$AL$29*25)*10%),0))</f>
        <v/>
      </c>
      <c r="S334" s="631"/>
      <c r="T334" s="424" t="str">
        <f>IF(B334="","",'Tabla_Puntual&amp;Relacionamiento'!$B$90)</f>
        <v/>
      </c>
      <c r="U334" s="424"/>
      <c r="V334" s="642" t="str">
        <f t="shared" si="55"/>
        <v/>
      </c>
      <c r="W334" s="642"/>
      <c r="X334" s="642" t="str">
        <f t="shared" si="56"/>
        <v/>
      </c>
      <c r="Y334" s="642"/>
      <c r="AL334" s="420" t="str">
        <f t="shared" si="60"/>
        <v/>
      </c>
      <c r="AM334" s="421">
        <f t="shared" si="63"/>
        <v>0</v>
      </c>
      <c r="AN334" s="637"/>
      <c r="AO334" s="637"/>
      <c r="AP334" s="634"/>
      <c r="AQ334" s="634"/>
      <c r="AR334" s="427"/>
      <c r="AS334" s="522" t="str">
        <f t="shared" si="61"/>
        <v/>
      </c>
    </row>
    <row r="335" spans="2:45" x14ac:dyDescent="0.25">
      <c r="B335" s="426" t="str">
        <f t="shared" si="57"/>
        <v/>
      </c>
      <c r="C335" s="423" t="str">
        <f t="shared" si="58"/>
        <v/>
      </c>
      <c r="D335" s="643" t="str">
        <f t="shared" si="62"/>
        <v/>
      </c>
      <c r="E335" s="643"/>
      <c r="F335" s="643" t="str">
        <f t="shared" si="52"/>
        <v/>
      </c>
      <c r="G335" s="643"/>
      <c r="H335" s="671">
        <f t="shared" si="53"/>
        <v>0</v>
      </c>
      <c r="I335" s="671"/>
      <c r="J335" s="640" t="str">
        <f t="shared" si="59"/>
        <v/>
      </c>
      <c r="K335" s="640"/>
      <c r="L335" s="631" t="str">
        <f t="shared" si="54"/>
        <v/>
      </c>
      <c r="M335" s="631"/>
      <c r="N335" s="631" t="str">
        <f>IF(B335="","",VLOOKUP(TRIM(CONCATENATE($F$20," ",$F$17," ",$F$18," ",$F$22," ",$F$21," ",$F$16," ",$F$23," ",$F$24)),Condicione_Financieras_Patrimon!B:W,22,0)*1.16)</f>
        <v/>
      </c>
      <c r="O335" s="631"/>
      <c r="P335" s="641"/>
      <c r="Q335" s="641"/>
      <c r="R335" s="631"/>
      <c r="S335" s="631"/>
      <c r="T335" s="424" t="str">
        <f>IF(B335="","",'Tabla_Puntual&amp;Relacionamiento'!$B$90)</f>
        <v/>
      </c>
      <c r="U335" s="424"/>
      <c r="V335" s="642" t="str">
        <f t="shared" si="55"/>
        <v/>
      </c>
      <c r="W335" s="642"/>
      <c r="X335" s="642" t="str">
        <f t="shared" si="56"/>
        <v/>
      </c>
      <c r="Y335" s="642"/>
      <c r="AL335" s="420" t="str">
        <f t="shared" si="60"/>
        <v/>
      </c>
      <c r="AM335" s="421">
        <f t="shared" si="63"/>
        <v>0</v>
      </c>
      <c r="AN335" s="637"/>
      <c r="AO335" s="637"/>
      <c r="AP335" s="634"/>
      <c r="AQ335" s="634"/>
      <c r="AR335" s="427"/>
      <c r="AS335" s="522" t="str">
        <f t="shared" si="61"/>
        <v/>
      </c>
    </row>
    <row r="336" spans="2:45" x14ac:dyDescent="0.25">
      <c r="B336" s="426" t="str">
        <f t="shared" si="57"/>
        <v/>
      </c>
      <c r="C336" s="423" t="str">
        <f t="shared" si="58"/>
        <v/>
      </c>
      <c r="D336" s="643" t="str">
        <f t="shared" si="62"/>
        <v/>
      </c>
      <c r="E336" s="643"/>
      <c r="F336" s="643" t="str">
        <f t="shared" si="52"/>
        <v/>
      </c>
      <c r="G336" s="643"/>
      <c r="H336" s="671">
        <f t="shared" si="53"/>
        <v>0</v>
      </c>
      <c r="I336" s="671"/>
      <c r="J336" s="640" t="str">
        <f t="shared" si="59"/>
        <v/>
      </c>
      <c r="K336" s="640"/>
      <c r="L336" s="631" t="str">
        <f t="shared" si="54"/>
        <v/>
      </c>
      <c r="M336" s="631"/>
      <c r="N336" s="631" t="str">
        <f>IF(B336="","",VLOOKUP(TRIM(CONCATENATE($F$20," ",$F$17," ",$F$18," ",$F$22," ",$F$21," ",$F$16," ",$F$23," ",$F$24)),Condicione_Financieras_Patrimon!B:W,22,0)*1.16)</f>
        <v/>
      </c>
      <c r="O336" s="631"/>
      <c r="P336" s="641"/>
      <c r="Q336" s="641"/>
      <c r="R336" s="631" t="str">
        <f>IF(OR(X335=0,X335=""),"",IF($F$21="Apoyo Infonavit",IF(D336&gt;=C336,0,MIN(IF($F$30="",0,Caratula_Patrimonial!$F$30),$AL$29*25)*10%),0))</f>
        <v/>
      </c>
      <c r="S336" s="631"/>
      <c r="T336" s="424" t="str">
        <f>IF(B336="","",'Tabla_Puntual&amp;Relacionamiento'!$B$90)</f>
        <v/>
      </c>
      <c r="U336" s="424"/>
      <c r="V336" s="642" t="str">
        <f t="shared" si="55"/>
        <v/>
      </c>
      <c r="W336" s="642"/>
      <c r="X336" s="642" t="str">
        <f t="shared" si="56"/>
        <v/>
      </c>
      <c r="Y336" s="642"/>
      <c r="AL336" s="420" t="str">
        <f t="shared" si="60"/>
        <v/>
      </c>
      <c r="AM336" s="421">
        <f t="shared" si="63"/>
        <v>0</v>
      </c>
      <c r="AN336" s="637"/>
      <c r="AO336" s="637"/>
      <c r="AP336" s="634"/>
      <c r="AQ336" s="634"/>
      <c r="AR336" s="427"/>
      <c r="AS336" s="522" t="str">
        <f t="shared" si="61"/>
        <v/>
      </c>
    </row>
    <row r="337" spans="2:45" x14ac:dyDescent="0.25">
      <c r="B337" s="426" t="str">
        <f t="shared" si="57"/>
        <v/>
      </c>
      <c r="C337" s="423" t="str">
        <f t="shared" si="58"/>
        <v/>
      </c>
      <c r="D337" s="643" t="str">
        <f t="shared" si="62"/>
        <v/>
      </c>
      <c r="E337" s="643"/>
      <c r="F337" s="643" t="str">
        <f t="shared" si="52"/>
        <v/>
      </c>
      <c r="G337" s="643"/>
      <c r="H337" s="671">
        <f t="shared" si="53"/>
        <v>0</v>
      </c>
      <c r="I337" s="671"/>
      <c r="J337" s="640" t="str">
        <f t="shared" si="59"/>
        <v/>
      </c>
      <c r="K337" s="640"/>
      <c r="L337" s="631" t="str">
        <f t="shared" si="54"/>
        <v/>
      </c>
      <c r="M337" s="631"/>
      <c r="N337" s="631" t="str">
        <f>IF(B337="","",VLOOKUP(TRIM(CONCATENATE($F$20," ",$F$17," ",$F$18," ",$F$22," ",$F$21," ",$F$16," ",$F$23," ",$F$24)),Condicione_Financieras_Patrimon!B:W,22,0)*1.16)</f>
        <v/>
      </c>
      <c r="O337" s="631"/>
      <c r="P337" s="641"/>
      <c r="Q337" s="641"/>
      <c r="R337" s="631"/>
      <c r="S337" s="631"/>
      <c r="T337" s="424" t="str">
        <f>IF(B337="","",'Tabla_Puntual&amp;Relacionamiento'!$B$90)</f>
        <v/>
      </c>
      <c r="U337" s="424"/>
      <c r="V337" s="642" t="str">
        <f t="shared" si="55"/>
        <v/>
      </c>
      <c r="W337" s="642"/>
      <c r="X337" s="642" t="str">
        <f t="shared" si="56"/>
        <v/>
      </c>
      <c r="Y337" s="642"/>
      <c r="AL337" s="420" t="str">
        <f t="shared" si="60"/>
        <v/>
      </c>
      <c r="AM337" s="421">
        <f t="shared" si="63"/>
        <v>0</v>
      </c>
      <c r="AN337" s="637"/>
      <c r="AO337" s="637"/>
      <c r="AP337" s="634"/>
      <c r="AQ337" s="634"/>
      <c r="AR337" s="427"/>
      <c r="AS337" s="522" t="str">
        <f t="shared" si="61"/>
        <v/>
      </c>
    </row>
    <row r="338" spans="2:45" x14ac:dyDescent="0.25">
      <c r="B338" s="426" t="str">
        <f t="shared" si="57"/>
        <v/>
      </c>
      <c r="C338" s="423" t="str">
        <f t="shared" si="58"/>
        <v/>
      </c>
      <c r="D338" s="643" t="str">
        <f t="shared" si="62"/>
        <v/>
      </c>
      <c r="E338" s="643"/>
      <c r="F338" s="643" t="str">
        <f t="shared" si="52"/>
        <v/>
      </c>
      <c r="G338" s="643"/>
      <c r="H338" s="671">
        <f t="shared" si="53"/>
        <v>0</v>
      </c>
      <c r="I338" s="671"/>
      <c r="J338" s="640" t="str">
        <f t="shared" si="59"/>
        <v/>
      </c>
      <c r="K338" s="640"/>
      <c r="L338" s="631" t="str">
        <f t="shared" si="54"/>
        <v/>
      </c>
      <c r="M338" s="631"/>
      <c r="N338" s="631" t="str">
        <f>IF(B338="","",VLOOKUP(TRIM(CONCATENATE($F$20," ",$F$17," ",$F$18," ",$F$22," ",$F$21," ",$F$16," ",$F$23," ",$F$24)),Condicione_Financieras_Patrimon!B:W,22,0)*1.16)</f>
        <v/>
      </c>
      <c r="O338" s="631"/>
      <c r="P338" s="641"/>
      <c r="Q338" s="641"/>
      <c r="R338" s="631" t="str">
        <f>IF(OR(X337=0,X337=""),"",IF($F$21="Apoyo Infonavit",IF(D338&gt;=C338,0,MIN(IF($F$30="",0,Caratula_Patrimonial!$F$30),$AL$29*25)*10%),0))</f>
        <v/>
      </c>
      <c r="S338" s="631"/>
      <c r="T338" s="424" t="str">
        <f>IF(B338="","",'Tabla_Puntual&amp;Relacionamiento'!$B$90)</f>
        <v/>
      </c>
      <c r="U338" s="424"/>
      <c r="V338" s="642" t="str">
        <f t="shared" si="55"/>
        <v/>
      </c>
      <c r="W338" s="642"/>
      <c r="X338" s="642" t="str">
        <f t="shared" si="56"/>
        <v/>
      </c>
      <c r="Y338" s="642"/>
      <c r="AL338" s="420" t="str">
        <f t="shared" si="60"/>
        <v/>
      </c>
      <c r="AM338" s="421">
        <f t="shared" si="63"/>
        <v>0</v>
      </c>
      <c r="AN338" s="637"/>
      <c r="AO338" s="637"/>
      <c r="AP338" s="634"/>
      <c r="AQ338" s="634"/>
      <c r="AR338" s="427"/>
      <c r="AS338" s="522" t="str">
        <f t="shared" si="61"/>
        <v/>
      </c>
    </row>
    <row r="339" spans="2:45" x14ac:dyDescent="0.25">
      <c r="B339" s="426" t="str">
        <f t="shared" si="57"/>
        <v/>
      </c>
      <c r="C339" s="423" t="str">
        <f t="shared" si="58"/>
        <v/>
      </c>
      <c r="D339" s="643" t="str">
        <f t="shared" si="62"/>
        <v/>
      </c>
      <c r="E339" s="643"/>
      <c r="F339" s="643" t="str">
        <f t="shared" si="52"/>
        <v/>
      </c>
      <c r="G339" s="643"/>
      <c r="H339" s="671">
        <f t="shared" si="53"/>
        <v>0</v>
      </c>
      <c r="I339" s="671"/>
      <c r="J339" s="640" t="str">
        <f t="shared" si="59"/>
        <v/>
      </c>
      <c r="K339" s="640"/>
      <c r="L339" s="631" t="str">
        <f t="shared" si="54"/>
        <v/>
      </c>
      <c r="M339" s="631"/>
      <c r="N339" s="631" t="str">
        <f>IF(B339="","",VLOOKUP(TRIM(CONCATENATE($F$20," ",$F$17," ",$F$18," ",$F$22," ",$F$21," ",$F$16," ",$F$23," ",$F$24)),Condicione_Financieras_Patrimon!B:W,22,0)*1.16)</f>
        <v/>
      </c>
      <c r="O339" s="631"/>
      <c r="P339" s="641"/>
      <c r="Q339" s="641"/>
      <c r="R339" s="631"/>
      <c r="S339" s="631"/>
      <c r="T339" s="424" t="str">
        <f>IF(B339="","",'Tabla_Puntual&amp;Relacionamiento'!$B$90)</f>
        <v/>
      </c>
      <c r="U339" s="424"/>
      <c r="V339" s="642" t="str">
        <f t="shared" si="55"/>
        <v/>
      </c>
      <c r="W339" s="642"/>
      <c r="X339" s="642" t="str">
        <f t="shared" si="56"/>
        <v/>
      </c>
      <c r="Y339" s="642"/>
      <c r="AL339" s="420" t="str">
        <f t="shared" si="60"/>
        <v/>
      </c>
      <c r="AM339" s="421">
        <f t="shared" si="63"/>
        <v>0</v>
      </c>
      <c r="AN339" s="637"/>
      <c r="AO339" s="637"/>
      <c r="AP339" s="634"/>
      <c r="AQ339" s="634"/>
      <c r="AR339" s="427"/>
      <c r="AS339" s="522" t="str">
        <f t="shared" si="61"/>
        <v/>
      </c>
    </row>
    <row r="340" spans="2:45" x14ac:dyDescent="0.25">
      <c r="B340" s="426" t="str">
        <f t="shared" si="57"/>
        <v/>
      </c>
      <c r="C340" s="423" t="str">
        <f t="shared" si="58"/>
        <v/>
      </c>
      <c r="D340" s="643" t="str">
        <f t="shared" si="62"/>
        <v/>
      </c>
      <c r="E340" s="643"/>
      <c r="F340" s="643" t="str">
        <f t="shared" si="52"/>
        <v/>
      </c>
      <c r="G340" s="643"/>
      <c r="H340" s="671">
        <f t="shared" si="53"/>
        <v>0</v>
      </c>
      <c r="I340" s="671"/>
      <c r="J340" s="640" t="str">
        <f t="shared" si="59"/>
        <v/>
      </c>
      <c r="K340" s="640"/>
      <c r="L340" s="631" t="str">
        <f t="shared" si="54"/>
        <v/>
      </c>
      <c r="M340" s="631"/>
      <c r="N340" s="631" t="str">
        <f>IF(B340="","",VLOOKUP(TRIM(CONCATENATE($F$20," ",$F$17," ",$F$18," ",$F$22," ",$F$21," ",$F$16," ",$F$23," ",$F$24)),Condicione_Financieras_Patrimon!B:W,22,0)*1.16)</f>
        <v/>
      </c>
      <c r="O340" s="631"/>
      <c r="P340" s="641"/>
      <c r="Q340" s="641"/>
      <c r="R340" s="631" t="str">
        <f>IF(OR(X339=0,X339=""),"",IF($F$21="Apoyo Infonavit",IF(D340&gt;=C340,0,MIN(IF($F$30="",0,Caratula_Patrimonial!$F$30),$AL$29*25)*10%),0))</f>
        <v/>
      </c>
      <c r="S340" s="631"/>
      <c r="T340" s="424" t="str">
        <f>IF(B340="","",'Tabla_Puntual&amp;Relacionamiento'!$B$91)</f>
        <v/>
      </c>
      <c r="U340" s="424" t="str">
        <f>IF(B340="","",IF($F$16="Pago_Bajo_Puntual",0.019,""))</f>
        <v/>
      </c>
      <c r="V340" s="642" t="str">
        <f t="shared" si="55"/>
        <v/>
      </c>
      <c r="W340" s="642"/>
      <c r="X340" s="642" t="str">
        <f t="shared" si="56"/>
        <v/>
      </c>
      <c r="Y340" s="642"/>
      <c r="AL340" s="420" t="str">
        <f t="shared" si="60"/>
        <v/>
      </c>
      <c r="AM340" s="421">
        <f t="shared" si="63"/>
        <v>0</v>
      </c>
      <c r="AN340" s="637"/>
      <c r="AO340" s="637"/>
      <c r="AP340" s="634"/>
      <c r="AQ340" s="634"/>
      <c r="AR340" s="427"/>
      <c r="AS340" s="522" t="str">
        <f t="shared" si="61"/>
        <v/>
      </c>
    </row>
    <row r="341" spans="2:45" x14ac:dyDescent="0.25">
      <c r="B341" s="426" t="str">
        <f t="shared" si="57"/>
        <v/>
      </c>
      <c r="C341" s="423" t="str">
        <f t="shared" si="58"/>
        <v/>
      </c>
      <c r="D341" s="643" t="str">
        <f t="shared" si="62"/>
        <v/>
      </c>
      <c r="E341" s="643"/>
      <c r="F341" s="643" t="str">
        <f t="shared" si="52"/>
        <v/>
      </c>
      <c r="G341" s="643"/>
      <c r="H341" s="671">
        <f t="shared" si="53"/>
        <v>0</v>
      </c>
      <c r="I341" s="671"/>
      <c r="J341" s="640" t="str">
        <f t="shared" si="59"/>
        <v/>
      </c>
      <c r="K341" s="640"/>
      <c r="L341" s="631" t="str">
        <f t="shared" si="54"/>
        <v/>
      </c>
      <c r="M341" s="631"/>
      <c r="N341" s="631" t="str">
        <f>IF(B341="","",VLOOKUP(TRIM(CONCATENATE($F$20," ",$F$17," ",$F$18," ",$F$22," ",$F$21," ",$F$16," ",$F$23," ",$F$24)),Condicione_Financieras_Patrimon!B:W,22,0)*1.16)</f>
        <v/>
      </c>
      <c r="O341" s="631"/>
      <c r="P341" s="641"/>
      <c r="Q341" s="641"/>
      <c r="R341" s="631"/>
      <c r="S341" s="631"/>
      <c r="T341" s="424" t="str">
        <f>IF(B341="","",'Tabla_Puntual&amp;Relacionamiento'!$B$91)</f>
        <v/>
      </c>
      <c r="U341" s="424"/>
      <c r="V341" s="642" t="str">
        <f t="shared" si="55"/>
        <v/>
      </c>
      <c r="W341" s="642"/>
      <c r="X341" s="642" t="str">
        <f t="shared" si="56"/>
        <v/>
      </c>
      <c r="Y341" s="642"/>
      <c r="AL341" s="420" t="str">
        <f t="shared" si="60"/>
        <v/>
      </c>
      <c r="AM341" s="421">
        <f t="shared" si="63"/>
        <v>0</v>
      </c>
      <c r="AN341" s="637"/>
      <c r="AO341" s="637"/>
      <c r="AP341" s="634"/>
      <c r="AQ341" s="634"/>
      <c r="AR341" s="427"/>
      <c r="AS341" s="522" t="str">
        <f t="shared" si="61"/>
        <v/>
      </c>
    </row>
    <row r="342" spans="2:45" x14ac:dyDescent="0.25">
      <c r="B342" s="426" t="str">
        <f t="shared" si="57"/>
        <v/>
      </c>
      <c r="C342" s="423" t="str">
        <f t="shared" si="58"/>
        <v/>
      </c>
      <c r="D342" s="643" t="str">
        <f t="shared" si="62"/>
        <v/>
      </c>
      <c r="E342" s="643"/>
      <c r="F342" s="643" t="str">
        <f t="shared" si="52"/>
        <v/>
      </c>
      <c r="G342" s="643"/>
      <c r="H342" s="671">
        <f t="shared" si="53"/>
        <v>0</v>
      </c>
      <c r="I342" s="671"/>
      <c r="J342" s="640" t="str">
        <f t="shared" si="59"/>
        <v/>
      </c>
      <c r="K342" s="640"/>
      <c r="L342" s="631" t="str">
        <f t="shared" si="54"/>
        <v/>
      </c>
      <c r="M342" s="631"/>
      <c r="N342" s="631" t="str">
        <f>IF(B342="","",VLOOKUP(TRIM(CONCATENATE($F$20," ",$F$17," ",$F$18," ",$F$22," ",$F$21," ",$F$16," ",$F$23," ",$F$24)),Condicione_Financieras_Patrimon!B:W,22,0)*1.16)</f>
        <v/>
      </c>
      <c r="O342" s="631"/>
      <c r="P342" s="641"/>
      <c r="Q342" s="641"/>
      <c r="R342" s="631" t="str">
        <f>IF(OR(X341=0,X341=""),"",IF($F$21="Apoyo Infonavit",IF(D342&gt;=C342,0,MIN(IF($F$30="",0,Caratula_Patrimonial!$F$30),$AL$29*25)*10%),0))</f>
        <v/>
      </c>
      <c r="S342" s="631"/>
      <c r="T342" s="424" t="str">
        <f>IF(B342="","",'Tabla_Puntual&amp;Relacionamiento'!$B$91)</f>
        <v/>
      </c>
      <c r="U342" s="424"/>
      <c r="V342" s="642" t="str">
        <f t="shared" si="55"/>
        <v/>
      </c>
      <c r="W342" s="642"/>
      <c r="X342" s="642" t="str">
        <f t="shared" si="56"/>
        <v/>
      </c>
      <c r="Y342" s="642"/>
      <c r="AL342" s="420" t="str">
        <f t="shared" si="60"/>
        <v/>
      </c>
      <c r="AM342" s="421">
        <f t="shared" si="63"/>
        <v>0</v>
      </c>
      <c r="AN342" s="637"/>
      <c r="AO342" s="637"/>
      <c r="AP342" s="634"/>
      <c r="AQ342" s="634"/>
      <c r="AR342" s="427"/>
      <c r="AS342" s="522" t="str">
        <f t="shared" si="61"/>
        <v/>
      </c>
    </row>
    <row r="343" spans="2:45" x14ac:dyDescent="0.25">
      <c r="B343" s="426" t="str">
        <f t="shared" si="57"/>
        <v/>
      </c>
      <c r="C343" s="423" t="str">
        <f t="shared" si="58"/>
        <v/>
      </c>
      <c r="D343" s="643" t="str">
        <f t="shared" si="62"/>
        <v/>
      </c>
      <c r="E343" s="643"/>
      <c r="F343" s="643" t="str">
        <f t="shared" si="52"/>
        <v/>
      </c>
      <c r="G343" s="643"/>
      <c r="H343" s="671">
        <f t="shared" si="53"/>
        <v>0</v>
      </c>
      <c r="I343" s="671"/>
      <c r="J343" s="640" t="str">
        <f t="shared" si="59"/>
        <v/>
      </c>
      <c r="K343" s="640"/>
      <c r="L343" s="631" t="str">
        <f t="shared" si="54"/>
        <v/>
      </c>
      <c r="M343" s="631"/>
      <c r="N343" s="631" t="str">
        <f>IF(B343="","",VLOOKUP(TRIM(CONCATENATE($F$20," ",$F$17," ",$F$18," ",$F$22," ",$F$21," ",$F$16," ",$F$23," ",$F$24)),Condicione_Financieras_Patrimon!B:W,22,0)*1.16)</f>
        <v/>
      </c>
      <c r="O343" s="631"/>
      <c r="P343" s="641"/>
      <c r="Q343" s="641"/>
      <c r="R343" s="631"/>
      <c r="S343" s="631"/>
      <c r="T343" s="424" t="str">
        <f>IF(B343="","",'Tabla_Puntual&amp;Relacionamiento'!$B$91)</f>
        <v/>
      </c>
      <c r="U343" s="424"/>
      <c r="V343" s="642" t="str">
        <f t="shared" si="55"/>
        <v/>
      </c>
      <c r="W343" s="642"/>
      <c r="X343" s="642" t="str">
        <f t="shared" si="56"/>
        <v/>
      </c>
      <c r="Y343" s="642"/>
      <c r="AL343" s="420" t="str">
        <f t="shared" si="60"/>
        <v/>
      </c>
      <c r="AM343" s="421">
        <f t="shared" si="63"/>
        <v>0</v>
      </c>
      <c r="AN343" s="637"/>
      <c r="AO343" s="637"/>
      <c r="AP343" s="634"/>
      <c r="AQ343" s="634"/>
      <c r="AR343" s="427"/>
      <c r="AS343" s="522" t="str">
        <f t="shared" si="61"/>
        <v/>
      </c>
    </row>
    <row r="344" spans="2:45" x14ac:dyDescent="0.25">
      <c r="B344" s="426" t="str">
        <f t="shared" si="57"/>
        <v/>
      </c>
      <c r="C344" s="423" t="str">
        <f t="shared" si="58"/>
        <v/>
      </c>
      <c r="D344" s="643" t="str">
        <f t="shared" si="62"/>
        <v/>
      </c>
      <c r="E344" s="643"/>
      <c r="F344" s="643" t="str">
        <f t="shared" si="52"/>
        <v/>
      </c>
      <c r="G344" s="643"/>
      <c r="H344" s="671">
        <f t="shared" si="53"/>
        <v>0</v>
      </c>
      <c r="I344" s="671"/>
      <c r="J344" s="640" t="str">
        <f t="shared" si="59"/>
        <v/>
      </c>
      <c r="K344" s="640"/>
      <c r="L344" s="631" t="str">
        <f t="shared" si="54"/>
        <v/>
      </c>
      <c r="M344" s="631"/>
      <c r="N344" s="631" t="str">
        <f>IF(B344="","",VLOOKUP(TRIM(CONCATENATE($F$20," ",$F$17," ",$F$18," ",$F$22," ",$F$21," ",$F$16," ",$F$23," ",$F$24)),Condicione_Financieras_Patrimon!B:W,22,0)*1.16)</f>
        <v/>
      </c>
      <c r="O344" s="631"/>
      <c r="P344" s="641"/>
      <c r="Q344" s="641"/>
      <c r="R344" s="631" t="str">
        <f>IF(OR(X343=0,X343=""),"",IF($F$21="Apoyo Infonavit",IF(D344&gt;=C344,0,MIN(IF($F$30="",0,Caratula_Patrimonial!$F$30),$AL$29*25)*10%),0))</f>
        <v/>
      </c>
      <c r="S344" s="631"/>
      <c r="T344" s="424" t="str">
        <f>IF(B344="","",'Tabla_Puntual&amp;Relacionamiento'!$B$91)</f>
        <v/>
      </c>
      <c r="U344" s="424"/>
      <c r="V344" s="642" t="str">
        <f t="shared" si="55"/>
        <v/>
      </c>
      <c r="W344" s="642"/>
      <c r="X344" s="642" t="str">
        <f t="shared" si="56"/>
        <v/>
      </c>
      <c r="Y344" s="642"/>
      <c r="AL344" s="420" t="str">
        <f t="shared" si="60"/>
        <v/>
      </c>
      <c r="AM344" s="421">
        <f t="shared" si="63"/>
        <v>0</v>
      </c>
      <c r="AN344" s="637"/>
      <c r="AO344" s="637"/>
      <c r="AP344" s="634"/>
      <c r="AQ344" s="634"/>
      <c r="AR344" s="427"/>
      <c r="AS344" s="522" t="str">
        <f t="shared" si="61"/>
        <v/>
      </c>
    </row>
    <row r="345" spans="2:45" x14ac:dyDescent="0.25">
      <c r="B345" s="426" t="str">
        <f t="shared" si="57"/>
        <v/>
      </c>
      <c r="C345" s="423" t="str">
        <f t="shared" si="58"/>
        <v/>
      </c>
      <c r="D345" s="643" t="str">
        <f t="shared" si="62"/>
        <v/>
      </c>
      <c r="E345" s="643"/>
      <c r="F345" s="643" t="str">
        <f t="shared" si="52"/>
        <v/>
      </c>
      <c r="G345" s="643"/>
      <c r="H345" s="671">
        <f t="shared" si="53"/>
        <v>0</v>
      </c>
      <c r="I345" s="671"/>
      <c r="J345" s="640" t="str">
        <f t="shared" si="59"/>
        <v/>
      </c>
      <c r="K345" s="640"/>
      <c r="L345" s="631" t="str">
        <f t="shared" si="54"/>
        <v/>
      </c>
      <c r="M345" s="631"/>
      <c r="N345" s="631" t="str">
        <f>IF(B345="","",VLOOKUP(TRIM(CONCATENATE($F$20," ",$F$17," ",$F$18," ",$F$22," ",$F$21," ",$F$16," ",$F$23," ",$F$24)),Condicione_Financieras_Patrimon!B:W,22,0)*1.16)</f>
        <v/>
      </c>
      <c r="O345" s="631"/>
      <c r="P345" s="641"/>
      <c r="Q345" s="641"/>
      <c r="R345" s="631"/>
      <c r="S345" s="631"/>
      <c r="T345" s="424" t="str">
        <f>IF(B345="","",'Tabla_Puntual&amp;Relacionamiento'!$B$91)</f>
        <v/>
      </c>
      <c r="U345" s="424"/>
      <c r="V345" s="642" t="str">
        <f t="shared" si="55"/>
        <v/>
      </c>
      <c r="W345" s="642"/>
      <c r="X345" s="642" t="str">
        <f t="shared" si="56"/>
        <v/>
      </c>
      <c r="Y345" s="642"/>
      <c r="AL345" s="420" t="str">
        <f t="shared" si="60"/>
        <v/>
      </c>
      <c r="AM345" s="421">
        <f t="shared" si="63"/>
        <v>0</v>
      </c>
      <c r="AN345" s="637"/>
      <c r="AO345" s="637"/>
      <c r="AP345" s="634"/>
      <c r="AQ345" s="634"/>
      <c r="AR345" s="427"/>
      <c r="AS345" s="522" t="str">
        <f t="shared" si="61"/>
        <v/>
      </c>
    </row>
    <row r="346" spans="2:45" x14ac:dyDescent="0.25">
      <c r="B346" s="426" t="str">
        <f t="shared" si="57"/>
        <v/>
      </c>
      <c r="C346" s="423" t="str">
        <f t="shared" si="58"/>
        <v/>
      </c>
      <c r="D346" s="643" t="str">
        <f t="shared" si="62"/>
        <v/>
      </c>
      <c r="E346" s="643"/>
      <c r="F346" s="643" t="str">
        <f t="shared" si="52"/>
        <v/>
      </c>
      <c r="G346" s="643"/>
      <c r="H346" s="671">
        <f t="shared" si="53"/>
        <v>0</v>
      </c>
      <c r="I346" s="671"/>
      <c r="J346" s="640" t="str">
        <f t="shared" si="59"/>
        <v/>
      </c>
      <c r="K346" s="640"/>
      <c r="L346" s="631" t="str">
        <f t="shared" si="54"/>
        <v/>
      </c>
      <c r="M346" s="631"/>
      <c r="N346" s="631" t="str">
        <f>IF(B346="","",VLOOKUP(TRIM(CONCATENATE($F$20," ",$F$17," ",$F$18," ",$F$22," ",$F$21," ",$F$16," ",$F$23," ",$F$24)),Condicione_Financieras_Patrimon!B:W,22,0)*1.16)</f>
        <v/>
      </c>
      <c r="O346" s="631"/>
      <c r="P346" s="641"/>
      <c r="Q346" s="641"/>
      <c r="R346" s="631" t="str">
        <f>IF(OR(X345=0,X345=""),"",IF($F$21="Apoyo Infonavit",IF(D346&gt;=C346,0,MIN(IF($F$30="",0,Caratula_Patrimonial!$F$30),$AL$29*25)*10%),0))</f>
        <v/>
      </c>
      <c r="S346" s="631"/>
      <c r="T346" s="424" t="str">
        <f>IF(B346="","",'Tabla_Puntual&amp;Relacionamiento'!$B$91)</f>
        <v/>
      </c>
      <c r="U346" s="424"/>
      <c r="V346" s="642" t="str">
        <f t="shared" si="55"/>
        <v/>
      </c>
      <c r="W346" s="642"/>
      <c r="X346" s="642" t="str">
        <f t="shared" si="56"/>
        <v/>
      </c>
      <c r="Y346" s="642"/>
      <c r="AL346" s="420" t="str">
        <f t="shared" si="60"/>
        <v/>
      </c>
      <c r="AM346" s="421">
        <f t="shared" si="63"/>
        <v>0</v>
      </c>
      <c r="AN346" s="637"/>
      <c r="AO346" s="637"/>
      <c r="AP346" s="634"/>
      <c r="AQ346" s="634"/>
      <c r="AR346" s="427"/>
      <c r="AS346" s="522" t="str">
        <f t="shared" si="61"/>
        <v/>
      </c>
    </row>
    <row r="347" spans="2:45" x14ac:dyDescent="0.25">
      <c r="B347" s="426" t="str">
        <f t="shared" si="57"/>
        <v/>
      </c>
      <c r="C347" s="423" t="str">
        <f t="shared" si="58"/>
        <v/>
      </c>
      <c r="D347" s="643" t="str">
        <f t="shared" si="62"/>
        <v/>
      </c>
      <c r="E347" s="643"/>
      <c r="F347" s="643" t="str">
        <f t="shared" si="52"/>
        <v/>
      </c>
      <c r="G347" s="643"/>
      <c r="H347" s="671">
        <f t="shared" si="53"/>
        <v>0</v>
      </c>
      <c r="I347" s="671"/>
      <c r="J347" s="640" t="str">
        <f t="shared" si="59"/>
        <v/>
      </c>
      <c r="K347" s="640"/>
      <c r="L347" s="631" t="str">
        <f t="shared" si="54"/>
        <v/>
      </c>
      <c r="M347" s="631"/>
      <c r="N347" s="631" t="str">
        <f>IF(B347="","",VLOOKUP(TRIM(CONCATENATE($F$20," ",$F$17," ",$F$18," ",$F$22," ",$F$21," ",$F$16," ",$F$23," ",$F$24)),Condicione_Financieras_Patrimon!B:W,22,0)*1.16)</f>
        <v/>
      </c>
      <c r="O347" s="631"/>
      <c r="P347" s="641"/>
      <c r="Q347" s="641"/>
      <c r="R347" s="631"/>
      <c r="S347" s="631"/>
      <c r="T347" s="424" t="str">
        <f>IF(B347="","",'Tabla_Puntual&amp;Relacionamiento'!$B$91)</f>
        <v/>
      </c>
      <c r="U347" s="424"/>
      <c r="V347" s="642" t="str">
        <f t="shared" si="55"/>
        <v/>
      </c>
      <c r="W347" s="642"/>
      <c r="X347" s="642" t="str">
        <f t="shared" si="56"/>
        <v/>
      </c>
      <c r="Y347" s="642"/>
      <c r="AL347" s="420" t="str">
        <f t="shared" si="60"/>
        <v/>
      </c>
      <c r="AM347" s="421">
        <f t="shared" si="63"/>
        <v>0</v>
      </c>
      <c r="AN347" s="637"/>
      <c r="AO347" s="637"/>
      <c r="AP347" s="634"/>
      <c r="AQ347" s="634"/>
      <c r="AR347" s="427"/>
      <c r="AS347" s="522" t="str">
        <f t="shared" si="61"/>
        <v/>
      </c>
    </row>
    <row r="348" spans="2:45" x14ac:dyDescent="0.25">
      <c r="B348" s="426" t="str">
        <f t="shared" si="57"/>
        <v/>
      </c>
      <c r="C348" s="423" t="str">
        <f t="shared" si="58"/>
        <v/>
      </c>
      <c r="D348" s="643" t="str">
        <f t="shared" si="62"/>
        <v/>
      </c>
      <c r="E348" s="643"/>
      <c r="F348" s="643" t="str">
        <f t="shared" si="52"/>
        <v/>
      </c>
      <c r="G348" s="643"/>
      <c r="H348" s="671">
        <f t="shared" si="53"/>
        <v>0</v>
      </c>
      <c r="I348" s="671"/>
      <c r="J348" s="640" t="str">
        <f t="shared" si="59"/>
        <v/>
      </c>
      <c r="K348" s="640"/>
      <c r="L348" s="631" t="str">
        <f t="shared" si="54"/>
        <v/>
      </c>
      <c r="M348" s="631"/>
      <c r="N348" s="631" t="str">
        <f>IF(B348="","",VLOOKUP(TRIM(CONCATENATE($F$20," ",$F$17," ",$F$18," ",$F$22," ",$F$21," ",$F$16," ",$F$23," ",$F$24)),Condicione_Financieras_Patrimon!B:W,22,0)*1.16)</f>
        <v/>
      </c>
      <c r="O348" s="631"/>
      <c r="P348" s="641"/>
      <c r="Q348" s="641"/>
      <c r="R348" s="631" t="str">
        <f>IF(OR(X347=0,X347=""),"",IF($F$21="Apoyo Infonavit",IF(D348&gt;=C348,0,MIN(IF($F$30="",0,Caratula_Patrimonial!$F$30),$AL$29*25)*10%),0))</f>
        <v/>
      </c>
      <c r="S348" s="631"/>
      <c r="T348" s="424" t="str">
        <f>IF(B348="","",'Tabla_Puntual&amp;Relacionamiento'!$B$91)</f>
        <v/>
      </c>
      <c r="U348" s="424"/>
      <c r="V348" s="642" t="str">
        <f t="shared" si="55"/>
        <v/>
      </c>
      <c r="W348" s="642"/>
      <c r="X348" s="642" t="str">
        <f t="shared" si="56"/>
        <v/>
      </c>
      <c r="Y348" s="642"/>
      <c r="AL348" s="420" t="str">
        <f t="shared" si="60"/>
        <v/>
      </c>
      <c r="AM348" s="421">
        <f t="shared" si="63"/>
        <v>0</v>
      </c>
      <c r="AN348" s="637"/>
      <c r="AO348" s="637"/>
      <c r="AP348" s="634"/>
      <c r="AQ348" s="634"/>
      <c r="AR348" s="427"/>
      <c r="AS348" s="522" t="str">
        <f t="shared" si="61"/>
        <v/>
      </c>
    </row>
    <row r="349" spans="2:45" x14ac:dyDescent="0.25">
      <c r="B349" s="426" t="str">
        <f t="shared" si="57"/>
        <v/>
      </c>
      <c r="C349" s="423" t="str">
        <f t="shared" si="58"/>
        <v/>
      </c>
      <c r="D349" s="643" t="str">
        <f t="shared" si="62"/>
        <v/>
      </c>
      <c r="E349" s="643"/>
      <c r="F349" s="643" t="str">
        <f t="shared" si="52"/>
        <v/>
      </c>
      <c r="G349" s="643"/>
      <c r="H349" s="671">
        <f t="shared" si="53"/>
        <v>0</v>
      </c>
      <c r="I349" s="671"/>
      <c r="J349" s="640" t="str">
        <f t="shared" si="59"/>
        <v/>
      </c>
      <c r="K349" s="640"/>
      <c r="L349" s="631" t="str">
        <f t="shared" si="54"/>
        <v/>
      </c>
      <c r="M349" s="631"/>
      <c r="N349" s="631" t="str">
        <f>IF(B349="","",VLOOKUP(TRIM(CONCATENATE($F$20," ",$F$17," ",$F$18," ",$F$22," ",$F$21," ",$F$16," ",$F$23," ",$F$24)),Condicione_Financieras_Patrimon!B:W,22,0)*1.16)</f>
        <v/>
      </c>
      <c r="O349" s="631"/>
      <c r="P349" s="641"/>
      <c r="Q349" s="641"/>
      <c r="R349" s="631"/>
      <c r="S349" s="631"/>
      <c r="T349" s="424" t="str">
        <f>IF(B349="","",'Tabla_Puntual&amp;Relacionamiento'!$B$91)</f>
        <v/>
      </c>
      <c r="U349" s="424"/>
      <c r="V349" s="642" t="str">
        <f t="shared" si="55"/>
        <v/>
      </c>
      <c r="W349" s="642"/>
      <c r="X349" s="642" t="str">
        <f t="shared" si="56"/>
        <v/>
      </c>
      <c r="Y349" s="642"/>
      <c r="AL349" s="420" t="str">
        <f t="shared" si="60"/>
        <v/>
      </c>
      <c r="AM349" s="421">
        <f t="shared" si="63"/>
        <v>0</v>
      </c>
      <c r="AN349" s="637"/>
      <c r="AO349" s="637"/>
      <c r="AP349" s="634"/>
      <c r="AQ349" s="634"/>
      <c r="AR349" s="427"/>
      <c r="AS349" s="522" t="str">
        <f t="shared" si="61"/>
        <v/>
      </c>
    </row>
    <row r="350" spans="2:45" x14ac:dyDescent="0.25">
      <c r="B350" s="426" t="str">
        <f t="shared" si="57"/>
        <v/>
      </c>
      <c r="C350" s="423" t="str">
        <f t="shared" si="58"/>
        <v/>
      </c>
      <c r="D350" s="643" t="str">
        <f t="shared" si="62"/>
        <v/>
      </c>
      <c r="E350" s="643"/>
      <c r="F350" s="643" t="str">
        <f t="shared" si="52"/>
        <v/>
      </c>
      <c r="G350" s="643"/>
      <c r="H350" s="671">
        <f t="shared" si="53"/>
        <v>0</v>
      </c>
      <c r="I350" s="671"/>
      <c r="J350" s="640" t="str">
        <f t="shared" si="59"/>
        <v/>
      </c>
      <c r="K350" s="640"/>
      <c r="L350" s="631" t="str">
        <f t="shared" si="54"/>
        <v/>
      </c>
      <c r="M350" s="631"/>
      <c r="N350" s="631" t="str">
        <f>IF(B350="","",VLOOKUP(TRIM(CONCATENATE($F$20," ",$F$17," ",$F$18," ",$F$22," ",$F$21," ",$F$16," ",$F$23," ",$F$24)),Condicione_Financieras_Patrimon!B:W,22,0)*1.16)</f>
        <v/>
      </c>
      <c r="O350" s="631"/>
      <c r="P350" s="641"/>
      <c r="Q350" s="641"/>
      <c r="R350" s="631" t="str">
        <f>IF(OR(X349=0,X349=""),"",IF($F$21="Apoyo Infonavit",IF(D350&gt;=C350,0,MIN(IF($F$30="",0,Caratula_Patrimonial!$F$30),$AL$29*25)*10%),0))</f>
        <v/>
      </c>
      <c r="S350" s="631"/>
      <c r="T350" s="424" t="str">
        <f>IF(B350="","",'Tabla_Puntual&amp;Relacionamiento'!$B$91)</f>
        <v/>
      </c>
      <c r="U350" s="424"/>
      <c r="V350" s="642" t="str">
        <f t="shared" si="55"/>
        <v/>
      </c>
      <c r="W350" s="642"/>
      <c r="X350" s="642" t="str">
        <f t="shared" si="56"/>
        <v/>
      </c>
      <c r="Y350" s="642"/>
      <c r="AL350" s="420" t="str">
        <f t="shared" si="60"/>
        <v/>
      </c>
      <c r="AM350" s="421">
        <f t="shared" si="63"/>
        <v>0</v>
      </c>
      <c r="AN350" s="637"/>
      <c r="AO350" s="637"/>
      <c r="AP350" s="634"/>
      <c r="AQ350" s="634"/>
      <c r="AR350" s="427"/>
      <c r="AS350" s="522" t="str">
        <f t="shared" si="61"/>
        <v/>
      </c>
    </row>
    <row r="351" spans="2:45" x14ac:dyDescent="0.25">
      <c r="B351" s="426" t="str">
        <f t="shared" si="57"/>
        <v/>
      </c>
      <c r="C351" s="423" t="str">
        <f t="shared" si="58"/>
        <v/>
      </c>
      <c r="D351" s="643" t="str">
        <f t="shared" si="62"/>
        <v/>
      </c>
      <c r="E351" s="643"/>
      <c r="F351" s="643" t="str">
        <f t="shared" si="52"/>
        <v/>
      </c>
      <c r="G351" s="643"/>
      <c r="H351" s="671">
        <f t="shared" si="53"/>
        <v>0</v>
      </c>
      <c r="I351" s="671"/>
      <c r="J351" s="640" t="str">
        <f t="shared" si="59"/>
        <v/>
      </c>
      <c r="K351" s="640"/>
      <c r="L351" s="631" t="str">
        <f t="shared" si="54"/>
        <v/>
      </c>
      <c r="M351" s="631"/>
      <c r="N351" s="631" t="str">
        <f>IF(B351="","",VLOOKUP(TRIM(CONCATENATE($F$20," ",$F$17," ",$F$18," ",$F$22," ",$F$21," ",$F$16," ",$F$23," ",$F$24)),Condicione_Financieras_Patrimon!B:W,22,0)*1.16)</f>
        <v/>
      </c>
      <c r="O351" s="631"/>
      <c r="P351" s="641"/>
      <c r="Q351" s="641"/>
      <c r="R351" s="631"/>
      <c r="S351" s="631"/>
      <c r="T351" s="424" t="str">
        <f>IF(B351="","",'Tabla_Puntual&amp;Relacionamiento'!$B$91)</f>
        <v/>
      </c>
      <c r="U351" s="424"/>
      <c r="V351" s="642" t="str">
        <f t="shared" si="55"/>
        <v/>
      </c>
      <c r="W351" s="642"/>
      <c r="X351" s="642" t="str">
        <f t="shared" si="56"/>
        <v/>
      </c>
      <c r="Y351" s="642"/>
      <c r="AL351" s="420" t="str">
        <f t="shared" si="60"/>
        <v/>
      </c>
      <c r="AM351" s="421">
        <f t="shared" si="63"/>
        <v>0</v>
      </c>
      <c r="AN351" s="637"/>
      <c r="AO351" s="637"/>
      <c r="AP351" s="634"/>
      <c r="AQ351" s="634"/>
      <c r="AR351" s="427"/>
      <c r="AS351" s="522" t="str">
        <f t="shared" si="61"/>
        <v/>
      </c>
    </row>
    <row r="352" spans="2:45" x14ac:dyDescent="0.25">
      <c r="B352" s="426" t="str">
        <f t="shared" si="57"/>
        <v/>
      </c>
      <c r="C352" s="423" t="str">
        <f t="shared" si="58"/>
        <v/>
      </c>
      <c r="D352" s="643" t="str">
        <f t="shared" si="62"/>
        <v/>
      </c>
      <c r="E352" s="643"/>
      <c r="F352" s="643" t="str">
        <f t="shared" si="52"/>
        <v/>
      </c>
      <c r="G352" s="643"/>
      <c r="H352" s="671">
        <f t="shared" si="53"/>
        <v>0</v>
      </c>
      <c r="I352" s="671"/>
      <c r="J352" s="640" t="str">
        <f t="shared" si="59"/>
        <v/>
      </c>
      <c r="K352" s="640"/>
      <c r="L352" s="631" t="str">
        <f t="shared" si="54"/>
        <v/>
      </c>
      <c r="M352" s="631"/>
      <c r="N352" s="631" t="str">
        <f>IF(B352="","",VLOOKUP(TRIM(CONCATENATE($F$20," ",$F$17," ",$F$18," ",$F$22," ",$F$21," ",$F$16," ",$F$23," ",$F$24)),Condicione_Financieras_Patrimon!B:W,22,0)*1.16)</f>
        <v/>
      </c>
      <c r="O352" s="631"/>
      <c r="P352" s="641"/>
      <c r="Q352" s="641"/>
      <c r="R352" s="631" t="str">
        <f>IF(OR(X351=0,X351=""),"",IF($F$21="Apoyo Infonavit",IF(D352&gt;=C352,0,MIN(IF($F$30="",0,Caratula_Patrimonial!$F$30),$AL$29*25)*10%),0))</f>
        <v/>
      </c>
      <c r="S352" s="631"/>
      <c r="T352" s="424" t="str">
        <f>IF(B352="","",'Tabla_Puntual&amp;Relacionamiento'!$B$92)</f>
        <v/>
      </c>
      <c r="U352" s="424" t="str">
        <f>IF(B352="","",IF($F$16="Pago_Bajo_Puntual",0.019,""))</f>
        <v/>
      </c>
      <c r="V352" s="642" t="str">
        <f t="shared" si="55"/>
        <v/>
      </c>
      <c r="W352" s="642"/>
      <c r="X352" s="642" t="str">
        <f t="shared" si="56"/>
        <v/>
      </c>
      <c r="Y352" s="642"/>
      <c r="AL352" s="420" t="str">
        <f t="shared" si="60"/>
        <v/>
      </c>
      <c r="AM352" s="421">
        <f t="shared" si="63"/>
        <v>0</v>
      </c>
      <c r="AN352" s="637"/>
      <c r="AO352" s="637"/>
      <c r="AP352" s="634"/>
      <c r="AQ352" s="634"/>
      <c r="AR352" s="427"/>
      <c r="AS352" s="522" t="str">
        <f t="shared" si="61"/>
        <v/>
      </c>
    </row>
    <row r="353" spans="2:45" x14ac:dyDescent="0.25">
      <c r="B353" s="426" t="str">
        <f t="shared" si="57"/>
        <v/>
      </c>
      <c r="C353" s="423" t="str">
        <f t="shared" si="58"/>
        <v/>
      </c>
      <c r="D353" s="643" t="str">
        <f t="shared" si="62"/>
        <v/>
      </c>
      <c r="E353" s="643"/>
      <c r="F353" s="643" t="str">
        <f t="shared" si="52"/>
        <v/>
      </c>
      <c r="G353" s="643"/>
      <c r="H353" s="671">
        <f t="shared" si="53"/>
        <v>0</v>
      </c>
      <c r="I353" s="671"/>
      <c r="J353" s="640" t="str">
        <f t="shared" si="59"/>
        <v/>
      </c>
      <c r="K353" s="640"/>
      <c r="L353" s="631" t="str">
        <f t="shared" si="54"/>
        <v/>
      </c>
      <c r="M353" s="631"/>
      <c r="N353" s="631" t="str">
        <f>IF(B353="","",VLOOKUP(TRIM(CONCATENATE($F$20," ",$F$17," ",$F$18," ",$F$22," ",$F$21," ",$F$16," ",$F$23," ",$F$24)),Condicione_Financieras_Patrimon!B:W,22,0)*1.16)</f>
        <v/>
      </c>
      <c r="O353" s="631"/>
      <c r="P353" s="641"/>
      <c r="Q353" s="641"/>
      <c r="R353" s="631"/>
      <c r="S353" s="631"/>
      <c r="T353" s="424" t="str">
        <f>IF(B353="","",'Tabla_Puntual&amp;Relacionamiento'!$B$92)</f>
        <v/>
      </c>
      <c r="U353" s="424"/>
      <c r="V353" s="642" t="str">
        <f t="shared" si="55"/>
        <v/>
      </c>
      <c r="W353" s="642"/>
      <c r="X353" s="642" t="str">
        <f t="shared" si="56"/>
        <v/>
      </c>
      <c r="Y353" s="642"/>
      <c r="AL353" s="420" t="str">
        <f t="shared" si="60"/>
        <v/>
      </c>
      <c r="AM353" s="421">
        <f t="shared" si="63"/>
        <v>0</v>
      </c>
      <c r="AN353" s="637"/>
      <c r="AO353" s="637"/>
      <c r="AP353" s="634"/>
      <c r="AQ353" s="634"/>
      <c r="AR353" s="427"/>
      <c r="AS353" s="522" t="str">
        <f t="shared" si="61"/>
        <v/>
      </c>
    </row>
    <row r="354" spans="2:45" x14ac:dyDescent="0.25">
      <c r="B354" s="426" t="str">
        <f t="shared" si="57"/>
        <v/>
      </c>
      <c r="C354" s="423" t="str">
        <f t="shared" si="58"/>
        <v/>
      </c>
      <c r="D354" s="643" t="str">
        <f t="shared" si="62"/>
        <v/>
      </c>
      <c r="E354" s="643"/>
      <c r="F354" s="643" t="str">
        <f t="shared" si="52"/>
        <v/>
      </c>
      <c r="G354" s="643"/>
      <c r="H354" s="671">
        <f t="shared" si="53"/>
        <v>0</v>
      </c>
      <c r="I354" s="671"/>
      <c r="J354" s="640" t="str">
        <f t="shared" si="59"/>
        <v/>
      </c>
      <c r="K354" s="640"/>
      <c r="L354" s="631" t="str">
        <f t="shared" si="54"/>
        <v/>
      </c>
      <c r="M354" s="631"/>
      <c r="N354" s="631" t="str">
        <f>IF(B354="","",VLOOKUP(TRIM(CONCATENATE($F$20," ",$F$17," ",$F$18," ",$F$22," ",$F$21," ",$F$16," ",$F$23," ",$F$24)),Condicione_Financieras_Patrimon!B:W,22,0)*1.16)</f>
        <v/>
      </c>
      <c r="O354" s="631"/>
      <c r="P354" s="641"/>
      <c r="Q354" s="641"/>
      <c r="R354" s="631" t="str">
        <f>IF(OR(X353=0,X353=""),"",IF($F$21="Apoyo Infonavit",IF(D354&gt;=C354,0,MIN(IF($F$30="",0,Caratula_Patrimonial!$F$30),$AL$29*25)*10%),0))</f>
        <v/>
      </c>
      <c r="S354" s="631"/>
      <c r="T354" s="424" t="str">
        <f>IF(B354="","",'Tabla_Puntual&amp;Relacionamiento'!$B$92)</f>
        <v/>
      </c>
      <c r="U354" s="424"/>
      <c r="V354" s="642" t="str">
        <f t="shared" si="55"/>
        <v/>
      </c>
      <c r="W354" s="642"/>
      <c r="X354" s="642" t="str">
        <f t="shared" si="56"/>
        <v/>
      </c>
      <c r="Y354" s="642"/>
      <c r="AL354" s="420" t="str">
        <f t="shared" si="60"/>
        <v/>
      </c>
      <c r="AM354" s="421">
        <f t="shared" si="63"/>
        <v>0</v>
      </c>
      <c r="AN354" s="637"/>
      <c r="AO354" s="637"/>
      <c r="AP354" s="634"/>
      <c r="AQ354" s="634"/>
      <c r="AR354" s="427"/>
      <c r="AS354" s="522" t="str">
        <f t="shared" si="61"/>
        <v/>
      </c>
    </row>
    <row r="355" spans="2:45" x14ac:dyDescent="0.25">
      <c r="B355" s="426" t="str">
        <f t="shared" si="57"/>
        <v/>
      </c>
      <c r="C355" s="423" t="str">
        <f t="shared" si="58"/>
        <v/>
      </c>
      <c r="D355" s="643" t="str">
        <f t="shared" si="62"/>
        <v/>
      </c>
      <c r="E355" s="643"/>
      <c r="F355" s="643" t="str">
        <f t="shared" si="52"/>
        <v/>
      </c>
      <c r="G355" s="643"/>
      <c r="H355" s="671">
        <f t="shared" si="53"/>
        <v>0</v>
      </c>
      <c r="I355" s="671"/>
      <c r="J355" s="640" t="str">
        <f t="shared" si="59"/>
        <v/>
      </c>
      <c r="K355" s="640"/>
      <c r="L355" s="631" t="str">
        <f t="shared" si="54"/>
        <v/>
      </c>
      <c r="M355" s="631"/>
      <c r="N355" s="631" t="str">
        <f>IF(B355="","",VLOOKUP(TRIM(CONCATENATE($F$20," ",$F$17," ",$F$18," ",$F$22," ",$F$21," ",$F$16," ",$F$23," ",$F$24)),Condicione_Financieras_Patrimon!B:W,22,0)*1.16)</f>
        <v/>
      </c>
      <c r="O355" s="631"/>
      <c r="P355" s="641"/>
      <c r="Q355" s="641"/>
      <c r="R355" s="631"/>
      <c r="S355" s="631"/>
      <c r="T355" s="424" t="str">
        <f>IF(B355="","",'Tabla_Puntual&amp;Relacionamiento'!$B$92)</f>
        <v/>
      </c>
      <c r="U355" s="424"/>
      <c r="V355" s="642" t="str">
        <f t="shared" si="55"/>
        <v/>
      </c>
      <c r="W355" s="642"/>
      <c r="X355" s="642" t="str">
        <f t="shared" si="56"/>
        <v/>
      </c>
      <c r="Y355" s="642"/>
      <c r="AL355" s="420" t="str">
        <f t="shared" si="60"/>
        <v/>
      </c>
      <c r="AM355" s="421">
        <f t="shared" si="63"/>
        <v>0</v>
      </c>
      <c r="AN355" s="637"/>
      <c r="AO355" s="637"/>
      <c r="AP355" s="634"/>
      <c r="AQ355" s="634"/>
      <c r="AR355" s="427"/>
      <c r="AS355" s="522" t="str">
        <f t="shared" si="61"/>
        <v/>
      </c>
    </row>
    <row r="356" spans="2:45" x14ac:dyDescent="0.25">
      <c r="B356" s="426" t="str">
        <f t="shared" si="57"/>
        <v/>
      </c>
      <c r="C356" s="423" t="str">
        <f t="shared" si="58"/>
        <v/>
      </c>
      <c r="D356" s="643" t="str">
        <f t="shared" si="62"/>
        <v/>
      </c>
      <c r="E356" s="643"/>
      <c r="F356" s="643" t="str">
        <f t="shared" si="52"/>
        <v/>
      </c>
      <c r="G356" s="643"/>
      <c r="H356" s="671">
        <f t="shared" si="53"/>
        <v>0</v>
      </c>
      <c r="I356" s="671"/>
      <c r="J356" s="640" t="str">
        <f t="shared" si="59"/>
        <v/>
      </c>
      <c r="K356" s="640"/>
      <c r="L356" s="631" t="str">
        <f t="shared" si="54"/>
        <v/>
      </c>
      <c r="M356" s="631"/>
      <c r="N356" s="631" t="str">
        <f>IF(B356="","",VLOOKUP(TRIM(CONCATENATE($F$20," ",$F$17," ",$F$18," ",$F$22," ",$F$21," ",$F$16," ",$F$23," ",$F$24)),Condicione_Financieras_Patrimon!B:W,22,0)*1.16)</f>
        <v/>
      </c>
      <c r="O356" s="631"/>
      <c r="P356" s="641"/>
      <c r="Q356" s="641"/>
      <c r="R356" s="631" t="str">
        <f>IF(OR(X355=0,X355=""),"",IF($F$21="Apoyo Infonavit",IF(D356&gt;=C356,0,MIN(IF($F$30="",0,Caratula_Patrimonial!$F$30),$AL$29*25)*10%),0))</f>
        <v/>
      </c>
      <c r="S356" s="631"/>
      <c r="T356" s="424" t="str">
        <f>IF(B356="","",'Tabla_Puntual&amp;Relacionamiento'!$B$92)</f>
        <v/>
      </c>
      <c r="U356" s="424"/>
      <c r="V356" s="642" t="str">
        <f t="shared" si="55"/>
        <v/>
      </c>
      <c r="W356" s="642"/>
      <c r="X356" s="642" t="str">
        <f t="shared" si="56"/>
        <v/>
      </c>
      <c r="Y356" s="642"/>
      <c r="AL356" s="420" t="str">
        <f t="shared" si="60"/>
        <v/>
      </c>
      <c r="AM356" s="421">
        <f t="shared" si="63"/>
        <v>0</v>
      </c>
      <c r="AN356" s="637"/>
      <c r="AO356" s="637"/>
      <c r="AP356" s="634"/>
      <c r="AQ356" s="634"/>
      <c r="AR356" s="427"/>
      <c r="AS356" s="522" t="str">
        <f t="shared" si="61"/>
        <v/>
      </c>
    </row>
    <row r="357" spans="2:45" x14ac:dyDescent="0.25">
      <c r="B357" s="426" t="str">
        <f t="shared" si="57"/>
        <v/>
      </c>
      <c r="C357" s="423" t="str">
        <f t="shared" si="58"/>
        <v/>
      </c>
      <c r="D357" s="643" t="str">
        <f t="shared" si="62"/>
        <v/>
      </c>
      <c r="E357" s="643"/>
      <c r="F357" s="643" t="str">
        <f t="shared" si="52"/>
        <v/>
      </c>
      <c r="G357" s="643"/>
      <c r="H357" s="671">
        <f t="shared" si="53"/>
        <v>0</v>
      </c>
      <c r="I357" s="671"/>
      <c r="J357" s="640" t="str">
        <f t="shared" si="59"/>
        <v/>
      </c>
      <c r="K357" s="640"/>
      <c r="L357" s="631" t="str">
        <f t="shared" si="54"/>
        <v/>
      </c>
      <c r="M357" s="631"/>
      <c r="N357" s="631" t="str">
        <f>IF(B357="","",VLOOKUP(TRIM(CONCATENATE($F$20," ",$F$17," ",$F$18," ",$F$22," ",$F$21," ",$F$16," ",$F$23," ",$F$24)),Condicione_Financieras_Patrimon!B:W,22,0)*1.16)</f>
        <v/>
      </c>
      <c r="O357" s="631"/>
      <c r="P357" s="641"/>
      <c r="Q357" s="641"/>
      <c r="R357" s="631"/>
      <c r="S357" s="631"/>
      <c r="T357" s="424" t="str">
        <f>IF(B357="","",'Tabla_Puntual&amp;Relacionamiento'!$B$92)</f>
        <v/>
      </c>
      <c r="U357" s="424"/>
      <c r="V357" s="642" t="str">
        <f t="shared" si="55"/>
        <v/>
      </c>
      <c r="W357" s="642"/>
      <c r="X357" s="642" t="str">
        <f t="shared" si="56"/>
        <v/>
      </c>
      <c r="Y357" s="642"/>
      <c r="AL357" s="420" t="str">
        <f t="shared" si="60"/>
        <v/>
      </c>
      <c r="AM357" s="421">
        <f t="shared" si="63"/>
        <v>0</v>
      </c>
      <c r="AN357" s="637"/>
      <c r="AO357" s="637"/>
      <c r="AP357" s="634"/>
      <c r="AQ357" s="634"/>
      <c r="AR357" s="427"/>
      <c r="AS357" s="522" t="str">
        <f t="shared" si="61"/>
        <v/>
      </c>
    </row>
    <row r="358" spans="2:45" x14ac:dyDescent="0.25">
      <c r="B358" s="426" t="str">
        <f t="shared" si="57"/>
        <v/>
      </c>
      <c r="C358" s="423" t="str">
        <f t="shared" si="58"/>
        <v/>
      </c>
      <c r="D358" s="643" t="str">
        <f t="shared" si="62"/>
        <v/>
      </c>
      <c r="E358" s="643"/>
      <c r="F358" s="643" t="str">
        <f t="shared" si="52"/>
        <v/>
      </c>
      <c r="G358" s="643"/>
      <c r="H358" s="671">
        <f t="shared" si="53"/>
        <v>0</v>
      </c>
      <c r="I358" s="671"/>
      <c r="J358" s="640" t="str">
        <f t="shared" si="59"/>
        <v/>
      </c>
      <c r="K358" s="640"/>
      <c r="L358" s="631" t="str">
        <f t="shared" si="54"/>
        <v/>
      </c>
      <c r="M358" s="631"/>
      <c r="N358" s="631" t="str">
        <f>IF(B358="","",VLOOKUP(TRIM(CONCATENATE($F$20," ",$F$17," ",$F$18," ",$F$22," ",$F$21," ",$F$16," ",$F$23," ",$F$24)),Condicione_Financieras_Patrimon!B:W,22,0)*1.16)</f>
        <v/>
      </c>
      <c r="O358" s="631"/>
      <c r="P358" s="641"/>
      <c r="Q358" s="641"/>
      <c r="R358" s="631" t="str">
        <f>IF(OR(X357=0,X357=""),"",IF($F$21="Apoyo Infonavit",IF(D358&gt;=C358,0,MIN(IF($F$30="",0,Caratula_Patrimonial!$F$30),$AL$29*25)*10%),0))</f>
        <v/>
      </c>
      <c r="S358" s="631"/>
      <c r="T358" s="424" t="str">
        <f>IF(B358="","",'Tabla_Puntual&amp;Relacionamiento'!$B$92)</f>
        <v/>
      </c>
      <c r="U358" s="424"/>
      <c r="V358" s="642" t="str">
        <f t="shared" si="55"/>
        <v/>
      </c>
      <c r="W358" s="642"/>
      <c r="X358" s="642" t="str">
        <f t="shared" si="56"/>
        <v/>
      </c>
      <c r="Y358" s="642"/>
      <c r="AL358" s="420" t="str">
        <f t="shared" si="60"/>
        <v/>
      </c>
      <c r="AM358" s="421">
        <f t="shared" si="63"/>
        <v>0</v>
      </c>
      <c r="AN358" s="637"/>
      <c r="AO358" s="637"/>
      <c r="AP358" s="634"/>
      <c r="AQ358" s="634"/>
      <c r="AR358" s="427"/>
      <c r="AS358" s="522" t="str">
        <f t="shared" si="61"/>
        <v/>
      </c>
    </row>
    <row r="359" spans="2:45" x14ac:dyDescent="0.25">
      <c r="B359" s="426" t="str">
        <f t="shared" si="57"/>
        <v/>
      </c>
      <c r="C359" s="423" t="str">
        <f t="shared" si="58"/>
        <v/>
      </c>
      <c r="D359" s="643" t="str">
        <f t="shared" si="62"/>
        <v/>
      </c>
      <c r="E359" s="643"/>
      <c r="F359" s="643" t="str">
        <f t="shared" si="52"/>
        <v/>
      </c>
      <c r="G359" s="643"/>
      <c r="H359" s="671">
        <f t="shared" si="53"/>
        <v>0</v>
      </c>
      <c r="I359" s="671"/>
      <c r="J359" s="640" t="str">
        <f t="shared" si="59"/>
        <v/>
      </c>
      <c r="K359" s="640"/>
      <c r="L359" s="631" t="str">
        <f t="shared" si="54"/>
        <v/>
      </c>
      <c r="M359" s="631"/>
      <c r="N359" s="631" t="str">
        <f>IF(B359="","",VLOOKUP(TRIM(CONCATENATE($F$20," ",$F$17," ",$F$18," ",$F$22," ",$F$21," ",$F$16," ",$F$23," ",$F$24)),Condicione_Financieras_Patrimon!B:W,22,0)*1.16)</f>
        <v/>
      </c>
      <c r="O359" s="631"/>
      <c r="P359" s="641"/>
      <c r="Q359" s="641"/>
      <c r="R359" s="631"/>
      <c r="S359" s="631"/>
      <c r="T359" s="424" t="str">
        <f>IF(B359="","",'Tabla_Puntual&amp;Relacionamiento'!$B$92)</f>
        <v/>
      </c>
      <c r="U359" s="424"/>
      <c r="V359" s="642" t="str">
        <f t="shared" si="55"/>
        <v/>
      </c>
      <c r="W359" s="642"/>
      <c r="X359" s="642" t="str">
        <f t="shared" si="56"/>
        <v/>
      </c>
      <c r="Y359" s="642"/>
      <c r="AL359" s="420" t="str">
        <f t="shared" si="60"/>
        <v/>
      </c>
      <c r="AM359" s="421">
        <f t="shared" si="63"/>
        <v>0</v>
      </c>
      <c r="AN359" s="637"/>
      <c r="AO359" s="637"/>
      <c r="AP359" s="634"/>
      <c r="AQ359" s="634"/>
      <c r="AR359" s="427"/>
      <c r="AS359" s="522" t="str">
        <f t="shared" si="61"/>
        <v/>
      </c>
    </row>
    <row r="360" spans="2:45" x14ac:dyDescent="0.25">
      <c r="B360" s="426" t="str">
        <f t="shared" si="57"/>
        <v/>
      </c>
      <c r="C360" s="423" t="str">
        <f t="shared" si="58"/>
        <v/>
      </c>
      <c r="D360" s="643" t="str">
        <f t="shared" si="62"/>
        <v/>
      </c>
      <c r="E360" s="643"/>
      <c r="F360" s="643" t="str">
        <f t="shared" si="52"/>
        <v/>
      </c>
      <c r="G360" s="643"/>
      <c r="H360" s="671">
        <f t="shared" si="53"/>
        <v>0</v>
      </c>
      <c r="I360" s="671"/>
      <c r="J360" s="640" t="str">
        <f t="shared" si="59"/>
        <v/>
      </c>
      <c r="K360" s="640"/>
      <c r="L360" s="631" t="str">
        <f t="shared" si="54"/>
        <v/>
      </c>
      <c r="M360" s="631"/>
      <c r="N360" s="631" t="str">
        <f>IF(B360="","",VLOOKUP(TRIM(CONCATENATE($F$20," ",$F$17," ",$F$18," ",$F$22," ",$F$21," ",$F$16," ",$F$23," ",$F$24)),Condicione_Financieras_Patrimon!B:W,22,0)*1.16)</f>
        <v/>
      </c>
      <c r="O360" s="631"/>
      <c r="P360" s="641"/>
      <c r="Q360" s="641"/>
      <c r="R360" s="631" t="str">
        <f>IF(OR(X359=0,X359=""),"",IF($F$21="Apoyo Infonavit",IF(D360&gt;=C360,0,MIN(IF($F$30="",0,Caratula_Patrimonial!$F$30),$AL$29*25)*10%),0))</f>
        <v/>
      </c>
      <c r="S360" s="631"/>
      <c r="T360" s="424" t="str">
        <f>IF(B360="","",'Tabla_Puntual&amp;Relacionamiento'!$B$92)</f>
        <v/>
      </c>
      <c r="U360" s="424"/>
      <c r="V360" s="642" t="str">
        <f t="shared" si="55"/>
        <v/>
      </c>
      <c r="W360" s="642"/>
      <c r="X360" s="642" t="str">
        <f t="shared" si="56"/>
        <v/>
      </c>
      <c r="Y360" s="642"/>
      <c r="AL360" s="420" t="str">
        <f t="shared" si="60"/>
        <v/>
      </c>
      <c r="AM360" s="421">
        <f t="shared" si="63"/>
        <v>0</v>
      </c>
      <c r="AN360" s="637"/>
      <c r="AO360" s="637"/>
      <c r="AP360" s="634"/>
      <c r="AQ360" s="634"/>
      <c r="AR360" s="427"/>
      <c r="AS360" s="522" t="str">
        <f t="shared" si="61"/>
        <v/>
      </c>
    </row>
    <row r="361" spans="2:45" x14ac:dyDescent="0.25">
      <c r="B361" s="426" t="str">
        <f t="shared" si="57"/>
        <v/>
      </c>
      <c r="C361" s="423" t="str">
        <f t="shared" si="58"/>
        <v/>
      </c>
      <c r="D361" s="643" t="str">
        <f t="shared" si="62"/>
        <v/>
      </c>
      <c r="E361" s="643"/>
      <c r="F361" s="643" t="str">
        <f t="shared" si="52"/>
        <v/>
      </c>
      <c r="G361" s="643"/>
      <c r="H361" s="671">
        <f t="shared" si="53"/>
        <v>0</v>
      </c>
      <c r="I361" s="671"/>
      <c r="J361" s="640" t="str">
        <f t="shared" si="59"/>
        <v/>
      </c>
      <c r="K361" s="640"/>
      <c r="L361" s="631" t="str">
        <f t="shared" si="54"/>
        <v/>
      </c>
      <c r="M361" s="631"/>
      <c r="N361" s="631" t="str">
        <f>IF(B361="","",VLOOKUP(TRIM(CONCATENATE($F$20," ",$F$17," ",$F$18," ",$F$22," ",$F$21," ",$F$16," ",$F$23," ",$F$24)),Condicione_Financieras_Patrimon!B:W,22,0)*1.16)</f>
        <v/>
      </c>
      <c r="O361" s="631"/>
      <c r="P361" s="641"/>
      <c r="Q361" s="641"/>
      <c r="R361" s="631"/>
      <c r="S361" s="631"/>
      <c r="T361" s="424" t="str">
        <f>IF(B361="","",'Tabla_Puntual&amp;Relacionamiento'!$B$92)</f>
        <v/>
      </c>
      <c r="U361" s="424"/>
      <c r="V361" s="642" t="str">
        <f t="shared" si="55"/>
        <v/>
      </c>
      <c r="W361" s="642"/>
      <c r="X361" s="642" t="str">
        <f t="shared" si="56"/>
        <v/>
      </c>
      <c r="Y361" s="642"/>
      <c r="AL361" s="420" t="str">
        <f t="shared" si="60"/>
        <v/>
      </c>
      <c r="AM361" s="421">
        <f t="shared" si="63"/>
        <v>0</v>
      </c>
      <c r="AN361" s="637"/>
      <c r="AO361" s="637"/>
      <c r="AP361" s="634"/>
      <c r="AQ361" s="634"/>
      <c r="AR361" s="427"/>
      <c r="AS361" s="522" t="str">
        <f t="shared" si="61"/>
        <v/>
      </c>
    </row>
    <row r="362" spans="2:45" x14ac:dyDescent="0.25">
      <c r="B362" s="426" t="str">
        <f t="shared" si="57"/>
        <v/>
      </c>
      <c r="C362" s="423" t="str">
        <f t="shared" si="58"/>
        <v/>
      </c>
      <c r="D362" s="643" t="str">
        <f t="shared" si="62"/>
        <v/>
      </c>
      <c r="E362" s="643"/>
      <c r="F362" s="643" t="str">
        <f t="shared" si="52"/>
        <v/>
      </c>
      <c r="G362" s="643"/>
      <c r="H362" s="671">
        <f t="shared" si="53"/>
        <v>0</v>
      </c>
      <c r="I362" s="671"/>
      <c r="J362" s="640" t="str">
        <f t="shared" si="59"/>
        <v/>
      </c>
      <c r="K362" s="640"/>
      <c r="L362" s="631" t="str">
        <f t="shared" si="54"/>
        <v/>
      </c>
      <c r="M362" s="631"/>
      <c r="N362" s="631" t="str">
        <f>IF(B362="","",VLOOKUP(TRIM(CONCATENATE($F$20," ",$F$17," ",$F$18," ",$F$22," ",$F$21," ",$F$16," ",$F$23," ",$F$24)),Condicione_Financieras_Patrimon!B:W,22,0)*1.16)</f>
        <v/>
      </c>
      <c r="O362" s="631"/>
      <c r="P362" s="641"/>
      <c r="Q362" s="641"/>
      <c r="R362" s="631" t="str">
        <f>IF(OR(X361=0,X361=""),"",IF($F$21="Apoyo Infonavit",IF(D362&gt;=C362,0,MIN(IF($F$30="",0,Caratula_Patrimonial!$F$30),$AL$29*25)*10%),0))</f>
        <v/>
      </c>
      <c r="S362" s="631"/>
      <c r="T362" s="424" t="str">
        <f>IF(B362="","",'Tabla_Puntual&amp;Relacionamiento'!$B$92)</f>
        <v/>
      </c>
      <c r="U362" s="424"/>
      <c r="V362" s="642" t="str">
        <f t="shared" si="55"/>
        <v/>
      </c>
      <c r="W362" s="642"/>
      <c r="X362" s="642" t="str">
        <f t="shared" si="56"/>
        <v/>
      </c>
      <c r="Y362" s="642"/>
      <c r="AL362" s="420" t="str">
        <f t="shared" si="60"/>
        <v/>
      </c>
      <c r="AM362" s="421">
        <f t="shared" si="63"/>
        <v>0</v>
      </c>
      <c r="AN362" s="637"/>
      <c r="AO362" s="637"/>
      <c r="AP362" s="634"/>
      <c r="AQ362" s="634"/>
      <c r="AR362" s="427"/>
      <c r="AS362" s="522" t="str">
        <f t="shared" si="61"/>
        <v/>
      </c>
    </row>
    <row r="363" spans="2:45" x14ac:dyDescent="0.25">
      <c r="B363" s="426" t="str">
        <f t="shared" si="57"/>
        <v/>
      </c>
      <c r="C363" s="423" t="str">
        <f t="shared" si="58"/>
        <v/>
      </c>
      <c r="D363" s="643" t="str">
        <f t="shared" si="62"/>
        <v/>
      </c>
      <c r="E363" s="643"/>
      <c r="F363" s="643" t="str">
        <f t="shared" si="52"/>
        <v/>
      </c>
      <c r="G363" s="643"/>
      <c r="H363" s="671">
        <f t="shared" si="53"/>
        <v>0</v>
      </c>
      <c r="I363" s="671"/>
      <c r="J363" s="640" t="str">
        <f t="shared" si="59"/>
        <v/>
      </c>
      <c r="K363" s="640"/>
      <c r="L363" s="631" t="str">
        <f t="shared" si="54"/>
        <v/>
      </c>
      <c r="M363" s="631"/>
      <c r="N363" s="631" t="str">
        <f>IF(B363="","",VLOOKUP(TRIM(CONCATENATE($F$20," ",$F$17," ",$F$18," ",$F$22," ",$F$21," ",$F$16," ",$F$23," ",$F$24)),Condicione_Financieras_Patrimon!B:W,22,0)*1.16)</f>
        <v/>
      </c>
      <c r="O363" s="631"/>
      <c r="P363" s="641"/>
      <c r="Q363" s="641"/>
      <c r="R363" s="631"/>
      <c r="S363" s="631"/>
      <c r="T363" s="424" t="str">
        <f>IF(B363="","",'Tabla_Puntual&amp;Relacionamiento'!$B$92)</f>
        <v/>
      </c>
      <c r="U363" s="424"/>
      <c r="V363" s="642" t="str">
        <f t="shared" si="55"/>
        <v/>
      </c>
      <c r="W363" s="642"/>
      <c r="X363" s="642" t="str">
        <f t="shared" si="56"/>
        <v/>
      </c>
      <c r="Y363" s="642"/>
      <c r="AL363" s="420" t="str">
        <f t="shared" si="60"/>
        <v/>
      </c>
      <c r="AM363" s="421">
        <f t="shared" si="63"/>
        <v>0</v>
      </c>
      <c r="AN363" s="637"/>
      <c r="AO363" s="637"/>
      <c r="AP363" s="634"/>
      <c r="AQ363" s="634"/>
      <c r="AR363" s="427"/>
      <c r="AS363" s="522" t="str">
        <f t="shared" si="61"/>
        <v/>
      </c>
    </row>
    <row r="364" spans="2:45" ht="16.5" thickBot="1" x14ac:dyDescent="0.3">
      <c r="D364" s="632"/>
      <c r="E364" s="632"/>
      <c r="F364" s="632"/>
      <c r="G364" s="632"/>
      <c r="H364" s="632"/>
      <c r="I364" s="632"/>
      <c r="J364" s="718"/>
      <c r="K364" s="718"/>
      <c r="L364" s="718"/>
      <c r="M364" s="718"/>
      <c r="N364" s="632"/>
      <c r="O364" s="632"/>
      <c r="P364" s="641"/>
      <c r="Q364" s="641"/>
      <c r="R364" s="864"/>
      <c r="S364" s="864"/>
      <c r="V364" s="632"/>
      <c r="W364" s="632"/>
      <c r="X364" s="632"/>
      <c r="Y364" s="632"/>
      <c r="AJ364" s="428"/>
      <c r="AK364" s="426"/>
      <c r="AL364" s="426"/>
      <c r="AM364" s="426"/>
      <c r="AN364" s="637"/>
      <c r="AO364" s="637"/>
      <c r="AP364" s="717"/>
      <c r="AQ364" s="717"/>
    </row>
    <row r="365" spans="2:45" ht="16.5" thickBot="1" x14ac:dyDescent="0.3">
      <c r="B365" s="443"/>
      <c r="C365" s="444" t="s">
        <v>346</v>
      </c>
      <c r="D365" s="714">
        <f>SUM(D64:E363)</f>
        <v>999999.9999999993</v>
      </c>
      <c r="E365" s="714"/>
      <c r="F365" s="714">
        <f>SUM(F64:G363)</f>
        <v>1137211.1042937704</v>
      </c>
      <c r="G365" s="714"/>
      <c r="H365" s="863"/>
      <c r="I365" s="863"/>
      <c r="J365" s="714">
        <f>SUM(J64:K363)</f>
        <v>59659.102149706654</v>
      </c>
      <c r="K365" s="714"/>
      <c r="L365" s="714">
        <f>SUM(L64:M363)</f>
        <v>0</v>
      </c>
      <c r="M365" s="714"/>
      <c r="N365" s="863">
        <f>SUM(N64:N363)</f>
        <v>0</v>
      </c>
      <c r="O365" s="863"/>
      <c r="P365" s="863">
        <f>SUM(P64:P363)</f>
        <v>0</v>
      </c>
      <c r="Q365" s="863"/>
      <c r="R365" s="863"/>
      <c r="S365" s="863"/>
      <c r="T365" s="429"/>
      <c r="U365" s="429"/>
      <c r="V365" s="714">
        <f>SUM(V64:W363)</f>
        <v>2378823.9831304811</v>
      </c>
      <c r="W365" s="714"/>
      <c r="X365" s="724"/>
      <c r="Y365" s="725"/>
      <c r="AJ365" s="430"/>
      <c r="AK365" s="431"/>
      <c r="AL365" s="431"/>
      <c r="AM365" s="431"/>
      <c r="AN365" s="715">
        <f>SUM(AN64:AN363)</f>
        <v>0</v>
      </c>
      <c r="AO365" s="715"/>
      <c r="AP365" s="716"/>
      <c r="AQ365" s="716"/>
    </row>
    <row r="367" spans="2:45" x14ac:dyDescent="0.25">
      <c r="C367" s="324" t="s">
        <v>334</v>
      </c>
    </row>
    <row r="368" spans="2:45" x14ac:dyDescent="0.25">
      <c r="C368" s="324" t="s">
        <v>337</v>
      </c>
      <c r="D368" s="365"/>
      <c r="E368" s="365"/>
      <c r="F368" s="365"/>
      <c r="G368" s="365"/>
      <c r="H368" s="341"/>
      <c r="I368" s="341"/>
      <c r="J368" s="341"/>
      <c r="K368" s="341"/>
      <c r="L368" s="341"/>
      <c r="M368" s="341"/>
      <c r="N368" s="341"/>
      <c r="O368" s="341"/>
      <c r="P368" s="341"/>
      <c r="Q368" s="341"/>
      <c r="R368" s="341"/>
      <c r="S368" s="341"/>
      <c r="T368" s="341"/>
      <c r="U368" s="341"/>
      <c r="V368" s="341"/>
      <c r="W368" s="341"/>
      <c r="X368" s="341"/>
      <c r="Y368" s="341"/>
      <c r="Z368" s="634"/>
      <c r="AA368" s="634"/>
      <c r="AB368" s="341"/>
      <c r="AC368" s="341"/>
    </row>
    <row r="369" spans="3:3" x14ac:dyDescent="0.25">
      <c r="C369" s="324" t="s">
        <v>223</v>
      </c>
    </row>
    <row r="370" spans="3:3" x14ac:dyDescent="0.25">
      <c r="C370" s="324" t="s">
        <v>225</v>
      </c>
    </row>
    <row r="371" spans="3:3" x14ac:dyDescent="0.25">
      <c r="C371" s="324" t="s">
        <v>226</v>
      </c>
    </row>
    <row r="372" spans="3:3" x14ac:dyDescent="0.25">
      <c r="C372" s="324" t="s">
        <v>355</v>
      </c>
    </row>
  </sheetData>
  <sheetProtection algorithmName="SHA-512" hashValue="tmBS/Frz+jWdUuxIeut0iQ7SyhKTsfVcarVV3idv7oelYKYkCKF6kkXjzStBWRvjA4VxTgwJ0kF1SNMvr9389Q==" saltValue="r9VvF/8uMUxf45uBEJpiBw==" spinCount="100000" sheet="1" formatCells="0"/>
  <mergeCells count="3758">
    <mergeCell ref="C15:E15"/>
    <mergeCell ref="N15:W15"/>
    <mergeCell ref="C16:E16"/>
    <mergeCell ref="F16:K16"/>
    <mergeCell ref="N16:R16"/>
    <mergeCell ref="S16:W16"/>
    <mergeCell ref="D5:F5"/>
    <mergeCell ref="D8:K8"/>
    <mergeCell ref="R8:T8"/>
    <mergeCell ref="D9:K9"/>
    <mergeCell ref="R9:V9"/>
    <mergeCell ref="Q10:V10"/>
    <mergeCell ref="C21:E21"/>
    <mergeCell ref="F21:K21"/>
    <mergeCell ref="N21:R21"/>
    <mergeCell ref="S21:W21"/>
    <mergeCell ref="C22:E22"/>
    <mergeCell ref="F22:K22"/>
    <mergeCell ref="C19:E19"/>
    <mergeCell ref="F19:K19"/>
    <mergeCell ref="N19:R19"/>
    <mergeCell ref="S19:W19"/>
    <mergeCell ref="C20:E20"/>
    <mergeCell ref="F20:K20"/>
    <mergeCell ref="N20:R20"/>
    <mergeCell ref="S20:T20"/>
    <mergeCell ref="U20:W20"/>
    <mergeCell ref="C17:E17"/>
    <mergeCell ref="F17:K17"/>
    <mergeCell ref="N17:R17"/>
    <mergeCell ref="S17:W17"/>
    <mergeCell ref="C18:E18"/>
    <mergeCell ref="F18:K18"/>
    <mergeCell ref="N18:R18"/>
    <mergeCell ref="S18:T18"/>
    <mergeCell ref="U18:W18"/>
    <mergeCell ref="N27:R27"/>
    <mergeCell ref="S27:W27"/>
    <mergeCell ref="C29:E29"/>
    <mergeCell ref="F29:K29"/>
    <mergeCell ref="N28:R28"/>
    <mergeCell ref="S28:W28"/>
    <mergeCell ref="B26:E26"/>
    <mergeCell ref="F26:K26"/>
    <mergeCell ref="N25:R25"/>
    <mergeCell ref="S25:W25"/>
    <mergeCell ref="C27:E27"/>
    <mergeCell ref="F27:K27"/>
    <mergeCell ref="N26:R26"/>
    <mergeCell ref="S26:W26"/>
    <mergeCell ref="C23:E23"/>
    <mergeCell ref="F23:K23"/>
    <mergeCell ref="N23:W23"/>
    <mergeCell ref="C24:E24"/>
    <mergeCell ref="F24:K24"/>
    <mergeCell ref="N24:R24"/>
    <mergeCell ref="S24:T24"/>
    <mergeCell ref="U24:W24"/>
    <mergeCell ref="C33:E33"/>
    <mergeCell ref="F33:K33"/>
    <mergeCell ref="N32:R32"/>
    <mergeCell ref="S32:W32"/>
    <mergeCell ref="C34:E34"/>
    <mergeCell ref="F34:K34"/>
    <mergeCell ref="C30:E30"/>
    <mergeCell ref="F30:K30"/>
    <mergeCell ref="B31:E31"/>
    <mergeCell ref="F31:K31"/>
    <mergeCell ref="N30:W30"/>
    <mergeCell ref="B32:E32"/>
    <mergeCell ref="F32:K32"/>
    <mergeCell ref="N31:R31"/>
    <mergeCell ref="S31:W31"/>
    <mergeCell ref="C28:E28"/>
    <mergeCell ref="F28:K28"/>
    <mergeCell ref="V42:X42"/>
    <mergeCell ref="B42:D42"/>
    <mergeCell ref="E42:H42"/>
    <mergeCell ref="I42:K42"/>
    <mergeCell ref="O43:Q43"/>
    <mergeCell ref="S43:U43"/>
    <mergeCell ref="V43:X43"/>
    <mergeCell ref="C35:E35"/>
    <mergeCell ref="F35:K35"/>
    <mergeCell ref="C36:E36"/>
    <mergeCell ref="F36:K36"/>
    <mergeCell ref="N41:Y41"/>
    <mergeCell ref="B41:D41"/>
    <mergeCell ref="E41:H41"/>
    <mergeCell ref="I41:K41"/>
    <mergeCell ref="O42:Q42"/>
    <mergeCell ref="S42:U42"/>
    <mergeCell ref="F38:K38"/>
    <mergeCell ref="BM51:BU51"/>
    <mergeCell ref="BV51:BY51"/>
    <mergeCell ref="CA51:CD51"/>
    <mergeCell ref="CF51:CI51"/>
    <mergeCell ref="D62:E62"/>
    <mergeCell ref="F62:G62"/>
    <mergeCell ref="H62:I62"/>
    <mergeCell ref="J62:K62"/>
    <mergeCell ref="L62:M62"/>
    <mergeCell ref="N62:O62"/>
    <mergeCell ref="BL48:CK48"/>
    <mergeCell ref="BV49:BX49"/>
    <mergeCell ref="BZ49:CB49"/>
    <mergeCell ref="CD49:CF49"/>
    <mergeCell ref="CH49:CJ49"/>
    <mergeCell ref="BM50:BU50"/>
    <mergeCell ref="BV50:BX50"/>
    <mergeCell ref="BZ50:CB50"/>
    <mergeCell ref="CD50:CF50"/>
    <mergeCell ref="CH50:CJ50"/>
    <mergeCell ref="P63:Q63"/>
    <mergeCell ref="R63:S63"/>
    <mergeCell ref="V63:W63"/>
    <mergeCell ref="X63:Y63"/>
    <mergeCell ref="AN63:AO63"/>
    <mergeCell ref="AP63:AQ63"/>
    <mergeCell ref="D63:E63"/>
    <mergeCell ref="F63:G63"/>
    <mergeCell ref="H63:I63"/>
    <mergeCell ref="J63:K63"/>
    <mergeCell ref="L63:M63"/>
    <mergeCell ref="N63:O63"/>
    <mergeCell ref="P62:Q62"/>
    <mergeCell ref="R62:S62"/>
    <mergeCell ref="V62:W62"/>
    <mergeCell ref="X62:Y62"/>
    <mergeCell ref="AN62:AO62"/>
    <mergeCell ref="AP62:AQ62"/>
    <mergeCell ref="P65:Q65"/>
    <mergeCell ref="R65:S65"/>
    <mergeCell ref="V65:W65"/>
    <mergeCell ref="X65:Y65"/>
    <mergeCell ref="AN65:AO65"/>
    <mergeCell ref="AP65:AQ65"/>
    <mergeCell ref="D65:E65"/>
    <mergeCell ref="F65:G65"/>
    <mergeCell ref="H65:I65"/>
    <mergeCell ref="J65:K65"/>
    <mergeCell ref="L65:M65"/>
    <mergeCell ref="N65:O65"/>
    <mergeCell ref="P64:Q64"/>
    <mergeCell ref="R64:S64"/>
    <mergeCell ref="V64:W64"/>
    <mergeCell ref="X64:Y64"/>
    <mergeCell ref="AN64:AO64"/>
    <mergeCell ref="AP64:AQ64"/>
    <mergeCell ref="D64:E64"/>
    <mergeCell ref="F64:G64"/>
    <mergeCell ref="H64:I64"/>
    <mergeCell ref="J64:K64"/>
    <mergeCell ref="L64:M64"/>
    <mergeCell ref="N64:O64"/>
    <mergeCell ref="P67:Q67"/>
    <mergeCell ref="R67:S67"/>
    <mergeCell ref="V67:W67"/>
    <mergeCell ref="X67:Y67"/>
    <mergeCell ref="AN67:AO67"/>
    <mergeCell ref="AP67:AQ67"/>
    <mergeCell ref="D67:E67"/>
    <mergeCell ref="F67:G67"/>
    <mergeCell ref="H67:I67"/>
    <mergeCell ref="J67:K67"/>
    <mergeCell ref="L67:M67"/>
    <mergeCell ref="N67:O67"/>
    <mergeCell ref="P66:Q66"/>
    <mergeCell ref="R66:S66"/>
    <mergeCell ref="V66:W66"/>
    <mergeCell ref="X66:Y66"/>
    <mergeCell ref="AN66:AO66"/>
    <mergeCell ref="AP66:AQ66"/>
    <mergeCell ref="D66:E66"/>
    <mergeCell ref="F66:G66"/>
    <mergeCell ref="H66:I66"/>
    <mergeCell ref="J66:K66"/>
    <mergeCell ref="L66:M66"/>
    <mergeCell ref="N66:O66"/>
    <mergeCell ref="P69:Q69"/>
    <mergeCell ref="R69:S69"/>
    <mergeCell ref="V69:W69"/>
    <mergeCell ref="X69:Y69"/>
    <mergeCell ref="AN69:AO69"/>
    <mergeCell ref="AP69:AQ69"/>
    <mergeCell ref="D69:E69"/>
    <mergeCell ref="F69:G69"/>
    <mergeCell ref="H69:I69"/>
    <mergeCell ref="J69:K69"/>
    <mergeCell ref="L69:M69"/>
    <mergeCell ref="N69:O69"/>
    <mergeCell ref="P68:Q68"/>
    <mergeCell ref="R68:S68"/>
    <mergeCell ref="V68:W68"/>
    <mergeCell ref="X68:Y68"/>
    <mergeCell ref="AN68:AO68"/>
    <mergeCell ref="AP68:AQ68"/>
    <mergeCell ref="D68:E68"/>
    <mergeCell ref="F68:G68"/>
    <mergeCell ref="H68:I68"/>
    <mergeCell ref="J68:K68"/>
    <mergeCell ref="L68:M68"/>
    <mergeCell ref="N68:O68"/>
    <mergeCell ref="P71:Q71"/>
    <mergeCell ref="R71:S71"/>
    <mergeCell ref="V71:W71"/>
    <mergeCell ref="X71:Y71"/>
    <mergeCell ref="AN71:AO71"/>
    <mergeCell ref="AP71:AQ71"/>
    <mergeCell ref="D71:E71"/>
    <mergeCell ref="F71:G71"/>
    <mergeCell ref="H71:I71"/>
    <mergeCell ref="J71:K71"/>
    <mergeCell ref="L71:M71"/>
    <mergeCell ref="N71:O71"/>
    <mergeCell ref="P70:Q70"/>
    <mergeCell ref="R70:S70"/>
    <mergeCell ref="V70:W70"/>
    <mergeCell ref="X70:Y70"/>
    <mergeCell ref="AN70:AO70"/>
    <mergeCell ref="AP70:AQ70"/>
    <mergeCell ref="D70:E70"/>
    <mergeCell ref="F70:G70"/>
    <mergeCell ref="H70:I70"/>
    <mergeCell ref="J70:K70"/>
    <mergeCell ref="L70:M70"/>
    <mergeCell ref="N70:O70"/>
    <mergeCell ref="P73:Q73"/>
    <mergeCell ref="R73:S73"/>
    <mergeCell ref="V73:W73"/>
    <mergeCell ref="X73:Y73"/>
    <mergeCell ref="AN73:AO73"/>
    <mergeCell ref="AP73:AQ73"/>
    <mergeCell ref="D73:E73"/>
    <mergeCell ref="F73:G73"/>
    <mergeCell ref="H73:I73"/>
    <mergeCell ref="J73:K73"/>
    <mergeCell ref="L73:M73"/>
    <mergeCell ref="N73:O73"/>
    <mergeCell ref="P72:Q72"/>
    <mergeCell ref="R72:S72"/>
    <mergeCell ref="V72:W72"/>
    <mergeCell ref="X72:Y72"/>
    <mergeCell ref="AN72:AO72"/>
    <mergeCell ref="AP72:AQ72"/>
    <mergeCell ref="D72:E72"/>
    <mergeCell ref="F72:G72"/>
    <mergeCell ref="H72:I72"/>
    <mergeCell ref="J72:K72"/>
    <mergeCell ref="L72:M72"/>
    <mergeCell ref="N72:O72"/>
    <mergeCell ref="P75:Q75"/>
    <mergeCell ref="R75:S75"/>
    <mergeCell ref="V75:W75"/>
    <mergeCell ref="X75:Y75"/>
    <mergeCell ref="AN75:AO75"/>
    <mergeCell ref="AP75:AQ75"/>
    <mergeCell ref="D75:E75"/>
    <mergeCell ref="F75:G75"/>
    <mergeCell ref="H75:I75"/>
    <mergeCell ref="J75:K75"/>
    <mergeCell ref="L75:M75"/>
    <mergeCell ref="N75:O75"/>
    <mergeCell ref="P74:Q74"/>
    <mergeCell ref="R74:S74"/>
    <mergeCell ref="V74:W74"/>
    <mergeCell ref="X74:Y74"/>
    <mergeCell ref="AN74:AO74"/>
    <mergeCell ref="AP74:AQ74"/>
    <mergeCell ref="D74:E74"/>
    <mergeCell ref="F74:G74"/>
    <mergeCell ref="H74:I74"/>
    <mergeCell ref="J74:K74"/>
    <mergeCell ref="L74:M74"/>
    <mergeCell ref="N74:O74"/>
    <mergeCell ref="P77:Q77"/>
    <mergeCell ref="R77:S77"/>
    <mergeCell ref="V77:W77"/>
    <mergeCell ref="X77:Y77"/>
    <mergeCell ref="AN77:AO77"/>
    <mergeCell ref="AP77:AQ77"/>
    <mergeCell ref="D77:E77"/>
    <mergeCell ref="F77:G77"/>
    <mergeCell ref="H77:I77"/>
    <mergeCell ref="J77:K77"/>
    <mergeCell ref="L77:M77"/>
    <mergeCell ref="N77:O77"/>
    <mergeCell ref="P76:Q76"/>
    <mergeCell ref="R76:S76"/>
    <mergeCell ref="V76:W76"/>
    <mergeCell ref="X76:Y76"/>
    <mergeCell ref="AN76:AO76"/>
    <mergeCell ref="AP76:AQ76"/>
    <mergeCell ref="D76:E76"/>
    <mergeCell ref="F76:G76"/>
    <mergeCell ref="H76:I76"/>
    <mergeCell ref="J76:K76"/>
    <mergeCell ref="L76:M76"/>
    <mergeCell ref="N76:O76"/>
    <mergeCell ref="P79:Q79"/>
    <mergeCell ref="R79:S79"/>
    <mergeCell ref="V79:W79"/>
    <mergeCell ref="X79:Y79"/>
    <mergeCell ref="AN79:AO79"/>
    <mergeCell ref="AP79:AQ79"/>
    <mergeCell ref="D79:E79"/>
    <mergeCell ref="F79:G79"/>
    <mergeCell ref="H79:I79"/>
    <mergeCell ref="J79:K79"/>
    <mergeCell ref="L79:M79"/>
    <mergeCell ref="N79:O79"/>
    <mergeCell ref="P78:Q78"/>
    <mergeCell ref="R78:S78"/>
    <mergeCell ref="V78:W78"/>
    <mergeCell ref="X78:Y78"/>
    <mergeCell ref="AN78:AO78"/>
    <mergeCell ref="AP78:AQ78"/>
    <mergeCell ref="D78:E78"/>
    <mergeCell ref="F78:G78"/>
    <mergeCell ref="H78:I78"/>
    <mergeCell ref="J78:K78"/>
    <mergeCell ref="L78:M78"/>
    <mergeCell ref="N78:O78"/>
    <mergeCell ref="P81:Q81"/>
    <mergeCell ref="R81:S81"/>
    <mergeCell ref="V81:W81"/>
    <mergeCell ref="X81:Y81"/>
    <mergeCell ref="AN81:AO81"/>
    <mergeCell ref="AP81:AQ81"/>
    <mergeCell ref="D81:E81"/>
    <mergeCell ref="F81:G81"/>
    <mergeCell ref="H81:I81"/>
    <mergeCell ref="J81:K81"/>
    <mergeCell ref="L81:M81"/>
    <mergeCell ref="N81:O81"/>
    <mergeCell ref="P80:Q80"/>
    <mergeCell ref="R80:S80"/>
    <mergeCell ref="V80:W80"/>
    <mergeCell ref="X80:Y80"/>
    <mergeCell ref="AN80:AO80"/>
    <mergeCell ref="AP80:AQ80"/>
    <mergeCell ref="D80:E80"/>
    <mergeCell ref="F80:G80"/>
    <mergeCell ref="H80:I80"/>
    <mergeCell ref="J80:K80"/>
    <mergeCell ref="L80:M80"/>
    <mergeCell ref="N80:O80"/>
    <mergeCell ref="P83:Q83"/>
    <mergeCell ref="R83:S83"/>
    <mergeCell ref="V83:W83"/>
    <mergeCell ref="X83:Y83"/>
    <mergeCell ref="AN83:AO83"/>
    <mergeCell ref="AP83:AQ83"/>
    <mergeCell ref="D83:E83"/>
    <mergeCell ref="F83:G83"/>
    <mergeCell ref="H83:I83"/>
    <mergeCell ref="J83:K83"/>
    <mergeCell ref="L83:M83"/>
    <mergeCell ref="N83:O83"/>
    <mergeCell ref="P82:Q82"/>
    <mergeCell ref="R82:S82"/>
    <mergeCell ref="V82:W82"/>
    <mergeCell ref="X82:Y82"/>
    <mergeCell ref="AN82:AO82"/>
    <mergeCell ref="AP82:AQ82"/>
    <mergeCell ref="D82:E82"/>
    <mergeCell ref="F82:G82"/>
    <mergeCell ref="H82:I82"/>
    <mergeCell ref="J82:K82"/>
    <mergeCell ref="L82:M82"/>
    <mergeCell ref="N82:O82"/>
    <mergeCell ref="P85:Q85"/>
    <mergeCell ref="R85:S85"/>
    <mergeCell ref="V85:W85"/>
    <mergeCell ref="X85:Y85"/>
    <mergeCell ref="AN85:AO85"/>
    <mergeCell ref="AP85:AQ85"/>
    <mergeCell ref="D85:E85"/>
    <mergeCell ref="F85:G85"/>
    <mergeCell ref="H85:I85"/>
    <mergeCell ref="J85:K85"/>
    <mergeCell ref="L85:M85"/>
    <mergeCell ref="N85:O85"/>
    <mergeCell ref="P84:Q84"/>
    <mergeCell ref="R84:S84"/>
    <mergeCell ref="V84:W84"/>
    <mergeCell ref="X84:Y84"/>
    <mergeCell ref="AN84:AO84"/>
    <mergeCell ref="AP84:AQ84"/>
    <mergeCell ref="D84:E84"/>
    <mergeCell ref="F84:G84"/>
    <mergeCell ref="H84:I84"/>
    <mergeCell ref="J84:K84"/>
    <mergeCell ref="L84:M84"/>
    <mergeCell ref="N84:O84"/>
    <mergeCell ref="P87:Q87"/>
    <mergeCell ref="R87:S87"/>
    <mergeCell ref="V87:W87"/>
    <mergeCell ref="X87:Y87"/>
    <mergeCell ref="AN87:AO87"/>
    <mergeCell ref="AP87:AQ87"/>
    <mergeCell ref="D87:E87"/>
    <mergeCell ref="F87:G87"/>
    <mergeCell ref="H87:I87"/>
    <mergeCell ref="J87:K87"/>
    <mergeCell ref="L87:M87"/>
    <mergeCell ref="N87:O87"/>
    <mergeCell ref="P86:Q86"/>
    <mergeCell ref="R86:S86"/>
    <mergeCell ref="V86:W86"/>
    <mergeCell ref="X86:Y86"/>
    <mergeCell ref="AN86:AO86"/>
    <mergeCell ref="AP86:AQ86"/>
    <mergeCell ref="D86:E86"/>
    <mergeCell ref="F86:G86"/>
    <mergeCell ref="H86:I86"/>
    <mergeCell ref="J86:K86"/>
    <mergeCell ref="L86:M86"/>
    <mergeCell ref="N86:O86"/>
    <mergeCell ref="P89:Q89"/>
    <mergeCell ref="R89:S89"/>
    <mergeCell ref="V89:W89"/>
    <mergeCell ref="X89:Y89"/>
    <mergeCell ref="AN89:AO89"/>
    <mergeCell ref="AP89:AQ89"/>
    <mergeCell ref="D89:E89"/>
    <mergeCell ref="F89:G89"/>
    <mergeCell ref="H89:I89"/>
    <mergeCell ref="J89:K89"/>
    <mergeCell ref="L89:M89"/>
    <mergeCell ref="N89:O89"/>
    <mergeCell ref="P88:Q88"/>
    <mergeCell ref="R88:S88"/>
    <mergeCell ref="V88:W88"/>
    <mergeCell ref="X88:Y88"/>
    <mergeCell ref="AN88:AO88"/>
    <mergeCell ref="AP88:AQ88"/>
    <mergeCell ref="D88:E88"/>
    <mergeCell ref="F88:G88"/>
    <mergeCell ref="H88:I88"/>
    <mergeCell ref="J88:K88"/>
    <mergeCell ref="L88:M88"/>
    <mergeCell ref="N88:O88"/>
    <mergeCell ref="P91:Q91"/>
    <mergeCell ref="R91:S91"/>
    <mergeCell ref="V91:W91"/>
    <mergeCell ref="X91:Y91"/>
    <mergeCell ref="AN91:AO91"/>
    <mergeCell ref="AP91:AQ91"/>
    <mergeCell ref="D91:E91"/>
    <mergeCell ref="F91:G91"/>
    <mergeCell ref="H91:I91"/>
    <mergeCell ref="J91:K91"/>
    <mergeCell ref="L91:M91"/>
    <mergeCell ref="N91:O91"/>
    <mergeCell ref="P90:Q90"/>
    <mergeCell ref="R90:S90"/>
    <mergeCell ref="V90:W90"/>
    <mergeCell ref="X90:Y90"/>
    <mergeCell ref="AN90:AO90"/>
    <mergeCell ref="AP90:AQ90"/>
    <mergeCell ref="D90:E90"/>
    <mergeCell ref="F90:G90"/>
    <mergeCell ref="H90:I90"/>
    <mergeCell ref="J90:K90"/>
    <mergeCell ref="L90:M90"/>
    <mergeCell ref="N90:O90"/>
    <mergeCell ref="P93:Q93"/>
    <mergeCell ref="R93:S93"/>
    <mergeCell ref="V93:W93"/>
    <mergeCell ref="X93:Y93"/>
    <mergeCell ref="AN93:AO93"/>
    <mergeCell ref="AP93:AQ93"/>
    <mergeCell ref="D93:E93"/>
    <mergeCell ref="F93:G93"/>
    <mergeCell ref="H93:I93"/>
    <mergeCell ref="J93:K93"/>
    <mergeCell ref="L93:M93"/>
    <mergeCell ref="N93:O93"/>
    <mergeCell ref="P92:Q92"/>
    <mergeCell ref="R92:S92"/>
    <mergeCell ref="V92:W92"/>
    <mergeCell ref="X92:Y92"/>
    <mergeCell ref="AN92:AO92"/>
    <mergeCell ref="AP92:AQ92"/>
    <mergeCell ref="D92:E92"/>
    <mergeCell ref="F92:G92"/>
    <mergeCell ref="H92:I92"/>
    <mergeCell ref="J92:K92"/>
    <mergeCell ref="L92:M92"/>
    <mergeCell ref="N92:O92"/>
    <mergeCell ref="P95:Q95"/>
    <mergeCell ref="R95:S95"/>
    <mergeCell ref="V95:W95"/>
    <mergeCell ref="X95:Y95"/>
    <mergeCell ref="AN95:AO95"/>
    <mergeCell ref="AP95:AQ95"/>
    <mergeCell ref="D95:E95"/>
    <mergeCell ref="F95:G95"/>
    <mergeCell ref="H95:I95"/>
    <mergeCell ref="J95:K95"/>
    <mergeCell ref="L95:M95"/>
    <mergeCell ref="N95:O95"/>
    <mergeCell ref="P94:Q94"/>
    <mergeCell ref="R94:S94"/>
    <mergeCell ref="V94:W94"/>
    <mergeCell ref="X94:Y94"/>
    <mergeCell ref="AN94:AO94"/>
    <mergeCell ref="AP94:AQ94"/>
    <mergeCell ref="D94:E94"/>
    <mergeCell ref="F94:G94"/>
    <mergeCell ref="H94:I94"/>
    <mergeCell ref="J94:K94"/>
    <mergeCell ref="L94:M94"/>
    <mergeCell ref="N94:O94"/>
    <mergeCell ref="P97:Q97"/>
    <mergeCell ref="R97:S97"/>
    <mergeCell ref="V97:W97"/>
    <mergeCell ref="X97:Y97"/>
    <mergeCell ref="AN97:AO97"/>
    <mergeCell ref="AP97:AQ97"/>
    <mergeCell ref="D97:E97"/>
    <mergeCell ref="F97:G97"/>
    <mergeCell ref="H97:I97"/>
    <mergeCell ref="J97:K97"/>
    <mergeCell ref="L97:M97"/>
    <mergeCell ref="N97:O97"/>
    <mergeCell ref="P96:Q96"/>
    <mergeCell ref="R96:S96"/>
    <mergeCell ref="V96:W96"/>
    <mergeCell ref="X96:Y96"/>
    <mergeCell ref="AN96:AO96"/>
    <mergeCell ref="AP96:AQ96"/>
    <mergeCell ref="D96:E96"/>
    <mergeCell ref="F96:G96"/>
    <mergeCell ref="H96:I96"/>
    <mergeCell ref="J96:K96"/>
    <mergeCell ref="L96:M96"/>
    <mergeCell ref="N96:O96"/>
    <mergeCell ref="P99:Q99"/>
    <mergeCell ref="R99:S99"/>
    <mergeCell ref="V99:W99"/>
    <mergeCell ref="X99:Y99"/>
    <mergeCell ref="AN99:AO99"/>
    <mergeCell ref="AP99:AQ99"/>
    <mergeCell ref="D99:E99"/>
    <mergeCell ref="F99:G99"/>
    <mergeCell ref="H99:I99"/>
    <mergeCell ref="J99:K99"/>
    <mergeCell ref="L99:M99"/>
    <mergeCell ref="N99:O99"/>
    <mergeCell ref="P98:Q98"/>
    <mergeCell ref="R98:S98"/>
    <mergeCell ref="V98:W98"/>
    <mergeCell ref="X98:Y98"/>
    <mergeCell ref="AN98:AO98"/>
    <mergeCell ref="AP98:AQ98"/>
    <mergeCell ref="D98:E98"/>
    <mergeCell ref="F98:G98"/>
    <mergeCell ref="H98:I98"/>
    <mergeCell ref="J98:K98"/>
    <mergeCell ref="L98:M98"/>
    <mergeCell ref="N98:O98"/>
    <mergeCell ref="P101:Q101"/>
    <mergeCell ref="R101:S101"/>
    <mergeCell ref="V101:W101"/>
    <mergeCell ref="X101:Y101"/>
    <mergeCell ref="AN101:AO101"/>
    <mergeCell ref="AP101:AQ101"/>
    <mergeCell ref="D101:E101"/>
    <mergeCell ref="F101:G101"/>
    <mergeCell ref="H101:I101"/>
    <mergeCell ref="J101:K101"/>
    <mergeCell ref="L101:M101"/>
    <mergeCell ref="N101:O101"/>
    <mergeCell ref="P100:Q100"/>
    <mergeCell ref="R100:S100"/>
    <mergeCell ref="V100:W100"/>
    <mergeCell ref="X100:Y100"/>
    <mergeCell ref="AN100:AO100"/>
    <mergeCell ref="AP100:AQ100"/>
    <mergeCell ref="D100:E100"/>
    <mergeCell ref="F100:G100"/>
    <mergeCell ref="H100:I100"/>
    <mergeCell ref="J100:K100"/>
    <mergeCell ref="L100:M100"/>
    <mergeCell ref="N100:O100"/>
    <mergeCell ref="P103:Q103"/>
    <mergeCell ref="R103:S103"/>
    <mergeCell ref="V103:W103"/>
    <mergeCell ref="X103:Y103"/>
    <mergeCell ref="AN103:AO103"/>
    <mergeCell ref="AP103:AQ103"/>
    <mergeCell ref="D103:E103"/>
    <mergeCell ref="F103:G103"/>
    <mergeCell ref="H103:I103"/>
    <mergeCell ref="J103:K103"/>
    <mergeCell ref="L103:M103"/>
    <mergeCell ref="N103:O103"/>
    <mergeCell ref="P102:Q102"/>
    <mergeCell ref="R102:S102"/>
    <mergeCell ref="V102:W102"/>
    <mergeCell ref="X102:Y102"/>
    <mergeCell ref="AN102:AO102"/>
    <mergeCell ref="AP102:AQ102"/>
    <mergeCell ref="D102:E102"/>
    <mergeCell ref="F102:G102"/>
    <mergeCell ref="H102:I102"/>
    <mergeCell ref="J102:K102"/>
    <mergeCell ref="L102:M102"/>
    <mergeCell ref="N102:O102"/>
    <mergeCell ref="P105:Q105"/>
    <mergeCell ref="R105:S105"/>
    <mergeCell ref="V105:W105"/>
    <mergeCell ref="X105:Y105"/>
    <mergeCell ref="AN105:AO105"/>
    <mergeCell ref="AP105:AQ105"/>
    <mergeCell ref="D105:E105"/>
    <mergeCell ref="F105:G105"/>
    <mergeCell ref="H105:I105"/>
    <mergeCell ref="J105:K105"/>
    <mergeCell ref="L105:M105"/>
    <mergeCell ref="N105:O105"/>
    <mergeCell ref="P104:Q104"/>
    <mergeCell ref="R104:S104"/>
    <mergeCell ref="V104:W104"/>
    <mergeCell ref="X104:Y104"/>
    <mergeCell ref="AN104:AO104"/>
    <mergeCell ref="AP104:AQ104"/>
    <mergeCell ref="D104:E104"/>
    <mergeCell ref="F104:G104"/>
    <mergeCell ref="H104:I104"/>
    <mergeCell ref="J104:K104"/>
    <mergeCell ref="L104:M104"/>
    <mergeCell ref="N104:O104"/>
    <mergeCell ref="P107:Q107"/>
    <mergeCell ref="R107:S107"/>
    <mergeCell ref="V107:W107"/>
    <mergeCell ref="X107:Y107"/>
    <mergeCell ref="AN107:AO107"/>
    <mergeCell ref="AP107:AQ107"/>
    <mergeCell ref="D107:E107"/>
    <mergeCell ref="F107:G107"/>
    <mergeCell ref="H107:I107"/>
    <mergeCell ref="J107:K107"/>
    <mergeCell ref="L107:M107"/>
    <mergeCell ref="N107:O107"/>
    <mergeCell ref="P106:Q106"/>
    <mergeCell ref="R106:S106"/>
    <mergeCell ref="V106:W106"/>
    <mergeCell ref="X106:Y106"/>
    <mergeCell ref="AN106:AO106"/>
    <mergeCell ref="AP106:AQ106"/>
    <mergeCell ref="D106:E106"/>
    <mergeCell ref="F106:G106"/>
    <mergeCell ref="H106:I106"/>
    <mergeCell ref="J106:K106"/>
    <mergeCell ref="L106:M106"/>
    <mergeCell ref="N106:O106"/>
    <mergeCell ref="P109:Q109"/>
    <mergeCell ref="R109:S109"/>
    <mergeCell ref="V109:W109"/>
    <mergeCell ref="X109:Y109"/>
    <mergeCell ref="AN109:AO109"/>
    <mergeCell ref="AP109:AQ109"/>
    <mergeCell ref="D109:E109"/>
    <mergeCell ref="F109:G109"/>
    <mergeCell ref="H109:I109"/>
    <mergeCell ref="J109:K109"/>
    <mergeCell ref="L109:M109"/>
    <mergeCell ref="N109:O109"/>
    <mergeCell ref="P108:Q108"/>
    <mergeCell ref="R108:S108"/>
    <mergeCell ref="V108:W108"/>
    <mergeCell ref="X108:Y108"/>
    <mergeCell ref="AN108:AO108"/>
    <mergeCell ref="AP108:AQ108"/>
    <mergeCell ref="D108:E108"/>
    <mergeCell ref="F108:G108"/>
    <mergeCell ref="H108:I108"/>
    <mergeCell ref="J108:K108"/>
    <mergeCell ref="L108:M108"/>
    <mergeCell ref="N108:O108"/>
    <mergeCell ref="P111:Q111"/>
    <mergeCell ref="R111:S111"/>
    <mergeCell ref="V111:W111"/>
    <mergeCell ref="X111:Y111"/>
    <mergeCell ref="AN111:AO111"/>
    <mergeCell ref="AP111:AQ111"/>
    <mergeCell ref="D111:E111"/>
    <mergeCell ref="F111:G111"/>
    <mergeCell ref="H111:I111"/>
    <mergeCell ref="J111:K111"/>
    <mergeCell ref="L111:M111"/>
    <mergeCell ref="N111:O111"/>
    <mergeCell ref="P110:Q110"/>
    <mergeCell ref="R110:S110"/>
    <mergeCell ref="V110:W110"/>
    <mergeCell ref="X110:Y110"/>
    <mergeCell ref="AN110:AO110"/>
    <mergeCell ref="AP110:AQ110"/>
    <mergeCell ref="D110:E110"/>
    <mergeCell ref="F110:G110"/>
    <mergeCell ref="H110:I110"/>
    <mergeCell ref="J110:K110"/>
    <mergeCell ref="L110:M110"/>
    <mergeCell ref="N110:O110"/>
    <mergeCell ref="P113:Q113"/>
    <mergeCell ref="R113:S113"/>
    <mergeCell ref="V113:W113"/>
    <mergeCell ref="X113:Y113"/>
    <mergeCell ref="AN113:AO113"/>
    <mergeCell ref="AP113:AQ113"/>
    <mergeCell ref="D113:E113"/>
    <mergeCell ref="F113:G113"/>
    <mergeCell ref="H113:I113"/>
    <mergeCell ref="J113:K113"/>
    <mergeCell ref="L113:M113"/>
    <mergeCell ref="N113:O113"/>
    <mergeCell ref="P112:Q112"/>
    <mergeCell ref="R112:S112"/>
    <mergeCell ref="V112:W112"/>
    <mergeCell ref="X112:Y112"/>
    <mergeCell ref="AN112:AO112"/>
    <mergeCell ref="AP112:AQ112"/>
    <mergeCell ref="D112:E112"/>
    <mergeCell ref="F112:G112"/>
    <mergeCell ref="H112:I112"/>
    <mergeCell ref="J112:K112"/>
    <mergeCell ref="L112:M112"/>
    <mergeCell ref="N112:O112"/>
    <mergeCell ref="P115:Q115"/>
    <mergeCell ref="R115:S115"/>
    <mergeCell ref="V115:W115"/>
    <mergeCell ref="X115:Y115"/>
    <mergeCell ref="AN115:AO115"/>
    <mergeCell ref="AP115:AQ115"/>
    <mergeCell ref="D115:E115"/>
    <mergeCell ref="F115:G115"/>
    <mergeCell ref="H115:I115"/>
    <mergeCell ref="J115:K115"/>
    <mergeCell ref="L115:M115"/>
    <mergeCell ref="N115:O115"/>
    <mergeCell ref="P114:Q114"/>
    <mergeCell ref="R114:S114"/>
    <mergeCell ref="V114:W114"/>
    <mergeCell ref="X114:Y114"/>
    <mergeCell ref="AN114:AO114"/>
    <mergeCell ref="AP114:AQ114"/>
    <mergeCell ref="D114:E114"/>
    <mergeCell ref="F114:G114"/>
    <mergeCell ref="H114:I114"/>
    <mergeCell ref="J114:K114"/>
    <mergeCell ref="L114:M114"/>
    <mergeCell ref="N114:O114"/>
    <mergeCell ref="P117:Q117"/>
    <mergeCell ref="R117:S117"/>
    <mergeCell ref="V117:W117"/>
    <mergeCell ref="X117:Y117"/>
    <mergeCell ref="AN117:AO117"/>
    <mergeCell ref="AP117:AQ117"/>
    <mergeCell ref="D117:E117"/>
    <mergeCell ref="F117:G117"/>
    <mergeCell ref="H117:I117"/>
    <mergeCell ref="J117:K117"/>
    <mergeCell ref="L117:M117"/>
    <mergeCell ref="N117:O117"/>
    <mergeCell ref="P116:Q116"/>
    <mergeCell ref="R116:S116"/>
    <mergeCell ref="V116:W116"/>
    <mergeCell ref="X116:Y116"/>
    <mergeCell ref="AN116:AO116"/>
    <mergeCell ref="AP116:AQ116"/>
    <mergeCell ref="D116:E116"/>
    <mergeCell ref="F116:G116"/>
    <mergeCell ref="H116:I116"/>
    <mergeCell ref="J116:K116"/>
    <mergeCell ref="L116:M116"/>
    <mergeCell ref="N116:O116"/>
    <mergeCell ref="P119:Q119"/>
    <mergeCell ref="R119:S119"/>
    <mergeCell ref="V119:W119"/>
    <mergeCell ref="X119:Y119"/>
    <mergeCell ref="AN119:AO119"/>
    <mergeCell ref="AP119:AQ119"/>
    <mergeCell ref="D119:E119"/>
    <mergeCell ref="F119:G119"/>
    <mergeCell ref="H119:I119"/>
    <mergeCell ref="J119:K119"/>
    <mergeCell ref="L119:M119"/>
    <mergeCell ref="N119:O119"/>
    <mergeCell ref="P118:Q118"/>
    <mergeCell ref="R118:S118"/>
    <mergeCell ref="V118:W118"/>
    <mergeCell ref="X118:Y118"/>
    <mergeCell ref="AN118:AO118"/>
    <mergeCell ref="AP118:AQ118"/>
    <mergeCell ref="D118:E118"/>
    <mergeCell ref="F118:G118"/>
    <mergeCell ref="H118:I118"/>
    <mergeCell ref="J118:K118"/>
    <mergeCell ref="L118:M118"/>
    <mergeCell ref="N118:O118"/>
    <mergeCell ref="P121:Q121"/>
    <mergeCell ref="R121:S121"/>
    <mergeCell ref="V121:W121"/>
    <mergeCell ref="X121:Y121"/>
    <mergeCell ref="AN121:AO121"/>
    <mergeCell ref="AP121:AQ121"/>
    <mergeCell ref="D121:E121"/>
    <mergeCell ref="F121:G121"/>
    <mergeCell ref="H121:I121"/>
    <mergeCell ref="J121:K121"/>
    <mergeCell ref="L121:M121"/>
    <mergeCell ref="N121:O121"/>
    <mergeCell ref="P120:Q120"/>
    <mergeCell ref="R120:S120"/>
    <mergeCell ref="V120:W120"/>
    <mergeCell ref="X120:Y120"/>
    <mergeCell ref="AN120:AO120"/>
    <mergeCell ref="AP120:AQ120"/>
    <mergeCell ref="D120:E120"/>
    <mergeCell ref="F120:G120"/>
    <mergeCell ref="H120:I120"/>
    <mergeCell ref="J120:K120"/>
    <mergeCell ref="L120:M120"/>
    <mergeCell ref="N120:O120"/>
    <mergeCell ref="P123:Q123"/>
    <mergeCell ref="R123:S123"/>
    <mergeCell ref="V123:W123"/>
    <mergeCell ref="X123:Y123"/>
    <mergeCell ref="AN123:AO123"/>
    <mergeCell ref="AP123:AQ123"/>
    <mergeCell ref="D123:E123"/>
    <mergeCell ref="F123:G123"/>
    <mergeCell ref="H123:I123"/>
    <mergeCell ref="J123:K123"/>
    <mergeCell ref="L123:M123"/>
    <mergeCell ref="N123:O123"/>
    <mergeCell ref="P122:Q122"/>
    <mergeCell ref="R122:S122"/>
    <mergeCell ref="V122:W122"/>
    <mergeCell ref="X122:Y122"/>
    <mergeCell ref="AN122:AO122"/>
    <mergeCell ref="AP122:AQ122"/>
    <mergeCell ref="D122:E122"/>
    <mergeCell ref="F122:G122"/>
    <mergeCell ref="H122:I122"/>
    <mergeCell ref="J122:K122"/>
    <mergeCell ref="L122:M122"/>
    <mergeCell ref="N122:O122"/>
    <mergeCell ref="P125:Q125"/>
    <mergeCell ref="R125:S125"/>
    <mergeCell ref="V125:W125"/>
    <mergeCell ref="X125:Y125"/>
    <mergeCell ref="AN125:AO125"/>
    <mergeCell ref="AP125:AQ125"/>
    <mergeCell ref="D125:E125"/>
    <mergeCell ref="F125:G125"/>
    <mergeCell ref="H125:I125"/>
    <mergeCell ref="J125:K125"/>
    <mergeCell ref="L125:M125"/>
    <mergeCell ref="N125:O125"/>
    <mergeCell ref="P124:Q124"/>
    <mergeCell ref="R124:S124"/>
    <mergeCell ref="V124:W124"/>
    <mergeCell ref="X124:Y124"/>
    <mergeCell ref="AN124:AO124"/>
    <mergeCell ref="AP124:AQ124"/>
    <mergeCell ref="D124:E124"/>
    <mergeCell ref="F124:G124"/>
    <mergeCell ref="H124:I124"/>
    <mergeCell ref="J124:K124"/>
    <mergeCell ref="L124:M124"/>
    <mergeCell ref="N124:O124"/>
    <mergeCell ref="P127:Q127"/>
    <mergeCell ref="R127:S127"/>
    <mergeCell ref="V127:W127"/>
    <mergeCell ref="X127:Y127"/>
    <mergeCell ref="AN127:AO127"/>
    <mergeCell ref="AP127:AQ127"/>
    <mergeCell ref="D127:E127"/>
    <mergeCell ref="F127:G127"/>
    <mergeCell ref="H127:I127"/>
    <mergeCell ref="J127:K127"/>
    <mergeCell ref="L127:M127"/>
    <mergeCell ref="N127:O127"/>
    <mergeCell ref="P126:Q126"/>
    <mergeCell ref="R126:S126"/>
    <mergeCell ref="V126:W126"/>
    <mergeCell ref="X126:Y126"/>
    <mergeCell ref="AN126:AO126"/>
    <mergeCell ref="AP126:AQ126"/>
    <mergeCell ref="D126:E126"/>
    <mergeCell ref="F126:G126"/>
    <mergeCell ref="H126:I126"/>
    <mergeCell ref="J126:K126"/>
    <mergeCell ref="L126:M126"/>
    <mergeCell ref="N126:O126"/>
    <mergeCell ref="P129:Q129"/>
    <mergeCell ref="R129:S129"/>
    <mergeCell ref="V129:W129"/>
    <mergeCell ref="X129:Y129"/>
    <mergeCell ref="AN129:AO129"/>
    <mergeCell ref="AP129:AQ129"/>
    <mergeCell ref="D129:E129"/>
    <mergeCell ref="F129:G129"/>
    <mergeCell ref="H129:I129"/>
    <mergeCell ref="J129:K129"/>
    <mergeCell ref="L129:M129"/>
    <mergeCell ref="N129:O129"/>
    <mergeCell ref="P128:Q128"/>
    <mergeCell ref="R128:S128"/>
    <mergeCell ref="V128:W128"/>
    <mergeCell ref="X128:Y128"/>
    <mergeCell ref="AN128:AO128"/>
    <mergeCell ref="AP128:AQ128"/>
    <mergeCell ref="D128:E128"/>
    <mergeCell ref="F128:G128"/>
    <mergeCell ref="H128:I128"/>
    <mergeCell ref="J128:K128"/>
    <mergeCell ref="L128:M128"/>
    <mergeCell ref="N128:O128"/>
    <mergeCell ref="P131:Q131"/>
    <mergeCell ref="R131:S131"/>
    <mergeCell ref="V131:W131"/>
    <mergeCell ref="X131:Y131"/>
    <mergeCell ref="AN131:AO131"/>
    <mergeCell ref="AP131:AQ131"/>
    <mergeCell ref="D131:E131"/>
    <mergeCell ref="F131:G131"/>
    <mergeCell ref="H131:I131"/>
    <mergeCell ref="J131:K131"/>
    <mergeCell ref="L131:M131"/>
    <mergeCell ref="N131:O131"/>
    <mergeCell ref="P130:Q130"/>
    <mergeCell ref="R130:S130"/>
    <mergeCell ref="V130:W130"/>
    <mergeCell ref="X130:Y130"/>
    <mergeCell ref="AN130:AO130"/>
    <mergeCell ref="AP130:AQ130"/>
    <mergeCell ref="D130:E130"/>
    <mergeCell ref="F130:G130"/>
    <mergeCell ref="H130:I130"/>
    <mergeCell ref="J130:K130"/>
    <mergeCell ref="L130:M130"/>
    <mergeCell ref="N130:O130"/>
    <mergeCell ref="P133:Q133"/>
    <mergeCell ref="R133:S133"/>
    <mergeCell ref="V133:W133"/>
    <mergeCell ref="X133:Y133"/>
    <mergeCell ref="AN133:AO133"/>
    <mergeCell ref="AP133:AQ133"/>
    <mergeCell ref="D133:E133"/>
    <mergeCell ref="F133:G133"/>
    <mergeCell ref="H133:I133"/>
    <mergeCell ref="J133:K133"/>
    <mergeCell ref="L133:M133"/>
    <mergeCell ref="N133:O133"/>
    <mergeCell ref="P132:Q132"/>
    <mergeCell ref="R132:S132"/>
    <mergeCell ref="V132:W132"/>
    <mergeCell ref="X132:Y132"/>
    <mergeCell ref="AN132:AO132"/>
    <mergeCell ref="AP132:AQ132"/>
    <mergeCell ref="D132:E132"/>
    <mergeCell ref="F132:G132"/>
    <mergeCell ref="H132:I132"/>
    <mergeCell ref="J132:K132"/>
    <mergeCell ref="L132:M132"/>
    <mergeCell ref="N132:O132"/>
    <mergeCell ref="P135:Q135"/>
    <mergeCell ref="R135:S135"/>
    <mergeCell ref="V135:W135"/>
    <mergeCell ref="X135:Y135"/>
    <mergeCell ref="AN135:AO135"/>
    <mergeCell ref="AP135:AQ135"/>
    <mergeCell ref="D135:E135"/>
    <mergeCell ref="F135:G135"/>
    <mergeCell ref="H135:I135"/>
    <mergeCell ref="J135:K135"/>
    <mergeCell ref="L135:M135"/>
    <mergeCell ref="N135:O135"/>
    <mergeCell ref="P134:Q134"/>
    <mergeCell ref="R134:S134"/>
    <mergeCell ref="V134:W134"/>
    <mergeCell ref="X134:Y134"/>
    <mergeCell ref="AN134:AO134"/>
    <mergeCell ref="AP134:AQ134"/>
    <mergeCell ref="D134:E134"/>
    <mergeCell ref="F134:G134"/>
    <mergeCell ref="H134:I134"/>
    <mergeCell ref="J134:K134"/>
    <mergeCell ref="L134:M134"/>
    <mergeCell ref="N134:O134"/>
    <mergeCell ref="P137:Q137"/>
    <mergeCell ref="R137:S137"/>
    <mergeCell ref="V137:W137"/>
    <mergeCell ref="X137:Y137"/>
    <mergeCell ref="AN137:AO137"/>
    <mergeCell ref="AP137:AQ137"/>
    <mergeCell ref="D137:E137"/>
    <mergeCell ref="F137:G137"/>
    <mergeCell ref="H137:I137"/>
    <mergeCell ref="J137:K137"/>
    <mergeCell ref="L137:M137"/>
    <mergeCell ref="N137:O137"/>
    <mergeCell ref="P136:Q136"/>
    <mergeCell ref="R136:S136"/>
    <mergeCell ref="V136:W136"/>
    <mergeCell ref="X136:Y136"/>
    <mergeCell ref="AN136:AO136"/>
    <mergeCell ref="AP136:AQ136"/>
    <mergeCell ref="D136:E136"/>
    <mergeCell ref="F136:G136"/>
    <mergeCell ref="H136:I136"/>
    <mergeCell ref="J136:K136"/>
    <mergeCell ref="L136:M136"/>
    <mergeCell ref="N136:O136"/>
    <mergeCell ref="P139:Q139"/>
    <mergeCell ref="R139:S139"/>
    <mergeCell ref="V139:W139"/>
    <mergeCell ref="X139:Y139"/>
    <mergeCell ref="AN139:AO139"/>
    <mergeCell ref="AP139:AQ139"/>
    <mergeCell ref="D139:E139"/>
    <mergeCell ref="F139:G139"/>
    <mergeCell ref="H139:I139"/>
    <mergeCell ref="J139:K139"/>
    <mergeCell ref="L139:M139"/>
    <mergeCell ref="N139:O139"/>
    <mergeCell ref="P138:Q138"/>
    <mergeCell ref="R138:S138"/>
    <mergeCell ref="V138:W138"/>
    <mergeCell ref="X138:Y138"/>
    <mergeCell ref="AN138:AO138"/>
    <mergeCell ref="AP138:AQ138"/>
    <mergeCell ref="D138:E138"/>
    <mergeCell ref="F138:G138"/>
    <mergeCell ref="H138:I138"/>
    <mergeCell ref="J138:K138"/>
    <mergeCell ref="L138:M138"/>
    <mergeCell ref="N138:O138"/>
    <mergeCell ref="P141:Q141"/>
    <mergeCell ref="R141:S141"/>
    <mergeCell ref="V141:W141"/>
    <mergeCell ref="X141:Y141"/>
    <mergeCell ref="AN141:AO141"/>
    <mergeCell ref="AP141:AQ141"/>
    <mergeCell ref="D141:E141"/>
    <mergeCell ref="F141:G141"/>
    <mergeCell ref="H141:I141"/>
    <mergeCell ref="J141:K141"/>
    <mergeCell ref="L141:M141"/>
    <mergeCell ref="N141:O141"/>
    <mergeCell ref="P140:Q140"/>
    <mergeCell ref="R140:S140"/>
    <mergeCell ref="V140:W140"/>
    <mergeCell ref="X140:Y140"/>
    <mergeCell ref="AN140:AO140"/>
    <mergeCell ref="AP140:AQ140"/>
    <mergeCell ref="D140:E140"/>
    <mergeCell ref="F140:G140"/>
    <mergeCell ref="H140:I140"/>
    <mergeCell ref="J140:K140"/>
    <mergeCell ref="L140:M140"/>
    <mergeCell ref="N140:O140"/>
    <mergeCell ref="P143:Q143"/>
    <mergeCell ref="R143:S143"/>
    <mergeCell ref="V143:W143"/>
    <mergeCell ref="X143:Y143"/>
    <mergeCell ref="AN143:AO143"/>
    <mergeCell ref="AP143:AQ143"/>
    <mergeCell ref="D143:E143"/>
    <mergeCell ref="F143:G143"/>
    <mergeCell ref="H143:I143"/>
    <mergeCell ref="J143:K143"/>
    <mergeCell ref="L143:M143"/>
    <mergeCell ref="N143:O143"/>
    <mergeCell ref="P142:Q142"/>
    <mergeCell ref="R142:S142"/>
    <mergeCell ref="V142:W142"/>
    <mergeCell ref="X142:Y142"/>
    <mergeCell ref="AN142:AO142"/>
    <mergeCell ref="AP142:AQ142"/>
    <mergeCell ref="D142:E142"/>
    <mergeCell ref="F142:G142"/>
    <mergeCell ref="H142:I142"/>
    <mergeCell ref="J142:K142"/>
    <mergeCell ref="L142:M142"/>
    <mergeCell ref="N142:O142"/>
    <mergeCell ref="P145:Q145"/>
    <mergeCell ref="R145:S145"/>
    <mergeCell ref="V145:W145"/>
    <mergeCell ref="X145:Y145"/>
    <mergeCell ref="AN145:AO145"/>
    <mergeCell ref="AP145:AQ145"/>
    <mergeCell ref="D145:E145"/>
    <mergeCell ref="F145:G145"/>
    <mergeCell ref="H145:I145"/>
    <mergeCell ref="J145:K145"/>
    <mergeCell ref="L145:M145"/>
    <mergeCell ref="N145:O145"/>
    <mergeCell ref="P144:Q144"/>
    <mergeCell ref="R144:S144"/>
    <mergeCell ref="V144:W144"/>
    <mergeCell ref="X144:Y144"/>
    <mergeCell ref="AN144:AO144"/>
    <mergeCell ref="AP144:AQ144"/>
    <mergeCell ref="D144:E144"/>
    <mergeCell ref="F144:G144"/>
    <mergeCell ref="H144:I144"/>
    <mergeCell ref="J144:K144"/>
    <mergeCell ref="L144:M144"/>
    <mergeCell ref="N144:O144"/>
    <mergeCell ref="P147:Q147"/>
    <mergeCell ref="R147:S147"/>
    <mergeCell ref="V147:W147"/>
    <mergeCell ref="X147:Y147"/>
    <mergeCell ref="AN147:AO147"/>
    <mergeCell ref="AP147:AQ147"/>
    <mergeCell ref="D147:E147"/>
    <mergeCell ref="F147:G147"/>
    <mergeCell ref="H147:I147"/>
    <mergeCell ref="J147:K147"/>
    <mergeCell ref="L147:M147"/>
    <mergeCell ref="N147:O147"/>
    <mergeCell ref="P146:Q146"/>
    <mergeCell ref="R146:S146"/>
    <mergeCell ref="V146:W146"/>
    <mergeCell ref="X146:Y146"/>
    <mergeCell ref="AN146:AO146"/>
    <mergeCell ref="AP146:AQ146"/>
    <mergeCell ref="D146:E146"/>
    <mergeCell ref="F146:G146"/>
    <mergeCell ref="H146:I146"/>
    <mergeCell ref="J146:K146"/>
    <mergeCell ref="L146:M146"/>
    <mergeCell ref="N146:O146"/>
    <mergeCell ref="P149:Q149"/>
    <mergeCell ref="R149:S149"/>
    <mergeCell ref="V149:W149"/>
    <mergeCell ref="X149:Y149"/>
    <mergeCell ref="AN149:AO149"/>
    <mergeCell ref="AP149:AQ149"/>
    <mergeCell ref="D149:E149"/>
    <mergeCell ref="F149:G149"/>
    <mergeCell ref="H149:I149"/>
    <mergeCell ref="J149:K149"/>
    <mergeCell ref="L149:M149"/>
    <mergeCell ref="N149:O149"/>
    <mergeCell ref="P148:Q148"/>
    <mergeCell ref="R148:S148"/>
    <mergeCell ref="V148:W148"/>
    <mergeCell ref="X148:Y148"/>
    <mergeCell ref="AN148:AO148"/>
    <mergeCell ref="AP148:AQ148"/>
    <mergeCell ref="D148:E148"/>
    <mergeCell ref="F148:G148"/>
    <mergeCell ref="H148:I148"/>
    <mergeCell ref="J148:K148"/>
    <mergeCell ref="L148:M148"/>
    <mergeCell ref="N148:O148"/>
    <mergeCell ref="P151:Q151"/>
    <mergeCell ref="R151:S151"/>
    <mergeCell ref="V151:W151"/>
    <mergeCell ref="X151:Y151"/>
    <mergeCell ref="AN151:AO151"/>
    <mergeCell ref="AP151:AQ151"/>
    <mergeCell ref="D151:E151"/>
    <mergeCell ref="F151:G151"/>
    <mergeCell ref="H151:I151"/>
    <mergeCell ref="J151:K151"/>
    <mergeCell ref="L151:M151"/>
    <mergeCell ref="N151:O151"/>
    <mergeCell ref="P150:Q150"/>
    <mergeCell ref="R150:S150"/>
    <mergeCell ref="V150:W150"/>
    <mergeCell ref="X150:Y150"/>
    <mergeCell ref="AN150:AO150"/>
    <mergeCell ref="AP150:AQ150"/>
    <mergeCell ref="D150:E150"/>
    <mergeCell ref="F150:G150"/>
    <mergeCell ref="H150:I150"/>
    <mergeCell ref="J150:K150"/>
    <mergeCell ref="L150:M150"/>
    <mergeCell ref="N150:O150"/>
    <mergeCell ref="P153:Q153"/>
    <mergeCell ref="R153:S153"/>
    <mergeCell ref="V153:W153"/>
    <mergeCell ref="X153:Y153"/>
    <mergeCell ref="AN153:AO153"/>
    <mergeCell ref="AP153:AQ153"/>
    <mergeCell ref="D153:E153"/>
    <mergeCell ref="F153:G153"/>
    <mergeCell ref="H153:I153"/>
    <mergeCell ref="J153:K153"/>
    <mergeCell ref="L153:M153"/>
    <mergeCell ref="N153:O153"/>
    <mergeCell ref="P152:Q152"/>
    <mergeCell ref="R152:S152"/>
    <mergeCell ref="V152:W152"/>
    <mergeCell ref="X152:Y152"/>
    <mergeCell ref="AN152:AO152"/>
    <mergeCell ref="AP152:AQ152"/>
    <mergeCell ref="D152:E152"/>
    <mergeCell ref="F152:G152"/>
    <mergeCell ref="H152:I152"/>
    <mergeCell ref="J152:K152"/>
    <mergeCell ref="L152:M152"/>
    <mergeCell ref="N152:O152"/>
    <mergeCell ref="P155:Q155"/>
    <mergeCell ref="R155:S155"/>
    <mergeCell ref="V155:W155"/>
    <mergeCell ref="X155:Y155"/>
    <mergeCell ref="AN155:AO155"/>
    <mergeCell ref="AP155:AQ155"/>
    <mergeCell ref="D155:E155"/>
    <mergeCell ref="F155:G155"/>
    <mergeCell ref="H155:I155"/>
    <mergeCell ref="J155:K155"/>
    <mergeCell ref="L155:M155"/>
    <mergeCell ref="N155:O155"/>
    <mergeCell ref="P154:Q154"/>
    <mergeCell ref="R154:S154"/>
    <mergeCell ref="V154:W154"/>
    <mergeCell ref="X154:Y154"/>
    <mergeCell ref="AN154:AO154"/>
    <mergeCell ref="AP154:AQ154"/>
    <mergeCell ref="D154:E154"/>
    <mergeCell ref="F154:G154"/>
    <mergeCell ref="H154:I154"/>
    <mergeCell ref="J154:K154"/>
    <mergeCell ref="L154:M154"/>
    <mergeCell ref="N154:O154"/>
    <mergeCell ref="P157:Q157"/>
    <mergeCell ref="R157:S157"/>
    <mergeCell ref="V157:W157"/>
    <mergeCell ref="X157:Y157"/>
    <mergeCell ref="AN157:AO157"/>
    <mergeCell ref="AP157:AQ157"/>
    <mergeCell ref="D157:E157"/>
    <mergeCell ref="F157:G157"/>
    <mergeCell ref="H157:I157"/>
    <mergeCell ref="J157:K157"/>
    <mergeCell ref="L157:M157"/>
    <mergeCell ref="N157:O157"/>
    <mergeCell ref="P156:Q156"/>
    <mergeCell ref="R156:S156"/>
    <mergeCell ref="V156:W156"/>
    <mergeCell ref="X156:Y156"/>
    <mergeCell ref="AN156:AO156"/>
    <mergeCell ref="AP156:AQ156"/>
    <mergeCell ref="D156:E156"/>
    <mergeCell ref="F156:G156"/>
    <mergeCell ref="H156:I156"/>
    <mergeCell ref="J156:K156"/>
    <mergeCell ref="L156:M156"/>
    <mergeCell ref="N156:O156"/>
    <mergeCell ref="P159:Q159"/>
    <mergeCell ref="R159:S159"/>
    <mergeCell ref="V159:W159"/>
    <mergeCell ref="X159:Y159"/>
    <mergeCell ref="AN159:AO159"/>
    <mergeCell ref="AP159:AQ159"/>
    <mergeCell ref="D159:E159"/>
    <mergeCell ref="F159:G159"/>
    <mergeCell ref="H159:I159"/>
    <mergeCell ref="J159:K159"/>
    <mergeCell ref="L159:M159"/>
    <mergeCell ref="N159:O159"/>
    <mergeCell ref="P158:Q158"/>
    <mergeCell ref="R158:S158"/>
    <mergeCell ref="V158:W158"/>
    <mergeCell ref="X158:Y158"/>
    <mergeCell ref="AN158:AO158"/>
    <mergeCell ref="AP158:AQ158"/>
    <mergeCell ref="D158:E158"/>
    <mergeCell ref="F158:G158"/>
    <mergeCell ref="H158:I158"/>
    <mergeCell ref="J158:K158"/>
    <mergeCell ref="L158:M158"/>
    <mergeCell ref="N158:O158"/>
    <mergeCell ref="P161:Q161"/>
    <mergeCell ref="R161:S161"/>
    <mergeCell ref="V161:W161"/>
    <mergeCell ref="X161:Y161"/>
    <mergeCell ref="AN161:AO161"/>
    <mergeCell ref="AP161:AQ161"/>
    <mergeCell ref="D161:E161"/>
    <mergeCell ref="F161:G161"/>
    <mergeCell ref="H161:I161"/>
    <mergeCell ref="J161:K161"/>
    <mergeCell ref="L161:M161"/>
    <mergeCell ref="N161:O161"/>
    <mergeCell ref="P160:Q160"/>
    <mergeCell ref="R160:S160"/>
    <mergeCell ref="V160:W160"/>
    <mergeCell ref="X160:Y160"/>
    <mergeCell ref="AN160:AO160"/>
    <mergeCell ref="AP160:AQ160"/>
    <mergeCell ref="D160:E160"/>
    <mergeCell ref="F160:G160"/>
    <mergeCell ref="H160:I160"/>
    <mergeCell ref="J160:K160"/>
    <mergeCell ref="L160:M160"/>
    <mergeCell ref="N160:O160"/>
    <mergeCell ref="P163:Q163"/>
    <mergeCell ref="R163:S163"/>
    <mergeCell ref="V163:W163"/>
    <mergeCell ref="X163:Y163"/>
    <mergeCell ref="AN163:AO163"/>
    <mergeCell ref="AP163:AQ163"/>
    <mergeCell ref="D163:E163"/>
    <mergeCell ref="F163:G163"/>
    <mergeCell ref="H163:I163"/>
    <mergeCell ref="J163:K163"/>
    <mergeCell ref="L163:M163"/>
    <mergeCell ref="N163:O163"/>
    <mergeCell ref="P162:Q162"/>
    <mergeCell ref="R162:S162"/>
    <mergeCell ref="V162:W162"/>
    <mergeCell ref="X162:Y162"/>
    <mergeCell ref="AN162:AO162"/>
    <mergeCell ref="AP162:AQ162"/>
    <mergeCell ref="D162:E162"/>
    <mergeCell ref="F162:G162"/>
    <mergeCell ref="H162:I162"/>
    <mergeCell ref="J162:K162"/>
    <mergeCell ref="L162:M162"/>
    <mergeCell ref="N162:O162"/>
    <mergeCell ref="P165:Q165"/>
    <mergeCell ref="R165:S165"/>
    <mergeCell ref="V165:W165"/>
    <mergeCell ref="X165:Y165"/>
    <mergeCell ref="AN165:AO165"/>
    <mergeCell ref="AP165:AQ165"/>
    <mergeCell ref="D165:E165"/>
    <mergeCell ref="F165:G165"/>
    <mergeCell ref="H165:I165"/>
    <mergeCell ref="J165:K165"/>
    <mergeCell ref="L165:M165"/>
    <mergeCell ref="N165:O165"/>
    <mergeCell ref="P164:Q164"/>
    <mergeCell ref="R164:S164"/>
    <mergeCell ref="V164:W164"/>
    <mergeCell ref="X164:Y164"/>
    <mergeCell ref="AN164:AO164"/>
    <mergeCell ref="AP164:AQ164"/>
    <mergeCell ref="D164:E164"/>
    <mergeCell ref="F164:G164"/>
    <mergeCell ref="H164:I164"/>
    <mergeCell ref="J164:K164"/>
    <mergeCell ref="L164:M164"/>
    <mergeCell ref="N164:O164"/>
    <mergeCell ref="P167:Q167"/>
    <mergeCell ref="R167:S167"/>
    <mergeCell ref="V167:W167"/>
    <mergeCell ref="X167:Y167"/>
    <mergeCell ref="AN167:AO167"/>
    <mergeCell ref="AP167:AQ167"/>
    <mergeCell ref="D167:E167"/>
    <mergeCell ref="F167:G167"/>
    <mergeCell ref="H167:I167"/>
    <mergeCell ref="J167:K167"/>
    <mergeCell ref="L167:M167"/>
    <mergeCell ref="N167:O167"/>
    <mergeCell ref="P166:Q166"/>
    <mergeCell ref="R166:S166"/>
    <mergeCell ref="V166:W166"/>
    <mergeCell ref="X166:Y166"/>
    <mergeCell ref="AN166:AO166"/>
    <mergeCell ref="AP166:AQ166"/>
    <mergeCell ref="D166:E166"/>
    <mergeCell ref="F166:G166"/>
    <mergeCell ref="H166:I166"/>
    <mergeCell ref="J166:K166"/>
    <mergeCell ref="L166:M166"/>
    <mergeCell ref="N166:O166"/>
    <mergeCell ref="P169:Q169"/>
    <mergeCell ref="R169:S169"/>
    <mergeCell ref="V169:W169"/>
    <mergeCell ref="X169:Y169"/>
    <mergeCell ref="AN169:AO169"/>
    <mergeCell ref="AP169:AQ169"/>
    <mergeCell ref="D169:E169"/>
    <mergeCell ref="F169:G169"/>
    <mergeCell ref="H169:I169"/>
    <mergeCell ref="J169:K169"/>
    <mergeCell ref="L169:M169"/>
    <mergeCell ref="N169:O169"/>
    <mergeCell ref="P168:Q168"/>
    <mergeCell ref="R168:S168"/>
    <mergeCell ref="V168:W168"/>
    <mergeCell ref="X168:Y168"/>
    <mergeCell ref="AN168:AO168"/>
    <mergeCell ref="AP168:AQ168"/>
    <mergeCell ref="D168:E168"/>
    <mergeCell ref="F168:G168"/>
    <mergeCell ref="H168:I168"/>
    <mergeCell ref="J168:K168"/>
    <mergeCell ref="L168:M168"/>
    <mergeCell ref="N168:O168"/>
    <mergeCell ref="P171:Q171"/>
    <mergeCell ref="R171:S171"/>
    <mergeCell ref="V171:W171"/>
    <mergeCell ref="X171:Y171"/>
    <mergeCell ref="AN171:AO171"/>
    <mergeCell ref="AP171:AQ171"/>
    <mergeCell ref="D171:E171"/>
    <mergeCell ref="F171:G171"/>
    <mergeCell ref="H171:I171"/>
    <mergeCell ref="J171:K171"/>
    <mergeCell ref="L171:M171"/>
    <mergeCell ref="N171:O171"/>
    <mergeCell ref="P170:Q170"/>
    <mergeCell ref="R170:S170"/>
    <mergeCell ref="V170:W170"/>
    <mergeCell ref="X170:Y170"/>
    <mergeCell ref="AN170:AO170"/>
    <mergeCell ref="AP170:AQ170"/>
    <mergeCell ref="D170:E170"/>
    <mergeCell ref="F170:G170"/>
    <mergeCell ref="H170:I170"/>
    <mergeCell ref="J170:K170"/>
    <mergeCell ref="L170:M170"/>
    <mergeCell ref="N170:O170"/>
    <mergeCell ref="P173:Q173"/>
    <mergeCell ref="R173:S173"/>
    <mergeCell ref="V173:W173"/>
    <mergeCell ref="X173:Y173"/>
    <mergeCell ref="AN173:AO173"/>
    <mergeCell ref="AP173:AQ173"/>
    <mergeCell ref="D173:E173"/>
    <mergeCell ref="F173:G173"/>
    <mergeCell ref="H173:I173"/>
    <mergeCell ref="J173:K173"/>
    <mergeCell ref="L173:M173"/>
    <mergeCell ref="N173:O173"/>
    <mergeCell ref="P172:Q172"/>
    <mergeCell ref="R172:S172"/>
    <mergeCell ref="V172:W172"/>
    <mergeCell ref="X172:Y172"/>
    <mergeCell ref="AN172:AO172"/>
    <mergeCell ref="AP172:AQ172"/>
    <mergeCell ref="D172:E172"/>
    <mergeCell ref="F172:G172"/>
    <mergeCell ref="H172:I172"/>
    <mergeCell ref="J172:K172"/>
    <mergeCell ref="L172:M172"/>
    <mergeCell ref="N172:O172"/>
    <mergeCell ref="P175:Q175"/>
    <mergeCell ref="R175:S175"/>
    <mergeCell ref="V175:W175"/>
    <mergeCell ref="X175:Y175"/>
    <mergeCell ref="AN175:AO175"/>
    <mergeCell ref="AP175:AQ175"/>
    <mergeCell ref="D175:E175"/>
    <mergeCell ref="F175:G175"/>
    <mergeCell ref="H175:I175"/>
    <mergeCell ref="J175:K175"/>
    <mergeCell ref="L175:M175"/>
    <mergeCell ref="N175:O175"/>
    <mergeCell ref="P174:Q174"/>
    <mergeCell ref="R174:S174"/>
    <mergeCell ref="V174:W174"/>
    <mergeCell ref="X174:Y174"/>
    <mergeCell ref="AN174:AO174"/>
    <mergeCell ref="AP174:AQ174"/>
    <mergeCell ref="D174:E174"/>
    <mergeCell ref="F174:G174"/>
    <mergeCell ref="H174:I174"/>
    <mergeCell ref="J174:K174"/>
    <mergeCell ref="L174:M174"/>
    <mergeCell ref="N174:O174"/>
    <mergeCell ref="P177:Q177"/>
    <mergeCell ref="R177:S177"/>
    <mergeCell ref="V177:W177"/>
    <mergeCell ref="X177:Y177"/>
    <mergeCell ref="AN177:AO177"/>
    <mergeCell ref="AP177:AQ177"/>
    <mergeCell ref="D177:E177"/>
    <mergeCell ref="F177:G177"/>
    <mergeCell ref="H177:I177"/>
    <mergeCell ref="J177:K177"/>
    <mergeCell ref="L177:M177"/>
    <mergeCell ref="N177:O177"/>
    <mergeCell ref="P176:Q176"/>
    <mergeCell ref="R176:S176"/>
    <mergeCell ref="V176:W176"/>
    <mergeCell ref="X176:Y176"/>
    <mergeCell ref="AN176:AO176"/>
    <mergeCell ref="AP176:AQ176"/>
    <mergeCell ref="D176:E176"/>
    <mergeCell ref="F176:G176"/>
    <mergeCell ref="H176:I176"/>
    <mergeCell ref="J176:K176"/>
    <mergeCell ref="L176:M176"/>
    <mergeCell ref="N176:O176"/>
    <mergeCell ref="P179:Q179"/>
    <mergeCell ref="R179:S179"/>
    <mergeCell ref="V179:W179"/>
    <mergeCell ref="X179:Y179"/>
    <mergeCell ref="AN179:AO179"/>
    <mergeCell ref="AP179:AQ179"/>
    <mergeCell ref="D179:E179"/>
    <mergeCell ref="F179:G179"/>
    <mergeCell ref="H179:I179"/>
    <mergeCell ref="J179:K179"/>
    <mergeCell ref="L179:M179"/>
    <mergeCell ref="N179:O179"/>
    <mergeCell ref="P178:Q178"/>
    <mergeCell ref="R178:S178"/>
    <mergeCell ref="V178:W178"/>
    <mergeCell ref="X178:Y178"/>
    <mergeCell ref="AN178:AO178"/>
    <mergeCell ref="AP178:AQ178"/>
    <mergeCell ref="D178:E178"/>
    <mergeCell ref="F178:G178"/>
    <mergeCell ref="H178:I178"/>
    <mergeCell ref="J178:K178"/>
    <mergeCell ref="L178:M178"/>
    <mergeCell ref="N178:O178"/>
    <mergeCell ref="P181:Q181"/>
    <mergeCell ref="R181:S181"/>
    <mergeCell ref="V181:W181"/>
    <mergeCell ref="X181:Y181"/>
    <mergeCell ref="AN181:AO181"/>
    <mergeCell ref="AP181:AQ181"/>
    <mergeCell ref="D181:E181"/>
    <mergeCell ref="F181:G181"/>
    <mergeCell ref="H181:I181"/>
    <mergeCell ref="J181:K181"/>
    <mergeCell ref="L181:M181"/>
    <mergeCell ref="N181:O181"/>
    <mergeCell ref="P180:Q180"/>
    <mergeCell ref="R180:S180"/>
    <mergeCell ref="V180:W180"/>
    <mergeCell ref="X180:Y180"/>
    <mergeCell ref="AN180:AO180"/>
    <mergeCell ref="AP180:AQ180"/>
    <mergeCell ref="D180:E180"/>
    <mergeCell ref="F180:G180"/>
    <mergeCell ref="H180:I180"/>
    <mergeCell ref="J180:K180"/>
    <mergeCell ref="L180:M180"/>
    <mergeCell ref="N180:O180"/>
    <mergeCell ref="P183:Q183"/>
    <mergeCell ref="R183:S183"/>
    <mergeCell ref="V183:W183"/>
    <mergeCell ref="X183:Y183"/>
    <mergeCell ref="AN183:AO183"/>
    <mergeCell ref="AP183:AQ183"/>
    <mergeCell ref="D183:E183"/>
    <mergeCell ref="F183:G183"/>
    <mergeCell ref="H183:I183"/>
    <mergeCell ref="J183:K183"/>
    <mergeCell ref="L183:M183"/>
    <mergeCell ref="N183:O183"/>
    <mergeCell ref="P182:Q182"/>
    <mergeCell ref="R182:S182"/>
    <mergeCell ref="V182:W182"/>
    <mergeCell ref="X182:Y182"/>
    <mergeCell ref="AN182:AO182"/>
    <mergeCell ref="AP182:AQ182"/>
    <mergeCell ref="D182:E182"/>
    <mergeCell ref="F182:G182"/>
    <mergeCell ref="H182:I182"/>
    <mergeCell ref="J182:K182"/>
    <mergeCell ref="L182:M182"/>
    <mergeCell ref="N182:O182"/>
    <mergeCell ref="P185:Q185"/>
    <mergeCell ref="R185:S185"/>
    <mergeCell ref="V185:W185"/>
    <mergeCell ref="X185:Y185"/>
    <mergeCell ref="AN185:AO185"/>
    <mergeCell ref="AP185:AQ185"/>
    <mergeCell ref="D185:E185"/>
    <mergeCell ref="F185:G185"/>
    <mergeCell ref="H185:I185"/>
    <mergeCell ref="J185:K185"/>
    <mergeCell ref="L185:M185"/>
    <mergeCell ref="N185:O185"/>
    <mergeCell ref="P184:Q184"/>
    <mergeCell ref="R184:S184"/>
    <mergeCell ref="V184:W184"/>
    <mergeCell ref="X184:Y184"/>
    <mergeCell ref="AN184:AO184"/>
    <mergeCell ref="AP184:AQ184"/>
    <mergeCell ref="D184:E184"/>
    <mergeCell ref="F184:G184"/>
    <mergeCell ref="H184:I184"/>
    <mergeCell ref="J184:K184"/>
    <mergeCell ref="L184:M184"/>
    <mergeCell ref="N184:O184"/>
    <mergeCell ref="P187:Q187"/>
    <mergeCell ref="R187:S187"/>
    <mergeCell ref="V187:W187"/>
    <mergeCell ref="X187:Y187"/>
    <mergeCell ref="AN187:AO187"/>
    <mergeCell ref="AP187:AQ187"/>
    <mergeCell ref="D187:E187"/>
    <mergeCell ref="F187:G187"/>
    <mergeCell ref="H187:I187"/>
    <mergeCell ref="J187:K187"/>
    <mergeCell ref="L187:M187"/>
    <mergeCell ref="N187:O187"/>
    <mergeCell ref="P186:Q186"/>
    <mergeCell ref="R186:S186"/>
    <mergeCell ref="V186:W186"/>
    <mergeCell ref="X186:Y186"/>
    <mergeCell ref="AN186:AO186"/>
    <mergeCell ref="AP186:AQ186"/>
    <mergeCell ref="D186:E186"/>
    <mergeCell ref="F186:G186"/>
    <mergeCell ref="H186:I186"/>
    <mergeCell ref="J186:K186"/>
    <mergeCell ref="L186:M186"/>
    <mergeCell ref="N186:O186"/>
    <mergeCell ref="P189:Q189"/>
    <mergeCell ref="R189:S189"/>
    <mergeCell ref="V189:W189"/>
    <mergeCell ref="X189:Y189"/>
    <mergeCell ref="AN189:AO189"/>
    <mergeCell ref="AP189:AQ189"/>
    <mergeCell ref="D189:E189"/>
    <mergeCell ref="F189:G189"/>
    <mergeCell ref="H189:I189"/>
    <mergeCell ref="J189:K189"/>
    <mergeCell ref="L189:M189"/>
    <mergeCell ref="N189:O189"/>
    <mergeCell ref="P188:Q188"/>
    <mergeCell ref="R188:S188"/>
    <mergeCell ref="V188:W188"/>
    <mergeCell ref="X188:Y188"/>
    <mergeCell ref="AN188:AO188"/>
    <mergeCell ref="AP188:AQ188"/>
    <mergeCell ref="D188:E188"/>
    <mergeCell ref="F188:G188"/>
    <mergeCell ref="H188:I188"/>
    <mergeCell ref="J188:K188"/>
    <mergeCell ref="L188:M188"/>
    <mergeCell ref="N188:O188"/>
    <mergeCell ref="P191:Q191"/>
    <mergeCell ref="R191:S191"/>
    <mergeCell ref="V191:W191"/>
    <mergeCell ref="X191:Y191"/>
    <mergeCell ref="AN191:AO191"/>
    <mergeCell ref="AP191:AQ191"/>
    <mergeCell ref="D191:E191"/>
    <mergeCell ref="F191:G191"/>
    <mergeCell ref="H191:I191"/>
    <mergeCell ref="J191:K191"/>
    <mergeCell ref="L191:M191"/>
    <mergeCell ref="N191:O191"/>
    <mergeCell ref="P190:Q190"/>
    <mergeCell ref="R190:S190"/>
    <mergeCell ref="V190:W190"/>
    <mergeCell ref="X190:Y190"/>
    <mergeCell ref="AN190:AO190"/>
    <mergeCell ref="AP190:AQ190"/>
    <mergeCell ref="D190:E190"/>
    <mergeCell ref="F190:G190"/>
    <mergeCell ref="H190:I190"/>
    <mergeCell ref="J190:K190"/>
    <mergeCell ref="L190:M190"/>
    <mergeCell ref="N190:O190"/>
    <mergeCell ref="P193:Q193"/>
    <mergeCell ref="R193:S193"/>
    <mergeCell ref="V193:W193"/>
    <mergeCell ref="X193:Y193"/>
    <mergeCell ref="AN193:AO193"/>
    <mergeCell ref="AP193:AQ193"/>
    <mergeCell ref="D193:E193"/>
    <mergeCell ref="F193:G193"/>
    <mergeCell ref="H193:I193"/>
    <mergeCell ref="J193:K193"/>
    <mergeCell ref="L193:M193"/>
    <mergeCell ref="N193:O193"/>
    <mergeCell ref="P192:Q192"/>
    <mergeCell ref="R192:S192"/>
    <mergeCell ref="V192:W192"/>
    <mergeCell ref="X192:Y192"/>
    <mergeCell ref="AN192:AO192"/>
    <mergeCell ref="AP192:AQ192"/>
    <mergeCell ref="D192:E192"/>
    <mergeCell ref="F192:G192"/>
    <mergeCell ref="H192:I192"/>
    <mergeCell ref="J192:K192"/>
    <mergeCell ref="L192:M192"/>
    <mergeCell ref="N192:O192"/>
    <mergeCell ref="P195:Q195"/>
    <mergeCell ref="R195:S195"/>
    <mergeCell ref="V195:W195"/>
    <mergeCell ref="X195:Y195"/>
    <mergeCell ref="AN195:AO195"/>
    <mergeCell ref="AP195:AQ195"/>
    <mergeCell ref="D195:E195"/>
    <mergeCell ref="F195:G195"/>
    <mergeCell ref="H195:I195"/>
    <mergeCell ref="J195:K195"/>
    <mergeCell ref="L195:M195"/>
    <mergeCell ref="N195:O195"/>
    <mergeCell ref="P194:Q194"/>
    <mergeCell ref="R194:S194"/>
    <mergeCell ref="V194:W194"/>
    <mergeCell ref="X194:Y194"/>
    <mergeCell ref="AN194:AO194"/>
    <mergeCell ref="AP194:AQ194"/>
    <mergeCell ref="D194:E194"/>
    <mergeCell ref="F194:G194"/>
    <mergeCell ref="H194:I194"/>
    <mergeCell ref="J194:K194"/>
    <mergeCell ref="L194:M194"/>
    <mergeCell ref="N194:O194"/>
    <mergeCell ref="P197:Q197"/>
    <mergeCell ref="R197:S197"/>
    <mergeCell ref="V197:W197"/>
    <mergeCell ref="X197:Y197"/>
    <mergeCell ref="AN197:AO197"/>
    <mergeCell ref="AP197:AQ197"/>
    <mergeCell ref="D197:E197"/>
    <mergeCell ref="F197:G197"/>
    <mergeCell ref="H197:I197"/>
    <mergeCell ref="J197:K197"/>
    <mergeCell ref="L197:M197"/>
    <mergeCell ref="N197:O197"/>
    <mergeCell ref="P196:Q196"/>
    <mergeCell ref="R196:S196"/>
    <mergeCell ref="V196:W196"/>
    <mergeCell ref="X196:Y196"/>
    <mergeCell ref="AN196:AO196"/>
    <mergeCell ref="AP196:AQ196"/>
    <mergeCell ref="D196:E196"/>
    <mergeCell ref="F196:G196"/>
    <mergeCell ref="H196:I196"/>
    <mergeCell ref="J196:K196"/>
    <mergeCell ref="L196:M196"/>
    <mergeCell ref="N196:O196"/>
    <mergeCell ref="P199:Q199"/>
    <mergeCell ref="R199:S199"/>
    <mergeCell ref="V199:W199"/>
    <mergeCell ref="X199:Y199"/>
    <mergeCell ref="AN199:AO199"/>
    <mergeCell ref="AP199:AQ199"/>
    <mergeCell ref="D199:E199"/>
    <mergeCell ref="F199:G199"/>
    <mergeCell ref="H199:I199"/>
    <mergeCell ref="J199:K199"/>
    <mergeCell ref="L199:M199"/>
    <mergeCell ref="N199:O199"/>
    <mergeCell ref="P198:Q198"/>
    <mergeCell ref="R198:S198"/>
    <mergeCell ref="V198:W198"/>
    <mergeCell ref="X198:Y198"/>
    <mergeCell ref="AN198:AO198"/>
    <mergeCell ref="AP198:AQ198"/>
    <mergeCell ref="D198:E198"/>
    <mergeCell ref="F198:G198"/>
    <mergeCell ref="H198:I198"/>
    <mergeCell ref="J198:K198"/>
    <mergeCell ref="L198:M198"/>
    <mergeCell ref="N198:O198"/>
    <mergeCell ref="P201:Q201"/>
    <mergeCell ref="R201:S201"/>
    <mergeCell ref="V201:W201"/>
    <mergeCell ref="X201:Y201"/>
    <mergeCell ref="AN201:AO201"/>
    <mergeCell ref="AP201:AQ201"/>
    <mergeCell ref="D201:E201"/>
    <mergeCell ref="F201:G201"/>
    <mergeCell ref="H201:I201"/>
    <mergeCell ref="J201:K201"/>
    <mergeCell ref="L201:M201"/>
    <mergeCell ref="N201:O201"/>
    <mergeCell ref="P200:Q200"/>
    <mergeCell ref="R200:S200"/>
    <mergeCell ref="V200:W200"/>
    <mergeCell ref="X200:Y200"/>
    <mergeCell ref="AN200:AO200"/>
    <mergeCell ref="AP200:AQ200"/>
    <mergeCell ref="D200:E200"/>
    <mergeCell ref="F200:G200"/>
    <mergeCell ref="H200:I200"/>
    <mergeCell ref="J200:K200"/>
    <mergeCell ref="L200:M200"/>
    <mergeCell ref="N200:O200"/>
    <mergeCell ref="P203:Q203"/>
    <mergeCell ref="R203:S203"/>
    <mergeCell ref="V203:W203"/>
    <mergeCell ref="X203:Y203"/>
    <mergeCell ref="AN203:AO203"/>
    <mergeCell ref="AP203:AQ203"/>
    <mergeCell ref="D203:E203"/>
    <mergeCell ref="F203:G203"/>
    <mergeCell ref="H203:I203"/>
    <mergeCell ref="J203:K203"/>
    <mergeCell ref="L203:M203"/>
    <mergeCell ref="N203:O203"/>
    <mergeCell ref="P202:Q202"/>
    <mergeCell ref="R202:S202"/>
    <mergeCell ref="V202:W202"/>
    <mergeCell ref="X202:Y202"/>
    <mergeCell ref="AN202:AO202"/>
    <mergeCell ref="AP202:AQ202"/>
    <mergeCell ref="D202:E202"/>
    <mergeCell ref="F202:G202"/>
    <mergeCell ref="H202:I202"/>
    <mergeCell ref="J202:K202"/>
    <mergeCell ref="L202:M202"/>
    <mergeCell ref="N202:O202"/>
    <mergeCell ref="P205:Q205"/>
    <mergeCell ref="R205:S205"/>
    <mergeCell ref="V205:W205"/>
    <mergeCell ref="X205:Y205"/>
    <mergeCell ref="AN205:AO205"/>
    <mergeCell ref="AP205:AQ205"/>
    <mergeCell ref="D205:E205"/>
    <mergeCell ref="F205:G205"/>
    <mergeCell ref="H205:I205"/>
    <mergeCell ref="J205:K205"/>
    <mergeCell ref="L205:M205"/>
    <mergeCell ref="N205:O205"/>
    <mergeCell ref="P204:Q204"/>
    <mergeCell ref="R204:S204"/>
    <mergeCell ref="V204:W204"/>
    <mergeCell ref="X204:Y204"/>
    <mergeCell ref="AN204:AO204"/>
    <mergeCell ref="AP204:AQ204"/>
    <mergeCell ref="D204:E204"/>
    <mergeCell ref="F204:G204"/>
    <mergeCell ref="H204:I204"/>
    <mergeCell ref="J204:K204"/>
    <mergeCell ref="L204:M204"/>
    <mergeCell ref="N204:O204"/>
    <mergeCell ref="P207:Q207"/>
    <mergeCell ref="R207:S207"/>
    <mergeCell ref="V207:W207"/>
    <mergeCell ref="X207:Y207"/>
    <mergeCell ref="AN207:AO207"/>
    <mergeCell ref="AP207:AQ207"/>
    <mergeCell ref="D207:E207"/>
    <mergeCell ref="F207:G207"/>
    <mergeCell ref="H207:I207"/>
    <mergeCell ref="J207:K207"/>
    <mergeCell ref="L207:M207"/>
    <mergeCell ref="N207:O207"/>
    <mergeCell ref="P206:Q206"/>
    <mergeCell ref="R206:S206"/>
    <mergeCell ref="V206:W206"/>
    <mergeCell ref="X206:Y206"/>
    <mergeCell ref="AN206:AO206"/>
    <mergeCell ref="AP206:AQ206"/>
    <mergeCell ref="D206:E206"/>
    <mergeCell ref="F206:G206"/>
    <mergeCell ref="H206:I206"/>
    <mergeCell ref="J206:K206"/>
    <mergeCell ref="L206:M206"/>
    <mergeCell ref="N206:O206"/>
    <mergeCell ref="P209:Q209"/>
    <mergeCell ref="R209:S209"/>
    <mergeCell ref="V209:W209"/>
    <mergeCell ref="X209:Y209"/>
    <mergeCell ref="AN209:AO209"/>
    <mergeCell ref="AP209:AQ209"/>
    <mergeCell ref="D209:E209"/>
    <mergeCell ref="F209:G209"/>
    <mergeCell ref="H209:I209"/>
    <mergeCell ref="J209:K209"/>
    <mergeCell ref="L209:M209"/>
    <mergeCell ref="N209:O209"/>
    <mergeCell ref="P208:Q208"/>
    <mergeCell ref="R208:S208"/>
    <mergeCell ref="V208:W208"/>
    <mergeCell ref="X208:Y208"/>
    <mergeCell ref="AN208:AO208"/>
    <mergeCell ref="AP208:AQ208"/>
    <mergeCell ref="D208:E208"/>
    <mergeCell ref="F208:G208"/>
    <mergeCell ref="H208:I208"/>
    <mergeCell ref="J208:K208"/>
    <mergeCell ref="L208:M208"/>
    <mergeCell ref="N208:O208"/>
    <mergeCell ref="P211:Q211"/>
    <mergeCell ref="R211:S211"/>
    <mergeCell ref="V211:W211"/>
    <mergeCell ref="X211:Y211"/>
    <mergeCell ref="AN211:AO211"/>
    <mergeCell ref="AP211:AQ211"/>
    <mergeCell ref="D211:E211"/>
    <mergeCell ref="F211:G211"/>
    <mergeCell ref="H211:I211"/>
    <mergeCell ref="J211:K211"/>
    <mergeCell ref="L211:M211"/>
    <mergeCell ref="N211:O211"/>
    <mergeCell ref="P210:Q210"/>
    <mergeCell ref="R210:S210"/>
    <mergeCell ref="V210:W210"/>
    <mergeCell ref="X210:Y210"/>
    <mergeCell ref="AN210:AO210"/>
    <mergeCell ref="AP210:AQ210"/>
    <mergeCell ref="D210:E210"/>
    <mergeCell ref="F210:G210"/>
    <mergeCell ref="H210:I210"/>
    <mergeCell ref="J210:K210"/>
    <mergeCell ref="L210:M210"/>
    <mergeCell ref="N210:O210"/>
    <mergeCell ref="P213:Q213"/>
    <mergeCell ref="R213:S213"/>
    <mergeCell ref="V213:W213"/>
    <mergeCell ref="X213:Y213"/>
    <mergeCell ref="AN213:AO213"/>
    <mergeCell ref="AP213:AQ213"/>
    <mergeCell ref="D213:E213"/>
    <mergeCell ref="F213:G213"/>
    <mergeCell ref="H213:I213"/>
    <mergeCell ref="J213:K213"/>
    <mergeCell ref="L213:M213"/>
    <mergeCell ref="N213:O213"/>
    <mergeCell ref="P212:Q212"/>
    <mergeCell ref="R212:S212"/>
    <mergeCell ref="V212:W212"/>
    <mergeCell ref="X212:Y212"/>
    <mergeCell ref="AN212:AO212"/>
    <mergeCell ref="AP212:AQ212"/>
    <mergeCell ref="D212:E212"/>
    <mergeCell ref="F212:G212"/>
    <mergeCell ref="H212:I212"/>
    <mergeCell ref="J212:K212"/>
    <mergeCell ref="L212:M212"/>
    <mergeCell ref="N212:O212"/>
    <mergeCell ref="P215:Q215"/>
    <mergeCell ref="R215:S215"/>
    <mergeCell ref="V215:W215"/>
    <mergeCell ref="X215:Y215"/>
    <mergeCell ref="AN215:AO215"/>
    <mergeCell ref="AP215:AQ215"/>
    <mergeCell ref="D215:E215"/>
    <mergeCell ref="F215:G215"/>
    <mergeCell ref="H215:I215"/>
    <mergeCell ref="J215:K215"/>
    <mergeCell ref="L215:M215"/>
    <mergeCell ref="N215:O215"/>
    <mergeCell ref="P214:Q214"/>
    <mergeCell ref="R214:S214"/>
    <mergeCell ref="V214:W214"/>
    <mergeCell ref="X214:Y214"/>
    <mergeCell ref="AN214:AO214"/>
    <mergeCell ref="AP214:AQ214"/>
    <mergeCell ref="D214:E214"/>
    <mergeCell ref="F214:G214"/>
    <mergeCell ref="H214:I214"/>
    <mergeCell ref="J214:K214"/>
    <mergeCell ref="L214:M214"/>
    <mergeCell ref="N214:O214"/>
    <mergeCell ref="P217:Q217"/>
    <mergeCell ref="R217:S217"/>
    <mergeCell ref="V217:W217"/>
    <mergeCell ref="X217:Y217"/>
    <mergeCell ref="AN217:AO217"/>
    <mergeCell ref="AP217:AQ217"/>
    <mergeCell ref="D217:E217"/>
    <mergeCell ref="F217:G217"/>
    <mergeCell ref="H217:I217"/>
    <mergeCell ref="J217:K217"/>
    <mergeCell ref="L217:M217"/>
    <mergeCell ref="N217:O217"/>
    <mergeCell ref="P216:Q216"/>
    <mergeCell ref="R216:S216"/>
    <mergeCell ref="V216:W216"/>
    <mergeCell ref="X216:Y216"/>
    <mergeCell ref="AN216:AO216"/>
    <mergeCell ref="AP216:AQ216"/>
    <mergeCell ref="D216:E216"/>
    <mergeCell ref="F216:G216"/>
    <mergeCell ref="H216:I216"/>
    <mergeCell ref="J216:K216"/>
    <mergeCell ref="L216:M216"/>
    <mergeCell ref="N216:O216"/>
    <mergeCell ref="P219:Q219"/>
    <mergeCell ref="R219:S219"/>
    <mergeCell ref="V219:W219"/>
    <mergeCell ref="X219:Y219"/>
    <mergeCell ref="AN219:AO219"/>
    <mergeCell ref="AP219:AQ219"/>
    <mergeCell ref="D219:E219"/>
    <mergeCell ref="F219:G219"/>
    <mergeCell ref="H219:I219"/>
    <mergeCell ref="J219:K219"/>
    <mergeCell ref="L219:M219"/>
    <mergeCell ref="N219:O219"/>
    <mergeCell ref="P218:Q218"/>
    <mergeCell ref="R218:S218"/>
    <mergeCell ref="V218:W218"/>
    <mergeCell ref="X218:Y218"/>
    <mergeCell ref="AN218:AO218"/>
    <mergeCell ref="AP218:AQ218"/>
    <mergeCell ref="D218:E218"/>
    <mergeCell ref="F218:G218"/>
    <mergeCell ref="H218:I218"/>
    <mergeCell ref="J218:K218"/>
    <mergeCell ref="L218:M218"/>
    <mergeCell ref="N218:O218"/>
    <mergeCell ref="P221:Q221"/>
    <mergeCell ref="R221:S221"/>
    <mergeCell ref="V221:W221"/>
    <mergeCell ref="X221:Y221"/>
    <mergeCell ref="AN221:AO221"/>
    <mergeCell ref="AP221:AQ221"/>
    <mergeCell ref="D221:E221"/>
    <mergeCell ref="F221:G221"/>
    <mergeCell ref="H221:I221"/>
    <mergeCell ref="J221:K221"/>
    <mergeCell ref="L221:M221"/>
    <mergeCell ref="N221:O221"/>
    <mergeCell ref="P220:Q220"/>
    <mergeCell ref="R220:S220"/>
    <mergeCell ref="V220:W220"/>
    <mergeCell ref="X220:Y220"/>
    <mergeCell ref="AN220:AO220"/>
    <mergeCell ref="AP220:AQ220"/>
    <mergeCell ref="D220:E220"/>
    <mergeCell ref="F220:G220"/>
    <mergeCell ref="H220:I220"/>
    <mergeCell ref="J220:K220"/>
    <mergeCell ref="L220:M220"/>
    <mergeCell ref="N220:O220"/>
    <mergeCell ref="P223:Q223"/>
    <mergeCell ref="R223:S223"/>
    <mergeCell ref="V223:W223"/>
    <mergeCell ref="X223:Y223"/>
    <mergeCell ref="AN223:AO223"/>
    <mergeCell ref="AP223:AQ223"/>
    <mergeCell ref="D223:E223"/>
    <mergeCell ref="F223:G223"/>
    <mergeCell ref="H223:I223"/>
    <mergeCell ref="J223:K223"/>
    <mergeCell ref="L223:M223"/>
    <mergeCell ref="N223:O223"/>
    <mergeCell ref="P222:Q222"/>
    <mergeCell ref="R222:S222"/>
    <mergeCell ref="V222:W222"/>
    <mergeCell ref="X222:Y222"/>
    <mergeCell ref="AN222:AO222"/>
    <mergeCell ref="AP222:AQ222"/>
    <mergeCell ref="D222:E222"/>
    <mergeCell ref="F222:G222"/>
    <mergeCell ref="H222:I222"/>
    <mergeCell ref="J222:K222"/>
    <mergeCell ref="L222:M222"/>
    <mergeCell ref="N222:O222"/>
    <mergeCell ref="P225:Q225"/>
    <mergeCell ref="R225:S225"/>
    <mergeCell ref="V225:W225"/>
    <mergeCell ref="X225:Y225"/>
    <mergeCell ref="AN225:AO225"/>
    <mergeCell ref="AP225:AQ225"/>
    <mergeCell ref="D225:E225"/>
    <mergeCell ref="F225:G225"/>
    <mergeCell ref="H225:I225"/>
    <mergeCell ref="J225:K225"/>
    <mergeCell ref="L225:M225"/>
    <mergeCell ref="N225:O225"/>
    <mergeCell ref="P224:Q224"/>
    <mergeCell ref="R224:S224"/>
    <mergeCell ref="V224:W224"/>
    <mergeCell ref="X224:Y224"/>
    <mergeCell ref="AN224:AO224"/>
    <mergeCell ref="AP224:AQ224"/>
    <mergeCell ref="D224:E224"/>
    <mergeCell ref="F224:G224"/>
    <mergeCell ref="H224:I224"/>
    <mergeCell ref="J224:K224"/>
    <mergeCell ref="L224:M224"/>
    <mergeCell ref="N224:O224"/>
    <mergeCell ref="P227:Q227"/>
    <mergeCell ref="R227:S227"/>
    <mergeCell ref="V227:W227"/>
    <mergeCell ref="X227:Y227"/>
    <mergeCell ref="AN227:AO227"/>
    <mergeCell ref="AP227:AQ227"/>
    <mergeCell ref="D227:E227"/>
    <mergeCell ref="F227:G227"/>
    <mergeCell ref="H227:I227"/>
    <mergeCell ref="J227:K227"/>
    <mergeCell ref="L227:M227"/>
    <mergeCell ref="N227:O227"/>
    <mergeCell ref="P226:Q226"/>
    <mergeCell ref="R226:S226"/>
    <mergeCell ref="V226:W226"/>
    <mergeCell ref="X226:Y226"/>
    <mergeCell ref="AN226:AO226"/>
    <mergeCell ref="AP226:AQ226"/>
    <mergeCell ref="D226:E226"/>
    <mergeCell ref="F226:G226"/>
    <mergeCell ref="H226:I226"/>
    <mergeCell ref="J226:K226"/>
    <mergeCell ref="L226:M226"/>
    <mergeCell ref="N226:O226"/>
    <mergeCell ref="P229:Q229"/>
    <mergeCell ref="R229:S229"/>
    <mergeCell ref="V229:W229"/>
    <mergeCell ref="X229:Y229"/>
    <mergeCell ref="AN229:AO229"/>
    <mergeCell ref="AP229:AQ229"/>
    <mergeCell ref="D229:E229"/>
    <mergeCell ref="F229:G229"/>
    <mergeCell ref="H229:I229"/>
    <mergeCell ref="J229:K229"/>
    <mergeCell ref="L229:M229"/>
    <mergeCell ref="N229:O229"/>
    <mergeCell ref="P228:Q228"/>
    <mergeCell ref="R228:S228"/>
    <mergeCell ref="V228:W228"/>
    <mergeCell ref="X228:Y228"/>
    <mergeCell ref="AN228:AO228"/>
    <mergeCell ref="AP228:AQ228"/>
    <mergeCell ref="D228:E228"/>
    <mergeCell ref="F228:G228"/>
    <mergeCell ref="H228:I228"/>
    <mergeCell ref="J228:K228"/>
    <mergeCell ref="L228:M228"/>
    <mergeCell ref="N228:O228"/>
    <mergeCell ref="P231:Q231"/>
    <mergeCell ref="R231:S231"/>
    <mergeCell ref="V231:W231"/>
    <mergeCell ref="X231:Y231"/>
    <mergeCell ref="AN231:AO231"/>
    <mergeCell ref="AP231:AQ231"/>
    <mergeCell ref="D231:E231"/>
    <mergeCell ref="F231:G231"/>
    <mergeCell ref="H231:I231"/>
    <mergeCell ref="J231:K231"/>
    <mergeCell ref="L231:M231"/>
    <mergeCell ref="N231:O231"/>
    <mergeCell ref="P230:Q230"/>
    <mergeCell ref="R230:S230"/>
    <mergeCell ref="V230:W230"/>
    <mergeCell ref="X230:Y230"/>
    <mergeCell ref="AN230:AO230"/>
    <mergeCell ref="AP230:AQ230"/>
    <mergeCell ref="D230:E230"/>
    <mergeCell ref="F230:G230"/>
    <mergeCell ref="H230:I230"/>
    <mergeCell ref="J230:K230"/>
    <mergeCell ref="L230:M230"/>
    <mergeCell ref="N230:O230"/>
    <mergeCell ref="P233:Q233"/>
    <mergeCell ref="R233:S233"/>
    <mergeCell ref="V233:W233"/>
    <mergeCell ref="X233:Y233"/>
    <mergeCell ref="AN233:AO233"/>
    <mergeCell ref="AP233:AQ233"/>
    <mergeCell ref="D233:E233"/>
    <mergeCell ref="F233:G233"/>
    <mergeCell ref="H233:I233"/>
    <mergeCell ref="J233:K233"/>
    <mergeCell ref="L233:M233"/>
    <mergeCell ref="N233:O233"/>
    <mergeCell ref="P232:Q232"/>
    <mergeCell ref="R232:S232"/>
    <mergeCell ref="V232:W232"/>
    <mergeCell ref="X232:Y232"/>
    <mergeCell ref="AN232:AO232"/>
    <mergeCell ref="AP232:AQ232"/>
    <mergeCell ref="D232:E232"/>
    <mergeCell ref="F232:G232"/>
    <mergeCell ref="H232:I232"/>
    <mergeCell ref="J232:K232"/>
    <mergeCell ref="L232:M232"/>
    <mergeCell ref="N232:O232"/>
    <mergeCell ref="P235:Q235"/>
    <mergeCell ref="R235:S235"/>
    <mergeCell ref="V235:W235"/>
    <mergeCell ref="X235:Y235"/>
    <mergeCell ref="AN235:AO235"/>
    <mergeCell ref="AP235:AQ235"/>
    <mergeCell ref="D235:E235"/>
    <mergeCell ref="F235:G235"/>
    <mergeCell ref="H235:I235"/>
    <mergeCell ref="J235:K235"/>
    <mergeCell ref="L235:M235"/>
    <mergeCell ref="N235:O235"/>
    <mergeCell ref="P234:Q234"/>
    <mergeCell ref="R234:S234"/>
    <mergeCell ref="V234:W234"/>
    <mergeCell ref="X234:Y234"/>
    <mergeCell ref="AN234:AO234"/>
    <mergeCell ref="AP234:AQ234"/>
    <mergeCell ref="D234:E234"/>
    <mergeCell ref="F234:G234"/>
    <mergeCell ref="H234:I234"/>
    <mergeCell ref="J234:K234"/>
    <mergeCell ref="L234:M234"/>
    <mergeCell ref="N234:O234"/>
    <mergeCell ref="P237:Q237"/>
    <mergeCell ref="R237:S237"/>
    <mergeCell ref="V237:W237"/>
    <mergeCell ref="X237:Y237"/>
    <mergeCell ref="AN237:AO237"/>
    <mergeCell ref="AP237:AQ237"/>
    <mergeCell ref="D237:E237"/>
    <mergeCell ref="F237:G237"/>
    <mergeCell ref="H237:I237"/>
    <mergeCell ref="J237:K237"/>
    <mergeCell ref="L237:M237"/>
    <mergeCell ref="N237:O237"/>
    <mergeCell ref="P236:Q236"/>
    <mergeCell ref="R236:S236"/>
    <mergeCell ref="V236:W236"/>
    <mergeCell ref="X236:Y236"/>
    <mergeCell ref="AN236:AO236"/>
    <mergeCell ref="AP236:AQ236"/>
    <mergeCell ref="D236:E236"/>
    <mergeCell ref="F236:G236"/>
    <mergeCell ref="H236:I236"/>
    <mergeCell ref="J236:K236"/>
    <mergeCell ref="L236:M236"/>
    <mergeCell ref="N236:O236"/>
    <mergeCell ref="P239:Q239"/>
    <mergeCell ref="R239:S239"/>
    <mergeCell ref="V239:W239"/>
    <mergeCell ref="X239:Y239"/>
    <mergeCell ref="AN239:AO239"/>
    <mergeCell ref="AP239:AQ239"/>
    <mergeCell ref="D239:E239"/>
    <mergeCell ref="F239:G239"/>
    <mergeCell ref="H239:I239"/>
    <mergeCell ref="J239:K239"/>
    <mergeCell ref="L239:M239"/>
    <mergeCell ref="N239:O239"/>
    <mergeCell ref="P238:Q238"/>
    <mergeCell ref="R238:S238"/>
    <mergeCell ref="V238:W238"/>
    <mergeCell ref="X238:Y238"/>
    <mergeCell ref="AN238:AO238"/>
    <mergeCell ref="AP238:AQ238"/>
    <mergeCell ref="D238:E238"/>
    <mergeCell ref="F238:G238"/>
    <mergeCell ref="H238:I238"/>
    <mergeCell ref="J238:K238"/>
    <mergeCell ref="L238:M238"/>
    <mergeCell ref="N238:O238"/>
    <mergeCell ref="P241:Q241"/>
    <mergeCell ref="R241:S241"/>
    <mergeCell ref="V241:W241"/>
    <mergeCell ref="X241:Y241"/>
    <mergeCell ref="AN241:AO241"/>
    <mergeCell ref="AP241:AQ241"/>
    <mergeCell ref="D241:E241"/>
    <mergeCell ref="F241:G241"/>
    <mergeCell ref="H241:I241"/>
    <mergeCell ref="J241:K241"/>
    <mergeCell ref="L241:M241"/>
    <mergeCell ref="N241:O241"/>
    <mergeCell ref="P240:Q240"/>
    <mergeCell ref="R240:S240"/>
    <mergeCell ref="V240:W240"/>
    <mergeCell ref="X240:Y240"/>
    <mergeCell ref="AN240:AO240"/>
    <mergeCell ref="AP240:AQ240"/>
    <mergeCell ref="D240:E240"/>
    <mergeCell ref="F240:G240"/>
    <mergeCell ref="H240:I240"/>
    <mergeCell ref="J240:K240"/>
    <mergeCell ref="L240:M240"/>
    <mergeCell ref="N240:O240"/>
    <mergeCell ref="P243:Q243"/>
    <mergeCell ref="R243:S243"/>
    <mergeCell ref="V243:W243"/>
    <mergeCell ref="X243:Y243"/>
    <mergeCell ref="AN243:AO243"/>
    <mergeCell ref="AP243:AQ243"/>
    <mergeCell ref="D243:E243"/>
    <mergeCell ref="F243:G243"/>
    <mergeCell ref="H243:I243"/>
    <mergeCell ref="J243:K243"/>
    <mergeCell ref="L243:M243"/>
    <mergeCell ref="N243:O243"/>
    <mergeCell ref="P242:Q242"/>
    <mergeCell ref="R242:S242"/>
    <mergeCell ref="V242:W242"/>
    <mergeCell ref="X242:Y242"/>
    <mergeCell ref="AN242:AO242"/>
    <mergeCell ref="AP242:AQ242"/>
    <mergeCell ref="D242:E242"/>
    <mergeCell ref="F242:G242"/>
    <mergeCell ref="H242:I242"/>
    <mergeCell ref="J242:K242"/>
    <mergeCell ref="L242:M242"/>
    <mergeCell ref="N242:O242"/>
    <mergeCell ref="P245:Q245"/>
    <mergeCell ref="R245:S245"/>
    <mergeCell ref="V245:W245"/>
    <mergeCell ref="X245:Y245"/>
    <mergeCell ref="AN245:AO245"/>
    <mergeCell ref="AP245:AQ245"/>
    <mergeCell ref="D245:E245"/>
    <mergeCell ref="F245:G245"/>
    <mergeCell ref="H245:I245"/>
    <mergeCell ref="J245:K245"/>
    <mergeCell ref="L245:M245"/>
    <mergeCell ref="N245:O245"/>
    <mergeCell ref="P244:Q244"/>
    <mergeCell ref="R244:S244"/>
    <mergeCell ref="V244:W244"/>
    <mergeCell ref="X244:Y244"/>
    <mergeCell ref="AN244:AO244"/>
    <mergeCell ref="AP244:AQ244"/>
    <mergeCell ref="D244:E244"/>
    <mergeCell ref="F244:G244"/>
    <mergeCell ref="H244:I244"/>
    <mergeCell ref="J244:K244"/>
    <mergeCell ref="L244:M244"/>
    <mergeCell ref="N244:O244"/>
    <mergeCell ref="P247:Q247"/>
    <mergeCell ref="R247:S247"/>
    <mergeCell ref="V247:W247"/>
    <mergeCell ref="X247:Y247"/>
    <mergeCell ref="AN247:AO247"/>
    <mergeCell ref="AP247:AQ247"/>
    <mergeCell ref="D247:E247"/>
    <mergeCell ref="F247:G247"/>
    <mergeCell ref="H247:I247"/>
    <mergeCell ref="J247:K247"/>
    <mergeCell ref="L247:M247"/>
    <mergeCell ref="N247:O247"/>
    <mergeCell ref="P246:Q246"/>
    <mergeCell ref="R246:S246"/>
    <mergeCell ref="V246:W246"/>
    <mergeCell ref="X246:Y246"/>
    <mergeCell ref="AN246:AO246"/>
    <mergeCell ref="AP246:AQ246"/>
    <mergeCell ref="D246:E246"/>
    <mergeCell ref="F246:G246"/>
    <mergeCell ref="H246:I246"/>
    <mergeCell ref="J246:K246"/>
    <mergeCell ref="L246:M246"/>
    <mergeCell ref="N246:O246"/>
    <mergeCell ref="P249:Q249"/>
    <mergeCell ref="R249:S249"/>
    <mergeCell ref="V249:W249"/>
    <mergeCell ref="X249:Y249"/>
    <mergeCell ref="AN249:AO249"/>
    <mergeCell ref="AP249:AQ249"/>
    <mergeCell ref="D249:E249"/>
    <mergeCell ref="F249:G249"/>
    <mergeCell ref="H249:I249"/>
    <mergeCell ref="J249:K249"/>
    <mergeCell ref="L249:M249"/>
    <mergeCell ref="N249:O249"/>
    <mergeCell ref="P248:Q248"/>
    <mergeCell ref="R248:S248"/>
    <mergeCell ref="V248:W248"/>
    <mergeCell ref="X248:Y248"/>
    <mergeCell ref="AN248:AO248"/>
    <mergeCell ref="AP248:AQ248"/>
    <mergeCell ref="D248:E248"/>
    <mergeCell ref="F248:G248"/>
    <mergeCell ref="H248:I248"/>
    <mergeCell ref="J248:K248"/>
    <mergeCell ref="L248:M248"/>
    <mergeCell ref="N248:O248"/>
    <mergeCell ref="P251:Q251"/>
    <mergeCell ref="R251:S251"/>
    <mergeCell ref="V251:W251"/>
    <mergeCell ref="X251:Y251"/>
    <mergeCell ref="AN251:AO251"/>
    <mergeCell ref="AP251:AQ251"/>
    <mergeCell ref="D251:E251"/>
    <mergeCell ref="F251:G251"/>
    <mergeCell ref="H251:I251"/>
    <mergeCell ref="J251:K251"/>
    <mergeCell ref="L251:M251"/>
    <mergeCell ref="N251:O251"/>
    <mergeCell ref="P250:Q250"/>
    <mergeCell ref="R250:S250"/>
    <mergeCell ref="V250:W250"/>
    <mergeCell ref="X250:Y250"/>
    <mergeCell ref="AN250:AO250"/>
    <mergeCell ref="AP250:AQ250"/>
    <mergeCell ref="D250:E250"/>
    <mergeCell ref="F250:G250"/>
    <mergeCell ref="H250:I250"/>
    <mergeCell ref="J250:K250"/>
    <mergeCell ref="L250:M250"/>
    <mergeCell ref="N250:O250"/>
    <mergeCell ref="P253:Q253"/>
    <mergeCell ref="R253:S253"/>
    <mergeCell ref="V253:W253"/>
    <mergeCell ref="X253:Y253"/>
    <mergeCell ref="AN253:AO253"/>
    <mergeCell ref="AP253:AQ253"/>
    <mergeCell ref="D253:E253"/>
    <mergeCell ref="F253:G253"/>
    <mergeCell ref="H253:I253"/>
    <mergeCell ref="J253:K253"/>
    <mergeCell ref="L253:M253"/>
    <mergeCell ref="N253:O253"/>
    <mergeCell ref="P252:Q252"/>
    <mergeCell ref="R252:S252"/>
    <mergeCell ref="V252:W252"/>
    <mergeCell ref="X252:Y252"/>
    <mergeCell ref="AN252:AO252"/>
    <mergeCell ref="AP252:AQ252"/>
    <mergeCell ref="D252:E252"/>
    <mergeCell ref="F252:G252"/>
    <mergeCell ref="H252:I252"/>
    <mergeCell ref="J252:K252"/>
    <mergeCell ref="L252:M252"/>
    <mergeCell ref="N252:O252"/>
    <mergeCell ref="P255:Q255"/>
    <mergeCell ref="R255:S255"/>
    <mergeCell ref="V255:W255"/>
    <mergeCell ref="X255:Y255"/>
    <mergeCell ref="AN255:AO255"/>
    <mergeCell ref="AP255:AQ255"/>
    <mergeCell ref="D255:E255"/>
    <mergeCell ref="F255:G255"/>
    <mergeCell ref="H255:I255"/>
    <mergeCell ref="J255:K255"/>
    <mergeCell ref="L255:M255"/>
    <mergeCell ref="N255:O255"/>
    <mergeCell ref="P254:Q254"/>
    <mergeCell ref="R254:S254"/>
    <mergeCell ref="V254:W254"/>
    <mergeCell ref="X254:Y254"/>
    <mergeCell ref="AN254:AO254"/>
    <mergeCell ref="AP254:AQ254"/>
    <mergeCell ref="D254:E254"/>
    <mergeCell ref="F254:G254"/>
    <mergeCell ref="H254:I254"/>
    <mergeCell ref="J254:K254"/>
    <mergeCell ref="L254:M254"/>
    <mergeCell ref="N254:O254"/>
    <mergeCell ref="P257:Q257"/>
    <mergeCell ref="R257:S257"/>
    <mergeCell ref="V257:W257"/>
    <mergeCell ref="X257:Y257"/>
    <mergeCell ref="AN257:AO257"/>
    <mergeCell ref="AP257:AQ257"/>
    <mergeCell ref="D257:E257"/>
    <mergeCell ref="F257:G257"/>
    <mergeCell ref="H257:I257"/>
    <mergeCell ref="J257:K257"/>
    <mergeCell ref="L257:M257"/>
    <mergeCell ref="N257:O257"/>
    <mergeCell ref="P256:Q256"/>
    <mergeCell ref="R256:S256"/>
    <mergeCell ref="V256:W256"/>
    <mergeCell ref="X256:Y256"/>
    <mergeCell ref="AN256:AO256"/>
    <mergeCell ref="AP256:AQ256"/>
    <mergeCell ref="D256:E256"/>
    <mergeCell ref="F256:G256"/>
    <mergeCell ref="H256:I256"/>
    <mergeCell ref="J256:K256"/>
    <mergeCell ref="L256:M256"/>
    <mergeCell ref="N256:O256"/>
    <mergeCell ref="P259:Q259"/>
    <mergeCell ref="R259:S259"/>
    <mergeCell ref="V259:W259"/>
    <mergeCell ref="X259:Y259"/>
    <mergeCell ref="AN259:AO259"/>
    <mergeCell ref="AP259:AQ259"/>
    <mergeCell ref="D259:E259"/>
    <mergeCell ref="F259:G259"/>
    <mergeCell ref="H259:I259"/>
    <mergeCell ref="J259:K259"/>
    <mergeCell ref="L259:M259"/>
    <mergeCell ref="N259:O259"/>
    <mergeCell ref="P258:Q258"/>
    <mergeCell ref="R258:S258"/>
    <mergeCell ref="V258:W258"/>
    <mergeCell ref="X258:Y258"/>
    <mergeCell ref="AN258:AO258"/>
    <mergeCell ref="AP258:AQ258"/>
    <mergeCell ref="D258:E258"/>
    <mergeCell ref="F258:G258"/>
    <mergeCell ref="H258:I258"/>
    <mergeCell ref="J258:K258"/>
    <mergeCell ref="L258:M258"/>
    <mergeCell ref="N258:O258"/>
    <mergeCell ref="P261:Q261"/>
    <mergeCell ref="R261:S261"/>
    <mergeCell ref="V261:W261"/>
    <mergeCell ref="X261:Y261"/>
    <mergeCell ref="AN261:AO261"/>
    <mergeCell ref="AP261:AQ261"/>
    <mergeCell ref="D261:E261"/>
    <mergeCell ref="F261:G261"/>
    <mergeCell ref="H261:I261"/>
    <mergeCell ref="J261:K261"/>
    <mergeCell ref="L261:M261"/>
    <mergeCell ref="N261:O261"/>
    <mergeCell ref="P260:Q260"/>
    <mergeCell ref="R260:S260"/>
    <mergeCell ref="V260:W260"/>
    <mergeCell ref="X260:Y260"/>
    <mergeCell ref="AN260:AO260"/>
    <mergeCell ref="AP260:AQ260"/>
    <mergeCell ref="D260:E260"/>
    <mergeCell ref="F260:G260"/>
    <mergeCell ref="H260:I260"/>
    <mergeCell ref="J260:K260"/>
    <mergeCell ref="L260:M260"/>
    <mergeCell ref="N260:O260"/>
    <mergeCell ref="P263:Q263"/>
    <mergeCell ref="R263:S263"/>
    <mergeCell ref="V263:W263"/>
    <mergeCell ref="X263:Y263"/>
    <mergeCell ref="AN263:AO263"/>
    <mergeCell ref="AP263:AQ263"/>
    <mergeCell ref="D263:E263"/>
    <mergeCell ref="F263:G263"/>
    <mergeCell ref="H263:I263"/>
    <mergeCell ref="J263:K263"/>
    <mergeCell ref="L263:M263"/>
    <mergeCell ref="N263:O263"/>
    <mergeCell ref="P262:Q262"/>
    <mergeCell ref="R262:S262"/>
    <mergeCell ref="V262:W262"/>
    <mergeCell ref="X262:Y262"/>
    <mergeCell ref="AN262:AO262"/>
    <mergeCell ref="AP262:AQ262"/>
    <mergeCell ref="D262:E262"/>
    <mergeCell ref="F262:G262"/>
    <mergeCell ref="H262:I262"/>
    <mergeCell ref="J262:K262"/>
    <mergeCell ref="L262:M262"/>
    <mergeCell ref="N262:O262"/>
    <mergeCell ref="P265:Q265"/>
    <mergeCell ref="R265:S265"/>
    <mergeCell ref="V265:W265"/>
    <mergeCell ref="X265:Y265"/>
    <mergeCell ref="AN265:AO265"/>
    <mergeCell ref="AP265:AQ265"/>
    <mergeCell ref="D265:E265"/>
    <mergeCell ref="F265:G265"/>
    <mergeCell ref="H265:I265"/>
    <mergeCell ref="J265:K265"/>
    <mergeCell ref="L265:M265"/>
    <mergeCell ref="N265:O265"/>
    <mergeCell ref="P264:Q264"/>
    <mergeCell ref="R264:S264"/>
    <mergeCell ref="V264:W264"/>
    <mergeCell ref="X264:Y264"/>
    <mergeCell ref="AN264:AO264"/>
    <mergeCell ref="AP264:AQ264"/>
    <mergeCell ref="D264:E264"/>
    <mergeCell ref="F264:G264"/>
    <mergeCell ref="H264:I264"/>
    <mergeCell ref="J264:K264"/>
    <mergeCell ref="L264:M264"/>
    <mergeCell ref="N264:O264"/>
    <mergeCell ref="P267:Q267"/>
    <mergeCell ref="R267:S267"/>
    <mergeCell ref="V267:W267"/>
    <mergeCell ref="X267:Y267"/>
    <mergeCell ref="AN267:AO267"/>
    <mergeCell ref="AP267:AQ267"/>
    <mergeCell ref="D267:E267"/>
    <mergeCell ref="F267:G267"/>
    <mergeCell ref="H267:I267"/>
    <mergeCell ref="J267:K267"/>
    <mergeCell ref="L267:M267"/>
    <mergeCell ref="N267:O267"/>
    <mergeCell ref="P266:Q266"/>
    <mergeCell ref="R266:S266"/>
    <mergeCell ref="V266:W266"/>
    <mergeCell ref="X266:Y266"/>
    <mergeCell ref="AN266:AO266"/>
    <mergeCell ref="AP266:AQ266"/>
    <mergeCell ref="D266:E266"/>
    <mergeCell ref="F266:G266"/>
    <mergeCell ref="H266:I266"/>
    <mergeCell ref="J266:K266"/>
    <mergeCell ref="L266:M266"/>
    <mergeCell ref="N266:O266"/>
    <mergeCell ref="P269:Q269"/>
    <mergeCell ref="R269:S269"/>
    <mergeCell ref="V269:W269"/>
    <mergeCell ref="X269:Y269"/>
    <mergeCell ref="AN269:AO269"/>
    <mergeCell ref="AP269:AQ269"/>
    <mergeCell ref="D269:E269"/>
    <mergeCell ref="F269:G269"/>
    <mergeCell ref="H269:I269"/>
    <mergeCell ref="J269:K269"/>
    <mergeCell ref="L269:M269"/>
    <mergeCell ref="N269:O269"/>
    <mergeCell ref="P268:Q268"/>
    <mergeCell ref="R268:S268"/>
    <mergeCell ref="V268:W268"/>
    <mergeCell ref="X268:Y268"/>
    <mergeCell ref="AN268:AO268"/>
    <mergeCell ref="AP268:AQ268"/>
    <mergeCell ref="D268:E268"/>
    <mergeCell ref="F268:G268"/>
    <mergeCell ref="H268:I268"/>
    <mergeCell ref="J268:K268"/>
    <mergeCell ref="L268:M268"/>
    <mergeCell ref="N268:O268"/>
    <mergeCell ref="P271:Q271"/>
    <mergeCell ref="R271:S271"/>
    <mergeCell ref="V271:W271"/>
    <mergeCell ref="X271:Y271"/>
    <mergeCell ref="AN271:AO271"/>
    <mergeCell ref="AP271:AQ271"/>
    <mergeCell ref="D271:E271"/>
    <mergeCell ref="F271:G271"/>
    <mergeCell ref="H271:I271"/>
    <mergeCell ref="J271:K271"/>
    <mergeCell ref="L271:M271"/>
    <mergeCell ref="N271:O271"/>
    <mergeCell ref="P270:Q270"/>
    <mergeCell ref="R270:S270"/>
    <mergeCell ref="V270:W270"/>
    <mergeCell ref="X270:Y270"/>
    <mergeCell ref="AN270:AO270"/>
    <mergeCell ref="AP270:AQ270"/>
    <mergeCell ref="D270:E270"/>
    <mergeCell ref="F270:G270"/>
    <mergeCell ref="H270:I270"/>
    <mergeCell ref="J270:K270"/>
    <mergeCell ref="L270:M270"/>
    <mergeCell ref="N270:O270"/>
    <mergeCell ref="P273:Q273"/>
    <mergeCell ref="R273:S273"/>
    <mergeCell ref="V273:W273"/>
    <mergeCell ref="X273:Y273"/>
    <mergeCell ref="AN273:AO273"/>
    <mergeCell ref="AP273:AQ273"/>
    <mergeCell ref="D273:E273"/>
    <mergeCell ref="F273:G273"/>
    <mergeCell ref="H273:I273"/>
    <mergeCell ref="J273:K273"/>
    <mergeCell ref="L273:M273"/>
    <mergeCell ref="N273:O273"/>
    <mergeCell ref="P272:Q272"/>
    <mergeCell ref="R272:S272"/>
    <mergeCell ref="V272:W272"/>
    <mergeCell ref="X272:Y272"/>
    <mergeCell ref="AN272:AO272"/>
    <mergeCell ref="AP272:AQ272"/>
    <mergeCell ref="D272:E272"/>
    <mergeCell ref="F272:G272"/>
    <mergeCell ref="H272:I272"/>
    <mergeCell ref="J272:K272"/>
    <mergeCell ref="L272:M272"/>
    <mergeCell ref="N272:O272"/>
    <mergeCell ref="P275:Q275"/>
    <mergeCell ref="R275:S275"/>
    <mergeCell ref="V275:W275"/>
    <mergeCell ref="X275:Y275"/>
    <mergeCell ref="AN275:AO275"/>
    <mergeCell ref="AP275:AQ275"/>
    <mergeCell ref="D275:E275"/>
    <mergeCell ref="F275:G275"/>
    <mergeCell ref="H275:I275"/>
    <mergeCell ref="J275:K275"/>
    <mergeCell ref="L275:M275"/>
    <mergeCell ref="N275:O275"/>
    <mergeCell ref="P274:Q274"/>
    <mergeCell ref="R274:S274"/>
    <mergeCell ref="V274:W274"/>
    <mergeCell ref="X274:Y274"/>
    <mergeCell ref="AN274:AO274"/>
    <mergeCell ref="AP274:AQ274"/>
    <mergeCell ref="D274:E274"/>
    <mergeCell ref="F274:G274"/>
    <mergeCell ref="H274:I274"/>
    <mergeCell ref="J274:K274"/>
    <mergeCell ref="L274:M274"/>
    <mergeCell ref="N274:O274"/>
    <mergeCell ref="P277:Q277"/>
    <mergeCell ref="R277:S277"/>
    <mergeCell ref="V277:W277"/>
    <mergeCell ref="X277:Y277"/>
    <mergeCell ref="AN277:AO277"/>
    <mergeCell ref="AP277:AQ277"/>
    <mergeCell ref="D277:E277"/>
    <mergeCell ref="F277:G277"/>
    <mergeCell ref="H277:I277"/>
    <mergeCell ref="J277:K277"/>
    <mergeCell ref="L277:M277"/>
    <mergeCell ref="N277:O277"/>
    <mergeCell ref="P276:Q276"/>
    <mergeCell ref="R276:S276"/>
    <mergeCell ref="V276:W276"/>
    <mergeCell ref="X276:Y276"/>
    <mergeCell ref="AN276:AO276"/>
    <mergeCell ref="AP276:AQ276"/>
    <mergeCell ref="D276:E276"/>
    <mergeCell ref="F276:G276"/>
    <mergeCell ref="H276:I276"/>
    <mergeCell ref="J276:K276"/>
    <mergeCell ref="L276:M276"/>
    <mergeCell ref="N276:O276"/>
    <mergeCell ref="P279:Q279"/>
    <mergeCell ref="R279:S279"/>
    <mergeCell ref="V279:W279"/>
    <mergeCell ref="X279:Y279"/>
    <mergeCell ref="AN279:AO279"/>
    <mergeCell ref="AP279:AQ279"/>
    <mergeCell ref="D279:E279"/>
    <mergeCell ref="F279:G279"/>
    <mergeCell ref="H279:I279"/>
    <mergeCell ref="J279:K279"/>
    <mergeCell ref="L279:M279"/>
    <mergeCell ref="N279:O279"/>
    <mergeCell ref="P278:Q278"/>
    <mergeCell ref="R278:S278"/>
    <mergeCell ref="V278:W278"/>
    <mergeCell ref="X278:Y278"/>
    <mergeCell ref="AN278:AO278"/>
    <mergeCell ref="AP278:AQ278"/>
    <mergeCell ref="D278:E278"/>
    <mergeCell ref="F278:G278"/>
    <mergeCell ref="H278:I278"/>
    <mergeCell ref="J278:K278"/>
    <mergeCell ref="L278:M278"/>
    <mergeCell ref="N278:O278"/>
    <mergeCell ref="P281:Q281"/>
    <mergeCell ref="R281:S281"/>
    <mergeCell ref="V281:W281"/>
    <mergeCell ref="X281:Y281"/>
    <mergeCell ref="AN281:AO281"/>
    <mergeCell ref="AP281:AQ281"/>
    <mergeCell ref="D281:E281"/>
    <mergeCell ref="F281:G281"/>
    <mergeCell ref="H281:I281"/>
    <mergeCell ref="J281:K281"/>
    <mergeCell ref="L281:M281"/>
    <mergeCell ref="N281:O281"/>
    <mergeCell ref="P280:Q280"/>
    <mergeCell ref="R280:S280"/>
    <mergeCell ref="V280:W280"/>
    <mergeCell ref="X280:Y280"/>
    <mergeCell ref="AN280:AO280"/>
    <mergeCell ref="AP280:AQ280"/>
    <mergeCell ref="D280:E280"/>
    <mergeCell ref="F280:G280"/>
    <mergeCell ref="H280:I280"/>
    <mergeCell ref="J280:K280"/>
    <mergeCell ref="L280:M280"/>
    <mergeCell ref="N280:O280"/>
    <mergeCell ref="P283:Q283"/>
    <mergeCell ref="R283:S283"/>
    <mergeCell ref="V283:W283"/>
    <mergeCell ref="X283:Y283"/>
    <mergeCell ref="AN283:AO283"/>
    <mergeCell ref="AP283:AQ283"/>
    <mergeCell ref="D283:E283"/>
    <mergeCell ref="F283:G283"/>
    <mergeCell ref="H283:I283"/>
    <mergeCell ref="J283:K283"/>
    <mergeCell ref="L283:M283"/>
    <mergeCell ref="N283:O283"/>
    <mergeCell ref="P282:Q282"/>
    <mergeCell ref="R282:S282"/>
    <mergeCell ref="V282:W282"/>
    <mergeCell ref="X282:Y282"/>
    <mergeCell ref="AN282:AO282"/>
    <mergeCell ref="AP282:AQ282"/>
    <mergeCell ref="D282:E282"/>
    <mergeCell ref="F282:G282"/>
    <mergeCell ref="H282:I282"/>
    <mergeCell ref="J282:K282"/>
    <mergeCell ref="L282:M282"/>
    <mergeCell ref="N282:O282"/>
    <mergeCell ref="P285:Q285"/>
    <mergeCell ref="R285:S285"/>
    <mergeCell ref="V285:W285"/>
    <mergeCell ref="X285:Y285"/>
    <mergeCell ref="AN285:AO285"/>
    <mergeCell ref="AP285:AQ285"/>
    <mergeCell ref="D285:E285"/>
    <mergeCell ref="F285:G285"/>
    <mergeCell ref="H285:I285"/>
    <mergeCell ref="J285:K285"/>
    <mergeCell ref="L285:M285"/>
    <mergeCell ref="N285:O285"/>
    <mergeCell ref="P284:Q284"/>
    <mergeCell ref="R284:S284"/>
    <mergeCell ref="V284:W284"/>
    <mergeCell ref="X284:Y284"/>
    <mergeCell ref="AN284:AO284"/>
    <mergeCell ref="AP284:AQ284"/>
    <mergeCell ref="D284:E284"/>
    <mergeCell ref="F284:G284"/>
    <mergeCell ref="H284:I284"/>
    <mergeCell ref="J284:K284"/>
    <mergeCell ref="L284:M284"/>
    <mergeCell ref="N284:O284"/>
    <mergeCell ref="P287:Q287"/>
    <mergeCell ref="R287:S287"/>
    <mergeCell ref="V287:W287"/>
    <mergeCell ref="X287:Y287"/>
    <mergeCell ref="AN287:AO287"/>
    <mergeCell ref="AP287:AQ287"/>
    <mergeCell ref="D287:E287"/>
    <mergeCell ref="F287:G287"/>
    <mergeCell ref="H287:I287"/>
    <mergeCell ref="J287:K287"/>
    <mergeCell ref="L287:M287"/>
    <mergeCell ref="N287:O287"/>
    <mergeCell ref="P286:Q286"/>
    <mergeCell ref="R286:S286"/>
    <mergeCell ref="V286:W286"/>
    <mergeCell ref="X286:Y286"/>
    <mergeCell ref="AN286:AO286"/>
    <mergeCell ref="AP286:AQ286"/>
    <mergeCell ref="D286:E286"/>
    <mergeCell ref="F286:G286"/>
    <mergeCell ref="H286:I286"/>
    <mergeCell ref="J286:K286"/>
    <mergeCell ref="L286:M286"/>
    <mergeCell ref="N286:O286"/>
    <mergeCell ref="P289:Q289"/>
    <mergeCell ref="R289:S289"/>
    <mergeCell ref="V289:W289"/>
    <mergeCell ref="X289:Y289"/>
    <mergeCell ref="AN289:AO289"/>
    <mergeCell ref="AP289:AQ289"/>
    <mergeCell ref="D289:E289"/>
    <mergeCell ref="F289:G289"/>
    <mergeCell ref="H289:I289"/>
    <mergeCell ref="J289:K289"/>
    <mergeCell ref="L289:M289"/>
    <mergeCell ref="N289:O289"/>
    <mergeCell ref="P288:Q288"/>
    <mergeCell ref="R288:S288"/>
    <mergeCell ref="V288:W288"/>
    <mergeCell ref="X288:Y288"/>
    <mergeCell ref="AN288:AO288"/>
    <mergeCell ref="AP288:AQ288"/>
    <mergeCell ref="D288:E288"/>
    <mergeCell ref="F288:G288"/>
    <mergeCell ref="H288:I288"/>
    <mergeCell ref="J288:K288"/>
    <mergeCell ref="L288:M288"/>
    <mergeCell ref="N288:O288"/>
    <mergeCell ref="P291:Q291"/>
    <mergeCell ref="R291:S291"/>
    <mergeCell ref="V291:W291"/>
    <mergeCell ref="X291:Y291"/>
    <mergeCell ref="AN291:AO291"/>
    <mergeCell ref="AP291:AQ291"/>
    <mergeCell ref="D291:E291"/>
    <mergeCell ref="F291:G291"/>
    <mergeCell ref="H291:I291"/>
    <mergeCell ref="J291:K291"/>
    <mergeCell ref="L291:M291"/>
    <mergeCell ref="N291:O291"/>
    <mergeCell ref="P290:Q290"/>
    <mergeCell ref="R290:S290"/>
    <mergeCell ref="V290:W290"/>
    <mergeCell ref="X290:Y290"/>
    <mergeCell ref="AN290:AO290"/>
    <mergeCell ref="AP290:AQ290"/>
    <mergeCell ref="D290:E290"/>
    <mergeCell ref="F290:G290"/>
    <mergeCell ref="H290:I290"/>
    <mergeCell ref="J290:K290"/>
    <mergeCell ref="L290:M290"/>
    <mergeCell ref="N290:O290"/>
    <mergeCell ref="P293:Q293"/>
    <mergeCell ref="R293:S293"/>
    <mergeCell ref="V293:W293"/>
    <mergeCell ref="X293:Y293"/>
    <mergeCell ref="AN293:AO293"/>
    <mergeCell ref="AP293:AQ293"/>
    <mergeCell ref="D293:E293"/>
    <mergeCell ref="F293:G293"/>
    <mergeCell ref="H293:I293"/>
    <mergeCell ref="J293:K293"/>
    <mergeCell ref="L293:M293"/>
    <mergeCell ref="N293:O293"/>
    <mergeCell ref="P292:Q292"/>
    <mergeCell ref="R292:S292"/>
    <mergeCell ref="V292:W292"/>
    <mergeCell ref="X292:Y292"/>
    <mergeCell ref="AN292:AO292"/>
    <mergeCell ref="AP292:AQ292"/>
    <mergeCell ref="D292:E292"/>
    <mergeCell ref="F292:G292"/>
    <mergeCell ref="H292:I292"/>
    <mergeCell ref="J292:K292"/>
    <mergeCell ref="L292:M292"/>
    <mergeCell ref="N292:O292"/>
    <mergeCell ref="P295:Q295"/>
    <mergeCell ref="R295:S295"/>
    <mergeCell ref="V295:W295"/>
    <mergeCell ref="X295:Y295"/>
    <mergeCell ref="AN295:AO295"/>
    <mergeCell ref="AP295:AQ295"/>
    <mergeCell ref="D295:E295"/>
    <mergeCell ref="F295:G295"/>
    <mergeCell ref="H295:I295"/>
    <mergeCell ref="J295:K295"/>
    <mergeCell ref="L295:M295"/>
    <mergeCell ref="N295:O295"/>
    <mergeCell ref="P294:Q294"/>
    <mergeCell ref="R294:S294"/>
    <mergeCell ref="V294:W294"/>
    <mergeCell ref="X294:Y294"/>
    <mergeCell ref="AN294:AO294"/>
    <mergeCell ref="AP294:AQ294"/>
    <mergeCell ref="D294:E294"/>
    <mergeCell ref="F294:G294"/>
    <mergeCell ref="H294:I294"/>
    <mergeCell ref="J294:K294"/>
    <mergeCell ref="L294:M294"/>
    <mergeCell ref="N294:O294"/>
    <mergeCell ref="P297:Q297"/>
    <mergeCell ref="R297:S297"/>
    <mergeCell ref="V297:W297"/>
    <mergeCell ref="X297:Y297"/>
    <mergeCell ref="AN297:AO297"/>
    <mergeCell ref="AP297:AQ297"/>
    <mergeCell ref="D297:E297"/>
    <mergeCell ref="F297:G297"/>
    <mergeCell ref="H297:I297"/>
    <mergeCell ref="J297:K297"/>
    <mergeCell ref="L297:M297"/>
    <mergeCell ref="N297:O297"/>
    <mergeCell ref="P296:Q296"/>
    <mergeCell ref="R296:S296"/>
    <mergeCell ref="V296:W296"/>
    <mergeCell ref="X296:Y296"/>
    <mergeCell ref="AN296:AO296"/>
    <mergeCell ref="AP296:AQ296"/>
    <mergeCell ref="D296:E296"/>
    <mergeCell ref="F296:G296"/>
    <mergeCell ref="H296:I296"/>
    <mergeCell ref="J296:K296"/>
    <mergeCell ref="L296:M296"/>
    <mergeCell ref="N296:O296"/>
    <mergeCell ref="P299:Q299"/>
    <mergeCell ref="R299:S299"/>
    <mergeCell ref="V299:W299"/>
    <mergeCell ref="X299:Y299"/>
    <mergeCell ref="AN299:AO299"/>
    <mergeCell ref="AP299:AQ299"/>
    <mergeCell ref="D299:E299"/>
    <mergeCell ref="F299:G299"/>
    <mergeCell ref="H299:I299"/>
    <mergeCell ref="J299:K299"/>
    <mergeCell ref="L299:M299"/>
    <mergeCell ref="N299:O299"/>
    <mergeCell ref="P298:Q298"/>
    <mergeCell ref="R298:S298"/>
    <mergeCell ref="V298:W298"/>
    <mergeCell ref="X298:Y298"/>
    <mergeCell ref="AN298:AO298"/>
    <mergeCell ref="AP298:AQ298"/>
    <mergeCell ref="D298:E298"/>
    <mergeCell ref="F298:G298"/>
    <mergeCell ref="H298:I298"/>
    <mergeCell ref="J298:K298"/>
    <mergeCell ref="L298:M298"/>
    <mergeCell ref="N298:O298"/>
    <mergeCell ref="P301:Q301"/>
    <mergeCell ref="R301:S301"/>
    <mergeCell ref="V301:W301"/>
    <mergeCell ref="X301:Y301"/>
    <mergeCell ref="AN301:AO301"/>
    <mergeCell ref="AP301:AQ301"/>
    <mergeCell ref="D301:E301"/>
    <mergeCell ref="F301:G301"/>
    <mergeCell ref="H301:I301"/>
    <mergeCell ref="J301:K301"/>
    <mergeCell ref="L301:M301"/>
    <mergeCell ref="N301:O301"/>
    <mergeCell ref="P300:Q300"/>
    <mergeCell ref="R300:S300"/>
    <mergeCell ref="V300:W300"/>
    <mergeCell ref="X300:Y300"/>
    <mergeCell ref="AN300:AO300"/>
    <mergeCell ref="AP300:AQ300"/>
    <mergeCell ref="D300:E300"/>
    <mergeCell ref="F300:G300"/>
    <mergeCell ref="H300:I300"/>
    <mergeCell ref="J300:K300"/>
    <mergeCell ref="L300:M300"/>
    <mergeCell ref="N300:O300"/>
    <mergeCell ref="P303:Q303"/>
    <mergeCell ref="R303:S303"/>
    <mergeCell ref="V303:W303"/>
    <mergeCell ref="X303:Y303"/>
    <mergeCell ref="AN303:AO303"/>
    <mergeCell ref="AP303:AQ303"/>
    <mergeCell ref="D303:E303"/>
    <mergeCell ref="F303:G303"/>
    <mergeCell ref="H303:I303"/>
    <mergeCell ref="J303:K303"/>
    <mergeCell ref="L303:M303"/>
    <mergeCell ref="N303:O303"/>
    <mergeCell ref="P302:Q302"/>
    <mergeCell ref="R302:S302"/>
    <mergeCell ref="V302:W302"/>
    <mergeCell ref="X302:Y302"/>
    <mergeCell ref="AN302:AO302"/>
    <mergeCell ref="AP302:AQ302"/>
    <mergeCell ref="D302:E302"/>
    <mergeCell ref="F302:G302"/>
    <mergeCell ref="H302:I302"/>
    <mergeCell ref="J302:K302"/>
    <mergeCell ref="L302:M302"/>
    <mergeCell ref="N302:O302"/>
    <mergeCell ref="P305:Q305"/>
    <mergeCell ref="R305:S305"/>
    <mergeCell ref="V305:W305"/>
    <mergeCell ref="X305:Y305"/>
    <mergeCell ref="AN305:AO305"/>
    <mergeCell ref="AP305:AQ305"/>
    <mergeCell ref="D305:E305"/>
    <mergeCell ref="F305:G305"/>
    <mergeCell ref="H305:I305"/>
    <mergeCell ref="J305:K305"/>
    <mergeCell ref="L305:M305"/>
    <mergeCell ref="N305:O305"/>
    <mergeCell ref="P304:Q304"/>
    <mergeCell ref="R304:S304"/>
    <mergeCell ref="V304:W304"/>
    <mergeCell ref="X304:Y304"/>
    <mergeCell ref="AN304:AO304"/>
    <mergeCell ref="AP304:AQ304"/>
    <mergeCell ref="D304:E304"/>
    <mergeCell ref="F304:G304"/>
    <mergeCell ref="H304:I304"/>
    <mergeCell ref="J304:K304"/>
    <mergeCell ref="L304:M304"/>
    <mergeCell ref="N304:O304"/>
    <mergeCell ref="P307:Q307"/>
    <mergeCell ref="R307:S307"/>
    <mergeCell ref="V307:W307"/>
    <mergeCell ref="X307:Y307"/>
    <mergeCell ref="AN307:AO307"/>
    <mergeCell ref="AP307:AQ307"/>
    <mergeCell ref="D307:E307"/>
    <mergeCell ref="F307:G307"/>
    <mergeCell ref="H307:I307"/>
    <mergeCell ref="J307:K307"/>
    <mergeCell ref="L307:M307"/>
    <mergeCell ref="N307:O307"/>
    <mergeCell ref="P306:Q306"/>
    <mergeCell ref="R306:S306"/>
    <mergeCell ref="V306:W306"/>
    <mergeCell ref="X306:Y306"/>
    <mergeCell ref="AN306:AO306"/>
    <mergeCell ref="AP306:AQ306"/>
    <mergeCell ref="D306:E306"/>
    <mergeCell ref="F306:G306"/>
    <mergeCell ref="H306:I306"/>
    <mergeCell ref="J306:K306"/>
    <mergeCell ref="L306:M306"/>
    <mergeCell ref="N306:O306"/>
    <mergeCell ref="P309:Q309"/>
    <mergeCell ref="R309:S309"/>
    <mergeCell ref="V309:W309"/>
    <mergeCell ref="X309:Y309"/>
    <mergeCell ref="AN309:AO309"/>
    <mergeCell ref="AP309:AQ309"/>
    <mergeCell ref="D309:E309"/>
    <mergeCell ref="F309:G309"/>
    <mergeCell ref="H309:I309"/>
    <mergeCell ref="J309:K309"/>
    <mergeCell ref="L309:M309"/>
    <mergeCell ref="N309:O309"/>
    <mergeCell ref="P308:Q308"/>
    <mergeCell ref="R308:S308"/>
    <mergeCell ref="V308:W308"/>
    <mergeCell ref="X308:Y308"/>
    <mergeCell ref="AN308:AO308"/>
    <mergeCell ref="AP308:AQ308"/>
    <mergeCell ref="D308:E308"/>
    <mergeCell ref="F308:G308"/>
    <mergeCell ref="H308:I308"/>
    <mergeCell ref="J308:K308"/>
    <mergeCell ref="L308:M308"/>
    <mergeCell ref="N308:O308"/>
    <mergeCell ref="P311:Q311"/>
    <mergeCell ref="R311:S311"/>
    <mergeCell ref="V311:W311"/>
    <mergeCell ref="X311:Y311"/>
    <mergeCell ref="AN311:AO311"/>
    <mergeCell ref="AP311:AQ311"/>
    <mergeCell ref="D311:E311"/>
    <mergeCell ref="F311:G311"/>
    <mergeCell ref="H311:I311"/>
    <mergeCell ref="J311:K311"/>
    <mergeCell ref="L311:M311"/>
    <mergeCell ref="N311:O311"/>
    <mergeCell ref="P310:Q310"/>
    <mergeCell ref="R310:S310"/>
    <mergeCell ref="V310:W310"/>
    <mergeCell ref="X310:Y310"/>
    <mergeCell ref="AN310:AO310"/>
    <mergeCell ref="AP310:AQ310"/>
    <mergeCell ref="D310:E310"/>
    <mergeCell ref="F310:G310"/>
    <mergeCell ref="H310:I310"/>
    <mergeCell ref="J310:K310"/>
    <mergeCell ref="L310:M310"/>
    <mergeCell ref="N310:O310"/>
    <mergeCell ref="P313:Q313"/>
    <mergeCell ref="R313:S313"/>
    <mergeCell ref="V313:W313"/>
    <mergeCell ref="X313:Y313"/>
    <mergeCell ref="AN313:AO313"/>
    <mergeCell ref="AP313:AQ313"/>
    <mergeCell ref="D313:E313"/>
    <mergeCell ref="F313:G313"/>
    <mergeCell ref="H313:I313"/>
    <mergeCell ref="J313:K313"/>
    <mergeCell ref="L313:M313"/>
    <mergeCell ref="N313:O313"/>
    <mergeCell ref="P312:Q312"/>
    <mergeCell ref="R312:S312"/>
    <mergeCell ref="V312:W312"/>
    <mergeCell ref="X312:Y312"/>
    <mergeCell ref="AN312:AO312"/>
    <mergeCell ref="AP312:AQ312"/>
    <mergeCell ref="D312:E312"/>
    <mergeCell ref="F312:G312"/>
    <mergeCell ref="H312:I312"/>
    <mergeCell ref="J312:K312"/>
    <mergeCell ref="L312:M312"/>
    <mergeCell ref="N312:O312"/>
    <mergeCell ref="P315:Q315"/>
    <mergeCell ref="R315:S315"/>
    <mergeCell ref="V315:W315"/>
    <mergeCell ref="X315:Y315"/>
    <mergeCell ref="AN315:AO315"/>
    <mergeCell ref="AP315:AQ315"/>
    <mergeCell ref="D315:E315"/>
    <mergeCell ref="F315:G315"/>
    <mergeCell ref="H315:I315"/>
    <mergeCell ref="J315:K315"/>
    <mergeCell ref="L315:M315"/>
    <mergeCell ref="N315:O315"/>
    <mergeCell ref="P314:Q314"/>
    <mergeCell ref="R314:S314"/>
    <mergeCell ref="V314:W314"/>
    <mergeCell ref="X314:Y314"/>
    <mergeCell ref="AN314:AO314"/>
    <mergeCell ref="AP314:AQ314"/>
    <mergeCell ref="D314:E314"/>
    <mergeCell ref="F314:G314"/>
    <mergeCell ref="H314:I314"/>
    <mergeCell ref="J314:K314"/>
    <mergeCell ref="L314:M314"/>
    <mergeCell ref="N314:O314"/>
    <mergeCell ref="P317:Q317"/>
    <mergeCell ref="R317:S317"/>
    <mergeCell ref="V317:W317"/>
    <mergeCell ref="X317:Y317"/>
    <mergeCell ref="AN317:AO317"/>
    <mergeCell ref="AP317:AQ317"/>
    <mergeCell ref="D317:E317"/>
    <mergeCell ref="F317:G317"/>
    <mergeCell ref="H317:I317"/>
    <mergeCell ref="J317:K317"/>
    <mergeCell ref="L317:M317"/>
    <mergeCell ref="N317:O317"/>
    <mergeCell ref="P316:Q316"/>
    <mergeCell ref="R316:S316"/>
    <mergeCell ref="V316:W316"/>
    <mergeCell ref="X316:Y316"/>
    <mergeCell ref="AN316:AO316"/>
    <mergeCell ref="AP316:AQ316"/>
    <mergeCell ref="D316:E316"/>
    <mergeCell ref="F316:G316"/>
    <mergeCell ref="H316:I316"/>
    <mergeCell ref="J316:K316"/>
    <mergeCell ref="L316:M316"/>
    <mergeCell ref="N316:O316"/>
    <mergeCell ref="P319:Q319"/>
    <mergeCell ref="R319:S319"/>
    <mergeCell ref="V319:W319"/>
    <mergeCell ref="X319:Y319"/>
    <mergeCell ref="AN319:AO319"/>
    <mergeCell ref="AP319:AQ319"/>
    <mergeCell ref="D319:E319"/>
    <mergeCell ref="F319:G319"/>
    <mergeCell ref="H319:I319"/>
    <mergeCell ref="J319:K319"/>
    <mergeCell ref="L319:M319"/>
    <mergeCell ref="N319:O319"/>
    <mergeCell ref="P318:Q318"/>
    <mergeCell ref="R318:S318"/>
    <mergeCell ref="V318:W318"/>
    <mergeCell ref="X318:Y318"/>
    <mergeCell ref="AN318:AO318"/>
    <mergeCell ref="AP318:AQ318"/>
    <mergeCell ref="D318:E318"/>
    <mergeCell ref="F318:G318"/>
    <mergeCell ref="H318:I318"/>
    <mergeCell ref="J318:K318"/>
    <mergeCell ref="L318:M318"/>
    <mergeCell ref="N318:O318"/>
    <mergeCell ref="P321:Q321"/>
    <mergeCell ref="R321:S321"/>
    <mergeCell ref="V321:W321"/>
    <mergeCell ref="X321:Y321"/>
    <mergeCell ref="AN321:AO321"/>
    <mergeCell ref="AP321:AQ321"/>
    <mergeCell ref="D321:E321"/>
    <mergeCell ref="F321:G321"/>
    <mergeCell ref="H321:I321"/>
    <mergeCell ref="J321:K321"/>
    <mergeCell ref="L321:M321"/>
    <mergeCell ref="N321:O321"/>
    <mergeCell ref="P320:Q320"/>
    <mergeCell ref="R320:S320"/>
    <mergeCell ref="V320:W320"/>
    <mergeCell ref="X320:Y320"/>
    <mergeCell ref="AN320:AO320"/>
    <mergeCell ref="AP320:AQ320"/>
    <mergeCell ref="D320:E320"/>
    <mergeCell ref="F320:G320"/>
    <mergeCell ref="H320:I320"/>
    <mergeCell ref="J320:K320"/>
    <mergeCell ref="L320:M320"/>
    <mergeCell ref="N320:O320"/>
    <mergeCell ref="P323:Q323"/>
    <mergeCell ref="R323:S323"/>
    <mergeCell ref="V323:W323"/>
    <mergeCell ref="X323:Y323"/>
    <mergeCell ref="AN323:AO323"/>
    <mergeCell ref="AP323:AQ323"/>
    <mergeCell ref="D323:E323"/>
    <mergeCell ref="F323:G323"/>
    <mergeCell ref="H323:I323"/>
    <mergeCell ref="J323:K323"/>
    <mergeCell ref="L323:M323"/>
    <mergeCell ref="N323:O323"/>
    <mergeCell ref="P322:Q322"/>
    <mergeCell ref="R322:S322"/>
    <mergeCell ref="V322:W322"/>
    <mergeCell ref="X322:Y322"/>
    <mergeCell ref="AN322:AO322"/>
    <mergeCell ref="AP322:AQ322"/>
    <mergeCell ref="D322:E322"/>
    <mergeCell ref="F322:G322"/>
    <mergeCell ref="H322:I322"/>
    <mergeCell ref="J322:K322"/>
    <mergeCell ref="L322:M322"/>
    <mergeCell ref="N322:O322"/>
    <mergeCell ref="P325:Q325"/>
    <mergeCell ref="R325:S325"/>
    <mergeCell ref="V325:W325"/>
    <mergeCell ref="X325:Y325"/>
    <mergeCell ref="AN325:AO325"/>
    <mergeCell ref="AP325:AQ325"/>
    <mergeCell ref="D325:E325"/>
    <mergeCell ref="F325:G325"/>
    <mergeCell ref="H325:I325"/>
    <mergeCell ref="J325:K325"/>
    <mergeCell ref="L325:M325"/>
    <mergeCell ref="N325:O325"/>
    <mergeCell ref="P324:Q324"/>
    <mergeCell ref="R324:S324"/>
    <mergeCell ref="V324:W324"/>
    <mergeCell ref="X324:Y324"/>
    <mergeCell ref="AN324:AO324"/>
    <mergeCell ref="AP324:AQ324"/>
    <mergeCell ref="D324:E324"/>
    <mergeCell ref="F324:G324"/>
    <mergeCell ref="H324:I324"/>
    <mergeCell ref="J324:K324"/>
    <mergeCell ref="L324:M324"/>
    <mergeCell ref="N324:O324"/>
    <mergeCell ref="P327:Q327"/>
    <mergeCell ref="R327:S327"/>
    <mergeCell ref="V327:W327"/>
    <mergeCell ref="X327:Y327"/>
    <mergeCell ref="AN327:AO327"/>
    <mergeCell ref="AP327:AQ327"/>
    <mergeCell ref="D327:E327"/>
    <mergeCell ref="F327:G327"/>
    <mergeCell ref="H327:I327"/>
    <mergeCell ref="J327:K327"/>
    <mergeCell ref="L327:M327"/>
    <mergeCell ref="N327:O327"/>
    <mergeCell ref="P326:Q326"/>
    <mergeCell ref="R326:S326"/>
    <mergeCell ref="V326:W326"/>
    <mergeCell ref="X326:Y326"/>
    <mergeCell ref="AN326:AO326"/>
    <mergeCell ref="AP326:AQ326"/>
    <mergeCell ref="D326:E326"/>
    <mergeCell ref="F326:G326"/>
    <mergeCell ref="H326:I326"/>
    <mergeCell ref="J326:K326"/>
    <mergeCell ref="L326:M326"/>
    <mergeCell ref="N326:O326"/>
    <mergeCell ref="P329:Q329"/>
    <mergeCell ref="R329:S329"/>
    <mergeCell ref="V329:W329"/>
    <mergeCell ref="X329:Y329"/>
    <mergeCell ref="AN329:AO329"/>
    <mergeCell ref="AP329:AQ329"/>
    <mergeCell ref="D329:E329"/>
    <mergeCell ref="F329:G329"/>
    <mergeCell ref="H329:I329"/>
    <mergeCell ref="J329:K329"/>
    <mergeCell ref="L329:M329"/>
    <mergeCell ref="N329:O329"/>
    <mergeCell ref="P328:Q328"/>
    <mergeCell ref="R328:S328"/>
    <mergeCell ref="V328:W328"/>
    <mergeCell ref="X328:Y328"/>
    <mergeCell ref="AN328:AO328"/>
    <mergeCell ref="AP328:AQ328"/>
    <mergeCell ref="D328:E328"/>
    <mergeCell ref="F328:G328"/>
    <mergeCell ref="H328:I328"/>
    <mergeCell ref="J328:K328"/>
    <mergeCell ref="L328:M328"/>
    <mergeCell ref="N328:O328"/>
    <mergeCell ref="P331:Q331"/>
    <mergeCell ref="R331:S331"/>
    <mergeCell ref="V331:W331"/>
    <mergeCell ref="X331:Y331"/>
    <mergeCell ref="AN331:AO331"/>
    <mergeCell ref="AP331:AQ331"/>
    <mergeCell ref="D331:E331"/>
    <mergeCell ref="F331:G331"/>
    <mergeCell ref="H331:I331"/>
    <mergeCell ref="J331:K331"/>
    <mergeCell ref="L331:M331"/>
    <mergeCell ref="N331:O331"/>
    <mergeCell ref="P330:Q330"/>
    <mergeCell ref="R330:S330"/>
    <mergeCell ref="V330:W330"/>
    <mergeCell ref="X330:Y330"/>
    <mergeCell ref="AN330:AO330"/>
    <mergeCell ref="AP330:AQ330"/>
    <mergeCell ref="D330:E330"/>
    <mergeCell ref="F330:G330"/>
    <mergeCell ref="H330:I330"/>
    <mergeCell ref="J330:K330"/>
    <mergeCell ref="L330:M330"/>
    <mergeCell ref="N330:O330"/>
    <mergeCell ref="P333:Q333"/>
    <mergeCell ref="R333:S333"/>
    <mergeCell ref="V333:W333"/>
    <mergeCell ref="X333:Y333"/>
    <mergeCell ref="AN333:AO333"/>
    <mergeCell ref="AP333:AQ333"/>
    <mergeCell ref="D333:E333"/>
    <mergeCell ref="F333:G333"/>
    <mergeCell ref="H333:I333"/>
    <mergeCell ref="J333:K333"/>
    <mergeCell ref="L333:M333"/>
    <mergeCell ref="N333:O333"/>
    <mergeCell ref="P332:Q332"/>
    <mergeCell ref="R332:S332"/>
    <mergeCell ref="V332:W332"/>
    <mergeCell ref="X332:Y332"/>
    <mergeCell ref="AN332:AO332"/>
    <mergeCell ref="AP332:AQ332"/>
    <mergeCell ref="D332:E332"/>
    <mergeCell ref="F332:G332"/>
    <mergeCell ref="H332:I332"/>
    <mergeCell ref="J332:K332"/>
    <mergeCell ref="L332:M332"/>
    <mergeCell ref="N332:O332"/>
    <mergeCell ref="P335:Q335"/>
    <mergeCell ref="R335:S335"/>
    <mergeCell ref="V335:W335"/>
    <mergeCell ref="X335:Y335"/>
    <mergeCell ref="AN335:AO335"/>
    <mergeCell ref="AP335:AQ335"/>
    <mergeCell ref="D335:E335"/>
    <mergeCell ref="F335:G335"/>
    <mergeCell ref="H335:I335"/>
    <mergeCell ref="J335:K335"/>
    <mergeCell ref="L335:M335"/>
    <mergeCell ref="N335:O335"/>
    <mergeCell ref="P334:Q334"/>
    <mergeCell ref="R334:S334"/>
    <mergeCell ref="V334:W334"/>
    <mergeCell ref="X334:Y334"/>
    <mergeCell ref="AN334:AO334"/>
    <mergeCell ref="AP334:AQ334"/>
    <mergeCell ref="D334:E334"/>
    <mergeCell ref="F334:G334"/>
    <mergeCell ref="H334:I334"/>
    <mergeCell ref="J334:K334"/>
    <mergeCell ref="L334:M334"/>
    <mergeCell ref="N334:O334"/>
    <mergeCell ref="P337:Q337"/>
    <mergeCell ref="R337:S337"/>
    <mergeCell ref="V337:W337"/>
    <mergeCell ref="X337:Y337"/>
    <mergeCell ref="AN337:AO337"/>
    <mergeCell ref="AP337:AQ337"/>
    <mergeCell ref="D337:E337"/>
    <mergeCell ref="F337:G337"/>
    <mergeCell ref="H337:I337"/>
    <mergeCell ref="J337:K337"/>
    <mergeCell ref="L337:M337"/>
    <mergeCell ref="N337:O337"/>
    <mergeCell ref="P336:Q336"/>
    <mergeCell ref="R336:S336"/>
    <mergeCell ref="V336:W336"/>
    <mergeCell ref="X336:Y336"/>
    <mergeCell ref="AN336:AO336"/>
    <mergeCell ref="AP336:AQ336"/>
    <mergeCell ref="D336:E336"/>
    <mergeCell ref="F336:G336"/>
    <mergeCell ref="H336:I336"/>
    <mergeCell ref="J336:K336"/>
    <mergeCell ref="L336:M336"/>
    <mergeCell ref="N336:O336"/>
    <mergeCell ref="P339:Q339"/>
    <mergeCell ref="R339:S339"/>
    <mergeCell ref="V339:W339"/>
    <mergeCell ref="X339:Y339"/>
    <mergeCell ref="AN339:AO339"/>
    <mergeCell ref="AP339:AQ339"/>
    <mergeCell ref="D339:E339"/>
    <mergeCell ref="F339:G339"/>
    <mergeCell ref="H339:I339"/>
    <mergeCell ref="J339:K339"/>
    <mergeCell ref="L339:M339"/>
    <mergeCell ref="N339:O339"/>
    <mergeCell ref="P338:Q338"/>
    <mergeCell ref="R338:S338"/>
    <mergeCell ref="V338:W338"/>
    <mergeCell ref="X338:Y338"/>
    <mergeCell ref="AN338:AO338"/>
    <mergeCell ref="AP338:AQ338"/>
    <mergeCell ref="D338:E338"/>
    <mergeCell ref="F338:G338"/>
    <mergeCell ref="H338:I338"/>
    <mergeCell ref="J338:K338"/>
    <mergeCell ref="L338:M338"/>
    <mergeCell ref="N338:O338"/>
    <mergeCell ref="P341:Q341"/>
    <mergeCell ref="R341:S341"/>
    <mergeCell ref="V341:W341"/>
    <mergeCell ref="X341:Y341"/>
    <mergeCell ref="AN341:AO341"/>
    <mergeCell ref="AP341:AQ341"/>
    <mergeCell ref="D341:E341"/>
    <mergeCell ref="F341:G341"/>
    <mergeCell ref="H341:I341"/>
    <mergeCell ref="J341:K341"/>
    <mergeCell ref="L341:M341"/>
    <mergeCell ref="N341:O341"/>
    <mergeCell ref="P340:Q340"/>
    <mergeCell ref="R340:S340"/>
    <mergeCell ref="V340:W340"/>
    <mergeCell ref="X340:Y340"/>
    <mergeCell ref="AN340:AO340"/>
    <mergeCell ref="AP340:AQ340"/>
    <mergeCell ref="D340:E340"/>
    <mergeCell ref="F340:G340"/>
    <mergeCell ref="H340:I340"/>
    <mergeCell ref="J340:K340"/>
    <mergeCell ref="L340:M340"/>
    <mergeCell ref="N340:O340"/>
    <mergeCell ref="P343:Q343"/>
    <mergeCell ref="R343:S343"/>
    <mergeCell ref="V343:W343"/>
    <mergeCell ref="X343:Y343"/>
    <mergeCell ref="AN343:AO343"/>
    <mergeCell ref="AP343:AQ343"/>
    <mergeCell ref="D343:E343"/>
    <mergeCell ref="F343:G343"/>
    <mergeCell ref="H343:I343"/>
    <mergeCell ref="J343:K343"/>
    <mergeCell ref="L343:M343"/>
    <mergeCell ref="N343:O343"/>
    <mergeCell ref="P342:Q342"/>
    <mergeCell ref="R342:S342"/>
    <mergeCell ref="V342:W342"/>
    <mergeCell ref="X342:Y342"/>
    <mergeCell ref="AN342:AO342"/>
    <mergeCell ref="AP342:AQ342"/>
    <mergeCell ref="D342:E342"/>
    <mergeCell ref="F342:G342"/>
    <mergeCell ref="H342:I342"/>
    <mergeCell ref="J342:K342"/>
    <mergeCell ref="L342:M342"/>
    <mergeCell ref="N342:O342"/>
    <mergeCell ref="P345:Q345"/>
    <mergeCell ref="R345:S345"/>
    <mergeCell ref="V345:W345"/>
    <mergeCell ref="X345:Y345"/>
    <mergeCell ref="AN345:AO345"/>
    <mergeCell ref="AP345:AQ345"/>
    <mergeCell ref="D345:E345"/>
    <mergeCell ref="F345:G345"/>
    <mergeCell ref="H345:I345"/>
    <mergeCell ref="J345:K345"/>
    <mergeCell ref="L345:M345"/>
    <mergeCell ref="N345:O345"/>
    <mergeCell ref="P344:Q344"/>
    <mergeCell ref="R344:S344"/>
    <mergeCell ref="V344:W344"/>
    <mergeCell ref="X344:Y344"/>
    <mergeCell ref="AN344:AO344"/>
    <mergeCell ref="AP344:AQ344"/>
    <mergeCell ref="D344:E344"/>
    <mergeCell ref="F344:G344"/>
    <mergeCell ref="H344:I344"/>
    <mergeCell ref="J344:K344"/>
    <mergeCell ref="L344:M344"/>
    <mergeCell ref="N344:O344"/>
    <mergeCell ref="P347:Q347"/>
    <mergeCell ref="R347:S347"/>
    <mergeCell ref="V347:W347"/>
    <mergeCell ref="X347:Y347"/>
    <mergeCell ref="AN347:AO347"/>
    <mergeCell ref="AP347:AQ347"/>
    <mergeCell ref="D347:E347"/>
    <mergeCell ref="F347:G347"/>
    <mergeCell ref="H347:I347"/>
    <mergeCell ref="J347:K347"/>
    <mergeCell ref="L347:M347"/>
    <mergeCell ref="N347:O347"/>
    <mergeCell ref="P346:Q346"/>
    <mergeCell ref="R346:S346"/>
    <mergeCell ref="V346:W346"/>
    <mergeCell ref="X346:Y346"/>
    <mergeCell ref="AN346:AO346"/>
    <mergeCell ref="AP346:AQ346"/>
    <mergeCell ref="D346:E346"/>
    <mergeCell ref="F346:G346"/>
    <mergeCell ref="H346:I346"/>
    <mergeCell ref="J346:K346"/>
    <mergeCell ref="L346:M346"/>
    <mergeCell ref="N346:O346"/>
    <mergeCell ref="P349:Q349"/>
    <mergeCell ref="R349:S349"/>
    <mergeCell ref="V349:W349"/>
    <mergeCell ref="X349:Y349"/>
    <mergeCell ref="AN349:AO349"/>
    <mergeCell ref="AP349:AQ349"/>
    <mergeCell ref="D349:E349"/>
    <mergeCell ref="F349:G349"/>
    <mergeCell ref="H349:I349"/>
    <mergeCell ref="J349:K349"/>
    <mergeCell ref="L349:M349"/>
    <mergeCell ref="N349:O349"/>
    <mergeCell ref="P348:Q348"/>
    <mergeCell ref="R348:S348"/>
    <mergeCell ref="V348:W348"/>
    <mergeCell ref="X348:Y348"/>
    <mergeCell ref="AN348:AO348"/>
    <mergeCell ref="AP348:AQ348"/>
    <mergeCell ref="D348:E348"/>
    <mergeCell ref="F348:G348"/>
    <mergeCell ref="H348:I348"/>
    <mergeCell ref="J348:K348"/>
    <mergeCell ref="L348:M348"/>
    <mergeCell ref="N348:O348"/>
    <mergeCell ref="P351:Q351"/>
    <mergeCell ref="R351:S351"/>
    <mergeCell ref="V351:W351"/>
    <mergeCell ref="X351:Y351"/>
    <mergeCell ref="AN351:AO351"/>
    <mergeCell ref="AP351:AQ351"/>
    <mergeCell ref="D351:E351"/>
    <mergeCell ref="F351:G351"/>
    <mergeCell ref="H351:I351"/>
    <mergeCell ref="J351:K351"/>
    <mergeCell ref="L351:M351"/>
    <mergeCell ref="N351:O351"/>
    <mergeCell ref="P350:Q350"/>
    <mergeCell ref="R350:S350"/>
    <mergeCell ref="V350:W350"/>
    <mergeCell ref="X350:Y350"/>
    <mergeCell ref="AN350:AO350"/>
    <mergeCell ref="AP350:AQ350"/>
    <mergeCell ref="D350:E350"/>
    <mergeCell ref="F350:G350"/>
    <mergeCell ref="H350:I350"/>
    <mergeCell ref="J350:K350"/>
    <mergeCell ref="L350:M350"/>
    <mergeCell ref="N350:O350"/>
    <mergeCell ref="P353:Q353"/>
    <mergeCell ref="R353:S353"/>
    <mergeCell ref="V353:W353"/>
    <mergeCell ref="X353:Y353"/>
    <mergeCell ref="AN353:AO353"/>
    <mergeCell ref="AP353:AQ353"/>
    <mergeCell ref="D353:E353"/>
    <mergeCell ref="F353:G353"/>
    <mergeCell ref="H353:I353"/>
    <mergeCell ref="J353:K353"/>
    <mergeCell ref="L353:M353"/>
    <mergeCell ref="N353:O353"/>
    <mergeCell ref="P352:Q352"/>
    <mergeCell ref="R352:S352"/>
    <mergeCell ref="V352:W352"/>
    <mergeCell ref="X352:Y352"/>
    <mergeCell ref="AN352:AO352"/>
    <mergeCell ref="AP352:AQ352"/>
    <mergeCell ref="D352:E352"/>
    <mergeCell ref="F352:G352"/>
    <mergeCell ref="H352:I352"/>
    <mergeCell ref="J352:K352"/>
    <mergeCell ref="L352:M352"/>
    <mergeCell ref="N352:O352"/>
    <mergeCell ref="P355:Q355"/>
    <mergeCell ref="R355:S355"/>
    <mergeCell ref="V355:W355"/>
    <mergeCell ref="X355:Y355"/>
    <mergeCell ref="AN355:AO355"/>
    <mergeCell ref="AP355:AQ355"/>
    <mergeCell ref="D355:E355"/>
    <mergeCell ref="F355:G355"/>
    <mergeCell ref="H355:I355"/>
    <mergeCell ref="J355:K355"/>
    <mergeCell ref="L355:M355"/>
    <mergeCell ref="N355:O355"/>
    <mergeCell ref="P354:Q354"/>
    <mergeCell ref="R354:S354"/>
    <mergeCell ref="V354:W354"/>
    <mergeCell ref="X354:Y354"/>
    <mergeCell ref="AN354:AO354"/>
    <mergeCell ref="AP354:AQ354"/>
    <mergeCell ref="D354:E354"/>
    <mergeCell ref="F354:G354"/>
    <mergeCell ref="H354:I354"/>
    <mergeCell ref="J354:K354"/>
    <mergeCell ref="L354:M354"/>
    <mergeCell ref="N354:O354"/>
    <mergeCell ref="P357:Q357"/>
    <mergeCell ref="R357:S357"/>
    <mergeCell ref="V357:W357"/>
    <mergeCell ref="X357:Y357"/>
    <mergeCell ref="AN357:AO357"/>
    <mergeCell ref="AP357:AQ357"/>
    <mergeCell ref="D357:E357"/>
    <mergeCell ref="F357:G357"/>
    <mergeCell ref="H357:I357"/>
    <mergeCell ref="J357:K357"/>
    <mergeCell ref="L357:M357"/>
    <mergeCell ref="N357:O357"/>
    <mergeCell ref="P356:Q356"/>
    <mergeCell ref="R356:S356"/>
    <mergeCell ref="V356:W356"/>
    <mergeCell ref="X356:Y356"/>
    <mergeCell ref="AN356:AO356"/>
    <mergeCell ref="AP356:AQ356"/>
    <mergeCell ref="D356:E356"/>
    <mergeCell ref="F356:G356"/>
    <mergeCell ref="H356:I356"/>
    <mergeCell ref="J356:K356"/>
    <mergeCell ref="L356:M356"/>
    <mergeCell ref="N356:O356"/>
    <mergeCell ref="P359:Q359"/>
    <mergeCell ref="R359:S359"/>
    <mergeCell ref="V359:W359"/>
    <mergeCell ref="X359:Y359"/>
    <mergeCell ref="AN359:AO359"/>
    <mergeCell ref="AP359:AQ359"/>
    <mergeCell ref="D359:E359"/>
    <mergeCell ref="F359:G359"/>
    <mergeCell ref="H359:I359"/>
    <mergeCell ref="J359:K359"/>
    <mergeCell ref="L359:M359"/>
    <mergeCell ref="N359:O359"/>
    <mergeCell ref="P358:Q358"/>
    <mergeCell ref="R358:S358"/>
    <mergeCell ref="V358:W358"/>
    <mergeCell ref="X358:Y358"/>
    <mergeCell ref="AN358:AO358"/>
    <mergeCell ref="AP358:AQ358"/>
    <mergeCell ref="D358:E358"/>
    <mergeCell ref="F358:G358"/>
    <mergeCell ref="H358:I358"/>
    <mergeCell ref="J358:K358"/>
    <mergeCell ref="L358:M358"/>
    <mergeCell ref="N358:O358"/>
    <mergeCell ref="P361:Q361"/>
    <mergeCell ref="R361:S361"/>
    <mergeCell ref="V361:W361"/>
    <mergeCell ref="X361:Y361"/>
    <mergeCell ref="AN361:AO361"/>
    <mergeCell ref="AP361:AQ361"/>
    <mergeCell ref="D361:E361"/>
    <mergeCell ref="F361:G361"/>
    <mergeCell ref="H361:I361"/>
    <mergeCell ref="J361:K361"/>
    <mergeCell ref="L361:M361"/>
    <mergeCell ref="N361:O361"/>
    <mergeCell ref="P360:Q360"/>
    <mergeCell ref="R360:S360"/>
    <mergeCell ref="V360:W360"/>
    <mergeCell ref="X360:Y360"/>
    <mergeCell ref="AN360:AO360"/>
    <mergeCell ref="AP360:AQ360"/>
    <mergeCell ref="D360:E360"/>
    <mergeCell ref="F360:G360"/>
    <mergeCell ref="H360:I360"/>
    <mergeCell ref="J360:K360"/>
    <mergeCell ref="L360:M360"/>
    <mergeCell ref="N360:O360"/>
    <mergeCell ref="AP363:AQ363"/>
    <mergeCell ref="D363:E363"/>
    <mergeCell ref="F363:G363"/>
    <mergeCell ref="H363:I363"/>
    <mergeCell ref="J363:K363"/>
    <mergeCell ref="L363:M363"/>
    <mergeCell ref="N363:O363"/>
    <mergeCell ref="P362:Q362"/>
    <mergeCell ref="R362:S362"/>
    <mergeCell ref="V362:W362"/>
    <mergeCell ref="X362:Y362"/>
    <mergeCell ref="AN362:AO362"/>
    <mergeCell ref="AP362:AQ362"/>
    <mergeCell ref="D362:E362"/>
    <mergeCell ref="F362:G362"/>
    <mergeCell ref="H362:I362"/>
    <mergeCell ref="J362:K362"/>
    <mergeCell ref="L362:M362"/>
    <mergeCell ref="N362:O362"/>
    <mergeCell ref="Z368:AA368"/>
    <mergeCell ref="F25:K25"/>
    <mergeCell ref="C25:E25"/>
    <mergeCell ref="P365:Q365"/>
    <mergeCell ref="R365:S365"/>
    <mergeCell ref="V365:W365"/>
    <mergeCell ref="X365:Y365"/>
    <mergeCell ref="AN365:AO365"/>
    <mergeCell ref="AP365:AQ365"/>
    <mergeCell ref="D365:E365"/>
    <mergeCell ref="F365:G365"/>
    <mergeCell ref="H365:I365"/>
    <mergeCell ref="J365:K365"/>
    <mergeCell ref="L365:M365"/>
    <mergeCell ref="N365:O365"/>
    <mergeCell ref="P364:Q364"/>
    <mergeCell ref="R364:S364"/>
    <mergeCell ref="V364:W364"/>
    <mergeCell ref="X364:Y364"/>
    <mergeCell ref="AN364:AO364"/>
    <mergeCell ref="AP364:AQ364"/>
    <mergeCell ref="D364:E364"/>
    <mergeCell ref="F364:G364"/>
    <mergeCell ref="H364:I364"/>
    <mergeCell ref="J364:K364"/>
    <mergeCell ref="L364:M364"/>
    <mergeCell ref="N364:O364"/>
    <mergeCell ref="P363:Q363"/>
    <mergeCell ref="R363:S363"/>
    <mergeCell ref="V363:W363"/>
    <mergeCell ref="X363:Y363"/>
    <mergeCell ref="AN363:AO363"/>
  </mergeCells>
  <conditionalFormatting sqref="CL43:CL44">
    <cfRule type="dataBar" priority="22">
      <dataBar>
        <cfvo type="num" val="0"/>
        <cfvo type="num" val="1"/>
        <color theme="9" tint="0.59999389629810485"/>
      </dataBar>
      <extLst>
        <ext xmlns:x14="http://schemas.microsoft.com/office/spreadsheetml/2009/9/main" uri="{B025F937-C7B1-47D3-B67F-A62EFF666E3E}">
          <x14:id>{425AFC83-94B0-48A4-B699-2BBEA2D39AB6}</x14:id>
        </ext>
      </extLst>
    </cfRule>
  </conditionalFormatting>
  <conditionalFormatting sqref="BM50:BU50">
    <cfRule type="expression" dxfId="53" priority="21">
      <formula>$BM$50="Selecciona el Crédito a Simular Pago de Hipoteca o Liquidez"</formula>
    </cfRule>
  </conditionalFormatting>
  <conditionalFormatting sqref="F22">
    <cfRule type="expression" dxfId="52" priority="28">
      <formula>$C$22&lt;&gt;""</formula>
    </cfRule>
  </conditionalFormatting>
  <conditionalFormatting sqref="F21">
    <cfRule type="expression" dxfId="51" priority="29">
      <formula>$C$21&lt;&gt;""</formula>
    </cfRule>
  </conditionalFormatting>
  <conditionalFormatting sqref="P365">
    <cfRule type="expression" dxfId="50" priority="20">
      <formula>$Q$322=0</formula>
    </cfRule>
  </conditionalFormatting>
  <conditionalFormatting sqref="AN365">
    <cfRule type="expression" dxfId="49" priority="19">
      <formula>$AO$322=0</formula>
    </cfRule>
  </conditionalFormatting>
  <conditionalFormatting sqref="N365">
    <cfRule type="expression" dxfId="48" priority="31">
      <formula>$AM$322=0</formula>
    </cfRule>
  </conditionalFormatting>
  <conditionalFormatting sqref="F36">
    <cfRule type="expression" dxfId="47" priority="32">
      <formula>$F$20="Pago_Hipoteca+Liquidez"</formula>
    </cfRule>
  </conditionalFormatting>
  <conditionalFormatting sqref="H64:I363">
    <cfRule type="expression" dxfId="46" priority="18">
      <formula>$H64=0</formula>
    </cfRule>
  </conditionalFormatting>
  <conditionalFormatting sqref="N64:O363">
    <cfRule type="expression" dxfId="45" priority="17">
      <formula>$N64=0</formula>
    </cfRule>
  </conditionalFormatting>
  <conditionalFormatting sqref="AN64:AO363">
    <cfRule type="expression" dxfId="44" priority="33">
      <formula>$AN64=0</formula>
    </cfRule>
  </conditionalFormatting>
  <conditionalFormatting sqref="AP64:AQ363">
    <cfRule type="expression" dxfId="43" priority="34">
      <formula>$AP64=0</formula>
    </cfRule>
  </conditionalFormatting>
  <conditionalFormatting sqref="R64:S363">
    <cfRule type="expression" dxfId="42" priority="35">
      <formula>$R64=0</formula>
    </cfRule>
  </conditionalFormatting>
  <conditionalFormatting sqref="P57">
    <cfRule type="expression" dxfId="41" priority="15">
      <formula>$Q$322=0</formula>
    </cfRule>
  </conditionalFormatting>
  <conditionalFormatting sqref="N57">
    <cfRule type="expression" dxfId="40" priority="16">
      <formula>$AM$322=0</formula>
    </cfRule>
  </conditionalFormatting>
  <conditionalFormatting sqref="N30:W30">
    <cfRule type="expression" dxfId="39" priority="14">
      <formula>$F$20="Pago_Hipoteca+Liquidez"</formula>
    </cfRule>
  </conditionalFormatting>
  <conditionalFormatting sqref="N31:W32">
    <cfRule type="expression" dxfId="38" priority="13">
      <formula>$F$20="Pago_Hipoteca+Liquidez"</formula>
    </cfRule>
  </conditionalFormatting>
  <conditionalFormatting sqref="B64:Y64">
    <cfRule type="expression" dxfId="37" priority="12">
      <formula>$X$63=0</formula>
    </cfRule>
  </conditionalFormatting>
  <conditionalFormatting sqref="X63:Y63">
    <cfRule type="expression" dxfId="36" priority="11">
      <formula>$X$63=0</formula>
    </cfRule>
  </conditionalFormatting>
  <conditionalFormatting sqref="BM46:CK46">
    <cfRule type="expression" dxfId="35" priority="36">
      <formula>BM$46=#REF!</formula>
    </cfRule>
    <cfRule type="expression" dxfId="34" priority="37">
      <formula>BM$46=#REF!</formula>
    </cfRule>
  </conditionalFormatting>
  <conditionalFormatting sqref="B41:K41">
    <cfRule type="expression" dxfId="33" priority="10">
      <formula>$X$63&gt;0</formula>
    </cfRule>
  </conditionalFormatting>
  <conditionalFormatting sqref="B42:K42">
    <cfRule type="expression" dxfId="32" priority="9">
      <formula>$X$63</formula>
    </cfRule>
  </conditionalFormatting>
  <conditionalFormatting sqref="R42:Y42">
    <cfRule type="expression" dxfId="31" priority="41">
      <formula>$R$36="SI"</formula>
    </cfRule>
  </conditionalFormatting>
  <conditionalFormatting sqref="N43:Q43">
    <cfRule type="expression" dxfId="30" priority="42">
      <formula>$R$36="SI"</formula>
    </cfRule>
  </conditionalFormatting>
  <conditionalFormatting sqref="R43:Y43">
    <cfRule type="expression" dxfId="29" priority="43">
      <formula>$R$36="SI"</formula>
    </cfRule>
  </conditionalFormatting>
  <conditionalFormatting sqref="N41:Y41">
    <cfRule type="expression" dxfId="28" priority="44">
      <formula>$R$36="SI"</formula>
    </cfRule>
  </conditionalFormatting>
  <conditionalFormatting sqref="F35">
    <cfRule type="expression" dxfId="27" priority="744">
      <formula>$C$35&lt;&gt;""</formula>
    </cfRule>
  </conditionalFormatting>
  <conditionalFormatting sqref="F34">
    <cfRule type="expression" dxfId="26" priority="745">
      <formula>$C$34&lt;&gt;""</formula>
    </cfRule>
  </conditionalFormatting>
  <conditionalFormatting sqref="F33">
    <cfRule type="expression" dxfId="25" priority="746">
      <formula>$C$33&lt;&gt;""</formula>
    </cfRule>
  </conditionalFormatting>
  <conditionalFormatting sqref="F32">
    <cfRule type="expression" dxfId="24" priority="747">
      <formula>$B$32&lt;&gt;""</formula>
    </cfRule>
  </conditionalFormatting>
  <conditionalFormatting sqref="F31">
    <cfRule type="expression" dxfId="23" priority="748">
      <formula>$B$31&lt;&gt;""</formula>
    </cfRule>
  </conditionalFormatting>
  <conditionalFormatting sqref="F30">
    <cfRule type="expression" dxfId="22" priority="749">
      <formula>$C$30&lt;&gt;""</formula>
    </cfRule>
  </conditionalFormatting>
  <conditionalFormatting sqref="F29">
    <cfRule type="expression" dxfId="21" priority="750">
      <formula>$C$29&lt;&gt;""</formula>
    </cfRule>
  </conditionalFormatting>
  <conditionalFormatting sqref="F26">
    <cfRule type="expression" dxfId="20" priority="751">
      <formula>$B$26&lt;&gt;""</formula>
    </cfRule>
  </conditionalFormatting>
  <conditionalFormatting sqref="C25:E25">
    <cfRule type="expression" dxfId="19" priority="7">
      <formula>$F$24=0.103</formula>
    </cfRule>
  </conditionalFormatting>
  <conditionalFormatting sqref="F25:K25">
    <cfRule type="expression" dxfId="18" priority="4">
      <formula>$C$25&lt;&gt;""</formula>
    </cfRule>
  </conditionalFormatting>
  <conditionalFormatting sqref="L65:M363">
    <cfRule type="expression" dxfId="17" priority="3">
      <formula>$X$63=0</formula>
    </cfRule>
  </conditionalFormatting>
  <conditionalFormatting sqref="F38:K38">
    <cfRule type="expression" dxfId="16" priority="2">
      <formula>$F$38&lt;&gt;" "</formula>
    </cfRule>
  </conditionalFormatting>
  <conditionalFormatting sqref="N42:Q42">
    <cfRule type="expression" dxfId="15" priority="1">
      <formula>$R$36="SI"</formula>
    </cfRule>
  </conditionalFormatting>
  <dataValidations count="12">
    <dataValidation type="whole" allowBlank="1" showInputMessage="1" showErrorMessage="1" errorTitle="Monto Mínimo y/o Máximo" error="El monto mínimo de disposición de la línea de Liquidez no puede ser menor a $50,000 o mayor a $1,000,000" promptTitle="Monto Mínimo y/o Máximo" sqref="O43:Q43" xr:uid="{37224083-AA44-4F47-BFF7-58A05F4085BD}">
      <formula1>50000</formula1>
      <formula2>1000000</formula2>
    </dataValidation>
    <dataValidation type="list" allowBlank="1" showInputMessage="1" showErrorMessage="1" sqref="N17:R17" xr:uid="{0DA65FB5-83DC-4495-B20E-74F07CAF033F}">
      <formula1>"Gastos de Preoriginación - Avalúo Hipotecario,Sin Cobro de Gastos de Preoriginación - Avalúo Hipotecario"</formula1>
    </dataValidation>
    <dataValidation type="list" allowBlank="1" showInputMessage="1" showErrorMessage="1" sqref="R36 R34" xr:uid="{E3BFA95B-983B-4E6F-9E91-6A6B212227B8}">
      <formula1>"SI,NO"</formula1>
    </dataValidation>
    <dataValidation type="list" allowBlank="1" showInputMessage="1" showErrorMessage="1" sqref="F17:K17" xr:uid="{D8AF4066-3C79-4E07-BB76-A987FA0270F5}">
      <formula1>INDIRECT($F$16)</formula1>
    </dataValidation>
    <dataValidation type="list" allowBlank="1" showInputMessage="1" showErrorMessage="1" sqref="F36" xr:uid="{1BD98B72-1D39-4E17-B9BE-437AB7AA3DB2}">
      <formula1>"Pago de Hipoteca,Liquidez"</formula1>
    </dataValidation>
    <dataValidation type="list" allowBlank="1" showInputMessage="1" showErrorMessage="1" sqref="F21" xr:uid="{9C458DCA-AC77-46CD-B0BF-6AC22C07A847}">
      <formula1>INDIRECT($F$20)</formula1>
    </dataValidation>
    <dataValidation type="list" allowBlank="1" showInputMessage="1" showErrorMessage="1" sqref="F27" xr:uid="{4198A367-C55A-4C93-856A-84D0255B590C}">
      <formula1>"Por monto de crédito y valor de la vivienda,Por ingresos del cliente,Por Valor de la Vivienda"</formula1>
    </dataValidation>
    <dataValidation type="list" allowBlank="1" showInputMessage="1" showErrorMessage="1" sqref="AC19:AG19 N43" xr:uid="{0E72552B-A756-4BB4-A67E-FF141A036996}">
      <formula1>"15,14,13,12,11,10,9,8,7,6,5,4,3"</formula1>
    </dataValidation>
    <dataValidation type="whole" allowBlank="1" showInputMessage="1" showErrorMessage="1" errorTitle="Monto Máximo de Crédito" error="Recuerda que el monto máximo de crédito Redisponible es de $1,000,000" sqref="AC16:AG16" xr:uid="{5D3B6DA1-1087-4A30-BA6F-47B7B34ED4A5}">
      <formula1>0</formula1>
      <formula2>1000000</formula2>
    </dataValidation>
    <dataValidation type="list" allowBlank="1" showInputMessage="1" showErrorMessage="1" sqref="F19 F25:F26" xr:uid="{C86B3A61-A4E9-484F-A003-7F4A88A993C8}">
      <formula1>"Si,No"</formula1>
    </dataValidation>
    <dataValidation type="list" allowBlank="1" showInputMessage="1" showErrorMessage="1" sqref="N18:R18" xr:uid="{63BA8C45-EF79-45EE-ADD8-73AB9A36EBD9}">
      <formula1>"C. Contratación Crédito,C. Penalización Pago Anticipado,Sin Comisiones"</formula1>
    </dataValidation>
    <dataValidation type="list" allowBlank="1" showInputMessage="1" showErrorMessage="1" sqref="F20:K20" xr:uid="{FA884021-FD8E-432D-8888-5CD8AD09D97C}">
      <formula1>INDIRECT($BM$17)</formula1>
    </dataValidation>
  </dataValidations>
  <printOptions horizontalCentered="1"/>
  <pageMargins left="0.19685039370078741" right="0.19685039370078741" top="0.74803149606299213" bottom="0.19685039370078741" header="0.31496062992125984" footer="0.31496062992125984"/>
  <pageSetup scale="45" orientation="portrait" r:id="rId1"/>
  <headerFooter>
    <oddFooter>&amp;C&amp;1#&amp;"Calibri"&amp;10&amp;K000000PUBLIC</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64</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from>
                    <xdr:col>64</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from>
                    <xdr:col>65</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65</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389" r:id="rId8" name="Check Box 5">
              <controlPr defaultSize="0" autoFill="0" autoLine="0" autoPict="0">
                <anchor moveWithCells="1">
                  <from>
                    <xdr:col>66</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390" r:id="rId9" name="Check Box 6">
              <controlPr defaultSize="0" autoFill="0" autoLine="0" autoPict="0">
                <anchor moveWithCells="1">
                  <from>
                    <xdr:col>66</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391" r:id="rId10" name="Check Box 7">
              <controlPr defaultSize="0" autoFill="0" autoLine="0" autoPict="0">
                <anchor moveWithCells="1">
                  <from>
                    <xdr:col>67</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392" r:id="rId11" name="Check Box 8">
              <controlPr defaultSize="0" autoFill="0" autoLine="0" autoPict="0">
                <anchor moveWithCells="1">
                  <from>
                    <xdr:col>67</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393" r:id="rId12" name="Check Box 9">
              <controlPr defaultSize="0" autoFill="0" autoLine="0" autoPict="0">
                <anchor moveWithCells="1">
                  <from>
                    <xdr:col>68</xdr:col>
                    <xdr:colOff>209550</xdr:colOff>
                    <xdr:row>42</xdr:row>
                    <xdr:rowOff>66675</xdr:rowOff>
                  </from>
                  <to>
                    <xdr:col>135</xdr:col>
                    <xdr:colOff>247650</xdr:colOff>
                    <xdr:row>42</xdr:row>
                    <xdr:rowOff>66675</xdr:rowOff>
                  </to>
                </anchor>
              </controlPr>
            </control>
          </mc:Choice>
        </mc:AlternateContent>
        <mc:AlternateContent xmlns:mc="http://schemas.openxmlformats.org/markup-compatibility/2006">
          <mc:Choice Requires="x14">
            <control shapeId="16394" r:id="rId13" name="Check Box 10">
              <controlPr defaultSize="0" autoFill="0" autoLine="0" autoPict="0">
                <anchor moveWithCells="1">
                  <from>
                    <xdr:col>68</xdr:col>
                    <xdr:colOff>219075</xdr:colOff>
                    <xdr:row>43</xdr:row>
                    <xdr:rowOff>104775</xdr:rowOff>
                  </from>
                  <to>
                    <xdr:col>135</xdr:col>
                    <xdr:colOff>285750</xdr:colOff>
                    <xdr:row>60</xdr:row>
                    <xdr:rowOff>0</xdr:rowOff>
                  </to>
                </anchor>
              </controlPr>
            </control>
          </mc:Choice>
        </mc:AlternateContent>
        <mc:AlternateContent xmlns:mc="http://schemas.openxmlformats.org/markup-compatibility/2006">
          <mc:Choice Requires="x14">
            <control shapeId="16395" r:id="rId14" name="Check Box 11">
              <controlPr defaultSize="0" autoFill="0" autoLine="0" autoPict="0">
                <anchor moveWithCells="1">
                  <from>
                    <xdr:col>69</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396" r:id="rId15" name="Check Box 12">
              <controlPr defaultSize="0" autoFill="0" autoLine="0" autoPict="0">
                <anchor moveWithCells="1">
                  <from>
                    <xdr:col>69</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397" r:id="rId16" name="Check Box 13">
              <controlPr defaultSize="0" autoFill="0" autoLine="0" autoPict="0">
                <anchor moveWithCells="1">
                  <from>
                    <xdr:col>70</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398" r:id="rId17" name="Check Box 14">
              <controlPr defaultSize="0" autoFill="0" autoLine="0" autoPict="0">
                <anchor moveWithCells="1">
                  <from>
                    <xdr:col>70</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399" r:id="rId18" name="Check Box 15">
              <controlPr defaultSize="0" autoFill="0" autoLine="0" autoPict="0">
                <anchor moveWithCells="1">
                  <from>
                    <xdr:col>71</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from>
                    <xdr:col>71</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01" r:id="rId20" name="Check Box 17">
              <controlPr defaultSize="0" autoFill="0" autoLine="0" autoPict="0">
                <anchor moveWithCells="1">
                  <from>
                    <xdr:col>72</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02" r:id="rId21" name="Check Box 18">
              <controlPr defaultSize="0" autoFill="0" autoLine="0" autoPict="0">
                <anchor moveWithCells="1">
                  <from>
                    <xdr:col>72</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03" r:id="rId22" name="Check Box 19">
              <controlPr defaultSize="0" autoFill="0" autoLine="0" autoPict="0">
                <anchor moveWithCells="1">
                  <from>
                    <xdr:col>73</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04" r:id="rId23" name="Check Box 20">
              <controlPr defaultSize="0" autoFill="0" autoLine="0" autoPict="0">
                <anchor moveWithCells="1">
                  <from>
                    <xdr:col>73</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05" r:id="rId24" name="Check Box 21">
              <controlPr defaultSize="0" autoFill="0" autoLine="0" autoPict="0">
                <anchor moveWithCells="1">
                  <from>
                    <xdr:col>74</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06" r:id="rId25" name="Check Box 22">
              <controlPr defaultSize="0" autoFill="0" autoLine="0" autoPict="0">
                <anchor moveWithCells="1">
                  <from>
                    <xdr:col>74</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07" r:id="rId26" name="Check Box 23">
              <controlPr defaultSize="0" autoFill="0" autoLine="0" autoPict="0">
                <anchor moveWithCells="1">
                  <from>
                    <xdr:col>75</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08" r:id="rId27" name="Check Box 24">
              <controlPr defaultSize="0" autoFill="0" autoLine="0" autoPict="0">
                <anchor moveWithCells="1">
                  <from>
                    <xdr:col>75</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09" r:id="rId28" name="Check Box 25">
              <controlPr defaultSize="0" autoFill="0" autoLine="0" autoPict="0">
                <anchor moveWithCells="1">
                  <from>
                    <xdr:col>76</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10" r:id="rId29" name="Check Box 26">
              <controlPr defaultSize="0" autoFill="0" autoLine="0" autoPict="0">
                <anchor moveWithCells="1">
                  <from>
                    <xdr:col>76</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11" r:id="rId30" name="Check Box 27">
              <controlPr defaultSize="0" autoFill="0" autoLine="0" autoPict="0">
                <anchor moveWithCells="1">
                  <from>
                    <xdr:col>77</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12" r:id="rId31" name="Check Box 28">
              <controlPr defaultSize="0" autoFill="0" autoLine="0" autoPict="0">
                <anchor moveWithCells="1">
                  <from>
                    <xdr:col>77</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13" r:id="rId32" name="Check Box 29">
              <controlPr defaultSize="0" autoFill="0" autoLine="0" autoPict="0">
                <anchor moveWithCells="1">
                  <from>
                    <xdr:col>78</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14" r:id="rId33" name="Check Box 30">
              <controlPr defaultSize="0" autoFill="0" autoLine="0" autoPict="0">
                <anchor moveWithCells="1">
                  <from>
                    <xdr:col>78</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15" r:id="rId34" name="Check Box 31">
              <controlPr defaultSize="0" autoFill="0" autoLine="0" autoPict="0">
                <anchor moveWithCells="1">
                  <from>
                    <xdr:col>79</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16" r:id="rId35" name="Check Box 32">
              <controlPr defaultSize="0" autoFill="0" autoLine="0" autoPict="0">
                <anchor moveWithCells="1">
                  <from>
                    <xdr:col>79</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17" r:id="rId36" name="Check Box 33">
              <controlPr defaultSize="0" autoFill="0" autoLine="0" autoPict="0">
                <anchor moveWithCells="1">
                  <from>
                    <xdr:col>80</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18" r:id="rId37" name="Check Box 34">
              <controlPr defaultSize="0" autoFill="0" autoLine="0" autoPict="0">
                <anchor moveWithCells="1">
                  <from>
                    <xdr:col>80</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19" r:id="rId38" name="Check Box 35">
              <controlPr defaultSize="0" autoFill="0" autoLine="0" autoPict="0">
                <anchor moveWithCells="1">
                  <from>
                    <xdr:col>81</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20" r:id="rId39" name="Check Box 36">
              <controlPr defaultSize="0" autoFill="0" autoLine="0" autoPict="0">
                <anchor moveWithCells="1">
                  <from>
                    <xdr:col>81</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21" r:id="rId40" name="Check Box 37">
              <controlPr defaultSize="0" autoFill="0" autoLine="0" autoPict="0">
                <anchor moveWithCells="1">
                  <from>
                    <xdr:col>82</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22" r:id="rId41" name="Check Box 38">
              <controlPr defaultSize="0" autoFill="0" autoLine="0" autoPict="0">
                <anchor moveWithCells="1">
                  <from>
                    <xdr:col>82</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23" r:id="rId42" name="Check Box 39">
              <controlPr defaultSize="0" autoFill="0" autoLine="0" autoPict="0">
                <anchor moveWithCells="1">
                  <from>
                    <xdr:col>83</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24" r:id="rId43" name="Check Box 40">
              <controlPr defaultSize="0" autoFill="0" autoLine="0" autoPict="0">
                <anchor moveWithCells="1">
                  <from>
                    <xdr:col>83</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25" r:id="rId44" name="Check Box 41">
              <controlPr defaultSize="0" autoFill="0" autoLine="0" autoPict="0">
                <anchor moveWithCells="1">
                  <from>
                    <xdr:col>84</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26" r:id="rId45" name="Check Box 42">
              <controlPr defaultSize="0" autoFill="0" autoLine="0" autoPict="0">
                <anchor moveWithCells="1">
                  <from>
                    <xdr:col>84</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27" r:id="rId46" name="Check Box 43">
              <controlPr defaultSize="0" autoFill="0" autoLine="0" autoPict="0">
                <anchor moveWithCells="1">
                  <from>
                    <xdr:col>85</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28" r:id="rId47" name="Check Box 44">
              <controlPr defaultSize="0" autoFill="0" autoLine="0" autoPict="0">
                <anchor moveWithCells="1">
                  <from>
                    <xdr:col>85</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29" r:id="rId48" name="Check Box 45">
              <controlPr defaultSize="0" autoFill="0" autoLine="0" autoPict="0">
                <anchor moveWithCells="1">
                  <from>
                    <xdr:col>86</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30" r:id="rId49" name="Check Box 46">
              <controlPr defaultSize="0" autoFill="0" autoLine="0" autoPict="0">
                <anchor moveWithCells="1">
                  <from>
                    <xdr:col>86</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31" r:id="rId50" name="Check Box 47">
              <controlPr defaultSize="0" autoFill="0" autoLine="0" autoPict="0">
                <anchor moveWithCells="1">
                  <from>
                    <xdr:col>87</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32" r:id="rId51" name="Check Box 48">
              <controlPr defaultSize="0" autoFill="0" autoLine="0" autoPict="0">
                <anchor moveWithCells="1">
                  <from>
                    <xdr:col>87</xdr:col>
                    <xdr:colOff>228600</xdr:colOff>
                    <xdr:row>43</xdr:row>
                    <xdr:rowOff>57150</xdr:rowOff>
                  </from>
                  <to>
                    <xdr:col>135</xdr:col>
                    <xdr:colOff>276225</xdr:colOff>
                    <xdr:row>60</xdr:row>
                    <xdr:rowOff>0</xdr:rowOff>
                  </to>
                </anchor>
              </controlPr>
            </control>
          </mc:Choice>
        </mc:AlternateContent>
        <mc:AlternateContent xmlns:mc="http://schemas.openxmlformats.org/markup-compatibility/2006">
          <mc:Choice Requires="x14">
            <control shapeId="16433" r:id="rId52" name="Check Box 49">
              <controlPr defaultSize="0" autoFill="0" autoLine="0" autoPict="0">
                <anchor moveWithCells="1">
                  <from>
                    <xdr:col>88</xdr:col>
                    <xdr:colOff>238125</xdr:colOff>
                    <xdr:row>42</xdr:row>
                    <xdr:rowOff>66675</xdr:rowOff>
                  </from>
                  <to>
                    <xdr:col>135</xdr:col>
                    <xdr:colOff>266700</xdr:colOff>
                    <xdr:row>42</xdr:row>
                    <xdr:rowOff>66675</xdr:rowOff>
                  </to>
                </anchor>
              </controlPr>
            </control>
          </mc:Choice>
        </mc:AlternateContent>
        <mc:AlternateContent xmlns:mc="http://schemas.openxmlformats.org/markup-compatibility/2006">
          <mc:Choice Requires="x14">
            <control shapeId="16434" r:id="rId53" name="Check Box 50">
              <controlPr defaultSize="0" autoFill="0" autoLine="0" autoPict="0">
                <anchor moveWithCells="1">
                  <from>
                    <xdr:col>88</xdr:col>
                    <xdr:colOff>228600</xdr:colOff>
                    <xdr:row>43</xdr:row>
                    <xdr:rowOff>57150</xdr:rowOff>
                  </from>
                  <to>
                    <xdr:col>135</xdr:col>
                    <xdr:colOff>276225</xdr:colOff>
                    <xdr:row>60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425AFC83-94B0-48A4-B699-2BBEA2D39AB6}">
            <x14:dataBar minLength="0" maxLength="100" gradient="0" direction="leftToRight">
              <x14:cfvo type="num">
                <xm:f>0</xm:f>
              </x14:cfvo>
              <x14:cfvo type="num">
                <xm:f>1</xm:f>
              </x14:cfvo>
              <x14:negativeFillColor rgb="FFFF0000"/>
              <x14:axisColor rgb="FF000000"/>
            </x14:dataBar>
          </x14:cfRule>
          <xm:sqref>CL43:CL44</xm:sqref>
        </x14:conditionalFormatting>
        <x14:conditionalFormatting xmlns:xm="http://schemas.microsoft.com/office/excel/2006/main">
          <x14:cfRule type="expression" priority="23" id="{D37CCBD6-2E2B-4629-9E0F-7801A73C674B}">
            <xm:f>#REF!&lt;Tabla_Amortización_PeorEscenari!$U$322</xm:f>
            <x14:dxf>
              <font>
                <b/>
                <i val="0"/>
                <color rgb="FF00B050"/>
              </font>
              <fill>
                <patternFill patternType="none">
                  <bgColor auto="1"/>
                </patternFill>
              </fill>
            </x14:dxf>
          </x14:cfRule>
          <xm:sqref>BZ50 CB50</xm:sqref>
        </x14:conditionalFormatting>
      </x14:conditionalFormattings>
    </ext>
    <ext xmlns:x14="http://schemas.microsoft.com/office/spreadsheetml/2009/9/main" uri="{CCE6A557-97BC-4b89-ADB6-D9C93CAAB3DF}">
      <x14:dataValidations xmlns:xm="http://schemas.microsoft.com/office/excel/2006/main" count="4">
        <x14:dataValidation type="list" showInputMessage="1" showErrorMessage="1" xr:uid="{8EA5F4FB-B466-49D3-8D60-8C57C3301005}">
          <x14:formula1>
            <xm:f>Catalogos!$AL$2:$AL$6</xm:f>
          </x14:formula1>
          <xm:sqref>F23:K23</xm:sqref>
        </x14:dataValidation>
        <x14:dataValidation type="list" allowBlank="1" showInputMessage="1" showErrorMessage="1" xr:uid="{FE7BBCF8-831E-4BCE-BA59-97055EB07B8B}">
          <x14:formula1>
            <xm:f>IF(AND(OR(F20="Adquisicion",F20="Apoyo Infonavit",F20="Cofinavit"),F18="Wealth &amp; Premier Executive"),Catalogos!$AZ$2:$AZ$6,IF(F20="Liquidez",Catalogos!$BD$2:$BD$6,Catalogos!$AZ$2:$AZ$6))</xm:f>
          </x14:formula1>
          <xm:sqref>F24:K24</xm:sqref>
        </x14:dataValidation>
        <x14:dataValidation type="list" allowBlank="1" showInputMessage="1" showErrorMessage="1" xr:uid="{9ED4BEE6-A89D-42A9-BA1C-213072FDC222}">
          <x14:formula1>
            <xm:f>Catalogos!$Q$1:$R$1</xm:f>
          </x14:formula1>
          <xm:sqref>F16</xm:sqref>
        </x14:dataValidation>
        <x14:dataValidation type="list" allowBlank="1" showInputMessage="1" showErrorMessage="1" xr:uid="{85417950-B3C3-4541-AB69-A5359EE2140D}">
          <x14:formula1>
            <xm:f>Catalogos!$AH$2:$AH$9</xm:f>
          </x14:formula1>
          <xm:sqref>F22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6B127-C10A-4383-980A-B475ED2AEF85}">
  <sheetPr codeName="Hoja16"/>
  <dimension ref="A1:X667"/>
  <sheetViews>
    <sheetView topLeftCell="E1" zoomScale="115" zoomScaleNormal="115" workbookViewId="0">
      <pane ySplit="1" topLeftCell="A2" activePane="bottomLeft" state="frozen"/>
      <selection pane="bottomLeft" activeCell="G1" activeCellId="1" sqref="G2 G1"/>
    </sheetView>
  </sheetViews>
  <sheetFormatPr baseColWidth="10" defaultColWidth="11.42578125" defaultRowHeight="15" x14ac:dyDescent="0.25"/>
  <cols>
    <col min="1" max="1" width="75.42578125" style="37" bestFit="1" customWidth="1"/>
    <col min="2" max="2" width="95.7109375" style="37" bestFit="1" customWidth="1"/>
    <col min="3" max="9" width="46.28515625" style="37" customWidth="1"/>
    <col min="10" max="16" width="11.42578125" style="37"/>
    <col min="17" max="17" width="13.5703125" style="37" bestFit="1" customWidth="1"/>
    <col min="18" max="21" width="11.42578125" style="37"/>
    <col min="22" max="22" width="24.42578125" style="37" bestFit="1" customWidth="1"/>
    <col min="23" max="23" width="29.7109375" style="37" bestFit="1" customWidth="1"/>
    <col min="24" max="24" width="17.85546875" style="37" customWidth="1"/>
    <col min="25" max="16384" width="11.42578125" style="37"/>
  </cols>
  <sheetData>
    <row r="1" spans="1:24" ht="45" x14ac:dyDescent="0.25">
      <c r="A1" s="72" t="s">
        <v>21</v>
      </c>
      <c r="B1" s="72" t="s">
        <v>129</v>
      </c>
      <c r="C1" s="73" t="s">
        <v>5</v>
      </c>
      <c r="D1" s="73" t="s">
        <v>131</v>
      </c>
      <c r="E1" s="73" t="s">
        <v>145</v>
      </c>
      <c r="F1" s="73" t="s">
        <v>177</v>
      </c>
      <c r="G1" s="73" t="s">
        <v>144</v>
      </c>
      <c r="H1" s="73" t="s">
        <v>146</v>
      </c>
      <c r="I1" s="73" t="s">
        <v>25</v>
      </c>
      <c r="J1" s="73" t="s">
        <v>0</v>
      </c>
      <c r="K1" s="73" t="s">
        <v>141</v>
      </c>
      <c r="L1" s="73" t="s">
        <v>1</v>
      </c>
      <c r="M1" s="73" t="s">
        <v>149</v>
      </c>
      <c r="N1" s="73" t="s">
        <v>39</v>
      </c>
      <c r="O1" s="73" t="s">
        <v>26</v>
      </c>
      <c r="P1" s="73" t="s">
        <v>23</v>
      </c>
      <c r="Q1" s="73" t="s">
        <v>34</v>
      </c>
      <c r="R1" s="73" t="s">
        <v>35</v>
      </c>
      <c r="S1" s="73" t="s">
        <v>36</v>
      </c>
      <c r="T1" s="73" t="s">
        <v>128</v>
      </c>
      <c r="U1" s="74" t="s">
        <v>130</v>
      </c>
      <c r="V1" s="74" t="s">
        <v>158</v>
      </c>
      <c r="W1" s="74" t="s">
        <v>137</v>
      </c>
      <c r="X1" s="460" t="s">
        <v>388</v>
      </c>
    </row>
    <row r="2" spans="1:24" x14ac:dyDescent="0.25">
      <c r="A2" s="75" t="str">
        <f t="shared" ref="A2:A65" si="0">TRIM(CONCATENATE(C2," ",D2," ",E2," ",F2," ",G2," ",I2," ",X2," ",J2))</f>
        <v>Adquisicion PF Wealth &amp; Premier Executive Mercado_Abierto Pago_Fijo_Puntual Si 25</v>
      </c>
      <c r="B2" s="75" t="str">
        <f t="shared" ref="B2:B65" si="1">CONCATENATE(A2," ",N2)</f>
        <v>Adquisicion PF Wealth &amp; Premier Executive Mercado_Abierto Pago_Fijo_Puntual Si 25 0.103</v>
      </c>
      <c r="C2" s="75" t="s">
        <v>114</v>
      </c>
      <c r="D2" s="75" t="s">
        <v>132</v>
      </c>
      <c r="E2" s="75" t="s">
        <v>175</v>
      </c>
      <c r="F2" s="75"/>
      <c r="G2" s="75" t="s">
        <v>396</v>
      </c>
      <c r="H2" s="75"/>
      <c r="I2" s="75" t="s">
        <v>171</v>
      </c>
      <c r="J2" s="503">
        <v>25</v>
      </c>
      <c r="K2" s="503" t="s">
        <v>387</v>
      </c>
      <c r="L2" s="504">
        <v>9.65</v>
      </c>
      <c r="M2" s="504">
        <v>10.31</v>
      </c>
      <c r="N2" s="505">
        <v>0.10299999999999999</v>
      </c>
      <c r="O2" s="505">
        <v>0.1</v>
      </c>
      <c r="P2" s="505">
        <v>0.112</v>
      </c>
      <c r="Q2" s="78">
        <v>0.44</v>
      </c>
      <c r="R2" s="78">
        <v>0.31740000000000002</v>
      </c>
      <c r="S2" s="69">
        <v>0</v>
      </c>
      <c r="T2" s="69">
        <v>0</v>
      </c>
      <c r="U2" s="505">
        <v>0.9</v>
      </c>
      <c r="V2" s="76">
        <v>0</v>
      </c>
      <c r="W2" s="76">
        <v>0</v>
      </c>
      <c r="X2" s="76" t="s">
        <v>147</v>
      </c>
    </row>
    <row r="3" spans="1:24" x14ac:dyDescent="0.25">
      <c r="A3" s="75" t="str">
        <f t="shared" si="0"/>
        <v>Adquisicion PF Wealth &amp; Premier Executive Mercado_Abierto Pago_Fijo_Puntual 25</v>
      </c>
      <c r="B3" s="75" t="str">
        <f t="shared" si="1"/>
        <v>Adquisicion PF Wealth &amp; Premier Executive Mercado_Abierto Pago_Fijo_Puntual 25 0.106</v>
      </c>
      <c r="C3" s="75" t="s">
        <v>114</v>
      </c>
      <c r="D3" s="75" t="s">
        <v>132</v>
      </c>
      <c r="E3" s="75" t="s">
        <v>175</v>
      </c>
      <c r="F3" s="75"/>
      <c r="G3" s="75" t="s">
        <v>396</v>
      </c>
      <c r="H3" s="75"/>
      <c r="I3" s="75" t="s">
        <v>171</v>
      </c>
      <c r="J3" s="503">
        <v>25</v>
      </c>
      <c r="K3" s="503">
        <v>3</v>
      </c>
      <c r="L3" s="504">
        <v>9.93</v>
      </c>
      <c r="M3" s="504">
        <v>10.59</v>
      </c>
      <c r="N3" s="505">
        <v>0.106</v>
      </c>
      <c r="O3" s="505">
        <v>0.10299999999999999</v>
      </c>
      <c r="P3" s="505">
        <v>0.11799999999999999</v>
      </c>
      <c r="Q3" s="78">
        <v>0.44</v>
      </c>
      <c r="R3" s="78">
        <v>0.31740000000000002</v>
      </c>
      <c r="S3" s="69">
        <v>0</v>
      </c>
      <c r="T3" s="69">
        <v>0</v>
      </c>
      <c r="U3" s="505">
        <v>0.85</v>
      </c>
      <c r="V3" s="76">
        <v>0</v>
      </c>
      <c r="W3" s="76">
        <v>0</v>
      </c>
      <c r="X3" s="76"/>
    </row>
    <row r="4" spans="1:24" x14ac:dyDescent="0.25">
      <c r="A4" s="75" t="str">
        <f t="shared" si="0"/>
        <v>Adquisicion PF Wealth &amp; Premier Executive Mercado_Abierto Pago_Fijo_Puntual Si 20</v>
      </c>
      <c r="B4" s="75" t="str">
        <f t="shared" si="1"/>
        <v>Adquisicion PF Wealth &amp; Premier Executive Mercado_Abierto Pago_Fijo_Puntual Si 20 0.103</v>
      </c>
      <c r="C4" s="75" t="s">
        <v>114</v>
      </c>
      <c r="D4" s="75" t="s">
        <v>132</v>
      </c>
      <c r="E4" s="75" t="s">
        <v>175</v>
      </c>
      <c r="F4" s="75"/>
      <c r="G4" s="75" t="s">
        <v>396</v>
      </c>
      <c r="H4" s="75"/>
      <c r="I4" s="75" t="s">
        <v>171</v>
      </c>
      <c r="J4" s="503">
        <v>20</v>
      </c>
      <c r="K4" s="503" t="s">
        <v>387</v>
      </c>
      <c r="L4" s="504">
        <v>10.16</v>
      </c>
      <c r="M4" s="504">
        <v>10.82</v>
      </c>
      <c r="N4" s="505">
        <v>0.10299999999999999</v>
      </c>
      <c r="O4" s="505">
        <v>0.1</v>
      </c>
      <c r="P4" s="505">
        <v>0.112</v>
      </c>
      <c r="Q4" s="78">
        <v>0.44</v>
      </c>
      <c r="R4" s="78">
        <v>0.31740000000000002</v>
      </c>
      <c r="S4" s="69">
        <v>0</v>
      </c>
      <c r="T4" s="69">
        <v>0</v>
      </c>
      <c r="U4" s="505">
        <v>0.9</v>
      </c>
      <c r="V4" s="76">
        <v>0</v>
      </c>
      <c r="W4" s="76">
        <v>0</v>
      </c>
      <c r="X4" s="76" t="s">
        <v>147</v>
      </c>
    </row>
    <row r="5" spans="1:24" x14ac:dyDescent="0.25">
      <c r="A5" s="75" t="str">
        <f t="shared" si="0"/>
        <v>Adquisicion PF Wealth &amp; Premier Executive Mercado_Abierto Pago_Fijo_Puntual 20</v>
      </c>
      <c r="B5" s="75" t="str">
        <f t="shared" si="1"/>
        <v>Adquisicion PF Wealth &amp; Premier Executive Mercado_Abierto Pago_Fijo_Puntual 20 0.106</v>
      </c>
      <c r="C5" s="75" t="s">
        <v>114</v>
      </c>
      <c r="D5" s="75" t="s">
        <v>132</v>
      </c>
      <c r="E5" s="75" t="s">
        <v>175</v>
      </c>
      <c r="F5" s="75"/>
      <c r="G5" s="75" t="s">
        <v>396</v>
      </c>
      <c r="H5" s="75"/>
      <c r="I5" s="75" t="s">
        <v>171</v>
      </c>
      <c r="J5" s="503">
        <v>20</v>
      </c>
      <c r="K5" s="503">
        <v>3</v>
      </c>
      <c r="L5" s="504">
        <v>10.41</v>
      </c>
      <c r="M5" s="504">
        <v>11.07</v>
      </c>
      <c r="N5" s="505">
        <v>0.106</v>
      </c>
      <c r="O5" s="505">
        <v>0.10299999999999999</v>
      </c>
      <c r="P5" s="505">
        <v>0.11799999999999999</v>
      </c>
      <c r="Q5" s="78">
        <v>0.44</v>
      </c>
      <c r="R5" s="78">
        <v>0.31740000000000002</v>
      </c>
      <c r="S5" s="69">
        <v>0</v>
      </c>
      <c r="T5" s="69">
        <v>0</v>
      </c>
      <c r="U5" s="505">
        <v>0.85</v>
      </c>
      <c r="V5" s="76">
        <v>0</v>
      </c>
      <c r="W5" s="76">
        <v>0</v>
      </c>
      <c r="X5" s="76"/>
    </row>
    <row r="6" spans="1:24" x14ac:dyDescent="0.25">
      <c r="A6" s="75" t="str">
        <f t="shared" si="0"/>
        <v>Adquisicion PF Wealth &amp; Premier Executive Mercado_Abierto Pago_Fijo_Puntual Si 15</v>
      </c>
      <c r="B6" s="75" t="str">
        <f t="shared" si="1"/>
        <v>Adquisicion PF Wealth &amp; Premier Executive Mercado_Abierto Pago_Fijo_Puntual Si 15 0.103</v>
      </c>
      <c r="C6" s="75" t="s">
        <v>114</v>
      </c>
      <c r="D6" s="75" t="s">
        <v>132</v>
      </c>
      <c r="E6" s="75" t="s">
        <v>175</v>
      </c>
      <c r="F6" s="75"/>
      <c r="G6" s="75" t="s">
        <v>396</v>
      </c>
      <c r="H6" s="75"/>
      <c r="I6" s="75" t="s">
        <v>171</v>
      </c>
      <c r="J6" s="503">
        <v>15</v>
      </c>
      <c r="K6" s="503" t="s">
        <v>387</v>
      </c>
      <c r="L6" s="504">
        <v>11.18</v>
      </c>
      <c r="M6" s="504">
        <v>11.84</v>
      </c>
      <c r="N6" s="505">
        <v>0.10299999999999999</v>
      </c>
      <c r="O6" s="505">
        <v>0.1</v>
      </c>
      <c r="P6" s="505">
        <v>0.112</v>
      </c>
      <c r="Q6" s="78">
        <v>0.44</v>
      </c>
      <c r="R6" s="78">
        <v>0.31740000000000002</v>
      </c>
      <c r="S6" s="69">
        <v>0</v>
      </c>
      <c r="T6" s="69">
        <v>0</v>
      </c>
      <c r="U6" s="505">
        <v>0.9</v>
      </c>
      <c r="V6" s="76">
        <v>0</v>
      </c>
      <c r="W6" s="76">
        <v>0</v>
      </c>
      <c r="X6" s="76" t="s">
        <v>147</v>
      </c>
    </row>
    <row r="7" spans="1:24" x14ac:dyDescent="0.25">
      <c r="A7" s="75" t="str">
        <f t="shared" si="0"/>
        <v>Adquisicion PF Wealth &amp; Premier Executive Mercado_Abierto Pago_Fijo_Puntual 15</v>
      </c>
      <c r="B7" s="75" t="str">
        <f t="shared" si="1"/>
        <v>Adquisicion PF Wealth &amp; Premier Executive Mercado_Abierto Pago_Fijo_Puntual 15 0.106</v>
      </c>
      <c r="C7" s="75" t="s">
        <v>114</v>
      </c>
      <c r="D7" s="75" t="s">
        <v>132</v>
      </c>
      <c r="E7" s="75" t="s">
        <v>175</v>
      </c>
      <c r="F7" s="75"/>
      <c r="G7" s="75" t="s">
        <v>396</v>
      </c>
      <c r="H7" s="75"/>
      <c r="I7" s="75" t="s">
        <v>171</v>
      </c>
      <c r="J7" s="503">
        <v>15</v>
      </c>
      <c r="K7" s="503">
        <v>3</v>
      </c>
      <c r="L7" s="504">
        <v>11.39</v>
      </c>
      <c r="M7" s="504">
        <v>12.05</v>
      </c>
      <c r="N7" s="505">
        <v>0.106</v>
      </c>
      <c r="O7" s="505">
        <v>0.10299999999999999</v>
      </c>
      <c r="P7" s="505">
        <v>0.11799999999999999</v>
      </c>
      <c r="Q7" s="78">
        <v>0.44</v>
      </c>
      <c r="R7" s="78">
        <v>0.31740000000000002</v>
      </c>
      <c r="S7" s="69">
        <v>0</v>
      </c>
      <c r="T7" s="69">
        <v>0</v>
      </c>
      <c r="U7" s="505">
        <v>0.85</v>
      </c>
      <c r="V7" s="76">
        <v>0</v>
      </c>
      <c r="W7" s="76">
        <v>0</v>
      </c>
      <c r="X7" s="76"/>
    </row>
    <row r="8" spans="1:24" x14ac:dyDescent="0.25">
      <c r="A8" s="75" t="str">
        <f t="shared" si="0"/>
        <v>Adquisicion PF Wealth &amp; Premier Executive Mercado_Abierto Pago_Fijo_Puntual Si 10</v>
      </c>
      <c r="B8" s="75" t="str">
        <f t="shared" si="1"/>
        <v>Adquisicion PF Wealth &amp; Premier Executive Mercado_Abierto Pago_Fijo_Puntual Si 10 0.103</v>
      </c>
      <c r="C8" s="75" t="s">
        <v>114</v>
      </c>
      <c r="D8" s="75" t="s">
        <v>132</v>
      </c>
      <c r="E8" s="75" t="s">
        <v>175</v>
      </c>
      <c r="F8" s="75"/>
      <c r="G8" s="75" t="s">
        <v>396</v>
      </c>
      <c r="H8" s="75"/>
      <c r="I8" s="75" t="s">
        <v>171</v>
      </c>
      <c r="J8" s="503">
        <v>10</v>
      </c>
      <c r="K8" s="503" t="s">
        <v>387</v>
      </c>
      <c r="L8" s="504">
        <v>13.54</v>
      </c>
      <c r="M8" s="504">
        <v>14.2</v>
      </c>
      <c r="N8" s="505">
        <v>0.10299999999999999</v>
      </c>
      <c r="O8" s="505">
        <v>0.1</v>
      </c>
      <c r="P8" s="505">
        <v>0.112</v>
      </c>
      <c r="Q8" s="78">
        <v>0.44</v>
      </c>
      <c r="R8" s="78">
        <v>0.31740000000000002</v>
      </c>
      <c r="S8" s="69">
        <v>0</v>
      </c>
      <c r="T8" s="69">
        <v>0</v>
      </c>
      <c r="U8" s="505">
        <v>0.9</v>
      </c>
      <c r="V8" s="76">
        <v>0</v>
      </c>
      <c r="W8" s="76">
        <v>0</v>
      </c>
      <c r="X8" s="76" t="s">
        <v>147</v>
      </c>
    </row>
    <row r="9" spans="1:24" x14ac:dyDescent="0.25">
      <c r="A9" s="75" t="str">
        <f t="shared" si="0"/>
        <v>Adquisicion PF Wealth &amp; Premier Executive Mercado_Abierto Pago_Fijo_Puntual 10</v>
      </c>
      <c r="B9" s="75" t="str">
        <f t="shared" si="1"/>
        <v>Adquisicion PF Wealth &amp; Premier Executive Mercado_Abierto Pago_Fijo_Puntual 10 0.106</v>
      </c>
      <c r="C9" s="75" t="s">
        <v>114</v>
      </c>
      <c r="D9" s="75" t="s">
        <v>132</v>
      </c>
      <c r="E9" s="75" t="s">
        <v>175</v>
      </c>
      <c r="F9" s="75"/>
      <c r="G9" s="75" t="s">
        <v>396</v>
      </c>
      <c r="H9" s="75"/>
      <c r="I9" s="75" t="s">
        <v>171</v>
      </c>
      <c r="J9" s="503">
        <v>10</v>
      </c>
      <c r="K9" s="503">
        <v>3</v>
      </c>
      <c r="L9" s="504">
        <v>13.71</v>
      </c>
      <c r="M9" s="504">
        <v>14.37</v>
      </c>
      <c r="N9" s="505">
        <v>0.106</v>
      </c>
      <c r="O9" s="505">
        <v>0.10299999999999999</v>
      </c>
      <c r="P9" s="505">
        <v>0.11799999999999999</v>
      </c>
      <c r="Q9" s="78">
        <v>0.44</v>
      </c>
      <c r="R9" s="78">
        <v>0.31740000000000002</v>
      </c>
      <c r="S9" s="69">
        <v>0</v>
      </c>
      <c r="T9" s="69">
        <v>0</v>
      </c>
      <c r="U9" s="505">
        <v>0.85</v>
      </c>
      <c r="V9" s="76">
        <v>0</v>
      </c>
      <c r="W9" s="76">
        <v>0</v>
      </c>
      <c r="X9" s="76"/>
    </row>
    <row r="10" spans="1:24" x14ac:dyDescent="0.25">
      <c r="A10" s="75" t="str">
        <f t="shared" si="0"/>
        <v>Adquisicion PF Wealth &amp; Premier Executive Mercado_Abierto Pago_Fijo_Puntual Si 5</v>
      </c>
      <c r="B10" s="75" t="str">
        <f t="shared" si="1"/>
        <v>Adquisicion PF Wealth &amp; Premier Executive Mercado_Abierto Pago_Fijo_Puntual Si 5 0.103</v>
      </c>
      <c r="C10" s="75" t="s">
        <v>114</v>
      </c>
      <c r="D10" s="75" t="s">
        <v>132</v>
      </c>
      <c r="E10" s="75" t="s">
        <v>175</v>
      </c>
      <c r="F10" s="75"/>
      <c r="G10" s="75" t="s">
        <v>396</v>
      </c>
      <c r="H10" s="75"/>
      <c r="I10" s="75" t="s">
        <v>171</v>
      </c>
      <c r="J10" s="503">
        <v>5</v>
      </c>
      <c r="K10" s="503" t="s">
        <v>387</v>
      </c>
      <c r="L10" s="504">
        <v>21.44</v>
      </c>
      <c r="M10" s="504">
        <v>22.1</v>
      </c>
      <c r="N10" s="505">
        <v>0.10299999999999999</v>
      </c>
      <c r="O10" s="505">
        <v>0.1</v>
      </c>
      <c r="P10" s="505">
        <v>0.112</v>
      </c>
      <c r="Q10" s="78">
        <v>0.44</v>
      </c>
      <c r="R10" s="78">
        <v>0.31740000000000002</v>
      </c>
      <c r="S10" s="69">
        <v>0</v>
      </c>
      <c r="T10" s="69">
        <v>0</v>
      </c>
      <c r="U10" s="505">
        <v>0.9</v>
      </c>
      <c r="V10" s="76">
        <v>0</v>
      </c>
      <c r="W10" s="76">
        <v>0</v>
      </c>
      <c r="X10" s="76" t="s">
        <v>147</v>
      </c>
    </row>
    <row r="11" spans="1:24" x14ac:dyDescent="0.25">
      <c r="A11" s="75" t="str">
        <f t="shared" si="0"/>
        <v>Adquisicion PF Wealth &amp; Premier Executive Mercado_Abierto Pago_Fijo_Puntual 5</v>
      </c>
      <c r="B11" s="75" t="str">
        <f t="shared" si="1"/>
        <v>Adquisicion PF Wealth &amp; Premier Executive Mercado_Abierto Pago_Fijo_Puntual 5 0.106</v>
      </c>
      <c r="C11" s="75" t="s">
        <v>114</v>
      </c>
      <c r="D11" s="75" t="s">
        <v>132</v>
      </c>
      <c r="E11" s="75" t="s">
        <v>175</v>
      </c>
      <c r="F11" s="75"/>
      <c r="G11" s="75" t="s">
        <v>396</v>
      </c>
      <c r="H11" s="75"/>
      <c r="I11" s="75" t="s">
        <v>171</v>
      </c>
      <c r="J11" s="503">
        <v>5</v>
      </c>
      <c r="K11" s="503">
        <v>3</v>
      </c>
      <c r="L11" s="504">
        <v>21.59</v>
      </c>
      <c r="M11" s="504">
        <v>22.25</v>
      </c>
      <c r="N11" s="505">
        <v>0.106</v>
      </c>
      <c r="O11" s="505">
        <v>0.10299999999999999</v>
      </c>
      <c r="P11" s="505">
        <v>0.11799999999999999</v>
      </c>
      <c r="Q11" s="78">
        <v>0.44</v>
      </c>
      <c r="R11" s="78">
        <v>0.31740000000000002</v>
      </c>
      <c r="S11" s="69">
        <v>0</v>
      </c>
      <c r="T11" s="69">
        <v>0</v>
      </c>
      <c r="U11" s="505">
        <v>0.85</v>
      </c>
      <c r="V11" s="76">
        <v>0</v>
      </c>
      <c r="W11" s="76">
        <v>0</v>
      </c>
      <c r="X11" s="76"/>
    </row>
    <row r="12" spans="1:24" x14ac:dyDescent="0.25">
      <c r="A12" s="75" t="str">
        <f t="shared" si="0"/>
        <v>Adquisicion PFAE Wealth &amp; Premier Executive Mercado_Abierto Pago_Fijo_Puntual Si 25</v>
      </c>
      <c r="B12" s="75" t="str">
        <f t="shared" si="1"/>
        <v>Adquisicion PFAE Wealth &amp; Premier Executive Mercado_Abierto Pago_Fijo_Puntual Si 25 0.103</v>
      </c>
      <c r="C12" s="75" t="s">
        <v>114</v>
      </c>
      <c r="D12" s="75" t="s">
        <v>168</v>
      </c>
      <c r="E12" s="75" t="s">
        <v>175</v>
      </c>
      <c r="F12" s="75"/>
      <c r="G12" s="75" t="s">
        <v>396</v>
      </c>
      <c r="H12" s="75"/>
      <c r="I12" s="75" t="s">
        <v>171</v>
      </c>
      <c r="J12" s="503">
        <v>25</v>
      </c>
      <c r="K12" s="503" t="s">
        <v>387</v>
      </c>
      <c r="L12" s="504">
        <v>9.65</v>
      </c>
      <c r="M12" s="504">
        <v>10.31</v>
      </c>
      <c r="N12" s="505">
        <v>0.10299999999999999</v>
      </c>
      <c r="O12" s="505">
        <v>0.1</v>
      </c>
      <c r="P12" s="505">
        <v>0.112</v>
      </c>
      <c r="Q12" s="78">
        <v>0.44</v>
      </c>
      <c r="R12" s="78">
        <v>0.31740000000000002</v>
      </c>
      <c r="S12" s="69">
        <v>0</v>
      </c>
      <c r="T12" s="69">
        <v>0</v>
      </c>
      <c r="U12" s="505">
        <v>0.85</v>
      </c>
      <c r="V12" s="76">
        <v>0</v>
      </c>
      <c r="W12" s="76">
        <v>0</v>
      </c>
      <c r="X12" s="76" t="s">
        <v>147</v>
      </c>
    </row>
    <row r="13" spans="1:24" x14ac:dyDescent="0.25">
      <c r="A13" s="75" t="str">
        <f t="shared" si="0"/>
        <v>Adquisicion PFAE Wealth &amp; Premier Executive Mercado_Abierto Pago_Fijo_Puntual 25</v>
      </c>
      <c r="B13" s="75" t="str">
        <f t="shared" si="1"/>
        <v>Adquisicion PFAE Wealth &amp; Premier Executive Mercado_Abierto Pago_Fijo_Puntual 25 0.106</v>
      </c>
      <c r="C13" s="75" t="s">
        <v>114</v>
      </c>
      <c r="D13" s="75" t="s">
        <v>168</v>
      </c>
      <c r="E13" s="75" t="s">
        <v>175</v>
      </c>
      <c r="F13" s="75"/>
      <c r="G13" s="75" t="s">
        <v>396</v>
      </c>
      <c r="H13" s="75"/>
      <c r="I13" s="75" t="s">
        <v>171</v>
      </c>
      <c r="J13" s="503">
        <v>25</v>
      </c>
      <c r="K13" s="503">
        <v>3</v>
      </c>
      <c r="L13" s="504">
        <v>9.93</v>
      </c>
      <c r="M13" s="504">
        <v>10.59</v>
      </c>
      <c r="N13" s="505">
        <v>0.106</v>
      </c>
      <c r="O13" s="505">
        <v>0.10299999999999999</v>
      </c>
      <c r="P13" s="505">
        <v>0.11799999999999999</v>
      </c>
      <c r="Q13" s="78">
        <v>0.44</v>
      </c>
      <c r="R13" s="78">
        <v>0.31740000000000002</v>
      </c>
      <c r="S13" s="69">
        <v>0</v>
      </c>
      <c r="T13" s="69">
        <v>0</v>
      </c>
      <c r="U13" s="505">
        <v>0.7</v>
      </c>
      <c r="V13" s="76">
        <v>0</v>
      </c>
      <c r="W13" s="76">
        <v>0</v>
      </c>
      <c r="X13" s="76"/>
    </row>
    <row r="14" spans="1:24" x14ac:dyDescent="0.25">
      <c r="A14" s="75" t="str">
        <f t="shared" si="0"/>
        <v>Adquisicion PFAE Wealth &amp; Premier Executive Mercado_Abierto Pago_Fijo_Puntual Si 20</v>
      </c>
      <c r="B14" s="75" t="str">
        <f t="shared" si="1"/>
        <v>Adquisicion PFAE Wealth &amp; Premier Executive Mercado_Abierto Pago_Fijo_Puntual Si 20 0.103</v>
      </c>
      <c r="C14" s="75" t="s">
        <v>114</v>
      </c>
      <c r="D14" s="75" t="s">
        <v>168</v>
      </c>
      <c r="E14" s="75" t="s">
        <v>175</v>
      </c>
      <c r="F14" s="75"/>
      <c r="G14" s="75" t="s">
        <v>396</v>
      </c>
      <c r="H14" s="75"/>
      <c r="I14" s="75" t="s">
        <v>171</v>
      </c>
      <c r="J14" s="503">
        <v>20</v>
      </c>
      <c r="K14" s="503" t="s">
        <v>387</v>
      </c>
      <c r="L14" s="504">
        <v>10.16</v>
      </c>
      <c r="M14" s="504">
        <v>10.82</v>
      </c>
      <c r="N14" s="505">
        <v>0.10299999999999999</v>
      </c>
      <c r="O14" s="505">
        <v>0.1</v>
      </c>
      <c r="P14" s="505">
        <v>0.112</v>
      </c>
      <c r="Q14" s="78">
        <v>0.44</v>
      </c>
      <c r="R14" s="78">
        <v>0.31740000000000002</v>
      </c>
      <c r="S14" s="69">
        <v>0</v>
      </c>
      <c r="T14" s="69">
        <v>0</v>
      </c>
      <c r="U14" s="505">
        <v>0.85</v>
      </c>
      <c r="V14" s="76">
        <v>0</v>
      </c>
      <c r="W14" s="76">
        <v>0</v>
      </c>
      <c r="X14" s="76" t="s">
        <v>147</v>
      </c>
    </row>
    <row r="15" spans="1:24" x14ac:dyDescent="0.25">
      <c r="A15" s="75" t="str">
        <f t="shared" si="0"/>
        <v>Adquisicion PFAE Wealth &amp; Premier Executive Mercado_Abierto Pago_Fijo_Puntual 20</v>
      </c>
      <c r="B15" s="75" t="str">
        <f t="shared" si="1"/>
        <v>Adquisicion PFAE Wealth &amp; Premier Executive Mercado_Abierto Pago_Fijo_Puntual 20 0.106</v>
      </c>
      <c r="C15" s="75" t="s">
        <v>114</v>
      </c>
      <c r="D15" s="75" t="s">
        <v>168</v>
      </c>
      <c r="E15" s="75" t="s">
        <v>175</v>
      </c>
      <c r="F15" s="75"/>
      <c r="G15" s="75" t="s">
        <v>396</v>
      </c>
      <c r="H15" s="75"/>
      <c r="I15" s="75" t="s">
        <v>171</v>
      </c>
      <c r="J15" s="503">
        <v>20</v>
      </c>
      <c r="K15" s="503">
        <v>3</v>
      </c>
      <c r="L15" s="504">
        <v>10.41</v>
      </c>
      <c r="M15" s="504">
        <v>11.07</v>
      </c>
      <c r="N15" s="505">
        <v>0.106</v>
      </c>
      <c r="O15" s="505">
        <v>0.10299999999999999</v>
      </c>
      <c r="P15" s="505">
        <v>0.11799999999999999</v>
      </c>
      <c r="Q15" s="78">
        <v>0.44</v>
      </c>
      <c r="R15" s="78">
        <v>0.31740000000000002</v>
      </c>
      <c r="S15" s="69">
        <v>0</v>
      </c>
      <c r="T15" s="69">
        <v>0</v>
      </c>
      <c r="U15" s="505">
        <v>0.7</v>
      </c>
      <c r="V15" s="76">
        <v>0</v>
      </c>
      <c r="W15" s="76">
        <v>0</v>
      </c>
      <c r="X15" s="76"/>
    </row>
    <row r="16" spans="1:24" x14ac:dyDescent="0.25">
      <c r="A16" s="75" t="str">
        <f t="shared" si="0"/>
        <v>Adquisicion PFAE Wealth &amp; Premier Executive Mercado_Abierto Pago_Fijo_Puntual Si 15</v>
      </c>
      <c r="B16" s="75" t="str">
        <f t="shared" si="1"/>
        <v>Adquisicion PFAE Wealth &amp; Premier Executive Mercado_Abierto Pago_Fijo_Puntual Si 15 0.103</v>
      </c>
      <c r="C16" s="75" t="s">
        <v>114</v>
      </c>
      <c r="D16" s="75" t="s">
        <v>168</v>
      </c>
      <c r="E16" s="75" t="s">
        <v>175</v>
      </c>
      <c r="F16" s="75"/>
      <c r="G16" s="75" t="s">
        <v>396</v>
      </c>
      <c r="H16" s="75"/>
      <c r="I16" s="75" t="s">
        <v>171</v>
      </c>
      <c r="J16" s="503">
        <v>15</v>
      </c>
      <c r="K16" s="503" t="s">
        <v>387</v>
      </c>
      <c r="L16" s="504">
        <v>11.18</v>
      </c>
      <c r="M16" s="504">
        <v>11.84</v>
      </c>
      <c r="N16" s="505">
        <v>0.10299999999999999</v>
      </c>
      <c r="O16" s="505">
        <v>0.1</v>
      </c>
      <c r="P16" s="505">
        <v>0.112</v>
      </c>
      <c r="Q16" s="78">
        <v>0.44</v>
      </c>
      <c r="R16" s="78">
        <v>0.31740000000000002</v>
      </c>
      <c r="S16" s="69">
        <v>0</v>
      </c>
      <c r="T16" s="69">
        <v>0</v>
      </c>
      <c r="U16" s="505">
        <v>0.85</v>
      </c>
      <c r="V16" s="76">
        <v>0</v>
      </c>
      <c r="W16" s="76">
        <v>0</v>
      </c>
      <c r="X16" s="76" t="s">
        <v>147</v>
      </c>
    </row>
    <row r="17" spans="1:24" x14ac:dyDescent="0.25">
      <c r="A17" s="75" t="str">
        <f t="shared" si="0"/>
        <v>Adquisicion PFAE Wealth &amp; Premier Executive Mercado_Abierto Pago_Fijo_Puntual 15</v>
      </c>
      <c r="B17" s="75" t="str">
        <f t="shared" si="1"/>
        <v>Adquisicion PFAE Wealth &amp; Premier Executive Mercado_Abierto Pago_Fijo_Puntual 15 0.106</v>
      </c>
      <c r="C17" s="75" t="s">
        <v>114</v>
      </c>
      <c r="D17" s="75" t="s">
        <v>168</v>
      </c>
      <c r="E17" s="75" t="s">
        <v>175</v>
      </c>
      <c r="F17" s="75"/>
      <c r="G17" s="75" t="s">
        <v>396</v>
      </c>
      <c r="H17" s="75"/>
      <c r="I17" s="75" t="s">
        <v>171</v>
      </c>
      <c r="J17" s="503">
        <v>15</v>
      </c>
      <c r="K17" s="503">
        <v>3</v>
      </c>
      <c r="L17" s="504">
        <v>11.39</v>
      </c>
      <c r="M17" s="504">
        <v>12.05</v>
      </c>
      <c r="N17" s="505">
        <v>0.106</v>
      </c>
      <c r="O17" s="505">
        <v>0.10299999999999999</v>
      </c>
      <c r="P17" s="505">
        <v>0.11799999999999999</v>
      </c>
      <c r="Q17" s="78">
        <v>0.44</v>
      </c>
      <c r="R17" s="78">
        <v>0.31740000000000002</v>
      </c>
      <c r="S17" s="69">
        <v>0</v>
      </c>
      <c r="T17" s="69">
        <v>0</v>
      </c>
      <c r="U17" s="505">
        <v>0.7</v>
      </c>
      <c r="V17" s="76">
        <v>0</v>
      </c>
      <c r="W17" s="76">
        <v>0</v>
      </c>
      <c r="X17" s="76"/>
    </row>
    <row r="18" spans="1:24" x14ac:dyDescent="0.25">
      <c r="A18" s="75" t="str">
        <f t="shared" si="0"/>
        <v>Adquisicion PFAE Wealth &amp; Premier Executive Mercado_Abierto Pago_Fijo_Puntual Si 10</v>
      </c>
      <c r="B18" s="75" t="str">
        <f t="shared" si="1"/>
        <v>Adquisicion PFAE Wealth &amp; Premier Executive Mercado_Abierto Pago_Fijo_Puntual Si 10 0.103</v>
      </c>
      <c r="C18" s="75" t="s">
        <v>114</v>
      </c>
      <c r="D18" s="75" t="s">
        <v>168</v>
      </c>
      <c r="E18" s="75" t="s">
        <v>175</v>
      </c>
      <c r="F18" s="75"/>
      <c r="G18" s="75" t="s">
        <v>396</v>
      </c>
      <c r="H18" s="75"/>
      <c r="I18" s="75" t="s">
        <v>171</v>
      </c>
      <c r="J18" s="503">
        <v>10</v>
      </c>
      <c r="K18" s="503" t="s">
        <v>387</v>
      </c>
      <c r="L18" s="504">
        <v>13.54</v>
      </c>
      <c r="M18" s="504">
        <v>14.2</v>
      </c>
      <c r="N18" s="505">
        <v>0.10299999999999999</v>
      </c>
      <c r="O18" s="505">
        <v>0.1</v>
      </c>
      <c r="P18" s="505">
        <v>0.112</v>
      </c>
      <c r="Q18" s="78">
        <v>0.44</v>
      </c>
      <c r="R18" s="78">
        <v>0.31740000000000002</v>
      </c>
      <c r="S18" s="69">
        <v>0</v>
      </c>
      <c r="T18" s="69">
        <v>0</v>
      </c>
      <c r="U18" s="505">
        <v>0.85</v>
      </c>
      <c r="V18" s="76">
        <v>0</v>
      </c>
      <c r="W18" s="76">
        <v>0</v>
      </c>
      <c r="X18" s="76" t="s">
        <v>147</v>
      </c>
    </row>
    <row r="19" spans="1:24" x14ac:dyDescent="0.25">
      <c r="A19" s="75" t="str">
        <f t="shared" si="0"/>
        <v>Adquisicion PFAE Wealth &amp; Premier Executive Mercado_Abierto Pago_Fijo_Puntual 10</v>
      </c>
      <c r="B19" s="75" t="str">
        <f t="shared" si="1"/>
        <v>Adquisicion PFAE Wealth &amp; Premier Executive Mercado_Abierto Pago_Fijo_Puntual 10 0.106</v>
      </c>
      <c r="C19" s="75" t="s">
        <v>114</v>
      </c>
      <c r="D19" s="75" t="s">
        <v>168</v>
      </c>
      <c r="E19" s="75" t="s">
        <v>175</v>
      </c>
      <c r="F19" s="75"/>
      <c r="G19" s="75" t="s">
        <v>396</v>
      </c>
      <c r="H19" s="75"/>
      <c r="I19" s="75" t="s">
        <v>171</v>
      </c>
      <c r="J19" s="503">
        <v>10</v>
      </c>
      <c r="K19" s="503">
        <v>3</v>
      </c>
      <c r="L19" s="504">
        <v>13.71</v>
      </c>
      <c r="M19" s="504">
        <v>14.37</v>
      </c>
      <c r="N19" s="505">
        <v>0.106</v>
      </c>
      <c r="O19" s="505">
        <v>0.10299999999999999</v>
      </c>
      <c r="P19" s="505">
        <v>0.11799999999999999</v>
      </c>
      <c r="Q19" s="78">
        <v>0.44</v>
      </c>
      <c r="R19" s="78">
        <v>0.31740000000000002</v>
      </c>
      <c r="S19" s="69">
        <v>0</v>
      </c>
      <c r="T19" s="69">
        <v>0</v>
      </c>
      <c r="U19" s="505">
        <v>0.7</v>
      </c>
      <c r="V19" s="76">
        <v>0</v>
      </c>
      <c r="W19" s="76">
        <v>0</v>
      </c>
      <c r="X19" s="76"/>
    </row>
    <row r="20" spans="1:24" x14ac:dyDescent="0.25">
      <c r="A20" s="75" t="str">
        <f t="shared" si="0"/>
        <v>Adquisicion PFAE Wealth &amp; Premier Executive Mercado_Abierto Pago_Fijo_Puntual Si 5</v>
      </c>
      <c r="B20" s="75" t="str">
        <f t="shared" si="1"/>
        <v>Adquisicion PFAE Wealth &amp; Premier Executive Mercado_Abierto Pago_Fijo_Puntual Si 5 0.103</v>
      </c>
      <c r="C20" s="75" t="s">
        <v>114</v>
      </c>
      <c r="D20" s="75" t="s">
        <v>168</v>
      </c>
      <c r="E20" s="75" t="s">
        <v>175</v>
      </c>
      <c r="F20" s="75"/>
      <c r="G20" s="75" t="s">
        <v>396</v>
      </c>
      <c r="H20" s="75"/>
      <c r="I20" s="75" t="s">
        <v>171</v>
      </c>
      <c r="J20" s="503">
        <v>5</v>
      </c>
      <c r="K20" s="503" t="s">
        <v>387</v>
      </c>
      <c r="L20" s="504">
        <v>21.44</v>
      </c>
      <c r="M20" s="504">
        <v>22.1</v>
      </c>
      <c r="N20" s="505">
        <v>0.10299999999999999</v>
      </c>
      <c r="O20" s="505">
        <v>0.1</v>
      </c>
      <c r="P20" s="505">
        <v>0.112</v>
      </c>
      <c r="Q20" s="78">
        <v>0.44</v>
      </c>
      <c r="R20" s="78">
        <v>0.31740000000000002</v>
      </c>
      <c r="S20" s="69">
        <v>0</v>
      </c>
      <c r="T20" s="69">
        <v>0</v>
      </c>
      <c r="U20" s="505">
        <v>0.85</v>
      </c>
      <c r="V20" s="76">
        <v>0</v>
      </c>
      <c r="W20" s="76">
        <v>0</v>
      </c>
      <c r="X20" s="76" t="s">
        <v>147</v>
      </c>
    </row>
    <row r="21" spans="1:24" x14ac:dyDescent="0.25">
      <c r="A21" s="75" t="str">
        <f t="shared" si="0"/>
        <v>Adquisicion PFAE Wealth &amp; Premier Executive Mercado_Abierto Pago_Fijo_Puntual 5</v>
      </c>
      <c r="B21" s="75" t="str">
        <f t="shared" si="1"/>
        <v>Adquisicion PFAE Wealth &amp; Premier Executive Mercado_Abierto Pago_Fijo_Puntual 5 0.106</v>
      </c>
      <c r="C21" s="75" t="s">
        <v>114</v>
      </c>
      <c r="D21" s="75" t="s">
        <v>168</v>
      </c>
      <c r="E21" s="75" t="s">
        <v>175</v>
      </c>
      <c r="F21" s="75"/>
      <c r="G21" s="75" t="s">
        <v>396</v>
      </c>
      <c r="H21" s="75"/>
      <c r="I21" s="75" t="s">
        <v>171</v>
      </c>
      <c r="J21" s="503">
        <v>5</v>
      </c>
      <c r="K21" s="503">
        <v>3</v>
      </c>
      <c r="L21" s="504">
        <v>21.59</v>
      </c>
      <c r="M21" s="504">
        <v>22.25</v>
      </c>
      <c r="N21" s="505">
        <v>0.106</v>
      </c>
      <c r="O21" s="505">
        <v>0.10299999999999999</v>
      </c>
      <c r="P21" s="505">
        <v>0.11799999999999999</v>
      </c>
      <c r="Q21" s="78">
        <v>0.44</v>
      </c>
      <c r="R21" s="78">
        <v>0.31740000000000002</v>
      </c>
      <c r="S21" s="69">
        <v>0</v>
      </c>
      <c r="T21" s="69">
        <v>0</v>
      </c>
      <c r="U21" s="505">
        <v>0.7</v>
      </c>
      <c r="V21" s="76">
        <v>0</v>
      </c>
      <c r="W21" s="76">
        <v>0</v>
      </c>
      <c r="X21" s="76"/>
    </row>
    <row r="22" spans="1:24" x14ac:dyDescent="0.25">
      <c r="A22" s="75" t="str">
        <f t="shared" si="0"/>
        <v>Adquisicion PROF Wealth &amp; Premier Executive Mercado_Abierto Pago_Fijo_Puntual Si 25</v>
      </c>
      <c r="B22" s="75" t="str">
        <f t="shared" si="1"/>
        <v>Adquisicion PROF Wealth &amp; Premier Executive Mercado_Abierto Pago_Fijo_Puntual Si 25 0.103</v>
      </c>
      <c r="C22" s="75" t="s">
        <v>114</v>
      </c>
      <c r="D22" s="75" t="s">
        <v>169</v>
      </c>
      <c r="E22" s="75" t="s">
        <v>175</v>
      </c>
      <c r="F22" s="75"/>
      <c r="G22" s="75" t="s">
        <v>396</v>
      </c>
      <c r="H22" s="75"/>
      <c r="I22" s="75" t="s">
        <v>171</v>
      </c>
      <c r="J22" s="503">
        <v>25</v>
      </c>
      <c r="K22" s="503" t="s">
        <v>387</v>
      </c>
      <c r="L22" s="504">
        <v>9.65</v>
      </c>
      <c r="M22" s="504">
        <v>10.31</v>
      </c>
      <c r="N22" s="505">
        <v>0.10299999999999999</v>
      </c>
      <c r="O22" s="505">
        <v>0.1</v>
      </c>
      <c r="P22" s="505">
        <v>0.112</v>
      </c>
      <c r="Q22" s="78">
        <v>0.44</v>
      </c>
      <c r="R22" s="78">
        <v>0.31740000000000002</v>
      </c>
      <c r="S22" s="69">
        <v>0</v>
      </c>
      <c r="T22" s="69">
        <v>0</v>
      </c>
      <c r="U22" s="505">
        <v>0.85</v>
      </c>
      <c r="V22" s="76">
        <v>0</v>
      </c>
      <c r="W22" s="76">
        <v>0</v>
      </c>
      <c r="X22" s="76" t="s">
        <v>147</v>
      </c>
    </row>
    <row r="23" spans="1:24" x14ac:dyDescent="0.25">
      <c r="A23" s="75" t="str">
        <f t="shared" si="0"/>
        <v>Adquisicion PROF Wealth &amp; Premier Executive Mercado_Abierto Pago_Fijo_Puntual 25</v>
      </c>
      <c r="B23" s="75" t="str">
        <f t="shared" si="1"/>
        <v>Adquisicion PROF Wealth &amp; Premier Executive Mercado_Abierto Pago_Fijo_Puntual 25 0.106</v>
      </c>
      <c r="C23" s="75" t="s">
        <v>114</v>
      </c>
      <c r="D23" s="75" t="s">
        <v>169</v>
      </c>
      <c r="E23" s="75" t="s">
        <v>175</v>
      </c>
      <c r="F23" s="75"/>
      <c r="G23" s="75" t="s">
        <v>396</v>
      </c>
      <c r="H23" s="75"/>
      <c r="I23" s="75" t="s">
        <v>171</v>
      </c>
      <c r="J23" s="503">
        <v>25</v>
      </c>
      <c r="K23" s="503">
        <v>3</v>
      </c>
      <c r="L23" s="504">
        <v>9.93</v>
      </c>
      <c r="M23" s="504">
        <v>10.59</v>
      </c>
      <c r="N23" s="505">
        <v>0.106</v>
      </c>
      <c r="O23" s="505">
        <v>0.10299999999999999</v>
      </c>
      <c r="P23" s="505">
        <v>0.11799999999999999</v>
      </c>
      <c r="Q23" s="78">
        <v>0.44</v>
      </c>
      <c r="R23" s="78">
        <v>0.31740000000000002</v>
      </c>
      <c r="S23" s="69">
        <v>0</v>
      </c>
      <c r="T23" s="69">
        <v>0</v>
      </c>
      <c r="U23" s="505">
        <v>0.7</v>
      </c>
      <c r="V23" s="76">
        <v>0</v>
      </c>
      <c r="W23" s="76">
        <v>0</v>
      </c>
      <c r="X23" s="76"/>
    </row>
    <row r="24" spans="1:24" x14ac:dyDescent="0.25">
      <c r="A24" s="75" t="str">
        <f t="shared" si="0"/>
        <v>Adquisicion PROF Wealth &amp; Premier Executive Mercado_Abierto Pago_Fijo_Puntual Si 20</v>
      </c>
      <c r="B24" s="75" t="str">
        <f t="shared" si="1"/>
        <v>Adquisicion PROF Wealth &amp; Premier Executive Mercado_Abierto Pago_Fijo_Puntual Si 20 0.103</v>
      </c>
      <c r="C24" s="75" t="s">
        <v>114</v>
      </c>
      <c r="D24" s="75" t="s">
        <v>169</v>
      </c>
      <c r="E24" s="75" t="s">
        <v>175</v>
      </c>
      <c r="F24" s="75"/>
      <c r="G24" s="75" t="s">
        <v>396</v>
      </c>
      <c r="H24" s="75"/>
      <c r="I24" s="75" t="s">
        <v>171</v>
      </c>
      <c r="J24" s="503">
        <v>20</v>
      </c>
      <c r="K24" s="503" t="s">
        <v>387</v>
      </c>
      <c r="L24" s="504">
        <v>10.16</v>
      </c>
      <c r="M24" s="504">
        <v>10.82</v>
      </c>
      <c r="N24" s="505">
        <v>0.10299999999999999</v>
      </c>
      <c r="O24" s="505">
        <v>0.1</v>
      </c>
      <c r="P24" s="505">
        <v>0.112</v>
      </c>
      <c r="Q24" s="78">
        <v>0.44</v>
      </c>
      <c r="R24" s="78">
        <v>0.31740000000000002</v>
      </c>
      <c r="S24" s="69">
        <v>0</v>
      </c>
      <c r="T24" s="69">
        <v>0</v>
      </c>
      <c r="U24" s="505">
        <v>0.85</v>
      </c>
      <c r="V24" s="76">
        <v>0</v>
      </c>
      <c r="W24" s="76">
        <v>0</v>
      </c>
      <c r="X24" s="76" t="s">
        <v>147</v>
      </c>
    </row>
    <row r="25" spans="1:24" x14ac:dyDescent="0.25">
      <c r="A25" s="75" t="str">
        <f t="shared" si="0"/>
        <v>Adquisicion PROF Wealth &amp; Premier Executive Mercado_Abierto Pago_Fijo_Puntual 20</v>
      </c>
      <c r="B25" s="75" t="str">
        <f t="shared" si="1"/>
        <v>Adquisicion PROF Wealth &amp; Premier Executive Mercado_Abierto Pago_Fijo_Puntual 20 0.106</v>
      </c>
      <c r="C25" s="75" t="s">
        <v>114</v>
      </c>
      <c r="D25" s="75" t="s">
        <v>169</v>
      </c>
      <c r="E25" s="75" t="s">
        <v>175</v>
      </c>
      <c r="F25" s="75"/>
      <c r="G25" s="75" t="s">
        <v>396</v>
      </c>
      <c r="H25" s="75"/>
      <c r="I25" s="75" t="s">
        <v>171</v>
      </c>
      <c r="J25" s="503">
        <v>20</v>
      </c>
      <c r="K25" s="503">
        <v>3</v>
      </c>
      <c r="L25" s="504">
        <v>10.41</v>
      </c>
      <c r="M25" s="504">
        <v>11.07</v>
      </c>
      <c r="N25" s="505">
        <v>0.106</v>
      </c>
      <c r="O25" s="505">
        <v>0.10299999999999999</v>
      </c>
      <c r="P25" s="505">
        <v>0.11799999999999999</v>
      </c>
      <c r="Q25" s="78">
        <v>0.44</v>
      </c>
      <c r="R25" s="78">
        <v>0.31740000000000002</v>
      </c>
      <c r="S25" s="69">
        <v>0</v>
      </c>
      <c r="T25" s="69">
        <v>0</v>
      </c>
      <c r="U25" s="505">
        <v>0.7</v>
      </c>
      <c r="V25" s="76">
        <v>0</v>
      </c>
      <c r="W25" s="76">
        <v>0</v>
      </c>
      <c r="X25" s="76"/>
    </row>
    <row r="26" spans="1:24" x14ac:dyDescent="0.25">
      <c r="A26" s="75" t="str">
        <f t="shared" si="0"/>
        <v>Adquisicion PROF Wealth &amp; Premier Executive Mercado_Abierto Pago_Fijo_Puntual Si 15</v>
      </c>
      <c r="B26" s="75" t="str">
        <f t="shared" si="1"/>
        <v>Adquisicion PROF Wealth &amp; Premier Executive Mercado_Abierto Pago_Fijo_Puntual Si 15 0.103</v>
      </c>
      <c r="C26" s="75" t="s">
        <v>114</v>
      </c>
      <c r="D26" s="75" t="s">
        <v>169</v>
      </c>
      <c r="E26" s="75" t="s">
        <v>175</v>
      </c>
      <c r="F26" s="75"/>
      <c r="G26" s="75" t="s">
        <v>396</v>
      </c>
      <c r="H26" s="75"/>
      <c r="I26" s="75" t="s">
        <v>171</v>
      </c>
      <c r="J26" s="503">
        <v>15</v>
      </c>
      <c r="K26" s="503" t="s">
        <v>387</v>
      </c>
      <c r="L26" s="504">
        <v>11.18</v>
      </c>
      <c r="M26" s="504">
        <v>11.84</v>
      </c>
      <c r="N26" s="505">
        <v>0.10299999999999999</v>
      </c>
      <c r="O26" s="505">
        <v>0.1</v>
      </c>
      <c r="P26" s="505">
        <v>0.112</v>
      </c>
      <c r="Q26" s="78">
        <v>0.44</v>
      </c>
      <c r="R26" s="78">
        <v>0.31740000000000002</v>
      </c>
      <c r="S26" s="69">
        <v>0</v>
      </c>
      <c r="T26" s="69">
        <v>0</v>
      </c>
      <c r="U26" s="505">
        <v>0.85</v>
      </c>
      <c r="V26" s="76">
        <v>0</v>
      </c>
      <c r="W26" s="76">
        <v>0</v>
      </c>
      <c r="X26" s="76" t="s">
        <v>147</v>
      </c>
    </row>
    <row r="27" spans="1:24" x14ac:dyDescent="0.25">
      <c r="A27" s="75" t="str">
        <f t="shared" si="0"/>
        <v>Adquisicion PROF Wealth &amp; Premier Executive Mercado_Abierto Pago_Fijo_Puntual 15</v>
      </c>
      <c r="B27" s="75" t="str">
        <f t="shared" si="1"/>
        <v>Adquisicion PROF Wealth &amp; Premier Executive Mercado_Abierto Pago_Fijo_Puntual 15 0.106</v>
      </c>
      <c r="C27" s="75" t="s">
        <v>114</v>
      </c>
      <c r="D27" s="75" t="s">
        <v>169</v>
      </c>
      <c r="E27" s="75" t="s">
        <v>175</v>
      </c>
      <c r="F27" s="75"/>
      <c r="G27" s="75" t="s">
        <v>396</v>
      </c>
      <c r="H27" s="75"/>
      <c r="I27" s="75" t="s">
        <v>171</v>
      </c>
      <c r="J27" s="503">
        <v>15</v>
      </c>
      <c r="K27" s="503">
        <v>3</v>
      </c>
      <c r="L27" s="504">
        <v>11.39</v>
      </c>
      <c r="M27" s="504">
        <v>12.05</v>
      </c>
      <c r="N27" s="505">
        <v>0.106</v>
      </c>
      <c r="O27" s="505">
        <v>0.10299999999999999</v>
      </c>
      <c r="P27" s="505">
        <v>0.11799999999999999</v>
      </c>
      <c r="Q27" s="78">
        <v>0.44</v>
      </c>
      <c r="R27" s="78">
        <v>0.31740000000000002</v>
      </c>
      <c r="S27" s="69">
        <v>0</v>
      </c>
      <c r="T27" s="69">
        <v>0</v>
      </c>
      <c r="U27" s="505">
        <v>0.7</v>
      </c>
      <c r="V27" s="76">
        <v>0</v>
      </c>
      <c r="W27" s="76">
        <v>0</v>
      </c>
      <c r="X27" s="76"/>
    </row>
    <row r="28" spans="1:24" x14ac:dyDescent="0.25">
      <c r="A28" s="75" t="str">
        <f t="shared" si="0"/>
        <v>Adquisicion PROF Wealth &amp; Premier Executive Mercado_Abierto Pago_Fijo_Puntual Si 10</v>
      </c>
      <c r="B28" s="75" t="str">
        <f t="shared" si="1"/>
        <v>Adquisicion PROF Wealth &amp; Premier Executive Mercado_Abierto Pago_Fijo_Puntual Si 10 0.103</v>
      </c>
      <c r="C28" s="75" t="s">
        <v>114</v>
      </c>
      <c r="D28" s="75" t="s">
        <v>169</v>
      </c>
      <c r="E28" s="75" t="s">
        <v>175</v>
      </c>
      <c r="F28" s="75"/>
      <c r="G28" s="75" t="s">
        <v>396</v>
      </c>
      <c r="H28" s="75"/>
      <c r="I28" s="75" t="s">
        <v>171</v>
      </c>
      <c r="J28" s="503">
        <v>10</v>
      </c>
      <c r="K28" s="503" t="s">
        <v>387</v>
      </c>
      <c r="L28" s="504">
        <v>13.54</v>
      </c>
      <c r="M28" s="504">
        <v>14.2</v>
      </c>
      <c r="N28" s="505">
        <v>0.10299999999999999</v>
      </c>
      <c r="O28" s="505">
        <v>0.1</v>
      </c>
      <c r="P28" s="505">
        <v>0.112</v>
      </c>
      <c r="Q28" s="78">
        <v>0.44</v>
      </c>
      <c r="R28" s="78">
        <v>0.31740000000000002</v>
      </c>
      <c r="S28" s="69">
        <v>0</v>
      </c>
      <c r="T28" s="69">
        <v>0</v>
      </c>
      <c r="U28" s="505">
        <v>0.85</v>
      </c>
      <c r="V28" s="76">
        <v>0</v>
      </c>
      <c r="W28" s="76">
        <v>0</v>
      </c>
      <c r="X28" s="76" t="s">
        <v>147</v>
      </c>
    </row>
    <row r="29" spans="1:24" x14ac:dyDescent="0.25">
      <c r="A29" s="75" t="str">
        <f t="shared" si="0"/>
        <v>Adquisicion PROF Wealth &amp; Premier Executive Mercado_Abierto Pago_Fijo_Puntual 10</v>
      </c>
      <c r="B29" s="75" t="str">
        <f t="shared" si="1"/>
        <v>Adquisicion PROF Wealth &amp; Premier Executive Mercado_Abierto Pago_Fijo_Puntual 10 0.106</v>
      </c>
      <c r="C29" s="75" t="s">
        <v>114</v>
      </c>
      <c r="D29" s="75" t="s">
        <v>169</v>
      </c>
      <c r="E29" s="75" t="s">
        <v>175</v>
      </c>
      <c r="F29" s="75"/>
      <c r="G29" s="75" t="s">
        <v>396</v>
      </c>
      <c r="H29" s="75"/>
      <c r="I29" s="75" t="s">
        <v>171</v>
      </c>
      <c r="J29" s="503">
        <v>10</v>
      </c>
      <c r="K29" s="503">
        <v>3</v>
      </c>
      <c r="L29" s="504">
        <v>13.71</v>
      </c>
      <c r="M29" s="504">
        <v>14.37</v>
      </c>
      <c r="N29" s="505">
        <v>0.106</v>
      </c>
      <c r="O29" s="505">
        <v>0.10299999999999999</v>
      </c>
      <c r="P29" s="505">
        <v>0.11799999999999999</v>
      </c>
      <c r="Q29" s="78">
        <v>0.44</v>
      </c>
      <c r="R29" s="78">
        <v>0.31740000000000002</v>
      </c>
      <c r="S29" s="69">
        <v>0</v>
      </c>
      <c r="T29" s="69">
        <v>0</v>
      </c>
      <c r="U29" s="505">
        <v>0.7</v>
      </c>
      <c r="V29" s="76">
        <v>0</v>
      </c>
      <c r="W29" s="76">
        <v>0</v>
      </c>
      <c r="X29" s="76"/>
    </row>
    <row r="30" spans="1:24" x14ac:dyDescent="0.25">
      <c r="A30" s="75" t="str">
        <f t="shared" si="0"/>
        <v>Adquisicion PROF Wealth &amp; Premier Executive Mercado_Abierto Pago_Fijo_Puntual Si 5</v>
      </c>
      <c r="B30" s="75" t="str">
        <f t="shared" si="1"/>
        <v>Adquisicion PROF Wealth &amp; Premier Executive Mercado_Abierto Pago_Fijo_Puntual Si 5 0.103</v>
      </c>
      <c r="C30" s="75" t="s">
        <v>114</v>
      </c>
      <c r="D30" s="75" t="s">
        <v>169</v>
      </c>
      <c r="E30" s="75" t="s">
        <v>175</v>
      </c>
      <c r="F30" s="75"/>
      <c r="G30" s="75" t="s">
        <v>396</v>
      </c>
      <c r="H30" s="75"/>
      <c r="I30" s="75" t="s">
        <v>171</v>
      </c>
      <c r="J30" s="503">
        <v>5</v>
      </c>
      <c r="K30" s="503" t="s">
        <v>387</v>
      </c>
      <c r="L30" s="504">
        <v>21.44</v>
      </c>
      <c r="M30" s="504">
        <v>22.1</v>
      </c>
      <c r="N30" s="505">
        <v>0.10299999999999999</v>
      </c>
      <c r="O30" s="505">
        <v>0.1</v>
      </c>
      <c r="P30" s="505">
        <v>0.112</v>
      </c>
      <c r="Q30" s="78">
        <v>0.44</v>
      </c>
      <c r="R30" s="78">
        <v>0.31740000000000002</v>
      </c>
      <c r="S30" s="69">
        <v>0</v>
      </c>
      <c r="T30" s="69">
        <v>0</v>
      </c>
      <c r="U30" s="505">
        <v>0.85</v>
      </c>
      <c r="V30" s="76">
        <v>0</v>
      </c>
      <c r="W30" s="76">
        <v>0</v>
      </c>
      <c r="X30" s="76" t="s">
        <v>147</v>
      </c>
    </row>
    <row r="31" spans="1:24" x14ac:dyDescent="0.25">
      <c r="A31" s="75" t="str">
        <f t="shared" si="0"/>
        <v>Adquisicion PROF Wealth &amp; Premier Executive Mercado_Abierto Pago_Fijo_Puntual 5</v>
      </c>
      <c r="B31" s="75" t="str">
        <f t="shared" si="1"/>
        <v>Adquisicion PROF Wealth &amp; Premier Executive Mercado_Abierto Pago_Fijo_Puntual 5 0.106</v>
      </c>
      <c r="C31" s="75" t="s">
        <v>114</v>
      </c>
      <c r="D31" s="75" t="s">
        <v>169</v>
      </c>
      <c r="E31" s="75" t="s">
        <v>175</v>
      </c>
      <c r="F31" s="75"/>
      <c r="G31" s="75" t="s">
        <v>396</v>
      </c>
      <c r="H31" s="75"/>
      <c r="I31" s="75" t="s">
        <v>171</v>
      </c>
      <c r="J31" s="503">
        <v>5</v>
      </c>
      <c r="K31" s="503">
        <v>3</v>
      </c>
      <c r="L31" s="504">
        <v>21.59</v>
      </c>
      <c r="M31" s="504">
        <v>22.25</v>
      </c>
      <c r="N31" s="505">
        <v>0.106</v>
      </c>
      <c r="O31" s="505">
        <v>0.10299999999999999</v>
      </c>
      <c r="P31" s="505">
        <v>0.11799999999999999</v>
      </c>
      <c r="Q31" s="78">
        <v>0.44</v>
      </c>
      <c r="R31" s="78">
        <v>0.31740000000000002</v>
      </c>
      <c r="S31" s="69">
        <v>0</v>
      </c>
      <c r="T31" s="69">
        <v>0</v>
      </c>
      <c r="U31" s="505">
        <v>0.7</v>
      </c>
      <c r="V31" s="76">
        <v>0</v>
      </c>
      <c r="W31" s="76">
        <v>0</v>
      </c>
      <c r="X31" s="76"/>
    </row>
    <row r="32" spans="1:24" x14ac:dyDescent="0.25">
      <c r="A32" s="75" t="str">
        <f t="shared" si="0"/>
        <v>Adquisicion PF Wealth &amp; Premier Executive Apoyo Infonavit Pago_Fijo_Puntual Si 25</v>
      </c>
      <c r="B32" s="75" t="str">
        <f t="shared" si="1"/>
        <v>Adquisicion PF Wealth &amp; Premier Executive Apoyo Infonavit Pago_Fijo_Puntual Si 25 0.103</v>
      </c>
      <c r="C32" s="75" t="s">
        <v>114</v>
      </c>
      <c r="D32" s="75" t="s">
        <v>132</v>
      </c>
      <c r="E32" s="75" t="s">
        <v>175</v>
      </c>
      <c r="F32" s="75"/>
      <c r="G32" s="75" t="s">
        <v>112</v>
      </c>
      <c r="H32" s="75"/>
      <c r="I32" s="75" t="s">
        <v>171</v>
      </c>
      <c r="J32" s="503">
        <v>25</v>
      </c>
      <c r="K32" s="503" t="s">
        <v>387</v>
      </c>
      <c r="L32" s="504">
        <v>9.65</v>
      </c>
      <c r="M32" s="504">
        <v>10.31</v>
      </c>
      <c r="N32" s="505">
        <v>0.10299999999999999</v>
      </c>
      <c r="O32" s="505">
        <v>0.1</v>
      </c>
      <c r="P32" s="505">
        <v>0.112</v>
      </c>
      <c r="Q32" s="78">
        <v>0.44</v>
      </c>
      <c r="R32" s="78">
        <v>0.31740000000000002</v>
      </c>
      <c r="S32" s="69">
        <v>0</v>
      </c>
      <c r="T32" s="69">
        <v>0</v>
      </c>
      <c r="U32" s="505">
        <v>0.95</v>
      </c>
      <c r="V32" s="76">
        <v>0</v>
      </c>
      <c r="W32" s="76">
        <v>0</v>
      </c>
      <c r="X32" s="76" t="s">
        <v>147</v>
      </c>
    </row>
    <row r="33" spans="1:24" x14ac:dyDescent="0.25">
      <c r="A33" s="75" t="str">
        <f t="shared" si="0"/>
        <v>Adquisicion PF Wealth &amp; Premier Executive Apoyo Infonavit Pago_Fijo_Puntual 25</v>
      </c>
      <c r="B33" s="75" t="str">
        <f t="shared" si="1"/>
        <v>Adquisicion PF Wealth &amp; Premier Executive Apoyo Infonavit Pago_Fijo_Puntual 25 0.106</v>
      </c>
      <c r="C33" s="75" t="s">
        <v>114</v>
      </c>
      <c r="D33" s="75" t="s">
        <v>132</v>
      </c>
      <c r="E33" s="75" t="s">
        <v>175</v>
      </c>
      <c r="F33" s="75"/>
      <c r="G33" s="75" t="s">
        <v>112</v>
      </c>
      <c r="H33" s="75"/>
      <c r="I33" s="75" t="s">
        <v>171</v>
      </c>
      <c r="J33" s="503">
        <v>25</v>
      </c>
      <c r="K33" s="503">
        <v>3</v>
      </c>
      <c r="L33" s="504">
        <v>9.93</v>
      </c>
      <c r="M33" s="504">
        <v>10.59</v>
      </c>
      <c r="N33" s="505">
        <v>0.106</v>
      </c>
      <c r="O33" s="505">
        <v>0.10299999999999999</v>
      </c>
      <c r="P33" s="505">
        <v>0.11799999999999999</v>
      </c>
      <c r="Q33" s="78">
        <v>0.44</v>
      </c>
      <c r="R33" s="78">
        <v>0.31740000000000002</v>
      </c>
      <c r="S33" s="69">
        <v>0</v>
      </c>
      <c r="T33" s="69">
        <v>0</v>
      </c>
      <c r="U33" s="505">
        <v>0.95</v>
      </c>
      <c r="V33" s="76">
        <v>0</v>
      </c>
      <c r="W33" s="76">
        <v>0</v>
      </c>
      <c r="X33" s="76"/>
    </row>
    <row r="34" spans="1:24" x14ac:dyDescent="0.25">
      <c r="A34" s="75" t="str">
        <f t="shared" si="0"/>
        <v>Adquisicion PF Wealth &amp; Premier Executive Apoyo Infonavit Pago_Fijo_Puntual Si 20</v>
      </c>
      <c r="B34" s="75" t="str">
        <f t="shared" si="1"/>
        <v>Adquisicion PF Wealth &amp; Premier Executive Apoyo Infonavit Pago_Fijo_Puntual Si 20 0.103</v>
      </c>
      <c r="C34" s="75" t="s">
        <v>114</v>
      </c>
      <c r="D34" s="75" t="s">
        <v>132</v>
      </c>
      <c r="E34" s="75" t="s">
        <v>175</v>
      </c>
      <c r="F34" s="75"/>
      <c r="G34" s="75" t="s">
        <v>112</v>
      </c>
      <c r="H34" s="75"/>
      <c r="I34" s="75" t="s">
        <v>171</v>
      </c>
      <c r="J34" s="503">
        <v>20</v>
      </c>
      <c r="K34" s="503" t="s">
        <v>387</v>
      </c>
      <c r="L34" s="504">
        <v>10.16</v>
      </c>
      <c r="M34" s="504">
        <v>10.82</v>
      </c>
      <c r="N34" s="505">
        <v>0.10299999999999999</v>
      </c>
      <c r="O34" s="505">
        <v>0.1</v>
      </c>
      <c r="P34" s="505">
        <v>0.112</v>
      </c>
      <c r="Q34" s="78">
        <v>0.44</v>
      </c>
      <c r="R34" s="78">
        <v>0.31740000000000002</v>
      </c>
      <c r="S34" s="69">
        <v>0</v>
      </c>
      <c r="T34" s="69">
        <v>0</v>
      </c>
      <c r="U34" s="505">
        <v>0.95</v>
      </c>
      <c r="V34" s="76">
        <v>0</v>
      </c>
      <c r="W34" s="76">
        <v>0</v>
      </c>
      <c r="X34" s="76" t="s">
        <v>147</v>
      </c>
    </row>
    <row r="35" spans="1:24" x14ac:dyDescent="0.25">
      <c r="A35" s="75" t="str">
        <f t="shared" si="0"/>
        <v>Adquisicion PF Wealth &amp; Premier Executive Apoyo Infonavit Pago_Fijo_Puntual 20</v>
      </c>
      <c r="B35" s="75" t="str">
        <f t="shared" si="1"/>
        <v>Adquisicion PF Wealth &amp; Premier Executive Apoyo Infonavit Pago_Fijo_Puntual 20 0.106</v>
      </c>
      <c r="C35" s="75" t="s">
        <v>114</v>
      </c>
      <c r="D35" s="75" t="s">
        <v>132</v>
      </c>
      <c r="E35" s="75" t="s">
        <v>175</v>
      </c>
      <c r="F35" s="75"/>
      <c r="G35" s="75" t="s">
        <v>112</v>
      </c>
      <c r="H35" s="75"/>
      <c r="I35" s="75" t="s">
        <v>171</v>
      </c>
      <c r="J35" s="503">
        <v>20</v>
      </c>
      <c r="K35" s="503">
        <v>3</v>
      </c>
      <c r="L35" s="504">
        <v>10.41</v>
      </c>
      <c r="M35" s="504">
        <v>11.07</v>
      </c>
      <c r="N35" s="505">
        <v>0.106</v>
      </c>
      <c r="O35" s="505">
        <v>0.10299999999999999</v>
      </c>
      <c r="P35" s="505">
        <v>0.11799999999999999</v>
      </c>
      <c r="Q35" s="78">
        <v>0.44</v>
      </c>
      <c r="R35" s="78">
        <v>0.31740000000000002</v>
      </c>
      <c r="S35" s="69">
        <v>0</v>
      </c>
      <c r="T35" s="69">
        <v>0</v>
      </c>
      <c r="U35" s="505">
        <v>0.95</v>
      </c>
      <c r="V35" s="76">
        <v>0</v>
      </c>
      <c r="W35" s="76">
        <v>0</v>
      </c>
      <c r="X35" s="76"/>
    </row>
    <row r="36" spans="1:24" x14ac:dyDescent="0.25">
      <c r="A36" s="75" t="str">
        <f t="shared" si="0"/>
        <v>Adquisicion PF Wealth &amp; Premier Executive Apoyo Infonavit Pago_Fijo_Puntual Si 15</v>
      </c>
      <c r="B36" s="75" t="str">
        <f t="shared" si="1"/>
        <v>Adquisicion PF Wealth &amp; Premier Executive Apoyo Infonavit Pago_Fijo_Puntual Si 15 0.103</v>
      </c>
      <c r="C36" s="75" t="s">
        <v>114</v>
      </c>
      <c r="D36" s="75" t="s">
        <v>132</v>
      </c>
      <c r="E36" s="75" t="s">
        <v>175</v>
      </c>
      <c r="F36" s="75"/>
      <c r="G36" s="75" t="s">
        <v>112</v>
      </c>
      <c r="H36" s="75"/>
      <c r="I36" s="75" t="s">
        <v>171</v>
      </c>
      <c r="J36" s="503">
        <v>15</v>
      </c>
      <c r="K36" s="503" t="s">
        <v>387</v>
      </c>
      <c r="L36" s="504">
        <v>11.18</v>
      </c>
      <c r="M36" s="504">
        <v>11.84</v>
      </c>
      <c r="N36" s="505">
        <v>0.10299999999999999</v>
      </c>
      <c r="O36" s="505">
        <v>0.1</v>
      </c>
      <c r="P36" s="505">
        <v>0.112</v>
      </c>
      <c r="Q36" s="78">
        <v>0.44</v>
      </c>
      <c r="R36" s="78">
        <v>0.31740000000000002</v>
      </c>
      <c r="S36" s="69">
        <v>0</v>
      </c>
      <c r="T36" s="69">
        <v>0</v>
      </c>
      <c r="U36" s="505">
        <v>0.95</v>
      </c>
      <c r="V36" s="76">
        <v>0</v>
      </c>
      <c r="W36" s="76">
        <v>0</v>
      </c>
      <c r="X36" s="76" t="s">
        <v>147</v>
      </c>
    </row>
    <row r="37" spans="1:24" x14ac:dyDescent="0.25">
      <c r="A37" s="75" t="str">
        <f t="shared" si="0"/>
        <v>Adquisicion PF Wealth &amp; Premier Executive Apoyo Infonavit Pago_Fijo_Puntual 15</v>
      </c>
      <c r="B37" s="75" t="str">
        <f t="shared" si="1"/>
        <v>Adquisicion PF Wealth &amp; Premier Executive Apoyo Infonavit Pago_Fijo_Puntual 15 0.106</v>
      </c>
      <c r="C37" s="75" t="s">
        <v>114</v>
      </c>
      <c r="D37" s="75" t="s">
        <v>132</v>
      </c>
      <c r="E37" s="75" t="s">
        <v>175</v>
      </c>
      <c r="F37" s="75"/>
      <c r="G37" s="75" t="s">
        <v>112</v>
      </c>
      <c r="H37" s="75"/>
      <c r="I37" s="75" t="s">
        <v>171</v>
      </c>
      <c r="J37" s="503">
        <v>15</v>
      </c>
      <c r="K37" s="503">
        <v>3</v>
      </c>
      <c r="L37" s="504">
        <v>11.39</v>
      </c>
      <c r="M37" s="504">
        <v>12.05</v>
      </c>
      <c r="N37" s="505">
        <v>0.106</v>
      </c>
      <c r="O37" s="505">
        <v>0.10299999999999999</v>
      </c>
      <c r="P37" s="505">
        <v>0.11799999999999999</v>
      </c>
      <c r="Q37" s="78">
        <v>0.44</v>
      </c>
      <c r="R37" s="78">
        <v>0.31740000000000002</v>
      </c>
      <c r="S37" s="69">
        <v>0</v>
      </c>
      <c r="T37" s="69">
        <v>0</v>
      </c>
      <c r="U37" s="505">
        <v>0.95</v>
      </c>
      <c r="V37" s="76">
        <v>0</v>
      </c>
      <c r="W37" s="76">
        <v>0</v>
      </c>
      <c r="X37" s="76"/>
    </row>
    <row r="38" spans="1:24" x14ac:dyDescent="0.25">
      <c r="A38" s="75" t="str">
        <f t="shared" si="0"/>
        <v>Adquisicion PF Wealth &amp; Premier Executive Apoyo Infonavit Pago_Fijo_Puntual Si 10</v>
      </c>
      <c r="B38" s="75" t="str">
        <f t="shared" si="1"/>
        <v>Adquisicion PF Wealth &amp; Premier Executive Apoyo Infonavit Pago_Fijo_Puntual Si 10 0.103</v>
      </c>
      <c r="C38" s="75" t="s">
        <v>114</v>
      </c>
      <c r="D38" s="75" t="s">
        <v>132</v>
      </c>
      <c r="E38" s="75" t="s">
        <v>175</v>
      </c>
      <c r="F38" s="75"/>
      <c r="G38" s="75" t="s">
        <v>112</v>
      </c>
      <c r="H38" s="75"/>
      <c r="I38" s="75" t="s">
        <v>171</v>
      </c>
      <c r="J38" s="503">
        <v>10</v>
      </c>
      <c r="K38" s="503" t="s">
        <v>387</v>
      </c>
      <c r="L38" s="504">
        <v>13.54</v>
      </c>
      <c r="M38" s="504">
        <v>14.2</v>
      </c>
      <c r="N38" s="505">
        <v>0.10299999999999999</v>
      </c>
      <c r="O38" s="505">
        <v>0.1</v>
      </c>
      <c r="P38" s="505">
        <v>0.112</v>
      </c>
      <c r="Q38" s="78">
        <v>0.44</v>
      </c>
      <c r="R38" s="78">
        <v>0.31740000000000002</v>
      </c>
      <c r="S38" s="69">
        <v>0</v>
      </c>
      <c r="T38" s="69">
        <v>0</v>
      </c>
      <c r="U38" s="505">
        <v>0.95</v>
      </c>
      <c r="V38" s="76">
        <v>0</v>
      </c>
      <c r="W38" s="76">
        <v>0</v>
      </c>
      <c r="X38" s="76" t="s">
        <v>147</v>
      </c>
    </row>
    <row r="39" spans="1:24" x14ac:dyDescent="0.25">
      <c r="A39" s="75" t="str">
        <f t="shared" si="0"/>
        <v>Adquisicion PF Wealth &amp; Premier Executive Apoyo Infonavit Pago_Fijo_Puntual 10</v>
      </c>
      <c r="B39" s="75" t="str">
        <f t="shared" si="1"/>
        <v>Adquisicion PF Wealth &amp; Premier Executive Apoyo Infonavit Pago_Fijo_Puntual 10 0.106</v>
      </c>
      <c r="C39" s="75" t="s">
        <v>114</v>
      </c>
      <c r="D39" s="75" t="s">
        <v>132</v>
      </c>
      <c r="E39" s="75" t="s">
        <v>175</v>
      </c>
      <c r="F39" s="75"/>
      <c r="G39" s="75" t="s">
        <v>112</v>
      </c>
      <c r="H39" s="75"/>
      <c r="I39" s="75" t="s">
        <v>171</v>
      </c>
      <c r="J39" s="503">
        <v>10</v>
      </c>
      <c r="K39" s="503">
        <v>3</v>
      </c>
      <c r="L39" s="504">
        <v>13.71</v>
      </c>
      <c r="M39" s="504">
        <v>14.37</v>
      </c>
      <c r="N39" s="505">
        <v>0.106</v>
      </c>
      <c r="O39" s="505">
        <v>0.10299999999999999</v>
      </c>
      <c r="P39" s="505">
        <v>0.11799999999999999</v>
      </c>
      <c r="Q39" s="78">
        <v>0.44</v>
      </c>
      <c r="R39" s="78">
        <v>0.31740000000000002</v>
      </c>
      <c r="S39" s="69">
        <v>0</v>
      </c>
      <c r="T39" s="69">
        <v>0</v>
      </c>
      <c r="U39" s="505">
        <v>0.95</v>
      </c>
      <c r="V39" s="76">
        <v>0</v>
      </c>
      <c r="W39" s="76">
        <v>0</v>
      </c>
      <c r="X39" s="76"/>
    </row>
    <row r="40" spans="1:24" x14ac:dyDescent="0.25">
      <c r="A40" s="75" t="str">
        <f t="shared" si="0"/>
        <v>Adquisicion PF Wealth &amp; Premier Executive Apoyo Infonavit Pago_Fijo_Puntual Si 5</v>
      </c>
      <c r="B40" s="75" t="str">
        <f t="shared" si="1"/>
        <v>Adquisicion PF Wealth &amp; Premier Executive Apoyo Infonavit Pago_Fijo_Puntual Si 5 0.103</v>
      </c>
      <c r="C40" s="75" t="s">
        <v>114</v>
      </c>
      <c r="D40" s="75" t="s">
        <v>132</v>
      </c>
      <c r="E40" s="75" t="s">
        <v>175</v>
      </c>
      <c r="F40" s="75"/>
      <c r="G40" s="75" t="s">
        <v>112</v>
      </c>
      <c r="H40" s="75"/>
      <c r="I40" s="75" t="s">
        <v>171</v>
      </c>
      <c r="J40" s="503">
        <v>5</v>
      </c>
      <c r="K40" s="503" t="s">
        <v>387</v>
      </c>
      <c r="L40" s="504">
        <v>21.44</v>
      </c>
      <c r="M40" s="504">
        <v>22.1</v>
      </c>
      <c r="N40" s="505">
        <v>0.10299999999999999</v>
      </c>
      <c r="O40" s="505">
        <v>0.1</v>
      </c>
      <c r="P40" s="505">
        <v>0.112</v>
      </c>
      <c r="Q40" s="78">
        <v>0.44</v>
      </c>
      <c r="R40" s="78">
        <v>0.31740000000000002</v>
      </c>
      <c r="S40" s="69">
        <v>0</v>
      </c>
      <c r="T40" s="69">
        <v>0</v>
      </c>
      <c r="U40" s="505">
        <v>0.95</v>
      </c>
      <c r="V40" s="76">
        <v>0</v>
      </c>
      <c r="W40" s="76">
        <v>0</v>
      </c>
      <c r="X40" s="76" t="s">
        <v>147</v>
      </c>
    </row>
    <row r="41" spans="1:24" x14ac:dyDescent="0.25">
      <c r="A41" s="75" t="str">
        <f t="shared" si="0"/>
        <v>Adquisicion PF Wealth &amp; Premier Executive Apoyo Infonavit Pago_Fijo_Puntual 5</v>
      </c>
      <c r="B41" s="75" t="str">
        <f t="shared" si="1"/>
        <v>Adquisicion PF Wealth &amp; Premier Executive Apoyo Infonavit Pago_Fijo_Puntual 5 0.106</v>
      </c>
      <c r="C41" s="75" t="s">
        <v>114</v>
      </c>
      <c r="D41" s="75" t="s">
        <v>132</v>
      </c>
      <c r="E41" s="75" t="s">
        <v>175</v>
      </c>
      <c r="F41" s="75"/>
      <c r="G41" s="75" t="s">
        <v>112</v>
      </c>
      <c r="H41" s="75"/>
      <c r="I41" s="75" t="s">
        <v>171</v>
      </c>
      <c r="J41" s="503">
        <v>5</v>
      </c>
      <c r="K41" s="503">
        <v>3</v>
      </c>
      <c r="L41" s="504">
        <v>21.59</v>
      </c>
      <c r="M41" s="504">
        <v>22.25</v>
      </c>
      <c r="N41" s="505">
        <v>0.106</v>
      </c>
      <c r="O41" s="505">
        <v>0.10299999999999999</v>
      </c>
      <c r="P41" s="505">
        <v>0.11799999999999999</v>
      </c>
      <c r="Q41" s="78">
        <v>0.44</v>
      </c>
      <c r="R41" s="78">
        <v>0.31740000000000002</v>
      </c>
      <c r="S41" s="69">
        <v>0</v>
      </c>
      <c r="T41" s="69">
        <v>0</v>
      </c>
      <c r="U41" s="505">
        <v>0.95</v>
      </c>
      <c r="V41" s="76">
        <v>0</v>
      </c>
      <c r="W41" s="76">
        <v>0</v>
      </c>
      <c r="X41" s="76"/>
    </row>
    <row r="42" spans="1:24" x14ac:dyDescent="0.25">
      <c r="A42" s="75" t="str">
        <f t="shared" si="0"/>
        <v>Adquisicion PF Wealth &amp; Premier Executive Cofinavit Pago_Fijo_Puntual Si 25</v>
      </c>
      <c r="B42" s="75" t="str">
        <f t="shared" si="1"/>
        <v>Adquisicion PF Wealth &amp; Premier Executive Cofinavit Pago_Fijo_Puntual Si 25 0.103</v>
      </c>
      <c r="C42" s="75" t="s">
        <v>114</v>
      </c>
      <c r="D42" s="75" t="s">
        <v>132</v>
      </c>
      <c r="E42" s="75" t="s">
        <v>175</v>
      </c>
      <c r="F42" s="75"/>
      <c r="G42" s="75" t="s">
        <v>113</v>
      </c>
      <c r="H42" s="75"/>
      <c r="I42" s="75" t="s">
        <v>171</v>
      </c>
      <c r="J42" s="503">
        <v>25</v>
      </c>
      <c r="K42" s="503" t="s">
        <v>387</v>
      </c>
      <c r="L42" s="504">
        <v>9.65</v>
      </c>
      <c r="M42" s="504">
        <v>10.31</v>
      </c>
      <c r="N42" s="505">
        <v>0.10299999999999999</v>
      </c>
      <c r="O42" s="505">
        <v>0.1</v>
      </c>
      <c r="P42" s="505">
        <v>0.112</v>
      </c>
      <c r="Q42" s="78">
        <v>0.44</v>
      </c>
      <c r="R42" s="78">
        <v>0.31740000000000002</v>
      </c>
      <c r="S42" s="69">
        <v>0</v>
      </c>
      <c r="T42" s="69">
        <v>0</v>
      </c>
      <c r="U42" s="505">
        <v>0.95</v>
      </c>
      <c r="V42" s="76">
        <v>0</v>
      </c>
      <c r="W42" s="76">
        <v>0</v>
      </c>
      <c r="X42" s="76" t="s">
        <v>147</v>
      </c>
    </row>
    <row r="43" spans="1:24" x14ac:dyDescent="0.25">
      <c r="A43" s="75" t="str">
        <f t="shared" si="0"/>
        <v>Adquisicion PF Wealth &amp; Premier Executive Cofinavit Pago_Fijo_Puntual 25</v>
      </c>
      <c r="B43" s="75" t="str">
        <f t="shared" si="1"/>
        <v>Adquisicion PF Wealth &amp; Premier Executive Cofinavit Pago_Fijo_Puntual 25 0.106</v>
      </c>
      <c r="C43" s="75" t="s">
        <v>114</v>
      </c>
      <c r="D43" s="75" t="s">
        <v>132</v>
      </c>
      <c r="E43" s="75" t="s">
        <v>175</v>
      </c>
      <c r="F43" s="75"/>
      <c r="G43" s="75" t="s">
        <v>113</v>
      </c>
      <c r="H43" s="75"/>
      <c r="I43" s="75" t="s">
        <v>171</v>
      </c>
      <c r="J43" s="503">
        <v>25</v>
      </c>
      <c r="K43" s="503">
        <v>3</v>
      </c>
      <c r="L43" s="504">
        <v>9.93</v>
      </c>
      <c r="M43" s="504">
        <v>10.59</v>
      </c>
      <c r="N43" s="505">
        <v>0.106</v>
      </c>
      <c r="O43" s="505">
        <v>0.10299999999999999</v>
      </c>
      <c r="P43" s="505">
        <v>0.11799999999999999</v>
      </c>
      <c r="Q43" s="78">
        <v>0.44</v>
      </c>
      <c r="R43" s="78">
        <v>0.31740000000000002</v>
      </c>
      <c r="S43" s="69">
        <v>0</v>
      </c>
      <c r="T43" s="69">
        <v>0</v>
      </c>
      <c r="U43" s="505">
        <v>0.95</v>
      </c>
      <c r="V43" s="76">
        <v>0</v>
      </c>
      <c r="W43" s="76">
        <v>0</v>
      </c>
      <c r="X43" s="76"/>
    </row>
    <row r="44" spans="1:24" x14ac:dyDescent="0.25">
      <c r="A44" s="75" t="str">
        <f t="shared" si="0"/>
        <v>Adquisicion PF Wealth &amp; Premier Executive Cofinavit Pago_Fijo_Puntual Si 20</v>
      </c>
      <c r="B44" s="75" t="str">
        <f t="shared" si="1"/>
        <v>Adquisicion PF Wealth &amp; Premier Executive Cofinavit Pago_Fijo_Puntual Si 20 0.103</v>
      </c>
      <c r="C44" s="75" t="s">
        <v>114</v>
      </c>
      <c r="D44" s="75" t="s">
        <v>132</v>
      </c>
      <c r="E44" s="75" t="s">
        <v>175</v>
      </c>
      <c r="F44" s="75"/>
      <c r="G44" s="75" t="s">
        <v>113</v>
      </c>
      <c r="H44" s="75"/>
      <c r="I44" s="75" t="s">
        <v>171</v>
      </c>
      <c r="J44" s="503">
        <v>20</v>
      </c>
      <c r="K44" s="503" t="s">
        <v>387</v>
      </c>
      <c r="L44" s="504">
        <v>10.16</v>
      </c>
      <c r="M44" s="504">
        <v>10.82</v>
      </c>
      <c r="N44" s="505">
        <v>0.10299999999999999</v>
      </c>
      <c r="O44" s="505">
        <v>0.1</v>
      </c>
      <c r="P44" s="505">
        <v>0.112</v>
      </c>
      <c r="Q44" s="78">
        <v>0.44</v>
      </c>
      <c r="R44" s="78">
        <v>0.31740000000000002</v>
      </c>
      <c r="S44" s="69">
        <v>0</v>
      </c>
      <c r="T44" s="69">
        <v>0</v>
      </c>
      <c r="U44" s="505">
        <v>0.95</v>
      </c>
      <c r="V44" s="76">
        <v>0</v>
      </c>
      <c r="W44" s="76">
        <v>0</v>
      </c>
      <c r="X44" s="76" t="s">
        <v>147</v>
      </c>
    </row>
    <row r="45" spans="1:24" x14ac:dyDescent="0.25">
      <c r="A45" s="75" t="str">
        <f t="shared" si="0"/>
        <v>Adquisicion PF Wealth &amp; Premier Executive Cofinavit Pago_Fijo_Puntual 20</v>
      </c>
      <c r="B45" s="75" t="str">
        <f t="shared" si="1"/>
        <v>Adquisicion PF Wealth &amp; Premier Executive Cofinavit Pago_Fijo_Puntual 20 0.106</v>
      </c>
      <c r="C45" s="75" t="s">
        <v>114</v>
      </c>
      <c r="D45" s="75" t="s">
        <v>132</v>
      </c>
      <c r="E45" s="75" t="s">
        <v>175</v>
      </c>
      <c r="F45" s="75"/>
      <c r="G45" s="75" t="s">
        <v>113</v>
      </c>
      <c r="H45" s="75"/>
      <c r="I45" s="75" t="s">
        <v>171</v>
      </c>
      <c r="J45" s="503">
        <v>20</v>
      </c>
      <c r="K45" s="503">
        <v>3</v>
      </c>
      <c r="L45" s="504">
        <v>10.41</v>
      </c>
      <c r="M45" s="504">
        <v>11.07</v>
      </c>
      <c r="N45" s="505">
        <v>0.106</v>
      </c>
      <c r="O45" s="505">
        <v>0.10299999999999999</v>
      </c>
      <c r="P45" s="505">
        <v>0.11799999999999999</v>
      </c>
      <c r="Q45" s="78">
        <v>0.44</v>
      </c>
      <c r="R45" s="78">
        <v>0.31740000000000002</v>
      </c>
      <c r="S45" s="69">
        <v>0</v>
      </c>
      <c r="T45" s="69">
        <v>0</v>
      </c>
      <c r="U45" s="505">
        <v>0.95</v>
      </c>
      <c r="V45" s="76">
        <v>0</v>
      </c>
      <c r="W45" s="76">
        <v>0</v>
      </c>
      <c r="X45" s="76"/>
    </row>
    <row r="46" spans="1:24" x14ac:dyDescent="0.25">
      <c r="A46" s="75" t="str">
        <f t="shared" si="0"/>
        <v>Adquisicion PF Wealth &amp; Premier Executive Cofinavit Pago_Fijo_Puntual Si 15</v>
      </c>
      <c r="B46" s="75" t="str">
        <f t="shared" si="1"/>
        <v>Adquisicion PF Wealth &amp; Premier Executive Cofinavit Pago_Fijo_Puntual Si 15 0.103</v>
      </c>
      <c r="C46" s="75" t="s">
        <v>114</v>
      </c>
      <c r="D46" s="75" t="s">
        <v>132</v>
      </c>
      <c r="E46" s="75" t="s">
        <v>175</v>
      </c>
      <c r="F46" s="75"/>
      <c r="G46" s="75" t="s">
        <v>113</v>
      </c>
      <c r="H46" s="75"/>
      <c r="I46" s="75" t="s">
        <v>171</v>
      </c>
      <c r="J46" s="503">
        <v>15</v>
      </c>
      <c r="K46" s="503" t="s">
        <v>387</v>
      </c>
      <c r="L46" s="504">
        <v>11.18</v>
      </c>
      <c r="M46" s="504">
        <v>11.84</v>
      </c>
      <c r="N46" s="505">
        <v>0.10299999999999999</v>
      </c>
      <c r="O46" s="505">
        <v>0.1</v>
      </c>
      <c r="P46" s="505">
        <v>0.112</v>
      </c>
      <c r="Q46" s="78">
        <v>0.44</v>
      </c>
      <c r="R46" s="78">
        <v>0.31740000000000002</v>
      </c>
      <c r="S46" s="69">
        <v>0</v>
      </c>
      <c r="T46" s="69">
        <v>0</v>
      </c>
      <c r="U46" s="505">
        <v>0.95</v>
      </c>
      <c r="V46" s="76">
        <v>0</v>
      </c>
      <c r="W46" s="76">
        <v>0</v>
      </c>
      <c r="X46" s="76" t="s">
        <v>147</v>
      </c>
    </row>
    <row r="47" spans="1:24" x14ac:dyDescent="0.25">
      <c r="A47" s="75" t="str">
        <f t="shared" si="0"/>
        <v>Adquisicion PF Wealth &amp; Premier Executive Cofinavit Pago_Fijo_Puntual 15</v>
      </c>
      <c r="B47" s="75" t="str">
        <f t="shared" si="1"/>
        <v>Adquisicion PF Wealth &amp; Premier Executive Cofinavit Pago_Fijo_Puntual 15 0.106</v>
      </c>
      <c r="C47" s="75" t="s">
        <v>114</v>
      </c>
      <c r="D47" s="75" t="s">
        <v>132</v>
      </c>
      <c r="E47" s="75" t="s">
        <v>175</v>
      </c>
      <c r="F47" s="75"/>
      <c r="G47" s="75" t="s">
        <v>113</v>
      </c>
      <c r="H47" s="75"/>
      <c r="I47" s="75" t="s">
        <v>171</v>
      </c>
      <c r="J47" s="503">
        <v>15</v>
      </c>
      <c r="K47" s="503">
        <v>3</v>
      </c>
      <c r="L47" s="504">
        <v>11.39</v>
      </c>
      <c r="M47" s="504">
        <v>12.05</v>
      </c>
      <c r="N47" s="505">
        <v>0.106</v>
      </c>
      <c r="O47" s="505">
        <v>0.10299999999999999</v>
      </c>
      <c r="P47" s="505">
        <v>0.11799999999999999</v>
      </c>
      <c r="Q47" s="78">
        <v>0.44</v>
      </c>
      <c r="R47" s="78">
        <v>0.31740000000000002</v>
      </c>
      <c r="S47" s="69">
        <v>0</v>
      </c>
      <c r="T47" s="69">
        <v>0</v>
      </c>
      <c r="U47" s="505">
        <v>0.95</v>
      </c>
      <c r="V47" s="76">
        <v>0</v>
      </c>
      <c r="W47" s="76">
        <v>0</v>
      </c>
      <c r="X47" s="76"/>
    </row>
    <row r="48" spans="1:24" x14ac:dyDescent="0.25">
      <c r="A48" s="75" t="str">
        <f t="shared" si="0"/>
        <v>Adquisicion PF Wealth &amp; Premier Executive Cofinavit Pago_Fijo_Puntual Si 10</v>
      </c>
      <c r="B48" s="75" t="str">
        <f t="shared" si="1"/>
        <v>Adquisicion PF Wealth &amp; Premier Executive Cofinavit Pago_Fijo_Puntual Si 10 0.103</v>
      </c>
      <c r="C48" s="75" t="s">
        <v>114</v>
      </c>
      <c r="D48" s="75" t="s">
        <v>132</v>
      </c>
      <c r="E48" s="75" t="s">
        <v>175</v>
      </c>
      <c r="F48" s="75"/>
      <c r="G48" s="75" t="s">
        <v>113</v>
      </c>
      <c r="H48" s="75"/>
      <c r="I48" s="75" t="s">
        <v>171</v>
      </c>
      <c r="J48" s="503">
        <v>10</v>
      </c>
      <c r="K48" s="503" t="s">
        <v>387</v>
      </c>
      <c r="L48" s="504">
        <v>13.54</v>
      </c>
      <c r="M48" s="504">
        <v>14.2</v>
      </c>
      <c r="N48" s="505">
        <v>0.10299999999999999</v>
      </c>
      <c r="O48" s="505">
        <v>0.1</v>
      </c>
      <c r="P48" s="505">
        <v>0.112</v>
      </c>
      <c r="Q48" s="78">
        <v>0.44</v>
      </c>
      <c r="R48" s="78">
        <v>0.31740000000000002</v>
      </c>
      <c r="S48" s="69">
        <v>0</v>
      </c>
      <c r="T48" s="69">
        <v>0</v>
      </c>
      <c r="U48" s="505">
        <v>0.95</v>
      </c>
      <c r="V48" s="76">
        <v>0</v>
      </c>
      <c r="W48" s="76">
        <v>0</v>
      </c>
      <c r="X48" s="76" t="s">
        <v>147</v>
      </c>
    </row>
    <row r="49" spans="1:24" x14ac:dyDescent="0.25">
      <c r="A49" s="75" t="str">
        <f t="shared" si="0"/>
        <v>Adquisicion PF Wealth &amp; Premier Executive Cofinavit Pago_Fijo_Puntual 10</v>
      </c>
      <c r="B49" s="75" t="str">
        <f t="shared" si="1"/>
        <v>Adquisicion PF Wealth &amp; Premier Executive Cofinavit Pago_Fijo_Puntual 10 0.106</v>
      </c>
      <c r="C49" s="75" t="s">
        <v>114</v>
      </c>
      <c r="D49" s="75" t="s">
        <v>132</v>
      </c>
      <c r="E49" s="75" t="s">
        <v>175</v>
      </c>
      <c r="F49" s="75"/>
      <c r="G49" s="75" t="s">
        <v>113</v>
      </c>
      <c r="H49" s="75"/>
      <c r="I49" s="75" t="s">
        <v>171</v>
      </c>
      <c r="J49" s="503">
        <v>10</v>
      </c>
      <c r="K49" s="503">
        <v>3</v>
      </c>
      <c r="L49" s="504">
        <v>13.71</v>
      </c>
      <c r="M49" s="504">
        <v>14.37</v>
      </c>
      <c r="N49" s="505">
        <v>0.106</v>
      </c>
      <c r="O49" s="505">
        <v>0.10299999999999999</v>
      </c>
      <c r="P49" s="505">
        <v>0.11799999999999999</v>
      </c>
      <c r="Q49" s="78">
        <v>0.44</v>
      </c>
      <c r="R49" s="78">
        <v>0.31740000000000002</v>
      </c>
      <c r="S49" s="69">
        <v>0</v>
      </c>
      <c r="T49" s="69">
        <v>0</v>
      </c>
      <c r="U49" s="505">
        <v>0.95</v>
      </c>
      <c r="V49" s="76">
        <v>0</v>
      </c>
      <c r="W49" s="76">
        <v>0</v>
      </c>
      <c r="X49" s="76"/>
    </row>
    <row r="50" spans="1:24" x14ac:dyDescent="0.25">
      <c r="A50" s="75" t="str">
        <f t="shared" si="0"/>
        <v>Adquisicion PF Wealth &amp; Premier Executive Cofinavit Pago_Fijo_Puntual Si 5</v>
      </c>
      <c r="B50" s="75" t="str">
        <f t="shared" si="1"/>
        <v>Adquisicion PF Wealth &amp; Premier Executive Cofinavit Pago_Fijo_Puntual Si 5 0.103</v>
      </c>
      <c r="C50" s="75" t="s">
        <v>114</v>
      </c>
      <c r="D50" s="75" t="s">
        <v>132</v>
      </c>
      <c r="E50" s="75" t="s">
        <v>175</v>
      </c>
      <c r="F50" s="75"/>
      <c r="G50" s="75" t="s">
        <v>113</v>
      </c>
      <c r="H50" s="75"/>
      <c r="I50" s="75" t="s">
        <v>171</v>
      </c>
      <c r="J50" s="503">
        <v>5</v>
      </c>
      <c r="K50" s="503" t="s">
        <v>387</v>
      </c>
      <c r="L50" s="504">
        <v>21.44</v>
      </c>
      <c r="M50" s="504">
        <v>22.1</v>
      </c>
      <c r="N50" s="505">
        <v>0.10299999999999999</v>
      </c>
      <c r="O50" s="505">
        <v>0.1</v>
      </c>
      <c r="P50" s="505">
        <v>0.112</v>
      </c>
      <c r="Q50" s="78">
        <v>0.44</v>
      </c>
      <c r="R50" s="78">
        <v>0.31740000000000002</v>
      </c>
      <c r="S50" s="69">
        <v>0</v>
      </c>
      <c r="T50" s="69">
        <v>0</v>
      </c>
      <c r="U50" s="505">
        <v>0.95</v>
      </c>
      <c r="V50" s="76">
        <v>0</v>
      </c>
      <c r="W50" s="76">
        <v>0</v>
      </c>
      <c r="X50" s="76" t="s">
        <v>147</v>
      </c>
    </row>
    <row r="51" spans="1:24" x14ac:dyDescent="0.25">
      <c r="A51" s="75" t="str">
        <f t="shared" si="0"/>
        <v>Adquisicion PF Wealth &amp; Premier Executive Cofinavit Pago_Fijo_Puntual 5</v>
      </c>
      <c r="B51" s="75" t="str">
        <f t="shared" si="1"/>
        <v>Adquisicion PF Wealth &amp; Premier Executive Cofinavit Pago_Fijo_Puntual 5 0.106</v>
      </c>
      <c r="C51" s="75" t="s">
        <v>114</v>
      </c>
      <c r="D51" s="75" t="s">
        <v>132</v>
      </c>
      <c r="E51" s="75" t="s">
        <v>175</v>
      </c>
      <c r="F51" s="75"/>
      <c r="G51" s="75" t="s">
        <v>113</v>
      </c>
      <c r="H51" s="75"/>
      <c r="I51" s="75" t="s">
        <v>171</v>
      </c>
      <c r="J51" s="503">
        <v>5</v>
      </c>
      <c r="K51" s="503">
        <v>3</v>
      </c>
      <c r="L51" s="504">
        <v>21.59</v>
      </c>
      <c r="M51" s="504">
        <v>22.25</v>
      </c>
      <c r="N51" s="505">
        <v>0.106</v>
      </c>
      <c r="O51" s="505">
        <v>0.10299999999999999</v>
      </c>
      <c r="P51" s="505">
        <v>0.11799999999999999</v>
      </c>
      <c r="Q51" s="78">
        <v>0.44</v>
      </c>
      <c r="R51" s="78">
        <v>0.31740000000000002</v>
      </c>
      <c r="S51" s="69">
        <v>0</v>
      </c>
      <c r="T51" s="69">
        <v>0</v>
      </c>
      <c r="U51" s="505">
        <v>0.95</v>
      </c>
      <c r="V51" s="76">
        <v>0</v>
      </c>
      <c r="W51" s="76">
        <v>0</v>
      </c>
      <c r="X51" s="76"/>
    </row>
    <row r="52" spans="1:24" x14ac:dyDescent="0.25">
      <c r="A52" s="75" t="str">
        <f t="shared" si="0"/>
        <v>Pago_de_Hipoteca PF Wealth &amp; Premier Executive Pago_Fijo_Puntual Si 20</v>
      </c>
      <c r="B52" s="75" t="str">
        <f t="shared" si="1"/>
        <v>Pago_de_Hipoteca PF Wealth &amp; Premier Executive Pago_Fijo_Puntual Si 20 0.103</v>
      </c>
      <c r="C52" s="75" t="s">
        <v>173</v>
      </c>
      <c r="D52" s="75" t="s">
        <v>132</v>
      </c>
      <c r="E52" s="75" t="s">
        <v>175</v>
      </c>
      <c r="F52" s="75"/>
      <c r="G52" s="75"/>
      <c r="H52" s="75"/>
      <c r="I52" s="75" t="s">
        <v>171</v>
      </c>
      <c r="J52" s="503">
        <v>20</v>
      </c>
      <c r="K52" s="503" t="s">
        <v>387</v>
      </c>
      <c r="L52" s="504">
        <v>10.16</v>
      </c>
      <c r="M52" s="504">
        <v>10.82</v>
      </c>
      <c r="N52" s="505">
        <v>0.10299999999999999</v>
      </c>
      <c r="O52" s="505">
        <v>0.1</v>
      </c>
      <c r="P52" s="505">
        <v>0.112</v>
      </c>
      <c r="Q52" s="78">
        <v>0.44</v>
      </c>
      <c r="R52" s="78">
        <v>0.31740000000000002</v>
      </c>
      <c r="S52" s="69">
        <v>0</v>
      </c>
      <c r="T52" s="69">
        <v>0</v>
      </c>
      <c r="U52" s="505">
        <v>0.85</v>
      </c>
      <c r="V52" s="76">
        <v>0</v>
      </c>
      <c r="W52" s="76">
        <v>0</v>
      </c>
      <c r="X52" s="76" t="s">
        <v>147</v>
      </c>
    </row>
    <row r="53" spans="1:24" x14ac:dyDescent="0.25">
      <c r="A53" s="75" t="str">
        <f t="shared" si="0"/>
        <v>Pago_de_Hipoteca PF Wealth &amp; Premier Executive Pago_Fijo_Puntual 20</v>
      </c>
      <c r="B53" s="75" t="str">
        <f t="shared" si="1"/>
        <v>Pago_de_Hipoteca PF Wealth &amp; Premier Executive Pago_Fijo_Puntual 20 0.106</v>
      </c>
      <c r="C53" s="75" t="s">
        <v>173</v>
      </c>
      <c r="D53" s="75" t="s">
        <v>132</v>
      </c>
      <c r="E53" s="75" t="s">
        <v>175</v>
      </c>
      <c r="F53" s="75"/>
      <c r="G53" s="75"/>
      <c r="H53" s="75"/>
      <c r="I53" s="75" t="s">
        <v>171</v>
      </c>
      <c r="J53" s="503">
        <v>20</v>
      </c>
      <c r="K53" s="503">
        <v>3</v>
      </c>
      <c r="L53" s="504">
        <v>10.4</v>
      </c>
      <c r="M53" s="504">
        <v>11.06</v>
      </c>
      <c r="N53" s="505">
        <v>0.106</v>
      </c>
      <c r="O53" s="505">
        <v>0.10299999999999999</v>
      </c>
      <c r="P53" s="505">
        <v>0.11799999999999999</v>
      </c>
      <c r="Q53" s="78">
        <v>0.44</v>
      </c>
      <c r="R53" s="78">
        <v>0.31740000000000002</v>
      </c>
      <c r="S53" s="69">
        <v>0</v>
      </c>
      <c r="T53" s="69">
        <v>0</v>
      </c>
      <c r="U53" s="505">
        <v>0.85</v>
      </c>
      <c r="V53" s="76">
        <v>0</v>
      </c>
      <c r="W53" s="76">
        <v>0</v>
      </c>
      <c r="X53" s="76"/>
    </row>
    <row r="54" spans="1:24" x14ac:dyDescent="0.25">
      <c r="A54" s="75" t="str">
        <f t="shared" si="0"/>
        <v>Pago_de_Hipoteca PF Wealth &amp; Premier Executive Pago_Fijo_Puntual Si 19</v>
      </c>
      <c r="B54" s="75" t="str">
        <f t="shared" si="1"/>
        <v>Pago_de_Hipoteca PF Wealth &amp; Premier Executive Pago_Fijo_Puntual Si 19 0.103</v>
      </c>
      <c r="C54" s="75" t="s">
        <v>173</v>
      </c>
      <c r="D54" s="75" t="s">
        <v>132</v>
      </c>
      <c r="E54" s="75" t="s">
        <v>175</v>
      </c>
      <c r="F54" s="75"/>
      <c r="G54" s="75"/>
      <c r="H54" s="75"/>
      <c r="I54" s="75" t="s">
        <v>171</v>
      </c>
      <c r="J54" s="503">
        <v>19</v>
      </c>
      <c r="K54" s="503" t="s">
        <v>387</v>
      </c>
      <c r="L54" s="504">
        <v>10.3</v>
      </c>
      <c r="M54" s="504">
        <v>10.96</v>
      </c>
      <c r="N54" s="505">
        <v>0.10299999999999999</v>
      </c>
      <c r="O54" s="505">
        <v>0.1</v>
      </c>
      <c r="P54" s="505">
        <v>0.112</v>
      </c>
      <c r="Q54" s="78">
        <v>0.44</v>
      </c>
      <c r="R54" s="78">
        <v>0.31740000000000002</v>
      </c>
      <c r="S54" s="69">
        <v>0</v>
      </c>
      <c r="T54" s="69">
        <v>0</v>
      </c>
      <c r="U54" s="505">
        <v>0.85</v>
      </c>
      <c r="V54" s="76">
        <v>0</v>
      </c>
      <c r="W54" s="76">
        <v>0</v>
      </c>
      <c r="X54" s="76" t="s">
        <v>147</v>
      </c>
    </row>
    <row r="55" spans="1:24" x14ac:dyDescent="0.25">
      <c r="A55" s="75" t="str">
        <f t="shared" si="0"/>
        <v>Pago_de_Hipoteca PF Wealth &amp; Premier Executive Pago_Fijo_Puntual 19</v>
      </c>
      <c r="B55" s="75" t="str">
        <f t="shared" si="1"/>
        <v>Pago_de_Hipoteca PF Wealth &amp; Premier Executive Pago_Fijo_Puntual 19 0.106</v>
      </c>
      <c r="C55" s="75" t="s">
        <v>173</v>
      </c>
      <c r="D55" s="75" t="s">
        <v>132</v>
      </c>
      <c r="E55" s="75" t="s">
        <v>175</v>
      </c>
      <c r="F55" s="75"/>
      <c r="G55" s="75"/>
      <c r="H55" s="75"/>
      <c r="I55" s="75" t="s">
        <v>171</v>
      </c>
      <c r="J55" s="503">
        <v>19</v>
      </c>
      <c r="K55" s="503">
        <v>3</v>
      </c>
      <c r="L55" s="504">
        <v>10.54</v>
      </c>
      <c r="M55" s="504">
        <v>11.2</v>
      </c>
      <c r="N55" s="505">
        <v>0.106</v>
      </c>
      <c r="O55" s="505">
        <v>0.10299999999999999</v>
      </c>
      <c r="P55" s="505">
        <v>0.11799999999999999</v>
      </c>
      <c r="Q55" s="78">
        <v>0.44</v>
      </c>
      <c r="R55" s="78">
        <v>0.31740000000000002</v>
      </c>
      <c r="S55" s="69">
        <v>0</v>
      </c>
      <c r="T55" s="69">
        <v>0</v>
      </c>
      <c r="U55" s="505">
        <v>0.85</v>
      </c>
      <c r="V55" s="76">
        <v>0</v>
      </c>
      <c r="W55" s="76">
        <v>0</v>
      </c>
      <c r="X55" s="76"/>
    </row>
    <row r="56" spans="1:24" x14ac:dyDescent="0.25">
      <c r="A56" s="75" t="str">
        <f t="shared" si="0"/>
        <v>Pago_de_Hipoteca PF Wealth &amp; Premier Executive Pago_Fijo_Puntual Si 18</v>
      </c>
      <c r="B56" s="75" t="str">
        <f t="shared" si="1"/>
        <v>Pago_de_Hipoteca PF Wealth &amp; Premier Executive Pago_Fijo_Puntual Si 18 0.103</v>
      </c>
      <c r="C56" s="75" t="s">
        <v>173</v>
      </c>
      <c r="D56" s="75" t="s">
        <v>132</v>
      </c>
      <c r="E56" s="75" t="s">
        <v>175</v>
      </c>
      <c r="F56" s="75"/>
      <c r="G56" s="75"/>
      <c r="H56" s="75"/>
      <c r="I56" s="75" t="s">
        <v>171</v>
      </c>
      <c r="J56" s="503">
        <v>18</v>
      </c>
      <c r="K56" s="503" t="s">
        <v>387</v>
      </c>
      <c r="L56" s="504">
        <v>10.47</v>
      </c>
      <c r="M56" s="504">
        <v>11.13</v>
      </c>
      <c r="N56" s="505">
        <v>0.10299999999999999</v>
      </c>
      <c r="O56" s="505">
        <v>0.1</v>
      </c>
      <c r="P56" s="505">
        <v>0.112</v>
      </c>
      <c r="Q56" s="78">
        <v>0.44</v>
      </c>
      <c r="R56" s="78">
        <v>0.31740000000000002</v>
      </c>
      <c r="S56" s="69">
        <v>0</v>
      </c>
      <c r="T56" s="69">
        <v>0</v>
      </c>
      <c r="U56" s="505">
        <v>0.85</v>
      </c>
      <c r="V56" s="76">
        <v>0</v>
      </c>
      <c r="W56" s="76">
        <v>0</v>
      </c>
      <c r="X56" s="76" t="s">
        <v>147</v>
      </c>
    </row>
    <row r="57" spans="1:24" x14ac:dyDescent="0.25">
      <c r="A57" s="75" t="str">
        <f t="shared" si="0"/>
        <v>Pago_de_Hipoteca PF Wealth &amp; Premier Executive Pago_Fijo_Puntual 18</v>
      </c>
      <c r="B57" s="75" t="str">
        <f t="shared" si="1"/>
        <v>Pago_de_Hipoteca PF Wealth &amp; Premier Executive Pago_Fijo_Puntual 18 0.106</v>
      </c>
      <c r="C57" s="75" t="s">
        <v>173</v>
      </c>
      <c r="D57" s="75" t="s">
        <v>132</v>
      </c>
      <c r="E57" s="75" t="s">
        <v>175</v>
      </c>
      <c r="F57" s="75"/>
      <c r="G57" s="75"/>
      <c r="H57" s="75"/>
      <c r="I57" s="75" t="s">
        <v>171</v>
      </c>
      <c r="J57" s="503">
        <v>18</v>
      </c>
      <c r="K57" s="503">
        <v>3</v>
      </c>
      <c r="L57" s="504">
        <v>10.71</v>
      </c>
      <c r="M57" s="504">
        <v>11.37</v>
      </c>
      <c r="N57" s="505">
        <v>0.106</v>
      </c>
      <c r="O57" s="505">
        <v>0.10299999999999999</v>
      </c>
      <c r="P57" s="505">
        <v>0.11799999999999999</v>
      </c>
      <c r="Q57" s="78">
        <v>0.44</v>
      </c>
      <c r="R57" s="78">
        <v>0.31740000000000002</v>
      </c>
      <c r="S57" s="69">
        <v>0</v>
      </c>
      <c r="T57" s="69">
        <v>0</v>
      </c>
      <c r="U57" s="505">
        <v>0.85</v>
      </c>
      <c r="V57" s="76">
        <v>0</v>
      </c>
      <c r="W57" s="76">
        <v>0</v>
      </c>
      <c r="X57" s="76"/>
    </row>
    <row r="58" spans="1:24" x14ac:dyDescent="0.25">
      <c r="A58" s="75" t="str">
        <f t="shared" si="0"/>
        <v>Pago_de_Hipoteca PF Wealth &amp; Premier Executive Pago_Fijo_Puntual Si 17</v>
      </c>
      <c r="B58" s="75" t="str">
        <f t="shared" si="1"/>
        <v>Pago_de_Hipoteca PF Wealth &amp; Premier Executive Pago_Fijo_Puntual Si 17 0.103</v>
      </c>
      <c r="C58" s="75" t="s">
        <v>173</v>
      </c>
      <c r="D58" s="75" t="s">
        <v>132</v>
      </c>
      <c r="E58" s="75" t="s">
        <v>175</v>
      </c>
      <c r="F58" s="75"/>
      <c r="G58" s="75"/>
      <c r="H58" s="75"/>
      <c r="I58" s="75" t="s">
        <v>171</v>
      </c>
      <c r="J58" s="503">
        <v>17</v>
      </c>
      <c r="K58" s="503" t="s">
        <v>387</v>
      </c>
      <c r="L58" s="504">
        <v>10.67</v>
      </c>
      <c r="M58" s="504">
        <v>11.33</v>
      </c>
      <c r="N58" s="505">
        <v>0.10299999999999999</v>
      </c>
      <c r="O58" s="505">
        <v>0.1</v>
      </c>
      <c r="P58" s="505">
        <v>0.112</v>
      </c>
      <c r="Q58" s="78">
        <v>0.44</v>
      </c>
      <c r="R58" s="78">
        <v>0.31740000000000002</v>
      </c>
      <c r="S58" s="69">
        <v>0</v>
      </c>
      <c r="T58" s="69">
        <v>0</v>
      </c>
      <c r="U58" s="505">
        <v>0.85</v>
      </c>
      <c r="V58" s="76">
        <v>0</v>
      </c>
      <c r="W58" s="76">
        <v>0</v>
      </c>
      <c r="X58" s="76" t="s">
        <v>147</v>
      </c>
    </row>
    <row r="59" spans="1:24" x14ac:dyDescent="0.25">
      <c r="A59" s="75" t="str">
        <f t="shared" si="0"/>
        <v>Pago_de_Hipoteca PF Wealth &amp; Premier Executive Pago_Fijo_Puntual 17</v>
      </c>
      <c r="B59" s="75" t="str">
        <f t="shared" si="1"/>
        <v>Pago_de_Hipoteca PF Wealth &amp; Premier Executive Pago_Fijo_Puntual 17 0.106</v>
      </c>
      <c r="C59" s="75" t="s">
        <v>173</v>
      </c>
      <c r="D59" s="75" t="s">
        <v>132</v>
      </c>
      <c r="E59" s="75" t="s">
        <v>175</v>
      </c>
      <c r="F59" s="75"/>
      <c r="G59" s="75"/>
      <c r="H59" s="75"/>
      <c r="I59" s="75" t="s">
        <v>171</v>
      </c>
      <c r="J59" s="503">
        <v>17</v>
      </c>
      <c r="K59" s="503">
        <v>3</v>
      </c>
      <c r="L59" s="504">
        <v>10.9</v>
      </c>
      <c r="M59" s="504">
        <v>11.56</v>
      </c>
      <c r="N59" s="505">
        <v>0.106</v>
      </c>
      <c r="O59" s="505">
        <v>0.10299999999999999</v>
      </c>
      <c r="P59" s="505">
        <v>0.11799999999999999</v>
      </c>
      <c r="Q59" s="78">
        <v>0.44</v>
      </c>
      <c r="R59" s="78">
        <v>0.31740000000000002</v>
      </c>
      <c r="S59" s="69">
        <v>0</v>
      </c>
      <c r="T59" s="69">
        <v>0</v>
      </c>
      <c r="U59" s="505">
        <v>0.85</v>
      </c>
      <c r="V59" s="76">
        <v>0</v>
      </c>
      <c r="W59" s="76">
        <v>0</v>
      </c>
      <c r="X59" s="76"/>
    </row>
    <row r="60" spans="1:24" x14ac:dyDescent="0.25">
      <c r="A60" s="75" t="str">
        <f t="shared" si="0"/>
        <v>Pago_de_Hipoteca PF Wealth &amp; Premier Executive Pago_Fijo_Puntual Si 16</v>
      </c>
      <c r="B60" s="75" t="str">
        <f t="shared" si="1"/>
        <v>Pago_de_Hipoteca PF Wealth &amp; Premier Executive Pago_Fijo_Puntual Si 16 0.103</v>
      </c>
      <c r="C60" s="75" t="s">
        <v>173</v>
      </c>
      <c r="D60" s="75" t="s">
        <v>132</v>
      </c>
      <c r="E60" s="75" t="s">
        <v>175</v>
      </c>
      <c r="F60" s="75"/>
      <c r="G60" s="75"/>
      <c r="H60" s="75"/>
      <c r="I60" s="75" t="s">
        <v>171</v>
      </c>
      <c r="J60" s="503">
        <v>16</v>
      </c>
      <c r="K60" s="503" t="s">
        <v>387</v>
      </c>
      <c r="L60" s="504">
        <v>10.9</v>
      </c>
      <c r="M60" s="504">
        <v>11.56</v>
      </c>
      <c r="N60" s="505">
        <v>0.10299999999999999</v>
      </c>
      <c r="O60" s="505">
        <v>0.1</v>
      </c>
      <c r="P60" s="505">
        <v>0.112</v>
      </c>
      <c r="Q60" s="78">
        <v>0.44</v>
      </c>
      <c r="R60" s="78">
        <v>0.31740000000000002</v>
      </c>
      <c r="S60" s="69">
        <v>0</v>
      </c>
      <c r="T60" s="69">
        <v>0</v>
      </c>
      <c r="U60" s="505">
        <v>0.85</v>
      </c>
      <c r="V60" s="76">
        <v>0</v>
      </c>
      <c r="W60" s="76">
        <v>0</v>
      </c>
      <c r="X60" s="76" t="s">
        <v>147</v>
      </c>
    </row>
    <row r="61" spans="1:24" x14ac:dyDescent="0.25">
      <c r="A61" s="75" t="str">
        <f t="shared" si="0"/>
        <v>Pago_de_Hipoteca PF Wealth &amp; Premier Executive Pago_Fijo_Puntual 16</v>
      </c>
      <c r="B61" s="75" t="str">
        <f t="shared" si="1"/>
        <v>Pago_de_Hipoteca PF Wealth &amp; Premier Executive Pago_Fijo_Puntual 16 0.106</v>
      </c>
      <c r="C61" s="75" t="s">
        <v>173</v>
      </c>
      <c r="D61" s="75" t="s">
        <v>132</v>
      </c>
      <c r="E61" s="75" t="s">
        <v>175</v>
      </c>
      <c r="F61" s="75"/>
      <c r="G61" s="75"/>
      <c r="H61" s="75"/>
      <c r="I61" s="75" t="s">
        <v>171</v>
      </c>
      <c r="J61" s="503">
        <v>16</v>
      </c>
      <c r="K61" s="503">
        <v>3</v>
      </c>
      <c r="L61" s="504">
        <v>11.12</v>
      </c>
      <c r="M61" s="504">
        <v>11.78</v>
      </c>
      <c r="N61" s="505">
        <v>0.106</v>
      </c>
      <c r="O61" s="505">
        <v>0.10299999999999999</v>
      </c>
      <c r="P61" s="505">
        <v>0.11799999999999999</v>
      </c>
      <c r="Q61" s="78">
        <v>0.44</v>
      </c>
      <c r="R61" s="78">
        <v>0.31740000000000002</v>
      </c>
      <c r="S61" s="69">
        <v>0</v>
      </c>
      <c r="T61" s="69">
        <v>0</v>
      </c>
      <c r="U61" s="505">
        <v>0.85</v>
      </c>
      <c r="V61" s="76">
        <v>0</v>
      </c>
      <c r="W61" s="76">
        <v>0</v>
      </c>
      <c r="X61" s="76"/>
    </row>
    <row r="62" spans="1:24" x14ac:dyDescent="0.25">
      <c r="A62" s="75" t="str">
        <f t="shared" si="0"/>
        <v>Pago_de_Hipoteca PF Wealth &amp; Premier Executive Pago_Fijo_Puntual Si 15</v>
      </c>
      <c r="B62" s="75" t="str">
        <f t="shared" si="1"/>
        <v>Pago_de_Hipoteca PF Wealth &amp; Premier Executive Pago_Fijo_Puntual Si 15 0.103</v>
      </c>
      <c r="C62" s="75" t="s">
        <v>173</v>
      </c>
      <c r="D62" s="75" t="s">
        <v>132</v>
      </c>
      <c r="E62" s="75" t="s">
        <v>175</v>
      </c>
      <c r="F62" s="75"/>
      <c r="G62" s="75"/>
      <c r="H62" s="75"/>
      <c r="I62" s="75" t="s">
        <v>171</v>
      </c>
      <c r="J62" s="503">
        <v>15</v>
      </c>
      <c r="K62" s="503" t="s">
        <v>387</v>
      </c>
      <c r="L62" s="504">
        <v>11.18</v>
      </c>
      <c r="M62" s="504">
        <v>11.84</v>
      </c>
      <c r="N62" s="505">
        <v>0.10299999999999999</v>
      </c>
      <c r="O62" s="505">
        <v>0.1</v>
      </c>
      <c r="P62" s="505">
        <v>0.112</v>
      </c>
      <c r="Q62" s="78">
        <v>0.44</v>
      </c>
      <c r="R62" s="78">
        <v>0.31740000000000002</v>
      </c>
      <c r="S62" s="69">
        <v>0</v>
      </c>
      <c r="T62" s="69">
        <v>0</v>
      </c>
      <c r="U62" s="505">
        <v>0.85</v>
      </c>
      <c r="V62" s="76">
        <v>0</v>
      </c>
      <c r="W62" s="76">
        <v>0</v>
      </c>
      <c r="X62" s="76" t="s">
        <v>147</v>
      </c>
    </row>
    <row r="63" spans="1:24" x14ac:dyDescent="0.25">
      <c r="A63" s="75" t="str">
        <f t="shared" si="0"/>
        <v>Pago_de_Hipoteca PF Wealth &amp; Premier Executive Pago_Fijo_Puntual 15</v>
      </c>
      <c r="B63" s="75" t="str">
        <f t="shared" si="1"/>
        <v>Pago_de_Hipoteca PF Wealth &amp; Premier Executive Pago_Fijo_Puntual 15 0.106</v>
      </c>
      <c r="C63" s="75" t="s">
        <v>173</v>
      </c>
      <c r="D63" s="75" t="s">
        <v>132</v>
      </c>
      <c r="E63" s="75" t="s">
        <v>175</v>
      </c>
      <c r="F63" s="75"/>
      <c r="G63" s="75"/>
      <c r="H63" s="75"/>
      <c r="I63" s="75" t="s">
        <v>171</v>
      </c>
      <c r="J63" s="503">
        <v>15</v>
      </c>
      <c r="K63" s="503">
        <v>3</v>
      </c>
      <c r="L63" s="504">
        <v>11.38</v>
      </c>
      <c r="M63" s="504">
        <v>12.04</v>
      </c>
      <c r="N63" s="505">
        <v>0.106</v>
      </c>
      <c r="O63" s="505">
        <v>0.10299999999999999</v>
      </c>
      <c r="P63" s="505">
        <v>0.11799999999999999</v>
      </c>
      <c r="Q63" s="78">
        <v>0.44</v>
      </c>
      <c r="R63" s="78">
        <v>0.31740000000000002</v>
      </c>
      <c r="S63" s="69">
        <v>0</v>
      </c>
      <c r="T63" s="69">
        <v>0</v>
      </c>
      <c r="U63" s="505">
        <v>0.85</v>
      </c>
      <c r="V63" s="76">
        <v>0</v>
      </c>
      <c r="W63" s="76">
        <v>0</v>
      </c>
      <c r="X63" s="76"/>
    </row>
    <row r="64" spans="1:24" x14ac:dyDescent="0.25">
      <c r="A64" s="75" t="str">
        <f t="shared" si="0"/>
        <v>Pago_de_Hipoteca PF Wealth &amp; Premier Executive Pago_Fijo_Puntual Si 14</v>
      </c>
      <c r="B64" s="75" t="str">
        <f t="shared" si="1"/>
        <v>Pago_de_Hipoteca PF Wealth &amp; Premier Executive Pago_Fijo_Puntual Si 14 0.103</v>
      </c>
      <c r="C64" s="75" t="s">
        <v>173</v>
      </c>
      <c r="D64" s="75" t="s">
        <v>132</v>
      </c>
      <c r="E64" s="75" t="s">
        <v>175</v>
      </c>
      <c r="F64" s="75"/>
      <c r="G64" s="75"/>
      <c r="H64" s="75"/>
      <c r="I64" s="75" t="s">
        <v>171</v>
      </c>
      <c r="J64" s="503">
        <v>14</v>
      </c>
      <c r="K64" s="503" t="s">
        <v>387</v>
      </c>
      <c r="L64" s="504">
        <v>11.49</v>
      </c>
      <c r="M64" s="504">
        <v>12.15</v>
      </c>
      <c r="N64" s="505">
        <v>0.10299999999999999</v>
      </c>
      <c r="O64" s="505">
        <v>0.1</v>
      </c>
      <c r="P64" s="505">
        <v>0.112</v>
      </c>
      <c r="Q64" s="78">
        <v>0.44</v>
      </c>
      <c r="R64" s="78">
        <v>0.31740000000000002</v>
      </c>
      <c r="S64" s="69">
        <v>0</v>
      </c>
      <c r="T64" s="69">
        <v>0</v>
      </c>
      <c r="U64" s="505">
        <v>0.85</v>
      </c>
      <c r="V64" s="76">
        <v>0</v>
      </c>
      <c r="W64" s="76">
        <v>0</v>
      </c>
      <c r="X64" s="76" t="s">
        <v>147</v>
      </c>
    </row>
    <row r="65" spans="1:24" x14ac:dyDescent="0.25">
      <c r="A65" s="75" t="str">
        <f t="shared" si="0"/>
        <v>Pago_de_Hipoteca PF Wealth &amp; Premier Executive Pago_Fijo_Puntual 14</v>
      </c>
      <c r="B65" s="75" t="str">
        <f t="shared" si="1"/>
        <v>Pago_de_Hipoteca PF Wealth &amp; Premier Executive Pago_Fijo_Puntual 14 0.106</v>
      </c>
      <c r="C65" s="75" t="s">
        <v>173</v>
      </c>
      <c r="D65" s="75" t="s">
        <v>132</v>
      </c>
      <c r="E65" s="75" t="s">
        <v>175</v>
      </c>
      <c r="F65" s="75"/>
      <c r="G65" s="75"/>
      <c r="H65" s="75"/>
      <c r="I65" s="75" t="s">
        <v>171</v>
      </c>
      <c r="J65" s="503">
        <v>14</v>
      </c>
      <c r="K65" s="503">
        <v>3</v>
      </c>
      <c r="L65" s="504">
        <v>11.69</v>
      </c>
      <c r="M65" s="504">
        <v>12.35</v>
      </c>
      <c r="N65" s="505">
        <v>0.106</v>
      </c>
      <c r="O65" s="505">
        <v>0.10299999999999999</v>
      </c>
      <c r="P65" s="505">
        <v>0.11799999999999999</v>
      </c>
      <c r="Q65" s="78">
        <v>0.44</v>
      </c>
      <c r="R65" s="78">
        <v>0.31740000000000002</v>
      </c>
      <c r="S65" s="69">
        <v>0</v>
      </c>
      <c r="T65" s="69">
        <v>0</v>
      </c>
      <c r="U65" s="505">
        <v>0.85</v>
      </c>
      <c r="V65" s="76">
        <v>0</v>
      </c>
      <c r="W65" s="76">
        <v>0</v>
      </c>
      <c r="X65" s="76"/>
    </row>
    <row r="66" spans="1:24" x14ac:dyDescent="0.25">
      <c r="A66" s="75" t="str">
        <f t="shared" ref="A66:A129" si="2">TRIM(CONCATENATE(C66," ",D66," ",E66," ",F66," ",G66," ",I66," ",X66," ",J66))</f>
        <v>Pago_de_Hipoteca PF Wealth &amp; Premier Executive Pago_Fijo_Puntual Si 13</v>
      </c>
      <c r="B66" s="75" t="str">
        <f t="shared" ref="B66:B129" si="3">CONCATENATE(A66," ",N66)</f>
        <v>Pago_de_Hipoteca PF Wealth &amp; Premier Executive Pago_Fijo_Puntual Si 13 0.103</v>
      </c>
      <c r="C66" s="75" t="s">
        <v>173</v>
      </c>
      <c r="D66" s="75" t="s">
        <v>132</v>
      </c>
      <c r="E66" s="75" t="s">
        <v>175</v>
      </c>
      <c r="F66" s="75"/>
      <c r="G66" s="75"/>
      <c r="H66" s="75"/>
      <c r="I66" s="75" t="s">
        <v>171</v>
      </c>
      <c r="J66" s="503">
        <v>13</v>
      </c>
      <c r="K66" s="503" t="s">
        <v>387</v>
      </c>
      <c r="L66" s="504">
        <v>11.86</v>
      </c>
      <c r="M66" s="504">
        <v>12.52</v>
      </c>
      <c r="N66" s="505">
        <v>0.10299999999999999</v>
      </c>
      <c r="O66" s="505">
        <v>0.1</v>
      </c>
      <c r="P66" s="505">
        <v>0.112</v>
      </c>
      <c r="Q66" s="78">
        <v>0.44</v>
      </c>
      <c r="R66" s="78">
        <v>0.31740000000000002</v>
      </c>
      <c r="S66" s="69">
        <v>0</v>
      </c>
      <c r="T66" s="69">
        <v>0</v>
      </c>
      <c r="U66" s="505">
        <v>0.85</v>
      </c>
      <c r="V66" s="76">
        <v>0</v>
      </c>
      <c r="W66" s="76">
        <v>0</v>
      </c>
      <c r="X66" s="76" t="s">
        <v>147</v>
      </c>
    </row>
    <row r="67" spans="1:24" x14ac:dyDescent="0.25">
      <c r="A67" s="75" t="str">
        <f t="shared" si="2"/>
        <v>Pago_de_Hipoteca PF Wealth &amp; Premier Executive Pago_Fijo_Puntual 13</v>
      </c>
      <c r="B67" s="75" t="str">
        <f t="shared" si="3"/>
        <v>Pago_de_Hipoteca PF Wealth &amp; Premier Executive Pago_Fijo_Puntual 13 0.106</v>
      </c>
      <c r="C67" s="75" t="s">
        <v>173</v>
      </c>
      <c r="D67" s="75" t="s">
        <v>132</v>
      </c>
      <c r="E67" s="75" t="s">
        <v>175</v>
      </c>
      <c r="F67" s="75"/>
      <c r="G67" s="75"/>
      <c r="H67" s="75"/>
      <c r="I67" s="75" t="s">
        <v>171</v>
      </c>
      <c r="J67" s="503">
        <v>13</v>
      </c>
      <c r="K67" s="503">
        <v>3</v>
      </c>
      <c r="L67" s="504">
        <v>12.06</v>
      </c>
      <c r="M67" s="504">
        <v>12.72</v>
      </c>
      <c r="N67" s="505">
        <v>0.106</v>
      </c>
      <c r="O67" s="505">
        <v>0.10299999999999999</v>
      </c>
      <c r="P67" s="505">
        <v>0.11799999999999999</v>
      </c>
      <c r="Q67" s="78">
        <v>0.44</v>
      </c>
      <c r="R67" s="78">
        <v>0.31740000000000002</v>
      </c>
      <c r="S67" s="69">
        <v>0</v>
      </c>
      <c r="T67" s="69">
        <v>0</v>
      </c>
      <c r="U67" s="505">
        <v>0.85</v>
      </c>
      <c r="V67" s="76">
        <v>0</v>
      </c>
      <c r="W67" s="76">
        <v>0</v>
      </c>
      <c r="X67" s="76"/>
    </row>
    <row r="68" spans="1:24" x14ac:dyDescent="0.25">
      <c r="A68" s="75" t="str">
        <f t="shared" si="2"/>
        <v>Pago_de_Hipoteca PF Wealth &amp; Premier Executive Pago_Fijo_Puntual Si 12</v>
      </c>
      <c r="B68" s="75" t="str">
        <f t="shared" si="3"/>
        <v>Pago_de_Hipoteca PF Wealth &amp; Premier Executive Pago_Fijo_Puntual Si 12 0.103</v>
      </c>
      <c r="C68" s="75" t="s">
        <v>173</v>
      </c>
      <c r="D68" s="75" t="s">
        <v>132</v>
      </c>
      <c r="E68" s="75" t="s">
        <v>175</v>
      </c>
      <c r="F68" s="75"/>
      <c r="G68" s="75"/>
      <c r="H68" s="75"/>
      <c r="I68" s="75" t="s">
        <v>171</v>
      </c>
      <c r="J68" s="503">
        <v>12</v>
      </c>
      <c r="K68" s="503" t="s">
        <v>387</v>
      </c>
      <c r="L68" s="504">
        <v>12.31</v>
      </c>
      <c r="M68" s="504">
        <v>12.97</v>
      </c>
      <c r="N68" s="505">
        <v>0.10299999999999999</v>
      </c>
      <c r="O68" s="505">
        <v>0.1</v>
      </c>
      <c r="P68" s="505">
        <v>0.112</v>
      </c>
      <c r="Q68" s="78">
        <v>0.44</v>
      </c>
      <c r="R68" s="78">
        <v>0.31740000000000002</v>
      </c>
      <c r="S68" s="69">
        <v>0</v>
      </c>
      <c r="T68" s="69">
        <v>0</v>
      </c>
      <c r="U68" s="505">
        <v>0.85</v>
      </c>
      <c r="V68" s="76">
        <v>0</v>
      </c>
      <c r="W68" s="76">
        <v>0</v>
      </c>
      <c r="X68" s="76" t="s">
        <v>147</v>
      </c>
    </row>
    <row r="69" spans="1:24" x14ac:dyDescent="0.25">
      <c r="A69" s="75" t="str">
        <f t="shared" si="2"/>
        <v>Pago_de_Hipoteca PF Wealth &amp; Premier Executive Pago_Fijo_Puntual 12</v>
      </c>
      <c r="B69" s="75" t="str">
        <f t="shared" si="3"/>
        <v>Pago_de_Hipoteca PF Wealth &amp; Premier Executive Pago_Fijo_Puntual 12 0.106</v>
      </c>
      <c r="C69" s="75" t="s">
        <v>173</v>
      </c>
      <c r="D69" s="75" t="s">
        <v>132</v>
      </c>
      <c r="E69" s="75" t="s">
        <v>175</v>
      </c>
      <c r="F69" s="75"/>
      <c r="G69" s="75"/>
      <c r="H69" s="75"/>
      <c r="I69" s="75" t="s">
        <v>171</v>
      </c>
      <c r="J69" s="503">
        <v>12</v>
      </c>
      <c r="K69" s="503">
        <v>3</v>
      </c>
      <c r="L69" s="504">
        <v>12.5</v>
      </c>
      <c r="M69" s="504">
        <v>13.16</v>
      </c>
      <c r="N69" s="505">
        <v>0.106</v>
      </c>
      <c r="O69" s="505">
        <v>0.10299999999999999</v>
      </c>
      <c r="P69" s="505">
        <v>0.11799999999999999</v>
      </c>
      <c r="Q69" s="78">
        <v>0.44</v>
      </c>
      <c r="R69" s="78">
        <v>0.31740000000000002</v>
      </c>
      <c r="S69" s="69">
        <v>0</v>
      </c>
      <c r="T69" s="69">
        <v>0</v>
      </c>
      <c r="U69" s="505">
        <v>0.85</v>
      </c>
      <c r="V69" s="76">
        <v>0</v>
      </c>
      <c r="W69" s="76">
        <v>0</v>
      </c>
      <c r="X69" s="76"/>
    </row>
    <row r="70" spans="1:24" x14ac:dyDescent="0.25">
      <c r="A70" s="75" t="str">
        <f t="shared" si="2"/>
        <v>Pago_de_Hipoteca PF Wealth &amp; Premier Executive Pago_Fijo_Puntual Si 11</v>
      </c>
      <c r="B70" s="75" t="str">
        <f t="shared" si="3"/>
        <v>Pago_de_Hipoteca PF Wealth &amp; Premier Executive Pago_Fijo_Puntual Si 11 0.103</v>
      </c>
      <c r="C70" s="75" t="s">
        <v>173</v>
      </c>
      <c r="D70" s="75" t="s">
        <v>132</v>
      </c>
      <c r="E70" s="75" t="s">
        <v>175</v>
      </c>
      <c r="F70" s="75"/>
      <c r="G70" s="75"/>
      <c r="H70" s="75"/>
      <c r="I70" s="75" t="s">
        <v>171</v>
      </c>
      <c r="J70" s="503">
        <v>11</v>
      </c>
      <c r="K70" s="503" t="s">
        <v>387</v>
      </c>
      <c r="L70" s="504">
        <v>12.86</v>
      </c>
      <c r="M70" s="504">
        <v>13.52</v>
      </c>
      <c r="N70" s="505">
        <v>0.10299999999999999</v>
      </c>
      <c r="O70" s="505">
        <v>0.1</v>
      </c>
      <c r="P70" s="505">
        <v>0.112</v>
      </c>
      <c r="Q70" s="78">
        <v>0.44</v>
      </c>
      <c r="R70" s="78">
        <v>0.31740000000000002</v>
      </c>
      <c r="S70" s="69">
        <v>0</v>
      </c>
      <c r="T70" s="69">
        <v>0</v>
      </c>
      <c r="U70" s="505">
        <v>0.85</v>
      </c>
      <c r="V70" s="76">
        <v>0</v>
      </c>
      <c r="W70" s="76">
        <v>0</v>
      </c>
      <c r="X70" s="76" t="s">
        <v>147</v>
      </c>
    </row>
    <row r="71" spans="1:24" x14ac:dyDescent="0.25">
      <c r="A71" s="75" t="str">
        <f t="shared" si="2"/>
        <v>Pago_de_Hipoteca PF Wealth &amp; Premier Executive Pago_Fijo_Puntual 11</v>
      </c>
      <c r="B71" s="75" t="str">
        <f t="shared" si="3"/>
        <v>Pago_de_Hipoteca PF Wealth &amp; Premier Executive Pago_Fijo_Puntual 11 0.106</v>
      </c>
      <c r="C71" s="75" t="s">
        <v>173</v>
      </c>
      <c r="D71" s="75" t="s">
        <v>132</v>
      </c>
      <c r="E71" s="75" t="s">
        <v>175</v>
      </c>
      <c r="F71" s="75"/>
      <c r="G71" s="75"/>
      <c r="H71" s="75"/>
      <c r="I71" s="75" t="s">
        <v>171</v>
      </c>
      <c r="J71" s="503">
        <v>11</v>
      </c>
      <c r="K71" s="503">
        <v>3</v>
      </c>
      <c r="L71" s="504">
        <v>13.04</v>
      </c>
      <c r="M71" s="504">
        <v>13.7</v>
      </c>
      <c r="N71" s="505">
        <v>0.106</v>
      </c>
      <c r="O71" s="505">
        <v>0.10299999999999999</v>
      </c>
      <c r="P71" s="505">
        <v>0.11799999999999999</v>
      </c>
      <c r="Q71" s="78">
        <v>0.44</v>
      </c>
      <c r="R71" s="78">
        <v>0.31740000000000002</v>
      </c>
      <c r="S71" s="69">
        <v>0</v>
      </c>
      <c r="T71" s="69">
        <v>0</v>
      </c>
      <c r="U71" s="505">
        <v>0.85</v>
      </c>
      <c r="V71" s="76">
        <v>0</v>
      </c>
      <c r="W71" s="76">
        <v>0</v>
      </c>
      <c r="X71" s="76"/>
    </row>
    <row r="72" spans="1:24" x14ac:dyDescent="0.25">
      <c r="A72" s="75" t="str">
        <f t="shared" si="2"/>
        <v>Pago_de_Hipoteca PF Wealth &amp; Premier Executive Pago_Fijo_Puntual Si 10</v>
      </c>
      <c r="B72" s="75" t="str">
        <f t="shared" si="3"/>
        <v>Pago_de_Hipoteca PF Wealth &amp; Premier Executive Pago_Fijo_Puntual Si 10 0.103</v>
      </c>
      <c r="C72" s="75" t="s">
        <v>173</v>
      </c>
      <c r="D72" s="75" t="s">
        <v>132</v>
      </c>
      <c r="E72" s="75" t="s">
        <v>175</v>
      </c>
      <c r="F72" s="75"/>
      <c r="G72" s="75"/>
      <c r="H72" s="75"/>
      <c r="I72" s="75" t="s">
        <v>171</v>
      </c>
      <c r="J72" s="503">
        <v>10</v>
      </c>
      <c r="K72" s="503" t="s">
        <v>387</v>
      </c>
      <c r="L72" s="504">
        <v>13.54</v>
      </c>
      <c r="M72" s="504">
        <v>14.2</v>
      </c>
      <c r="N72" s="505">
        <v>0.10299999999999999</v>
      </c>
      <c r="O72" s="505">
        <v>0.1</v>
      </c>
      <c r="P72" s="505">
        <v>0.112</v>
      </c>
      <c r="Q72" s="78">
        <v>0.44</v>
      </c>
      <c r="R72" s="78">
        <v>0.31740000000000002</v>
      </c>
      <c r="S72" s="69">
        <v>0</v>
      </c>
      <c r="T72" s="69">
        <v>0</v>
      </c>
      <c r="U72" s="505">
        <v>0.85</v>
      </c>
      <c r="V72" s="76">
        <v>0</v>
      </c>
      <c r="W72" s="76">
        <v>0</v>
      </c>
      <c r="X72" s="76" t="s">
        <v>147</v>
      </c>
    </row>
    <row r="73" spans="1:24" x14ac:dyDescent="0.25">
      <c r="A73" s="75" t="str">
        <f t="shared" si="2"/>
        <v>Pago_de_Hipoteca PF Wealth &amp; Premier Executive Pago_Fijo_Puntual 10</v>
      </c>
      <c r="B73" s="75" t="str">
        <f t="shared" si="3"/>
        <v>Pago_de_Hipoteca PF Wealth &amp; Premier Executive Pago_Fijo_Puntual 10 0.106</v>
      </c>
      <c r="C73" s="75" t="s">
        <v>173</v>
      </c>
      <c r="D73" s="75" t="s">
        <v>132</v>
      </c>
      <c r="E73" s="75" t="s">
        <v>175</v>
      </c>
      <c r="F73" s="75"/>
      <c r="G73" s="75"/>
      <c r="H73" s="75"/>
      <c r="I73" s="75" t="s">
        <v>171</v>
      </c>
      <c r="J73" s="503">
        <v>10</v>
      </c>
      <c r="K73" s="503">
        <v>3</v>
      </c>
      <c r="L73" s="504">
        <v>13.7</v>
      </c>
      <c r="M73" s="504">
        <v>14.36</v>
      </c>
      <c r="N73" s="505">
        <v>0.106</v>
      </c>
      <c r="O73" s="505">
        <v>0.10299999999999999</v>
      </c>
      <c r="P73" s="505">
        <v>0.11799999999999999</v>
      </c>
      <c r="Q73" s="78">
        <v>0.44</v>
      </c>
      <c r="R73" s="78">
        <v>0.31740000000000002</v>
      </c>
      <c r="S73" s="69">
        <v>0</v>
      </c>
      <c r="T73" s="69">
        <v>0</v>
      </c>
      <c r="U73" s="505">
        <v>0.85</v>
      </c>
      <c r="V73" s="76">
        <v>0</v>
      </c>
      <c r="W73" s="76">
        <v>0</v>
      </c>
      <c r="X73" s="76"/>
    </row>
    <row r="74" spans="1:24" x14ac:dyDescent="0.25">
      <c r="A74" s="75" t="str">
        <f t="shared" si="2"/>
        <v>Pago_de_Hipoteca PF Wealth &amp; Premier Executive Pago_Fijo_Puntual Si 9</v>
      </c>
      <c r="B74" s="75" t="str">
        <f t="shared" si="3"/>
        <v>Pago_de_Hipoteca PF Wealth &amp; Premier Executive Pago_Fijo_Puntual Si 9 0.103</v>
      </c>
      <c r="C74" s="75" t="s">
        <v>173</v>
      </c>
      <c r="D74" s="75" t="s">
        <v>132</v>
      </c>
      <c r="E74" s="75" t="s">
        <v>175</v>
      </c>
      <c r="F74" s="75"/>
      <c r="G74" s="75"/>
      <c r="H74" s="75"/>
      <c r="I74" s="75" t="s">
        <v>171</v>
      </c>
      <c r="J74" s="503">
        <v>9</v>
      </c>
      <c r="K74" s="503" t="s">
        <v>387</v>
      </c>
      <c r="L74" s="504">
        <v>14.37</v>
      </c>
      <c r="M74" s="504">
        <v>15.03</v>
      </c>
      <c r="N74" s="505">
        <v>0.10299999999999999</v>
      </c>
      <c r="O74" s="505">
        <v>0.1</v>
      </c>
      <c r="P74" s="505">
        <v>0.112</v>
      </c>
      <c r="Q74" s="78">
        <v>0.44</v>
      </c>
      <c r="R74" s="78">
        <v>0.31740000000000002</v>
      </c>
      <c r="S74" s="69">
        <v>0</v>
      </c>
      <c r="T74" s="69">
        <v>0</v>
      </c>
      <c r="U74" s="505">
        <v>0.85</v>
      </c>
      <c r="V74" s="76">
        <v>0</v>
      </c>
      <c r="W74" s="76">
        <v>0</v>
      </c>
      <c r="X74" s="76" t="s">
        <v>147</v>
      </c>
    </row>
    <row r="75" spans="1:24" x14ac:dyDescent="0.25">
      <c r="A75" s="75" t="str">
        <f t="shared" si="2"/>
        <v>Pago_de_Hipoteca PF Wealth &amp; Premier Executive Pago_Fijo_Puntual 9</v>
      </c>
      <c r="B75" s="75" t="str">
        <f t="shared" si="3"/>
        <v>Pago_de_Hipoteca PF Wealth &amp; Premier Executive Pago_Fijo_Puntual 9 0.106</v>
      </c>
      <c r="C75" s="75" t="s">
        <v>173</v>
      </c>
      <c r="D75" s="75" t="s">
        <v>132</v>
      </c>
      <c r="E75" s="75" t="s">
        <v>175</v>
      </c>
      <c r="F75" s="75"/>
      <c r="G75" s="75"/>
      <c r="H75" s="75"/>
      <c r="I75" s="75" t="s">
        <v>171</v>
      </c>
      <c r="J75" s="503">
        <v>9</v>
      </c>
      <c r="K75" s="503">
        <v>3</v>
      </c>
      <c r="L75" s="504">
        <v>14.53</v>
      </c>
      <c r="M75" s="504">
        <v>15.19</v>
      </c>
      <c r="N75" s="505">
        <v>0.106</v>
      </c>
      <c r="O75" s="505">
        <v>0.10299999999999999</v>
      </c>
      <c r="P75" s="505">
        <v>0.11799999999999999</v>
      </c>
      <c r="Q75" s="78">
        <v>0.44</v>
      </c>
      <c r="R75" s="78">
        <v>0.31740000000000002</v>
      </c>
      <c r="S75" s="69">
        <v>0</v>
      </c>
      <c r="T75" s="69">
        <v>0</v>
      </c>
      <c r="U75" s="505">
        <v>0.85</v>
      </c>
      <c r="V75" s="76">
        <v>0</v>
      </c>
      <c r="W75" s="76">
        <v>0</v>
      </c>
      <c r="X75" s="76"/>
    </row>
    <row r="76" spans="1:24" x14ac:dyDescent="0.25">
      <c r="A76" s="75" t="str">
        <f t="shared" si="2"/>
        <v>Pago_de_Hipoteca PF Wealth &amp; Premier Executive Pago_Fijo_Puntual Si 8</v>
      </c>
      <c r="B76" s="75" t="str">
        <f t="shared" si="3"/>
        <v>Pago_de_Hipoteca PF Wealth &amp; Premier Executive Pago_Fijo_Puntual Si 8 0.103</v>
      </c>
      <c r="C76" s="75" t="s">
        <v>173</v>
      </c>
      <c r="D76" s="75" t="s">
        <v>132</v>
      </c>
      <c r="E76" s="75" t="s">
        <v>175</v>
      </c>
      <c r="F76" s="75"/>
      <c r="G76" s="75"/>
      <c r="H76" s="75"/>
      <c r="I76" s="75" t="s">
        <v>171</v>
      </c>
      <c r="J76" s="503">
        <v>8</v>
      </c>
      <c r="K76" s="503" t="s">
        <v>387</v>
      </c>
      <c r="L76" s="504">
        <v>15.44</v>
      </c>
      <c r="M76" s="504">
        <v>16.100000000000001</v>
      </c>
      <c r="N76" s="505">
        <v>0.10299999999999999</v>
      </c>
      <c r="O76" s="505">
        <v>0.1</v>
      </c>
      <c r="P76" s="505">
        <v>0.112</v>
      </c>
      <c r="Q76" s="78">
        <v>0.44</v>
      </c>
      <c r="R76" s="78">
        <v>0.31740000000000002</v>
      </c>
      <c r="S76" s="69">
        <v>0</v>
      </c>
      <c r="T76" s="69">
        <v>0</v>
      </c>
      <c r="U76" s="505">
        <v>0.85</v>
      </c>
      <c r="V76" s="76">
        <v>0</v>
      </c>
      <c r="W76" s="76">
        <v>0</v>
      </c>
      <c r="X76" s="76" t="s">
        <v>147</v>
      </c>
    </row>
    <row r="77" spans="1:24" x14ac:dyDescent="0.25">
      <c r="A77" s="75" t="str">
        <f t="shared" si="2"/>
        <v>Pago_de_Hipoteca PF Wealth &amp; Premier Executive Pago_Fijo_Puntual 8</v>
      </c>
      <c r="B77" s="75" t="str">
        <f t="shared" si="3"/>
        <v>Pago_de_Hipoteca PF Wealth &amp; Premier Executive Pago_Fijo_Puntual 8 0.106</v>
      </c>
      <c r="C77" s="75" t="s">
        <v>173</v>
      </c>
      <c r="D77" s="75" t="s">
        <v>132</v>
      </c>
      <c r="E77" s="75" t="s">
        <v>175</v>
      </c>
      <c r="F77" s="75"/>
      <c r="G77" s="75"/>
      <c r="H77" s="75"/>
      <c r="I77" s="75" t="s">
        <v>171</v>
      </c>
      <c r="J77" s="503">
        <v>8</v>
      </c>
      <c r="K77" s="503">
        <v>3</v>
      </c>
      <c r="L77" s="504">
        <v>15.6</v>
      </c>
      <c r="M77" s="504">
        <v>16.260000000000002</v>
      </c>
      <c r="N77" s="505">
        <v>0.106</v>
      </c>
      <c r="O77" s="505">
        <v>0.10299999999999999</v>
      </c>
      <c r="P77" s="505">
        <v>0.11799999999999999</v>
      </c>
      <c r="Q77" s="78">
        <v>0.44</v>
      </c>
      <c r="R77" s="78">
        <v>0.31740000000000002</v>
      </c>
      <c r="S77" s="69">
        <v>0</v>
      </c>
      <c r="T77" s="69">
        <v>0</v>
      </c>
      <c r="U77" s="505">
        <v>0.85</v>
      </c>
      <c r="V77" s="76">
        <v>0</v>
      </c>
      <c r="W77" s="76">
        <v>0</v>
      </c>
      <c r="X77" s="76"/>
    </row>
    <row r="78" spans="1:24" x14ac:dyDescent="0.25">
      <c r="A78" s="75" t="str">
        <f t="shared" si="2"/>
        <v>Pago_de_Hipoteca PF Wealth &amp; Premier Executive Pago_Fijo_Puntual Si 7</v>
      </c>
      <c r="B78" s="75" t="str">
        <f t="shared" si="3"/>
        <v>Pago_de_Hipoteca PF Wealth &amp; Premier Executive Pago_Fijo_Puntual Si 7 0.103</v>
      </c>
      <c r="C78" s="75" t="s">
        <v>173</v>
      </c>
      <c r="D78" s="75" t="s">
        <v>132</v>
      </c>
      <c r="E78" s="75" t="s">
        <v>175</v>
      </c>
      <c r="F78" s="75"/>
      <c r="G78" s="75"/>
      <c r="H78" s="75"/>
      <c r="I78" s="75" t="s">
        <v>171</v>
      </c>
      <c r="J78" s="503">
        <v>7</v>
      </c>
      <c r="K78" s="503" t="s">
        <v>387</v>
      </c>
      <c r="L78" s="504">
        <v>16.84</v>
      </c>
      <c r="M78" s="504">
        <v>17.5</v>
      </c>
      <c r="N78" s="505">
        <v>0.10299999999999999</v>
      </c>
      <c r="O78" s="505">
        <v>0.1</v>
      </c>
      <c r="P78" s="505">
        <v>0.112</v>
      </c>
      <c r="Q78" s="78">
        <v>0.44</v>
      </c>
      <c r="R78" s="78">
        <v>0.31740000000000002</v>
      </c>
      <c r="S78" s="69">
        <v>0</v>
      </c>
      <c r="T78" s="69">
        <v>0</v>
      </c>
      <c r="U78" s="505">
        <v>0.85</v>
      </c>
      <c r="V78" s="76">
        <v>0</v>
      </c>
      <c r="W78" s="76">
        <v>0</v>
      </c>
      <c r="X78" s="76" t="s">
        <v>147</v>
      </c>
    </row>
    <row r="79" spans="1:24" x14ac:dyDescent="0.25">
      <c r="A79" s="75" t="str">
        <f t="shared" si="2"/>
        <v>Pago_de_Hipoteca PF Wealth &amp; Premier Executive Pago_Fijo_Puntual 7</v>
      </c>
      <c r="B79" s="75" t="str">
        <f t="shared" si="3"/>
        <v>Pago_de_Hipoteca PF Wealth &amp; Premier Executive Pago_Fijo_Puntual 7 0.106</v>
      </c>
      <c r="C79" s="75" t="s">
        <v>173</v>
      </c>
      <c r="D79" s="75" t="s">
        <v>132</v>
      </c>
      <c r="E79" s="75" t="s">
        <v>175</v>
      </c>
      <c r="F79" s="75"/>
      <c r="G79" s="75"/>
      <c r="H79" s="75"/>
      <c r="I79" s="75" t="s">
        <v>171</v>
      </c>
      <c r="J79" s="503">
        <v>7</v>
      </c>
      <c r="K79" s="503">
        <v>3</v>
      </c>
      <c r="L79" s="504">
        <v>17</v>
      </c>
      <c r="M79" s="504">
        <v>17.66</v>
      </c>
      <c r="N79" s="505">
        <v>0.106</v>
      </c>
      <c r="O79" s="505">
        <v>0.10299999999999999</v>
      </c>
      <c r="P79" s="505">
        <v>0.11799999999999999</v>
      </c>
      <c r="Q79" s="78">
        <v>0.44</v>
      </c>
      <c r="R79" s="78">
        <v>0.31740000000000002</v>
      </c>
      <c r="S79" s="69">
        <v>0</v>
      </c>
      <c r="T79" s="69">
        <v>0</v>
      </c>
      <c r="U79" s="505">
        <v>0.85</v>
      </c>
      <c r="V79" s="76">
        <v>0</v>
      </c>
      <c r="W79" s="76">
        <v>0</v>
      </c>
      <c r="X79" s="76"/>
    </row>
    <row r="80" spans="1:24" x14ac:dyDescent="0.25">
      <c r="A80" s="75" t="str">
        <f t="shared" si="2"/>
        <v>Pago_de_Hipoteca PF Wealth &amp; Premier Executive Pago_Fijo_Puntual Si 6</v>
      </c>
      <c r="B80" s="75" t="str">
        <f t="shared" si="3"/>
        <v>Pago_de_Hipoteca PF Wealth &amp; Premier Executive Pago_Fijo_Puntual Si 6 0.103</v>
      </c>
      <c r="C80" s="75" t="s">
        <v>173</v>
      </c>
      <c r="D80" s="75" t="s">
        <v>132</v>
      </c>
      <c r="E80" s="75" t="s">
        <v>175</v>
      </c>
      <c r="F80" s="75"/>
      <c r="G80" s="75"/>
      <c r="H80" s="75"/>
      <c r="I80" s="75" t="s">
        <v>171</v>
      </c>
      <c r="J80" s="503">
        <v>6</v>
      </c>
      <c r="K80" s="503" t="s">
        <v>387</v>
      </c>
      <c r="L80" s="504">
        <v>18.739999999999998</v>
      </c>
      <c r="M80" s="504">
        <v>19.399999999999999</v>
      </c>
      <c r="N80" s="505">
        <v>0.10299999999999999</v>
      </c>
      <c r="O80" s="505">
        <v>0.1</v>
      </c>
      <c r="P80" s="505">
        <v>0.112</v>
      </c>
      <c r="Q80" s="78">
        <v>0.44</v>
      </c>
      <c r="R80" s="78">
        <v>0.31740000000000002</v>
      </c>
      <c r="S80" s="69">
        <v>0</v>
      </c>
      <c r="T80" s="69">
        <v>0</v>
      </c>
      <c r="U80" s="505">
        <v>0.85</v>
      </c>
      <c r="V80" s="76">
        <v>0</v>
      </c>
      <c r="W80" s="76">
        <v>0</v>
      </c>
      <c r="X80" s="76" t="s">
        <v>147</v>
      </c>
    </row>
    <row r="81" spans="1:24" x14ac:dyDescent="0.25">
      <c r="A81" s="75" t="str">
        <f t="shared" si="2"/>
        <v>Pago_de_Hipoteca PF Wealth &amp; Premier Executive Pago_Fijo_Puntual 6</v>
      </c>
      <c r="B81" s="75" t="str">
        <f t="shared" si="3"/>
        <v>Pago_de_Hipoteca PF Wealth &amp; Premier Executive Pago_Fijo_Puntual 6 0.106</v>
      </c>
      <c r="C81" s="75" t="s">
        <v>173</v>
      </c>
      <c r="D81" s="75" t="s">
        <v>132</v>
      </c>
      <c r="E81" s="75" t="s">
        <v>175</v>
      </c>
      <c r="F81" s="75"/>
      <c r="G81" s="75"/>
      <c r="H81" s="75"/>
      <c r="I81" s="75" t="s">
        <v>171</v>
      </c>
      <c r="J81" s="503">
        <v>6</v>
      </c>
      <c r="K81" s="503">
        <v>3</v>
      </c>
      <c r="L81" s="504">
        <v>18.89</v>
      </c>
      <c r="M81" s="504">
        <v>19.55</v>
      </c>
      <c r="N81" s="505">
        <v>0.106</v>
      </c>
      <c r="O81" s="505">
        <v>0.10299999999999999</v>
      </c>
      <c r="P81" s="505">
        <v>0.11799999999999999</v>
      </c>
      <c r="Q81" s="78">
        <v>0.44</v>
      </c>
      <c r="R81" s="78">
        <v>0.31740000000000002</v>
      </c>
      <c r="S81" s="69">
        <v>0</v>
      </c>
      <c r="T81" s="69">
        <v>0</v>
      </c>
      <c r="U81" s="505">
        <v>0.85</v>
      </c>
      <c r="V81" s="76">
        <v>0</v>
      </c>
      <c r="W81" s="76">
        <v>0</v>
      </c>
      <c r="X81" s="76"/>
    </row>
    <row r="82" spans="1:24" x14ac:dyDescent="0.25">
      <c r="A82" s="75" t="str">
        <f t="shared" si="2"/>
        <v>Pago_de_Hipoteca PF Wealth &amp; Premier Executive Pago_Fijo_Puntual Si 5</v>
      </c>
      <c r="B82" s="75" t="str">
        <f t="shared" si="3"/>
        <v>Pago_de_Hipoteca PF Wealth &amp; Premier Executive Pago_Fijo_Puntual Si 5 0.103</v>
      </c>
      <c r="C82" s="75" t="s">
        <v>173</v>
      </c>
      <c r="D82" s="75" t="s">
        <v>132</v>
      </c>
      <c r="E82" s="75" t="s">
        <v>175</v>
      </c>
      <c r="F82" s="75"/>
      <c r="G82" s="75"/>
      <c r="H82" s="75"/>
      <c r="I82" s="75" t="s">
        <v>171</v>
      </c>
      <c r="J82" s="503">
        <v>5</v>
      </c>
      <c r="K82" s="503" t="s">
        <v>387</v>
      </c>
      <c r="L82" s="504">
        <v>21.44</v>
      </c>
      <c r="M82" s="504">
        <v>22.1</v>
      </c>
      <c r="N82" s="505">
        <v>0.10299999999999999</v>
      </c>
      <c r="O82" s="505">
        <v>0.1</v>
      </c>
      <c r="P82" s="505">
        <v>0.112</v>
      </c>
      <c r="Q82" s="78">
        <v>0.44</v>
      </c>
      <c r="R82" s="78">
        <v>0.31740000000000002</v>
      </c>
      <c r="S82" s="69">
        <v>0</v>
      </c>
      <c r="T82" s="69">
        <v>0</v>
      </c>
      <c r="U82" s="505">
        <v>0.85</v>
      </c>
      <c r="V82" s="76">
        <v>0</v>
      </c>
      <c r="W82" s="76">
        <v>0</v>
      </c>
      <c r="X82" s="76" t="s">
        <v>147</v>
      </c>
    </row>
    <row r="83" spans="1:24" x14ac:dyDescent="0.25">
      <c r="A83" s="75" t="str">
        <f t="shared" si="2"/>
        <v>Pago_de_Hipoteca PF Wealth &amp; Premier Executive Pago_Fijo_Puntual 5</v>
      </c>
      <c r="B83" s="75" t="str">
        <f t="shared" si="3"/>
        <v>Pago_de_Hipoteca PF Wealth &amp; Premier Executive Pago_Fijo_Puntual 5 0.106</v>
      </c>
      <c r="C83" s="75" t="s">
        <v>173</v>
      </c>
      <c r="D83" s="75" t="s">
        <v>132</v>
      </c>
      <c r="E83" s="75" t="s">
        <v>175</v>
      </c>
      <c r="F83" s="75"/>
      <c r="G83" s="75"/>
      <c r="H83" s="75"/>
      <c r="I83" s="75" t="s">
        <v>171</v>
      </c>
      <c r="J83" s="503">
        <v>5</v>
      </c>
      <c r="K83" s="503">
        <v>3</v>
      </c>
      <c r="L83" s="504">
        <v>21.58</v>
      </c>
      <c r="M83" s="504">
        <v>22.24</v>
      </c>
      <c r="N83" s="505">
        <v>0.106</v>
      </c>
      <c r="O83" s="505">
        <v>0.10299999999999999</v>
      </c>
      <c r="P83" s="505">
        <v>0.11799999999999999</v>
      </c>
      <c r="Q83" s="78">
        <v>0.44</v>
      </c>
      <c r="R83" s="78">
        <v>0.31740000000000002</v>
      </c>
      <c r="S83" s="69">
        <v>0</v>
      </c>
      <c r="T83" s="69">
        <v>0</v>
      </c>
      <c r="U83" s="505">
        <v>0.85</v>
      </c>
      <c r="V83" s="76">
        <v>0</v>
      </c>
      <c r="W83" s="76">
        <v>0</v>
      </c>
      <c r="X83" s="76"/>
    </row>
    <row r="84" spans="1:24" x14ac:dyDescent="0.25">
      <c r="A84" s="75" t="str">
        <f t="shared" si="2"/>
        <v>Pago_de_Hipoteca PFAE Wealth &amp; Premier Executive Pago_Fijo_Puntual Si 20</v>
      </c>
      <c r="B84" s="75" t="str">
        <f t="shared" si="3"/>
        <v>Pago_de_Hipoteca PFAE Wealth &amp; Premier Executive Pago_Fijo_Puntual Si 20 0.103</v>
      </c>
      <c r="C84" s="75" t="s">
        <v>173</v>
      </c>
      <c r="D84" s="75" t="s">
        <v>168</v>
      </c>
      <c r="E84" s="75" t="s">
        <v>175</v>
      </c>
      <c r="F84" s="75"/>
      <c r="G84" s="75"/>
      <c r="H84" s="75"/>
      <c r="I84" s="75" t="s">
        <v>171</v>
      </c>
      <c r="J84" s="503">
        <v>20</v>
      </c>
      <c r="K84" s="503" t="s">
        <v>387</v>
      </c>
      <c r="L84" s="504">
        <v>10.16</v>
      </c>
      <c r="M84" s="504">
        <v>10.82</v>
      </c>
      <c r="N84" s="505">
        <v>0.10299999999999999</v>
      </c>
      <c r="O84" s="505">
        <v>0.1</v>
      </c>
      <c r="P84" s="505">
        <v>0.112</v>
      </c>
      <c r="Q84" s="78">
        <v>0.44</v>
      </c>
      <c r="R84" s="78">
        <v>0.31740000000000002</v>
      </c>
      <c r="S84" s="69">
        <v>0</v>
      </c>
      <c r="T84" s="69">
        <v>0</v>
      </c>
      <c r="U84" s="505">
        <v>0.85</v>
      </c>
      <c r="V84" s="76">
        <v>0</v>
      </c>
      <c r="W84" s="76">
        <v>0</v>
      </c>
      <c r="X84" s="76" t="s">
        <v>147</v>
      </c>
    </row>
    <row r="85" spans="1:24" x14ac:dyDescent="0.25">
      <c r="A85" s="75" t="str">
        <f t="shared" si="2"/>
        <v>Pago_de_Hipoteca PFAE Wealth &amp; Premier Executive Pago_Fijo_Puntual 20</v>
      </c>
      <c r="B85" s="75" t="str">
        <f t="shared" si="3"/>
        <v>Pago_de_Hipoteca PFAE Wealth &amp; Premier Executive Pago_Fijo_Puntual 20 0.106</v>
      </c>
      <c r="C85" s="75" t="s">
        <v>173</v>
      </c>
      <c r="D85" s="75" t="s">
        <v>168</v>
      </c>
      <c r="E85" s="75" t="s">
        <v>175</v>
      </c>
      <c r="F85" s="75"/>
      <c r="G85" s="75"/>
      <c r="H85" s="75"/>
      <c r="I85" s="75" t="s">
        <v>171</v>
      </c>
      <c r="J85" s="503">
        <v>20</v>
      </c>
      <c r="K85" s="503">
        <v>3</v>
      </c>
      <c r="L85" s="504">
        <v>10.4</v>
      </c>
      <c r="M85" s="504">
        <v>11.06</v>
      </c>
      <c r="N85" s="505">
        <v>0.106</v>
      </c>
      <c r="O85" s="505">
        <v>0.10299999999999999</v>
      </c>
      <c r="P85" s="505">
        <v>0.11799999999999999</v>
      </c>
      <c r="Q85" s="78">
        <v>0.44</v>
      </c>
      <c r="R85" s="78">
        <v>0.31740000000000002</v>
      </c>
      <c r="S85" s="69">
        <v>0</v>
      </c>
      <c r="T85" s="69">
        <v>0</v>
      </c>
      <c r="U85" s="505">
        <v>0.7</v>
      </c>
      <c r="V85" s="76">
        <v>0</v>
      </c>
      <c r="W85" s="76">
        <v>0</v>
      </c>
      <c r="X85" s="76"/>
    </row>
    <row r="86" spans="1:24" x14ac:dyDescent="0.25">
      <c r="A86" s="75" t="str">
        <f t="shared" si="2"/>
        <v>Pago_de_Hipoteca PFAE Wealth &amp; Premier Executive Pago_Fijo_Puntual Si 19</v>
      </c>
      <c r="B86" s="75" t="str">
        <f t="shared" si="3"/>
        <v>Pago_de_Hipoteca PFAE Wealth &amp; Premier Executive Pago_Fijo_Puntual Si 19 0.103</v>
      </c>
      <c r="C86" s="75" t="s">
        <v>173</v>
      </c>
      <c r="D86" s="75" t="s">
        <v>168</v>
      </c>
      <c r="E86" s="75" t="s">
        <v>175</v>
      </c>
      <c r="F86" s="75"/>
      <c r="G86" s="75"/>
      <c r="H86" s="75"/>
      <c r="I86" s="75" t="s">
        <v>171</v>
      </c>
      <c r="J86" s="503">
        <v>19</v>
      </c>
      <c r="K86" s="503" t="s">
        <v>387</v>
      </c>
      <c r="L86" s="504">
        <v>10.3</v>
      </c>
      <c r="M86" s="504">
        <v>10.96</v>
      </c>
      <c r="N86" s="505">
        <v>0.10299999999999999</v>
      </c>
      <c r="O86" s="505">
        <v>0.1</v>
      </c>
      <c r="P86" s="505">
        <v>0.112</v>
      </c>
      <c r="Q86" s="78">
        <v>0.44</v>
      </c>
      <c r="R86" s="78">
        <v>0.31740000000000002</v>
      </c>
      <c r="S86" s="69">
        <v>0</v>
      </c>
      <c r="T86" s="69">
        <v>0</v>
      </c>
      <c r="U86" s="505">
        <v>0.85</v>
      </c>
      <c r="V86" s="76">
        <v>0</v>
      </c>
      <c r="W86" s="76">
        <v>0</v>
      </c>
      <c r="X86" s="76" t="s">
        <v>147</v>
      </c>
    </row>
    <row r="87" spans="1:24" x14ac:dyDescent="0.25">
      <c r="A87" s="75" t="str">
        <f t="shared" si="2"/>
        <v>Pago_de_Hipoteca PFAE Wealth &amp; Premier Executive Pago_Fijo_Puntual 19</v>
      </c>
      <c r="B87" s="75" t="str">
        <f t="shared" si="3"/>
        <v>Pago_de_Hipoteca PFAE Wealth &amp; Premier Executive Pago_Fijo_Puntual 19 0.106</v>
      </c>
      <c r="C87" s="75" t="s">
        <v>173</v>
      </c>
      <c r="D87" s="75" t="s">
        <v>168</v>
      </c>
      <c r="E87" s="75" t="s">
        <v>175</v>
      </c>
      <c r="F87" s="75"/>
      <c r="G87" s="75"/>
      <c r="H87" s="75"/>
      <c r="I87" s="75" t="s">
        <v>171</v>
      </c>
      <c r="J87" s="503">
        <v>19</v>
      </c>
      <c r="K87" s="503">
        <v>3</v>
      </c>
      <c r="L87" s="504">
        <v>10.54</v>
      </c>
      <c r="M87" s="504">
        <v>11.2</v>
      </c>
      <c r="N87" s="505">
        <v>0.106</v>
      </c>
      <c r="O87" s="505">
        <v>0.10299999999999999</v>
      </c>
      <c r="P87" s="505">
        <v>0.11799999999999999</v>
      </c>
      <c r="Q87" s="78">
        <v>0.44</v>
      </c>
      <c r="R87" s="78">
        <v>0.31740000000000002</v>
      </c>
      <c r="S87" s="69">
        <v>0</v>
      </c>
      <c r="T87" s="69">
        <v>0</v>
      </c>
      <c r="U87" s="505">
        <v>0.7</v>
      </c>
      <c r="V87" s="76">
        <v>0</v>
      </c>
      <c r="W87" s="76">
        <v>0</v>
      </c>
      <c r="X87" s="76"/>
    </row>
    <row r="88" spans="1:24" x14ac:dyDescent="0.25">
      <c r="A88" s="75" t="str">
        <f t="shared" si="2"/>
        <v>Pago_de_Hipoteca PFAE Wealth &amp; Premier Executive Pago_Fijo_Puntual Si 18</v>
      </c>
      <c r="B88" s="75" t="str">
        <f t="shared" si="3"/>
        <v>Pago_de_Hipoteca PFAE Wealth &amp; Premier Executive Pago_Fijo_Puntual Si 18 0.103</v>
      </c>
      <c r="C88" s="75" t="s">
        <v>173</v>
      </c>
      <c r="D88" s="75" t="s">
        <v>168</v>
      </c>
      <c r="E88" s="75" t="s">
        <v>175</v>
      </c>
      <c r="F88" s="75"/>
      <c r="G88" s="75"/>
      <c r="H88" s="75"/>
      <c r="I88" s="75" t="s">
        <v>171</v>
      </c>
      <c r="J88" s="503">
        <v>18</v>
      </c>
      <c r="K88" s="503" t="s">
        <v>387</v>
      </c>
      <c r="L88" s="504">
        <v>10.47</v>
      </c>
      <c r="M88" s="504">
        <v>11.13</v>
      </c>
      <c r="N88" s="505">
        <v>0.10299999999999999</v>
      </c>
      <c r="O88" s="505">
        <v>0.1</v>
      </c>
      <c r="P88" s="505">
        <v>0.112</v>
      </c>
      <c r="Q88" s="78">
        <v>0.44</v>
      </c>
      <c r="R88" s="78">
        <v>0.31740000000000002</v>
      </c>
      <c r="S88" s="69">
        <v>0</v>
      </c>
      <c r="T88" s="69">
        <v>0</v>
      </c>
      <c r="U88" s="505">
        <v>0.85</v>
      </c>
      <c r="V88" s="76">
        <v>0</v>
      </c>
      <c r="W88" s="76">
        <v>0</v>
      </c>
      <c r="X88" s="76" t="s">
        <v>147</v>
      </c>
    </row>
    <row r="89" spans="1:24" x14ac:dyDescent="0.25">
      <c r="A89" s="75" t="str">
        <f t="shared" si="2"/>
        <v>Pago_de_Hipoteca PFAE Wealth &amp; Premier Executive Pago_Fijo_Puntual 18</v>
      </c>
      <c r="B89" s="75" t="str">
        <f t="shared" si="3"/>
        <v>Pago_de_Hipoteca PFAE Wealth &amp; Premier Executive Pago_Fijo_Puntual 18 0.106</v>
      </c>
      <c r="C89" s="75" t="s">
        <v>173</v>
      </c>
      <c r="D89" s="75" t="s">
        <v>168</v>
      </c>
      <c r="E89" s="75" t="s">
        <v>175</v>
      </c>
      <c r="F89" s="75"/>
      <c r="G89" s="75"/>
      <c r="H89" s="75"/>
      <c r="I89" s="75" t="s">
        <v>171</v>
      </c>
      <c r="J89" s="503">
        <v>18</v>
      </c>
      <c r="K89" s="503">
        <v>3</v>
      </c>
      <c r="L89" s="504">
        <v>10.71</v>
      </c>
      <c r="M89" s="504">
        <v>11.37</v>
      </c>
      <c r="N89" s="505">
        <v>0.106</v>
      </c>
      <c r="O89" s="505">
        <v>0.10299999999999999</v>
      </c>
      <c r="P89" s="505">
        <v>0.11799999999999999</v>
      </c>
      <c r="Q89" s="78">
        <v>0.44</v>
      </c>
      <c r="R89" s="78">
        <v>0.31740000000000002</v>
      </c>
      <c r="S89" s="69">
        <v>0</v>
      </c>
      <c r="T89" s="69">
        <v>0</v>
      </c>
      <c r="U89" s="505">
        <v>0.7</v>
      </c>
      <c r="V89" s="76">
        <v>0</v>
      </c>
      <c r="W89" s="76">
        <v>0</v>
      </c>
      <c r="X89" s="76"/>
    </row>
    <row r="90" spans="1:24" x14ac:dyDescent="0.25">
      <c r="A90" s="75" t="str">
        <f t="shared" si="2"/>
        <v>Pago_de_Hipoteca PFAE Wealth &amp; Premier Executive Pago_Fijo_Puntual Si 17</v>
      </c>
      <c r="B90" s="75" t="str">
        <f t="shared" si="3"/>
        <v>Pago_de_Hipoteca PFAE Wealth &amp; Premier Executive Pago_Fijo_Puntual Si 17 0.103</v>
      </c>
      <c r="C90" s="75" t="s">
        <v>173</v>
      </c>
      <c r="D90" s="75" t="s">
        <v>168</v>
      </c>
      <c r="E90" s="75" t="s">
        <v>175</v>
      </c>
      <c r="F90" s="75"/>
      <c r="G90" s="75"/>
      <c r="H90" s="75"/>
      <c r="I90" s="75" t="s">
        <v>171</v>
      </c>
      <c r="J90" s="503">
        <v>17</v>
      </c>
      <c r="K90" s="503" t="s">
        <v>387</v>
      </c>
      <c r="L90" s="504">
        <v>10.67</v>
      </c>
      <c r="M90" s="504">
        <v>11.33</v>
      </c>
      <c r="N90" s="505">
        <v>0.10299999999999999</v>
      </c>
      <c r="O90" s="505">
        <v>0.1</v>
      </c>
      <c r="P90" s="505">
        <v>0.112</v>
      </c>
      <c r="Q90" s="78">
        <v>0.44</v>
      </c>
      <c r="R90" s="78">
        <v>0.31740000000000002</v>
      </c>
      <c r="S90" s="69">
        <v>0</v>
      </c>
      <c r="T90" s="69">
        <v>0</v>
      </c>
      <c r="U90" s="505">
        <v>0.85</v>
      </c>
      <c r="V90" s="76">
        <v>0</v>
      </c>
      <c r="W90" s="76">
        <v>0</v>
      </c>
      <c r="X90" s="76" t="s">
        <v>147</v>
      </c>
    </row>
    <row r="91" spans="1:24" x14ac:dyDescent="0.25">
      <c r="A91" s="75" t="str">
        <f t="shared" si="2"/>
        <v>Pago_de_Hipoteca PFAE Wealth &amp; Premier Executive Pago_Fijo_Puntual 17</v>
      </c>
      <c r="B91" s="75" t="str">
        <f t="shared" si="3"/>
        <v>Pago_de_Hipoteca PFAE Wealth &amp; Premier Executive Pago_Fijo_Puntual 17 0.106</v>
      </c>
      <c r="C91" s="75" t="s">
        <v>173</v>
      </c>
      <c r="D91" s="75" t="s">
        <v>168</v>
      </c>
      <c r="E91" s="75" t="s">
        <v>175</v>
      </c>
      <c r="F91" s="75"/>
      <c r="G91" s="75"/>
      <c r="H91" s="75"/>
      <c r="I91" s="75" t="s">
        <v>171</v>
      </c>
      <c r="J91" s="503">
        <v>17</v>
      </c>
      <c r="K91" s="503">
        <v>3</v>
      </c>
      <c r="L91" s="504">
        <v>10.9</v>
      </c>
      <c r="M91" s="504">
        <v>11.56</v>
      </c>
      <c r="N91" s="505">
        <v>0.106</v>
      </c>
      <c r="O91" s="505">
        <v>0.10299999999999999</v>
      </c>
      <c r="P91" s="505">
        <v>0.11799999999999999</v>
      </c>
      <c r="Q91" s="78">
        <v>0.44</v>
      </c>
      <c r="R91" s="78">
        <v>0.31740000000000002</v>
      </c>
      <c r="S91" s="69">
        <v>0</v>
      </c>
      <c r="T91" s="69">
        <v>0</v>
      </c>
      <c r="U91" s="505">
        <v>0.7</v>
      </c>
      <c r="V91" s="76">
        <v>0</v>
      </c>
      <c r="W91" s="76">
        <v>0</v>
      </c>
      <c r="X91" s="76"/>
    </row>
    <row r="92" spans="1:24" x14ac:dyDescent="0.25">
      <c r="A92" s="75" t="str">
        <f t="shared" si="2"/>
        <v>Pago_de_Hipoteca PFAE Wealth &amp; Premier Executive Pago_Fijo_Puntual Si 16</v>
      </c>
      <c r="B92" s="75" t="str">
        <f t="shared" si="3"/>
        <v>Pago_de_Hipoteca PFAE Wealth &amp; Premier Executive Pago_Fijo_Puntual Si 16 0.103</v>
      </c>
      <c r="C92" s="75" t="s">
        <v>173</v>
      </c>
      <c r="D92" s="75" t="s">
        <v>168</v>
      </c>
      <c r="E92" s="75" t="s">
        <v>175</v>
      </c>
      <c r="F92" s="75"/>
      <c r="G92" s="75"/>
      <c r="H92" s="75"/>
      <c r="I92" s="75" t="s">
        <v>171</v>
      </c>
      <c r="J92" s="503">
        <v>16</v>
      </c>
      <c r="K92" s="503" t="s">
        <v>387</v>
      </c>
      <c r="L92" s="504">
        <v>10.9</v>
      </c>
      <c r="M92" s="504">
        <v>11.56</v>
      </c>
      <c r="N92" s="505">
        <v>0.10299999999999999</v>
      </c>
      <c r="O92" s="505">
        <v>0.1</v>
      </c>
      <c r="P92" s="505">
        <v>0.112</v>
      </c>
      <c r="Q92" s="78">
        <v>0.44</v>
      </c>
      <c r="R92" s="78">
        <v>0.31740000000000002</v>
      </c>
      <c r="S92" s="69">
        <v>0</v>
      </c>
      <c r="T92" s="69">
        <v>0</v>
      </c>
      <c r="U92" s="505">
        <v>0.85</v>
      </c>
      <c r="V92" s="76">
        <v>0</v>
      </c>
      <c r="W92" s="76">
        <v>0</v>
      </c>
      <c r="X92" s="76" t="s">
        <v>147</v>
      </c>
    </row>
    <row r="93" spans="1:24" x14ac:dyDescent="0.25">
      <c r="A93" s="75" t="str">
        <f t="shared" si="2"/>
        <v>Pago_de_Hipoteca PFAE Wealth &amp; Premier Executive Pago_Fijo_Puntual 16</v>
      </c>
      <c r="B93" s="75" t="str">
        <f t="shared" si="3"/>
        <v>Pago_de_Hipoteca PFAE Wealth &amp; Premier Executive Pago_Fijo_Puntual 16 0.106</v>
      </c>
      <c r="C93" s="75" t="s">
        <v>173</v>
      </c>
      <c r="D93" s="75" t="s">
        <v>168</v>
      </c>
      <c r="E93" s="75" t="s">
        <v>175</v>
      </c>
      <c r="F93" s="75"/>
      <c r="G93" s="75"/>
      <c r="H93" s="75"/>
      <c r="I93" s="75" t="s">
        <v>171</v>
      </c>
      <c r="J93" s="503">
        <v>16</v>
      </c>
      <c r="K93" s="503">
        <v>3</v>
      </c>
      <c r="L93" s="504">
        <v>11.12</v>
      </c>
      <c r="M93" s="504">
        <v>11.78</v>
      </c>
      <c r="N93" s="505">
        <v>0.106</v>
      </c>
      <c r="O93" s="505">
        <v>0.10299999999999999</v>
      </c>
      <c r="P93" s="505">
        <v>0.11799999999999999</v>
      </c>
      <c r="Q93" s="78">
        <v>0.44</v>
      </c>
      <c r="R93" s="78">
        <v>0.31740000000000002</v>
      </c>
      <c r="S93" s="69">
        <v>0</v>
      </c>
      <c r="T93" s="69">
        <v>0</v>
      </c>
      <c r="U93" s="505">
        <v>0.7</v>
      </c>
      <c r="V93" s="76">
        <v>0</v>
      </c>
      <c r="W93" s="76">
        <v>0</v>
      </c>
      <c r="X93" s="76"/>
    </row>
    <row r="94" spans="1:24" x14ac:dyDescent="0.25">
      <c r="A94" s="75" t="str">
        <f t="shared" si="2"/>
        <v>Pago_de_Hipoteca PFAE Wealth &amp; Premier Executive Pago_Fijo_Puntual Si 15</v>
      </c>
      <c r="B94" s="75" t="str">
        <f t="shared" si="3"/>
        <v>Pago_de_Hipoteca PFAE Wealth &amp; Premier Executive Pago_Fijo_Puntual Si 15 0.103</v>
      </c>
      <c r="C94" s="75" t="s">
        <v>173</v>
      </c>
      <c r="D94" s="75" t="s">
        <v>168</v>
      </c>
      <c r="E94" s="75" t="s">
        <v>175</v>
      </c>
      <c r="F94" s="75"/>
      <c r="G94" s="75"/>
      <c r="H94" s="75"/>
      <c r="I94" s="75" t="s">
        <v>171</v>
      </c>
      <c r="J94" s="503">
        <v>15</v>
      </c>
      <c r="K94" s="503" t="s">
        <v>387</v>
      </c>
      <c r="L94" s="504">
        <v>11.18</v>
      </c>
      <c r="M94" s="504">
        <v>11.84</v>
      </c>
      <c r="N94" s="505">
        <v>0.10299999999999999</v>
      </c>
      <c r="O94" s="505">
        <v>0.1</v>
      </c>
      <c r="P94" s="505">
        <v>0.112</v>
      </c>
      <c r="Q94" s="78">
        <v>0.44</v>
      </c>
      <c r="R94" s="78">
        <v>0.31740000000000002</v>
      </c>
      <c r="S94" s="69">
        <v>0</v>
      </c>
      <c r="T94" s="69">
        <v>0</v>
      </c>
      <c r="U94" s="505">
        <v>0.85</v>
      </c>
      <c r="V94" s="76">
        <v>0</v>
      </c>
      <c r="W94" s="76">
        <v>0</v>
      </c>
      <c r="X94" s="76" t="s">
        <v>147</v>
      </c>
    </row>
    <row r="95" spans="1:24" x14ac:dyDescent="0.25">
      <c r="A95" s="75" t="str">
        <f t="shared" si="2"/>
        <v>Pago_de_Hipoteca PFAE Wealth &amp; Premier Executive Pago_Fijo_Puntual 15</v>
      </c>
      <c r="B95" s="75" t="str">
        <f t="shared" si="3"/>
        <v>Pago_de_Hipoteca PFAE Wealth &amp; Premier Executive Pago_Fijo_Puntual 15 0.106</v>
      </c>
      <c r="C95" s="75" t="s">
        <v>173</v>
      </c>
      <c r="D95" s="75" t="s">
        <v>168</v>
      </c>
      <c r="E95" s="75" t="s">
        <v>175</v>
      </c>
      <c r="F95" s="75"/>
      <c r="G95" s="75"/>
      <c r="H95" s="75"/>
      <c r="I95" s="75" t="s">
        <v>171</v>
      </c>
      <c r="J95" s="503">
        <v>15</v>
      </c>
      <c r="K95" s="503">
        <v>3</v>
      </c>
      <c r="L95" s="504">
        <v>11.38</v>
      </c>
      <c r="M95" s="504">
        <v>12.04</v>
      </c>
      <c r="N95" s="505">
        <v>0.106</v>
      </c>
      <c r="O95" s="505">
        <v>0.10299999999999999</v>
      </c>
      <c r="P95" s="505">
        <v>0.11799999999999999</v>
      </c>
      <c r="Q95" s="78">
        <v>0.44</v>
      </c>
      <c r="R95" s="78">
        <v>0.31740000000000002</v>
      </c>
      <c r="S95" s="69">
        <v>0</v>
      </c>
      <c r="T95" s="69">
        <v>0</v>
      </c>
      <c r="U95" s="505">
        <v>0.7</v>
      </c>
      <c r="V95" s="76">
        <v>0</v>
      </c>
      <c r="W95" s="76">
        <v>0</v>
      </c>
      <c r="X95" s="76"/>
    </row>
    <row r="96" spans="1:24" x14ac:dyDescent="0.25">
      <c r="A96" s="75" t="str">
        <f t="shared" si="2"/>
        <v>Pago_de_Hipoteca PFAE Wealth &amp; Premier Executive Pago_Fijo_Puntual Si 14</v>
      </c>
      <c r="B96" s="75" t="str">
        <f t="shared" si="3"/>
        <v>Pago_de_Hipoteca PFAE Wealth &amp; Premier Executive Pago_Fijo_Puntual Si 14 0.103</v>
      </c>
      <c r="C96" s="75" t="s">
        <v>173</v>
      </c>
      <c r="D96" s="75" t="s">
        <v>168</v>
      </c>
      <c r="E96" s="75" t="s">
        <v>175</v>
      </c>
      <c r="F96" s="75"/>
      <c r="G96" s="75"/>
      <c r="H96" s="75"/>
      <c r="I96" s="75" t="s">
        <v>171</v>
      </c>
      <c r="J96" s="503">
        <v>14</v>
      </c>
      <c r="K96" s="503" t="s">
        <v>387</v>
      </c>
      <c r="L96" s="504">
        <v>11.49</v>
      </c>
      <c r="M96" s="504">
        <v>12.15</v>
      </c>
      <c r="N96" s="505">
        <v>0.10299999999999999</v>
      </c>
      <c r="O96" s="505">
        <v>0.1</v>
      </c>
      <c r="P96" s="505">
        <v>0.112</v>
      </c>
      <c r="Q96" s="78">
        <v>0.44</v>
      </c>
      <c r="R96" s="78">
        <v>0.31740000000000002</v>
      </c>
      <c r="S96" s="69">
        <v>0</v>
      </c>
      <c r="T96" s="69">
        <v>0</v>
      </c>
      <c r="U96" s="505">
        <v>0.85</v>
      </c>
      <c r="V96" s="76">
        <v>0</v>
      </c>
      <c r="W96" s="76">
        <v>0</v>
      </c>
      <c r="X96" s="76" t="s">
        <v>147</v>
      </c>
    </row>
    <row r="97" spans="1:24" x14ac:dyDescent="0.25">
      <c r="A97" s="75" t="str">
        <f t="shared" si="2"/>
        <v>Pago_de_Hipoteca PFAE Wealth &amp; Premier Executive Pago_Fijo_Puntual 14</v>
      </c>
      <c r="B97" s="75" t="str">
        <f t="shared" si="3"/>
        <v>Pago_de_Hipoteca PFAE Wealth &amp; Premier Executive Pago_Fijo_Puntual 14 0.106</v>
      </c>
      <c r="C97" s="75" t="s">
        <v>173</v>
      </c>
      <c r="D97" s="75" t="s">
        <v>168</v>
      </c>
      <c r="E97" s="75" t="s">
        <v>175</v>
      </c>
      <c r="F97" s="75"/>
      <c r="G97" s="75"/>
      <c r="H97" s="75"/>
      <c r="I97" s="75" t="s">
        <v>171</v>
      </c>
      <c r="J97" s="503">
        <v>14</v>
      </c>
      <c r="K97" s="503">
        <v>3</v>
      </c>
      <c r="L97" s="504">
        <v>11.69</v>
      </c>
      <c r="M97" s="504">
        <v>12.35</v>
      </c>
      <c r="N97" s="505">
        <v>0.106</v>
      </c>
      <c r="O97" s="505">
        <v>0.10299999999999999</v>
      </c>
      <c r="P97" s="505">
        <v>0.11799999999999999</v>
      </c>
      <c r="Q97" s="78">
        <v>0.44</v>
      </c>
      <c r="R97" s="78">
        <v>0.31740000000000002</v>
      </c>
      <c r="S97" s="69">
        <v>0</v>
      </c>
      <c r="T97" s="69">
        <v>0</v>
      </c>
      <c r="U97" s="505">
        <v>0.7</v>
      </c>
      <c r="V97" s="76">
        <v>0</v>
      </c>
      <c r="W97" s="76">
        <v>0</v>
      </c>
      <c r="X97" s="76"/>
    </row>
    <row r="98" spans="1:24" x14ac:dyDescent="0.25">
      <c r="A98" s="75" t="str">
        <f t="shared" si="2"/>
        <v>Pago_de_Hipoteca PFAE Wealth &amp; Premier Executive Pago_Fijo_Puntual Si 13</v>
      </c>
      <c r="B98" s="75" t="str">
        <f t="shared" si="3"/>
        <v>Pago_de_Hipoteca PFAE Wealth &amp; Premier Executive Pago_Fijo_Puntual Si 13 0.103</v>
      </c>
      <c r="C98" s="75" t="s">
        <v>173</v>
      </c>
      <c r="D98" s="75" t="s">
        <v>168</v>
      </c>
      <c r="E98" s="75" t="s">
        <v>175</v>
      </c>
      <c r="F98" s="75"/>
      <c r="G98" s="75"/>
      <c r="H98" s="75"/>
      <c r="I98" s="75" t="s">
        <v>171</v>
      </c>
      <c r="J98" s="503">
        <v>13</v>
      </c>
      <c r="K98" s="503" t="s">
        <v>387</v>
      </c>
      <c r="L98" s="504">
        <v>11.86</v>
      </c>
      <c r="M98" s="504">
        <v>12.52</v>
      </c>
      <c r="N98" s="505">
        <v>0.10299999999999999</v>
      </c>
      <c r="O98" s="505">
        <v>0.1</v>
      </c>
      <c r="P98" s="505">
        <v>0.112</v>
      </c>
      <c r="Q98" s="78">
        <v>0.44</v>
      </c>
      <c r="R98" s="78">
        <v>0.31740000000000002</v>
      </c>
      <c r="S98" s="69">
        <v>0</v>
      </c>
      <c r="T98" s="69">
        <v>0</v>
      </c>
      <c r="U98" s="505">
        <v>0.85</v>
      </c>
      <c r="V98" s="76">
        <v>0</v>
      </c>
      <c r="W98" s="76">
        <v>0</v>
      </c>
      <c r="X98" s="76" t="s">
        <v>147</v>
      </c>
    </row>
    <row r="99" spans="1:24" x14ac:dyDescent="0.25">
      <c r="A99" s="75" t="str">
        <f t="shared" si="2"/>
        <v>Pago_de_Hipoteca PFAE Wealth &amp; Premier Executive Pago_Fijo_Puntual 13</v>
      </c>
      <c r="B99" s="75" t="str">
        <f t="shared" si="3"/>
        <v>Pago_de_Hipoteca PFAE Wealth &amp; Premier Executive Pago_Fijo_Puntual 13 0.106</v>
      </c>
      <c r="C99" s="75" t="s">
        <v>173</v>
      </c>
      <c r="D99" s="75" t="s">
        <v>168</v>
      </c>
      <c r="E99" s="75" t="s">
        <v>175</v>
      </c>
      <c r="F99" s="75"/>
      <c r="G99" s="75"/>
      <c r="H99" s="75"/>
      <c r="I99" s="75" t="s">
        <v>171</v>
      </c>
      <c r="J99" s="503">
        <v>13</v>
      </c>
      <c r="K99" s="503">
        <v>3</v>
      </c>
      <c r="L99" s="504">
        <v>12.06</v>
      </c>
      <c r="M99" s="504">
        <v>12.72</v>
      </c>
      <c r="N99" s="505">
        <v>0.106</v>
      </c>
      <c r="O99" s="505">
        <v>0.10299999999999999</v>
      </c>
      <c r="P99" s="505">
        <v>0.11799999999999999</v>
      </c>
      <c r="Q99" s="78">
        <v>0.44</v>
      </c>
      <c r="R99" s="78">
        <v>0.31740000000000002</v>
      </c>
      <c r="S99" s="69">
        <v>0</v>
      </c>
      <c r="T99" s="69">
        <v>0</v>
      </c>
      <c r="U99" s="505">
        <v>0.7</v>
      </c>
      <c r="V99" s="76">
        <v>0</v>
      </c>
      <c r="W99" s="76">
        <v>0</v>
      </c>
      <c r="X99" s="76"/>
    </row>
    <row r="100" spans="1:24" x14ac:dyDescent="0.25">
      <c r="A100" s="75" t="str">
        <f t="shared" si="2"/>
        <v>Pago_de_Hipoteca PFAE Wealth &amp; Premier Executive Pago_Fijo_Puntual Si 12</v>
      </c>
      <c r="B100" s="75" t="str">
        <f t="shared" si="3"/>
        <v>Pago_de_Hipoteca PFAE Wealth &amp; Premier Executive Pago_Fijo_Puntual Si 12 0.103</v>
      </c>
      <c r="C100" s="75" t="s">
        <v>173</v>
      </c>
      <c r="D100" s="75" t="s">
        <v>168</v>
      </c>
      <c r="E100" s="75" t="s">
        <v>175</v>
      </c>
      <c r="F100" s="75"/>
      <c r="G100" s="75"/>
      <c r="H100" s="75"/>
      <c r="I100" s="75" t="s">
        <v>171</v>
      </c>
      <c r="J100" s="503">
        <v>12</v>
      </c>
      <c r="K100" s="503" t="s">
        <v>387</v>
      </c>
      <c r="L100" s="504">
        <v>12.31</v>
      </c>
      <c r="M100" s="504">
        <v>12.97</v>
      </c>
      <c r="N100" s="505">
        <v>0.10299999999999999</v>
      </c>
      <c r="O100" s="505">
        <v>0.1</v>
      </c>
      <c r="P100" s="505">
        <v>0.112</v>
      </c>
      <c r="Q100" s="78">
        <v>0.44</v>
      </c>
      <c r="R100" s="78">
        <v>0.31740000000000002</v>
      </c>
      <c r="S100" s="69">
        <v>0</v>
      </c>
      <c r="T100" s="69">
        <v>0</v>
      </c>
      <c r="U100" s="505">
        <v>0.85</v>
      </c>
      <c r="V100" s="76">
        <v>0</v>
      </c>
      <c r="W100" s="76">
        <v>0</v>
      </c>
      <c r="X100" s="76" t="s">
        <v>147</v>
      </c>
    </row>
    <row r="101" spans="1:24" x14ac:dyDescent="0.25">
      <c r="A101" s="75" t="str">
        <f t="shared" si="2"/>
        <v>Pago_de_Hipoteca PFAE Wealth &amp; Premier Executive Pago_Fijo_Puntual 12</v>
      </c>
      <c r="B101" s="75" t="str">
        <f t="shared" si="3"/>
        <v>Pago_de_Hipoteca PFAE Wealth &amp; Premier Executive Pago_Fijo_Puntual 12 0.106</v>
      </c>
      <c r="C101" s="75" t="s">
        <v>173</v>
      </c>
      <c r="D101" s="75" t="s">
        <v>168</v>
      </c>
      <c r="E101" s="75" t="s">
        <v>175</v>
      </c>
      <c r="F101" s="75"/>
      <c r="G101" s="75"/>
      <c r="H101" s="75"/>
      <c r="I101" s="75" t="s">
        <v>171</v>
      </c>
      <c r="J101" s="503">
        <v>12</v>
      </c>
      <c r="K101" s="503">
        <v>3</v>
      </c>
      <c r="L101" s="504">
        <v>12.5</v>
      </c>
      <c r="M101" s="504">
        <v>13.16</v>
      </c>
      <c r="N101" s="505">
        <v>0.106</v>
      </c>
      <c r="O101" s="505">
        <v>0.10299999999999999</v>
      </c>
      <c r="P101" s="505">
        <v>0.11799999999999999</v>
      </c>
      <c r="Q101" s="78">
        <v>0.44</v>
      </c>
      <c r="R101" s="78">
        <v>0.31740000000000002</v>
      </c>
      <c r="S101" s="69">
        <v>0</v>
      </c>
      <c r="T101" s="69">
        <v>0</v>
      </c>
      <c r="U101" s="505">
        <v>0.7</v>
      </c>
      <c r="V101" s="76">
        <v>0</v>
      </c>
      <c r="W101" s="76">
        <v>0</v>
      </c>
      <c r="X101" s="76"/>
    </row>
    <row r="102" spans="1:24" x14ac:dyDescent="0.25">
      <c r="A102" s="75" t="str">
        <f t="shared" si="2"/>
        <v>Pago_de_Hipoteca PFAE Wealth &amp; Premier Executive Pago_Fijo_Puntual Si 11</v>
      </c>
      <c r="B102" s="75" t="str">
        <f t="shared" si="3"/>
        <v>Pago_de_Hipoteca PFAE Wealth &amp; Premier Executive Pago_Fijo_Puntual Si 11 0.103</v>
      </c>
      <c r="C102" s="75" t="s">
        <v>173</v>
      </c>
      <c r="D102" s="75" t="s">
        <v>168</v>
      </c>
      <c r="E102" s="75" t="s">
        <v>175</v>
      </c>
      <c r="F102" s="75"/>
      <c r="G102" s="75"/>
      <c r="H102" s="75"/>
      <c r="I102" s="75" t="s">
        <v>171</v>
      </c>
      <c r="J102" s="503">
        <v>11</v>
      </c>
      <c r="K102" s="503" t="s">
        <v>387</v>
      </c>
      <c r="L102" s="504">
        <v>12.86</v>
      </c>
      <c r="M102" s="504">
        <v>13.52</v>
      </c>
      <c r="N102" s="505">
        <v>0.10299999999999999</v>
      </c>
      <c r="O102" s="505">
        <v>0.1</v>
      </c>
      <c r="P102" s="505">
        <v>0.112</v>
      </c>
      <c r="Q102" s="78">
        <v>0.44</v>
      </c>
      <c r="R102" s="78">
        <v>0.31740000000000002</v>
      </c>
      <c r="S102" s="69">
        <v>0</v>
      </c>
      <c r="T102" s="69">
        <v>0</v>
      </c>
      <c r="U102" s="505">
        <v>0.85</v>
      </c>
      <c r="V102" s="76">
        <v>0</v>
      </c>
      <c r="W102" s="76">
        <v>0</v>
      </c>
      <c r="X102" s="76" t="s">
        <v>147</v>
      </c>
    </row>
    <row r="103" spans="1:24" x14ac:dyDescent="0.25">
      <c r="A103" s="75" t="str">
        <f t="shared" si="2"/>
        <v>Pago_de_Hipoteca PFAE Wealth &amp; Premier Executive Pago_Fijo_Puntual 11</v>
      </c>
      <c r="B103" s="75" t="str">
        <f t="shared" si="3"/>
        <v>Pago_de_Hipoteca PFAE Wealth &amp; Premier Executive Pago_Fijo_Puntual 11 0.106</v>
      </c>
      <c r="C103" s="75" t="s">
        <v>173</v>
      </c>
      <c r="D103" s="75" t="s">
        <v>168</v>
      </c>
      <c r="E103" s="75" t="s">
        <v>175</v>
      </c>
      <c r="F103" s="75"/>
      <c r="G103" s="75"/>
      <c r="H103" s="75"/>
      <c r="I103" s="75" t="s">
        <v>171</v>
      </c>
      <c r="J103" s="503">
        <v>11</v>
      </c>
      <c r="K103" s="503">
        <v>3</v>
      </c>
      <c r="L103" s="504">
        <v>13.04</v>
      </c>
      <c r="M103" s="504">
        <v>13.7</v>
      </c>
      <c r="N103" s="505">
        <v>0.106</v>
      </c>
      <c r="O103" s="505">
        <v>0.10299999999999999</v>
      </c>
      <c r="P103" s="505">
        <v>0.11799999999999999</v>
      </c>
      <c r="Q103" s="78">
        <v>0.44</v>
      </c>
      <c r="R103" s="78">
        <v>0.31740000000000002</v>
      </c>
      <c r="S103" s="69">
        <v>0</v>
      </c>
      <c r="T103" s="69">
        <v>0</v>
      </c>
      <c r="U103" s="505">
        <v>0.7</v>
      </c>
      <c r="V103" s="76">
        <v>0</v>
      </c>
      <c r="W103" s="76">
        <v>0</v>
      </c>
      <c r="X103" s="76"/>
    </row>
    <row r="104" spans="1:24" x14ac:dyDescent="0.25">
      <c r="A104" s="75" t="str">
        <f t="shared" si="2"/>
        <v>Pago_de_Hipoteca PFAE Wealth &amp; Premier Executive Pago_Fijo_Puntual Si 10</v>
      </c>
      <c r="B104" s="75" t="str">
        <f t="shared" si="3"/>
        <v>Pago_de_Hipoteca PFAE Wealth &amp; Premier Executive Pago_Fijo_Puntual Si 10 0.103</v>
      </c>
      <c r="C104" s="75" t="s">
        <v>173</v>
      </c>
      <c r="D104" s="75" t="s">
        <v>168</v>
      </c>
      <c r="E104" s="75" t="s">
        <v>175</v>
      </c>
      <c r="F104" s="75"/>
      <c r="G104" s="75"/>
      <c r="H104" s="75"/>
      <c r="I104" s="75" t="s">
        <v>171</v>
      </c>
      <c r="J104" s="503">
        <v>10</v>
      </c>
      <c r="K104" s="503" t="s">
        <v>387</v>
      </c>
      <c r="L104" s="504">
        <v>13.54</v>
      </c>
      <c r="M104" s="504">
        <v>14.2</v>
      </c>
      <c r="N104" s="505">
        <v>0.10299999999999999</v>
      </c>
      <c r="O104" s="505">
        <v>0.1</v>
      </c>
      <c r="P104" s="505">
        <v>0.112</v>
      </c>
      <c r="Q104" s="78">
        <v>0.44</v>
      </c>
      <c r="R104" s="78">
        <v>0.31740000000000002</v>
      </c>
      <c r="S104" s="69">
        <v>0</v>
      </c>
      <c r="T104" s="69">
        <v>0</v>
      </c>
      <c r="U104" s="505">
        <v>0.85</v>
      </c>
      <c r="V104" s="76">
        <v>0</v>
      </c>
      <c r="W104" s="76">
        <v>0</v>
      </c>
      <c r="X104" s="76" t="s">
        <v>147</v>
      </c>
    </row>
    <row r="105" spans="1:24" x14ac:dyDescent="0.25">
      <c r="A105" s="75" t="str">
        <f t="shared" si="2"/>
        <v>Pago_de_Hipoteca PFAE Wealth &amp; Premier Executive Pago_Fijo_Puntual 10</v>
      </c>
      <c r="B105" s="75" t="str">
        <f t="shared" si="3"/>
        <v>Pago_de_Hipoteca PFAE Wealth &amp; Premier Executive Pago_Fijo_Puntual 10 0.106</v>
      </c>
      <c r="C105" s="75" t="s">
        <v>173</v>
      </c>
      <c r="D105" s="75" t="s">
        <v>168</v>
      </c>
      <c r="E105" s="75" t="s">
        <v>175</v>
      </c>
      <c r="F105" s="75"/>
      <c r="G105" s="75"/>
      <c r="H105" s="75"/>
      <c r="I105" s="75" t="s">
        <v>171</v>
      </c>
      <c r="J105" s="503">
        <v>10</v>
      </c>
      <c r="K105" s="503">
        <v>3</v>
      </c>
      <c r="L105" s="504">
        <v>13.7</v>
      </c>
      <c r="M105" s="504">
        <v>14.36</v>
      </c>
      <c r="N105" s="505">
        <v>0.106</v>
      </c>
      <c r="O105" s="505">
        <v>0.10299999999999999</v>
      </c>
      <c r="P105" s="505">
        <v>0.11799999999999999</v>
      </c>
      <c r="Q105" s="78">
        <v>0.44</v>
      </c>
      <c r="R105" s="78">
        <v>0.31740000000000002</v>
      </c>
      <c r="S105" s="69">
        <v>0</v>
      </c>
      <c r="T105" s="69">
        <v>0</v>
      </c>
      <c r="U105" s="505">
        <v>0.7</v>
      </c>
      <c r="V105" s="76">
        <v>0</v>
      </c>
      <c r="W105" s="76">
        <v>0</v>
      </c>
      <c r="X105" s="76"/>
    </row>
    <row r="106" spans="1:24" x14ac:dyDescent="0.25">
      <c r="A106" s="75" t="str">
        <f t="shared" si="2"/>
        <v>Pago_de_Hipoteca PFAE Wealth &amp; Premier Executive Pago_Fijo_Puntual Si 9</v>
      </c>
      <c r="B106" s="75" t="str">
        <f t="shared" si="3"/>
        <v>Pago_de_Hipoteca PFAE Wealth &amp; Premier Executive Pago_Fijo_Puntual Si 9 0.103</v>
      </c>
      <c r="C106" s="75" t="s">
        <v>173</v>
      </c>
      <c r="D106" s="75" t="s">
        <v>168</v>
      </c>
      <c r="E106" s="75" t="s">
        <v>175</v>
      </c>
      <c r="F106" s="75"/>
      <c r="G106" s="75"/>
      <c r="H106" s="75"/>
      <c r="I106" s="75" t="s">
        <v>171</v>
      </c>
      <c r="J106" s="503">
        <v>9</v>
      </c>
      <c r="K106" s="503" t="s">
        <v>387</v>
      </c>
      <c r="L106" s="504">
        <v>14.37</v>
      </c>
      <c r="M106" s="504">
        <v>15.03</v>
      </c>
      <c r="N106" s="505">
        <v>0.10299999999999999</v>
      </c>
      <c r="O106" s="505">
        <v>0.1</v>
      </c>
      <c r="P106" s="505">
        <v>0.112</v>
      </c>
      <c r="Q106" s="78">
        <v>0.44</v>
      </c>
      <c r="R106" s="78">
        <v>0.31740000000000002</v>
      </c>
      <c r="S106" s="69">
        <v>0</v>
      </c>
      <c r="T106" s="69">
        <v>0</v>
      </c>
      <c r="U106" s="505">
        <v>0.85</v>
      </c>
      <c r="V106" s="76">
        <v>0</v>
      </c>
      <c r="W106" s="76">
        <v>0</v>
      </c>
      <c r="X106" s="76" t="s">
        <v>147</v>
      </c>
    </row>
    <row r="107" spans="1:24" x14ac:dyDescent="0.25">
      <c r="A107" s="75" t="str">
        <f t="shared" si="2"/>
        <v>Pago_de_Hipoteca PFAE Wealth &amp; Premier Executive Pago_Fijo_Puntual 9</v>
      </c>
      <c r="B107" s="75" t="str">
        <f t="shared" si="3"/>
        <v>Pago_de_Hipoteca PFAE Wealth &amp; Premier Executive Pago_Fijo_Puntual 9 0.106</v>
      </c>
      <c r="C107" s="75" t="s">
        <v>173</v>
      </c>
      <c r="D107" s="75" t="s">
        <v>168</v>
      </c>
      <c r="E107" s="75" t="s">
        <v>175</v>
      </c>
      <c r="F107" s="75"/>
      <c r="G107" s="75"/>
      <c r="H107" s="75"/>
      <c r="I107" s="75" t="s">
        <v>171</v>
      </c>
      <c r="J107" s="503">
        <v>9</v>
      </c>
      <c r="K107" s="503">
        <v>3</v>
      </c>
      <c r="L107" s="504">
        <v>14.53</v>
      </c>
      <c r="M107" s="504">
        <v>15.19</v>
      </c>
      <c r="N107" s="505">
        <v>0.106</v>
      </c>
      <c r="O107" s="505">
        <v>0.10299999999999999</v>
      </c>
      <c r="P107" s="505">
        <v>0.11799999999999999</v>
      </c>
      <c r="Q107" s="78">
        <v>0.44</v>
      </c>
      <c r="R107" s="78">
        <v>0.31740000000000002</v>
      </c>
      <c r="S107" s="69">
        <v>0</v>
      </c>
      <c r="T107" s="69">
        <v>0</v>
      </c>
      <c r="U107" s="505">
        <v>0.7</v>
      </c>
      <c r="V107" s="76">
        <v>0</v>
      </c>
      <c r="W107" s="76">
        <v>0</v>
      </c>
      <c r="X107" s="76"/>
    </row>
    <row r="108" spans="1:24" x14ac:dyDescent="0.25">
      <c r="A108" s="75" t="str">
        <f t="shared" si="2"/>
        <v>Pago_de_Hipoteca PFAE Wealth &amp; Premier Executive Pago_Fijo_Puntual Si 8</v>
      </c>
      <c r="B108" s="75" t="str">
        <f t="shared" si="3"/>
        <v>Pago_de_Hipoteca PFAE Wealth &amp; Premier Executive Pago_Fijo_Puntual Si 8 0.103</v>
      </c>
      <c r="C108" s="75" t="s">
        <v>173</v>
      </c>
      <c r="D108" s="75" t="s">
        <v>168</v>
      </c>
      <c r="E108" s="75" t="s">
        <v>175</v>
      </c>
      <c r="F108" s="75"/>
      <c r="G108" s="75"/>
      <c r="H108" s="75"/>
      <c r="I108" s="75" t="s">
        <v>171</v>
      </c>
      <c r="J108" s="503">
        <v>8</v>
      </c>
      <c r="K108" s="503" t="s">
        <v>387</v>
      </c>
      <c r="L108" s="504">
        <v>15.44</v>
      </c>
      <c r="M108" s="504">
        <v>16.100000000000001</v>
      </c>
      <c r="N108" s="505">
        <v>0.10299999999999999</v>
      </c>
      <c r="O108" s="505">
        <v>0.1</v>
      </c>
      <c r="P108" s="505">
        <v>0.112</v>
      </c>
      <c r="Q108" s="78">
        <v>0.44</v>
      </c>
      <c r="R108" s="78">
        <v>0.31740000000000002</v>
      </c>
      <c r="S108" s="69">
        <v>0</v>
      </c>
      <c r="T108" s="69">
        <v>0</v>
      </c>
      <c r="U108" s="505">
        <v>0.85</v>
      </c>
      <c r="V108" s="76">
        <v>0</v>
      </c>
      <c r="W108" s="76">
        <v>0</v>
      </c>
      <c r="X108" s="76" t="s">
        <v>147</v>
      </c>
    </row>
    <row r="109" spans="1:24" x14ac:dyDescent="0.25">
      <c r="A109" s="75" t="str">
        <f t="shared" si="2"/>
        <v>Pago_de_Hipoteca PFAE Wealth &amp; Premier Executive Pago_Fijo_Puntual 8</v>
      </c>
      <c r="B109" s="75" t="str">
        <f t="shared" si="3"/>
        <v>Pago_de_Hipoteca PFAE Wealth &amp; Premier Executive Pago_Fijo_Puntual 8 0.106</v>
      </c>
      <c r="C109" s="75" t="s">
        <v>173</v>
      </c>
      <c r="D109" s="75" t="s">
        <v>168</v>
      </c>
      <c r="E109" s="75" t="s">
        <v>175</v>
      </c>
      <c r="F109" s="75"/>
      <c r="G109" s="75"/>
      <c r="H109" s="75"/>
      <c r="I109" s="75" t="s">
        <v>171</v>
      </c>
      <c r="J109" s="503">
        <v>8</v>
      </c>
      <c r="K109" s="503">
        <v>3</v>
      </c>
      <c r="L109" s="504">
        <v>15.6</v>
      </c>
      <c r="M109" s="504">
        <v>16.260000000000002</v>
      </c>
      <c r="N109" s="505">
        <v>0.106</v>
      </c>
      <c r="O109" s="505">
        <v>0.10299999999999999</v>
      </c>
      <c r="P109" s="505">
        <v>0.11799999999999999</v>
      </c>
      <c r="Q109" s="78">
        <v>0.44</v>
      </c>
      <c r="R109" s="78">
        <v>0.31740000000000002</v>
      </c>
      <c r="S109" s="69">
        <v>0</v>
      </c>
      <c r="T109" s="69">
        <v>0</v>
      </c>
      <c r="U109" s="505">
        <v>0.7</v>
      </c>
      <c r="V109" s="76">
        <v>0</v>
      </c>
      <c r="W109" s="76">
        <v>0</v>
      </c>
      <c r="X109" s="76"/>
    </row>
    <row r="110" spans="1:24" x14ac:dyDescent="0.25">
      <c r="A110" s="75" t="str">
        <f t="shared" si="2"/>
        <v>Pago_de_Hipoteca PFAE Wealth &amp; Premier Executive Pago_Fijo_Puntual Si 7</v>
      </c>
      <c r="B110" s="75" t="str">
        <f t="shared" si="3"/>
        <v>Pago_de_Hipoteca PFAE Wealth &amp; Premier Executive Pago_Fijo_Puntual Si 7 0.103</v>
      </c>
      <c r="C110" s="75" t="s">
        <v>173</v>
      </c>
      <c r="D110" s="75" t="s">
        <v>168</v>
      </c>
      <c r="E110" s="75" t="s">
        <v>175</v>
      </c>
      <c r="F110" s="75"/>
      <c r="G110" s="75"/>
      <c r="H110" s="75"/>
      <c r="I110" s="75" t="s">
        <v>171</v>
      </c>
      <c r="J110" s="503">
        <v>7</v>
      </c>
      <c r="K110" s="503" t="s">
        <v>387</v>
      </c>
      <c r="L110" s="504">
        <v>16.84</v>
      </c>
      <c r="M110" s="504">
        <v>17.5</v>
      </c>
      <c r="N110" s="505">
        <v>0.10299999999999999</v>
      </c>
      <c r="O110" s="505">
        <v>0.1</v>
      </c>
      <c r="P110" s="505">
        <v>0.112</v>
      </c>
      <c r="Q110" s="78">
        <v>0.44</v>
      </c>
      <c r="R110" s="78">
        <v>0.31740000000000002</v>
      </c>
      <c r="S110" s="69">
        <v>0</v>
      </c>
      <c r="T110" s="69">
        <v>0</v>
      </c>
      <c r="U110" s="505">
        <v>0.85</v>
      </c>
      <c r="V110" s="76">
        <v>0</v>
      </c>
      <c r="W110" s="76">
        <v>0</v>
      </c>
      <c r="X110" s="76" t="s">
        <v>147</v>
      </c>
    </row>
    <row r="111" spans="1:24" x14ac:dyDescent="0.25">
      <c r="A111" s="75" t="str">
        <f t="shared" si="2"/>
        <v>Pago_de_Hipoteca PFAE Wealth &amp; Premier Executive Pago_Fijo_Puntual 7</v>
      </c>
      <c r="B111" s="75" t="str">
        <f t="shared" si="3"/>
        <v>Pago_de_Hipoteca PFAE Wealth &amp; Premier Executive Pago_Fijo_Puntual 7 0.106</v>
      </c>
      <c r="C111" s="75" t="s">
        <v>173</v>
      </c>
      <c r="D111" s="75" t="s">
        <v>168</v>
      </c>
      <c r="E111" s="75" t="s">
        <v>175</v>
      </c>
      <c r="F111" s="75"/>
      <c r="G111" s="75"/>
      <c r="H111" s="75"/>
      <c r="I111" s="75" t="s">
        <v>171</v>
      </c>
      <c r="J111" s="503">
        <v>7</v>
      </c>
      <c r="K111" s="503">
        <v>3</v>
      </c>
      <c r="L111" s="504">
        <v>17</v>
      </c>
      <c r="M111" s="504">
        <v>17.66</v>
      </c>
      <c r="N111" s="505">
        <v>0.106</v>
      </c>
      <c r="O111" s="505">
        <v>0.10299999999999999</v>
      </c>
      <c r="P111" s="505">
        <v>0.11799999999999999</v>
      </c>
      <c r="Q111" s="78">
        <v>0.44</v>
      </c>
      <c r="R111" s="78">
        <v>0.31740000000000002</v>
      </c>
      <c r="S111" s="69">
        <v>0</v>
      </c>
      <c r="T111" s="69">
        <v>0</v>
      </c>
      <c r="U111" s="505">
        <v>0.7</v>
      </c>
      <c r="V111" s="76">
        <v>0</v>
      </c>
      <c r="W111" s="76">
        <v>0</v>
      </c>
      <c r="X111" s="76"/>
    </row>
    <row r="112" spans="1:24" x14ac:dyDescent="0.25">
      <c r="A112" s="75" t="str">
        <f t="shared" si="2"/>
        <v>Pago_de_Hipoteca PFAE Wealth &amp; Premier Executive Pago_Fijo_Puntual Si 6</v>
      </c>
      <c r="B112" s="75" t="str">
        <f t="shared" si="3"/>
        <v>Pago_de_Hipoteca PFAE Wealth &amp; Premier Executive Pago_Fijo_Puntual Si 6 0.103</v>
      </c>
      <c r="C112" s="75" t="s">
        <v>173</v>
      </c>
      <c r="D112" s="75" t="s">
        <v>168</v>
      </c>
      <c r="E112" s="75" t="s">
        <v>175</v>
      </c>
      <c r="F112" s="75"/>
      <c r="G112" s="75"/>
      <c r="H112" s="75"/>
      <c r="I112" s="75" t="s">
        <v>171</v>
      </c>
      <c r="J112" s="503">
        <v>6</v>
      </c>
      <c r="K112" s="503" t="s">
        <v>387</v>
      </c>
      <c r="L112" s="504">
        <v>18.739999999999998</v>
      </c>
      <c r="M112" s="504">
        <v>19.399999999999999</v>
      </c>
      <c r="N112" s="505">
        <v>0.10299999999999999</v>
      </c>
      <c r="O112" s="505">
        <v>0.1</v>
      </c>
      <c r="P112" s="505">
        <v>0.112</v>
      </c>
      <c r="Q112" s="78">
        <v>0.44</v>
      </c>
      <c r="R112" s="78">
        <v>0.31740000000000002</v>
      </c>
      <c r="S112" s="69">
        <v>0</v>
      </c>
      <c r="T112" s="69">
        <v>0</v>
      </c>
      <c r="U112" s="505">
        <v>0.85</v>
      </c>
      <c r="V112" s="76">
        <v>0</v>
      </c>
      <c r="W112" s="76">
        <v>0</v>
      </c>
      <c r="X112" s="76" t="s">
        <v>147</v>
      </c>
    </row>
    <row r="113" spans="1:24" x14ac:dyDescent="0.25">
      <c r="A113" s="75" t="str">
        <f t="shared" si="2"/>
        <v>Pago_de_Hipoteca PFAE Wealth &amp; Premier Executive Pago_Fijo_Puntual 6</v>
      </c>
      <c r="B113" s="75" t="str">
        <f t="shared" si="3"/>
        <v>Pago_de_Hipoteca PFAE Wealth &amp; Premier Executive Pago_Fijo_Puntual 6 0.106</v>
      </c>
      <c r="C113" s="75" t="s">
        <v>173</v>
      </c>
      <c r="D113" s="75" t="s">
        <v>168</v>
      </c>
      <c r="E113" s="75" t="s">
        <v>175</v>
      </c>
      <c r="F113" s="75"/>
      <c r="G113" s="75"/>
      <c r="H113" s="75"/>
      <c r="I113" s="75" t="s">
        <v>171</v>
      </c>
      <c r="J113" s="503">
        <v>6</v>
      </c>
      <c r="K113" s="503">
        <v>3</v>
      </c>
      <c r="L113" s="504">
        <v>18.89</v>
      </c>
      <c r="M113" s="504">
        <v>19.55</v>
      </c>
      <c r="N113" s="505">
        <v>0.106</v>
      </c>
      <c r="O113" s="505">
        <v>0.10299999999999999</v>
      </c>
      <c r="P113" s="505">
        <v>0.11799999999999999</v>
      </c>
      <c r="Q113" s="78">
        <v>0.44</v>
      </c>
      <c r="R113" s="78">
        <v>0.31740000000000002</v>
      </c>
      <c r="S113" s="69">
        <v>0</v>
      </c>
      <c r="T113" s="69">
        <v>0</v>
      </c>
      <c r="U113" s="505">
        <v>0.7</v>
      </c>
      <c r="V113" s="76">
        <v>0</v>
      </c>
      <c r="W113" s="76">
        <v>0</v>
      </c>
      <c r="X113" s="76"/>
    </row>
    <row r="114" spans="1:24" x14ac:dyDescent="0.25">
      <c r="A114" s="75" t="str">
        <f t="shared" si="2"/>
        <v>Pago_de_Hipoteca PFAE Wealth &amp; Premier Executive Pago_Fijo_Puntual Si 5</v>
      </c>
      <c r="B114" s="75" t="str">
        <f t="shared" si="3"/>
        <v>Pago_de_Hipoteca PFAE Wealth &amp; Premier Executive Pago_Fijo_Puntual Si 5 0.103</v>
      </c>
      <c r="C114" s="75" t="s">
        <v>173</v>
      </c>
      <c r="D114" s="75" t="s">
        <v>168</v>
      </c>
      <c r="E114" s="75" t="s">
        <v>175</v>
      </c>
      <c r="F114" s="75"/>
      <c r="G114" s="75"/>
      <c r="H114" s="75"/>
      <c r="I114" s="75" t="s">
        <v>171</v>
      </c>
      <c r="J114" s="503">
        <v>5</v>
      </c>
      <c r="K114" s="503" t="s">
        <v>387</v>
      </c>
      <c r="L114" s="504">
        <v>21.44</v>
      </c>
      <c r="M114" s="504">
        <v>22.1</v>
      </c>
      <c r="N114" s="505">
        <v>0.10299999999999999</v>
      </c>
      <c r="O114" s="505">
        <v>0.1</v>
      </c>
      <c r="P114" s="505">
        <v>0.112</v>
      </c>
      <c r="Q114" s="78">
        <v>0.44</v>
      </c>
      <c r="R114" s="78">
        <v>0.31740000000000002</v>
      </c>
      <c r="S114" s="69">
        <v>0</v>
      </c>
      <c r="T114" s="69">
        <v>0</v>
      </c>
      <c r="U114" s="505">
        <v>0.85</v>
      </c>
      <c r="V114" s="76">
        <v>0</v>
      </c>
      <c r="W114" s="76">
        <v>0</v>
      </c>
      <c r="X114" s="76" t="s">
        <v>147</v>
      </c>
    </row>
    <row r="115" spans="1:24" x14ac:dyDescent="0.25">
      <c r="A115" s="75" t="str">
        <f t="shared" si="2"/>
        <v>Pago_de_Hipoteca PFAE Wealth &amp; Premier Executive Pago_Fijo_Puntual 5</v>
      </c>
      <c r="B115" s="75" t="str">
        <f t="shared" si="3"/>
        <v>Pago_de_Hipoteca PFAE Wealth &amp; Premier Executive Pago_Fijo_Puntual 5 0.106</v>
      </c>
      <c r="C115" s="75" t="s">
        <v>173</v>
      </c>
      <c r="D115" s="75" t="s">
        <v>168</v>
      </c>
      <c r="E115" s="75" t="s">
        <v>175</v>
      </c>
      <c r="F115" s="75"/>
      <c r="G115" s="75"/>
      <c r="H115" s="75"/>
      <c r="I115" s="75" t="s">
        <v>171</v>
      </c>
      <c r="J115" s="503">
        <v>5</v>
      </c>
      <c r="K115" s="503">
        <v>3</v>
      </c>
      <c r="L115" s="504">
        <v>21.58</v>
      </c>
      <c r="M115" s="504">
        <v>22.24</v>
      </c>
      <c r="N115" s="505">
        <v>0.106</v>
      </c>
      <c r="O115" s="505">
        <v>0.10299999999999999</v>
      </c>
      <c r="P115" s="505">
        <v>0.11799999999999999</v>
      </c>
      <c r="Q115" s="78">
        <v>0.44</v>
      </c>
      <c r="R115" s="78">
        <v>0.31740000000000002</v>
      </c>
      <c r="S115" s="69">
        <v>0</v>
      </c>
      <c r="T115" s="69">
        <v>0</v>
      </c>
      <c r="U115" s="505">
        <v>0.7</v>
      </c>
      <c r="V115" s="76">
        <v>0</v>
      </c>
      <c r="W115" s="76">
        <v>0</v>
      </c>
      <c r="X115" s="76"/>
    </row>
    <row r="116" spans="1:24" x14ac:dyDescent="0.25">
      <c r="A116" s="75" t="str">
        <f t="shared" si="2"/>
        <v>Pago_de_Hipoteca PROF Wealth &amp; Premier Executive Pago_Fijo_Puntual Si 20</v>
      </c>
      <c r="B116" s="75" t="str">
        <f t="shared" si="3"/>
        <v>Pago_de_Hipoteca PROF Wealth &amp; Premier Executive Pago_Fijo_Puntual Si 20 0.103</v>
      </c>
      <c r="C116" s="75" t="s">
        <v>173</v>
      </c>
      <c r="D116" s="75" t="s">
        <v>169</v>
      </c>
      <c r="E116" s="75" t="s">
        <v>175</v>
      </c>
      <c r="F116" s="75"/>
      <c r="G116" s="75"/>
      <c r="H116" s="75"/>
      <c r="I116" s="75" t="s">
        <v>171</v>
      </c>
      <c r="J116" s="503">
        <v>20</v>
      </c>
      <c r="K116" s="503" t="s">
        <v>387</v>
      </c>
      <c r="L116" s="504">
        <v>10.16</v>
      </c>
      <c r="M116" s="504">
        <v>10.82</v>
      </c>
      <c r="N116" s="505">
        <v>0.10299999999999999</v>
      </c>
      <c r="O116" s="505">
        <v>0.1</v>
      </c>
      <c r="P116" s="505">
        <v>0.112</v>
      </c>
      <c r="Q116" s="78">
        <v>0.44</v>
      </c>
      <c r="R116" s="78">
        <v>0.31740000000000002</v>
      </c>
      <c r="S116" s="69">
        <v>0</v>
      </c>
      <c r="T116" s="69">
        <v>0</v>
      </c>
      <c r="U116" s="505">
        <v>0.85</v>
      </c>
      <c r="V116" s="76">
        <v>0</v>
      </c>
      <c r="W116" s="76">
        <v>0</v>
      </c>
      <c r="X116" s="76" t="s">
        <v>147</v>
      </c>
    </row>
    <row r="117" spans="1:24" x14ac:dyDescent="0.25">
      <c r="A117" s="75" t="str">
        <f t="shared" si="2"/>
        <v>Pago_de_Hipoteca PROF Wealth &amp; Premier Executive Pago_Fijo_Puntual 20</v>
      </c>
      <c r="B117" s="75" t="str">
        <f t="shared" si="3"/>
        <v>Pago_de_Hipoteca PROF Wealth &amp; Premier Executive Pago_Fijo_Puntual 20 0.106</v>
      </c>
      <c r="C117" s="75" t="s">
        <v>173</v>
      </c>
      <c r="D117" s="75" t="s">
        <v>169</v>
      </c>
      <c r="E117" s="75" t="s">
        <v>175</v>
      </c>
      <c r="F117" s="75"/>
      <c r="G117" s="75"/>
      <c r="H117" s="75"/>
      <c r="I117" s="75" t="s">
        <v>171</v>
      </c>
      <c r="J117" s="503">
        <v>20</v>
      </c>
      <c r="K117" s="503">
        <v>3</v>
      </c>
      <c r="L117" s="504">
        <v>10.4</v>
      </c>
      <c r="M117" s="504">
        <v>11.06</v>
      </c>
      <c r="N117" s="505">
        <v>0.106</v>
      </c>
      <c r="O117" s="505">
        <v>0.10299999999999999</v>
      </c>
      <c r="P117" s="505">
        <v>0.11799999999999999</v>
      </c>
      <c r="Q117" s="78">
        <v>0.44</v>
      </c>
      <c r="R117" s="78">
        <v>0.31740000000000002</v>
      </c>
      <c r="S117" s="69">
        <v>0</v>
      </c>
      <c r="T117" s="69">
        <v>0</v>
      </c>
      <c r="U117" s="505">
        <v>0.7</v>
      </c>
      <c r="V117" s="76">
        <v>0</v>
      </c>
      <c r="W117" s="76">
        <v>0</v>
      </c>
      <c r="X117" s="76"/>
    </row>
    <row r="118" spans="1:24" x14ac:dyDescent="0.25">
      <c r="A118" s="75" t="str">
        <f t="shared" si="2"/>
        <v>Pago_de_Hipoteca PROF Wealth &amp; Premier Executive Pago_Fijo_Puntual Si 19</v>
      </c>
      <c r="B118" s="75" t="str">
        <f t="shared" si="3"/>
        <v>Pago_de_Hipoteca PROF Wealth &amp; Premier Executive Pago_Fijo_Puntual Si 19 0.103</v>
      </c>
      <c r="C118" s="75" t="s">
        <v>173</v>
      </c>
      <c r="D118" s="75" t="s">
        <v>169</v>
      </c>
      <c r="E118" s="75" t="s">
        <v>175</v>
      </c>
      <c r="F118" s="75"/>
      <c r="G118" s="75"/>
      <c r="H118" s="75"/>
      <c r="I118" s="75" t="s">
        <v>171</v>
      </c>
      <c r="J118" s="503">
        <v>19</v>
      </c>
      <c r="K118" s="503" t="s">
        <v>387</v>
      </c>
      <c r="L118" s="504">
        <v>10.3</v>
      </c>
      <c r="M118" s="504">
        <v>10.96</v>
      </c>
      <c r="N118" s="505">
        <v>0.10299999999999999</v>
      </c>
      <c r="O118" s="505">
        <v>0.1</v>
      </c>
      <c r="P118" s="505">
        <v>0.112</v>
      </c>
      <c r="Q118" s="78">
        <v>0.44</v>
      </c>
      <c r="R118" s="78">
        <v>0.31740000000000002</v>
      </c>
      <c r="S118" s="69">
        <v>0</v>
      </c>
      <c r="T118" s="69">
        <v>0</v>
      </c>
      <c r="U118" s="505">
        <v>0.85</v>
      </c>
      <c r="V118" s="76">
        <v>0</v>
      </c>
      <c r="W118" s="76">
        <v>0</v>
      </c>
      <c r="X118" s="76" t="s">
        <v>147</v>
      </c>
    </row>
    <row r="119" spans="1:24" x14ac:dyDescent="0.25">
      <c r="A119" s="75" t="str">
        <f t="shared" si="2"/>
        <v>Pago_de_Hipoteca PROF Wealth &amp; Premier Executive Pago_Fijo_Puntual 19</v>
      </c>
      <c r="B119" s="75" t="str">
        <f t="shared" si="3"/>
        <v>Pago_de_Hipoteca PROF Wealth &amp; Premier Executive Pago_Fijo_Puntual 19 0.106</v>
      </c>
      <c r="C119" s="75" t="s">
        <v>173</v>
      </c>
      <c r="D119" s="75" t="s">
        <v>169</v>
      </c>
      <c r="E119" s="75" t="s">
        <v>175</v>
      </c>
      <c r="F119" s="75"/>
      <c r="G119" s="75"/>
      <c r="H119" s="75"/>
      <c r="I119" s="75" t="s">
        <v>171</v>
      </c>
      <c r="J119" s="503">
        <v>19</v>
      </c>
      <c r="K119" s="503">
        <v>3</v>
      </c>
      <c r="L119" s="504">
        <v>10.54</v>
      </c>
      <c r="M119" s="504">
        <v>11.2</v>
      </c>
      <c r="N119" s="505">
        <v>0.106</v>
      </c>
      <c r="O119" s="505">
        <v>0.10299999999999999</v>
      </c>
      <c r="P119" s="505">
        <v>0.11799999999999999</v>
      </c>
      <c r="Q119" s="78">
        <v>0.44</v>
      </c>
      <c r="R119" s="78">
        <v>0.31740000000000002</v>
      </c>
      <c r="S119" s="69">
        <v>0</v>
      </c>
      <c r="T119" s="69">
        <v>0</v>
      </c>
      <c r="U119" s="505">
        <v>0.7</v>
      </c>
      <c r="V119" s="76">
        <v>0</v>
      </c>
      <c r="W119" s="76">
        <v>0</v>
      </c>
      <c r="X119" s="76"/>
    </row>
    <row r="120" spans="1:24" x14ac:dyDescent="0.25">
      <c r="A120" s="75" t="str">
        <f t="shared" si="2"/>
        <v>Pago_de_Hipoteca PROF Wealth &amp; Premier Executive Pago_Fijo_Puntual Si 18</v>
      </c>
      <c r="B120" s="75" t="str">
        <f t="shared" si="3"/>
        <v>Pago_de_Hipoteca PROF Wealth &amp; Premier Executive Pago_Fijo_Puntual Si 18 0.103</v>
      </c>
      <c r="C120" s="75" t="s">
        <v>173</v>
      </c>
      <c r="D120" s="75" t="s">
        <v>169</v>
      </c>
      <c r="E120" s="75" t="s">
        <v>175</v>
      </c>
      <c r="F120" s="75"/>
      <c r="G120" s="75"/>
      <c r="H120" s="75"/>
      <c r="I120" s="75" t="s">
        <v>171</v>
      </c>
      <c r="J120" s="503">
        <v>18</v>
      </c>
      <c r="K120" s="503" t="s">
        <v>387</v>
      </c>
      <c r="L120" s="504">
        <v>10.47</v>
      </c>
      <c r="M120" s="504">
        <v>11.13</v>
      </c>
      <c r="N120" s="505">
        <v>0.10299999999999999</v>
      </c>
      <c r="O120" s="505">
        <v>0.1</v>
      </c>
      <c r="P120" s="505">
        <v>0.112</v>
      </c>
      <c r="Q120" s="78">
        <v>0.44</v>
      </c>
      <c r="R120" s="78">
        <v>0.31740000000000002</v>
      </c>
      <c r="S120" s="69">
        <v>0</v>
      </c>
      <c r="T120" s="69">
        <v>0</v>
      </c>
      <c r="U120" s="505">
        <v>0.85</v>
      </c>
      <c r="V120" s="76">
        <v>0</v>
      </c>
      <c r="W120" s="76">
        <v>0</v>
      </c>
      <c r="X120" s="76" t="s">
        <v>147</v>
      </c>
    </row>
    <row r="121" spans="1:24" x14ac:dyDescent="0.25">
      <c r="A121" s="75" t="str">
        <f t="shared" si="2"/>
        <v>Pago_de_Hipoteca PROF Wealth &amp; Premier Executive Pago_Fijo_Puntual 18</v>
      </c>
      <c r="B121" s="75" t="str">
        <f t="shared" si="3"/>
        <v>Pago_de_Hipoteca PROF Wealth &amp; Premier Executive Pago_Fijo_Puntual 18 0.106</v>
      </c>
      <c r="C121" s="75" t="s">
        <v>173</v>
      </c>
      <c r="D121" s="75" t="s">
        <v>169</v>
      </c>
      <c r="E121" s="75" t="s">
        <v>175</v>
      </c>
      <c r="F121" s="75"/>
      <c r="G121" s="75"/>
      <c r="H121" s="75"/>
      <c r="I121" s="75" t="s">
        <v>171</v>
      </c>
      <c r="J121" s="503">
        <v>18</v>
      </c>
      <c r="K121" s="503">
        <v>3</v>
      </c>
      <c r="L121" s="504">
        <v>10.71</v>
      </c>
      <c r="M121" s="504">
        <v>11.37</v>
      </c>
      <c r="N121" s="505">
        <v>0.106</v>
      </c>
      <c r="O121" s="505">
        <v>0.10299999999999999</v>
      </c>
      <c r="P121" s="505">
        <v>0.11799999999999999</v>
      </c>
      <c r="Q121" s="78">
        <v>0.44</v>
      </c>
      <c r="R121" s="78">
        <v>0.31740000000000002</v>
      </c>
      <c r="S121" s="69">
        <v>0</v>
      </c>
      <c r="T121" s="69">
        <v>0</v>
      </c>
      <c r="U121" s="505">
        <v>0.7</v>
      </c>
      <c r="V121" s="76">
        <v>0</v>
      </c>
      <c r="W121" s="76">
        <v>0</v>
      </c>
      <c r="X121" s="76"/>
    </row>
    <row r="122" spans="1:24" x14ac:dyDescent="0.25">
      <c r="A122" s="75" t="str">
        <f t="shared" si="2"/>
        <v>Pago_de_Hipoteca PROF Wealth &amp; Premier Executive Pago_Fijo_Puntual Si 17</v>
      </c>
      <c r="B122" s="75" t="str">
        <f t="shared" si="3"/>
        <v>Pago_de_Hipoteca PROF Wealth &amp; Premier Executive Pago_Fijo_Puntual Si 17 0.103</v>
      </c>
      <c r="C122" s="75" t="s">
        <v>173</v>
      </c>
      <c r="D122" s="75" t="s">
        <v>169</v>
      </c>
      <c r="E122" s="75" t="s">
        <v>175</v>
      </c>
      <c r="F122" s="75"/>
      <c r="G122" s="75"/>
      <c r="H122" s="75"/>
      <c r="I122" s="75" t="s">
        <v>171</v>
      </c>
      <c r="J122" s="503">
        <v>17</v>
      </c>
      <c r="K122" s="503" t="s">
        <v>387</v>
      </c>
      <c r="L122" s="504">
        <v>10.67</v>
      </c>
      <c r="M122" s="504">
        <v>11.33</v>
      </c>
      <c r="N122" s="505">
        <v>0.10299999999999999</v>
      </c>
      <c r="O122" s="505">
        <v>0.1</v>
      </c>
      <c r="P122" s="505">
        <v>0.112</v>
      </c>
      <c r="Q122" s="78">
        <v>0.44</v>
      </c>
      <c r="R122" s="78">
        <v>0.31740000000000002</v>
      </c>
      <c r="S122" s="69">
        <v>0</v>
      </c>
      <c r="T122" s="69">
        <v>0</v>
      </c>
      <c r="U122" s="505">
        <v>0.85</v>
      </c>
      <c r="V122" s="76">
        <v>0</v>
      </c>
      <c r="W122" s="76">
        <v>0</v>
      </c>
      <c r="X122" s="76" t="s">
        <v>147</v>
      </c>
    </row>
    <row r="123" spans="1:24" x14ac:dyDescent="0.25">
      <c r="A123" s="75" t="str">
        <f t="shared" si="2"/>
        <v>Pago_de_Hipoteca PROF Wealth &amp; Premier Executive Pago_Fijo_Puntual 17</v>
      </c>
      <c r="B123" s="75" t="str">
        <f t="shared" si="3"/>
        <v>Pago_de_Hipoteca PROF Wealth &amp; Premier Executive Pago_Fijo_Puntual 17 0.106</v>
      </c>
      <c r="C123" s="75" t="s">
        <v>173</v>
      </c>
      <c r="D123" s="75" t="s">
        <v>169</v>
      </c>
      <c r="E123" s="75" t="s">
        <v>175</v>
      </c>
      <c r="F123" s="75"/>
      <c r="G123" s="75"/>
      <c r="H123" s="75"/>
      <c r="I123" s="75" t="s">
        <v>171</v>
      </c>
      <c r="J123" s="503">
        <v>17</v>
      </c>
      <c r="K123" s="503">
        <v>3</v>
      </c>
      <c r="L123" s="504">
        <v>10.9</v>
      </c>
      <c r="M123" s="504">
        <v>11.56</v>
      </c>
      <c r="N123" s="505">
        <v>0.106</v>
      </c>
      <c r="O123" s="505">
        <v>0.10299999999999999</v>
      </c>
      <c r="P123" s="505">
        <v>0.11799999999999999</v>
      </c>
      <c r="Q123" s="78">
        <v>0.44</v>
      </c>
      <c r="R123" s="78">
        <v>0.31740000000000002</v>
      </c>
      <c r="S123" s="69">
        <v>0</v>
      </c>
      <c r="T123" s="69">
        <v>0</v>
      </c>
      <c r="U123" s="505">
        <v>0.7</v>
      </c>
      <c r="V123" s="76">
        <v>0</v>
      </c>
      <c r="W123" s="76">
        <v>0</v>
      </c>
      <c r="X123" s="76"/>
    </row>
    <row r="124" spans="1:24" x14ac:dyDescent="0.25">
      <c r="A124" s="75" t="str">
        <f t="shared" si="2"/>
        <v>Pago_de_Hipoteca PROF Wealth &amp; Premier Executive Pago_Fijo_Puntual Si 16</v>
      </c>
      <c r="B124" s="75" t="str">
        <f t="shared" si="3"/>
        <v>Pago_de_Hipoteca PROF Wealth &amp; Premier Executive Pago_Fijo_Puntual Si 16 0.103</v>
      </c>
      <c r="C124" s="75" t="s">
        <v>173</v>
      </c>
      <c r="D124" s="75" t="s">
        <v>169</v>
      </c>
      <c r="E124" s="75" t="s">
        <v>175</v>
      </c>
      <c r="F124" s="75"/>
      <c r="G124" s="75"/>
      <c r="H124" s="75"/>
      <c r="I124" s="75" t="s">
        <v>171</v>
      </c>
      <c r="J124" s="503">
        <v>16</v>
      </c>
      <c r="K124" s="503" t="s">
        <v>387</v>
      </c>
      <c r="L124" s="504">
        <v>10.9</v>
      </c>
      <c r="M124" s="504">
        <v>11.56</v>
      </c>
      <c r="N124" s="505">
        <v>0.10299999999999999</v>
      </c>
      <c r="O124" s="505">
        <v>0.1</v>
      </c>
      <c r="P124" s="505">
        <v>0.112</v>
      </c>
      <c r="Q124" s="78">
        <v>0.44</v>
      </c>
      <c r="R124" s="78">
        <v>0.31740000000000002</v>
      </c>
      <c r="S124" s="69">
        <v>0</v>
      </c>
      <c r="T124" s="69">
        <v>0</v>
      </c>
      <c r="U124" s="505">
        <v>0.85</v>
      </c>
      <c r="V124" s="76">
        <v>0</v>
      </c>
      <c r="W124" s="76">
        <v>0</v>
      </c>
      <c r="X124" s="76" t="s">
        <v>147</v>
      </c>
    </row>
    <row r="125" spans="1:24" x14ac:dyDescent="0.25">
      <c r="A125" s="75" t="str">
        <f t="shared" si="2"/>
        <v>Pago_de_Hipoteca PROF Wealth &amp; Premier Executive Pago_Fijo_Puntual 16</v>
      </c>
      <c r="B125" s="75" t="str">
        <f t="shared" si="3"/>
        <v>Pago_de_Hipoteca PROF Wealth &amp; Premier Executive Pago_Fijo_Puntual 16 0.106</v>
      </c>
      <c r="C125" s="75" t="s">
        <v>173</v>
      </c>
      <c r="D125" s="75" t="s">
        <v>169</v>
      </c>
      <c r="E125" s="75" t="s">
        <v>175</v>
      </c>
      <c r="F125" s="75"/>
      <c r="G125" s="75"/>
      <c r="H125" s="75"/>
      <c r="I125" s="75" t="s">
        <v>171</v>
      </c>
      <c r="J125" s="503">
        <v>16</v>
      </c>
      <c r="K125" s="503">
        <v>3</v>
      </c>
      <c r="L125" s="504">
        <v>11.12</v>
      </c>
      <c r="M125" s="504">
        <v>11.78</v>
      </c>
      <c r="N125" s="505">
        <v>0.106</v>
      </c>
      <c r="O125" s="505">
        <v>0.10299999999999999</v>
      </c>
      <c r="P125" s="505">
        <v>0.11799999999999999</v>
      </c>
      <c r="Q125" s="78">
        <v>0.44</v>
      </c>
      <c r="R125" s="78">
        <v>0.31740000000000002</v>
      </c>
      <c r="S125" s="69">
        <v>0</v>
      </c>
      <c r="T125" s="69">
        <v>0</v>
      </c>
      <c r="U125" s="505">
        <v>0.7</v>
      </c>
      <c r="V125" s="76">
        <v>0</v>
      </c>
      <c r="W125" s="76">
        <v>0</v>
      </c>
      <c r="X125" s="76"/>
    </row>
    <row r="126" spans="1:24" x14ac:dyDescent="0.25">
      <c r="A126" s="75" t="str">
        <f t="shared" si="2"/>
        <v>Pago_de_Hipoteca PROF Wealth &amp; Premier Executive Pago_Fijo_Puntual Si 15</v>
      </c>
      <c r="B126" s="75" t="str">
        <f t="shared" si="3"/>
        <v>Pago_de_Hipoteca PROF Wealth &amp; Premier Executive Pago_Fijo_Puntual Si 15 0.103</v>
      </c>
      <c r="C126" s="75" t="s">
        <v>173</v>
      </c>
      <c r="D126" s="75" t="s">
        <v>169</v>
      </c>
      <c r="E126" s="75" t="s">
        <v>175</v>
      </c>
      <c r="F126" s="75"/>
      <c r="G126" s="75"/>
      <c r="H126" s="75"/>
      <c r="I126" s="75" t="s">
        <v>171</v>
      </c>
      <c r="J126" s="503">
        <v>15</v>
      </c>
      <c r="K126" s="503" t="s">
        <v>387</v>
      </c>
      <c r="L126" s="504">
        <v>11.18</v>
      </c>
      <c r="M126" s="504">
        <v>11.84</v>
      </c>
      <c r="N126" s="505">
        <v>0.10299999999999999</v>
      </c>
      <c r="O126" s="505">
        <v>0.1</v>
      </c>
      <c r="P126" s="505">
        <v>0.112</v>
      </c>
      <c r="Q126" s="78">
        <v>0.44</v>
      </c>
      <c r="R126" s="78">
        <v>0.31740000000000002</v>
      </c>
      <c r="S126" s="69">
        <v>0</v>
      </c>
      <c r="T126" s="69">
        <v>0</v>
      </c>
      <c r="U126" s="505">
        <v>0.85</v>
      </c>
      <c r="V126" s="76">
        <v>0</v>
      </c>
      <c r="W126" s="76">
        <v>0</v>
      </c>
      <c r="X126" s="76" t="s">
        <v>147</v>
      </c>
    </row>
    <row r="127" spans="1:24" x14ac:dyDescent="0.25">
      <c r="A127" s="75" t="str">
        <f t="shared" si="2"/>
        <v>Pago_de_Hipoteca PROF Wealth &amp; Premier Executive Pago_Fijo_Puntual 15</v>
      </c>
      <c r="B127" s="75" t="str">
        <f t="shared" si="3"/>
        <v>Pago_de_Hipoteca PROF Wealth &amp; Premier Executive Pago_Fijo_Puntual 15 0.106</v>
      </c>
      <c r="C127" s="75" t="s">
        <v>173</v>
      </c>
      <c r="D127" s="75" t="s">
        <v>169</v>
      </c>
      <c r="E127" s="75" t="s">
        <v>175</v>
      </c>
      <c r="F127" s="75"/>
      <c r="G127" s="75"/>
      <c r="H127" s="75"/>
      <c r="I127" s="75" t="s">
        <v>171</v>
      </c>
      <c r="J127" s="503">
        <v>15</v>
      </c>
      <c r="K127" s="503">
        <v>3</v>
      </c>
      <c r="L127" s="504">
        <v>11.38</v>
      </c>
      <c r="M127" s="504">
        <v>12.04</v>
      </c>
      <c r="N127" s="505">
        <v>0.106</v>
      </c>
      <c r="O127" s="505">
        <v>0.10299999999999999</v>
      </c>
      <c r="P127" s="505">
        <v>0.11799999999999999</v>
      </c>
      <c r="Q127" s="78">
        <v>0.44</v>
      </c>
      <c r="R127" s="78">
        <v>0.31740000000000002</v>
      </c>
      <c r="S127" s="69">
        <v>0</v>
      </c>
      <c r="T127" s="69">
        <v>0</v>
      </c>
      <c r="U127" s="505">
        <v>0.7</v>
      </c>
      <c r="V127" s="76">
        <v>0</v>
      </c>
      <c r="W127" s="76">
        <v>0</v>
      </c>
      <c r="X127" s="76"/>
    </row>
    <row r="128" spans="1:24" x14ac:dyDescent="0.25">
      <c r="A128" s="75" t="str">
        <f t="shared" si="2"/>
        <v>Pago_de_Hipoteca PROF Wealth &amp; Premier Executive Pago_Fijo_Puntual Si 14</v>
      </c>
      <c r="B128" s="75" t="str">
        <f t="shared" si="3"/>
        <v>Pago_de_Hipoteca PROF Wealth &amp; Premier Executive Pago_Fijo_Puntual Si 14 0.103</v>
      </c>
      <c r="C128" s="75" t="s">
        <v>173</v>
      </c>
      <c r="D128" s="75" t="s">
        <v>169</v>
      </c>
      <c r="E128" s="75" t="s">
        <v>175</v>
      </c>
      <c r="F128" s="75"/>
      <c r="G128" s="75"/>
      <c r="H128" s="75"/>
      <c r="I128" s="75" t="s">
        <v>171</v>
      </c>
      <c r="J128" s="503">
        <v>14</v>
      </c>
      <c r="K128" s="503" t="s">
        <v>387</v>
      </c>
      <c r="L128" s="504">
        <v>11.49</v>
      </c>
      <c r="M128" s="504">
        <v>12.15</v>
      </c>
      <c r="N128" s="505">
        <v>0.10299999999999999</v>
      </c>
      <c r="O128" s="505">
        <v>0.1</v>
      </c>
      <c r="P128" s="505">
        <v>0.112</v>
      </c>
      <c r="Q128" s="78">
        <v>0.44</v>
      </c>
      <c r="R128" s="78">
        <v>0.31740000000000002</v>
      </c>
      <c r="S128" s="69">
        <v>0</v>
      </c>
      <c r="T128" s="69">
        <v>0</v>
      </c>
      <c r="U128" s="505">
        <v>0.85</v>
      </c>
      <c r="V128" s="76">
        <v>0</v>
      </c>
      <c r="W128" s="76">
        <v>0</v>
      </c>
      <c r="X128" s="76" t="s">
        <v>147</v>
      </c>
    </row>
    <row r="129" spans="1:24" x14ac:dyDescent="0.25">
      <c r="A129" s="75" t="str">
        <f t="shared" si="2"/>
        <v>Pago_de_Hipoteca PROF Wealth &amp; Premier Executive Pago_Fijo_Puntual 14</v>
      </c>
      <c r="B129" s="75" t="str">
        <f t="shared" si="3"/>
        <v>Pago_de_Hipoteca PROF Wealth &amp; Premier Executive Pago_Fijo_Puntual 14 0.106</v>
      </c>
      <c r="C129" s="75" t="s">
        <v>173</v>
      </c>
      <c r="D129" s="75" t="s">
        <v>169</v>
      </c>
      <c r="E129" s="75" t="s">
        <v>175</v>
      </c>
      <c r="F129" s="75"/>
      <c r="G129" s="75"/>
      <c r="H129" s="75"/>
      <c r="I129" s="75" t="s">
        <v>171</v>
      </c>
      <c r="J129" s="503">
        <v>14</v>
      </c>
      <c r="K129" s="503">
        <v>3</v>
      </c>
      <c r="L129" s="504">
        <v>11.69</v>
      </c>
      <c r="M129" s="504">
        <v>12.35</v>
      </c>
      <c r="N129" s="505">
        <v>0.106</v>
      </c>
      <c r="O129" s="505">
        <v>0.10299999999999999</v>
      </c>
      <c r="P129" s="505">
        <v>0.11799999999999999</v>
      </c>
      <c r="Q129" s="78">
        <v>0.44</v>
      </c>
      <c r="R129" s="78">
        <v>0.31740000000000002</v>
      </c>
      <c r="S129" s="69">
        <v>0</v>
      </c>
      <c r="T129" s="69">
        <v>0</v>
      </c>
      <c r="U129" s="505">
        <v>0.7</v>
      </c>
      <c r="V129" s="76">
        <v>0</v>
      </c>
      <c r="W129" s="76">
        <v>0</v>
      </c>
      <c r="X129" s="76"/>
    </row>
    <row r="130" spans="1:24" x14ac:dyDescent="0.25">
      <c r="A130" s="75" t="str">
        <f t="shared" ref="A130:A193" si="4">TRIM(CONCATENATE(C130," ",D130," ",E130," ",F130," ",G130," ",I130," ",X130," ",J130))</f>
        <v>Pago_de_Hipoteca PROF Wealth &amp; Premier Executive Pago_Fijo_Puntual Si 13</v>
      </c>
      <c r="B130" s="75" t="str">
        <f t="shared" ref="B130:B193" si="5">CONCATENATE(A130," ",N130)</f>
        <v>Pago_de_Hipoteca PROF Wealth &amp; Premier Executive Pago_Fijo_Puntual Si 13 0.103</v>
      </c>
      <c r="C130" s="75" t="s">
        <v>173</v>
      </c>
      <c r="D130" s="75" t="s">
        <v>169</v>
      </c>
      <c r="E130" s="75" t="s">
        <v>175</v>
      </c>
      <c r="F130" s="75"/>
      <c r="G130" s="75"/>
      <c r="H130" s="75"/>
      <c r="I130" s="75" t="s">
        <v>171</v>
      </c>
      <c r="J130" s="503">
        <v>13</v>
      </c>
      <c r="K130" s="503" t="s">
        <v>387</v>
      </c>
      <c r="L130" s="504">
        <v>11.86</v>
      </c>
      <c r="M130" s="504">
        <v>12.52</v>
      </c>
      <c r="N130" s="505">
        <v>0.10299999999999999</v>
      </c>
      <c r="O130" s="505">
        <v>0.1</v>
      </c>
      <c r="P130" s="505">
        <v>0.112</v>
      </c>
      <c r="Q130" s="78">
        <v>0.44</v>
      </c>
      <c r="R130" s="78">
        <v>0.31740000000000002</v>
      </c>
      <c r="S130" s="69">
        <v>0</v>
      </c>
      <c r="T130" s="69">
        <v>0</v>
      </c>
      <c r="U130" s="505">
        <v>0.85</v>
      </c>
      <c r="V130" s="76">
        <v>0</v>
      </c>
      <c r="W130" s="76">
        <v>0</v>
      </c>
      <c r="X130" s="76" t="s">
        <v>147</v>
      </c>
    </row>
    <row r="131" spans="1:24" x14ac:dyDescent="0.25">
      <c r="A131" s="75" t="str">
        <f t="shared" si="4"/>
        <v>Pago_de_Hipoteca PROF Wealth &amp; Premier Executive Pago_Fijo_Puntual 13</v>
      </c>
      <c r="B131" s="75" t="str">
        <f t="shared" si="5"/>
        <v>Pago_de_Hipoteca PROF Wealth &amp; Premier Executive Pago_Fijo_Puntual 13 0.106</v>
      </c>
      <c r="C131" s="75" t="s">
        <v>173</v>
      </c>
      <c r="D131" s="75" t="s">
        <v>169</v>
      </c>
      <c r="E131" s="75" t="s">
        <v>175</v>
      </c>
      <c r="F131" s="75"/>
      <c r="G131" s="75"/>
      <c r="H131" s="75"/>
      <c r="I131" s="75" t="s">
        <v>171</v>
      </c>
      <c r="J131" s="503">
        <v>13</v>
      </c>
      <c r="K131" s="503">
        <v>3</v>
      </c>
      <c r="L131" s="504">
        <v>12.06</v>
      </c>
      <c r="M131" s="504">
        <v>12.72</v>
      </c>
      <c r="N131" s="505">
        <v>0.106</v>
      </c>
      <c r="O131" s="505">
        <v>0.10299999999999999</v>
      </c>
      <c r="P131" s="505">
        <v>0.11799999999999999</v>
      </c>
      <c r="Q131" s="78">
        <v>0.44</v>
      </c>
      <c r="R131" s="78">
        <v>0.31740000000000002</v>
      </c>
      <c r="S131" s="69">
        <v>0</v>
      </c>
      <c r="T131" s="69">
        <v>0</v>
      </c>
      <c r="U131" s="505">
        <v>0.7</v>
      </c>
      <c r="V131" s="76">
        <v>0</v>
      </c>
      <c r="W131" s="76">
        <v>0</v>
      </c>
      <c r="X131" s="76"/>
    </row>
    <row r="132" spans="1:24" x14ac:dyDescent="0.25">
      <c r="A132" s="75" t="str">
        <f t="shared" si="4"/>
        <v>Pago_de_Hipoteca PROF Wealth &amp; Premier Executive Pago_Fijo_Puntual Si 12</v>
      </c>
      <c r="B132" s="75" t="str">
        <f t="shared" si="5"/>
        <v>Pago_de_Hipoteca PROF Wealth &amp; Premier Executive Pago_Fijo_Puntual Si 12 0.103</v>
      </c>
      <c r="C132" s="75" t="s">
        <v>173</v>
      </c>
      <c r="D132" s="75" t="s">
        <v>169</v>
      </c>
      <c r="E132" s="75" t="s">
        <v>175</v>
      </c>
      <c r="F132" s="75"/>
      <c r="G132" s="75"/>
      <c r="H132" s="75"/>
      <c r="I132" s="75" t="s">
        <v>171</v>
      </c>
      <c r="J132" s="503">
        <v>12</v>
      </c>
      <c r="K132" s="503" t="s">
        <v>387</v>
      </c>
      <c r="L132" s="504">
        <v>12.31</v>
      </c>
      <c r="M132" s="504">
        <v>12.97</v>
      </c>
      <c r="N132" s="505">
        <v>0.10299999999999999</v>
      </c>
      <c r="O132" s="505">
        <v>0.1</v>
      </c>
      <c r="P132" s="505">
        <v>0.112</v>
      </c>
      <c r="Q132" s="78">
        <v>0.44</v>
      </c>
      <c r="R132" s="78">
        <v>0.31740000000000002</v>
      </c>
      <c r="S132" s="69">
        <v>0</v>
      </c>
      <c r="T132" s="69">
        <v>0</v>
      </c>
      <c r="U132" s="505">
        <v>0.85</v>
      </c>
      <c r="V132" s="76">
        <v>0</v>
      </c>
      <c r="W132" s="76">
        <v>0</v>
      </c>
      <c r="X132" s="76" t="s">
        <v>147</v>
      </c>
    </row>
    <row r="133" spans="1:24" x14ac:dyDescent="0.25">
      <c r="A133" s="75" t="str">
        <f t="shared" si="4"/>
        <v>Pago_de_Hipoteca PROF Wealth &amp; Premier Executive Pago_Fijo_Puntual 12</v>
      </c>
      <c r="B133" s="75" t="str">
        <f t="shared" si="5"/>
        <v>Pago_de_Hipoteca PROF Wealth &amp; Premier Executive Pago_Fijo_Puntual 12 0.106</v>
      </c>
      <c r="C133" s="75" t="s">
        <v>173</v>
      </c>
      <c r="D133" s="75" t="s">
        <v>169</v>
      </c>
      <c r="E133" s="75" t="s">
        <v>175</v>
      </c>
      <c r="F133" s="75"/>
      <c r="G133" s="75"/>
      <c r="H133" s="75"/>
      <c r="I133" s="75" t="s">
        <v>171</v>
      </c>
      <c r="J133" s="503">
        <v>12</v>
      </c>
      <c r="K133" s="503">
        <v>3</v>
      </c>
      <c r="L133" s="504">
        <v>12.5</v>
      </c>
      <c r="M133" s="504">
        <v>13.16</v>
      </c>
      <c r="N133" s="505">
        <v>0.106</v>
      </c>
      <c r="O133" s="505">
        <v>0.10299999999999999</v>
      </c>
      <c r="P133" s="505">
        <v>0.11799999999999999</v>
      </c>
      <c r="Q133" s="78">
        <v>0.44</v>
      </c>
      <c r="R133" s="78">
        <v>0.31740000000000002</v>
      </c>
      <c r="S133" s="69">
        <v>0</v>
      </c>
      <c r="T133" s="69">
        <v>0</v>
      </c>
      <c r="U133" s="505">
        <v>0.7</v>
      </c>
      <c r="V133" s="76">
        <v>0</v>
      </c>
      <c r="W133" s="76">
        <v>0</v>
      </c>
      <c r="X133" s="76"/>
    </row>
    <row r="134" spans="1:24" x14ac:dyDescent="0.25">
      <c r="A134" s="75" t="str">
        <f t="shared" si="4"/>
        <v>Pago_de_Hipoteca PROF Wealth &amp; Premier Executive Pago_Fijo_Puntual Si 11</v>
      </c>
      <c r="B134" s="75" t="str">
        <f t="shared" si="5"/>
        <v>Pago_de_Hipoteca PROF Wealth &amp; Premier Executive Pago_Fijo_Puntual Si 11 0.103</v>
      </c>
      <c r="C134" s="75" t="s">
        <v>173</v>
      </c>
      <c r="D134" s="75" t="s">
        <v>169</v>
      </c>
      <c r="E134" s="75" t="s">
        <v>175</v>
      </c>
      <c r="F134" s="75"/>
      <c r="G134" s="75"/>
      <c r="H134" s="75"/>
      <c r="I134" s="75" t="s">
        <v>171</v>
      </c>
      <c r="J134" s="503">
        <v>11</v>
      </c>
      <c r="K134" s="503" t="s">
        <v>387</v>
      </c>
      <c r="L134" s="504">
        <v>12.86</v>
      </c>
      <c r="M134" s="504">
        <v>13.52</v>
      </c>
      <c r="N134" s="505">
        <v>0.10299999999999999</v>
      </c>
      <c r="O134" s="505">
        <v>0.1</v>
      </c>
      <c r="P134" s="505">
        <v>0.112</v>
      </c>
      <c r="Q134" s="78">
        <v>0.44</v>
      </c>
      <c r="R134" s="78">
        <v>0.31740000000000002</v>
      </c>
      <c r="S134" s="69">
        <v>0</v>
      </c>
      <c r="T134" s="69">
        <v>0</v>
      </c>
      <c r="U134" s="505">
        <v>0.85</v>
      </c>
      <c r="V134" s="76">
        <v>0</v>
      </c>
      <c r="W134" s="76">
        <v>0</v>
      </c>
      <c r="X134" s="76" t="s">
        <v>147</v>
      </c>
    </row>
    <row r="135" spans="1:24" x14ac:dyDescent="0.25">
      <c r="A135" s="75" t="str">
        <f t="shared" si="4"/>
        <v>Pago_de_Hipoteca PROF Wealth &amp; Premier Executive Pago_Fijo_Puntual 11</v>
      </c>
      <c r="B135" s="75" t="str">
        <f t="shared" si="5"/>
        <v>Pago_de_Hipoteca PROF Wealth &amp; Premier Executive Pago_Fijo_Puntual 11 0.106</v>
      </c>
      <c r="C135" s="75" t="s">
        <v>173</v>
      </c>
      <c r="D135" s="75" t="s">
        <v>169</v>
      </c>
      <c r="E135" s="75" t="s">
        <v>175</v>
      </c>
      <c r="F135" s="75"/>
      <c r="G135" s="75"/>
      <c r="H135" s="75"/>
      <c r="I135" s="75" t="s">
        <v>171</v>
      </c>
      <c r="J135" s="503">
        <v>11</v>
      </c>
      <c r="K135" s="503">
        <v>3</v>
      </c>
      <c r="L135" s="504">
        <v>13.04</v>
      </c>
      <c r="M135" s="504">
        <v>13.7</v>
      </c>
      <c r="N135" s="505">
        <v>0.106</v>
      </c>
      <c r="O135" s="505">
        <v>0.10299999999999999</v>
      </c>
      <c r="P135" s="505">
        <v>0.11799999999999999</v>
      </c>
      <c r="Q135" s="78">
        <v>0.44</v>
      </c>
      <c r="R135" s="78">
        <v>0.31740000000000002</v>
      </c>
      <c r="S135" s="69">
        <v>0</v>
      </c>
      <c r="T135" s="69">
        <v>0</v>
      </c>
      <c r="U135" s="505">
        <v>0.7</v>
      </c>
      <c r="V135" s="76">
        <v>0</v>
      </c>
      <c r="W135" s="76">
        <v>0</v>
      </c>
      <c r="X135" s="76"/>
    </row>
    <row r="136" spans="1:24" x14ac:dyDescent="0.25">
      <c r="A136" s="75" t="str">
        <f t="shared" si="4"/>
        <v>Pago_de_Hipoteca PROF Wealth &amp; Premier Executive Pago_Fijo_Puntual Si 10</v>
      </c>
      <c r="B136" s="75" t="str">
        <f t="shared" si="5"/>
        <v>Pago_de_Hipoteca PROF Wealth &amp; Premier Executive Pago_Fijo_Puntual Si 10 0.103</v>
      </c>
      <c r="C136" s="75" t="s">
        <v>173</v>
      </c>
      <c r="D136" s="75" t="s">
        <v>169</v>
      </c>
      <c r="E136" s="75" t="s">
        <v>175</v>
      </c>
      <c r="F136" s="75"/>
      <c r="G136" s="75"/>
      <c r="H136" s="75"/>
      <c r="I136" s="75" t="s">
        <v>171</v>
      </c>
      <c r="J136" s="503">
        <v>10</v>
      </c>
      <c r="K136" s="503" t="s">
        <v>387</v>
      </c>
      <c r="L136" s="504">
        <v>13.54</v>
      </c>
      <c r="M136" s="504">
        <v>14.2</v>
      </c>
      <c r="N136" s="505">
        <v>0.10299999999999999</v>
      </c>
      <c r="O136" s="505">
        <v>0.1</v>
      </c>
      <c r="P136" s="505">
        <v>0.112</v>
      </c>
      <c r="Q136" s="78">
        <v>0.44</v>
      </c>
      <c r="R136" s="78">
        <v>0.31740000000000002</v>
      </c>
      <c r="S136" s="69">
        <v>0</v>
      </c>
      <c r="T136" s="69">
        <v>0</v>
      </c>
      <c r="U136" s="505">
        <v>0.85</v>
      </c>
      <c r="V136" s="76">
        <v>0</v>
      </c>
      <c r="W136" s="76">
        <v>0</v>
      </c>
      <c r="X136" s="76" t="s">
        <v>147</v>
      </c>
    </row>
    <row r="137" spans="1:24" x14ac:dyDescent="0.25">
      <c r="A137" s="75" t="str">
        <f t="shared" si="4"/>
        <v>Pago_de_Hipoteca PROF Wealth &amp; Premier Executive Pago_Fijo_Puntual 10</v>
      </c>
      <c r="B137" s="75" t="str">
        <f t="shared" si="5"/>
        <v>Pago_de_Hipoteca PROF Wealth &amp; Premier Executive Pago_Fijo_Puntual 10 0.106</v>
      </c>
      <c r="C137" s="75" t="s">
        <v>173</v>
      </c>
      <c r="D137" s="75" t="s">
        <v>169</v>
      </c>
      <c r="E137" s="75" t="s">
        <v>175</v>
      </c>
      <c r="F137" s="75"/>
      <c r="G137" s="75"/>
      <c r="H137" s="75"/>
      <c r="I137" s="75" t="s">
        <v>171</v>
      </c>
      <c r="J137" s="503">
        <v>10</v>
      </c>
      <c r="K137" s="503">
        <v>3</v>
      </c>
      <c r="L137" s="504">
        <v>13.7</v>
      </c>
      <c r="M137" s="504">
        <v>14.36</v>
      </c>
      <c r="N137" s="505">
        <v>0.106</v>
      </c>
      <c r="O137" s="505">
        <v>0.10299999999999999</v>
      </c>
      <c r="P137" s="505">
        <v>0.11799999999999999</v>
      </c>
      <c r="Q137" s="78">
        <v>0.44</v>
      </c>
      <c r="R137" s="78">
        <v>0.31740000000000002</v>
      </c>
      <c r="S137" s="69">
        <v>0</v>
      </c>
      <c r="T137" s="69">
        <v>0</v>
      </c>
      <c r="U137" s="505">
        <v>0.7</v>
      </c>
      <c r="V137" s="76">
        <v>0</v>
      </c>
      <c r="W137" s="76">
        <v>0</v>
      </c>
      <c r="X137" s="76"/>
    </row>
    <row r="138" spans="1:24" x14ac:dyDescent="0.25">
      <c r="A138" s="75" t="str">
        <f t="shared" si="4"/>
        <v>Pago_de_Hipoteca PROF Wealth &amp; Premier Executive Pago_Fijo_Puntual Si 9</v>
      </c>
      <c r="B138" s="75" t="str">
        <f t="shared" si="5"/>
        <v>Pago_de_Hipoteca PROF Wealth &amp; Premier Executive Pago_Fijo_Puntual Si 9 0.103</v>
      </c>
      <c r="C138" s="75" t="s">
        <v>173</v>
      </c>
      <c r="D138" s="75" t="s">
        <v>169</v>
      </c>
      <c r="E138" s="75" t="s">
        <v>175</v>
      </c>
      <c r="F138" s="75"/>
      <c r="G138" s="75"/>
      <c r="H138" s="75"/>
      <c r="I138" s="75" t="s">
        <v>171</v>
      </c>
      <c r="J138" s="503">
        <v>9</v>
      </c>
      <c r="K138" s="503" t="s">
        <v>387</v>
      </c>
      <c r="L138" s="504">
        <v>14.37</v>
      </c>
      <c r="M138" s="504">
        <v>15.03</v>
      </c>
      <c r="N138" s="505">
        <v>0.10299999999999999</v>
      </c>
      <c r="O138" s="505">
        <v>0.1</v>
      </c>
      <c r="P138" s="505">
        <v>0.112</v>
      </c>
      <c r="Q138" s="78">
        <v>0.44</v>
      </c>
      <c r="R138" s="78">
        <v>0.31740000000000002</v>
      </c>
      <c r="S138" s="69">
        <v>0</v>
      </c>
      <c r="T138" s="69">
        <v>0</v>
      </c>
      <c r="U138" s="505">
        <v>0.85</v>
      </c>
      <c r="V138" s="76">
        <v>0</v>
      </c>
      <c r="W138" s="76">
        <v>0</v>
      </c>
      <c r="X138" s="76" t="s">
        <v>147</v>
      </c>
    </row>
    <row r="139" spans="1:24" x14ac:dyDescent="0.25">
      <c r="A139" s="75" t="str">
        <f t="shared" si="4"/>
        <v>Pago_de_Hipoteca PROF Wealth &amp; Premier Executive Pago_Fijo_Puntual 9</v>
      </c>
      <c r="B139" s="75" t="str">
        <f t="shared" si="5"/>
        <v>Pago_de_Hipoteca PROF Wealth &amp; Premier Executive Pago_Fijo_Puntual 9 0.106</v>
      </c>
      <c r="C139" s="75" t="s">
        <v>173</v>
      </c>
      <c r="D139" s="75" t="s">
        <v>169</v>
      </c>
      <c r="E139" s="75" t="s">
        <v>175</v>
      </c>
      <c r="F139" s="75"/>
      <c r="G139" s="75"/>
      <c r="H139" s="75"/>
      <c r="I139" s="75" t="s">
        <v>171</v>
      </c>
      <c r="J139" s="503">
        <v>9</v>
      </c>
      <c r="K139" s="503">
        <v>3</v>
      </c>
      <c r="L139" s="504">
        <v>14.53</v>
      </c>
      <c r="M139" s="504">
        <v>15.19</v>
      </c>
      <c r="N139" s="505">
        <v>0.106</v>
      </c>
      <c r="O139" s="505">
        <v>0.10299999999999999</v>
      </c>
      <c r="P139" s="505">
        <v>0.11799999999999999</v>
      </c>
      <c r="Q139" s="78">
        <v>0.44</v>
      </c>
      <c r="R139" s="78">
        <v>0.31740000000000002</v>
      </c>
      <c r="S139" s="69">
        <v>0</v>
      </c>
      <c r="T139" s="69">
        <v>0</v>
      </c>
      <c r="U139" s="505">
        <v>0.7</v>
      </c>
      <c r="V139" s="76">
        <v>0</v>
      </c>
      <c r="W139" s="76">
        <v>0</v>
      </c>
      <c r="X139" s="76"/>
    </row>
    <row r="140" spans="1:24" x14ac:dyDescent="0.25">
      <c r="A140" s="75" t="str">
        <f t="shared" si="4"/>
        <v>Pago_de_Hipoteca PROF Wealth &amp; Premier Executive Pago_Fijo_Puntual Si 8</v>
      </c>
      <c r="B140" s="75" t="str">
        <f t="shared" si="5"/>
        <v>Pago_de_Hipoteca PROF Wealth &amp; Premier Executive Pago_Fijo_Puntual Si 8 0.103</v>
      </c>
      <c r="C140" s="75" t="s">
        <v>173</v>
      </c>
      <c r="D140" s="75" t="s">
        <v>169</v>
      </c>
      <c r="E140" s="75" t="s">
        <v>175</v>
      </c>
      <c r="F140" s="75"/>
      <c r="G140" s="75"/>
      <c r="H140" s="75"/>
      <c r="I140" s="75" t="s">
        <v>171</v>
      </c>
      <c r="J140" s="503">
        <v>8</v>
      </c>
      <c r="K140" s="503" t="s">
        <v>387</v>
      </c>
      <c r="L140" s="504">
        <v>15.44</v>
      </c>
      <c r="M140" s="504">
        <v>16.100000000000001</v>
      </c>
      <c r="N140" s="505">
        <v>0.10299999999999999</v>
      </c>
      <c r="O140" s="505">
        <v>0.1</v>
      </c>
      <c r="P140" s="505">
        <v>0.112</v>
      </c>
      <c r="Q140" s="78">
        <v>0.44</v>
      </c>
      <c r="R140" s="78">
        <v>0.31740000000000002</v>
      </c>
      <c r="S140" s="69">
        <v>0</v>
      </c>
      <c r="T140" s="69">
        <v>0</v>
      </c>
      <c r="U140" s="505">
        <v>0.85</v>
      </c>
      <c r="V140" s="76">
        <v>0</v>
      </c>
      <c r="W140" s="76">
        <v>0</v>
      </c>
      <c r="X140" s="76" t="s">
        <v>147</v>
      </c>
    </row>
    <row r="141" spans="1:24" x14ac:dyDescent="0.25">
      <c r="A141" s="75" t="str">
        <f t="shared" si="4"/>
        <v>Pago_de_Hipoteca PROF Wealth &amp; Premier Executive Pago_Fijo_Puntual 8</v>
      </c>
      <c r="B141" s="75" t="str">
        <f t="shared" si="5"/>
        <v>Pago_de_Hipoteca PROF Wealth &amp; Premier Executive Pago_Fijo_Puntual 8 0.106</v>
      </c>
      <c r="C141" s="75" t="s">
        <v>173</v>
      </c>
      <c r="D141" s="75" t="s">
        <v>169</v>
      </c>
      <c r="E141" s="75" t="s">
        <v>175</v>
      </c>
      <c r="F141" s="75"/>
      <c r="G141" s="75"/>
      <c r="H141" s="75"/>
      <c r="I141" s="75" t="s">
        <v>171</v>
      </c>
      <c r="J141" s="503">
        <v>8</v>
      </c>
      <c r="K141" s="503">
        <v>3</v>
      </c>
      <c r="L141" s="504">
        <v>15.6</v>
      </c>
      <c r="M141" s="504">
        <v>16.260000000000002</v>
      </c>
      <c r="N141" s="505">
        <v>0.106</v>
      </c>
      <c r="O141" s="505">
        <v>0.10299999999999999</v>
      </c>
      <c r="P141" s="505">
        <v>0.11799999999999999</v>
      </c>
      <c r="Q141" s="78">
        <v>0.44</v>
      </c>
      <c r="R141" s="78">
        <v>0.31740000000000002</v>
      </c>
      <c r="S141" s="69">
        <v>0</v>
      </c>
      <c r="T141" s="69">
        <v>0</v>
      </c>
      <c r="U141" s="505">
        <v>0.7</v>
      </c>
      <c r="V141" s="76">
        <v>0</v>
      </c>
      <c r="W141" s="76">
        <v>0</v>
      </c>
      <c r="X141" s="76"/>
    </row>
    <row r="142" spans="1:24" x14ac:dyDescent="0.25">
      <c r="A142" s="75" t="str">
        <f t="shared" si="4"/>
        <v>Pago_de_Hipoteca PROF Wealth &amp; Premier Executive Pago_Fijo_Puntual Si 7</v>
      </c>
      <c r="B142" s="75" t="str">
        <f t="shared" si="5"/>
        <v>Pago_de_Hipoteca PROF Wealth &amp; Premier Executive Pago_Fijo_Puntual Si 7 0.103</v>
      </c>
      <c r="C142" s="75" t="s">
        <v>173</v>
      </c>
      <c r="D142" s="75" t="s">
        <v>169</v>
      </c>
      <c r="E142" s="75" t="s">
        <v>175</v>
      </c>
      <c r="F142" s="75"/>
      <c r="G142" s="75"/>
      <c r="H142" s="75"/>
      <c r="I142" s="75" t="s">
        <v>171</v>
      </c>
      <c r="J142" s="503">
        <v>7</v>
      </c>
      <c r="K142" s="503" t="s">
        <v>387</v>
      </c>
      <c r="L142" s="504">
        <v>16.84</v>
      </c>
      <c r="M142" s="504">
        <v>17.5</v>
      </c>
      <c r="N142" s="505">
        <v>0.10299999999999999</v>
      </c>
      <c r="O142" s="505">
        <v>0.1</v>
      </c>
      <c r="P142" s="505">
        <v>0.112</v>
      </c>
      <c r="Q142" s="78">
        <v>0.44</v>
      </c>
      <c r="R142" s="78">
        <v>0.31740000000000002</v>
      </c>
      <c r="S142" s="69">
        <v>0</v>
      </c>
      <c r="T142" s="69">
        <v>0</v>
      </c>
      <c r="U142" s="505">
        <v>0.85</v>
      </c>
      <c r="V142" s="76">
        <v>0</v>
      </c>
      <c r="W142" s="76">
        <v>0</v>
      </c>
      <c r="X142" s="76" t="s">
        <v>147</v>
      </c>
    </row>
    <row r="143" spans="1:24" x14ac:dyDescent="0.25">
      <c r="A143" s="75" t="str">
        <f t="shared" si="4"/>
        <v>Pago_de_Hipoteca PROF Wealth &amp; Premier Executive Pago_Fijo_Puntual 7</v>
      </c>
      <c r="B143" s="75" t="str">
        <f t="shared" si="5"/>
        <v>Pago_de_Hipoteca PROF Wealth &amp; Premier Executive Pago_Fijo_Puntual 7 0.106</v>
      </c>
      <c r="C143" s="75" t="s">
        <v>173</v>
      </c>
      <c r="D143" s="75" t="s">
        <v>169</v>
      </c>
      <c r="E143" s="75" t="s">
        <v>175</v>
      </c>
      <c r="F143" s="75"/>
      <c r="G143" s="75"/>
      <c r="H143" s="75"/>
      <c r="I143" s="75" t="s">
        <v>171</v>
      </c>
      <c r="J143" s="503">
        <v>7</v>
      </c>
      <c r="K143" s="503">
        <v>3</v>
      </c>
      <c r="L143" s="504">
        <v>17</v>
      </c>
      <c r="M143" s="504">
        <v>17.66</v>
      </c>
      <c r="N143" s="505">
        <v>0.106</v>
      </c>
      <c r="O143" s="505">
        <v>0.10299999999999999</v>
      </c>
      <c r="P143" s="505">
        <v>0.11799999999999999</v>
      </c>
      <c r="Q143" s="78">
        <v>0.44</v>
      </c>
      <c r="R143" s="78">
        <v>0.31740000000000002</v>
      </c>
      <c r="S143" s="69">
        <v>0</v>
      </c>
      <c r="T143" s="69">
        <v>0</v>
      </c>
      <c r="U143" s="505">
        <v>0.7</v>
      </c>
      <c r="V143" s="76">
        <v>0</v>
      </c>
      <c r="W143" s="76">
        <v>0</v>
      </c>
      <c r="X143" s="76"/>
    </row>
    <row r="144" spans="1:24" x14ac:dyDescent="0.25">
      <c r="A144" s="75" t="str">
        <f t="shared" si="4"/>
        <v>Pago_de_Hipoteca PROF Wealth &amp; Premier Executive Pago_Fijo_Puntual Si 6</v>
      </c>
      <c r="B144" s="75" t="str">
        <f t="shared" si="5"/>
        <v>Pago_de_Hipoteca PROF Wealth &amp; Premier Executive Pago_Fijo_Puntual Si 6 0.103</v>
      </c>
      <c r="C144" s="75" t="s">
        <v>173</v>
      </c>
      <c r="D144" s="75" t="s">
        <v>169</v>
      </c>
      <c r="E144" s="75" t="s">
        <v>175</v>
      </c>
      <c r="F144" s="75"/>
      <c r="G144" s="75"/>
      <c r="H144" s="75"/>
      <c r="I144" s="75" t="s">
        <v>171</v>
      </c>
      <c r="J144" s="503">
        <v>6</v>
      </c>
      <c r="K144" s="503" t="s">
        <v>387</v>
      </c>
      <c r="L144" s="504">
        <v>18.739999999999998</v>
      </c>
      <c r="M144" s="504">
        <v>19.399999999999999</v>
      </c>
      <c r="N144" s="505">
        <v>0.10299999999999999</v>
      </c>
      <c r="O144" s="505">
        <v>0.1</v>
      </c>
      <c r="P144" s="505">
        <v>0.112</v>
      </c>
      <c r="Q144" s="78">
        <v>0.44</v>
      </c>
      <c r="R144" s="78">
        <v>0.31740000000000002</v>
      </c>
      <c r="S144" s="69">
        <v>0</v>
      </c>
      <c r="T144" s="69">
        <v>0</v>
      </c>
      <c r="U144" s="505">
        <v>0.85</v>
      </c>
      <c r="V144" s="76">
        <v>0</v>
      </c>
      <c r="W144" s="76">
        <v>0</v>
      </c>
      <c r="X144" s="76" t="s">
        <v>147</v>
      </c>
    </row>
    <row r="145" spans="1:24" x14ac:dyDescent="0.25">
      <c r="A145" s="75" t="str">
        <f t="shared" si="4"/>
        <v>Pago_de_Hipoteca PROF Wealth &amp; Premier Executive Pago_Fijo_Puntual 6</v>
      </c>
      <c r="B145" s="75" t="str">
        <f t="shared" si="5"/>
        <v>Pago_de_Hipoteca PROF Wealth &amp; Premier Executive Pago_Fijo_Puntual 6 0.106</v>
      </c>
      <c r="C145" s="75" t="s">
        <v>173</v>
      </c>
      <c r="D145" s="75" t="s">
        <v>169</v>
      </c>
      <c r="E145" s="75" t="s">
        <v>175</v>
      </c>
      <c r="F145" s="75"/>
      <c r="G145" s="75"/>
      <c r="H145" s="75"/>
      <c r="I145" s="75" t="s">
        <v>171</v>
      </c>
      <c r="J145" s="503">
        <v>6</v>
      </c>
      <c r="K145" s="503">
        <v>3</v>
      </c>
      <c r="L145" s="504">
        <v>18.89</v>
      </c>
      <c r="M145" s="504">
        <v>19.55</v>
      </c>
      <c r="N145" s="505">
        <v>0.106</v>
      </c>
      <c r="O145" s="505">
        <v>0.10299999999999999</v>
      </c>
      <c r="P145" s="505">
        <v>0.11799999999999999</v>
      </c>
      <c r="Q145" s="78">
        <v>0.44</v>
      </c>
      <c r="R145" s="78">
        <v>0.31740000000000002</v>
      </c>
      <c r="S145" s="69">
        <v>0</v>
      </c>
      <c r="T145" s="69">
        <v>0</v>
      </c>
      <c r="U145" s="505">
        <v>0.7</v>
      </c>
      <c r="V145" s="76">
        <v>0</v>
      </c>
      <c r="W145" s="76">
        <v>0</v>
      </c>
      <c r="X145" s="76"/>
    </row>
    <row r="146" spans="1:24" x14ac:dyDescent="0.25">
      <c r="A146" s="75" t="str">
        <f t="shared" si="4"/>
        <v>Pago_de_Hipoteca PROF Wealth &amp; Premier Executive Pago_Fijo_Puntual Si 5</v>
      </c>
      <c r="B146" s="75" t="str">
        <f t="shared" si="5"/>
        <v>Pago_de_Hipoteca PROF Wealth &amp; Premier Executive Pago_Fijo_Puntual Si 5 0.103</v>
      </c>
      <c r="C146" s="75" t="s">
        <v>173</v>
      </c>
      <c r="D146" s="75" t="s">
        <v>169</v>
      </c>
      <c r="E146" s="75" t="s">
        <v>175</v>
      </c>
      <c r="F146" s="75"/>
      <c r="G146" s="75"/>
      <c r="H146" s="75"/>
      <c r="I146" s="75" t="s">
        <v>171</v>
      </c>
      <c r="J146" s="503">
        <v>5</v>
      </c>
      <c r="K146" s="503" t="s">
        <v>387</v>
      </c>
      <c r="L146" s="504">
        <v>21.44</v>
      </c>
      <c r="M146" s="504">
        <v>22.1</v>
      </c>
      <c r="N146" s="505">
        <v>0.10299999999999999</v>
      </c>
      <c r="O146" s="505">
        <v>0.1</v>
      </c>
      <c r="P146" s="505">
        <v>0.112</v>
      </c>
      <c r="Q146" s="78">
        <v>0.44</v>
      </c>
      <c r="R146" s="78">
        <v>0.31740000000000002</v>
      </c>
      <c r="S146" s="69">
        <v>0</v>
      </c>
      <c r="T146" s="69">
        <v>0</v>
      </c>
      <c r="U146" s="505">
        <v>0.85</v>
      </c>
      <c r="V146" s="76">
        <v>0</v>
      </c>
      <c r="W146" s="76">
        <v>0</v>
      </c>
      <c r="X146" s="76" t="s">
        <v>147</v>
      </c>
    </row>
    <row r="147" spans="1:24" x14ac:dyDescent="0.25">
      <c r="A147" s="75" t="str">
        <f t="shared" si="4"/>
        <v>Pago_de_Hipoteca PROF Wealth &amp; Premier Executive Pago_Fijo_Puntual 5</v>
      </c>
      <c r="B147" s="75" t="str">
        <f t="shared" si="5"/>
        <v>Pago_de_Hipoteca PROF Wealth &amp; Premier Executive Pago_Fijo_Puntual 5 0.106</v>
      </c>
      <c r="C147" s="75" t="s">
        <v>173</v>
      </c>
      <c r="D147" s="75" t="s">
        <v>169</v>
      </c>
      <c r="E147" s="75" t="s">
        <v>175</v>
      </c>
      <c r="F147" s="75"/>
      <c r="G147" s="75"/>
      <c r="H147" s="75"/>
      <c r="I147" s="75" t="s">
        <v>171</v>
      </c>
      <c r="J147" s="503">
        <v>5</v>
      </c>
      <c r="K147" s="503">
        <v>3</v>
      </c>
      <c r="L147" s="504">
        <v>21.58</v>
      </c>
      <c r="M147" s="504">
        <v>22.24</v>
      </c>
      <c r="N147" s="505">
        <v>0.106</v>
      </c>
      <c r="O147" s="505">
        <v>0.10299999999999999</v>
      </c>
      <c r="P147" s="505">
        <v>0.11799999999999999</v>
      </c>
      <c r="Q147" s="78">
        <v>0.44</v>
      </c>
      <c r="R147" s="78">
        <v>0.31740000000000002</v>
      </c>
      <c r="S147" s="69">
        <v>0</v>
      </c>
      <c r="T147" s="69">
        <v>0</v>
      </c>
      <c r="U147" s="505">
        <v>0.7</v>
      </c>
      <c r="V147" s="76">
        <v>0</v>
      </c>
      <c r="W147" s="76">
        <v>0</v>
      </c>
      <c r="X147" s="76"/>
    </row>
    <row r="148" spans="1:24" x14ac:dyDescent="0.25">
      <c r="A148" s="75" t="str">
        <f t="shared" si="4"/>
        <v>Pago_Hipoteca+Liquidez PF Wealth &amp; Premier Executive Pago_Fijo_Puntual Si 20</v>
      </c>
      <c r="B148" s="75" t="str">
        <f t="shared" si="5"/>
        <v>Pago_Hipoteca+Liquidez PF Wealth &amp; Premier Executive Pago_Fijo_Puntual Si 20 0.103</v>
      </c>
      <c r="C148" s="75" t="s">
        <v>174</v>
      </c>
      <c r="D148" s="75" t="s">
        <v>132</v>
      </c>
      <c r="E148" s="75" t="s">
        <v>175</v>
      </c>
      <c r="F148" s="75"/>
      <c r="G148" s="75"/>
      <c r="H148" s="75"/>
      <c r="I148" s="75" t="s">
        <v>171</v>
      </c>
      <c r="J148" s="503">
        <v>20</v>
      </c>
      <c r="K148" s="503" t="s">
        <v>387</v>
      </c>
      <c r="L148" s="504">
        <v>10.16</v>
      </c>
      <c r="M148" s="504">
        <v>10.82</v>
      </c>
      <c r="N148" s="505">
        <v>0.10299999999999999</v>
      </c>
      <c r="O148" s="505">
        <v>0.1</v>
      </c>
      <c r="P148" s="505">
        <v>0.112</v>
      </c>
      <c r="Q148" s="78">
        <v>0.44</v>
      </c>
      <c r="R148" s="78">
        <v>0.31740000000000002</v>
      </c>
      <c r="S148" s="69">
        <v>0</v>
      </c>
      <c r="T148" s="69">
        <v>0</v>
      </c>
      <c r="U148" s="505">
        <v>0.85</v>
      </c>
      <c r="V148" s="76">
        <v>0</v>
      </c>
      <c r="W148" s="76">
        <v>0</v>
      </c>
      <c r="X148" s="76" t="s">
        <v>147</v>
      </c>
    </row>
    <row r="149" spans="1:24" x14ac:dyDescent="0.25">
      <c r="A149" s="75" t="str">
        <f t="shared" si="4"/>
        <v>Pago_Hipoteca+Liquidez PF Wealth &amp; Premier Executive Pago_Fijo_Puntual 20</v>
      </c>
      <c r="B149" s="75" t="str">
        <f t="shared" si="5"/>
        <v>Pago_Hipoteca+Liquidez PF Wealth &amp; Premier Executive Pago_Fijo_Puntual 20 0.106</v>
      </c>
      <c r="C149" s="75" t="s">
        <v>174</v>
      </c>
      <c r="D149" s="75" t="s">
        <v>132</v>
      </c>
      <c r="E149" s="75" t="s">
        <v>175</v>
      </c>
      <c r="F149" s="75"/>
      <c r="G149" s="75"/>
      <c r="H149" s="75"/>
      <c r="I149" s="75" t="s">
        <v>171</v>
      </c>
      <c r="J149" s="503">
        <v>20</v>
      </c>
      <c r="K149" s="503">
        <v>3</v>
      </c>
      <c r="L149" s="504">
        <v>10.4</v>
      </c>
      <c r="M149" s="504">
        <v>11.06</v>
      </c>
      <c r="N149" s="505">
        <v>0.106</v>
      </c>
      <c r="O149" s="505">
        <v>0.10299999999999999</v>
      </c>
      <c r="P149" s="505">
        <v>0.11799999999999999</v>
      </c>
      <c r="Q149" s="78">
        <v>0.44</v>
      </c>
      <c r="R149" s="78">
        <v>0.31740000000000002</v>
      </c>
      <c r="S149" s="69">
        <v>0</v>
      </c>
      <c r="T149" s="69">
        <v>0</v>
      </c>
      <c r="U149" s="505">
        <v>0.85</v>
      </c>
      <c r="V149" s="76">
        <v>0</v>
      </c>
      <c r="W149" s="76">
        <v>0</v>
      </c>
      <c r="X149" s="76"/>
    </row>
    <row r="150" spans="1:24" x14ac:dyDescent="0.25">
      <c r="A150" s="75" t="str">
        <f t="shared" si="4"/>
        <v>Pago_Hipoteca+Liquidez PF Wealth &amp; Premier Executive Pago_Fijo_Puntual Si 19</v>
      </c>
      <c r="B150" s="75" t="str">
        <f t="shared" si="5"/>
        <v>Pago_Hipoteca+Liquidez PF Wealth &amp; Premier Executive Pago_Fijo_Puntual Si 19 0.103</v>
      </c>
      <c r="C150" s="75" t="s">
        <v>174</v>
      </c>
      <c r="D150" s="75" t="s">
        <v>132</v>
      </c>
      <c r="E150" s="75" t="s">
        <v>175</v>
      </c>
      <c r="F150" s="75"/>
      <c r="G150" s="75"/>
      <c r="H150" s="75"/>
      <c r="I150" s="75" t="s">
        <v>171</v>
      </c>
      <c r="J150" s="503">
        <v>19</v>
      </c>
      <c r="K150" s="503" t="s">
        <v>387</v>
      </c>
      <c r="L150" s="504">
        <v>10.3</v>
      </c>
      <c r="M150" s="504">
        <v>10.96</v>
      </c>
      <c r="N150" s="505">
        <v>0.10299999999999999</v>
      </c>
      <c r="O150" s="505">
        <v>0.1</v>
      </c>
      <c r="P150" s="505">
        <v>0.112</v>
      </c>
      <c r="Q150" s="78">
        <v>0.44</v>
      </c>
      <c r="R150" s="78">
        <v>0.31740000000000002</v>
      </c>
      <c r="S150" s="69">
        <v>0</v>
      </c>
      <c r="T150" s="69">
        <v>0</v>
      </c>
      <c r="U150" s="505">
        <v>0.85</v>
      </c>
      <c r="V150" s="76">
        <v>0</v>
      </c>
      <c r="W150" s="76">
        <v>0</v>
      </c>
      <c r="X150" s="76" t="s">
        <v>147</v>
      </c>
    </row>
    <row r="151" spans="1:24" x14ac:dyDescent="0.25">
      <c r="A151" s="75" t="str">
        <f t="shared" si="4"/>
        <v>Pago_Hipoteca+Liquidez PF Wealth &amp; Premier Executive Pago_Fijo_Puntual 19</v>
      </c>
      <c r="B151" s="75" t="str">
        <f t="shared" si="5"/>
        <v>Pago_Hipoteca+Liquidez PF Wealth &amp; Premier Executive Pago_Fijo_Puntual 19 0.106</v>
      </c>
      <c r="C151" s="75" t="s">
        <v>174</v>
      </c>
      <c r="D151" s="75" t="s">
        <v>132</v>
      </c>
      <c r="E151" s="75" t="s">
        <v>175</v>
      </c>
      <c r="F151" s="75"/>
      <c r="G151" s="75"/>
      <c r="H151" s="75"/>
      <c r="I151" s="75" t="s">
        <v>171</v>
      </c>
      <c r="J151" s="503">
        <v>19</v>
      </c>
      <c r="K151" s="503">
        <v>3</v>
      </c>
      <c r="L151" s="504">
        <v>10.54</v>
      </c>
      <c r="M151" s="504">
        <v>11.2</v>
      </c>
      <c r="N151" s="505">
        <v>0.106</v>
      </c>
      <c r="O151" s="505">
        <v>0.10299999999999999</v>
      </c>
      <c r="P151" s="505">
        <v>0.11799999999999999</v>
      </c>
      <c r="Q151" s="78">
        <v>0.44</v>
      </c>
      <c r="R151" s="78">
        <v>0.31740000000000002</v>
      </c>
      <c r="S151" s="69">
        <v>0</v>
      </c>
      <c r="T151" s="69">
        <v>0</v>
      </c>
      <c r="U151" s="505">
        <v>0.85</v>
      </c>
      <c r="V151" s="76">
        <v>0</v>
      </c>
      <c r="W151" s="76">
        <v>0</v>
      </c>
      <c r="X151" s="76"/>
    </row>
    <row r="152" spans="1:24" x14ac:dyDescent="0.25">
      <c r="A152" s="75" t="str">
        <f t="shared" si="4"/>
        <v>Pago_Hipoteca+Liquidez PF Wealth &amp; Premier Executive Pago_Fijo_Puntual Si 18</v>
      </c>
      <c r="B152" s="75" t="str">
        <f t="shared" si="5"/>
        <v>Pago_Hipoteca+Liquidez PF Wealth &amp; Premier Executive Pago_Fijo_Puntual Si 18 0.103</v>
      </c>
      <c r="C152" s="75" t="s">
        <v>174</v>
      </c>
      <c r="D152" s="75" t="s">
        <v>132</v>
      </c>
      <c r="E152" s="75" t="s">
        <v>175</v>
      </c>
      <c r="F152" s="75"/>
      <c r="G152" s="75"/>
      <c r="H152" s="75"/>
      <c r="I152" s="75" t="s">
        <v>171</v>
      </c>
      <c r="J152" s="503">
        <v>18</v>
      </c>
      <c r="K152" s="503" t="s">
        <v>387</v>
      </c>
      <c r="L152" s="504">
        <v>10.47</v>
      </c>
      <c r="M152" s="504">
        <v>11.13</v>
      </c>
      <c r="N152" s="505">
        <v>0.10299999999999999</v>
      </c>
      <c r="O152" s="505">
        <v>0.1</v>
      </c>
      <c r="P152" s="505">
        <v>0.112</v>
      </c>
      <c r="Q152" s="78">
        <v>0.44</v>
      </c>
      <c r="R152" s="78">
        <v>0.31740000000000002</v>
      </c>
      <c r="S152" s="69">
        <v>0</v>
      </c>
      <c r="T152" s="69">
        <v>0</v>
      </c>
      <c r="U152" s="505">
        <v>0.85</v>
      </c>
      <c r="V152" s="76">
        <v>0</v>
      </c>
      <c r="W152" s="76">
        <v>0</v>
      </c>
      <c r="X152" s="76" t="s">
        <v>147</v>
      </c>
    </row>
    <row r="153" spans="1:24" x14ac:dyDescent="0.25">
      <c r="A153" s="75" t="str">
        <f t="shared" si="4"/>
        <v>Pago_Hipoteca+Liquidez PF Wealth &amp; Premier Executive Pago_Fijo_Puntual 18</v>
      </c>
      <c r="B153" s="75" t="str">
        <f t="shared" si="5"/>
        <v>Pago_Hipoteca+Liquidez PF Wealth &amp; Premier Executive Pago_Fijo_Puntual 18 0.106</v>
      </c>
      <c r="C153" s="75" t="s">
        <v>174</v>
      </c>
      <c r="D153" s="75" t="s">
        <v>132</v>
      </c>
      <c r="E153" s="75" t="s">
        <v>175</v>
      </c>
      <c r="F153" s="75"/>
      <c r="G153" s="75"/>
      <c r="H153" s="75"/>
      <c r="I153" s="75" t="s">
        <v>171</v>
      </c>
      <c r="J153" s="503">
        <v>18</v>
      </c>
      <c r="K153" s="503">
        <v>3</v>
      </c>
      <c r="L153" s="504">
        <v>10.71</v>
      </c>
      <c r="M153" s="504">
        <v>11.37</v>
      </c>
      <c r="N153" s="505">
        <v>0.106</v>
      </c>
      <c r="O153" s="505">
        <v>0.10299999999999999</v>
      </c>
      <c r="P153" s="505">
        <v>0.11799999999999999</v>
      </c>
      <c r="Q153" s="78">
        <v>0.44</v>
      </c>
      <c r="R153" s="78">
        <v>0.31740000000000002</v>
      </c>
      <c r="S153" s="69">
        <v>0</v>
      </c>
      <c r="T153" s="69">
        <v>0</v>
      </c>
      <c r="U153" s="505">
        <v>0.85</v>
      </c>
      <c r="V153" s="76">
        <v>0</v>
      </c>
      <c r="W153" s="76">
        <v>0</v>
      </c>
      <c r="X153" s="76"/>
    </row>
    <row r="154" spans="1:24" x14ac:dyDescent="0.25">
      <c r="A154" s="75" t="str">
        <f t="shared" si="4"/>
        <v>Pago_Hipoteca+Liquidez PF Wealth &amp; Premier Executive Pago_Fijo_Puntual Si 17</v>
      </c>
      <c r="B154" s="75" t="str">
        <f t="shared" si="5"/>
        <v>Pago_Hipoteca+Liquidez PF Wealth &amp; Premier Executive Pago_Fijo_Puntual Si 17 0.103</v>
      </c>
      <c r="C154" s="75" t="s">
        <v>174</v>
      </c>
      <c r="D154" s="75" t="s">
        <v>132</v>
      </c>
      <c r="E154" s="75" t="s">
        <v>175</v>
      </c>
      <c r="F154" s="75"/>
      <c r="G154" s="75"/>
      <c r="H154" s="75"/>
      <c r="I154" s="75" t="s">
        <v>171</v>
      </c>
      <c r="J154" s="503">
        <v>17</v>
      </c>
      <c r="K154" s="503" t="s">
        <v>387</v>
      </c>
      <c r="L154" s="504">
        <v>10.67</v>
      </c>
      <c r="M154" s="504">
        <v>11.33</v>
      </c>
      <c r="N154" s="505">
        <v>0.10299999999999999</v>
      </c>
      <c r="O154" s="505">
        <v>0.1</v>
      </c>
      <c r="P154" s="505">
        <v>0.112</v>
      </c>
      <c r="Q154" s="78">
        <v>0.44</v>
      </c>
      <c r="R154" s="78">
        <v>0.31740000000000002</v>
      </c>
      <c r="S154" s="69">
        <v>0</v>
      </c>
      <c r="T154" s="69">
        <v>0</v>
      </c>
      <c r="U154" s="505">
        <v>0.85</v>
      </c>
      <c r="V154" s="76">
        <v>0</v>
      </c>
      <c r="W154" s="76">
        <v>0</v>
      </c>
      <c r="X154" s="76" t="s">
        <v>147</v>
      </c>
    </row>
    <row r="155" spans="1:24" x14ac:dyDescent="0.25">
      <c r="A155" s="75" t="str">
        <f t="shared" si="4"/>
        <v>Pago_Hipoteca+Liquidez PF Wealth &amp; Premier Executive Pago_Fijo_Puntual 17</v>
      </c>
      <c r="B155" s="75" t="str">
        <f t="shared" si="5"/>
        <v>Pago_Hipoteca+Liquidez PF Wealth &amp; Premier Executive Pago_Fijo_Puntual 17 0.106</v>
      </c>
      <c r="C155" s="75" t="s">
        <v>174</v>
      </c>
      <c r="D155" s="75" t="s">
        <v>132</v>
      </c>
      <c r="E155" s="75" t="s">
        <v>175</v>
      </c>
      <c r="F155" s="75"/>
      <c r="G155" s="75"/>
      <c r="H155" s="75"/>
      <c r="I155" s="75" t="s">
        <v>171</v>
      </c>
      <c r="J155" s="503">
        <v>17</v>
      </c>
      <c r="K155" s="503">
        <v>3</v>
      </c>
      <c r="L155" s="504">
        <v>10.9</v>
      </c>
      <c r="M155" s="504">
        <v>11.56</v>
      </c>
      <c r="N155" s="505">
        <v>0.106</v>
      </c>
      <c r="O155" s="505">
        <v>0.10299999999999999</v>
      </c>
      <c r="P155" s="505">
        <v>0.11799999999999999</v>
      </c>
      <c r="Q155" s="78">
        <v>0.44</v>
      </c>
      <c r="R155" s="78">
        <v>0.31740000000000002</v>
      </c>
      <c r="S155" s="69">
        <v>0</v>
      </c>
      <c r="T155" s="69">
        <v>0</v>
      </c>
      <c r="U155" s="505">
        <v>0.85</v>
      </c>
      <c r="V155" s="76">
        <v>0</v>
      </c>
      <c r="W155" s="76">
        <v>0</v>
      </c>
      <c r="X155" s="76"/>
    </row>
    <row r="156" spans="1:24" x14ac:dyDescent="0.25">
      <c r="A156" s="75" t="str">
        <f t="shared" si="4"/>
        <v>Pago_Hipoteca+Liquidez PF Wealth &amp; Premier Executive Pago_Fijo_Puntual Si 16</v>
      </c>
      <c r="B156" s="75" t="str">
        <f t="shared" si="5"/>
        <v>Pago_Hipoteca+Liquidez PF Wealth &amp; Premier Executive Pago_Fijo_Puntual Si 16 0.103</v>
      </c>
      <c r="C156" s="75" t="s">
        <v>174</v>
      </c>
      <c r="D156" s="75" t="s">
        <v>132</v>
      </c>
      <c r="E156" s="75" t="s">
        <v>175</v>
      </c>
      <c r="F156" s="75"/>
      <c r="G156" s="75"/>
      <c r="H156" s="75"/>
      <c r="I156" s="75" t="s">
        <v>171</v>
      </c>
      <c r="J156" s="503">
        <v>16</v>
      </c>
      <c r="K156" s="503" t="s">
        <v>387</v>
      </c>
      <c r="L156" s="504">
        <v>10.9</v>
      </c>
      <c r="M156" s="504">
        <v>11.56</v>
      </c>
      <c r="N156" s="505">
        <v>0.10299999999999999</v>
      </c>
      <c r="O156" s="505">
        <v>0.1</v>
      </c>
      <c r="P156" s="505">
        <v>0.112</v>
      </c>
      <c r="Q156" s="78">
        <v>0.44</v>
      </c>
      <c r="R156" s="78">
        <v>0.31740000000000002</v>
      </c>
      <c r="S156" s="69">
        <v>0</v>
      </c>
      <c r="T156" s="69">
        <v>0</v>
      </c>
      <c r="U156" s="505">
        <v>0.85</v>
      </c>
      <c r="V156" s="76">
        <v>0</v>
      </c>
      <c r="W156" s="76">
        <v>0</v>
      </c>
      <c r="X156" s="76" t="s">
        <v>147</v>
      </c>
    </row>
    <row r="157" spans="1:24" x14ac:dyDescent="0.25">
      <c r="A157" s="75" t="str">
        <f t="shared" si="4"/>
        <v>Pago_Hipoteca+Liquidez PF Wealth &amp; Premier Executive Pago_Fijo_Puntual 16</v>
      </c>
      <c r="B157" s="75" t="str">
        <f t="shared" si="5"/>
        <v>Pago_Hipoteca+Liquidez PF Wealth &amp; Premier Executive Pago_Fijo_Puntual 16 0.106</v>
      </c>
      <c r="C157" s="75" t="s">
        <v>174</v>
      </c>
      <c r="D157" s="75" t="s">
        <v>132</v>
      </c>
      <c r="E157" s="75" t="s">
        <v>175</v>
      </c>
      <c r="F157" s="75"/>
      <c r="G157" s="75"/>
      <c r="H157" s="75"/>
      <c r="I157" s="75" t="s">
        <v>171</v>
      </c>
      <c r="J157" s="503">
        <v>16</v>
      </c>
      <c r="K157" s="503">
        <v>3</v>
      </c>
      <c r="L157" s="504">
        <v>11.12</v>
      </c>
      <c r="M157" s="504">
        <v>11.78</v>
      </c>
      <c r="N157" s="505">
        <v>0.106</v>
      </c>
      <c r="O157" s="505">
        <v>0.10299999999999999</v>
      </c>
      <c r="P157" s="505">
        <v>0.11799999999999999</v>
      </c>
      <c r="Q157" s="78">
        <v>0.44</v>
      </c>
      <c r="R157" s="78">
        <v>0.31740000000000002</v>
      </c>
      <c r="S157" s="69">
        <v>0</v>
      </c>
      <c r="T157" s="69">
        <v>0</v>
      </c>
      <c r="U157" s="505">
        <v>0.85</v>
      </c>
      <c r="V157" s="76">
        <v>0</v>
      </c>
      <c r="W157" s="76">
        <v>0</v>
      </c>
      <c r="X157" s="76"/>
    </row>
    <row r="158" spans="1:24" x14ac:dyDescent="0.25">
      <c r="A158" s="75" t="str">
        <f t="shared" si="4"/>
        <v>Pago_Hipoteca+Liquidez PF Wealth &amp; Premier Executive Pago_Fijo_Puntual Si 15</v>
      </c>
      <c r="B158" s="75" t="str">
        <f t="shared" si="5"/>
        <v>Pago_Hipoteca+Liquidez PF Wealth &amp; Premier Executive Pago_Fijo_Puntual Si 15 0.103</v>
      </c>
      <c r="C158" s="75" t="s">
        <v>174</v>
      </c>
      <c r="D158" s="75" t="s">
        <v>132</v>
      </c>
      <c r="E158" s="75" t="s">
        <v>175</v>
      </c>
      <c r="F158" s="75"/>
      <c r="G158" s="75"/>
      <c r="H158" s="75"/>
      <c r="I158" s="75" t="s">
        <v>171</v>
      </c>
      <c r="J158" s="503">
        <v>15</v>
      </c>
      <c r="K158" s="503" t="s">
        <v>387</v>
      </c>
      <c r="L158" s="504">
        <v>11.18</v>
      </c>
      <c r="M158" s="504">
        <v>11.84</v>
      </c>
      <c r="N158" s="505">
        <v>0.10299999999999999</v>
      </c>
      <c r="O158" s="505">
        <v>0.1</v>
      </c>
      <c r="P158" s="505">
        <v>0.112</v>
      </c>
      <c r="Q158" s="78">
        <v>0.44</v>
      </c>
      <c r="R158" s="78">
        <v>0.31740000000000002</v>
      </c>
      <c r="S158" s="69">
        <v>0</v>
      </c>
      <c r="T158" s="69">
        <v>0</v>
      </c>
      <c r="U158" s="505">
        <v>0.85</v>
      </c>
      <c r="V158" s="76">
        <v>0</v>
      </c>
      <c r="W158" s="76">
        <v>0</v>
      </c>
      <c r="X158" s="76" t="s">
        <v>147</v>
      </c>
    </row>
    <row r="159" spans="1:24" x14ac:dyDescent="0.25">
      <c r="A159" s="75" t="str">
        <f t="shared" si="4"/>
        <v>Pago_Hipoteca+Liquidez PF Wealth &amp; Premier Executive Pago_Fijo_Puntual 15</v>
      </c>
      <c r="B159" s="75" t="str">
        <f t="shared" si="5"/>
        <v>Pago_Hipoteca+Liquidez PF Wealth &amp; Premier Executive Pago_Fijo_Puntual 15 0.106</v>
      </c>
      <c r="C159" s="75" t="s">
        <v>174</v>
      </c>
      <c r="D159" s="75" t="s">
        <v>132</v>
      </c>
      <c r="E159" s="75" t="s">
        <v>175</v>
      </c>
      <c r="F159" s="75"/>
      <c r="G159" s="75"/>
      <c r="H159" s="75"/>
      <c r="I159" s="75" t="s">
        <v>171</v>
      </c>
      <c r="J159" s="503">
        <v>15</v>
      </c>
      <c r="K159" s="503">
        <v>3</v>
      </c>
      <c r="L159" s="504">
        <v>11.38</v>
      </c>
      <c r="M159" s="504">
        <v>12.04</v>
      </c>
      <c r="N159" s="505">
        <v>0.106</v>
      </c>
      <c r="O159" s="505">
        <v>0.10299999999999999</v>
      </c>
      <c r="P159" s="505">
        <v>0.11799999999999999</v>
      </c>
      <c r="Q159" s="78">
        <v>0.44</v>
      </c>
      <c r="R159" s="78">
        <v>0.31740000000000002</v>
      </c>
      <c r="S159" s="69">
        <v>0</v>
      </c>
      <c r="T159" s="69">
        <v>0</v>
      </c>
      <c r="U159" s="505">
        <v>0.85</v>
      </c>
      <c r="V159" s="76">
        <v>0</v>
      </c>
      <c r="W159" s="76">
        <v>0</v>
      </c>
      <c r="X159" s="76"/>
    </row>
    <row r="160" spans="1:24" x14ac:dyDescent="0.25">
      <c r="A160" s="75" t="str">
        <f t="shared" si="4"/>
        <v>Pago_Hipoteca+Liquidez PF Wealth &amp; Premier Executive Pago_Fijo_Puntual Si 14</v>
      </c>
      <c r="B160" s="75" t="str">
        <f t="shared" si="5"/>
        <v>Pago_Hipoteca+Liquidez PF Wealth &amp; Premier Executive Pago_Fijo_Puntual Si 14 0.103</v>
      </c>
      <c r="C160" s="75" t="s">
        <v>174</v>
      </c>
      <c r="D160" s="75" t="s">
        <v>132</v>
      </c>
      <c r="E160" s="75" t="s">
        <v>175</v>
      </c>
      <c r="F160" s="75"/>
      <c r="G160" s="75"/>
      <c r="H160" s="75"/>
      <c r="I160" s="75" t="s">
        <v>171</v>
      </c>
      <c r="J160" s="503">
        <v>14</v>
      </c>
      <c r="K160" s="503" t="s">
        <v>387</v>
      </c>
      <c r="L160" s="504">
        <v>11.49</v>
      </c>
      <c r="M160" s="504">
        <v>12.15</v>
      </c>
      <c r="N160" s="505">
        <v>0.10299999999999999</v>
      </c>
      <c r="O160" s="505">
        <v>0.1</v>
      </c>
      <c r="P160" s="505">
        <v>0.112</v>
      </c>
      <c r="Q160" s="78">
        <v>0.44</v>
      </c>
      <c r="R160" s="78">
        <v>0.31740000000000002</v>
      </c>
      <c r="S160" s="69">
        <v>0</v>
      </c>
      <c r="T160" s="69">
        <v>0</v>
      </c>
      <c r="U160" s="505">
        <v>0.85</v>
      </c>
      <c r="V160" s="76">
        <v>0</v>
      </c>
      <c r="W160" s="76">
        <v>0</v>
      </c>
      <c r="X160" s="76" t="s">
        <v>147</v>
      </c>
    </row>
    <row r="161" spans="1:24" x14ac:dyDescent="0.25">
      <c r="A161" s="75" t="str">
        <f t="shared" si="4"/>
        <v>Pago_Hipoteca+Liquidez PF Wealth &amp; Premier Executive Pago_Fijo_Puntual 14</v>
      </c>
      <c r="B161" s="75" t="str">
        <f t="shared" si="5"/>
        <v>Pago_Hipoteca+Liquidez PF Wealth &amp; Premier Executive Pago_Fijo_Puntual 14 0.106</v>
      </c>
      <c r="C161" s="75" t="s">
        <v>174</v>
      </c>
      <c r="D161" s="75" t="s">
        <v>132</v>
      </c>
      <c r="E161" s="75" t="s">
        <v>175</v>
      </c>
      <c r="F161" s="75"/>
      <c r="G161" s="75"/>
      <c r="H161" s="75"/>
      <c r="I161" s="75" t="s">
        <v>171</v>
      </c>
      <c r="J161" s="503">
        <v>14</v>
      </c>
      <c r="K161" s="503">
        <v>3</v>
      </c>
      <c r="L161" s="504">
        <v>11.69</v>
      </c>
      <c r="M161" s="504">
        <v>12.35</v>
      </c>
      <c r="N161" s="505">
        <v>0.106</v>
      </c>
      <c r="O161" s="505">
        <v>0.10299999999999999</v>
      </c>
      <c r="P161" s="505">
        <v>0.11799999999999999</v>
      </c>
      <c r="Q161" s="78">
        <v>0.44</v>
      </c>
      <c r="R161" s="78">
        <v>0.31740000000000002</v>
      </c>
      <c r="S161" s="69">
        <v>0</v>
      </c>
      <c r="T161" s="69">
        <v>0</v>
      </c>
      <c r="U161" s="505">
        <v>0.85</v>
      </c>
      <c r="V161" s="76">
        <v>0</v>
      </c>
      <c r="W161" s="76">
        <v>0</v>
      </c>
      <c r="X161" s="76"/>
    </row>
    <row r="162" spans="1:24" x14ac:dyDescent="0.25">
      <c r="A162" s="75" t="str">
        <f t="shared" si="4"/>
        <v>Pago_Hipoteca+Liquidez PF Wealth &amp; Premier Executive Pago_Fijo_Puntual Si 13</v>
      </c>
      <c r="B162" s="75" t="str">
        <f t="shared" si="5"/>
        <v>Pago_Hipoteca+Liquidez PF Wealth &amp; Premier Executive Pago_Fijo_Puntual Si 13 0.103</v>
      </c>
      <c r="C162" s="75" t="s">
        <v>174</v>
      </c>
      <c r="D162" s="75" t="s">
        <v>132</v>
      </c>
      <c r="E162" s="75" t="s">
        <v>175</v>
      </c>
      <c r="F162" s="75"/>
      <c r="G162" s="75"/>
      <c r="H162" s="75"/>
      <c r="I162" s="75" t="s">
        <v>171</v>
      </c>
      <c r="J162" s="503">
        <v>13</v>
      </c>
      <c r="K162" s="503" t="s">
        <v>387</v>
      </c>
      <c r="L162" s="504">
        <v>11.86</v>
      </c>
      <c r="M162" s="504">
        <v>12.52</v>
      </c>
      <c r="N162" s="505">
        <v>0.10299999999999999</v>
      </c>
      <c r="O162" s="505">
        <v>0.1</v>
      </c>
      <c r="P162" s="505">
        <v>0.112</v>
      </c>
      <c r="Q162" s="78">
        <v>0.44</v>
      </c>
      <c r="R162" s="78">
        <v>0.31740000000000002</v>
      </c>
      <c r="S162" s="69">
        <v>0</v>
      </c>
      <c r="T162" s="69">
        <v>0</v>
      </c>
      <c r="U162" s="505">
        <v>0.85</v>
      </c>
      <c r="V162" s="76">
        <v>0</v>
      </c>
      <c r="W162" s="76">
        <v>0</v>
      </c>
      <c r="X162" s="76" t="s">
        <v>147</v>
      </c>
    </row>
    <row r="163" spans="1:24" x14ac:dyDescent="0.25">
      <c r="A163" s="75" t="str">
        <f t="shared" si="4"/>
        <v>Pago_Hipoteca+Liquidez PF Wealth &amp; Premier Executive Pago_Fijo_Puntual 13</v>
      </c>
      <c r="B163" s="75" t="str">
        <f t="shared" si="5"/>
        <v>Pago_Hipoteca+Liquidez PF Wealth &amp; Premier Executive Pago_Fijo_Puntual 13 0.106</v>
      </c>
      <c r="C163" s="75" t="s">
        <v>174</v>
      </c>
      <c r="D163" s="75" t="s">
        <v>132</v>
      </c>
      <c r="E163" s="75" t="s">
        <v>175</v>
      </c>
      <c r="F163" s="75"/>
      <c r="G163" s="75"/>
      <c r="H163" s="75"/>
      <c r="I163" s="75" t="s">
        <v>171</v>
      </c>
      <c r="J163" s="503">
        <v>13</v>
      </c>
      <c r="K163" s="503">
        <v>3</v>
      </c>
      <c r="L163" s="504">
        <v>12.06</v>
      </c>
      <c r="M163" s="504">
        <v>12.72</v>
      </c>
      <c r="N163" s="505">
        <v>0.106</v>
      </c>
      <c r="O163" s="505">
        <v>0.10299999999999999</v>
      </c>
      <c r="P163" s="505">
        <v>0.11799999999999999</v>
      </c>
      <c r="Q163" s="78">
        <v>0.44</v>
      </c>
      <c r="R163" s="78">
        <v>0.31740000000000002</v>
      </c>
      <c r="S163" s="69">
        <v>0</v>
      </c>
      <c r="T163" s="69">
        <v>0</v>
      </c>
      <c r="U163" s="505">
        <v>0.85</v>
      </c>
      <c r="V163" s="76">
        <v>0</v>
      </c>
      <c r="W163" s="76">
        <v>0</v>
      </c>
      <c r="X163" s="76"/>
    </row>
    <row r="164" spans="1:24" x14ac:dyDescent="0.25">
      <c r="A164" s="75" t="str">
        <f t="shared" si="4"/>
        <v>Pago_Hipoteca+Liquidez PF Wealth &amp; Premier Executive Pago_Fijo_Puntual Si 12</v>
      </c>
      <c r="B164" s="75" t="str">
        <f t="shared" si="5"/>
        <v>Pago_Hipoteca+Liquidez PF Wealth &amp; Premier Executive Pago_Fijo_Puntual Si 12 0.103</v>
      </c>
      <c r="C164" s="75" t="s">
        <v>174</v>
      </c>
      <c r="D164" s="75" t="s">
        <v>132</v>
      </c>
      <c r="E164" s="75" t="s">
        <v>175</v>
      </c>
      <c r="F164" s="75"/>
      <c r="G164" s="75"/>
      <c r="H164" s="75"/>
      <c r="I164" s="75" t="s">
        <v>171</v>
      </c>
      <c r="J164" s="503">
        <v>12</v>
      </c>
      <c r="K164" s="503" t="s">
        <v>387</v>
      </c>
      <c r="L164" s="504">
        <v>12.31</v>
      </c>
      <c r="M164" s="504">
        <v>12.97</v>
      </c>
      <c r="N164" s="505">
        <v>0.10299999999999999</v>
      </c>
      <c r="O164" s="505">
        <v>0.1</v>
      </c>
      <c r="P164" s="505">
        <v>0.112</v>
      </c>
      <c r="Q164" s="78">
        <v>0.44</v>
      </c>
      <c r="R164" s="78">
        <v>0.31740000000000002</v>
      </c>
      <c r="S164" s="69">
        <v>0</v>
      </c>
      <c r="T164" s="69">
        <v>0</v>
      </c>
      <c r="U164" s="505">
        <v>0.85</v>
      </c>
      <c r="V164" s="76">
        <v>0</v>
      </c>
      <c r="W164" s="76">
        <v>0</v>
      </c>
      <c r="X164" s="76" t="s">
        <v>147</v>
      </c>
    </row>
    <row r="165" spans="1:24" x14ac:dyDescent="0.25">
      <c r="A165" s="75" t="str">
        <f t="shared" si="4"/>
        <v>Pago_Hipoteca+Liquidez PF Wealth &amp; Premier Executive Pago_Fijo_Puntual 12</v>
      </c>
      <c r="B165" s="75" t="str">
        <f t="shared" si="5"/>
        <v>Pago_Hipoteca+Liquidez PF Wealth &amp; Premier Executive Pago_Fijo_Puntual 12 0.106</v>
      </c>
      <c r="C165" s="75" t="s">
        <v>174</v>
      </c>
      <c r="D165" s="75" t="s">
        <v>132</v>
      </c>
      <c r="E165" s="75" t="s">
        <v>175</v>
      </c>
      <c r="F165" s="75"/>
      <c r="G165" s="75"/>
      <c r="H165" s="75"/>
      <c r="I165" s="75" t="s">
        <v>171</v>
      </c>
      <c r="J165" s="503">
        <v>12</v>
      </c>
      <c r="K165" s="503">
        <v>3</v>
      </c>
      <c r="L165" s="504">
        <v>12.5</v>
      </c>
      <c r="M165" s="504">
        <v>13.16</v>
      </c>
      <c r="N165" s="505">
        <v>0.106</v>
      </c>
      <c r="O165" s="505">
        <v>0.10299999999999999</v>
      </c>
      <c r="P165" s="505">
        <v>0.11799999999999999</v>
      </c>
      <c r="Q165" s="78">
        <v>0.44</v>
      </c>
      <c r="R165" s="78">
        <v>0.31740000000000002</v>
      </c>
      <c r="S165" s="69">
        <v>0</v>
      </c>
      <c r="T165" s="69">
        <v>0</v>
      </c>
      <c r="U165" s="505">
        <v>0.85</v>
      </c>
      <c r="V165" s="76">
        <v>0</v>
      </c>
      <c r="W165" s="76">
        <v>0</v>
      </c>
      <c r="X165" s="76"/>
    </row>
    <row r="166" spans="1:24" x14ac:dyDescent="0.25">
      <c r="A166" s="75" t="str">
        <f t="shared" si="4"/>
        <v>Pago_Hipoteca+Liquidez PF Wealth &amp; Premier Executive Pago_Fijo_Puntual Si 11</v>
      </c>
      <c r="B166" s="75" t="str">
        <f t="shared" si="5"/>
        <v>Pago_Hipoteca+Liquidez PF Wealth &amp; Premier Executive Pago_Fijo_Puntual Si 11 0.103</v>
      </c>
      <c r="C166" s="75" t="s">
        <v>174</v>
      </c>
      <c r="D166" s="75" t="s">
        <v>132</v>
      </c>
      <c r="E166" s="75" t="s">
        <v>175</v>
      </c>
      <c r="F166" s="75"/>
      <c r="G166" s="75"/>
      <c r="H166" s="75"/>
      <c r="I166" s="75" t="s">
        <v>171</v>
      </c>
      <c r="J166" s="503">
        <v>11</v>
      </c>
      <c r="K166" s="503" t="s">
        <v>387</v>
      </c>
      <c r="L166" s="504">
        <v>12.86</v>
      </c>
      <c r="M166" s="504">
        <v>13.52</v>
      </c>
      <c r="N166" s="505">
        <v>0.10299999999999999</v>
      </c>
      <c r="O166" s="505">
        <v>0.1</v>
      </c>
      <c r="P166" s="505">
        <v>0.112</v>
      </c>
      <c r="Q166" s="78">
        <v>0.44</v>
      </c>
      <c r="R166" s="78">
        <v>0.31740000000000002</v>
      </c>
      <c r="S166" s="69">
        <v>0</v>
      </c>
      <c r="T166" s="69">
        <v>0</v>
      </c>
      <c r="U166" s="505">
        <v>0.85</v>
      </c>
      <c r="V166" s="76">
        <v>0</v>
      </c>
      <c r="W166" s="76">
        <v>0</v>
      </c>
      <c r="X166" s="76" t="s">
        <v>147</v>
      </c>
    </row>
    <row r="167" spans="1:24" x14ac:dyDescent="0.25">
      <c r="A167" s="75" t="str">
        <f t="shared" si="4"/>
        <v>Pago_Hipoteca+Liquidez PF Wealth &amp; Premier Executive Pago_Fijo_Puntual 11</v>
      </c>
      <c r="B167" s="75" t="str">
        <f t="shared" si="5"/>
        <v>Pago_Hipoteca+Liquidez PF Wealth &amp; Premier Executive Pago_Fijo_Puntual 11 0.106</v>
      </c>
      <c r="C167" s="75" t="s">
        <v>174</v>
      </c>
      <c r="D167" s="75" t="s">
        <v>132</v>
      </c>
      <c r="E167" s="75" t="s">
        <v>175</v>
      </c>
      <c r="F167" s="75"/>
      <c r="G167" s="75"/>
      <c r="H167" s="75"/>
      <c r="I167" s="75" t="s">
        <v>171</v>
      </c>
      <c r="J167" s="503">
        <v>11</v>
      </c>
      <c r="K167" s="503">
        <v>3</v>
      </c>
      <c r="L167" s="504">
        <v>13.04</v>
      </c>
      <c r="M167" s="504">
        <v>13.7</v>
      </c>
      <c r="N167" s="505">
        <v>0.106</v>
      </c>
      <c r="O167" s="505">
        <v>0.10299999999999999</v>
      </c>
      <c r="P167" s="505">
        <v>0.11799999999999999</v>
      </c>
      <c r="Q167" s="78">
        <v>0.44</v>
      </c>
      <c r="R167" s="78">
        <v>0.31740000000000002</v>
      </c>
      <c r="S167" s="69">
        <v>0</v>
      </c>
      <c r="T167" s="69">
        <v>0</v>
      </c>
      <c r="U167" s="505">
        <v>0.85</v>
      </c>
      <c r="V167" s="76">
        <v>0</v>
      </c>
      <c r="W167" s="76">
        <v>0</v>
      </c>
      <c r="X167" s="76"/>
    </row>
    <row r="168" spans="1:24" x14ac:dyDescent="0.25">
      <c r="A168" s="75" t="str">
        <f t="shared" si="4"/>
        <v>Pago_Hipoteca+Liquidez PF Wealth &amp; Premier Executive Pago_Fijo_Puntual Si 10</v>
      </c>
      <c r="B168" s="75" t="str">
        <f t="shared" si="5"/>
        <v>Pago_Hipoteca+Liquidez PF Wealth &amp; Premier Executive Pago_Fijo_Puntual Si 10 0.103</v>
      </c>
      <c r="C168" s="75" t="s">
        <v>174</v>
      </c>
      <c r="D168" s="75" t="s">
        <v>132</v>
      </c>
      <c r="E168" s="75" t="s">
        <v>175</v>
      </c>
      <c r="F168" s="75"/>
      <c r="G168" s="75"/>
      <c r="H168" s="75"/>
      <c r="I168" s="75" t="s">
        <v>171</v>
      </c>
      <c r="J168" s="503">
        <v>10</v>
      </c>
      <c r="K168" s="503" t="s">
        <v>387</v>
      </c>
      <c r="L168" s="504">
        <v>13.54</v>
      </c>
      <c r="M168" s="504">
        <v>14.2</v>
      </c>
      <c r="N168" s="505">
        <v>0.10299999999999999</v>
      </c>
      <c r="O168" s="505">
        <v>0.1</v>
      </c>
      <c r="P168" s="505">
        <v>0.112</v>
      </c>
      <c r="Q168" s="78">
        <v>0.44</v>
      </c>
      <c r="R168" s="78">
        <v>0.31740000000000002</v>
      </c>
      <c r="S168" s="69">
        <v>0</v>
      </c>
      <c r="T168" s="69">
        <v>0</v>
      </c>
      <c r="U168" s="505">
        <v>0.85</v>
      </c>
      <c r="V168" s="76">
        <v>0</v>
      </c>
      <c r="W168" s="76">
        <v>0</v>
      </c>
      <c r="X168" s="76" t="s">
        <v>147</v>
      </c>
    </row>
    <row r="169" spans="1:24" x14ac:dyDescent="0.25">
      <c r="A169" s="75" t="str">
        <f t="shared" si="4"/>
        <v>Pago_Hipoteca+Liquidez PF Wealth &amp; Premier Executive Pago_Fijo_Puntual 10</v>
      </c>
      <c r="B169" s="75" t="str">
        <f t="shared" si="5"/>
        <v>Pago_Hipoteca+Liquidez PF Wealth &amp; Premier Executive Pago_Fijo_Puntual 10 0.106</v>
      </c>
      <c r="C169" s="75" t="s">
        <v>174</v>
      </c>
      <c r="D169" s="75" t="s">
        <v>132</v>
      </c>
      <c r="E169" s="75" t="s">
        <v>175</v>
      </c>
      <c r="F169" s="75"/>
      <c r="G169" s="75"/>
      <c r="H169" s="75"/>
      <c r="I169" s="75" t="s">
        <v>171</v>
      </c>
      <c r="J169" s="503">
        <v>10</v>
      </c>
      <c r="K169" s="503">
        <v>3</v>
      </c>
      <c r="L169" s="504">
        <v>13.7</v>
      </c>
      <c r="M169" s="504">
        <v>14.36</v>
      </c>
      <c r="N169" s="505">
        <v>0.106</v>
      </c>
      <c r="O169" s="505">
        <v>0.10299999999999999</v>
      </c>
      <c r="P169" s="505">
        <v>0.11799999999999999</v>
      </c>
      <c r="Q169" s="78">
        <v>0.44</v>
      </c>
      <c r="R169" s="78">
        <v>0.31740000000000002</v>
      </c>
      <c r="S169" s="69">
        <v>0</v>
      </c>
      <c r="T169" s="69">
        <v>0</v>
      </c>
      <c r="U169" s="505">
        <v>0.85</v>
      </c>
      <c r="V169" s="76">
        <v>0</v>
      </c>
      <c r="W169" s="76">
        <v>0</v>
      </c>
      <c r="X169" s="76"/>
    </row>
    <row r="170" spans="1:24" x14ac:dyDescent="0.25">
      <c r="A170" s="75" t="str">
        <f t="shared" si="4"/>
        <v>Pago_Hipoteca+Liquidez PF Wealth &amp; Premier Executive Pago_Fijo_Puntual Si 9</v>
      </c>
      <c r="B170" s="75" t="str">
        <f t="shared" si="5"/>
        <v>Pago_Hipoteca+Liquidez PF Wealth &amp; Premier Executive Pago_Fijo_Puntual Si 9 0.103</v>
      </c>
      <c r="C170" s="75" t="s">
        <v>174</v>
      </c>
      <c r="D170" s="75" t="s">
        <v>132</v>
      </c>
      <c r="E170" s="75" t="s">
        <v>175</v>
      </c>
      <c r="F170" s="75"/>
      <c r="G170" s="75"/>
      <c r="H170" s="75"/>
      <c r="I170" s="75" t="s">
        <v>171</v>
      </c>
      <c r="J170" s="503">
        <v>9</v>
      </c>
      <c r="K170" s="503" t="s">
        <v>387</v>
      </c>
      <c r="L170" s="504">
        <v>14.37</v>
      </c>
      <c r="M170" s="504">
        <v>15.03</v>
      </c>
      <c r="N170" s="505">
        <v>0.10299999999999999</v>
      </c>
      <c r="O170" s="505">
        <v>0.1</v>
      </c>
      <c r="P170" s="505">
        <v>0.112</v>
      </c>
      <c r="Q170" s="78">
        <v>0.44</v>
      </c>
      <c r="R170" s="78">
        <v>0.31740000000000002</v>
      </c>
      <c r="S170" s="69">
        <v>0</v>
      </c>
      <c r="T170" s="69">
        <v>0</v>
      </c>
      <c r="U170" s="505">
        <v>0.85</v>
      </c>
      <c r="V170" s="76">
        <v>0</v>
      </c>
      <c r="W170" s="76">
        <v>0</v>
      </c>
      <c r="X170" s="76" t="s">
        <v>147</v>
      </c>
    </row>
    <row r="171" spans="1:24" x14ac:dyDescent="0.25">
      <c r="A171" s="75" t="str">
        <f t="shared" si="4"/>
        <v>Pago_Hipoteca+Liquidez PF Wealth &amp; Premier Executive Pago_Fijo_Puntual 9</v>
      </c>
      <c r="B171" s="75" t="str">
        <f t="shared" si="5"/>
        <v>Pago_Hipoteca+Liquidez PF Wealth &amp; Premier Executive Pago_Fijo_Puntual 9 0.106</v>
      </c>
      <c r="C171" s="75" t="s">
        <v>174</v>
      </c>
      <c r="D171" s="75" t="s">
        <v>132</v>
      </c>
      <c r="E171" s="75" t="s">
        <v>175</v>
      </c>
      <c r="F171" s="75"/>
      <c r="G171" s="75"/>
      <c r="H171" s="75"/>
      <c r="I171" s="75" t="s">
        <v>171</v>
      </c>
      <c r="J171" s="503">
        <v>9</v>
      </c>
      <c r="K171" s="503">
        <v>3</v>
      </c>
      <c r="L171" s="504">
        <v>14.53</v>
      </c>
      <c r="M171" s="504">
        <v>15.19</v>
      </c>
      <c r="N171" s="505">
        <v>0.106</v>
      </c>
      <c r="O171" s="505">
        <v>0.10299999999999999</v>
      </c>
      <c r="P171" s="505">
        <v>0.11799999999999999</v>
      </c>
      <c r="Q171" s="78">
        <v>0.44</v>
      </c>
      <c r="R171" s="78">
        <v>0.31740000000000002</v>
      </c>
      <c r="S171" s="69">
        <v>0</v>
      </c>
      <c r="T171" s="69">
        <v>0</v>
      </c>
      <c r="U171" s="505">
        <v>0.85</v>
      </c>
      <c r="V171" s="76">
        <v>0</v>
      </c>
      <c r="W171" s="76">
        <v>0</v>
      </c>
      <c r="X171" s="76"/>
    </row>
    <row r="172" spans="1:24" x14ac:dyDescent="0.25">
      <c r="A172" s="75" t="str">
        <f t="shared" si="4"/>
        <v>Pago_Hipoteca+Liquidez PF Wealth &amp; Premier Executive Pago_Fijo_Puntual Si 8</v>
      </c>
      <c r="B172" s="75" t="str">
        <f t="shared" si="5"/>
        <v>Pago_Hipoteca+Liquidez PF Wealth &amp; Premier Executive Pago_Fijo_Puntual Si 8 0.103</v>
      </c>
      <c r="C172" s="75" t="s">
        <v>174</v>
      </c>
      <c r="D172" s="75" t="s">
        <v>132</v>
      </c>
      <c r="E172" s="75" t="s">
        <v>175</v>
      </c>
      <c r="F172" s="75"/>
      <c r="G172" s="75"/>
      <c r="H172" s="75"/>
      <c r="I172" s="75" t="s">
        <v>171</v>
      </c>
      <c r="J172" s="503">
        <v>8</v>
      </c>
      <c r="K172" s="503" t="s">
        <v>387</v>
      </c>
      <c r="L172" s="504">
        <v>15.44</v>
      </c>
      <c r="M172" s="504">
        <v>16.100000000000001</v>
      </c>
      <c r="N172" s="505">
        <v>0.10299999999999999</v>
      </c>
      <c r="O172" s="505">
        <v>0.1</v>
      </c>
      <c r="P172" s="505">
        <v>0.112</v>
      </c>
      <c r="Q172" s="78">
        <v>0.44</v>
      </c>
      <c r="R172" s="78">
        <v>0.31740000000000002</v>
      </c>
      <c r="S172" s="69">
        <v>0</v>
      </c>
      <c r="T172" s="69">
        <v>0</v>
      </c>
      <c r="U172" s="505">
        <v>0.85</v>
      </c>
      <c r="V172" s="76">
        <v>0</v>
      </c>
      <c r="W172" s="76">
        <v>0</v>
      </c>
      <c r="X172" s="76" t="s">
        <v>147</v>
      </c>
    </row>
    <row r="173" spans="1:24" x14ac:dyDescent="0.25">
      <c r="A173" s="75" t="str">
        <f t="shared" si="4"/>
        <v>Pago_Hipoteca+Liquidez PF Wealth &amp; Premier Executive Pago_Fijo_Puntual 8</v>
      </c>
      <c r="B173" s="75" t="str">
        <f t="shared" si="5"/>
        <v>Pago_Hipoteca+Liquidez PF Wealth &amp; Premier Executive Pago_Fijo_Puntual 8 0.106</v>
      </c>
      <c r="C173" s="75" t="s">
        <v>174</v>
      </c>
      <c r="D173" s="75" t="s">
        <v>132</v>
      </c>
      <c r="E173" s="75" t="s">
        <v>175</v>
      </c>
      <c r="F173" s="75"/>
      <c r="G173" s="75"/>
      <c r="H173" s="75"/>
      <c r="I173" s="75" t="s">
        <v>171</v>
      </c>
      <c r="J173" s="503">
        <v>8</v>
      </c>
      <c r="K173" s="503">
        <v>3</v>
      </c>
      <c r="L173" s="504">
        <v>15.6</v>
      </c>
      <c r="M173" s="504">
        <v>16.260000000000002</v>
      </c>
      <c r="N173" s="505">
        <v>0.106</v>
      </c>
      <c r="O173" s="505">
        <v>0.10299999999999999</v>
      </c>
      <c r="P173" s="505">
        <v>0.11799999999999999</v>
      </c>
      <c r="Q173" s="78">
        <v>0.44</v>
      </c>
      <c r="R173" s="78">
        <v>0.31740000000000002</v>
      </c>
      <c r="S173" s="69">
        <v>0</v>
      </c>
      <c r="T173" s="69">
        <v>0</v>
      </c>
      <c r="U173" s="505">
        <v>0.85</v>
      </c>
      <c r="V173" s="76">
        <v>0</v>
      </c>
      <c r="W173" s="76">
        <v>0</v>
      </c>
      <c r="X173" s="76"/>
    </row>
    <row r="174" spans="1:24" x14ac:dyDescent="0.25">
      <c r="A174" s="75" t="str">
        <f t="shared" si="4"/>
        <v>Pago_Hipoteca+Liquidez PF Wealth &amp; Premier Executive Pago_Fijo_Puntual Si 7</v>
      </c>
      <c r="B174" s="75" t="str">
        <f t="shared" si="5"/>
        <v>Pago_Hipoteca+Liquidez PF Wealth &amp; Premier Executive Pago_Fijo_Puntual Si 7 0.103</v>
      </c>
      <c r="C174" s="75" t="s">
        <v>174</v>
      </c>
      <c r="D174" s="75" t="s">
        <v>132</v>
      </c>
      <c r="E174" s="75" t="s">
        <v>175</v>
      </c>
      <c r="F174" s="75"/>
      <c r="G174" s="75"/>
      <c r="H174" s="75"/>
      <c r="I174" s="75" t="s">
        <v>171</v>
      </c>
      <c r="J174" s="503">
        <v>7</v>
      </c>
      <c r="K174" s="503" t="s">
        <v>387</v>
      </c>
      <c r="L174" s="504">
        <v>16.84</v>
      </c>
      <c r="M174" s="504">
        <v>17.5</v>
      </c>
      <c r="N174" s="505">
        <v>0.10299999999999999</v>
      </c>
      <c r="O174" s="505">
        <v>0.1</v>
      </c>
      <c r="P174" s="505">
        <v>0.112</v>
      </c>
      <c r="Q174" s="78">
        <v>0.44</v>
      </c>
      <c r="R174" s="78">
        <v>0.31740000000000002</v>
      </c>
      <c r="S174" s="69">
        <v>0</v>
      </c>
      <c r="T174" s="69">
        <v>0</v>
      </c>
      <c r="U174" s="505">
        <v>0.85</v>
      </c>
      <c r="V174" s="76">
        <v>0</v>
      </c>
      <c r="W174" s="76">
        <v>0</v>
      </c>
      <c r="X174" s="76" t="s">
        <v>147</v>
      </c>
    </row>
    <row r="175" spans="1:24" x14ac:dyDescent="0.25">
      <c r="A175" s="75" t="str">
        <f t="shared" si="4"/>
        <v>Pago_Hipoteca+Liquidez PF Wealth &amp; Premier Executive Pago_Fijo_Puntual 7</v>
      </c>
      <c r="B175" s="75" t="str">
        <f t="shared" si="5"/>
        <v>Pago_Hipoteca+Liquidez PF Wealth &amp; Premier Executive Pago_Fijo_Puntual 7 0.106</v>
      </c>
      <c r="C175" s="75" t="s">
        <v>174</v>
      </c>
      <c r="D175" s="75" t="s">
        <v>132</v>
      </c>
      <c r="E175" s="75" t="s">
        <v>175</v>
      </c>
      <c r="F175" s="75"/>
      <c r="G175" s="75"/>
      <c r="H175" s="75"/>
      <c r="I175" s="75" t="s">
        <v>171</v>
      </c>
      <c r="J175" s="503">
        <v>7</v>
      </c>
      <c r="K175" s="503">
        <v>3</v>
      </c>
      <c r="L175" s="504">
        <v>17</v>
      </c>
      <c r="M175" s="504">
        <v>17.66</v>
      </c>
      <c r="N175" s="505">
        <v>0.106</v>
      </c>
      <c r="O175" s="505">
        <v>0.10299999999999999</v>
      </c>
      <c r="P175" s="505">
        <v>0.11799999999999999</v>
      </c>
      <c r="Q175" s="78">
        <v>0.44</v>
      </c>
      <c r="R175" s="78">
        <v>0.31740000000000002</v>
      </c>
      <c r="S175" s="69">
        <v>0</v>
      </c>
      <c r="T175" s="69">
        <v>0</v>
      </c>
      <c r="U175" s="505">
        <v>0.85</v>
      </c>
      <c r="V175" s="76">
        <v>0</v>
      </c>
      <c r="W175" s="76">
        <v>0</v>
      </c>
      <c r="X175" s="76"/>
    </row>
    <row r="176" spans="1:24" x14ac:dyDescent="0.25">
      <c r="A176" s="75" t="str">
        <f t="shared" si="4"/>
        <v>Pago_Hipoteca+Liquidez PF Wealth &amp; Premier Executive Pago_Fijo_Puntual Si 6</v>
      </c>
      <c r="B176" s="75" t="str">
        <f t="shared" si="5"/>
        <v>Pago_Hipoteca+Liquidez PF Wealth &amp; Premier Executive Pago_Fijo_Puntual Si 6 0.103</v>
      </c>
      <c r="C176" s="75" t="s">
        <v>174</v>
      </c>
      <c r="D176" s="75" t="s">
        <v>132</v>
      </c>
      <c r="E176" s="75" t="s">
        <v>175</v>
      </c>
      <c r="F176" s="75"/>
      <c r="G176" s="75"/>
      <c r="H176" s="75"/>
      <c r="I176" s="75" t="s">
        <v>171</v>
      </c>
      <c r="J176" s="503">
        <v>6</v>
      </c>
      <c r="K176" s="503" t="s">
        <v>387</v>
      </c>
      <c r="L176" s="504">
        <v>18.739999999999998</v>
      </c>
      <c r="M176" s="504">
        <v>19.399999999999999</v>
      </c>
      <c r="N176" s="505">
        <v>0.10299999999999999</v>
      </c>
      <c r="O176" s="505">
        <v>0.1</v>
      </c>
      <c r="P176" s="505">
        <v>0.112</v>
      </c>
      <c r="Q176" s="78">
        <v>0.44</v>
      </c>
      <c r="R176" s="78">
        <v>0.31740000000000002</v>
      </c>
      <c r="S176" s="69">
        <v>0</v>
      </c>
      <c r="T176" s="69">
        <v>0</v>
      </c>
      <c r="U176" s="505">
        <v>0.85</v>
      </c>
      <c r="V176" s="76">
        <v>0</v>
      </c>
      <c r="W176" s="76">
        <v>0</v>
      </c>
      <c r="X176" s="76" t="s">
        <v>147</v>
      </c>
    </row>
    <row r="177" spans="1:24" x14ac:dyDescent="0.25">
      <c r="A177" s="75" t="str">
        <f t="shared" si="4"/>
        <v>Pago_Hipoteca+Liquidez PF Wealth &amp; Premier Executive Pago_Fijo_Puntual 6</v>
      </c>
      <c r="B177" s="75" t="str">
        <f t="shared" si="5"/>
        <v>Pago_Hipoteca+Liquidez PF Wealth &amp; Premier Executive Pago_Fijo_Puntual 6 0.106</v>
      </c>
      <c r="C177" s="75" t="s">
        <v>174</v>
      </c>
      <c r="D177" s="75" t="s">
        <v>132</v>
      </c>
      <c r="E177" s="75" t="s">
        <v>175</v>
      </c>
      <c r="F177" s="75"/>
      <c r="G177" s="75"/>
      <c r="H177" s="75"/>
      <c r="I177" s="75" t="s">
        <v>171</v>
      </c>
      <c r="J177" s="503">
        <v>6</v>
      </c>
      <c r="K177" s="503">
        <v>3</v>
      </c>
      <c r="L177" s="504">
        <v>18.89</v>
      </c>
      <c r="M177" s="504">
        <v>19.55</v>
      </c>
      <c r="N177" s="505">
        <v>0.106</v>
      </c>
      <c r="O177" s="505">
        <v>0.10299999999999999</v>
      </c>
      <c r="P177" s="505">
        <v>0.11799999999999999</v>
      </c>
      <c r="Q177" s="78">
        <v>0.44</v>
      </c>
      <c r="R177" s="78">
        <v>0.31740000000000002</v>
      </c>
      <c r="S177" s="69">
        <v>0</v>
      </c>
      <c r="T177" s="69">
        <v>0</v>
      </c>
      <c r="U177" s="505">
        <v>0.85</v>
      </c>
      <c r="V177" s="76">
        <v>0</v>
      </c>
      <c r="W177" s="76">
        <v>0</v>
      </c>
      <c r="X177" s="76"/>
    </row>
    <row r="178" spans="1:24" x14ac:dyDescent="0.25">
      <c r="A178" s="75" t="str">
        <f t="shared" si="4"/>
        <v>Pago_Hipoteca+Liquidez PF Wealth &amp; Premier Executive Pago_Fijo_Puntual Si 5</v>
      </c>
      <c r="B178" s="75" t="str">
        <f t="shared" si="5"/>
        <v>Pago_Hipoteca+Liquidez PF Wealth &amp; Premier Executive Pago_Fijo_Puntual Si 5 0.103</v>
      </c>
      <c r="C178" s="75" t="s">
        <v>174</v>
      </c>
      <c r="D178" s="75" t="s">
        <v>132</v>
      </c>
      <c r="E178" s="75" t="s">
        <v>175</v>
      </c>
      <c r="F178" s="75"/>
      <c r="G178" s="75"/>
      <c r="H178" s="75"/>
      <c r="I178" s="75" t="s">
        <v>171</v>
      </c>
      <c r="J178" s="503">
        <v>5</v>
      </c>
      <c r="K178" s="503" t="s">
        <v>387</v>
      </c>
      <c r="L178" s="504">
        <v>21.44</v>
      </c>
      <c r="M178" s="504">
        <v>22.1</v>
      </c>
      <c r="N178" s="505">
        <v>0.10299999999999999</v>
      </c>
      <c r="O178" s="505">
        <v>0.1</v>
      </c>
      <c r="P178" s="505">
        <v>0.112</v>
      </c>
      <c r="Q178" s="78">
        <v>0.44</v>
      </c>
      <c r="R178" s="78">
        <v>0.31740000000000002</v>
      </c>
      <c r="S178" s="69">
        <v>0</v>
      </c>
      <c r="T178" s="69">
        <v>0</v>
      </c>
      <c r="U178" s="505">
        <v>0.85</v>
      </c>
      <c r="V178" s="76">
        <v>0</v>
      </c>
      <c r="W178" s="76">
        <v>0</v>
      </c>
      <c r="X178" s="76" t="s">
        <v>147</v>
      </c>
    </row>
    <row r="179" spans="1:24" x14ac:dyDescent="0.25">
      <c r="A179" s="75" t="str">
        <f t="shared" si="4"/>
        <v>Pago_Hipoteca+Liquidez PF Wealth &amp; Premier Executive Pago_Fijo_Puntual 5</v>
      </c>
      <c r="B179" s="75" t="str">
        <f t="shared" si="5"/>
        <v>Pago_Hipoteca+Liquidez PF Wealth &amp; Premier Executive Pago_Fijo_Puntual 5 0.106</v>
      </c>
      <c r="C179" s="75" t="s">
        <v>174</v>
      </c>
      <c r="D179" s="75" t="s">
        <v>132</v>
      </c>
      <c r="E179" s="75" t="s">
        <v>175</v>
      </c>
      <c r="F179" s="75"/>
      <c r="G179" s="75"/>
      <c r="H179" s="75"/>
      <c r="I179" s="75" t="s">
        <v>171</v>
      </c>
      <c r="J179" s="503">
        <v>5</v>
      </c>
      <c r="K179" s="503">
        <v>3</v>
      </c>
      <c r="L179" s="504">
        <v>21.58</v>
      </c>
      <c r="M179" s="504">
        <v>22.24</v>
      </c>
      <c r="N179" s="505">
        <v>0.106</v>
      </c>
      <c r="O179" s="505">
        <v>0.10299999999999999</v>
      </c>
      <c r="P179" s="505">
        <v>0.11799999999999999</v>
      </c>
      <c r="Q179" s="78">
        <v>0.44</v>
      </c>
      <c r="R179" s="78">
        <v>0.31740000000000002</v>
      </c>
      <c r="S179" s="69">
        <v>0</v>
      </c>
      <c r="T179" s="69">
        <v>0</v>
      </c>
      <c r="U179" s="505">
        <v>0.85</v>
      </c>
      <c r="V179" s="76">
        <v>0</v>
      </c>
      <c r="W179" s="76">
        <v>0</v>
      </c>
      <c r="X179" s="76"/>
    </row>
    <row r="180" spans="1:24" x14ac:dyDescent="0.25">
      <c r="A180" s="75" t="str">
        <f t="shared" si="4"/>
        <v>Pago_Hipoteca+Liquidez PFAE Wealth &amp; Premier Executive Pago_Fijo_Puntual Si 20</v>
      </c>
      <c r="B180" s="75" t="str">
        <f t="shared" si="5"/>
        <v>Pago_Hipoteca+Liquidez PFAE Wealth &amp; Premier Executive Pago_Fijo_Puntual Si 20 0.103</v>
      </c>
      <c r="C180" s="75" t="s">
        <v>174</v>
      </c>
      <c r="D180" s="75" t="s">
        <v>168</v>
      </c>
      <c r="E180" s="75" t="s">
        <v>175</v>
      </c>
      <c r="F180" s="75"/>
      <c r="G180" s="75"/>
      <c r="H180" s="75"/>
      <c r="I180" s="75" t="s">
        <v>171</v>
      </c>
      <c r="J180" s="503">
        <v>20</v>
      </c>
      <c r="K180" s="503" t="s">
        <v>387</v>
      </c>
      <c r="L180" s="504">
        <v>10.16</v>
      </c>
      <c r="M180" s="504">
        <v>10.82</v>
      </c>
      <c r="N180" s="505">
        <v>0.10299999999999999</v>
      </c>
      <c r="O180" s="505">
        <v>0.1</v>
      </c>
      <c r="P180" s="505">
        <v>0.112</v>
      </c>
      <c r="Q180" s="78">
        <v>0.44</v>
      </c>
      <c r="R180" s="78">
        <v>0.31740000000000002</v>
      </c>
      <c r="S180" s="69">
        <v>0</v>
      </c>
      <c r="T180" s="69">
        <v>0</v>
      </c>
      <c r="U180" s="505">
        <v>0.85</v>
      </c>
      <c r="V180" s="76">
        <v>0</v>
      </c>
      <c r="W180" s="76">
        <v>0</v>
      </c>
      <c r="X180" s="76" t="s">
        <v>147</v>
      </c>
    </row>
    <row r="181" spans="1:24" x14ac:dyDescent="0.25">
      <c r="A181" s="75" t="str">
        <f t="shared" si="4"/>
        <v>Pago_Hipoteca+Liquidez PFAE Wealth &amp; Premier Executive Pago_Fijo_Puntual 20</v>
      </c>
      <c r="B181" s="75" t="str">
        <f t="shared" si="5"/>
        <v>Pago_Hipoteca+Liquidez PFAE Wealth &amp; Premier Executive Pago_Fijo_Puntual 20 0.106</v>
      </c>
      <c r="C181" s="75" t="s">
        <v>174</v>
      </c>
      <c r="D181" s="75" t="s">
        <v>168</v>
      </c>
      <c r="E181" s="75" t="s">
        <v>175</v>
      </c>
      <c r="F181" s="75"/>
      <c r="G181" s="75"/>
      <c r="H181" s="75"/>
      <c r="I181" s="75" t="s">
        <v>171</v>
      </c>
      <c r="J181" s="503">
        <v>20</v>
      </c>
      <c r="K181" s="503">
        <v>3</v>
      </c>
      <c r="L181" s="504">
        <v>10.4</v>
      </c>
      <c r="M181" s="504">
        <v>11.06</v>
      </c>
      <c r="N181" s="505">
        <v>0.106</v>
      </c>
      <c r="O181" s="505">
        <v>0.10299999999999999</v>
      </c>
      <c r="P181" s="505">
        <v>0.11799999999999999</v>
      </c>
      <c r="Q181" s="78">
        <v>0.44</v>
      </c>
      <c r="R181" s="78">
        <v>0.31740000000000002</v>
      </c>
      <c r="S181" s="69">
        <v>0</v>
      </c>
      <c r="T181" s="69">
        <v>0</v>
      </c>
      <c r="U181" s="505">
        <v>0.7</v>
      </c>
      <c r="V181" s="76">
        <v>0</v>
      </c>
      <c r="W181" s="76">
        <v>0</v>
      </c>
      <c r="X181" s="76"/>
    </row>
    <row r="182" spans="1:24" x14ac:dyDescent="0.25">
      <c r="A182" s="75" t="str">
        <f t="shared" si="4"/>
        <v>Pago_Hipoteca+Liquidez PFAE Wealth &amp; Premier Executive Pago_Fijo_Puntual Si 19</v>
      </c>
      <c r="B182" s="75" t="str">
        <f t="shared" si="5"/>
        <v>Pago_Hipoteca+Liquidez PFAE Wealth &amp; Premier Executive Pago_Fijo_Puntual Si 19 0.103</v>
      </c>
      <c r="C182" s="75" t="s">
        <v>174</v>
      </c>
      <c r="D182" s="75" t="s">
        <v>168</v>
      </c>
      <c r="E182" s="75" t="s">
        <v>175</v>
      </c>
      <c r="F182" s="75"/>
      <c r="G182" s="75"/>
      <c r="H182" s="75"/>
      <c r="I182" s="75" t="s">
        <v>171</v>
      </c>
      <c r="J182" s="503">
        <v>19</v>
      </c>
      <c r="K182" s="503" t="s">
        <v>387</v>
      </c>
      <c r="L182" s="504">
        <v>10.3</v>
      </c>
      <c r="M182" s="504">
        <v>10.96</v>
      </c>
      <c r="N182" s="505">
        <v>0.10299999999999999</v>
      </c>
      <c r="O182" s="505">
        <v>0.1</v>
      </c>
      <c r="P182" s="505">
        <v>0.112</v>
      </c>
      <c r="Q182" s="78">
        <v>0.44</v>
      </c>
      <c r="R182" s="78">
        <v>0.31740000000000002</v>
      </c>
      <c r="S182" s="69">
        <v>0</v>
      </c>
      <c r="T182" s="69">
        <v>0</v>
      </c>
      <c r="U182" s="505">
        <v>0.85</v>
      </c>
      <c r="V182" s="76">
        <v>0</v>
      </c>
      <c r="W182" s="76">
        <v>0</v>
      </c>
      <c r="X182" s="76" t="s">
        <v>147</v>
      </c>
    </row>
    <row r="183" spans="1:24" x14ac:dyDescent="0.25">
      <c r="A183" s="75" t="str">
        <f t="shared" si="4"/>
        <v>Pago_Hipoteca+Liquidez PFAE Wealth &amp; Premier Executive Pago_Fijo_Puntual 19</v>
      </c>
      <c r="B183" s="75" t="str">
        <f t="shared" si="5"/>
        <v>Pago_Hipoteca+Liquidez PFAE Wealth &amp; Premier Executive Pago_Fijo_Puntual 19 0.106</v>
      </c>
      <c r="C183" s="75" t="s">
        <v>174</v>
      </c>
      <c r="D183" s="75" t="s">
        <v>168</v>
      </c>
      <c r="E183" s="75" t="s">
        <v>175</v>
      </c>
      <c r="F183" s="75"/>
      <c r="G183" s="75"/>
      <c r="H183" s="75"/>
      <c r="I183" s="75" t="s">
        <v>171</v>
      </c>
      <c r="J183" s="503">
        <v>19</v>
      </c>
      <c r="K183" s="503">
        <v>3</v>
      </c>
      <c r="L183" s="504">
        <v>10.54</v>
      </c>
      <c r="M183" s="504">
        <v>11.2</v>
      </c>
      <c r="N183" s="505">
        <v>0.106</v>
      </c>
      <c r="O183" s="505">
        <v>0.10299999999999999</v>
      </c>
      <c r="P183" s="505">
        <v>0.11799999999999999</v>
      </c>
      <c r="Q183" s="78">
        <v>0.44</v>
      </c>
      <c r="R183" s="78">
        <v>0.31740000000000002</v>
      </c>
      <c r="S183" s="69">
        <v>0</v>
      </c>
      <c r="T183" s="69">
        <v>0</v>
      </c>
      <c r="U183" s="505">
        <v>0.7</v>
      </c>
      <c r="V183" s="76">
        <v>0</v>
      </c>
      <c r="W183" s="76">
        <v>0</v>
      </c>
      <c r="X183" s="76"/>
    </row>
    <row r="184" spans="1:24" x14ac:dyDescent="0.25">
      <c r="A184" s="75" t="str">
        <f t="shared" si="4"/>
        <v>Pago_Hipoteca+Liquidez PFAE Wealth &amp; Premier Executive Pago_Fijo_Puntual Si 18</v>
      </c>
      <c r="B184" s="75" t="str">
        <f t="shared" si="5"/>
        <v>Pago_Hipoteca+Liquidez PFAE Wealth &amp; Premier Executive Pago_Fijo_Puntual Si 18 0.103</v>
      </c>
      <c r="C184" s="75" t="s">
        <v>174</v>
      </c>
      <c r="D184" s="75" t="s">
        <v>168</v>
      </c>
      <c r="E184" s="75" t="s">
        <v>175</v>
      </c>
      <c r="F184" s="75"/>
      <c r="G184" s="75"/>
      <c r="H184" s="75"/>
      <c r="I184" s="75" t="s">
        <v>171</v>
      </c>
      <c r="J184" s="503">
        <v>18</v>
      </c>
      <c r="K184" s="503" t="s">
        <v>387</v>
      </c>
      <c r="L184" s="504">
        <v>10.47</v>
      </c>
      <c r="M184" s="504">
        <v>11.13</v>
      </c>
      <c r="N184" s="505">
        <v>0.10299999999999999</v>
      </c>
      <c r="O184" s="505">
        <v>0.1</v>
      </c>
      <c r="P184" s="505">
        <v>0.112</v>
      </c>
      <c r="Q184" s="78">
        <v>0.44</v>
      </c>
      <c r="R184" s="78">
        <v>0.31740000000000002</v>
      </c>
      <c r="S184" s="69">
        <v>0</v>
      </c>
      <c r="T184" s="69">
        <v>0</v>
      </c>
      <c r="U184" s="505">
        <v>0.85</v>
      </c>
      <c r="V184" s="76">
        <v>0</v>
      </c>
      <c r="W184" s="76">
        <v>0</v>
      </c>
      <c r="X184" s="76" t="s">
        <v>147</v>
      </c>
    </row>
    <row r="185" spans="1:24" x14ac:dyDescent="0.25">
      <c r="A185" s="75" t="str">
        <f t="shared" si="4"/>
        <v>Pago_Hipoteca+Liquidez PFAE Wealth &amp; Premier Executive Pago_Fijo_Puntual 18</v>
      </c>
      <c r="B185" s="75" t="str">
        <f t="shared" si="5"/>
        <v>Pago_Hipoteca+Liquidez PFAE Wealth &amp; Premier Executive Pago_Fijo_Puntual 18 0.106</v>
      </c>
      <c r="C185" s="75" t="s">
        <v>174</v>
      </c>
      <c r="D185" s="75" t="s">
        <v>168</v>
      </c>
      <c r="E185" s="75" t="s">
        <v>175</v>
      </c>
      <c r="F185" s="75"/>
      <c r="G185" s="75"/>
      <c r="H185" s="75"/>
      <c r="I185" s="75" t="s">
        <v>171</v>
      </c>
      <c r="J185" s="503">
        <v>18</v>
      </c>
      <c r="K185" s="503">
        <v>3</v>
      </c>
      <c r="L185" s="504">
        <v>10.71</v>
      </c>
      <c r="M185" s="504">
        <v>11.37</v>
      </c>
      <c r="N185" s="505">
        <v>0.106</v>
      </c>
      <c r="O185" s="505">
        <v>0.10299999999999999</v>
      </c>
      <c r="P185" s="505">
        <v>0.11799999999999999</v>
      </c>
      <c r="Q185" s="78">
        <v>0.44</v>
      </c>
      <c r="R185" s="78">
        <v>0.31740000000000002</v>
      </c>
      <c r="S185" s="69">
        <v>0</v>
      </c>
      <c r="T185" s="69">
        <v>0</v>
      </c>
      <c r="U185" s="505">
        <v>0.7</v>
      </c>
      <c r="V185" s="76">
        <v>0</v>
      </c>
      <c r="W185" s="76">
        <v>0</v>
      </c>
      <c r="X185" s="76"/>
    </row>
    <row r="186" spans="1:24" x14ac:dyDescent="0.25">
      <c r="A186" s="75" t="str">
        <f t="shared" si="4"/>
        <v>Pago_Hipoteca+Liquidez PFAE Wealth &amp; Premier Executive Pago_Fijo_Puntual Si 17</v>
      </c>
      <c r="B186" s="75" t="str">
        <f t="shared" si="5"/>
        <v>Pago_Hipoteca+Liquidez PFAE Wealth &amp; Premier Executive Pago_Fijo_Puntual Si 17 0.103</v>
      </c>
      <c r="C186" s="75" t="s">
        <v>174</v>
      </c>
      <c r="D186" s="75" t="s">
        <v>168</v>
      </c>
      <c r="E186" s="75" t="s">
        <v>175</v>
      </c>
      <c r="F186" s="75"/>
      <c r="G186" s="75"/>
      <c r="H186" s="75"/>
      <c r="I186" s="75" t="s">
        <v>171</v>
      </c>
      <c r="J186" s="503">
        <v>17</v>
      </c>
      <c r="K186" s="503" t="s">
        <v>387</v>
      </c>
      <c r="L186" s="504">
        <v>10.67</v>
      </c>
      <c r="M186" s="504">
        <v>11.33</v>
      </c>
      <c r="N186" s="505">
        <v>0.10299999999999999</v>
      </c>
      <c r="O186" s="505">
        <v>0.1</v>
      </c>
      <c r="P186" s="505">
        <v>0.112</v>
      </c>
      <c r="Q186" s="78">
        <v>0.44</v>
      </c>
      <c r="R186" s="78">
        <v>0.31740000000000002</v>
      </c>
      <c r="S186" s="69">
        <v>0</v>
      </c>
      <c r="T186" s="69">
        <v>0</v>
      </c>
      <c r="U186" s="505">
        <v>0.85</v>
      </c>
      <c r="V186" s="76">
        <v>0</v>
      </c>
      <c r="W186" s="76">
        <v>0</v>
      </c>
      <c r="X186" s="76" t="s">
        <v>147</v>
      </c>
    </row>
    <row r="187" spans="1:24" x14ac:dyDescent="0.25">
      <c r="A187" s="75" t="str">
        <f t="shared" si="4"/>
        <v>Pago_Hipoteca+Liquidez PFAE Wealth &amp; Premier Executive Pago_Fijo_Puntual 17</v>
      </c>
      <c r="B187" s="75" t="str">
        <f t="shared" si="5"/>
        <v>Pago_Hipoteca+Liquidez PFAE Wealth &amp; Premier Executive Pago_Fijo_Puntual 17 0.106</v>
      </c>
      <c r="C187" s="75" t="s">
        <v>174</v>
      </c>
      <c r="D187" s="75" t="s">
        <v>168</v>
      </c>
      <c r="E187" s="75" t="s">
        <v>175</v>
      </c>
      <c r="F187" s="75"/>
      <c r="G187" s="75"/>
      <c r="H187" s="75"/>
      <c r="I187" s="75" t="s">
        <v>171</v>
      </c>
      <c r="J187" s="503">
        <v>17</v>
      </c>
      <c r="K187" s="503">
        <v>3</v>
      </c>
      <c r="L187" s="504">
        <v>10.9</v>
      </c>
      <c r="M187" s="504">
        <v>11.56</v>
      </c>
      <c r="N187" s="505">
        <v>0.106</v>
      </c>
      <c r="O187" s="505">
        <v>0.10299999999999999</v>
      </c>
      <c r="P187" s="505">
        <v>0.11799999999999999</v>
      </c>
      <c r="Q187" s="78">
        <v>0.44</v>
      </c>
      <c r="R187" s="78">
        <v>0.31740000000000002</v>
      </c>
      <c r="S187" s="69">
        <v>0</v>
      </c>
      <c r="T187" s="69">
        <v>0</v>
      </c>
      <c r="U187" s="505">
        <v>0.7</v>
      </c>
      <c r="V187" s="76">
        <v>0</v>
      </c>
      <c r="W187" s="76">
        <v>0</v>
      </c>
      <c r="X187" s="76"/>
    </row>
    <row r="188" spans="1:24" x14ac:dyDescent="0.25">
      <c r="A188" s="75" t="str">
        <f t="shared" si="4"/>
        <v>Pago_Hipoteca+Liquidez PFAE Wealth &amp; Premier Executive Pago_Fijo_Puntual Si 16</v>
      </c>
      <c r="B188" s="75" t="str">
        <f t="shared" si="5"/>
        <v>Pago_Hipoteca+Liquidez PFAE Wealth &amp; Premier Executive Pago_Fijo_Puntual Si 16 0.103</v>
      </c>
      <c r="C188" s="75" t="s">
        <v>174</v>
      </c>
      <c r="D188" s="75" t="s">
        <v>168</v>
      </c>
      <c r="E188" s="75" t="s">
        <v>175</v>
      </c>
      <c r="F188" s="75"/>
      <c r="G188" s="75"/>
      <c r="H188" s="75"/>
      <c r="I188" s="75" t="s">
        <v>171</v>
      </c>
      <c r="J188" s="503">
        <v>16</v>
      </c>
      <c r="K188" s="503" t="s">
        <v>387</v>
      </c>
      <c r="L188" s="504">
        <v>10.9</v>
      </c>
      <c r="M188" s="504">
        <v>11.56</v>
      </c>
      <c r="N188" s="505">
        <v>0.10299999999999999</v>
      </c>
      <c r="O188" s="505">
        <v>0.1</v>
      </c>
      <c r="P188" s="505">
        <v>0.112</v>
      </c>
      <c r="Q188" s="78">
        <v>0.44</v>
      </c>
      <c r="R188" s="78">
        <v>0.31740000000000002</v>
      </c>
      <c r="S188" s="69">
        <v>0</v>
      </c>
      <c r="T188" s="69">
        <v>0</v>
      </c>
      <c r="U188" s="505">
        <v>0.85</v>
      </c>
      <c r="V188" s="76">
        <v>0</v>
      </c>
      <c r="W188" s="76">
        <v>0</v>
      </c>
      <c r="X188" s="76" t="s">
        <v>147</v>
      </c>
    </row>
    <row r="189" spans="1:24" x14ac:dyDescent="0.25">
      <c r="A189" s="75" t="str">
        <f t="shared" si="4"/>
        <v>Pago_Hipoteca+Liquidez PFAE Wealth &amp; Premier Executive Pago_Fijo_Puntual 16</v>
      </c>
      <c r="B189" s="75" t="str">
        <f t="shared" si="5"/>
        <v>Pago_Hipoteca+Liquidez PFAE Wealth &amp; Premier Executive Pago_Fijo_Puntual 16 0.106</v>
      </c>
      <c r="C189" s="75" t="s">
        <v>174</v>
      </c>
      <c r="D189" s="75" t="s">
        <v>168</v>
      </c>
      <c r="E189" s="75" t="s">
        <v>175</v>
      </c>
      <c r="F189" s="75"/>
      <c r="G189" s="75"/>
      <c r="H189" s="75"/>
      <c r="I189" s="75" t="s">
        <v>171</v>
      </c>
      <c r="J189" s="503">
        <v>16</v>
      </c>
      <c r="K189" s="503">
        <v>3</v>
      </c>
      <c r="L189" s="504">
        <v>11.12</v>
      </c>
      <c r="M189" s="504">
        <v>11.78</v>
      </c>
      <c r="N189" s="505">
        <v>0.106</v>
      </c>
      <c r="O189" s="505">
        <v>0.10299999999999999</v>
      </c>
      <c r="P189" s="505">
        <v>0.11799999999999999</v>
      </c>
      <c r="Q189" s="78">
        <v>0.44</v>
      </c>
      <c r="R189" s="78">
        <v>0.31740000000000002</v>
      </c>
      <c r="S189" s="69">
        <v>0</v>
      </c>
      <c r="T189" s="69">
        <v>0</v>
      </c>
      <c r="U189" s="505">
        <v>0.7</v>
      </c>
      <c r="V189" s="76">
        <v>0</v>
      </c>
      <c r="W189" s="76">
        <v>0</v>
      </c>
      <c r="X189" s="76"/>
    </row>
    <row r="190" spans="1:24" x14ac:dyDescent="0.25">
      <c r="A190" s="75" t="str">
        <f t="shared" si="4"/>
        <v>Pago_Hipoteca+Liquidez PFAE Wealth &amp; Premier Executive Pago_Fijo_Puntual Si 15</v>
      </c>
      <c r="B190" s="75" t="str">
        <f t="shared" si="5"/>
        <v>Pago_Hipoteca+Liquidez PFAE Wealth &amp; Premier Executive Pago_Fijo_Puntual Si 15 0.103</v>
      </c>
      <c r="C190" s="75" t="s">
        <v>174</v>
      </c>
      <c r="D190" s="75" t="s">
        <v>168</v>
      </c>
      <c r="E190" s="75" t="s">
        <v>175</v>
      </c>
      <c r="F190" s="75"/>
      <c r="G190" s="75"/>
      <c r="H190" s="75"/>
      <c r="I190" s="75" t="s">
        <v>171</v>
      </c>
      <c r="J190" s="503">
        <v>15</v>
      </c>
      <c r="K190" s="503" t="s">
        <v>387</v>
      </c>
      <c r="L190" s="504">
        <v>11.18</v>
      </c>
      <c r="M190" s="504">
        <v>11.84</v>
      </c>
      <c r="N190" s="505">
        <v>0.10299999999999999</v>
      </c>
      <c r="O190" s="505">
        <v>0.1</v>
      </c>
      <c r="P190" s="505">
        <v>0.112</v>
      </c>
      <c r="Q190" s="78">
        <v>0.44</v>
      </c>
      <c r="R190" s="78">
        <v>0.31740000000000002</v>
      </c>
      <c r="S190" s="69">
        <v>0</v>
      </c>
      <c r="T190" s="69">
        <v>0</v>
      </c>
      <c r="U190" s="505">
        <v>0.85</v>
      </c>
      <c r="V190" s="76">
        <v>0</v>
      </c>
      <c r="W190" s="76">
        <v>0</v>
      </c>
      <c r="X190" s="76" t="s">
        <v>147</v>
      </c>
    </row>
    <row r="191" spans="1:24" x14ac:dyDescent="0.25">
      <c r="A191" s="75" t="str">
        <f t="shared" si="4"/>
        <v>Pago_Hipoteca+Liquidez PFAE Wealth &amp; Premier Executive Pago_Fijo_Puntual 15</v>
      </c>
      <c r="B191" s="75" t="str">
        <f t="shared" si="5"/>
        <v>Pago_Hipoteca+Liquidez PFAE Wealth &amp; Premier Executive Pago_Fijo_Puntual 15 0.106</v>
      </c>
      <c r="C191" s="75" t="s">
        <v>174</v>
      </c>
      <c r="D191" s="75" t="s">
        <v>168</v>
      </c>
      <c r="E191" s="75" t="s">
        <v>175</v>
      </c>
      <c r="F191" s="75"/>
      <c r="G191" s="75"/>
      <c r="H191" s="75"/>
      <c r="I191" s="75" t="s">
        <v>171</v>
      </c>
      <c r="J191" s="503">
        <v>15</v>
      </c>
      <c r="K191" s="503">
        <v>3</v>
      </c>
      <c r="L191" s="504">
        <v>11.38</v>
      </c>
      <c r="M191" s="504">
        <v>12.04</v>
      </c>
      <c r="N191" s="505">
        <v>0.106</v>
      </c>
      <c r="O191" s="505">
        <v>0.10299999999999999</v>
      </c>
      <c r="P191" s="505">
        <v>0.11799999999999999</v>
      </c>
      <c r="Q191" s="78">
        <v>0.44</v>
      </c>
      <c r="R191" s="78">
        <v>0.31740000000000002</v>
      </c>
      <c r="S191" s="69">
        <v>0</v>
      </c>
      <c r="T191" s="69">
        <v>0</v>
      </c>
      <c r="U191" s="505">
        <v>0.7</v>
      </c>
      <c r="V191" s="76">
        <v>0</v>
      </c>
      <c r="W191" s="76">
        <v>0</v>
      </c>
      <c r="X191" s="76"/>
    </row>
    <row r="192" spans="1:24" x14ac:dyDescent="0.25">
      <c r="A192" s="75" t="str">
        <f t="shared" si="4"/>
        <v>Pago_Hipoteca+Liquidez PFAE Wealth &amp; Premier Executive Pago_Fijo_Puntual Si 14</v>
      </c>
      <c r="B192" s="75" t="str">
        <f t="shared" si="5"/>
        <v>Pago_Hipoteca+Liquidez PFAE Wealth &amp; Premier Executive Pago_Fijo_Puntual Si 14 0.103</v>
      </c>
      <c r="C192" s="75" t="s">
        <v>174</v>
      </c>
      <c r="D192" s="75" t="s">
        <v>168</v>
      </c>
      <c r="E192" s="75" t="s">
        <v>175</v>
      </c>
      <c r="F192" s="75"/>
      <c r="G192" s="75"/>
      <c r="H192" s="75"/>
      <c r="I192" s="75" t="s">
        <v>171</v>
      </c>
      <c r="J192" s="503">
        <v>14</v>
      </c>
      <c r="K192" s="503" t="s">
        <v>387</v>
      </c>
      <c r="L192" s="504">
        <v>11.49</v>
      </c>
      <c r="M192" s="504">
        <v>12.15</v>
      </c>
      <c r="N192" s="505">
        <v>0.10299999999999999</v>
      </c>
      <c r="O192" s="505">
        <v>0.1</v>
      </c>
      <c r="P192" s="505">
        <v>0.112</v>
      </c>
      <c r="Q192" s="78">
        <v>0.44</v>
      </c>
      <c r="R192" s="78">
        <v>0.31740000000000002</v>
      </c>
      <c r="S192" s="69">
        <v>0</v>
      </c>
      <c r="T192" s="69">
        <v>0</v>
      </c>
      <c r="U192" s="505">
        <v>0.85</v>
      </c>
      <c r="V192" s="76">
        <v>0</v>
      </c>
      <c r="W192" s="76">
        <v>0</v>
      </c>
      <c r="X192" s="76" t="s">
        <v>147</v>
      </c>
    </row>
    <row r="193" spans="1:24" x14ac:dyDescent="0.25">
      <c r="A193" s="75" t="str">
        <f t="shared" si="4"/>
        <v>Pago_Hipoteca+Liquidez PFAE Wealth &amp; Premier Executive Pago_Fijo_Puntual 14</v>
      </c>
      <c r="B193" s="75" t="str">
        <f t="shared" si="5"/>
        <v>Pago_Hipoteca+Liquidez PFAE Wealth &amp; Premier Executive Pago_Fijo_Puntual 14 0.106</v>
      </c>
      <c r="C193" s="75" t="s">
        <v>174</v>
      </c>
      <c r="D193" s="75" t="s">
        <v>168</v>
      </c>
      <c r="E193" s="75" t="s">
        <v>175</v>
      </c>
      <c r="F193" s="75"/>
      <c r="G193" s="75"/>
      <c r="H193" s="75"/>
      <c r="I193" s="75" t="s">
        <v>171</v>
      </c>
      <c r="J193" s="503">
        <v>14</v>
      </c>
      <c r="K193" s="503">
        <v>3</v>
      </c>
      <c r="L193" s="504">
        <v>11.69</v>
      </c>
      <c r="M193" s="504">
        <v>12.35</v>
      </c>
      <c r="N193" s="505">
        <v>0.106</v>
      </c>
      <c r="O193" s="505">
        <v>0.10299999999999999</v>
      </c>
      <c r="P193" s="505">
        <v>0.11799999999999999</v>
      </c>
      <c r="Q193" s="78">
        <v>0.44</v>
      </c>
      <c r="R193" s="78">
        <v>0.31740000000000002</v>
      </c>
      <c r="S193" s="69">
        <v>0</v>
      </c>
      <c r="T193" s="69">
        <v>0</v>
      </c>
      <c r="U193" s="505">
        <v>0.7</v>
      </c>
      <c r="V193" s="76">
        <v>0</v>
      </c>
      <c r="W193" s="76">
        <v>0</v>
      </c>
      <c r="X193" s="76"/>
    </row>
    <row r="194" spans="1:24" x14ac:dyDescent="0.25">
      <c r="A194" s="75" t="str">
        <f t="shared" ref="A194:A257" si="6">TRIM(CONCATENATE(C194," ",D194," ",E194," ",F194," ",G194," ",I194," ",X194," ",J194))</f>
        <v>Pago_Hipoteca+Liquidez PFAE Wealth &amp; Premier Executive Pago_Fijo_Puntual Si 13</v>
      </c>
      <c r="B194" s="75" t="str">
        <f t="shared" ref="B194:B257" si="7">CONCATENATE(A194," ",N194)</f>
        <v>Pago_Hipoteca+Liquidez PFAE Wealth &amp; Premier Executive Pago_Fijo_Puntual Si 13 0.103</v>
      </c>
      <c r="C194" s="75" t="s">
        <v>174</v>
      </c>
      <c r="D194" s="75" t="s">
        <v>168</v>
      </c>
      <c r="E194" s="75" t="s">
        <v>175</v>
      </c>
      <c r="F194" s="75"/>
      <c r="G194" s="75"/>
      <c r="H194" s="75"/>
      <c r="I194" s="75" t="s">
        <v>171</v>
      </c>
      <c r="J194" s="503">
        <v>13</v>
      </c>
      <c r="K194" s="503" t="s">
        <v>387</v>
      </c>
      <c r="L194" s="504">
        <v>11.86</v>
      </c>
      <c r="M194" s="504">
        <v>12.52</v>
      </c>
      <c r="N194" s="505">
        <v>0.10299999999999999</v>
      </c>
      <c r="O194" s="505">
        <v>0.1</v>
      </c>
      <c r="P194" s="505">
        <v>0.112</v>
      </c>
      <c r="Q194" s="78">
        <v>0.44</v>
      </c>
      <c r="R194" s="78">
        <v>0.31740000000000002</v>
      </c>
      <c r="S194" s="69">
        <v>0</v>
      </c>
      <c r="T194" s="69">
        <v>0</v>
      </c>
      <c r="U194" s="505">
        <v>0.85</v>
      </c>
      <c r="V194" s="76">
        <v>0</v>
      </c>
      <c r="W194" s="76">
        <v>0</v>
      </c>
      <c r="X194" s="76" t="s">
        <v>147</v>
      </c>
    </row>
    <row r="195" spans="1:24" x14ac:dyDescent="0.25">
      <c r="A195" s="75" t="str">
        <f t="shared" si="6"/>
        <v>Pago_Hipoteca+Liquidez PFAE Wealth &amp; Premier Executive Pago_Fijo_Puntual 13</v>
      </c>
      <c r="B195" s="75" t="str">
        <f t="shared" si="7"/>
        <v>Pago_Hipoteca+Liquidez PFAE Wealth &amp; Premier Executive Pago_Fijo_Puntual 13 0.106</v>
      </c>
      <c r="C195" s="75" t="s">
        <v>174</v>
      </c>
      <c r="D195" s="75" t="s">
        <v>168</v>
      </c>
      <c r="E195" s="75" t="s">
        <v>175</v>
      </c>
      <c r="F195" s="75"/>
      <c r="G195" s="75"/>
      <c r="H195" s="75"/>
      <c r="I195" s="75" t="s">
        <v>171</v>
      </c>
      <c r="J195" s="503">
        <v>13</v>
      </c>
      <c r="K195" s="503">
        <v>3</v>
      </c>
      <c r="L195" s="504">
        <v>12.06</v>
      </c>
      <c r="M195" s="504">
        <v>12.72</v>
      </c>
      <c r="N195" s="505">
        <v>0.106</v>
      </c>
      <c r="O195" s="505">
        <v>0.10299999999999999</v>
      </c>
      <c r="P195" s="505">
        <v>0.11799999999999999</v>
      </c>
      <c r="Q195" s="78">
        <v>0.44</v>
      </c>
      <c r="R195" s="78">
        <v>0.31740000000000002</v>
      </c>
      <c r="S195" s="69">
        <v>0</v>
      </c>
      <c r="T195" s="69">
        <v>0</v>
      </c>
      <c r="U195" s="505">
        <v>0.7</v>
      </c>
      <c r="V195" s="76">
        <v>0</v>
      </c>
      <c r="W195" s="76">
        <v>0</v>
      </c>
      <c r="X195" s="76"/>
    </row>
    <row r="196" spans="1:24" x14ac:dyDescent="0.25">
      <c r="A196" s="75" t="str">
        <f t="shared" si="6"/>
        <v>Pago_Hipoteca+Liquidez PFAE Wealth &amp; Premier Executive Pago_Fijo_Puntual Si 12</v>
      </c>
      <c r="B196" s="75" t="str">
        <f t="shared" si="7"/>
        <v>Pago_Hipoteca+Liquidez PFAE Wealth &amp; Premier Executive Pago_Fijo_Puntual Si 12 0.103</v>
      </c>
      <c r="C196" s="75" t="s">
        <v>174</v>
      </c>
      <c r="D196" s="75" t="s">
        <v>168</v>
      </c>
      <c r="E196" s="75" t="s">
        <v>175</v>
      </c>
      <c r="F196" s="75"/>
      <c r="G196" s="75"/>
      <c r="H196" s="75"/>
      <c r="I196" s="75" t="s">
        <v>171</v>
      </c>
      <c r="J196" s="503">
        <v>12</v>
      </c>
      <c r="K196" s="503" t="s">
        <v>387</v>
      </c>
      <c r="L196" s="504">
        <v>12.31</v>
      </c>
      <c r="M196" s="504">
        <v>12.97</v>
      </c>
      <c r="N196" s="505">
        <v>0.10299999999999999</v>
      </c>
      <c r="O196" s="505">
        <v>0.1</v>
      </c>
      <c r="P196" s="505">
        <v>0.112</v>
      </c>
      <c r="Q196" s="78">
        <v>0.44</v>
      </c>
      <c r="R196" s="78">
        <v>0.31740000000000002</v>
      </c>
      <c r="S196" s="69">
        <v>0</v>
      </c>
      <c r="T196" s="69">
        <v>0</v>
      </c>
      <c r="U196" s="505">
        <v>0.85</v>
      </c>
      <c r="V196" s="76">
        <v>0</v>
      </c>
      <c r="W196" s="76">
        <v>0</v>
      </c>
      <c r="X196" s="76" t="s">
        <v>147</v>
      </c>
    </row>
    <row r="197" spans="1:24" x14ac:dyDescent="0.25">
      <c r="A197" s="75" t="str">
        <f t="shared" si="6"/>
        <v>Pago_Hipoteca+Liquidez PFAE Wealth &amp; Premier Executive Pago_Fijo_Puntual 12</v>
      </c>
      <c r="B197" s="75" t="str">
        <f t="shared" si="7"/>
        <v>Pago_Hipoteca+Liquidez PFAE Wealth &amp; Premier Executive Pago_Fijo_Puntual 12 0.106</v>
      </c>
      <c r="C197" s="75" t="s">
        <v>174</v>
      </c>
      <c r="D197" s="75" t="s">
        <v>168</v>
      </c>
      <c r="E197" s="75" t="s">
        <v>175</v>
      </c>
      <c r="F197" s="75"/>
      <c r="G197" s="75"/>
      <c r="H197" s="75"/>
      <c r="I197" s="75" t="s">
        <v>171</v>
      </c>
      <c r="J197" s="503">
        <v>12</v>
      </c>
      <c r="K197" s="503">
        <v>3</v>
      </c>
      <c r="L197" s="504">
        <v>12.5</v>
      </c>
      <c r="M197" s="504">
        <v>13.16</v>
      </c>
      <c r="N197" s="505">
        <v>0.106</v>
      </c>
      <c r="O197" s="505">
        <v>0.10299999999999999</v>
      </c>
      <c r="P197" s="505">
        <v>0.11799999999999999</v>
      </c>
      <c r="Q197" s="78">
        <v>0.44</v>
      </c>
      <c r="R197" s="78">
        <v>0.31740000000000002</v>
      </c>
      <c r="S197" s="69">
        <v>0</v>
      </c>
      <c r="T197" s="69">
        <v>0</v>
      </c>
      <c r="U197" s="505">
        <v>0.7</v>
      </c>
      <c r="V197" s="76">
        <v>0</v>
      </c>
      <c r="W197" s="76">
        <v>0</v>
      </c>
      <c r="X197" s="76"/>
    </row>
    <row r="198" spans="1:24" x14ac:dyDescent="0.25">
      <c r="A198" s="75" t="str">
        <f t="shared" si="6"/>
        <v>Pago_Hipoteca+Liquidez PFAE Wealth &amp; Premier Executive Pago_Fijo_Puntual Si 11</v>
      </c>
      <c r="B198" s="75" t="str">
        <f t="shared" si="7"/>
        <v>Pago_Hipoteca+Liquidez PFAE Wealth &amp; Premier Executive Pago_Fijo_Puntual Si 11 0.103</v>
      </c>
      <c r="C198" s="75" t="s">
        <v>174</v>
      </c>
      <c r="D198" s="75" t="s">
        <v>168</v>
      </c>
      <c r="E198" s="75" t="s">
        <v>175</v>
      </c>
      <c r="F198" s="75"/>
      <c r="G198" s="75"/>
      <c r="H198" s="75"/>
      <c r="I198" s="75" t="s">
        <v>171</v>
      </c>
      <c r="J198" s="503">
        <v>11</v>
      </c>
      <c r="K198" s="503" t="s">
        <v>387</v>
      </c>
      <c r="L198" s="504">
        <v>12.86</v>
      </c>
      <c r="M198" s="504">
        <v>13.52</v>
      </c>
      <c r="N198" s="505">
        <v>0.10299999999999999</v>
      </c>
      <c r="O198" s="505">
        <v>0.1</v>
      </c>
      <c r="P198" s="505">
        <v>0.112</v>
      </c>
      <c r="Q198" s="78">
        <v>0.44</v>
      </c>
      <c r="R198" s="78">
        <v>0.31740000000000002</v>
      </c>
      <c r="S198" s="69">
        <v>0</v>
      </c>
      <c r="T198" s="69">
        <v>0</v>
      </c>
      <c r="U198" s="505">
        <v>0.85</v>
      </c>
      <c r="V198" s="76">
        <v>0</v>
      </c>
      <c r="W198" s="76">
        <v>0</v>
      </c>
      <c r="X198" s="76" t="s">
        <v>147</v>
      </c>
    </row>
    <row r="199" spans="1:24" x14ac:dyDescent="0.25">
      <c r="A199" s="75" t="str">
        <f t="shared" si="6"/>
        <v>Pago_Hipoteca+Liquidez PFAE Wealth &amp; Premier Executive Pago_Fijo_Puntual 11</v>
      </c>
      <c r="B199" s="75" t="str">
        <f t="shared" si="7"/>
        <v>Pago_Hipoteca+Liquidez PFAE Wealth &amp; Premier Executive Pago_Fijo_Puntual 11 0.106</v>
      </c>
      <c r="C199" s="75" t="s">
        <v>174</v>
      </c>
      <c r="D199" s="75" t="s">
        <v>168</v>
      </c>
      <c r="E199" s="75" t="s">
        <v>175</v>
      </c>
      <c r="F199" s="75"/>
      <c r="G199" s="75"/>
      <c r="H199" s="75"/>
      <c r="I199" s="75" t="s">
        <v>171</v>
      </c>
      <c r="J199" s="503">
        <v>11</v>
      </c>
      <c r="K199" s="503">
        <v>3</v>
      </c>
      <c r="L199" s="504">
        <v>13.04</v>
      </c>
      <c r="M199" s="504">
        <v>13.7</v>
      </c>
      <c r="N199" s="505">
        <v>0.106</v>
      </c>
      <c r="O199" s="505">
        <v>0.10299999999999999</v>
      </c>
      <c r="P199" s="505">
        <v>0.11799999999999999</v>
      </c>
      <c r="Q199" s="78">
        <v>0.44</v>
      </c>
      <c r="R199" s="78">
        <v>0.31740000000000002</v>
      </c>
      <c r="S199" s="69">
        <v>0</v>
      </c>
      <c r="T199" s="69">
        <v>0</v>
      </c>
      <c r="U199" s="505">
        <v>0.7</v>
      </c>
      <c r="V199" s="76">
        <v>0</v>
      </c>
      <c r="W199" s="76">
        <v>0</v>
      </c>
      <c r="X199" s="76"/>
    </row>
    <row r="200" spans="1:24" x14ac:dyDescent="0.25">
      <c r="A200" s="75" t="str">
        <f t="shared" si="6"/>
        <v>Pago_Hipoteca+Liquidez PFAE Wealth &amp; Premier Executive Pago_Fijo_Puntual Si 10</v>
      </c>
      <c r="B200" s="75" t="str">
        <f t="shared" si="7"/>
        <v>Pago_Hipoteca+Liquidez PFAE Wealth &amp; Premier Executive Pago_Fijo_Puntual Si 10 0.103</v>
      </c>
      <c r="C200" s="75" t="s">
        <v>174</v>
      </c>
      <c r="D200" s="75" t="s">
        <v>168</v>
      </c>
      <c r="E200" s="75" t="s">
        <v>175</v>
      </c>
      <c r="F200" s="75"/>
      <c r="G200" s="75"/>
      <c r="H200" s="75"/>
      <c r="I200" s="75" t="s">
        <v>171</v>
      </c>
      <c r="J200" s="503">
        <v>10</v>
      </c>
      <c r="K200" s="503" t="s">
        <v>387</v>
      </c>
      <c r="L200" s="504">
        <v>13.54</v>
      </c>
      <c r="M200" s="504">
        <v>14.2</v>
      </c>
      <c r="N200" s="505">
        <v>0.10299999999999999</v>
      </c>
      <c r="O200" s="505">
        <v>0.1</v>
      </c>
      <c r="P200" s="505">
        <v>0.112</v>
      </c>
      <c r="Q200" s="78">
        <v>0.44</v>
      </c>
      <c r="R200" s="78">
        <v>0.31740000000000002</v>
      </c>
      <c r="S200" s="69">
        <v>0</v>
      </c>
      <c r="T200" s="69">
        <v>0</v>
      </c>
      <c r="U200" s="505">
        <v>0.85</v>
      </c>
      <c r="V200" s="76">
        <v>0</v>
      </c>
      <c r="W200" s="76">
        <v>0</v>
      </c>
      <c r="X200" s="76" t="s">
        <v>147</v>
      </c>
    </row>
    <row r="201" spans="1:24" x14ac:dyDescent="0.25">
      <c r="A201" s="75" t="str">
        <f t="shared" si="6"/>
        <v>Pago_Hipoteca+Liquidez PFAE Wealth &amp; Premier Executive Pago_Fijo_Puntual 10</v>
      </c>
      <c r="B201" s="75" t="str">
        <f t="shared" si="7"/>
        <v>Pago_Hipoteca+Liquidez PFAE Wealth &amp; Premier Executive Pago_Fijo_Puntual 10 0.106</v>
      </c>
      <c r="C201" s="75" t="s">
        <v>174</v>
      </c>
      <c r="D201" s="75" t="s">
        <v>168</v>
      </c>
      <c r="E201" s="75" t="s">
        <v>175</v>
      </c>
      <c r="F201" s="75"/>
      <c r="G201" s="75"/>
      <c r="H201" s="75"/>
      <c r="I201" s="75" t="s">
        <v>171</v>
      </c>
      <c r="J201" s="503">
        <v>10</v>
      </c>
      <c r="K201" s="503">
        <v>3</v>
      </c>
      <c r="L201" s="504">
        <v>13.7</v>
      </c>
      <c r="M201" s="504">
        <v>14.36</v>
      </c>
      <c r="N201" s="505">
        <v>0.106</v>
      </c>
      <c r="O201" s="505">
        <v>0.10299999999999999</v>
      </c>
      <c r="P201" s="505">
        <v>0.11799999999999999</v>
      </c>
      <c r="Q201" s="78">
        <v>0.44</v>
      </c>
      <c r="R201" s="78">
        <v>0.31740000000000002</v>
      </c>
      <c r="S201" s="69">
        <v>0</v>
      </c>
      <c r="T201" s="69">
        <v>0</v>
      </c>
      <c r="U201" s="505">
        <v>0.7</v>
      </c>
      <c r="V201" s="76">
        <v>0</v>
      </c>
      <c r="W201" s="76">
        <v>0</v>
      </c>
      <c r="X201" s="76"/>
    </row>
    <row r="202" spans="1:24" x14ac:dyDescent="0.25">
      <c r="A202" s="75" t="str">
        <f t="shared" si="6"/>
        <v>Pago_Hipoteca+Liquidez PFAE Wealth &amp; Premier Executive Pago_Fijo_Puntual Si 9</v>
      </c>
      <c r="B202" s="75" t="str">
        <f t="shared" si="7"/>
        <v>Pago_Hipoteca+Liquidez PFAE Wealth &amp; Premier Executive Pago_Fijo_Puntual Si 9 0.103</v>
      </c>
      <c r="C202" s="75" t="s">
        <v>174</v>
      </c>
      <c r="D202" s="75" t="s">
        <v>168</v>
      </c>
      <c r="E202" s="75" t="s">
        <v>175</v>
      </c>
      <c r="F202" s="75"/>
      <c r="G202" s="75"/>
      <c r="H202" s="75"/>
      <c r="I202" s="75" t="s">
        <v>171</v>
      </c>
      <c r="J202" s="503">
        <v>9</v>
      </c>
      <c r="K202" s="503" t="s">
        <v>387</v>
      </c>
      <c r="L202" s="504">
        <v>14.37</v>
      </c>
      <c r="M202" s="504">
        <v>15.03</v>
      </c>
      <c r="N202" s="505">
        <v>0.10299999999999999</v>
      </c>
      <c r="O202" s="505">
        <v>0.1</v>
      </c>
      <c r="P202" s="505">
        <v>0.112</v>
      </c>
      <c r="Q202" s="78">
        <v>0.44</v>
      </c>
      <c r="R202" s="78">
        <v>0.31740000000000002</v>
      </c>
      <c r="S202" s="69">
        <v>0</v>
      </c>
      <c r="T202" s="69">
        <v>0</v>
      </c>
      <c r="U202" s="505">
        <v>0.85</v>
      </c>
      <c r="V202" s="76">
        <v>0</v>
      </c>
      <c r="W202" s="76">
        <v>250</v>
      </c>
      <c r="X202" s="76" t="s">
        <v>147</v>
      </c>
    </row>
    <row r="203" spans="1:24" x14ac:dyDescent="0.25">
      <c r="A203" s="75" t="str">
        <f t="shared" si="6"/>
        <v>Pago_Hipoteca+Liquidez PFAE Wealth &amp; Premier Executive Pago_Fijo_Puntual 9</v>
      </c>
      <c r="B203" s="75" t="str">
        <f t="shared" si="7"/>
        <v>Pago_Hipoteca+Liquidez PFAE Wealth &amp; Premier Executive Pago_Fijo_Puntual 9 0.106</v>
      </c>
      <c r="C203" s="75" t="s">
        <v>174</v>
      </c>
      <c r="D203" s="75" t="s">
        <v>168</v>
      </c>
      <c r="E203" s="75" t="s">
        <v>175</v>
      </c>
      <c r="F203" s="75"/>
      <c r="G203" s="75"/>
      <c r="H203" s="75"/>
      <c r="I203" s="75" t="s">
        <v>171</v>
      </c>
      <c r="J203" s="503">
        <v>9</v>
      </c>
      <c r="K203" s="503">
        <v>3</v>
      </c>
      <c r="L203" s="504">
        <v>14.53</v>
      </c>
      <c r="M203" s="504">
        <v>15.19</v>
      </c>
      <c r="N203" s="505">
        <v>0.106</v>
      </c>
      <c r="O203" s="505">
        <v>0.10299999999999999</v>
      </c>
      <c r="P203" s="505">
        <v>0.11799999999999999</v>
      </c>
      <c r="Q203" s="78">
        <v>0.44</v>
      </c>
      <c r="R203" s="78">
        <v>0.31740000000000002</v>
      </c>
      <c r="S203" s="69">
        <v>0</v>
      </c>
      <c r="T203" s="69">
        <v>0</v>
      </c>
      <c r="U203" s="505">
        <v>0.7</v>
      </c>
      <c r="V203" s="76">
        <v>0</v>
      </c>
      <c r="W203" s="76">
        <v>250</v>
      </c>
      <c r="X203" s="76"/>
    </row>
    <row r="204" spans="1:24" x14ac:dyDescent="0.25">
      <c r="A204" s="75" t="str">
        <f t="shared" si="6"/>
        <v>Pago_Hipoteca+Liquidez PFAE Wealth &amp; Premier Executive Pago_Fijo_Puntual Si 8</v>
      </c>
      <c r="B204" s="75" t="str">
        <f t="shared" si="7"/>
        <v>Pago_Hipoteca+Liquidez PFAE Wealth &amp; Premier Executive Pago_Fijo_Puntual Si 8 0.103</v>
      </c>
      <c r="C204" s="75" t="s">
        <v>174</v>
      </c>
      <c r="D204" s="75" t="s">
        <v>168</v>
      </c>
      <c r="E204" s="75" t="s">
        <v>175</v>
      </c>
      <c r="F204" s="75"/>
      <c r="G204" s="75"/>
      <c r="H204" s="75"/>
      <c r="I204" s="75" t="s">
        <v>171</v>
      </c>
      <c r="J204" s="503">
        <v>8</v>
      </c>
      <c r="K204" s="503" t="s">
        <v>387</v>
      </c>
      <c r="L204" s="504">
        <v>15.44</v>
      </c>
      <c r="M204" s="504">
        <v>16.100000000000001</v>
      </c>
      <c r="N204" s="505">
        <v>0.10299999999999999</v>
      </c>
      <c r="O204" s="505">
        <v>0.1</v>
      </c>
      <c r="P204" s="505">
        <v>0.112</v>
      </c>
      <c r="Q204" s="78">
        <v>0.44</v>
      </c>
      <c r="R204" s="78">
        <v>0.31740000000000002</v>
      </c>
      <c r="S204" s="69">
        <v>0</v>
      </c>
      <c r="T204" s="69">
        <v>0</v>
      </c>
      <c r="U204" s="505">
        <v>0.85</v>
      </c>
      <c r="V204" s="76">
        <v>0</v>
      </c>
      <c r="W204" s="76">
        <v>250</v>
      </c>
      <c r="X204" s="76" t="s">
        <v>147</v>
      </c>
    </row>
    <row r="205" spans="1:24" x14ac:dyDescent="0.25">
      <c r="A205" s="75" t="str">
        <f t="shared" si="6"/>
        <v>Pago_Hipoteca+Liquidez PFAE Wealth &amp; Premier Executive Pago_Fijo_Puntual 8</v>
      </c>
      <c r="B205" s="75" t="str">
        <f t="shared" si="7"/>
        <v>Pago_Hipoteca+Liquidez PFAE Wealth &amp; Premier Executive Pago_Fijo_Puntual 8 0.106</v>
      </c>
      <c r="C205" s="75" t="s">
        <v>174</v>
      </c>
      <c r="D205" s="75" t="s">
        <v>168</v>
      </c>
      <c r="E205" s="75" t="s">
        <v>175</v>
      </c>
      <c r="F205" s="75"/>
      <c r="G205" s="75"/>
      <c r="H205" s="75"/>
      <c r="I205" s="75" t="s">
        <v>171</v>
      </c>
      <c r="J205" s="503">
        <v>8</v>
      </c>
      <c r="K205" s="503">
        <v>3</v>
      </c>
      <c r="L205" s="504">
        <v>15.6</v>
      </c>
      <c r="M205" s="504">
        <v>16.260000000000002</v>
      </c>
      <c r="N205" s="505">
        <v>0.106</v>
      </c>
      <c r="O205" s="505">
        <v>0.10299999999999999</v>
      </c>
      <c r="P205" s="505">
        <v>0.11799999999999999</v>
      </c>
      <c r="Q205" s="78">
        <v>0.44</v>
      </c>
      <c r="R205" s="78">
        <v>0.31740000000000002</v>
      </c>
      <c r="S205" s="69">
        <v>0</v>
      </c>
      <c r="T205" s="69">
        <v>0</v>
      </c>
      <c r="U205" s="505">
        <v>0.7</v>
      </c>
      <c r="V205" s="76">
        <v>0</v>
      </c>
      <c r="W205" s="76">
        <v>250</v>
      </c>
      <c r="X205" s="76"/>
    </row>
    <row r="206" spans="1:24" x14ac:dyDescent="0.25">
      <c r="A206" s="75" t="str">
        <f t="shared" si="6"/>
        <v>Pago_Hipoteca+Liquidez PFAE Wealth &amp; Premier Executive Pago_Fijo_Puntual Si 7</v>
      </c>
      <c r="B206" s="75" t="str">
        <f t="shared" si="7"/>
        <v>Pago_Hipoteca+Liquidez PFAE Wealth &amp; Premier Executive Pago_Fijo_Puntual Si 7 0.103</v>
      </c>
      <c r="C206" s="75" t="s">
        <v>174</v>
      </c>
      <c r="D206" s="75" t="s">
        <v>168</v>
      </c>
      <c r="E206" s="75" t="s">
        <v>175</v>
      </c>
      <c r="F206" s="75"/>
      <c r="G206" s="75"/>
      <c r="H206" s="75"/>
      <c r="I206" s="75" t="s">
        <v>171</v>
      </c>
      <c r="J206" s="503">
        <v>7</v>
      </c>
      <c r="K206" s="503" t="s">
        <v>387</v>
      </c>
      <c r="L206" s="504">
        <v>16.84</v>
      </c>
      <c r="M206" s="504">
        <v>17.5</v>
      </c>
      <c r="N206" s="505">
        <v>0.10299999999999999</v>
      </c>
      <c r="O206" s="505">
        <v>0.1</v>
      </c>
      <c r="P206" s="505">
        <v>0.112</v>
      </c>
      <c r="Q206" s="78">
        <v>0.44</v>
      </c>
      <c r="R206" s="78">
        <v>0.31740000000000002</v>
      </c>
      <c r="S206" s="69">
        <v>0</v>
      </c>
      <c r="T206" s="69">
        <v>0</v>
      </c>
      <c r="U206" s="505">
        <v>0.85</v>
      </c>
      <c r="V206" s="76">
        <v>0</v>
      </c>
      <c r="W206" s="76">
        <v>250</v>
      </c>
      <c r="X206" s="76" t="s">
        <v>147</v>
      </c>
    </row>
    <row r="207" spans="1:24" x14ac:dyDescent="0.25">
      <c r="A207" s="75" t="str">
        <f t="shared" si="6"/>
        <v>Pago_Hipoteca+Liquidez PFAE Wealth &amp; Premier Executive Pago_Fijo_Puntual 7</v>
      </c>
      <c r="B207" s="75" t="str">
        <f t="shared" si="7"/>
        <v>Pago_Hipoteca+Liquidez PFAE Wealth &amp; Premier Executive Pago_Fijo_Puntual 7 0.106</v>
      </c>
      <c r="C207" s="75" t="s">
        <v>174</v>
      </c>
      <c r="D207" s="75" t="s">
        <v>168</v>
      </c>
      <c r="E207" s="75" t="s">
        <v>175</v>
      </c>
      <c r="F207" s="75"/>
      <c r="G207" s="75"/>
      <c r="H207" s="75"/>
      <c r="I207" s="75" t="s">
        <v>171</v>
      </c>
      <c r="J207" s="503">
        <v>7</v>
      </c>
      <c r="K207" s="503">
        <v>3</v>
      </c>
      <c r="L207" s="504">
        <v>17</v>
      </c>
      <c r="M207" s="504">
        <v>17.66</v>
      </c>
      <c r="N207" s="505">
        <v>0.106</v>
      </c>
      <c r="O207" s="505">
        <v>0.10299999999999999</v>
      </c>
      <c r="P207" s="505">
        <v>0.11799999999999999</v>
      </c>
      <c r="Q207" s="78">
        <v>0.44</v>
      </c>
      <c r="R207" s="78">
        <v>0.31740000000000002</v>
      </c>
      <c r="S207" s="69">
        <v>0</v>
      </c>
      <c r="T207" s="69">
        <v>0</v>
      </c>
      <c r="U207" s="505">
        <v>0.7</v>
      </c>
      <c r="V207" s="76">
        <v>0</v>
      </c>
      <c r="W207" s="76">
        <v>250</v>
      </c>
      <c r="X207" s="76"/>
    </row>
    <row r="208" spans="1:24" x14ac:dyDescent="0.25">
      <c r="A208" s="75" t="str">
        <f t="shared" si="6"/>
        <v>Pago_Hipoteca+Liquidez PFAE Wealth &amp; Premier Executive Pago_Fijo_Puntual Si 6</v>
      </c>
      <c r="B208" s="75" t="str">
        <f t="shared" si="7"/>
        <v>Pago_Hipoteca+Liquidez PFAE Wealth &amp; Premier Executive Pago_Fijo_Puntual Si 6 0.103</v>
      </c>
      <c r="C208" s="75" t="s">
        <v>174</v>
      </c>
      <c r="D208" s="75" t="s">
        <v>168</v>
      </c>
      <c r="E208" s="75" t="s">
        <v>175</v>
      </c>
      <c r="F208" s="75"/>
      <c r="G208" s="75"/>
      <c r="H208" s="75"/>
      <c r="I208" s="75" t="s">
        <v>171</v>
      </c>
      <c r="J208" s="503">
        <v>6</v>
      </c>
      <c r="K208" s="503" t="s">
        <v>387</v>
      </c>
      <c r="L208" s="504">
        <v>18.739999999999998</v>
      </c>
      <c r="M208" s="504">
        <v>19.399999999999999</v>
      </c>
      <c r="N208" s="505">
        <v>0.10299999999999999</v>
      </c>
      <c r="O208" s="505">
        <v>0.1</v>
      </c>
      <c r="P208" s="505">
        <v>0.112</v>
      </c>
      <c r="Q208" s="78">
        <v>0.44</v>
      </c>
      <c r="R208" s="78">
        <v>0.31740000000000002</v>
      </c>
      <c r="S208" s="69">
        <v>0</v>
      </c>
      <c r="T208" s="69">
        <v>0</v>
      </c>
      <c r="U208" s="505">
        <v>0.85</v>
      </c>
      <c r="V208" s="76">
        <v>0</v>
      </c>
      <c r="W208" s="76">
        <v>250</v>
      </c>
      <c r="X208" s="76" t="s">
        <v>147</v>
      </c>
    </row>
    <row r="209" spans="1:24" x14ac:dyDescent="0.25">
      <c r="A209" s="75" t="str">
        <f t="shared" si="6"/>
        <v>Pago_Hipoteca+Liquidez PFAE Wealth &amp; Premier Executive Pago_Fijo_Puntual 6</v>
      </c>
      <c r="B209" s="75" t="str">
        <f t="shared" si="7"/>
        <v>Pago_Hipoteca+Liquidez PFAE Wealth &amp; Premier Executive Pago_Fijo_Puntual 6 0.106</v>
      </c>
      <c r="C209" s="75" t="s">
        <v>174</v>
      </c>
      <c r="D209" s="75" t="s">
        <v>168</v>
      </c>
      <c r="E209" s="75" t="s">
        <v>175</v>
      </c>
      <c r="F209" s="75"/>
      <c r="G209" s="75"/>
      <c r="H209" s="75"/>
      <c r="I209" s="75" t="s">
        <v>171</v>
      </c>
      <c r="J209" s="503">
        <v>6</v>
      </c>
      <c r="K209" s="503">
        <v>3</v>
      </c>
      <c r="L209" s="504">
        <v>18.89</v>
      </c>
      <c r="M209" s="504">
        <v>19.55</v>
      </c>
      <c r="N209" s="505">
        <v>0.106</v>
      </c>
      <c r="O209" s="505">
        <v>0.10299999999999999</v>
      </c>
      <c r="P209" s="505">
        <v>0.11799999999999999</v>
      </c>
      <c r="Q209" s="78">
        <v>0.44</v>
      </c>
      <c r="R209" s="78">
        <v>0.31740000000000002</v>
      </c>
      <c r="S209" s="69">
        <v>0</v>
      </c>
      <c r="T209" s="69">
        <v>0</v>
      </c>
      <c r="U209" s="505">
        <v>0.7</v>
      </c>
      <c r="V209" s="76">
        <v>0</v>
      </c>
      <c r="W209" s="76">
        <v>250</v>
      </c>
      <c r="X209" s="76"/>
    </row>
    <row r="210" spans="1:24" x14ac:dyDescent="0.25">
      <c r="A210" s="75" t="str">
        <f t="shared" si="6"/>
        <v>Pago_Hipoteca+Liquidez PFAE Wealth &amp; Premier Executive Pago_Fijo_Puntual Si 5</v>
      </c>
      <c r="B210" s="75" t="str">
        <f t="shared" si="7"/>
        <v>Pago_Hipoteca+Liquidez PFAE Wealth &amp; Premier Executive Pago_Fijo_Puntual Si 5 0.103</v>
      </c>
      <c r="C210" s="75" t="s">
        <v>174</v>
      </c>
      <c r="D210" s="75" t="s">
        <v>168</v>
      </c>
      <c r="E210" s="75" t="s">
        <v>175</v>
      </c>
      <c r="F210" s="75"/>
      <c r="G210" s="75"/>
      <c r="H210" s="75"/>
      <c r="I210" s="75" t="s">
        <v>171</v>
      </c>
      <c r="J210" s="503">
        <v>5</v>
      </c>
      <c r="K210" s="503" t="s">
        <v>387</v>
      </c>
      <c r="L210" s="504">
        <v>21.44</v>
      </c>
      <c r="M210" s="504">
        <v>22.1</v>
      </c>
      <c r="N210" s="505">
        <v>0.10299999999999999</v>
      </c>
      <c r="O210" s="505">
        <v>0.1</v>
      </c>
      <c r="P210" s="505">
        <v>0.112</v>
      </c>
      <c r="Q210" s="78">
        <v>0.44</v>
      </c>
      <c r="R210" s="78">
        <v>0.31740000000000002</v>
      </c>
      <c r="S210" s="69">
        <v>0</v>
      </c>
      <c r="T210" s="69">
        <v>0</v>
      </c>
      <c r="U210" s="505">
        <v>0.85</v>
      </c>
      <c r="V210" s="76">
        <v>0</v>
      </c>
      <c r="W210" s="76">
        <v>250</v>
      </c>
      <c r="X210" s="76" t="s">
        <v>147</v>
      </c>
    </row>
    <row r="211" spans="1:24" x14ac:dyDescent="0.25">
      <c r="A211" s="75" t="str">
        <f t="shared" si="6"/>
        <v>Pago_Hipoteca+Liquidez PFAE Wealth &amp; Premier Executive Pago_Fijo_Puntual 5</v>
      </c>
      <c r="B211" s="75" t="str">
        <f t="shared" si="7"/>
        <v>Pago_Hipoteca+Liquidez PFAE Wealth &amp; Premier Executive Pago_Fijo_Puntual 5 0.106</v>
      </c>
      <c r="C211" s="75" t="s">
        <v>174</v>
      </c>
      <c r="D211" s="75" t="s">
        <v>168</v>
      </c>
      <c r="E211" s="75" t="s">
        <v>175</v>
      </c>
      <c r="F211" s="75"/>
      <c r="G211" s="75"/>
      <c r="H211" s="75"/>
      <c r="I211" s="75" t="s">
        <v>171</v>
      </c>
      <c r="J211" s="503">
        <v>5</v>
      </c>
      <c r="K211" s="503">
        <v>3</v>
      </c>
      <c r="L211" s="504">
        <v>21.58</v>
      </c>
      <c r="M211" s="504">
        <v>22.24</v>
      </c>
      <c r="N211" s="505">
        <v>0.106</v>
      </c>
      <c r="O211" s="505">
        <v>0.10299999999999999</v>
      </c>
      <c r="P211" s="505">
        <v>0.11799999999999999</v>
      </c>
      <c r="Q211" s="78">
        <v>0.44</v>
      </c>
      <c r="R211" s="78">
        <v>0.31740000000000002</v>
      </c>
      <c r="S211" s="69">
        <v>0</v>
      </c>
      <c r="T211" s="69">
        <v>0</v>
      </c>
      <c r="U211" s="505">
        <v>0.7</v>
      </c>
      <c r="V211" s="76">
        <v>0</v>
      </c>
      <c r="W211" s="76">
        <v>250</v>
      </c>
      <c r="X211" s="76"/>
    </row>
    <row r="212" spans="1:24" x14ac:dyDescent="0.25">
      <c r="A212" s="75" t="str">
        <f t="shared" si="6"/>
        <v>Pago_Hipoteca+Liquidez PROF Wealth &amp; Premier Executive Pago_Fijo_Puntual Si 20</v>
      </c>
      <c r="B212" s="75" t="str">
        <f t="shared" si="7"/>
        <v>Pago_Hipoteca+Liquidez PROF Wealth &amp; Premier Executive Pago_Fijo_Puntual Si 20 0.103</v>
      </c>
      <c r="C212" s="75" t="s">
        <v>174</v>
      </c>
      <c r="D212" s="75" t="s">
        <v>169</v>
      </c>
      <c r="E212" s="75" t="s">
        <v>175</v>
      </c>
      <c r="F212" s="75"/>
      <c r="G212" s="75"/>
      <c r="H212" s="75"/>
      <c r="I212" s="75" t="s">
        <v>171</v>
      </c>
      <c r="J212" s="503">
        <v>20</v>
      </c>
      <c r="K212" s="503" t="s">
        <v>387</v>
      </c>
      <c r="L212" s="504">
        <v>10.16</v>
      </c>
      <c r="M212" s="504">
        <v>10.82</v>
      </c>
      <c r="N212" s="505">
        <v>0.10299999999999999</v>
      </c>
      <c r="O212" s="505">
        <v>0.1</v>
      </c>
      <c r="P212" s="505">
        <v>0.112</v>
      </c>
      <c r="Q212" s="78">
        <v>0.44</v>
      </c>
      <c r="R212" s="78">
        <v>0.31740000000000002</v>
      </c>
      <c r="S212" s="69">
        <v>0</v>
      </c>
      <c r="T212" s="69">
        <v>0</v>
      </c>
      <c r="U212" s="505">
        <v>0.85</v>
      </c>
      <c r="V212" s="76">
        <v>0</v>
      </c>
      <c r="W212" s="76">
        <v>250</v>
      </c>
      <c r="X212" s="76" t="s">
        <v>147</v>
      </c>
    </row>
    <row r="213" spans="1:24" x14ac:dyDescent="0.25">
      <c r="A213" s="75" t="str">
        <f t="shared" si="6"/>
        <v>Pago_Hipoteca+Liquidez PROF Wealth &amp; Premier Executive Pago_Fijo_Puntual 20</v>
      </c>
      <c r="B213" s="75" t="str">
        <f t="shared" si="7"/>
        <v>Pago_Hipoteca+Liquidez PROF Wealth &amp; Premier Executive Pago_Fijo_Puntual 20 0.106</v>
      </c>
      <c r="C213" s="75" t="s">
        <v>174</v>
      </c>
      <c r="D213" s="75" t="s">
        <v>169</v>
      </c>
      <c r="E213" s="75" t="s">
        <v>175</v>
      </c>
      <c r="F213" s="75"/>
      <c r="G213" s="75"/>
      <c r="H213" s="75"/>
      <c r="I213" s="75" t="s">
        <v>171</v>
      </c>
      <c r="J213" s="503">
        <v>20</v>
      </c>
      <c r="K213" s="503">
        <v>3</v>
      </c>
      <c r="L213" s="504">
        <v>10.4</v>
      </c>
      <c r="M213" s="504">
        <v>11.06</v>
      </c>
      <c r="N213" s="505">
        <v>0.106</v>
      </c>
      <c r="O213" s="505">
        <v>0.10299999999999999</v>
      </c>
      <c r="P213" s="505">
        <v>0.11799999999999999</v>
      </c>
      <c r="Q213" s="78">
        <v>0.44</v>
      </c>
      <c r="R213" s="78">
        <v>0.31740000000000002</v>
      </c>
      <c r="S213" s="69">
        <v>0</v>
      </c>
      <c r="T213" s="69">
        <v>0</v>
      </c>
      <c r="U213" s="505">
        <v>0.7</v>
      </c>
      <c r="V213" s="76">
        <v>0</v>
      </c>
      <c r="W213" s="76">
        <v>250</v>
      </c>
      <c r="X213" s="76"/>
    </row>
    <row r="214" spans="1:24" x14ac:dyDescent="0.25">
      <c r="A214" s="75" t="str">
        <f t="shared" si="6"/>
        <v>Pago_Hipoteca+Liquidez PROF Wealth &amp; Premier Executive Pago_Fijo_Puntual Si 19</v>
      </c>
      <c r="B214" s="75" t="str">
        <f t="shared" si="7"/>
        <v>Pago_Hipoteca+Liquidez PROF Wealth &amp; Premier Executive Pago_Fijo_Puntual Si 19 0.103</v>
      </c>
      <c r="C214" s="75" t="s">
        <v>174</v>
      </c>
      <c r="D214" s="75" t="s">
        <v>169</v>
      </c>
      <c r="E214" s="75" t="s">
        <v>175</v>
      </c>
      <c r="F214" s="75"/>
      <c r="G214" s="75"/>
      <c r="H214" s="75"/>
      <c r="I214" s="75" t="s">
        <v>171</v>
      </c>
      <c r="J214" s="503">
        <v>19</v>
      </c>
      <c r="K214" s="503" t="s">
        <v>387</v>
      </c>
      <c r="L214" s="504">
        <v>10.3</v>
      </c>
      <c r="M214" s="504">
        <v>10.96</v>
      </c>
      <c r="N214" s="505">
        <v>0.10299999999999999</v>
      </c>
      <c r="O214" s="505">
        <v>0.1</v>
      </c>
      <c r="P214" s="505">
        <v>0.112</v>
      </c>
      <c r="Q214" s="78">
        <v>0.44</v>
      </c>
      <c r="R214" s="78">
        <v>0.31740000000000002</v>
      </c>
      <c r="S214" s="69">
        <v>0</v>
      </c>
      <c r="T214" s="69">
        <v>0</v>
      </c>
      <c r="U214" s="505">
        <v>0.85</v>
      </c>
      <c r="V214" s="76">
        <v>0</v>
      </c>
      <c r="W214" s="76">
        <v>250</v>
      </c>
      <c r="X214" s="76" t="s">
        <v>147</v>
      </c>
    </row>
    <row r="215" spans="1:24" x14ac:dyDescent="0.25">
      <c r="A215" s="75" t="str">
        <f t="shared" si="6"/>
        <v>Pago_Hipoteca+Liquidez PROF Wealth &amp; Premier Executive Pago_Fijo_Puntual 19</v>
      </c>
      <c r="B215" s="75" t="str">
        <f t="shared" si="7"/>
        <v>Pago_Hipoteca+Liquidez PROF Wealth &amp; Premier Executive Pago_Fijo_Puntual 19 0.106</v>
      </c>
      <c r="C215" s="75" t="s">
        <v>174</v>
      </c>
      <c r="D215" s="75" t="s">
        <v>169</v>
      </c>
      <c r="E215" s="75" t="s">
        <v>175</v>
      </c>
      <c r="F215" s="75"/>
      <c r="G215" s="75"/>
      <c r="H215" s="75"/>
      <c r="I215" s="75" t="s">
        <v>171</v>
      </c>
      <c r="J215" s="503">
        <v>19</v>
      </c>
      <c r="K215" s="503">
        <v>3</v>
      </c>
      <c r="L215" s="504">
        <v>10.54</v>
      </c>
      <c r="M215" s="504">
        <v>11.2</v>
      </c>
      <c r="N215" s="505">
        <v>0.106</v>
      </c>
      <c r="O215" s="505">
        <v>0.10299999999999999</v>
      </c>
      <c r="P215" s="505">
        <v>0.11799999999999999</v>
      </c>
      <c r="Q215" s="78">
        <v>0.44</v>
      </c>
      <c r="R215" s="78">
        <v>0.31740000000000002</v>
      </c>
      <c r="S215" s="69">
        <v>0</v>
      </c>
      <c r="T215" s="69">
        <v>0</v>
      </c>
      <c r="U215" s="505">
        <v>0.7</v>
      </c>
      <c r="V215" s="76">
        <v>0</v>
      </c>
      <c r="W215" s="76">
        <v>250</v>
      </c>
      <c r="X215" s="76"/>
    </row>
    <row r="216" spans="1:24" x14ac:dyDescent="0.25">
      <c r="A216" s="75" t="str">
        <f t="shared" si="6"/>
        <v>Pago_Hipoteca+Liquidez PROF Wealth &amp; Premier Executive Pago_Fijo_Puntual Si 18</v>
      </c>
      <c r="B216" s="75" t="str">
        <f t="shared" si="7"/>
        <v>Pago_Hipoteca+Liquidez PROF Wealth &amp; Premier Executive Pago_Fijo_Puntual Si 18 0.103</v>
      </c>
      <c r="C216" s="75" t="s">
        <v>174</v>
      </c>
      <c r="D216" s="75" t="s">
        <v>169</v>
      </c>
      <c r="E216" s="75" t="s">
        <v>175</v>
      </c>
      <c r="F216" s="75"/>
      <c r="G216" s="75"/>
      <c r="H216" s="75"/>
      <c r="I216" s="75" t="s">
        <v>171</v>
      </c>
      <c r="J216" s="503">
        <v>18</v>
      </c>
      <c r="K216" s="503" t="s">
        <v>387</v>
      </c>
      <c r="L216" s="504">
        <v>10.47</v>
      </c>
      <c r="M216" s="504">
        <v>11.13</v>
      </c>
      <c r="N216" s="505">
        <v>0.10299999999999999</v>
      </c>
      <c r="O216" s="505">
        <v>0.1</v>
      </c>
      <c r="P216" s="505">
        <v>0.112</v>
      </c>
      <c r="Q216" s="78">
        <v>0.44</v>
      </c>
      <c r="R216" s="78">
        <v>0.31740000000000002</v>
      </c>
      <c r="S216" s="69">
        <v>0</v>
      </c>
      <c r="T216" s="69">
        <v>0</v>
      </c>
      <c r="U216" s="505">
        <v>0.85</v>
      </c>
      <c r="V216" s="76">
        <v>0</v>
      </c>
      <c r="W216" s="76">
        <v>250</v>
      </c>
      <c r="X216" s="76" t="s">
        <v>147</v>
      </c>
    </row>
    <row r="217" spans="1:24" x14ac:dyDescent="0.25">
      <c r="A217" s="75" t="str">
        <f t="shared" si="6"/>
        <v>Pago_Hipoteca+Liquidez PROF Wealth &amp; Premier Executive Pago_Fijo_Puntual 18</v>
      </c>
      <c r="B217" s="75" t="str">
        <f t="shared" si="7"/>
        <v>Pago_Hipoteca+Liquidez PROF Wealth &amp; Premier Executive Pago_Fijo_Puntual 18 0.106</v>
      </c>
      <c r="C217" s="75" t="s">
        <v>174</v>
      </c>
      <c r="D217" s="75" t="s">
        <v>169</v>
      </c>
      <c r="E217" s="75" t="s">
        <v>175</v>
      </c>
      <c r="F217" s="75"/>
      <c r="G217" s="75"/>
      <c r="H217" s="75"/>
      <c r="I217" s="75" t="s">
        <v>171</v>
      </c>
      <c r="J217" s="503">
        <v>18</v>
      </c>
      <c r="K217" s="503">
        <v>3</v>
      </c>
      <c r="L217" s="504">
        <v>10.71</v>
      </c>
      <c r="M217" s="504">
        <v>11.37</v>
      </c>
      <c r="N217" s="505">
        <v>0.106</v>
      </c>
      <c r="O217" s="505">
        <v>0.10299999999999999</v>
      </c>
      <c r="P217" s="505">
        <v>0.11799999999999999</v>
      </c>
      <c r="Q217" s="78">
        <v>0.44</v>
      </c>
      <c r="R217" s="78">
        <v>0.31740000000000002</v>
      </c>
      <c r="S217" s="69">
        <v>0</v>
      </c>
      <c r="T217" s="69">
        <v>0</v>
      </c>
      <c r="U217" s="505">
        <v>0.7</v>
      </c>
      <c r="V217" s="76">
        <v>0</v>
      </c>
      <c r="W217" s="76">
        <v>250</v>
      </c>
      <c r="X217" s="76"/>
    </row>
    <row r="218" spans="1:24" x14ac:dyDescent="0.25">
      <c r="A218" s="75" t="str">
        <f t="shared" si="6"/>
        <v>Pago_Hipoteca+Liquidez PROF Wealth &amp; Premier Executive Pago_Fijo_Puntual Si 17</v>
      </c>
      <c r="B218" s="75" t="str">
        <f t="shared" si="7"/>
        <v>Pago_Hipoteca+Liquidez PROF Wealth &amp; Premier Executive Pago_Fijo_Puntual Si 17 0.103</v>
      </c>
      <c r="C218" s="75" t="s">
        <v>174</v>
      </c>
      <c r="D218" s="75" t="s">
        <v>169</v>
      </c>
      <c r="E218" s="75" t="s">
        <v>175</v>
      </c>
      <c r="F218" s="75"/>
      <c r="G218" s="75"/>
      <c r="H218" s="75"/>
      <c r="I218" s="75" t="s">
        <v>171</v>
      </c>
      <c r="J218" s="503">
        <v>17</v>
      </c>
      <c r="K218" s="503" t="s">
        <v>387</v>
      </c>
      <c r="L218" s="504">
        <v>10.67</v>
      </c>
      <c r="M218" s="504">
        <v>11.33</v>
      </c>
      <c r="N218" s="505">
        <v>0.10299999999999999</v>
      </c>
      <c r="O218" s="505">
        <v>0.1</v>
      </c>
      <c r="P218" s="505">
        <v>0.112</v>
      </c>
      <c r="Q218" s="78">
        <v>0.44</v>
      </c>
      <c r="R218" s="78">
        <v>0.31740000000000002</v>
      </c>
      <c r="S218" s="69">
        <v>0</v>
      </c>
      <c r="T218" s="69">
        <v>0</v>
      </c>
      <c r="U218" s="505">
        <v>0.85</v>
      </c>
      <c r="V218" s="76">
        <v>0</v>
      </c>
      <c r="W218" s="76">
        <v>250</v>
      </c>
      <c r="X218" s="76" t="s">
        <v>147</v>
      </c>
    </row>
    <row r="219" spans="1:24" x14ac:dyDescent="0.25">
      <c r="A219" s="75" t="str">
        <f t="shared" si="6"/>
        <v>Pago_Hipoteca+Liquidez PROF Wealth &amp; Premier Executive Pago_Fijo_Puntual 17</v>
      </c>
      <c r="B219" s="75" t="str">
        <f t="shared" si="7"/>
        <v>Pago_Hipoteca+Liquidez PROF Wealth &amp; Premier Executive Pago_Fijo_Puntual 17 0.106</v>
      </c>
      <c r="C219" s="75" t="s">
        <v>174</v>
      </c>
      <c r="D219" s="75" t="s">
        <v>169</v>
      </c>
      <c r="E219" s="75" t="s">
        <v>175</v>
      </c>
      <c r="F219" s="75"/>
      <c r="G219" s="75"/>
      <c r="H219" s="75"/>
      <c r="I219" s="75" t="s">
        <v>171</v>
      </c>
      <c r="J219" s="503">
        <v>17</v>
      </c>
      <c r="K219" s="503">
        <v>3</v>
      </c>
      <c r="L219" s="504">
        <v>10.9</v>
      </c>
      <c r="M219" s="504">
        <v>11.56</v>
      </c>
      <c r="N219" s="505">
        <v>0.106</v>
      </c>
      <c r="O219" s="505">
        <v>0.10299999999999999</v>
      </c>
      <c r="P219" s="505">
        <v>0.11799999999999999</v>
      </c>
      <c r="Q219" s="78">
        <v>0.44</v>
      </c>
      <c r="R219" s="78">
        <v>0.31740000000000002</v>
      </c>
      <c r="S219" s="69">
        <v>0</v>
      </c>
      <c r="T219" s="69">
        <v>0</v>
      </c>
      <c r="U219" s="505">
        <v>0.7</v>
      </c>
      <c r="V219" s="76">
        <v>0</v>
      </c>
      <c r="W219" s="76">
        <v>250</v>
      </c>
      <c r="X219" s="76"/>
    </row>
    <row r="220" spans="1:24" x14ac:dyDescent="0.25">
      <c r="A220" s="75" t="str">
        <f t="shared" si="6"/>
        <v>Pago_Hipoteca+Liquidez PROF Wealth &amp; Premier Executive Pago_Fijo_Puntual Si 16</v>
      </c>
      <c r="B220" s="75" t="str">
        <f t="shared" si="7"/>
        <v>Pago_Hipoteca+Liquidez PROF Wealth &amp; Premier Executive Pago_Fijo_Puntual Si 16 0.103</v>
      </c>
      <c r="C220" s="75" t="s">
        <v>174</v>
      </c>
      <c r="D220" s="75" t="s">
        <v>169</v>
      </c>
      <c r="E220" s="75" t="s">
        <v>175</v>
      </c>
      <c r="F220" s="75"/>
      <c r="G220" s="75"/>
      <c r="H220" s="75"/>
      <c r="I220" s="75" t="s">
        <v>171</v>
      </c>
      <c r="J220" s="503">
        <v>16</v>
      </c>
      <c r="K220" s="503" t="s">
        <v>387</v>
      </c>
      <c r="L220" s="504">
        <v>10.9</v>
      </c>
      <c r="M220" s="504">
        <v>11.56</v>
      </c>
      <c r="N220" s="505">
        <v>0.10299999999999999</v>
      </c>
      <c r="O220" s="505">
        <v>0.1</v>
      </c>
      <c r="P220" s="505">
        <v>0.112</v>
      </c>
      <c r="Q220" s="78">
        <v>0.44</v>
      </c>
      <c r="R220" s="78">
        <v>0.31740000000000002</v>
      </c>
      <c r="S220" s="69">
        <v>0</v>
      </c>
      <c r="T220" s="69">
        <v>0</v>
      </c>
      <c r="U220" s="505">
        <v>0.85</v>
      </c>
      <c r="V220" s="76">
        <v>0</v>
      </c>
      <c r="W220" s="76">
        <v>250</v>
      </c>
      <c r="X220" s="76" t="s">
        <v>147</v>
      </c>
    </row>
    <row r="221" spans="1:24" x14ac:dyDescent="0.25">
      <c r="A221" s="75" t="str">
        <f t="shared" si="6"/>
        <v>Pago_Hipoteca+Liquidez PROF Wealth &amp; Premier Executive Pago_Fijo_Puntual 16</v>
      </c>
      <c r="B221" s="75" t="str">
        <f t="shared" si="7"/>
        <v>Pago_Hipoteca+Liquidez PROF Wealth &amp; Premier Executive Pago_Fijo_Puntual 16 0.106</v>
      </c>
      <c r="C221" s="75" t="s">
        <v>174</v>
      </c>
      <c r="D221" s="75" t="s">
        <v>169</v>
      </c>
      <c r="E221" s="75" t="s">
        <v>175</v>
      </c>
      <c r="F221" s="75"/>
      <c r="G221" s="75"/>
      <c r="H221" s="75"/>
      <c r="I221" s="75" t="s">
        <v>171</v>
      </c>
      <c r="J221" s="503">
        <v>16</v>
      </c>
      <c r="K221" s="503">
        <v>3</v>
      </c>
      <c r="L221" s="504">
        <v>11.12</v>
      </c>
      <c r="M221" s="504">
        <v>11.78</v>
      </c>
      <c r="N221" s="505">
        <v>0.106</v>
      </c>
      <c r="O221" s="505">
        <v>0.10299999999999999</v>
      </c>
      <c r="P221" s="505">
        <v>0.11799999999999999</v>
      </c>
      <c r="Q221" s="78">
        <v>0.44</v>
      </c>
      <c r="R221" s="78">
        <v>0.31740000000000002</v>
      </c>
      <c r="S221" s="69">
        <v>0</v>
      </c>
      <c r="T221" s="69">
        <v>0</v>
      </c>
      <c r="U221" s="505">
        <v>0.7</v>
      </c>
      <c r="V221" s="76">
        <v>0</v>
      </c>
      <c r="W221" s="76">
        <v>250</v>
      </c>
      <c r="X221" s="76"/>
    </row>
    <row r="222" spans="1:24" x14ac:dyDescent="0.25">
      <c r="A222" s="75" t="str">
        <f t="shared" si="6"/>
        <v>Pago_Hipoteca+Liquidez PROF Wealth &amp; Premier Executive Pago_Fijo_Puntual Si 15</v>
      </c>
      <c r="B222" s="75" t="str">
        <f t="shared" si="7"/>
        <v>Pago_Hipoteca+Liquidez PROF Wealth &amp; Premier Executive Pago_Fijo_Puntual Si 15 0.103</v>
      </c>
      <c r="C222" s="75" t="s">
        <v>174</v>
      </c>
      <c r="D222" s="75" t="s">
        <v>169</v>
      </c>
      <c r="E222" s="75" t="s">
        <v>175</v>
      </c>
      <c r="F222" s="75"/>
      <c r="G222" s="75"/>
      <c r="H222" s="75"/>
      <c r="I222" s="75" t="s">
        <v>171</v>
      </c>
      <c r="J222" s="503">
        <v>15</v>
      </c>
      <c r="K222" s="503" t="s">
        <v>387</v>
      </c>
      <c r="L222" s="504">
        <v>11.18</v>
      </c>
      <c r="M222" s="504">
        <v>11.84</v>
      </c>
      <c r="N222" s="505">
        <v>0.10299999999999999</v>
      </c>
      <c r="O222" s="505">
        <v>0.1</v>
      </c>
      <c r="P222" s="505">
        <v>0.112</v>
      </c>
      <c r="Q222" s="78">
        <v>0.44</v>
      </c>
      <c r="R222" s="78">
        <v>0.31740000000000002</v>
      </c>
      <c r="S222" s="69">
        <v>0</v>
      </c>
      <c r="T222" s="69">
        <v>0</v>
      </c>
      <c r="U222" s="505">
        <v>0.85</v>
      </c>
      <c r="V222" s="76">
        <v>0</v>
      </c>
      <c r="W222" s="76">
        <v>250</v>
      </c>
      <c r="X222" s="76" t="s">
        <v>147</v>
      </c>
    </row>
    <row r="223" spans="1:24" x14ac:dyDescent="0.25">
      <c r="A223" s="75" t="str">
        <f t="shared" si="6"/>
        <v>Pago_Hipoteca+Liquidez PROF Wealth &amp; Premier Executive Pago_Fijo_Puntual 15</v>
      </c>
      <c r="B223" s="75" t="str">
        <f t="shared" si="7"/>
        <v>Pago_Hipoteca+Liquidez PROF Wealth &amp; Premier Executive Pago_Fijo_Puntual 15 0.106</v>
      </c>
      <c r="C223" s="75" t="s">
        <v>174</v>
      </c>
      <c r="D223" s="75" t="s">
        <v>169</v>
      </c>
      <c r="E223" s="75" t="s">
        <v>175</v>
      </c>
      <c r="F223" s="75"/>
      <c r="G223" s="75"/>
      <c r="H223" s="75"/>
      <c r="I223" s="75" t="s">
        <v>171</v>
      </c>
      <c r="J223" s="503">
        <v>15</v>
      </c>
      <c r="K223" s="503">
        <v>3</v>
      </c>
      <c r="L223" s="504">
        <v>11.38</v>
      </c>
      <c r="M223" s="504">
        <v>12.04</v>
      </c>
      <c r="N223" s="505">
        <v>0.106</v>
      </c>
      <c r="O223" s="505">
        <v>0.10299999999999999</v>
      </c>
      <c r="P223" s="505">
        <v>0.11799999999999999</v>
      </c>
      <c r="Q223" s="78">
        <v>0.44</v>
      </c>
      <c r="R223" s="78">
        <v>0.31740000000000002</v>
      </c>
      <c r="S223" s="69">
        <v>0</v>
      </c>
      <c r="T223" s="69">
        <v>0</v>
      </c>
      <c r="U223" s="505">
        <v>0.7</v>
      </c>
      <c r="V223" s="76">
        <v>0</v>
      </c>
      <c r="W223" s="76">
        <v>250</v>
      </c>
      <c r="X223" s="76"/>
    </row>
    <row r="224" spans="1:24" x14ac:dyDescent="0.25">
      <c r="A224" s="75" t="str">
        <f t="shared" si="6"/>
        <v>Pago_Hipoteca+Liquidez PROF Wealth &amp; Premier Executive Pago_Fijo_Puntual Si 14</v>
      </c>
      <c r="B224" s="75" t="str">
        <f t="shared" si="7"/>
        <v>Pago_Hipoteca+Liquidez PROF Wealth &amp; Premier Executive Pago_Fijo_Puntual Si 14 0.103</v>
      </c>
      <c r="C224" s="75" t="s">
        <v>174</v>
      </c>
      <c r="D224" s="75" t="s">
        <v>169</v>
      </c>
      <c r="E224" s="75" t="s">
        <v>175</v>
      </c>
      <c r="F224" s="75"/>
      <c r="G224" s="75"/>
      <c r="H224" s="75"/>
      <c r="I224" s="75" t="s">
        <v>171</v>
      </c>
      <c r="J224" s="503">
        <v>14</v>
      </c>
      <c r="K224" s="503" t="s">
        <v>387</v>
      </c>
      <c r="L224" s="504">
        <v>11.49</v>
      </c>
      <c r="M224" s="504">
        <v>12.15</v>
      </c>
      <c r="N224" s="505">
        <v>0.10299999999999999</v>
      </c>
      <c r="O224" s="505">
        <v>0.1</v>
      </c>
      <c r="P224" s="505">
        <v>0.112</v>
      </c>
      <c r="Q224" s="78">
        <v>0.44</v>
      </c>
      <c r="R224" s="78">
        <v>0.31740000000000002</v>
      </c>
      <c r="S224" s="69">
        <v>0</v>
      </c>
      <c r="T224" s="69">
        <v>0</v>
      </c>
      <c r="U224" s="505">
        <v>0.85</v>
      </c>
      <c r="V224" s="76">
        <v>0</v>
      </c>
      <c r="W224" s="76">
        <v>250</v>
      </c>
      <c r="X224" s="76" t="s">
        <v>147</v>
      </c>
    </row>
    <row r="225" spans="1:24" x14ac:dyDescent="0.25">
      <c r="A225" s="75" t="str">
        <f t="shared" si="6"/>
        <v>Pago_Hipoteca+Liquidez PROF Wealth &amp; Premier Executive Pago_Fijo_Puntual 14</v>
      </c>
      <c r="B225" s="75" t="str">
        <f t="shared" si="7"/>
        <v>Pago_Hipoteca+Liquidez PROF Wealth &amp; Premier Executive Pago_Fijo_Puntual 14 0.106</v>
      </c>
      <c r="C225" s="75" t="s">
        <v>174</v>
      </c>
      <c r="D225" s="75" t="s">
        <v>169</v>
      </c>
      <c r="E225" s="75" t="s">
        <v>175</v>
      </c>
      <c r="F225" s="75"/>
      <c r="G225" s="75"/>
      <c r="H225" s="75"/>
      <c r="I225" s="75" t="s">
        <v>171</v>
      </c>
      <c r="J225" s="503">
        <v>14</v>
      </c>
      <c r="K225" s="503">
        <v>3</v>
      </c>
      <c r="L225" s="504">
        <v>11.69</v>
      </c>
      <c r="M225" s="504">
        <v>12.35</v>
      </c>
      <c r="N225" s="505">
        <v>0.106</v>
      </c>
      <c r="O225" s="505">
        <v>0.10299999999999999</v>
      </c>
      <c r="P225" s="505">
        <v>0.11799999999999999</v>
      </c>
      <c r="Q225" s="78">
        <v>0.44</v>
      </c>
      <c r="R225" s="78">
        <v>0.31740000000000002</v>
      </c>
      <c r="S225" s="69">
        <v>0</v>
      </c>
      <c r="T225" s="69">
        <v>0</v>
      </c>
      <c r="U225" s="505">
        <v>0.7</v>
      </c>
      <c r="V225" s="76">
        <v>0</v>
      </c>
      <c r="W225" s="76">
        <v>250</v>
      </c>
      <c r="X225" s="76"/>
    </row>
    <row r="226" spans="1:24" x14ac:dyDescent="0.25">
      <c r="A226" s="75" t="str">
        <f t="shared" si="6"/>
        <v>Pago_Hipoteca+Liquidez PROF Wealth &amp; Premier Executive Pago_Fijo_Puntual Si 13</v>
      </c>
      <c r="B226" s="75" t="str">
        <f t="shared" si="7"/>
        <v>Pago_Hipoteca+Liquidez PROF Wealth &amp; Premier Executive Pago_Fijo_Puntual Si 13 0.103</v>
      </c>
      <c r="C226" s="75" t="s">
        <v>174</v>
      </c>
      <c r="D226" s="75" t="s">
        <v>169</v>
      </c>
      <c r="E226" s="75" t="s">
        <v>175</v>
      </c>
      <c r="F226" s="75"/>
      <c r="G226" s="75"/>
      <c r="H226" s="75"/>
      <c r="I226" s="75" t="s">
        <v>171</v>
      </c>
      <c r="J226" s="503">
        <v>13</v>
      </c>
      <c r="K226" s="503" t="s">
        <v>387</v>
      </c>
      <c r="L226" s="504">
        <v>11.86</v>
      </c>
      <c r="M226" s="504">
        <v>12.52</v>
      </c>
      <c r="N226" s="505">
        <v>0.10299999999999999</v>
      </c>
      <c r="O226" s="505">
        <v>0.1</v>
      </c>
      <c r="P226" s="505">
        <v>0.112</v>
      </c>
      <c r="Q226" s="78">
        <v>0.44</v>
      </c>
      <c r="R226" s="78">
        <v>0.31740000000000002</v>
      </c>
      <c r="S226" s="69">
        <v>0</v>
      </c>
      <c r="T226" s="69">
        <v>0</v>
      </c>
      <c r="U226" s="505">
        <v>0.85</v>
      </c>
      <c r="V226" s="76">
        <v>0</v>
      </c>
      <c r="W226" s="76">
        <v>0</v>
      </c>
      <c r="X226" s="76" t="s">
        <v>147</v>
      </c>
    </row>
    <row r="227" spans="1:24" x14ac:dyDescent="0.25">
      <c r="A227" s="75" t="str">
        <f t="shared" si="6"/>
        <v>Pago_Hipoteca+Liquidez PROF Wealth &amp; Premier Executive Pago_Fijo_Puntual 13</v>
      </c>
      <c r="B227" s="75" t="str">
        <f t="shared" si="7"/>
        <v>Pago_Hipoteca+Liquidez PROF Wealth &amp; Premier Executive Pago_Fijo_Puntual 13 0.106</v>
      </c>
      <c r="C227" s="75" t="s">
        <v>174</v>
      </c>
      <c r="D227" s="75" t="s">
        <v>169</v>
      </c>
      <c r="E227" s="75" t="s">
        <v>175</v>
      </c>
      <c r="F227" s="75"/>
      <c r="G227" s="75"/>
      <c r="H227" s="75"/>
      <c r="I227" s="75" t="s">
        <v>171</v>
      </c>
      <c r="J227" s="503">
        <v>13</v>
      </c>
      <c r="K227" s="503">
        <v>3</v>
      </c>
      <c r="L227" s="504">
        <v>12.06</v>
      </c>
      <c r="M227" s="504">
        <v>12.72</v>
      </c>
      <c r="N227" s="505">
        <v>0.106</v>
      </c>
      <c r="O227" s="505">
        <v>0.10299999999999999</v>
      </c>
      <c r="P227" s="505">
        <v>0.11799999999999999</v>
      </c>
      <c r="Q227" s="78">
        <v>0.44</v>
      </c>
      <c r="R227" s="78">
        <v>0.31740000000000002</v>
      </c>
      <c r="S227" s="69">
        <v>0</v>
      </c>
      <c r="T227" s="69">
        <v>0</v>
      </c>
      <c r="U227" s="505">
        <v>0.7</v>
      </c>
      <c r="V227" s="76">
        <v>0</v>
      </c>
      <c r="W227" s="76">
        <v>0</v>
      </c>
      <c r="X227" s="76"/>
    </row>
    <row r="228" spans="1:24" x14ac:dyDescent="0.25">
      <c r="A228" s="75" t="str">
        <f t="shared" si="6"/>
        <v>Pago_Hipoteca+Liquidez PROF Wealth &amp; Premier Executive Pago_Fijo_Puntual Si 12</v>
      </c>
      <c r="B228" s="75" t="str">
        <f t="shared" si="7"/>
        <v>Pago_Hipoteca+Liquidez PROF Wealth &amp; Premier Executive Pago_Fijo_Puntual Si 12 0.103</v>
      </c>
      <c r="C228" s="75" t="s">
        <v>174</v>
      </c>
      <c r="D228" s="75" t="s">
        <v>169</v>
      </c>
      <c r="E228" s="75" t="s">
        <v>175</v>
      </c>
      <c r="F228" s="75"/>
      <c r="G228" s="75"/>
      <c r="H228" s="75"/>
      <c r="I228" s="75" t="s">
        <v>171</v>
      </c>
      <c r="J228" s="503">
        <v>12</v>
      </c>
      <c r="K228" s="503" t="s">
        <v>387</v>
      </c>
      <c r="L228" s="504">
        <v>12.31</v>
      </c>
      <c r="M228" s="504">
        <v>12.97</v>
      </c>
      <c r="N228" s="505">
        <v>0.10299999999999999</v>
      </c>
      <c r="O228" s="505">
        <v>0.1</v>
      </c>
      <c r="P228" s="505">
        <v>0.112</v>
      </c>
      <c r="Q228" s="78">
        <v>0.44</v>
      </c>
      <c r="R228" s="78">
        <v>0.31740000000000002</v>
      </c>
      <c r="S228" s="69">
        <v>0</v>
      </c>
      <c r="T228" s="69">
        <v>0</v>
      </c>
      <c r="U228" s="505">
        <v>0.85</v>
      </c>
      <c r="V228" s="76">
        <v>0</v>
      </c>
      <c r="W228" s="76">
        <v>0</v>
      </c>
      <c r="X228" s="76" t="s">
        <v>147</v>
      </c>
    </row>
    <row r="229" spans="1:24" x14ac:dyDescent="0.25">
      <c r="A229" s="75" t="str">
        <f t="shared" si="6"/>
        <v>Pago_Hipoteca+Liquidez PROF Wealth &amp; Premier Executive Pago_Fijo_Puntual 12</v>
      </c>
      <c r="B229" s="75" t="str">
        <f t="shared" si="7"/>
        <v>Pago_Hipoteca+Liquidez PROF Wealth &amp; Premier Executive Pago_Fijo_Puntual 12 0.106</v>
      </c>
      <c r="C229" s="75" t="s">
        <v>174</v>
      </c>
      <c r="D229" s="75" t="s">
        <v>169</v>
      </c>
      <c r="E229" s="75" t="s">
        <v>175</v>
      </c>
      <c r="F229" s="75"/>
      <c r="G229" s="75"/>
      <c r="H229" s="75"/>
      <c r="I229" s="75" t="s">
        <v>171</v>
      </c>
      <c r="J229" s="503">
        <v>12</v>
      </c>
      <c r="K229" s="503">
        <v>3</v>
      </c>
      <c r="L229" s="504">
        <v>12.5</v>
      </c>
      <c r="M229" s="504">
        <v>13.16</v>
      </c>
      <c r="N229" s="505">
        <v>0.106</v>
      </c>
      <c r="O229" s="505">
        <v>0.10299999999999999</v>
      </c>
      <c r="P229" s="505">
        <v>0.11799999999999999</v>
      </c>
      <c r="Q229" s="78">
        <v>0.44</v>
      </c>
      <c r="R229" s="78">
        <v>0.31740000000000002</v>
      </c>
      <c r="S229" s="69">
        <v>0</v>
      </c>
      <c r="T229" s="69">
        <v>0</v>
      </c>
      <c r="U229" s="505">
        <v>0.7</v>
      </c>
      <c r="V229" s="76">
        <v>0</v>
      </c>
      <c r="W229" s="76">
        <v>0</v>
      </c>
      <c r="X229" s="76"/>
    </row>
    <row r="230" spans="1:24" x14ac:dyDescent="0.25">
      <c r="A230" s="75" t="str">
        <f t="shared" si="6"/>
        <v>Pago_Hipoteca+Liquidez PROF Wealth &amp; Premier Executive Pago_Fijo_Puntual Si 11</v>
      </c>
      <c r="B230" s="75" t="str">
        <f t="shared" si="7"/>
        <v>Pago_Hipoteca+Liquidez PROF Wealth &amp; Premier Executive Pago_Fijo_Puntual Si 11 0.103</v>
      </c>
      <c r="C230" s="75" t="s">
        <v>174</v>
      </c>
      <c r="D230" s="75" t="s">
        <v>169</v>
      </c>
      <c r="E230" s="75" t="s">
        <v>175</v>
      </c>
      <c r="F230" s="75"/>
      <c r="G230" s="75"/>
      <c r="H230" s="75"/>
      <c r="I230" s="75" t="s">
        <v>171</v>
      </c>
      <c r="J230" s="503">
        <v>11</v>
      </c>
      <c r="K230" s="503" t="s">
        <v>387</v>
      </c>
      <c r="L230" s="504">
        <v>12.86</v>
      </c>
      <c r="M230" s="504">
        <v>13.52</v>
      </c>
      <c r="N230" s="505">
        <v>0.10299999999999999</v>
      </c>
      <c r="O230" s="505">
        <v>0.1</v>
      </c>
      <c r="P230" s="505">
        <v>0.112</v>
      </c>
      <c r="Q230" s="78">
        <v>0.44</v>
      </c>
      <c r="R230" s="78">
        <v>0.31740000000000002</v>
      </c>
      <c r="S230" s="69">
        <v>0</v>
      </c>
      <c r="T230" s="69">
        <v>0</v>
      </c>
      <c r="U230" s="505">
        <v>0.85</v>
      </c>
      <c r="V230" s="76">
        <v>0</v>
      </c>
      <c r="W230" s="76">
        <v>0</v>
      </c>
      <c r="X230" s="76" t="s">
        <v>147</v>
      </c>
    </row>
    <row r="231" spans="1:24" x14ac:dyDescent="0.25">
      <c r="A231" s="75" t="str">
        <f t="shared" si="6"/>
        <v>Pago_Hipoteca+Liquidez PROF Wealth &amp; Premier Executive Pago_Fijo_Puntual 11</v>
      </c>
      <c r="B231" s="75" t="str">
        <f t="shared" si="7"/>
        <v>Pago_Hipoteca+Liquidez PROF Wealth &amp; Premier Executive Pago_Fijo_Puntual 11 0.106</v>
      </c>
      <c r="C231" s="75" t="s">
        <v>174</v>
      </c>
      <c r="D231" s="75" t="s">
        <v>169</v>
      </c>
      <c r="E231" s="75" t="s">
        <v>175</v>
      </c>
      <c r="F231" s="75"/>
      <c r="G231" s="75"/>
      <c r="H231" s="75"/>
      <c r="I231" s="75" t="s">
        <v>171</v>
      </c>
      <c r="J231" s="503">
        <v>11</v>
      </c>
      <c r="K231" s="503">
        <v>3</v>
      </c>
      <c r="L231" s="504">
        <v>13.04</v>
      </c>
      <c r="M231" s="504">
        <v>13.7</v>
      </c>
      <c r="N231" s="505">
        <v>0.106</v>
      </c>
      <c r="O231" s="505">
        <v>0.10299999999999999</v>
      </c>
      <c r="P231" s="505">
        <v>0.11799999999999999</v>
      </c>
      <c r="Q231" s="78">
        <v>0.44</v>
      </c>
      <c r="R231" s="78">
        <v>0.31740000000000002</v>
      </c>
      <c r="S231" s="69">
        <v>0</v>
      </c>
      <c r="T231" s="69">
        <v>0</v>
      </c>
      <c r="U231" s="505">
        <v>0.7</v>
      </c>
      <c r="V231" s="76">
        <v>0</v>
      </c>
      <c r="W231" s="76">
        <v>0</v>
      </c>
      <c r="X231" s="76"/>
    </row>
    <row r="232" spans="1:24" x14ac:dyDescent="0.25">
      <c r="A232" s="75" t="str">
        <f t="shared" si="6"/>
        <v>Pago_Hipoteca+Liquidez PROF Wealth &amp; Premier Executive Pago_Fijo_Puntual Si 10</v>
      </c>
      <c r="B232" s="75" t="str">
        <f t="shared" si="7"/>
        <v>Pago_Hipoteca+Liquidez PROF Wealth &amp; Premier Executive Pago_Fijo_Puntual Si 10 0.103</v>
      </c>
      <c r="C232" s="75" t="s">
        <v>174</v>
      </c>
      <c r="D232" s="75" t="s">
        <v>169</v>
      </c>
      <c r="E232" s="75" t="s">
        <v>175</v>
      </c>
      <c r="F232" s="75"/>
      <c r="G232" s="75"/>
      <c r="H232" s="75"/>
      <c r="I232" s="75" t="s">
        <v>171</v>
      </c>
      <c r="J232" s="503">
        <v>10</v>
      </c>
      <c r="K232" s="503" t="s">
        <v>387</v>
      </c>
      <c r="L232" s="504">
        <v>13.54</v>
      </c>
      <c r="M232" s="504">
        <v>14.2</v>
      </c>
      <c r="N232" s="505">
        <v>0.10299999999999999</v>
      </c>
      <c r="O232" s="505">
        <v>0.1</v>
      </c>
      <c r="P232" s="505">
        <v>0.112</v>
      </c>
      <c r="Q232" s="78">
        <v>0.44</v>
      </c>
      <c r="R232" s="78">
        <v>0.31740000000000002</v>
      </c>
      <c r="S232" s="69">
        <v>0</v>
      </c>
      <c r="T232" s="69">
        <v>0</v>
      </c>
      <c r="U232" s="505">
        <v>0.85</v>
      </c>
      <c r="V232" s="76">
        <v>0</v>
      </c>
      <c r="W232" s="76">
        <v>0</v>
      </c>
      <c r="X232" s="76" t="s">
        <v>147</v>
      </c>
    </row>
    <row r="233" spans="1:24" x14ac:dyDescent="0.25">
      <c r="A233" s="75" t="str">
        <f t="shared" si="6"/>
        <v>Pago_Hipoteca+Liquidez PROF Wealth &amp; Premier Executive Pago_Fijo_Puntual 10</v>
      </c>
      <c r="B233" s="75" t="str">
        <f t="shared" si="7"/>
        <v>Pago_Hipoteca+Liquidez PROF Wealth &amp; Premier Executive Pago_Fijo_Puntual 10 0.106</v>
      </c>
      <c r="C233" s="75" t="s">
        <v>174</v>
      </c>
      <c r="D233" s="75" t="s">
        <v>169</v>
      </c>
      <c r="E233" s="75" t="s">
        <v>175</v>
      </c>
      <c r="F233" s="75"/>
      <c r="G233" s="75"/>
      <c r="H233" s="75"/>
      <c r="I233" s="75" t="s">
        <v>171</v>
      </c>
      <c r="J233" s="503">
        <v>10</v>
      </c>
      <c r="K233" s="503">
        <v>3</v>
      </c>
      <c r="L233" s="504">
        <v>13.7</v>
      </c>
      <c r="M233" s="504">
        <v>14.36</v>
      </c>
      <c r="N233" s="505">
        <v>0.106</v>
      </c>
      <c r="O233" s="505">
        <v>0.10299999999999999</v>
      </c>
      <c r="P233" s="505">
        <v>0.11799999999999999</v>
      </c>
      <c r="Q233" s="78">
        <v>0.44</v>
      </c>
      <c r="R233" s="78">
        <v>0.31740000000000002</v>
      </c>
      <c r="S233" s="69">
        <v>0</v>
      </c>
      <c r="T233" s="69">
        <v>0</v>
      </c>
      <c r="U233" s="505">
        <v>0.7</v>
      </c>
      <c r="V233" s="76">
        <v>0</v>
      </c>
      <c r="W233" s="76">
        <v>0</v>
      </c>
      <c r="X233" s="76"/>
    </row>
    <row r="234" spans="1:24" x14ac:dyDescent="0.25">
      <c r="A234" s="75" t="str">
        <f t="shared" si="6"/>
        <v>Pago_Hipoteca+Liquidez PROF Wealth &amp; Premier Executive Pago_Fijo_Puntual Si 9</v>
      </c>
      <c r="B234" s="75" t="str">
        <f t="shared" si="7"/>
        <v>Pago_Hipoteca+Liquidez PROF Wealth &amp; Premier Executive Pago_Fijo_Puntual Si 9 0.103</v>
      </c>
      <c r="C234" s="75" t="s">
        <v>174</v>
      </c>
      <c r="D234" s="75" t="s">
        <v>169</v>
      </c>
      <c r="E234" s="75" t="s">
        <v>175</v>
      </c>
      <c r="F234" s="75"/>
      <c r="G234" s="75"/>
      <c r="H234" s="75"/>
      <c r="I234" s="75" t="s">
        <v>171</v>
      </c>
      <c r="J234" s="503">
        <v>9</v>
      </c>
      <c r="K234" s="503" t="s">
        <v>387</v>
      </c>
      <c r="L234" s="504">
        <v>14.37</v>
      </c>
      <c r="M234" s="504">
        <v>15.03</v>
      </c>
      <c r="N234" s="505">
        <v>0.10299999999999999</v>
      </c>
      <c r="O234" s="505">
        <v>0.1</v>
      </c>
      <c r="P234" s="505">
        <v>0.112</v>
      </c>
      <c r="Q234" s="78">
        <v>0.44</v>
      </c>
      <c r="R234" s="78">
        <v>0.31740000000000002</v>
      </c>
      <c r="S234" s="69">
        <v>0</v>
      </c>
      <c r="T234" s="69">
        <v>0</v>
      </c>
      <c r="U234" s="505">
        <v>0.85</v>
      </c>
      <c r="V234" s="76">
        <v>0</v>
      </c>
      <c r="W234" s="76">
        <v>0</v>
      </c>
      <c r="X234" s="76" t="s">
        <v>147</v>
      </c>
    </row>
    <row r="235" spans="1:24" x14ac:dyDescent="0.25">
      <c r="A235" s="75" t="str">
        <f t="shared" si="6"/>
        <v>Pago_Hipoteca+Liquidez PROF Wealth &amp; Premier Executive Pago_Fijo_Puntual 9</v>
      </c>
      <c r="B235" s="75" t="str">
        <f t="shared" si="7"/>
        <v>Pago_Hipoteca+Liquidez PROF Wealth &amp; Premier Executive Pago_Fijo_Puntual 9 0.106</v>
      </c>
      <c r="C235" s="75" t="s">
        <v>174</v>
      </c>
      <c r="D235" s="75" t="s">
        <v>169</v>
      </c>
      <c r="E235" s="75" t="s">
        <v>175</v>
      </c>
      <c r="F235" s="75"/>
      <c r="G235" s="75"/>
      <c r="H235" s="75"/>
      <c r="I235" s="75" t="s">
        <v>171</v>
      </c>
      <c r="J235" s="503">
        <v>9</v>
      </c>
      <c r="K235" s="503">
        <v>3</v>
      </c>
      <c r="L235" s="504">
        <v>14.53</v>
      </c>
      <c r="M235" s="504">
        <v>15.19</v>
      </c>
      <c r="N235" s="505">
        <v>0.106</v>
      </c>
      <c r="O235" s="505">
        <v>0.10299999999999999</v>
      </c>
      <c r="P235" s="505">
        <v>0.11799999999999999</v>
      </c>
      <c r="Q235" s="78">
        <v>0.44</v>
      </c>
      <c r="R235" s="78">
        <v>0.31740000000000002</v>
      </c>
      <c r="S235" s="69">
        <v>0</v>
      </c>
      <c r="T235" s="69">
        <v>0</v>
      </c>
      <c r="U235" s="505">
        <v>0.7</v>
      </c>
      <c r="V235" s="76">
        <v>0</v>
      </c>
      <c r="W235" s="76">
        <v>0</v>
      </c>
      <c r="X235" s="76"/>
    </row>
    <row r="236" spans="1:24" x14ac:dyDescent="0.25">
      <c r="A236" s="75" t="str">
        <f t="shared" si="6"/>
        <v>Pago_Hipoteca+Liquidez PROF Wealth &amp; Premier Executive Pago_Fijo_Puntual Si 8</v>
      </c>
      <c r="B236" s="75" t="str">
        <f t="shared" si="7"/>
        <v>Pago_Hipoteca+Liquidez PROF Wealth &amp; Premier Executive Pago_Fijo_Puntual Si 8 0.103</v>
      </c>
      <c r="C236" s="75" t="s">
        <v>174</v>
      </c>
      <c r="D236" s="75" t="s">
        <v>169</v>
      </c>
      <c r="E236" s="75" t="s">
        <v>175</v>
      </c>
      <c r="F236" s="75"/>
      <c r="G236" s="75"/>
      <c r="H236" s="75"/>
      <c r="I236" s="75" t="s">
        <v>171</v>
      </c>
      <c r="J236" s="503">
        <v>8</v>
      </c>
      <c r="K236" s="503" t="s">
        <v>387</v>
      </c>
      <c r="L236" s="504">
        <v>15.44</v>
      </c>
      <c r="M236" s="504">
        <v>16.100000000000001</v>
      </c>
      <c r="N236" s="505">
        <v>0.10299999999999999</v>
      </c>
      <c r="O236" s="505">
        <v>0.1</v>
      </c>
      <c r="P236" s="505">
        <v>0.112</v>
      </c>
      <c r="Q236" s="78">
        <v>0.44</v>
      </c>
      <c r="R236" s="78">
        <v>0.31740000000000002</v>
      </c>
      <c r="S236" s="69">
        <v>0</v>
      </c>
      <c r="T236" s="69">
        <v>0</v>
      </c>
      <c r="U236" s="505">
        <v>0.85</v>
      </c>
      <c r="V236" s="76">
        <v>0</v>
      </c>
      <c r="W236" s="76">
        <v>0</v>
      </c>
      <c r="X236" s="76" t="s">
        <v>147</v>
      </c>
    </row>
    <row r="237" spans="1:24" x14ac:dyDescent="0.25">
      <c r="A237" s="75" t="str">
        <f t="shared" si="6"/>
        <v>Pago_Hipoteca+Liquidez PROF Wealth &amp; Premier Executive Pago_Fijo_Puntual 8</v>
      </c>
      <c r="B237" s="75" t="str">
        <f t="shared" si="7"/>
        <v>Pago_Hipoteca+Liquidez PROF Wealth &amp; Premier Executive Pago_Fijo_Puntual 8 0.106</v>
      </c>
      <c r="C237" s="75" t="s">
        <v>174</v>
      </c>
      <c r="D237" s="75" t="s">
        <v>169</v>
      </c>
      <c r="E237" s="75" t="s">
        <v>175</v>
      </c>
      <c r="F237" s="75"/>
      <c r="G237" s="75"/>
      <c r="H237" s="75"/>
      <c r="I237" s="75" t="s">
        <v>171</v>
      </c>
      <c r="J237" s="503">
        <v>8</v>
      </c>
      <c r="K237" s="503">
        <v>3</v>
      </c>
      <c r="L237" s="504">
        <v>15.6</v>
      </c>
      <c r="M237" s="504">
        <v>16.260000000000002</v>
      </c>
      <c r="N237" s="505">
        <v>0.106</v>
      </c>
      <c r="O237" s="505">
        <v>0.10299999999999999</v>
      </c>
      <c r="P237" s="505">
        <v>0.11799999999999999</v>
      </c>
      <c r="Q237" s="78">
        <v>0.44</v>
      </c>
      <c r="R237" s="78">
        <v>0.31740000000000002</v>
      </c>
      <c r="S237" s="69">
        <v>0</v>
      </c>
      <c r="T237" s="69">
        <v>0</v>
      </c>
      <c r="U237" s="505">
        <v>0.7</v>
      </c>
      <c r="V237" s="76">
        <v>0</v>
      </c>
      <c r="W237" s="76">
        <v>0</v>
      </c>
      <c r="X237" s="76"/>
    </row>
    <row r="238" spans="1:24" x14ac:dyDescent="0.25">
      <c r="A238" s="75" t="str">
        <f t="shared" si="6"/>
        <v>Pago_Hipoteca+Liquidez PROF Wealth &amp; Premier Executive Pago_Fijo_Puntual Si 7</v>
      </c>
      <c r="B238" s="75" t="str">
        <f t="shared" si="7"/>
        <v>Pago_Hipoteca+Liquidez PROF Wealth &amp; Premier Executive Pago_Fijo_Puntual Si 7 0.103</v>
      </c>
      <c r="C238" s="75" t="s">
        <v>174</v>
      </c>
      <c r="D238" s="75" t="s">
        <v>169</v>
      </c>
      <c r="E238" s="75" t="s">
        <v>175</v>
      </c>
      <c r="F238" s="75"/>
      <c r="G238" s="75"/>
      <c r="H238" s="75"/>
      <c r="I238" s="75" t="s">
        <v>171</v>
      </c>
      <c r="J238" s="503">
        <v>7</v>
      </c>
      <c r="K238" s="503" t="s">
        <v>387</v>
      </c>
      <c r="L238" s="504">
        <v>16.84</v>
      </c>
      <c r="M238" s="504">
        <v>17.5</v>
      </c>
      <c r="N238" s="505">
        <v>0.10299999999999999</v>
      </c>
      <c r="O238" s="505">
        <v>0.1</v>
      </c>
      <c r="P238" s="505">
        <v>0.112</v>
      </c>
      <c r="Q238" s="78">
        <v>0.44</v>
      </c>
      <c r="R238" s="78">
        <v>0.31740000000000002</v>
      </c>
      <c r="S238" s="69">
        <v>0</v>
      </c>
      <c r="T238" s="69">
        <v>0</v>
      </c>
      <c r="U238" s="505">
        <v>0.85</v>
      </c>
      <c r="V238" s="76">
        <v>0</v>
      </c>
      <c r="W238" s="76">
        <v>0</v>
      </c>
      <c r="X238" s="76" t="s">
        <v>147</v>
      </c>
    </row>
    <row r="239" spans="1:24" x14ac:dyDescent="0.25">
      <c r="A239" s="75" t="str">
        <f t="shared" si="6"/>
        <v>Pago_Hipoteca+Liquidez PROF Wealth &amp; Premier Executive Pago_Fijo_Puntual 7</v>
      </c>
      <c r="B239" s="75" t="str">
        <f t="shared" si="7"/>
        <v>Pago_Hipoteca+Liquidez PROF Wealth &amp; Premier Executive Pago_Fijo_Puntual 7 0.106</v>
      </c>
      <c r="C239" s="75" t="s">
        <v>174</v>
      </c>
      <c r="D239" s="75" t="s">
        <v>169</v>
      </c>
      <c r="E239" s="75" t="s">
        <v>175</v>
      </c>
      <c r="F239" s="75"/>
      <c r="G239" s="75"/>
      <c r="H239" s="75"/>
      <c r="I239" s="75" t="s">
        <v>171</v>
      </c>
      <c r="J239" s="503">
        <v>7</v>
      </c>
      <c r="K239" s="503">
        <v>3</v>
      </c>
      <c r="L239" s="504">
        <v>17</v>
      </c>
      <c r="M239" s="504">
        <v>17.66</v>
      </c>
      <c r="N239" s="505">
        <v>0.106</v>
      </c>
      <c r="O239" s="505">
        <v>0.10299999999999999</v>
      </c>
      <c r="P239" s="505">
        <v>0.11799999999999999</v>
      </c>
      <c r="Q239" s="78">
        <v>0.44</v>
      </c>
      <c r="R239" s="78">
        <v>0.31740000000000002</v>
      </c>
      <c r="S239" s="69">
        <v>0</v>
      </c>
      <c r="T239" s="69">
        <v>0</v>
      </c>
      <c r="U239" s="505">
        <v>0.7</v>
      </c>
      <c r="V239" s="76">
        <v>0</v>
      </c>
      <c r="W239" s="76">
        <v>0</v>
      </c>
      <c r="X239" s="76"/>
    </row>
    <row r="240" spans="1:24" x14ac:dyDescent="0.25">
      <c r="A240" s="75" t="str">
        <f t="shared" si="6"/>
        <v>Pago_Hipoteca+Liquidez PROF Wealth &amp; Premier Executive Pago_Fijo_Puntual Si 6</v>
      </c>
      <c r="B240" s="75" t="str">
        <f t="shared" si="7"/>
        <v>Pago_Hipoteca+Liquidez PROF Wealth &amp; Premier Executive Pago_Fijo_Puntual Si 6 0.103</v>
      </c>
      <c r="C240" s="75" t="s">
        <v>174</v>
      </c>
      <c r="D240" s="75" t="s">
        <v>169</v>
      </c>
      <c r="E240" s="75" t="s">
        <v>175</v>
      </c>
      <c r="F240" s="75"/>
      <c r="G240" s="75"/>
      <c r="H240" s="75"/>
      <c r="I240" s="75" t="s">
        <v>171</v>
      </c>
      <c r="J240" s="503">
        <v>6</v>
      </c>
      <c r="K240" s="503" t="s">
        <v>387</v>
      </c>
      <c r="L240" s="504">
        <v>18.739999999999998</v>
      </c>
      <c r="M240" s="504">
        <v>19.399999999999999</v>
      </c>
      <c r="N240" s="505">
        <v>0.10299999999999999</v>
      </c>
      <c r="O240" s="505">
        <v>0.1</v>
      </c>
      <c r="P240" s="505">
        <v>0.112</v>
      </c>
      <c r="Q240" s="78">
        <v>0.44</v>
      </c>
      <c r="R240" s="78">
        <v>0.31740000000000002</v>
      </c>
      <c r="S240" s="69">
        <v>0</v>
      </c>
      <c r="T240" s="69">
        <v>0</v>
      </c>
      <c r="U240" s="505">
        <v>0.85</v>
      </c>
      <c r="V240" s="76">
        <v>0</v>
      </c>
      <c r="W240" s="76">
        <v>0</v>
      </c>
      <c r="X240" s="76" t="s">
        <v>147</v>
      </c>
    </row>
    <row r="241" spans="1:24" x14ac:dyDescent="0.25">
      <c r="A241" s="75" t="str">
        <f t="shared" si="6"/>
        <v>Pago_Hipoteca+Liquidez PROF Wealth &amp; Premier Executive Pago_Fijo_Puntual 6</v>
      </c>
      <c r="B241" s="75" t="str">
        <f t="shared" si="7"/>
        <v>Pago_Hipoteca+Liquidez PROF Wealth &amp; Premier Executive Pago_Fijo_Puntual 6 0.106</v>
      </c>
      <c r="C241" s="75" t="s">
        <v>174</v>
      </c>
      <c r="D241" s="75" t="s">
        <v>169</v>
      </c>
      <c r="E241" s="75" t="s">
        <v>175</v>
      </c>
      <c r="F241" s="75"/>
      <c r="G241" s="75"/>
      <c r="H241" s="75"/>
      <c r="I241" s="75" t="s">
        <v>171</v>
      </c>
      <c r="J241" s="503">
        <v>6</v>
      </c>
      <c r="K241" s="503">
        <v>3</v>
      </c>
      <c r="L241" s="504">
        <v>18.89</v>
      </c>
      <c r="M241" s="504">
        <v>19.55</v>
      </c>
      <c r="N241" s="505">
        <v>0.106</v>
      </c>
      <c r="O241" s="505">
        <v>0.10299999999999999</v>
      </c>
      <c r="P241" s="505">
        <v>0.11799999999999999</v>
      </c>
      <c r="Q241" s="78">
        <v>0.44</v>
      </c>
      <c r="R241" s="78">
        <v>0.31740000000000002</v>
      </c>
      <c r="S241" s="69">
        <v>0</v>
      </c>
      <c r="T241" s="69">
        <v>0</v>
      </c>
      <c r="U241" s="505">
        <v>0.7</v>
      </c>
      <c r="V241" s="76">
        <v>0</v>
      </c>
      <c r="W241" s="76">
        <v>0</v>
      </c>
      <c r="X241" s="76"/>
    </row>
    <row r="242" spans="1:24" x14ac:dyDescent="0.25">
      <c r="A242" s="75" t="str">
        <f t="shared" si="6"/>
        <v>Pago_Hipoteca+Liquidez PROF Wealth &amp; Premier Executive Pago_Fijo_Puntual Si 5</v>
      </c>
      <c r="B242" s="75" t="str">
        <f t="shared" si="7"/>
        <v>Pago_Hipoteca+Liquidez PROF Wealth &amp; Premier Executive Pago_Fijo_Puntual Si 5 0.103</v>
      </c>
      <c r="C242" s="75" t="s">
        <v>174</v>
      </c>
      <c r="D242" s="75" t="s">
        <v>169</v>
      </c>
      <c r="E242" s="75" t="s">
        <v>175</v>
      </c>
      <c r="F242" s="75"/>
      <c r="G242" s="75"/>
      <c r="H242" s="75"/>
      <c r="I242" s="75" t="s">
        <v>171</v>
      </c>
      <c r="J242" s="503">
        <v>5</v>
      </c>
      <c r="K242" s="503" t="s">
        <v>387</v>
      </c>
      <c r="L242" s="504">
        <v>21.44</v>
      </c>
      <c r="M242" s="504">
        <v>22.1</v>
      </c>
      <c r="N242" s="505">
        <v>0.10299999999999999</v>
      </c>
      <c r="O242" s="505">
        <v>0.1</v>
      </c>
      <c r="P242" s="505">
        <v>0.112</v>
      </c>
      <c r="Q242" s="78">
        <v>0.44</v>
      </c>
      <c r="R242" s="78">
        <v>0.31740000000000002</v>
      </c>
      <c r="S242" s="69">
        <v>0</v>
      </c>
      <c r="T242" s="69">
        <v>0</v>
      </c>
      <c r="U242" s="505">
        <v>0.85</v>
      </c>
      <c r="V242" s="76">
        <v>0</v>
      </c>
      <c r="W242" s="76">
        <v>0</v>
      </c>
      <c r="X242" s="76" t="s">
        <v>147</v>
      </c>
    </row>
    <row r="243" spans="1:24" x14ac:dyDescent="0.25">
      <c r="A243" s="75" t="str">
        <f t="shared" si="6"/>
        <v>Pago_Hipoteca+Liquidez PROF Wealth &amp; Premier Executive Pago_Fijo_Puntual 5</v>
      </c>
      <c r="B243" s="75" t="str">
        <f t="shared" si="7"/>
        <v>Pago_Hipoteca+Liquidez PROF Wealth &amp; Premier Executive Pago_Fijo_Puntual 5 0.106</v>
      </c>
      <c r="C243" s="75" t="s">
        <v>174</v>
      </c>
      <c r="D243" s="75" t="s">
        <v>169</v>
      </c>
      <c r="E243" s="75" t="s">
        <v>175</v>
      </c>
      <c r="F243" s="75"/>
      <c r="G243" s="75"/>
      <c r="H243" s="75"/>
      <c r="I243" s="75" t="s">
        <v>171</v>
      </c>
      <c r="J243" s="503">
        <v>5</v>
      </c>
      <c r="K243" s="503">
        <v>3</v>
      </c>
      <c r="L243" s="504">
        <v>21.58</v>
      </c>
      <c r="M243" s="504">
        <v>22.24</v>
      </c>
      <c r="N243" s="505">
        <v>0.106</v>
      </c>
      <c r="O243" s="505">
        <v>0.10299999999999999</v>
      </c>
      <c r="P243" s="505">
        <v>0.11799999999999999</v>
      </c>
      <c r="Q243" s="78">
        <v>0.44</v>
      </c>
      <c r="R243" s="78">
        <v>0.31740000000000002</v>
      </c>
      <c r="S243" s="69">
        <v>0</v>
      </c>
      <c r="T243" s="69">
        <v>0</v>
      </c>
      <c r="U243" s="505">
        <v>0.7</v>
      </c>
      <c r="V243" s="76">
        <v>0</v>
      </c>
      <c r="W243" s="76">
        <v>0</v>
      </c>
      <c r="X243" s="76"/>
    </row>
    <row r="244" spans="1:24" x14ac:dyDescent="0.25">
      <c r="A244" s="75" t="str">
        <f t="shared" si="6"/>
        <v>Adquisicion PF Wealth &amp; Premier Executive Mercado_Abierto Pago_Fijo_Puntual 25</v>
      </c>
      <c r="B244" s="75" t="str">
        <f t="shared" si="7"/>
        <v>Adquisicion PF Wealth &amp; Premier Executive Mercado_Abierto Pago_Fijo_Puntual 25 0.0965</v>
      </c>
      <c r="C244" s="75" t="s">
        <v>114</v>
      </c>
      <c r="D244" s="75" t="s">
        <v>132</v>
      </c>
      <c r="E244" s="75" t="s">
        <v>175</v>
      </c>
      <c r="F244" s="75"/>
      <c r="G244" s="75" t="s">
        <v>396</v>
      </c>
      <c r="H244" s="75"/>
      <c r="I244" s="75" t="s">
        <v>171</v>
      </c>
      <c r="J244" s="501">
        <v>25</v>
      </c>
      <c r="K244" s="501" t="s">
        <v>385</v>
      </c>
      <c r="L244" s="502">
        <v>9.11</v>
      </c>
      <c r="M244" s="502">
        <v>9.77</v>
      </c>
      <c r="N244" s="500">
        <v>9.6500000000000002E-2</v>
      </c>
      <c r="O244" s="500">
        <v>9.1999999999999998E-2</v>
      </c>
      <c r="P244" s="500">
        <v>0.10249999999999999</v>
      </c>
      <c r="Q244" s="78">
        <v>0.44</v>
      </c>
      <c r="R244" s="78">
        <v>0.31740000000000002</v>
      </c>
      <c r="S244" s="69">
        <v>0</v>
      </c>
      <c r="T244" s="69">
        <v>0</v>
      </c>
      <c r="U244" s="500">
        <v>0.7</v>
      </c>
      <c r="V244" s="76">
        <v>0</v>
      </c>
      <c r="W244" s="76">
        <v>0</v>
      </c>
      <c r="X244" s="76"/>
    </row>
    <row r="245" spans="1:24" x14ac:dyDescent="0.25">
      <c r="A245" s="75" t="str">
        <f t="shared" si="6"/>
        <v>Adquisicion PF Wealth &amp; Premier Executive Mercado_Abierto Pago_Fijo_Puntual 25</v>
      </c>
      <c r="B245" s="75" t="str">
        <f t="shared" si="7"/>
        <v>Adquisicion PF Wealth &amp; Premier Executive Mercado_Abierto Pago_Fijo_Puntual 25 0.103</v>
      </c>
      <c r="C245" s="75" t="s">
        <v>114</v>
      </c>
      <c r="D245" s="75" t="s">
        <v>132</v>
      </c>
      <c r="E245" s="75" t="s">
        <v>175</v>
      </c>
      <c r="F245" s="75"/>
      <c r="G245" s="75" t="s">
        <v>396</v>
      </c>
      <c r="H245" s="75"/>
      <c r="I245" s="75" t="s">
        <v>171</v>
      </c>
      <c r="J245" s="501">
        <v>25</v>
      </c>
      <c r="K245" s="501" t="s">
        <v>386</v>
      </c>
      <c r="L245" s="502">
        <v>9.65</v>
      </c>
      <c r="M245" s="502">
        <v>10.31</v>
      </c>
      <c r="N245" s="500">
        <v>0.10299999999999999</v>
      </c>
      <c r="O245" s="500">
        <v>0.1</v>
      </c>
      <c r="P245" s="500">
        <v>0.112</v>
      </c>
      <c r="Q245" s="78">
        <v>0.44</v>
      </c>
      <c r="R245" s="78">
        <v>0.31740000000000002</v>
      </c>
      <c r="S245" s="69">
        <v>0</v>
      </c>
      <c r="T245" s="69">
        <v>0</v>
      </c>
      <c r="U245" s="500">
        <v>0.7</v>
      </c>
      <c r="V245" s="76">
        <v>0</v>
      </c>
      <c r="W245" s="76">
        <v>0</v>
      </c>
      <c r="X245" s="76"/>
    </row>
    <row r="246" spans="1:24" x14ac:dyDescent="0.25">
      <c r="A246" s="75" t="str">
        <f t="shared" si="6"/>
        <v>Adquisicion PF Wealth &amp; Premier Executive Mercado_Abierto Pago_Fijo_Puntual 20</v>
      </c>
      <c r="B246" s="75" t="str">
        <f t="shared" si="7"/>
        <v>Adquisicion PF Wealth &amp; Premier Executive Mercado_Abierto Pago_Fijo_Puntual 20 0.0965</v>
      </c>
      <c r="C246" s="75" t="s">
        <v>114</v>
      </c>
      <c r="D246" s="75" t="s">
        <v>132</v>
      </c>
      <c r="E246" s="75" t="s">
        <v>175</v>
      </c>
      <c r="F246" s="75"/>
      <c r="G246" s="75" t="s">
        <v>396</v>
      </c>
      <c r="H246" s="75"/>
      <c r="I246" s="75" t="s">
        <v>171</v>
      </c>
      <c r="J246" s="501">
        <v>20</v>
      </c>
      <c r="K246" s="501" t="s">
        <v>385</v>
      </c>
      <c r="L246" s="502">
        <v>9.66</v>
      </c>
      <c r="M246" s="502">
        <v>10.32</v>
      </c>
      <c r="N246" s="500">
        <v>9.6500000000000002E-2</v>
      </c>
      <c r="O246" s="500">
        <v>9.1999999999999998E-2</v>
      </c>
      <c r="P246" s="500">
        <v>0.10249999999999999</v>
      </c>
      <c r="Q246" s="78">
        <v>0.44</v>
      </c>
      <c r="R246" s="78">
        <v>0.31740000000000002</v>
      </c>
      <c r="S246" s="69">
        <v>0</v>
      </c>
      <c r="T246" s="69">
        <v>0</v>
      </c>
      <c r="U246" s="500">
        <v>0.7</v>
      </c>
      <c r="V246" s="76">
        <v>0</v>
      </c>
      <c r="W246" s="76">
        <v>0</v>
      </c>
      <c r="X246" s="76"/>
    </row>
    <row r="247" spans="1:24" x14ac:dyDescent="0.25">
      <c r="A247" s="75" t="str">
        <f t="shared" si="6"/>
        <v>Adquisicion PF Wealth &amp; Premier Executive Mercado_Abierto Pago_Fijo_Puntual 20</v>
      </c>
      <c r="B247" s="75" t="str">
        <f t="shared" si="7"/>
        <v>Adquisicion PF Wealth &amp; Premier Executive Mercado_Abierto Pago_Fijo_Puntual 20 0.103</v>
      </c>
      <c r="C247" s="75" t="s">
        <v>114</v>
      </c>
      <c r="D247" s="75" t="s">
        <v>132</v>
      </c>
      <c r="E247" s="75" t="s">
        <v>175</v>
      </c>
      <c r="F247" s="75"/>
      <c r="G247" s="75" t="s">
        <v>396</v>
      </c>
      <c r="H247" s="75"/>
      <c r="I247" s="75" t="s">
        <v>171</v>
      </c>
      <c r="J247" s="501">
        <v>20</v>
      </c>
      <c r="K247" s="501" t="s">
        <v>386</v>
      </c>
      <c r="L247" s="502">
        <v>10.16</v>
      </c>
      <c r="M247" s="502">
        <v>10.82</v>
      </c>
      <c r="N247" s="500">
        <v>0.10299999999999999</v>
      </c>
      <c r="O247" s="500">
        <v>0.1</v>
      </c>
      <c r="P247" s="500">
        <v>0.112</v>
      </c>
      <c r="Q247" s="78">
        <v>0.44</v>
      </c>
      <c r="R247" s="78">
        <v>0.31740000000000002</v>
      </c>
      <c r="S247" s="69">
        <v>0</v>
      </c>
      <c r="T247" s="69">
        <v>0</v>
      </c>
      <c r="U247" s="500">
        <v>0.7</v>
      </c>
      <c r="V247" s="76">
        <v>0</v>
      </c>
      <c r="W247" s="76">
        <v>0</v>
      </c>
      <c r="X247" s="76"/>
    </row>
    <row r="248" spans="1:24" x14ac:dyDescent="0.25">
      <c r="A248" s="75" t="str">
        <f t="shared" si="6"/>
        <v>Adquisicion PF Wealth &amp; Premier Executive Mercado_Abierto Pago_Fijo_Puntual 15</v>
      </c>
      <c r="B248" s="75" t="str">
        <f t="shared" si="7"/>
        <v>Adquisicion PF Wealth &amp; Premier Executive Mercado_Abierto Pago_Fijo_Puntual 15 0.0965</v>
      </c>
      <c r="C248" s="75" t="s">
        <v>114</v>
      </c>
      <c r="D248" s="75" t="s">
        <v>132</v>
      </c>
      <c r="E248" s="75" t="s">
        <v>175</v>
      </c>
      <c r="F248" s="75"/>
      <c r="G248" s="75" t="s">
        <v>396</v>
      </c>
      <c r="H248" s="75"/>
      <c r="I248" s="75" t="s">
        <v>171</v>
      </c>
      <c r="J248" s="501">
        <v>15</v>
      </c>
      <c r="K248" s="501" t="s">
        <v>385</v>
      </c>
      <c r="L248" s="502">
        <v>10.73</v>
      </c>
      <c r="M248" s="502">
        <v>11.39</v>
      </c>
      <c r="N248" s="500">
        <v>9.6500000000000002E-2</v>
      </c>
      <c r="O248" s="500">
        <v>9.1999999999999998E-2</v>
      </c>
      <c r="P248" s="500">
        <v>0.10249999999999999</v>
      </c>
      <c r="Q248" s="78">
        <v>0.44</v>
      </c>
      <c r="R248" s="78">
        <v>0.31740000000000002</v>
      </c>
      <c r="S248" s="69">
        <v>0</v>
      </c>
      <c r="T248" s="69">
        <v>0</v>
      </c>
      <c r="U248" s="500">
        <v>0.7</v>
      </c>
      <c r="V248" s="76">
        <v>0</v>
      </c>
      <c r="W248" s="76">
        <v>0</v>
      </c>
      <c r="X248" s="76"/>
    </row>
    <row r="249" spans="1:24" x14ac:dyDescent="0.25">
      <c r="A249" s="75" t="str">
        <f t="shared" si="6"/>
        <v>Adquisicion PF Wealth &amp; Premier Executive Mercado_Abierto Pago_Fijo_Puntual 15</v>
      </c>
      <c r="B249" s="75" t="str">
        <f t="shared" si="7"/>
        <v>Adquisicion PF Wealth &amp; Premier Executive Mercado_Abierto Pago_Fijo_Puntual 15 0.103</v>
      </c>
      <c r="C249" s="75" t="s">
        <v>114</v>
      </c>
      <c r="D249" s="75" t="s">
        <v>132</v>
      </c>
      <c r="E249" s="75" t="s">
        <v>175</v>
      </c>
      <c r="F249" s="75"/>
      <c r="G249" s="75" t="s">
        <v>396</v>
      </c>
      <c r="H249" s="75"/>
      <c r="I249" s="75" t="s">
        <v>171</v>
      </c>
      <c r="J249" s="501">
        <v>15</v>
      </c>
      <c r="K249" s="501" t="s">
        <v>386</v>
      </c>
      <c r="L249" s="502">
        <v>11.18</v>
      </c>
      <c r="M249" s="502">
        <v>11.84</v>
      </c>
      <c r="N249" s="500">
        <v>0.10299999999999999</v>
      </c>
      <c r="O249" s="500">
        <v>0.1</v>
      </c>
      <c r="P249" s="500">
        <v>0.112</v>
      </c>
      <c r="Q249" s="78">
        <v>0.44</v>
      </c>
      <c r="R249" s="78">
        <v>0.31740000000000002</v>
      </c>
      <c r="S249" s="69">
        <v>0</v>
      </c>
      <c r="T249" s="69">
        <v>0</v>
      </c>
      <c r="U249" s="500">
        <v>0.7</v>
      </c>
      <c r="V249" s="76">
        <v>0</v>
      </c>
      <c r="W249" s="76">
        <v>0</v>
      </c>
      <c r="X249" s="76"/>
    </row>
    <row r="250" spans="1:24" x14ac:dyDescent="0.25">
      <c r="A250" s="75" t="str">
        <f t="shared" si="6"/>
        <v>Adquisicion PF Wealth &amp; Premier Executive Mercado_Abierto Pago_Fijo_Puntual 10</v>
      </c>
      <c r="B250" s="75" t="str">
        <f t="shared" si="7"/>
        <v>Adquisicion PF Wealth &amp; Premier Executive Mercado_Abierto Pago_Fijo_Puntual 10 0.0965</v>
      </c>
      <c r="C250" s="75" t="s">
        <v>114</v>
      </c>
      <c r="D250" s="75" t="s">
        <v>132</v>
      </c>
      <c r="E250" s="75" t="s">
        <v>175</v>
      </c>
      <c r="F250" s="75"/>
      <c r="G250" s="75" t="s">
        <v>396</v>
      </c>
      <c r="H250" s="75"/>
      <c r="I250" s="75" t="s">
        <v>171</v>
      </c>
      <c r="J250" s="501">
        <v>10</v>
      </c>
      <c r="K250" s="501" t="s">
        <v>385</v>
      </c>
      <c r="L250" s="502">
        <v>13.16</v>
      </c>
      <c r="M250" s="502">
        <v>13.82</v>
      </c>
      <c r="N250" s="500">
        <v>9.6500000000000002E-2</v>
      </c>
      <c r="O250" s="500">
        <v>9.1999999999999998E-2</v>
      </c>
      <c r="P250" s="500">
        <v>0.10249999999999999</v>
      </c>
      <c r="Q250" s="78">
        <v>0.44</v>
      </c>
      <c r="R250" s="78">
        <v>0.31740000000000002</v>
      </c>
      <c r="S250" s="69">
        <v>0</v>
      </c>
      <c r="T250" s="69">
        <v>0</v>
      </c>
      <c r="U250" s="500">
        <v>0.7</v>
      </c>
      <c r="V250" s="76">
        <v>0</v>
      </c>
      <c r="W250" s="76">
        <v>0</v>
      </c>
      <c r="X250" s="76"/>
    </row>
    <row r="251" spans="1:24" x14ac:dyDescent="0.25">
      <c r="A251" s="75" t="str">
        <f t="shared" si="6"/>
        <v>Adquisicion PF Wealth &amp; Premier Executive Mercado_Abierto Pago_Fijo_Puntual 10</v>
      </c>
      <c r="B251" s="75" t="str">
        <f t="shared" si="7"/>
        <v>Adquisicion PF Wealth &amp; Premier Executive Mercado_Abierto Pago_Fijo_Puntual 10 0.103</v>
      </c>
      <c r="C251" s="75" t="s">
        <v>114</v>
      </c>
      <c r="D251" s="75" t="s">
        <v>132</v>
      </c>
      <c r="E251" s="75" t="s">
        <v>175</v>
      </c>
      <c r="F251" s="75"/>
      <c r="G251" s="75" t="s">
        <v>396</v>
      </c>
      <c r="H251" s="75"/>
      <c r="I251" s="75" t="s">
        <v>171</v>
      </c>
      <c r="J251" s="501">
        <v>10</v>
      </c>
      <c r="K251" s="501" t="s">
        <v>386</v>
      </c>
      <c r="L251" s="502">
        <v>13.54</v>
      </c>
      <c r="M251" s="502">
        <v>14.2</v>
      </c>
      <c r="N251" s="500">
        <v>0.10299999999999999</v>
      </c>
      <c r="O251" s="500">
        <v>0.1</v>
      </c>
      <c r="P251" s="500">
        <v>0.112</v>
      </c>
      <c r="Q251" s="78">
        <v>0.44</v>
      </c>
      <c r="R251" s="78">
        <v>0.31740000000000002</v>
      </c>
      <c r="S251" s="69">
        <v>0</v>
      </c>
      <c r="T251" s="69">
        <v>0</v>
      </c>
      <c r="U251" s="500">
        <v>0.7</v>
      </c>
      <c r="V251" s="76">
        <v>0</v>
      </c>
      <c r="W251" s="76">
        <v>0</v>
      </c>
      <c r="X251" s="76"/>
    </row>
    <row r="252" spans="1:24" x14ac:dyDescent="0.25">
      <c r="A252" s="75" t="str">
        <f t="shared" si="6"/>
        <v>Adquisicion PF Wealth &amp; Premier Executive Mercado_Abierto Pago_Fijo_Puntual 5</v>
      </c>
      <c r="B252" s="75" t="str">
        <f t="shared" si="7"/>
        <v>Adquisicion PF Wealth &amp; Premier Executive Mercado_Abierto Pago_Fijo_Puntual 5 0.0965</v>
      </c>
      <c r="C252" s="75" t="s">
        <v>114</v>
      </c>
      <c r="D252" s="75" t="s">
        <v>132</v>
      </c>
      <c r="E252" s="75" t="s">
        <v>175</v>
      </c>
      <c r="F252" s="75"/>
      <c r="G252" s="75" t="s">
        <v>396</v>
      </c>
      <c r="H252" s="75"/>
      <c r="I252" s="75" t="s">
        <v>171</v>
      </c>
      <c r="J252" s="501">
        <v>5</v>
      </c>
      <c r="K252" s="501" t="s">
        <v>385</v>
      </c>
      <c r="L252" s="502">
        <v>21.12</v>
      </c>
      <c r="M252" s="502">
        <v>21.78</v>
      </c>
      <c r="N252" s="500">
        <v>9.6500000000000002E-2</v>
      </c>
      <c r="O252" s="500">
        <v>9.1999999999999998E-2</v>
      </c>
      <c r="P252" s="500">
        <v>0.10249999999999999</v>
      </c>
      <c r="Q252" s="78">
        <v>0.44</v>
      </c>
      <c r="R252" s="78">
        <v>0.31740000000000002</v>
      </c>
      <c r="S252" s="69">
        <v>0</v>
      </c>
      <c r="T252" s="69">
        <v>0</v>
      </c>
      <c r="U252" s="500">
        <v>0.7</v>
      </c>
      <c r="V252" s="76">
        <v>0</v>
      </c>
      <c r="W252" s="76">
        <v>0</v>
      </c>
      <c r="X252" s="76"/>
    </row>
    <row r="253" spans="1:24" x14ac:dyDescent="0.25">
      <c r="A253" s="75" t="str">
        <f t="shared" si="6"/>
        <v>Adquisicion PF Wealth &amp; Premier Executive Mercado_Abierto Pago_Fijo_Puntual 5</v>
      </c>
      <c r="B253" s="75" t="str">
        <f t="shared" si="7"/>
        <v>Adquisicion PF Wealth &amp; Premier Executive Mercado_Abierto Pago_Fijo_Puntual 5 0.103</v>
      </c>
      <c r="C253" s="75" t="s">
        <v>114</v>
      </c>
      <c r="D253" s="75" t="s">
        <v>132</v>
      </c>
      <c r="E253" s="75" t="s">
        <v>175</v>
      </c>
      <c r="F253" s="75"/>
      <c r="G253" s="75" t="s">
        <v>396</v>
      </c>
      <c r="H253" s="75"/>
      <c r="I253" s="75" t="s">
        <v>171</v>
      </c>
      <c r="J253" s="501">
        <v>5</v>
      </c>
      <c r="K253" s="501" t="s">
        <v>386</v>
      </c>
      <c r="L253" s="502">
        <v>21.44</v>
      </c>
      <c r="M253" s="502">
        <v>22.1</v>
      </c>
      <c r="N253" s="500">
        <v>0.10299999999999999</v>
      </c>
      <c r="O253" s="500">
        <v>0.1</v>
      </c>
      <c r="P253" s="500">
        <v>0.112</v>
      </c>
      <c r="Q253" s="78">
        <v>0.44</v>
      </c>
      <c r="R253" s="78">
        <v>0.31740000000000002</v>
      </c>
      <c r="S253" s="69">
        <v>0</v>
      </c>
      <c r="T253" s="69">
        <v>0</v>
      </c>
      <c r="U253" s="500">
        <v>0.7</v>
      </c>
      <c r="V253" s="76">
        <v>0</v>
      </c>
      <c r="W253" s="76">
        <v>0</v>
      </c>
      <c r="X253" s="76"/>
    </row>
    <row r="254" spans="1:24" x14ac:dyDescent="0.25">
      <c r="A254" s="75" t="str">
        <f t="shared" si="6"/>
        <v>Adquisicion PFAE Wealth &amp; Premier Executive Mercado_Abierto Pago_Fijo_Puntual 25</v>
      </c>
      <c r="B254" s="75" t="str">
        <f t="shared" si="7"/>
        <v>Adquisicion PFAE Wealth &amp; Premier Executive Mercado_Abierto Pago_Fijo_Puntual 25 0.0965</v>
      </c>
      <c r="C254" s="75" t="s">
        <v>114</v>
      </c>
      <c r="D254" s="75" t="s">
        <v>168</v>
      </c>
      <c r="E254" s="75" t="s">
        <v>175</v>
      </c>
      <c r="F254" s="75"/>
      <c r="G254" s="75" t="s">
        <v>396</v>
      </c>
      <c r="H254" s="75"/>
      <c r="I254" s="75" t="s">
        <v>171</v>
      </c>
      <c r="J254" s="501">
        <v>25</v>
      </c>
      <c r="K254" s="501" t="s">
        <v>385</v>
      </c>
      <c r="L254" s="502">
        <v>9.11</v>
      </c>
      <c r="M254" s="502">
        <v>9.77</v>
      </c>
      <c r="N254" s="500">
        <v>9.6500000000000002E-2</v>
      </c>
      <c r="O254" s="500">
        <v>9.1999999999999998E-2</v>
      </c>
      <c r="P254" s="500">
        <v>0.10249999999999999</v>
      </c>
      <c r="Q254" s="78">
        <v>0.44</v>
      </c>
      <c r="R254" s="78">
        <v>0.31740000000000002</v>
      </c>
      <c r="S254" s="69">
        <v>0</v>
      </c>
      <c r="T254" s="69">
        <v>0</v>
      </c>
      <c r="U254" s="500">
        <v>0.7</v>
      </c>
      <c r="V254" s="76">
        <v>0</v>
      </c>
      <c r="W254" s="76">
        <v>0</v>
      </c>
      <c r="X254" s="76"/>
    </row>
    <row r="255" spans="1:24" x14ac:dyDescent="0.25">
      <c r="A255" s="75" t="str">
        <f t="shared" si="6"/>
        <v>Adquisicion PFAE Wealth &amp; Premier Executive Mercado_Abierto Pago_Fijo_Puntual 25</v>
      </c>
      <c r="B255" s="75" t="str">
        <f t="shared" si="7"/>
        <v>Adquisicion PFAE Wealth &amp; Premier Executive Mercado_Abierto Pago_Fijo_Puntual 25 0.103</v>
      </c>
      <c r="C255" s="75" t="s">
        <v>114</v>
      </c>
      <c r="D255" s="75" t="s">
        <v>168</v>
      </c>
      <c r="E255" s="75" t="s">
        <v>175</v>
      </c>
      <c r="F255" s="75"/>
      <c r="G255" s="75" t="s">
        <v>396</v>
      </c>
      <c r="H255" s="75"/>
      <c r="I255" s="75" t="s">
        <v>171</v>
      </c>
      <c r="J255" s="501">
        <v>25</v>
      </c>
      <c r="K255" s="501" t="s">
        <v>386</v>
      </c>
      <c r="L255" s="502">
        <v>9.65</v>
      </c>
      <c r="M255" s="502">
        <v>10.31</v>
      </c>
      <c r="N255" s="500">
        <v>0.10299999999999999</v>
      </c>
      <c r="O255" s="500">
        <v>0.1</v>
      </c>
      <c r="P255" s="500">
        <v>0.112</v>
      </c>
      <c r="Q255" s="78">
        <v>0.44</v>
      </c>
      <c r="R255" s="78">
        <v>0.31740000000000002</v>
      </c>
      <c r="S255" s="69">
        <v>0</v>
      </c>
      <c r="T255" s="69">
        <v>0</v>
      </c>
      <c r="U255" s="500">
        <v>0.7</v>
      </c>
      <c r="V255" s="76">
        <v>0</v>
      </c>
      <c r="W255" s="76">
        <v>0</v>
      </c>
      <c r="X255" s="76"/>
    </row>
    <row r="256" spans="1:24" x14ac:dyDescent="0.25">
      <c r="A256" s="75" t="str">
        <f t="shared" si="6"/>
        <v>Adquisicion PFAE Wealth &amp; Premier Executive Mercado_Abierto Pago_Fijo_Puntual 20</v>
      </c>
      <c r="B256" s="75" t="str">
        <f t="shared" si="7"/>
        <v>Adquisicion PFAE Wealth &amp; Premier Executive Mercado_Abierto Pago_Fijo_Puntual 20 0.0965</v>
      </c>
      <c r="C256" s="75" t="s">
        <v>114</v>
      </c>
      <c r="D256" s="75" t="s">
        <v>168</v>
      </c>
      <c r="E256" s="75" t="s">
        <v>175</v>
      </c>
      <c r="F256" s="75"/>
      <c r="G256" s="75" t="s">
        <v>396</v>
      </c>
      <c r="H256" s="75"/>
      <c r="I256" s="75" t="s">
        <v>171</v>
      </c>
      <c r="J256" s="501">
        <v>20</v>
      </c>
      <c r="K256" s="501" t="s">
        <v>385</v>
      </c>
      <c r="L256" s="502">
        <v>9.66</v>
      </c>
      <c r="M256" s="502">
        <v>10.32</v>
      </c>
      <c r="N256" s="500">
        <v>9.6500000000000002E-2</v>
      </c>
      <c r="O256" s="500">
        <v>9.1999999999999998E-2</v>
      </c>
      <c r="P256" s="500">
        <v>0.10249999999999999</v>
      </c>
      <c r="Q256" s="78">
        <v>0.44</v>
      </c>
      <c r="R256" s="78">
        <v>0.31740000000000002</v>
      </c>
      <c r="S256" s="69">
        <v>0</v>
      </c>
      <c r="T256" s="69">
        <v>0</v>
      </c>
      <c r="U256" s="500">
        <v>0.7</v>
      </c>
      <c r="V256" s="76">
        <v>0</v>
      </c>
      <c r="W256" s="76">
        <v>0</v>
      </c>
      <c r="X256" s="76"/>
    </row>
    <row r="257" spans="1:24" x14ac:dyDescent="0.25">
      <c r="A257" s="75" t="str">
        <f t="shared" si="6"/>
        <v>Adquisicion PFAE Wealth &amp; Premier Executive Mercado_Abierto Pago_Fijo_Puntual 20</v>
      </c>
      <c r="B257" s="75" t="str">
        <f t="shared" si="7"/>
        <v>Adquisicion PFAE Wealth &amp; Premier Executive Mercado_Abierto Pago_Fijo_Puntual 20 0.103</v>
      </c>
      <c r="C257" s="75" t="s">
        <v>114</v>
      </c>
      <c r="D257" s="75" t="s">
        <v>168</v>
      </c>
      <c r="E257" s="75" t="s">
        <v>175</v>
      </c>
      <c r="F257" s="75"/>
      <c r="G257" s="75" t="s">
        <v>396</v>
      </c>
      <c r="H257" s="75"/>
      <c r="I257" s="75" t="s">
        <v>171</v>
      </c>
      <c r="J257" s="501">
        <v>20</v>
      </c>
      <c r="K257" s="501" t="s">
        <v>386</v>
      </c>
      <c r="L257" s="502">
        <v>10.16</v>
      </c>
      <c r="M257" s="502">
        <v>10.82</v>
      </c>
      <c r="N257" s="500">
        <v>0.10299999999999999</v>
      </c>
      <c r="O257" s="500">
        <v>0.1</v>
      </c>
      <c r="P257" s="500">
        <v>0.112</v>
      </c>
      <c r="Q257" s="78">
        <v>0.44</v>
      </c>
      <c r="R257" s="78">
        <v>0.31740000000000002</v>
      </c>
      <c r="S257" s="69">
        <v>0</v>
      </c>
      <c r="T257" s="69">
        <v>0</v>
      </c>
      <c r="U257" s="500">
        <v>0.7</v>
      </c>
      <c r="V257" s="76">
        <v>0</v>
      </c>
      <c r="W257" s="76">
        <v>0</v>
      </c>
      <c r="X257" s="76"/>
    </row>
    <row r="258" spans="1:24" x14ac:dyDescent="0.25">
      <c r="A258" s="75" t="str">
        <f t="shared" ref="A258:A321" si="8">TRIM(CONCATENATE(C258," ",D258," ",E258," ",F258," ",G258," ",I258," ",X258," ",J258))</f>
        <v>Adquisicion PFAE Wealth &amp; Premier Executive Mercado_Abierto Pago_Fijo_Puntual 15</v>
      </c>
      <c r="B258" s="75" t="str">
        <f t="shared" ref="B258:B321" si="9">CONCATENATE(A258," ",N258)</f>
        <v>Adquisicion PFAE Wealth &amp; Premier Executive Mercado_Abierto Pago_Fijo_Puntual 15 0.0965</v>
      </c>
      <c r="C258" s="75" t="s">
        <v>114</v>
      </c>
      <c r="D258" s="75" t="s">
        <v>168</v>
      </c>
      <c r="E258" s="75" t="s">
        <v>175</v>
      </c>
      <c r="F258" s="75"/>
      <c r="G258" s="75" t="s">
        <v>396</v>
      </c>
      <c r="H258" s="75"/>
      <c r="I258" s="75" t="s">
        <v>171</v>
      </c>
      <c r="J258" s="501">
        <v>15</v>
      </c>
      <c r="K258" s="501" t="s">
        <v>385</v>
      </c>
      <c r="L258" s="502">
        <v>10.73</v>
      </c>
      <c r="M258" s="502">
        <v>11.39</v>
      </c>
      <c r="N258" s="500">
        <v>9.6500000000000002E-2</v>
      </c>
      <c r="O258" s="500">
        <v>9.1999999999999998E-2</v>
      </c>
      <c r="P258" s="500">
        <v>0.10249999999999999</v>
      </c>
      <c r="Q258" s="78">
        <v>0.44</v>
      </c>
      <c r="R258" s="78">
        <v>0.31740000000000002</v>
      </c>
      <c r="S258" s="69">
        <v>0</v>
      </c>
      <c r="T258" s="69">
        <v>0</v>
      </c>
      <c r="U258" s="500">
        <v>0.7</v>
      </c>
      <c r="V258" s="76">
        <v>0</v>
      </c>
      <c r="W258" s="76">
        <v>0</v>
      </c>
      <c r="X258" s="76"/>
    </row>
    <row r="259" spans="1:24" x14ac:dyDescent="0.25">
      <c r="A259" s="75" t="str">
        <f t="shared" si="8"/>
        <v>Adquisicion PFAE Wealth &amp; Premier Executive Mercado_Abierto Pago_Fijo_Puntual 15</v>
      </c>
      <c r="B259" s="75" t="str">
        <f t="shared" si="9"/>
        <v>Adquisicion PFAE Wealth &amp; Premier Executive Mercado_Abierto Pago_Fijo_Puntual 15 0.103</v>
      </c>
      <c r="C259" s="75" t="s">
        <v>114</v>
      </c>
      <c r="D259" s="75" t="s">
        <v>168</v>
      </c>
      <c r="E259" s="75" t="s">
        <v>175</v>
      </c>
      <c r="F259" s="75"/>
      <c r="G259" s="75" t="s">
        <v>396</v>
      </c>
      <c r="H259" s="75"/>
      <c r="I259" s="75" t="s">
        <v>171</v>
      </c>
      <c r="J259" s="501">
        <v>15</v>
      </c>
      <c r="K259" s="501" t="s">
        <v>386</v>
      </c>
      <c r="L259" s="502">
        <v>11.18</v>
      </c>
      <c r="M259" s="502">
        <v>11.84</v>
      </c>
      <c r="N259" s="500">
        <v>0.10299999999999999</v>
      </c>
      <c r="O259" s="500">
        <v>0.1</v>
      </c>
      <c r="P259" s="500">
        <v>0.112</v>
      </c>
      <c r="Q259" s="78">
        <v>0.44</v>
      </c>
      <c r="R259" s="78">
        <v>0.31740000000000002</v>
      </c>
      <c r="S259" s="69">
        <v>0</v>
      </c>
      <c r="T259" s="69">
        <v>0</v>
      </c>
      <c r="U259" s="500">
        <v>0.7</v>
      </c>
      <c r="V259" s="76">
        <v>0</v>
      </c>
      <c r="W259" s="76">
        <v>0</v>
      </c>
      <c r="X259" s="76"/>
    </row>
    <row r="260" spans="1:24" x14ac:dyDescent="0.25">
      <c r="A260" s="75" t="str">
        <f t="shared" si="8"/>
        <v>Adquisicion PFAE Wealth &amp; Premier Executive Mercado_Abierto Pago_Fijo_Puntual 10</v>
      </c>
      <c r="B260" s="75" t="str">
        <f t="shared" si="9"/>
        <v>Adquisicion PFAE Wealth &amp; Premier Executive Mercado_Abierto Pago_Fijo_Puntual 10 0.0965</v>
      </c>
      <c r="C260" s="75" t="s">
        <v>114</v>
      </c>
      <c r="D260" s="75" t="s">
        <v>168</v>
      </c>
      <c r="E260" s="75" t="s">
        <v>175</v>
      </c>
      <c r="F260" s="75"/>
      <c r="G260" s="75" t="s">
        <v>396</v>
      </c>
      <c r="H260" s="75"/>
      <c r="I260" s="75" t="s">
        <v>171</v>
      </c>
      <c r="J260" s="501">
        <v>10</v>
      </c>
      <c r="K260" s="501" t="s">
        <v>385</v>
      </c>
      <c r="L260" s="502">
        <v>13.16</v>
      </c>
      <c r="M260" s="502">
        <v>13.82</v>
      </c>
      <c r="N260" s="500">
        <v>9.6500000000000002E-2</v>
      </c>
      <c r="O260" s="500">
        <v>9.1999999999999998E-2</v>
      </c>
      <c r="P260" s="500">
        <v>0.10249999999999999</v>
      </c>
      <c r="Q260" s="78">
        <v>0.44</v>
      </c>
      <c r="R260" s="78">
        <v>0.31740000000000002</v>
      </c>
      <c r="S260" s="69">
        <v>0</v>
      </c>
      <c r="T260" s="69">
        <v>0</v>
      </c>
      <c r="U260" s="500">
        <v>0.7</v>
      </c>
      <c r="V260" s="76">
        <v>0</v>
      </c>
      <c r="W260" s="76">
        <v>0</v>
      </c>
      <c r="X260" s="76"/>
    </row>
    <row r="261" spans="1:24" x14ac:dyDescent="0.25">
      <c r="A261" s="75" t="str">
        <f t="shared" si="8"/>
        <v>Adquisicion PFAE Wealth &amp; Premier Executive Mercado_Abierto Pago_Fijo_Puntual 10</v>
      </c>
      <c r="B261" s="75" t="str">
        <f t="shared" si="9"/>
        <v>Adquisicion PFAE Wealth &amp; Premier Executive Mercado_Abierto Pago_Fijo_Puntual 10 0.103</v>
      </c>
      <c r="C261" s="75" t="s">
        <v>114</v>
      </c>
      <c r="D261" s="75" t="s">
        <v>168</v>
      </c>
      <c r="E261" s="75" t="s">
        <v>175</v>
      </c>
      <c r="F261" s="75"/>
      <c r="G261" s="75" t="s">
        <v>396</v>
      </c>
      <c r="H261" s="75"/>
      <c r="I261" s="75" t="s">
        <v>171</v>
      </c>
      <c r="J261" s="501">
        <v>10</v>
      </c>
      <c r="K261" s="501" t="s">
        <v>386</v>
      </c>
      <c r="L261" s="502">
        <v>13.54</v>
      </c>
      <c r="M261" s="502">
        <v>14.2</v>
      </c>
      <c r="N261" s="500">
        <v>0.10299999999999999</v>
      </c>
      <c r="O261" s="500">
        <v>0.1</v>
      </c>
      <c r="P261" s="500">
        <v>0.112</v>
      </c>
      <c r="Q261" s="78">
        <v>0.44</v>
      </c>
      <c r="R261" s="78">
        <v>0.31740000000000002</v>
      </c>
      <c r="S261" s="69">
        <v>0</v>
      </c>
      <c r="T261" s="69">
        <v>0</v>
      </c>
      <c r="U261" s="500">
        <v>0.7</v>
      </c>
      <c r="V261" s="76">
        <v>0</v>
      </c>
      <c r="W261" s="76">
        <v>0</v>
      </c>
      <c r="X261" s="76"/>
    </row>
    <row r="262" spans="1:24" x14ac:dyDescent="0.25">
      <c r="A262" s="75" t="str">
        <f t="shared" si="8"/>
        <v>Adquisicion PFAE Wealth &amp; Premier Executive Mercado_Abierto Pago_Fijo_Puntual 5</v>
      </c>
      <c r="B262" s="75" t="str">
        <f t="shared" si="9"/>
        <v>Adquisicion PFAE Wealth &amp; Premier Executive Mercado_Abierto Pago_Fijo_Puntual 5 0.0965</v>
      </c>
      <c r="C262" s="75" t="s">
        <v>114</v>
      </c>
      <c r="D262" s="75" t="s">
        <v>168</v>
      </c>
      <c r="E262" s="75" t="s">
        <v>175</v>
      </c>
      <c r="F262" s="75"/>
      <c r="G262" s="75" t="s">
        <v>396</v>
      </c>
      <c r="H262" s="75"/>
      <c r="I262" s="75" t="s">
        <v>171</v>
      </c>
      <c r="J262" s="501">
        <v>5</v>
      </c>
      <c r="K262" s="501" t="s">
        <v>385</v>
      </c>
      <c r="L262" s="502">
        <v>21.12</v>
      </c>
      <c r="M262" s="502">
        <v>21.78</v>
      </c>
      <c r="N262" s="500">
        <v>9.6500000000000002E-2</v>
      </c>
      <c r="O262" s="500">
        <v>9.1999999999999998E-2</v>
      </c>
      <c r="P262" s="500">
        <v>0.10249999999999999</v>
      </c>
      <c r="Q262" s="78">
        <v>0.44</v>
      </c>
      <c r="R262" s="78">
        <v>0.31740000000000002</v>
      </c>
      <c r="S262" s="69">
        <v>0</v>
      </c>
      <c r="T262" s="69">
        <v>0</v>
      </c>
      <c r="U262" s="500">
        <v>0.7</v>
      </c>
      <c r="V262" s="76">
        <v>0</v>
      </c>
      <c r="W262" s="76">
        <v>0</v>
      </c>
      <c r="X262" s="76"/>
    </row>
    <row r="263" spans="1:24" x14ac:dyDescent="0.25">
      <c r="A263" s="75" t="str">
        <f t="shared" si="8"/>
        <v>Adquisicion PFAE Wealth &amp; Premier Executive Mercado_Abierto Pago_Fijo_Puntual 5</v>
      </c>
      <c r="B263" s="75" t="str">
        <f t="shared" si="9"/>
        <v>Adquisicion PFAE Wealth &amp; Premier Executive Mercado_Abierto Pago_Fijo_Puntual 5 0.103</v>
      </c>
      <c r="C263" s="75" t="s">
        <v>114</v>
      </c>
      <c r="D263" s="75" t="s">
        <v>168</v>
      </c>
      <c r="E263" s="75" t="s">
        <v>175</v>
      </c>
      <c r="F263" s="75"/>
      <c r="G263" s="75" t="s">
        <v>396</v>
      </c>
      <c r="H263" s="75"/>
      <c r="I263" s="75" t="s">
        <v>171</v>
      </c>
      <c r="J263" s="501">
        <v>5</v>
      </c>
      <c r="K263" s="501" t="s">
        <v>386</v>
      </c>
      <c r="L263" s="502">
        <v>21.44</v>
      </c>
      <c r="M263" s="502">
        <v>22.1</v>
      </c>
      <c r="N263" s="500">
        <v>0.10299999999999999</v>
      </c>
      <c r="O263" s="500">
        <v>0.1</v>
      </c>
      <c r="P263" s="500">
        <v>0.112</v>
      </c>
      <c r="Q263" s="78">
        <v>0.44</v>
      </c>
      <c r="R263" s="78">
        <v>0.31740000000000002</v>
      </c>
      <c r="S263" s="69">
        <v>0</v>
      </c>
      <c r="T263" s="69">
        <v>0</v>
      </c>
      <c r="U263" s="500">
        <v>0.7</v>
      </c>
      <c r="V263" s="76">
        <v>0</v>
      </c>
      <c r="W263" s="76">
        <v>0</v>
      </c>
      <c r="X263" s="76"/>
    </row>
    <row r="264" spans="1:24" x14ac:dyDescent="0.25">
      <c r="A264" s="75" t="str">
        <f t="shared" si="8"/>
        <v>Adquisicion PROF Wealth &amp; Premier Executive Mercado_Abierto Pago_Fijo_Puntual 25</v>
      </c>
      <c r="B264" s="75" t="str">
        <f t="shared" si="9"/>
        <v>Adquisicion PROF Wealth &amp; Premier Executive Mercado_Abierto Pago_Fijo_Puntual 25 0.0965</v>
      </c>
      <c r="C264" s="75" t="s">
        <v>114</v>
      </c>
      <c r="D264" s="75" t="s">
        <v>169</v>
      </c>
      <c r="E264" s="75" t="s">
        <v>175</v>
      </c>
      <c r="F264" s="75"/>
      <c r="G264" s="75" t="s">
        <v>396</v>
      </c>
      <c r="H264" s="75"/>
      <c r="I264" s="75" t="s">
        <v>171</v>
      </c>
      <c r="J264" s="501">
        <v>25</v>
      </c>
      <c r="K264" s="501" t="s">
        <v>385</v>
      </c>
      <c r="L264" s="502">
        <v>9.11</v>
      </c>
      <c r="M264" s="502">
        <v>9.77</v>
      </c>
      <c r="N264" s="500">
        <v>9.6500000000000002E-2</v>
      </c>
      <c r="O264" s="500">
        <v>9.1999999999999998E-2</v>
      </c>
      <c r="P264" s="500">
        <v>0.10249999999999999</v>
      </c>
      <c r="Q264" s="78">
        <v>0.44</v>
      </c>
      <c r="R264" s="78">
        <v>0.31740000000000002</v>
      </c>
      <c r="S264" s="69">
        <v>0</v>
      </c>
      <c r="T264" s="69">
        <v>0</v>
      </c>
      <c r="U264" s="500">
        <v>0.7</v>
      </c>
      <c r="V264" s="76">
        <v>0</v>
      </c>
      <c r="W264" s="76">
        <v>0</v>
      </c>
      <c r="X264" s="76"/>
    </row>
    <row r="265" spans="1:24" x14ac:dyDescent="0.25">
      <c r="A265" s="75" t="str">
        <f t="shared" si="8"/>
        <v>Adquisicion PROF Wealth &amp; Premier Executive Mercado_Abierto Pago_Fijo_Puntual 25</v>
      </c>
      <c r="B265" s="75" t="str">
        <f t="shared" si="9"/>
        <v>Adquisicion PROF Wealth &amp; Premier Executive Mercado_Abierto Pago_Fijo_Puntual 25 0.103</v>
      </c>
      <c r="C265" s="75" t="s">
        <v>114</v>
      </c>
      <c r="D265" s="75" t="s">
        <v>169</v>
      </c>
      <c r="E265" s="75" t="s">
        <v>175</v>
      </c>
      <c r="F265" s="75"/>
      <c r="G265" s="75" t="s">
        <v>396</v>
      </c>
      <c r="H265" s="75"/>
      <c r="I265" s="75" t="s">
        <v>171</v>
      </c>
      <c r="J265" s="501">
        <v>25</v>
      </c>
      <c r="K265" s="501" t="s">
        <v>386</v>
      </c>
      <c r="L265" s="502">
        <v>9.65</v>
      </c>
      <c r="M265" s="502">
        <v>10.31</v>
      </c>
      <c r="N265" s="500">
        <v>0.10299999999999999</v>
      </c>
      <c r="O265" s="500">
        <v>0.1</v>
      </c>
      <c r="P265" s="500">
        <v>0.112</v>
      </c>
      <c r="Q265" s="78">
        <v>0.44</v>
      </c>
      <c r="R265" s="78">
        <v>0.31740000000000002</v>
      </c>
      <c r="S265" s="69">
        <v>0</v>
      </c>
      <c r="T265" s="69">
        <v>0</v>
      </c>
      <c r="U265" s="500">
        <v>0.7</v>
      </c>
      <c r="V265" s="76">
        <v>0</v>
      </c>
      <c r="W265" s="76">
        <v>0</v>
      </c>
      <c r="X265" s="76"/>
    </row>
    <row r="266" spans="1:24" x14ac:dyDescent="0.25">
      <c r="A266" s="75" t="str">
        <f t="shared" si="8"/>
        <v>Adquisicion PROF Wealth &amp; Premier Executive Mercado_Abierto Pago_Fijo_Puntual 20</v>
      </c>
      <c r="B266" s="75" t="str">
        <f t="shared" si="9"/>
        <v>Adquisicion PROF Wealth &amp; Premier Executive Mercado_Abierto Pago_Fijo_Puntual 20 0.0965</v>
      </c>
      <c r="C266" s="75" t="s">
        <v>114</v>
      </c>
      <c r="D266" s="75" t="s">
        <v>169</v>
      </c>
      <c r="E266" s="75" t="s">
        <v>175</v>
      </c>
      <c r="F266" s="75"/>
      <c r="G266" s="75" t="s">
        <v>396</v>
      </c>
      <c r="H266" s="75"/>
      <c r="I266" s="75" t="s">
        <v>171</v>
      </c>
      <c r="J266" s="501">
        <v>20</v>
      </c>
      <c r="K266" s="501" t="s">
        <v>385</v>
      </c>
      <c r="L266" s="502">
        <v>9.66</v>
      </c>
      <c r="M266" s="502">
        <v>10.32</v>
      </c>
      <c r="N266" s="500">
        <v>9.6500000000000002E-2</v>
      </c>
      <c r="O266" s="500">
        <v>9.1999999999999998E-2</v>
      </c>
      <c r="P266" s="500">
        <v>0.10249999999999999</v>
      </c>
      <c r="Q266" s="78">
        <v>0.44</v>
      </c>
      <c r="R266" s="78">
        <v>0.31740000000000002</v>
      </c>
      <c r="S266" s="69">
        <v>0</v>
      </c>
      <c r="T266" s="69">
        <v>0</v>
      </c>
      <c r="U266" s="500">
        <v>0.7</v>
      </c>
      <c r="V266" s="76">
        <v>0</v>
      </c>
      <c r="W266" s="76">
        <v>0</v>
      </c>
      <c r="X266" s="76"/>
    </row>
    <row r="267" spans="1:24" x14ac:dyDescent="0.25">
      <c r="A267" s="75" t="str">
        <f t="shared" si="8"/>
        <v>Adquisicion PROF Wealth &amp; Premier Executive Mercado_Abierto Pago_Fijo_Puntual 20</v>
      </c>
      <c r="B267" s="75" t="str">
        <f t="shared" si="9"/>
        <v>Adquisicion PROF Wealth &amp; Premier Executive Mercado_Abierto Pago_Fijo_Puntual 20 0.103</v>
      </c>
      <c r="C267" s="75" t="s">
        <v>114</v>
      </c>
      <c r="D267" s="75" t="s">
        <v>169</v>
      </c>
      <c r="E267" s="75" t="s">
        <v>175</v>
      </c>
      <c r="F267" s="75"/>
      <c r="G267" s="75" t="s">
        <v>396</v>
      </c>
      <c r="H267" s="75"/>
      <c r="I267" s="75" t="s">
        <v>171</v>
      </c>
      <c r="J267" s="501">
        <v>20</v>
      </c>
      <c r="K267" s="501" t="s">
        <v>386</v>
      </c>
      <c r="L267" s="502">
        <v>10.16</v>
      </c>
      <c r="M267" s="502">
        <v>10.82</v>
      </c>
      <c r="N267" s="500">
        <v>0.10299999999999999</v>
      </c>
      <c r="O267" s="500">
        <v>0.1</v>
      </c>
      <c r="P267" s="500">
        <v>0.112</v>
      </c>
      <c r="Q267" s="78">
        <v>0.44</v>
      </c>
      <c r="R267" s="78">
        <v>0.31740000000000002</v>
      </c>
      <c r="S267" s="69">
        <v>0</v>
      </c>
      <c r="T267" s="69">
        <v>0</v>
      </c>
      <c r="U267" s="500">
        <v>0.7</v>
      </c>
      <c r="V267" s="76">
        <v>0</v>
      </c>
      <c r="W267" s="76">
        <v>0</v>
      </c>
      <c r="X267" s="76"/>
    </row>
    <row r="268" spans="1:24" x14ac:dyDescent="0.25">
      <c r="A268" s="75" t="str">
        <f t="shared" si="8"/>
        <v>Adquisicion PROF Wealth &amp; Premier Executive Mercado_Abierto Pago_Fijo_Puntual 15</v>
      </c>
      <c r="B268" s="75" t="str">
        <f t="shared" si="9"/>
        <v>Adquisicion PROF Wealth &amp; Premier Executive Mercado_Abierto Pago_Fijo_Puntual 15 0.0965</v>
      </c>
      <c r="C268" s="75" t="s">
        <v>114</v>
      </c>
      <c r="D268" s="75" t="s">
        <v>169</v>
      </c>
      <c r="E268" s="75" t="s">
        <v>175</v>
      </c>
      <c r="F268" s="75"/>
      <c r="G268" s="75" t="s">
        <v>396</v>
      </c>
      <c r="H268" s="75"/>
      <c r="I268" s="75" t="s">
        <v>171</v>
      </c>
      <c r="J268" s="501">
        <v>15</v>
      </c>
      <c r="K268" s="501" t="s">
        <v>385</v>
      </c>
      <c r="L268" s="502">
        <v>10.73</v>
      </c>
      <c r="M268" s="502">
        <v>11.39</v>
      </c>
      <c r="N268" s="500">
        <v>9.6500000000000002E-2</v>
      </c>
      <c r="O268" s="500">
        <v>9.1999999999999998E-2</v>
      </c>
      <c r="P268" s="500">
        <v>0.10249999999999999</v>
      </c>
      <c r="Q268" s="78">
        <v>0.44</v>
      </c>
      <c r="R268" s="78">
        <v>0.31740000000000002</v>
      </c>
      <c r="S268" s="69">
        <v>0</v>
      </c>
      <c r="T268" s="69">
        <v>0</v>
      </c>
      <c r="U268" s="500">
        <v>0.7</v>
      </c>
      <c r="V268" s="76">
        <v>0</v>
      </c>
      <c r="W268" s="76">
        <v>0</v>
      </c>
      <c r="X268" s="76"/>
    </row>
    <row r="269" spans="1:24" x14ac:dyDescent="0.25">
      <c r="A269" s="75" t="str">
        <f t="shared" si="8"/>
        <v>Adquisicion PROF Wealth &amp; Premier Executive Mercado_Abierto Pago_Fijo_Puntual 15</v>
      </c>
      <c r="B269" s="75" t="str">
        <f t="shared" si="9"/>
        <v>Adquisicion PROF Wealth &amp; Premier Executive Mercado_Abierto Pago_Fijo_Puntual 15 0.103</v>
      </c>
      <c r="C269" s="75" t="s">
        <v>114</v>
      </c>
      <c r="D269" s="75" t="s">
        <v>169</v>
      </c>
      <c r="E269" s="75" t="s">
        <v>175</v>
      </c>
      <c r="F269" s="75"/>
      <c r="G269" s="75" t="s">
        <v>396</v>
      </c>
      <c r="H269" s="75"/>
      <c r="I269" s="75" t="s">
        <v>171</v>
      </c>
      <c r="J269" s="501">
        <v>15</v>
      </c>
      <c r="K269" s="501" t="s">
        <v>386</v>
      </c>
      <c r="L269" s="502">
        <v>11.18</v>
      </c>
      <c r="M269" s="502">
        <v>11.84</v>
      </c>
      <c r="N269" s="500">
        <v>0.10299999999999999</v>
      </c>
      <c r="O269" s="500">
        <v>0.1</v>
      </c>
      <c r="P269" s="500">
        <v>0.112</v>
      </c>
      <c r="Q269" s="78">
        <v>0.44</v>
      </c>
      <c r="R269" s="78">
        <v>0.31740000000000002</v>
      </c>
      <c r="S269" s="69">
        <v>0</v>
      </c>
      <c r="T269" s="69">
        <v>0</v>
      </c>
      <c r="U269" s="500">
        <v>0.7</v>
      </c>
      <c r="V269" s="76">
        <v>0</v>
      </c>
      <c r="W269" s="76">
        <v>0</v>
      </c>
      <c r="X269" s="76"/>
    </row>
    <row r="270" spans="1:24" x14ac:dyDescent="0.25">
      <c r="A270" s="75" t="str">
        <f t="shared" si="8"/>
        <v>Adquisicion PROF Wealth &amp; Premier Executive Mercado_Abierto Pago_Fijo_Puntual 10</v>
      </c>
      <c r="B270" s="75" t="str">
        <f t="shared" si="9"/>
        <v>Adquisicion PROF Wealth &amp; Premier Executive Mercado_Abierto Pago_Fijo_Puntual 10 0.0965</v>
      </c>
      <c r="C270" s="75" t="s">
        <v>114</v>
      </c>
      <c r="D270" s="75" t="s">
        <v>169</v>
      </c>
      <c r="E270" s="75" t="s">
        <v>175</v>
      </c>
      <c r="F270" s="75"/>
      <c r="G270" s="75" t="s">
        <v>396</v>
      </c>
      <c r="H270" s="75"/>
      <c r="I270" s="75" t="s">
        <v>171</v>
      </c>
      <c r="J270" s="501">
        <v>10</v>
      </c>
      <c r="K270" s="501" t="s">
        <v>385</v>
      </c>
      <c r="L270" s="502">
        <v>13.16</v>
      </c>
      <c r="M270" s="502">
        <v>13.82</v>
      </c>
      <c r="N270" s="500">
        <v>9.6500000000000002E-2</v>
      </c>
      <c r="O270" s="500">
        <v>9.1999999999999998E-2</v>
      </c>
      <c r="P270" s="500">
        <v>0.10249999999999999</v>
      </c>
      <c r="Q270" s="78">
        <v>0.44</v>
      </c>
      <c r="R270" s="78">
        <v>0.31740000000000002</v>
      </c>
      <c r="S270" s="69">
        <v>0</v>
      </c>
      <c r="T270" s="69">
        <v>0</v>
      </c>
      <c r="U270" s="500">
        <v>0.7</v>
      </c>
      <c r="V270" s="76">
        <v>0</v>
      </c>
      <c r="W270" s="76">
        <v>0</v>
      </c>
      <c r="X270" s="76"/>
    </row>
    <row r="271" spans="1:24" x14ac:dyDescent="0.25">
      <c r="A271" s="75" t="str">
        <f t="shared" si="8"/>
        <v>Adquisicion PROF Wealth &amp; Premier Executive Mercado_Abierto Pago_Fijo_Puntual 10</v>
      </c>
      <c r="B271" s="75" t="str">
        <f t="shared" si="9"/>
        <v>Adquisicion PROF Wealth &amp; Premier Executive Mercado_Abierto Pago_Fijo_Puntual 10 0.103</v>
      </c>
      <c r="C271" s="75" t="s">
        <v>114</v>
      </c>
      <c r="D271" s="75" t="s">
        <v>169</v>
      </c>
      <c r="E271" s="75" t="s">
        <v>175</v>
      </c>
      <c r="F271" s="75"/>
      <c r="G271" s="75" t="s">
        <v>396</v>
      </c>
      <c r="H271" s="75"/>
      <c r="I271" s="75" t="s">
        <v>171</v>
      </c>
      <c r="J271" s="501">
        <v>10</v>
      </c>
      <c r="K271" s="501" t="s">
        <v>386</v>
      </c>
      <c r="L271" s="502">
        <v>13.54</v>
      </c>
      <c r="M271" s="502">
        <v>14.2</v>
      </c>
      <c r="N271" s="500">
        <v>0.10299999999999999</v>
      </c>
      <c r="O271" s="500">
        <v>0.1</v>
      </c>
      <c r="P271" s="500">
        <v>0.112</v>
      </c>
      <c r="Q271" s="78">
        <v>0.44</v>
      </c>
      <c r="R271" s="78">
        <v>0.31740000000000002</v>
      </c>
      <c r="S271" s="69">
        <v>0</v>
      </c>
      <c r="T271" s="69">
        <v>0</v>
      </c>
      <c r="U271" s="500">
        <v>0.7</v>
      </c>
      <c r="V271" s="76">
        <v>0</v>
      </c>
      <c r="W271" s="76">
        <v>0</v>
      </c>
      <c r="X271" s="76"/>
    </row>
    <row r="272" spans="1:24" x14ac:dyDescent="0.25">
      <c r="A272" s="75" t="str">
        <f t="shared" si="8"/>
        <v>Adquisicion PROF Wealth &amp; Premier Executive Mercado_Abierto Pago_Fijo_Puntual 5</v>
      </c>
      <c r="B272" s="75" t="str">
        <f t="shared" si="9"/>
        <v>Adquisicion PROF Wealth &amp; Premier Executive Mercado_Abierto Pago_Fijo_Puntual 5 0.0965</v>
      </c>
      <c r="C272" s="75" t="s">
        <v>114</v>
      </c>
      <c r="D272" s="75" t="s">
        <v>169</v>
      </c>
      <c r="E272" s="75" t="s">
        <v>175</v>
      </c>
      <c r="F272" s="75"/>
      <c r="G272" s="75" t="s">
        <v>396</v>
      </c>
      <c r="H272" s="75"/>
      <c r="I272" s="75" t="s">
        <v>171</v>
      </c>
      <c r="J272" s="501">
        <v>5</v>
      </c>
      <c r="K272" s="501" t="s">
        <v>385</v>
      </c>
      <c r="L272" s="502">
        <v>21.12</v>
      </c>
      <c r="M272" s="502">
        <v>21.78</v>
      </c>
      <c r="N272" s="500">
        <v>9.6500000000000002E-2</v>
      </c>
      <c r="O272" s="500">
        <v>9.1999999999999998E-2</v>
      </c>
      <c r="P272" s="500">
        <v>0.10249999999999999</v>
      </c>
      <c r="Q272" s="78">
        <v>0.44</v>
      </c>
      <c r="R272" s="78">
        <v>0.31740000000000002</v>
      </c>
      <c r="S272" s="69">
        <v>0</v>
      </c>
      <c r="T272" s="69">
        <v>0</v>
      </c>
      <c r="U272" s="500">
        <v>0.7</v>
      </c>
      <c r="V272" s="76">
        <v>0</v>
      </c>
      <c r="W272" s="76">
        <v>0</v>
      </c>
      <c r="X272" s="76"/>
    </row>
    <row r="273" spans="1:24" x14ac:dyDescent="0.25">
      <c r="A273" s="75" t="str">
        <f t="shared" si="8"/>
        <v>Adquisicion PROF Wealth &amp; Premier Executive Mercado_Abierto Pago_Fijo_Puntual 5</v>
      </c>
      <c r="B273" s="75" t="str">
        <f t="shared" si="9"/>
        <v>Adquisicion PROF Wealth &amp; Premier Executive Mercado_Abierto Pago_Fijo_Puntual 5 0.103</v>
      </c>
      <c r="C273" s="75" t="s">
        <v>114</v>
      </c>
      <c r="D273" s="75" t="s">
        <v>169</v>
      </c>
      <c r="E273" s="75" t="s">
        <v>175</v>
      </c>
      <c r="F273" s="75"/>
      <c r="G273" s="75" t="s">
        <v>396</v>
      </c>
      <c r="H273" s="75"/>
      <c r="I273" s="75" t="s">
        <v>171</v>
      </c>
      <c r="J273" s="501">
        <v>5</v>
      </c>
      <c r="K273" s="501" t="s">
        <v>386</v>
      </c>
      <c r="L273" s="502">
        <v>21.44</v>
      </c>
      <c r="M273" s="502">
        <v>22.1</v>
      </c>
      <c r="N273" s="500">
        <v>0.10299999999999999</v>
      </c>
      <c r="O273" s="500">
        <v>0.1</v>
      </c>
      <c r="P273" s="500">
        <v>0.112</v>
      </c>
      <c r="Q273" s="78">
        <v>0.44</v>
      </c>
      <c r="R273" s="78">
        <v>0.31740000000000002</v>
      </c>
      <c r="S273" s="69">
        <v>0</v>
      </c>
      <c r="T273" s="69">
        <v>0</v>
      </c>
      <c r="U273" s="500">
        <v>0.7</v>
      </c>
      <c r="V273" s="76">
        <v>0</v>
      </c>
      <c r="W273" s="76">
        <v>0</v>
      </c>
      <c r="X273" s="76"/>
    </row>
    <row r="274" spans="1:24" x14ac:dyDescent="0.25">
      <c r="A274" s="75" t="str">
        <f t="shared" si="8"/>
        <v>Adquisicion PF Wealth &amp; Premier Executive Apoyo Infonavit Pago_Fijo_Puntual 25</v>
      </c>
      <c r="B274" s="75" t="str">
        <f t="shared" si="9"/>
        <v>Adquisicion PF Wealth &amp; Premier Executive Apoyo Infonavit Pago_Fijo_Puntual 25 0.0965</v>
      </c>
      <c r="C274" s="75" t="s">
        <v>114</v>
      </c>
      <c r="D274" s="75" t="s">
        <v>132</v>
      </c>
      <c r="E274" s="75" t="s">
        <v>175</v>
      </c>
      <c r="F274" s="75"/>
      <c r="G274" s="75" t="s">
        <v>112</v>
      </c>
      <c r="H274" s="75"/>
      <c r="I274" s="75" t="s">
        <v>171</v>
      </c>
      <c r="J274" s="501">
        <v>25</v>
      </c>
      <c r="K274" s="501" t="s">
        <v>385</v>
      </c>
      <c r="L274" s="502">
        <v>9.11</v>
      </c>
      <c r="M274" s="502">
        <v>9.77</v>
      </c>
      <c r="N274" s="500">
        <v>9.6500000000000002E-2</v>
      </c>
      <c r="O274" s="500">
        <v>9.1999999999999998E-2</v>
      </c>
      <c r="P274" s="500">
        <v>0.10249999999999999</v>
      </c>
      <c r="Q274" s="78">
        <v>0.44</v>
      </c>
      <c r="R274" s="78">
        <v>0.31740000000000002</v>
      </c>
      <c r="S274" s="69">
        <v>0</v>
      </c>
      <c r="T274" s="69">
        <v>0</v>
      </c>
      <c r="U274" s="500">
        <v>0.7</v>
      </c>
      <c r="V274" s="76">
        <v>0</v>
      </c>
      <c r="W274" s="76">
        <v>0</v>
      </c>
      <c r="X274" s="76"/>
    </row>
    <row r="275" spans="1:24" x14ac:dyDescent="0.25">
      <c r="A275" s="75" t="str">
        <f t="shared" si="8"/>
        <v>Adquisicion PF Wealth &amp; Premier Executive Apoyo Infonavit Pago_Fijo_Puntual 25</v>
      </c>
      <c r="B275" s="75" t="str">
        <f t="shared" si="9"/>
        <v>Adquisicion PF Wealth &amp; Premier Executive Apoyo Infonavit Pago_Fijo_Puntual 25 0.103</v>
      </c>
      <c r="C275" s="75" t="s">
        <v>114</v>
      </c>
      <c r="D275" s="75" t="s">
        <v>132</v>
      </c>
      <c r="E275" s="75" t="s">
        <v>175</v>
      </c>
      <c r="F275" s="75"/>
      <c r="G275" s="75" t="s">
        <v>112</v>
      </c>
      <c r="H275" s="75"/>
      <c r="I275" s="75" t="s">
        <v>171</v>
      </c>
      <c r="J275" s="501">
        <v>25</v>
      </c>
      <c r="K275" s="501" t="s">
        <v>386</v>
      </c>
      <c r="L275" s="502">
        <v>9.65</v>
      </c>
      <c r="M275" s="502">
        <v>10.31</v>
      </c>
      <c r="N275" s="500">
        <v>0.10299999999999999</v>
      </c>
      <c r="O275" s="500">
        <v>0.1</v>
      </c>
      <c r="P275" s="500">
        <v>0.112</v>
      </c>
      <c r="Q275" s="78">
        <v>0.44</v>
      </c>
      <c r="R275" s="78">
        <v>0.31740000000000002</v>
      </c>
      <c r="S275" s="69">
        <v>0</v>
      </c>
      <c r="T275" s="69">
        <v>0</v>
      </c>
      <c r="U275" s="500">
        <v>0.7</v>
      </c>
      <c r="V275" s="76">
        <v>0</v>
      </c>
      <c r="W275" s="76">
        <v>0</v>
      </c>
      <c r="X275" s="76"/>
    </row>
    <row r="276" spans="1:24" x14ac:dyDescent="0.25">
      <c r="A276" s="75" t="str">
        <f t="shared" si="8"/>
        <v>Adquisicion PF Wealth &amp; Premier Executive Apoyo Infonavit Pago_Fijo_Puntual 20</v>
      </c>
      <c r="B276" s="75" t="str">
        <f t="shared" si="9"/>
        <v>Adquisicion PF Wealth &amp; Premier Executive Apoyo Infonavit Pago_Fijo_Puntual 20 0.0965</v>
      </c>
      <c r="C276" s="75" t="s">
        <v>114</v>
      </c>
      <c r="D276" s="75" t="s">
        <v>132</v>
      </c>
      <c r="E276" s="75" t="s">
        <v>175</v>
      </c>
      <c r="F276" s="75"/>
      <c r="G276" s="75" t="s">
        <v>112</v>
      </c>
      <c r="H276" s="75"/>
      <c r="I276" s="75" t="s">
        <v>171</v>
      </c>
      <c r="J276" s="501">
        <v>20</v>
      </c>
      <c r="K276" s="501" t="s">
        <v>385</v>
      </c>
      <c r="L276" s="502">
        <v>9.66</v>
      </c>
      <c r="M276" s="502">
        <v>10.32</v>
      </c>
      <c r="N276" s="500">
        <v>9.6500000000000002E-2</v>
      </c>
      <c r="O276" s="500">
        <v>9.1999999999999998E-2</v>
      </c>
      <c r="P276" s="500">
        <v>0.10249999999999999</v>
      </c>
      <c r="Q276" s="78">
        <v>0.44</v>
      </c>
      <c r="R276" s="78">
        <v>0.31740000000000002</v>
      </c>
      <c r="S276" s="69">
        <v>0</v>
      </c>
      <c r="T276" s="69">
        <v>0</v>
      </c>
      <c r="U276" s="500">
        <v>0.7</v>
      </c>
      <c r="V276" s="76">
        <v>0</v>
      </c>
      <c r="W276" s="76">
        <v>0</v>
      </c>
      <c r="X276" s="76"/>
    </row>
    <row r="277" spans="1:24" x14ac:dyDescent="0.25">
      <c r="A277" s="75" t="str">
        <f t="shared" si="8"/>
        <v>Adquisicion PF Wealth &amp; Premier Executive Apoyo Infonavit Pago_Fijo_Puntual 20</v>
      </c>
      <c r="B277" s="75" t="str">
        <f t="shared" si="9"/>
        <v>Adquisicion PF Wealth &amp; Premier Executive Apoyo Infonavit Pago_Fijo_Puntual 20 0.103</v>
      </c>
      <c r="C277" s="75" t="s">
        <v>114</v>
      </c>
      <c r="D277" s="75" t="s">
        <v>132</v>
      </c>
      <c r="E277" s="75" t="s">
        <v>175</v>
      </c>
      <c r="F277" s="75"/>
      <c r="G277" s="75" t="s">
        <v>112</v>
      </c>
      <c r="H277" s="75"/>
      <c r="I277" s="75" t="s">
        <v>171</v>
      </c>
      <c r="J277" s="501">
        <v>20</v>
      </c>
      <c r="K277" s="501" t="s">
        <v>386</v>
      </c>
      <c r="L277" s="502">
        <v>10.16</v>
      </c>
      <c r="M277" s="502">
        <v>10.82</v>
      </c>
      <c r="N277" s="500">
        <v>0.10299999999999999</v>
      </c>
      <c r="O277" s="500">
        <v>0.1</v>
      </c>
      <c r="P277" s="500">
        <v>0.112</v>
      </c>
      <c r="Q277" s="78">
        <v>0.44</v>
      </c>
      <c r="R277" s="78">
        <v>0.31740000000000002</v>
      </c>
      <c r="S277" s="69">
        <v>0</v>
      </c>
      <c r="T277" s="69">
        <v>0</v>
      </c>
      <c r="U277" s="500">
        <v>0.7</v>
      </c>
      <c r="V277" s="76">
        <v>0</v>
      </c>
      <c r="W277" s="76">
        <v>0</v>
      </c>
      <c r="X277" s="76"/>
    </row>
    <row r="278" spans="1:24" x14ac:dyDescent="0.25">
      <c r="A278" s="75" t="str">
        <f t="shared" si="8"/>
        <v>Adquisicion PF Wealth &amp; Premier Executive Apoyo Infonavit Pago_Fijo_Puntual 15</v>
      </c>
      <c r="B278" s="75" t="str">
        <f t="shared" si="9"/>
        <v>Adquisicion PF Wealth &amp; Premier Executive Apoyo Infonavit Pago_Fijo_Puntual 15 0.0965</v>
      </c>
      <c r="C278" s="75" t="s">
        <v>114</v>
      </c>
      <c r="D278" s="75" t="s">
        <v>132</v>
      </c>
      <c r="E278" s="75" t="s">
        <v>175</v>
      </c>
      <c r="F278" s="75"/>
      <c r="G278" s="75" t="s">
        <v>112</v>
      </c>
      <c r="H278" s="75"/>
      <c r="I278" s="75" t="s">
        <v>171</v>
      </c>
      <c r="J278" s="501">
        <v>15</v>
      </c>
      <c r="K278" s="501" t="s">
        <v>385</v>
      </c>
      <c r="L278" s="502">
        <v>10.73</v>
      </c>
      <c r="M278" s="502">
        <v>11.39</v>
      </c>
      <c r="N278" s="500">
        <v>9.6500000000000002E-2</v>
      </c>
      <c r="O278" s="500">
        <v>9.1999999999999998E-2</v>
      </c>
      <c r="P278" s="500">
        <v>0.10249999999999999</v>
      </c>
      <c r="Q278" s="78">
        <v>0.44</v>
      </c>
      <c r="R278" s="78">
        <v>0.31740000000000002</v>
      </c>
      <c r="S278" s="69">
        <v>0</v>
      </c>
      <c r="T278" s="69">
        <v>0</v>
      </c>
      <c r="U278" s="500">
        <v>0.7</v>
      </c>
      <c r="V278" s="76">
        <v>0</v>
      </c>
      <c r="W278" s="76">
        <v>0</v>
      </c>
      <c r="X278" s="76"/>
    </row>
    <row r="279" spans="1:24" x14ac:dyDescent="0.25">
      <c r="A279" s="75" t="str">
        <f t="shared" si="8"/>
        <v>Adquisicion PF Wealth &amp; Premier Executive Apoyo Infonavit Pago_Fijo_Puntual 15</v>
      </c>
      <c r="B279" s="75" t="str">
        <f t="shared" si="9"/>
        <v>Adquisicion PF Wealth &amp; Premier Executive Apoyo Infonavit Pago_Fijo_Puntual 15 0.103</v>
      </c>
      <c r="C279" s="75" t="s">
        <v>114</v>
      </c>
      <c r="D279" s="75" t="s">
        <v>132</v>
      </c>
      <c r="E279" s="75" t="s">
        <v>175</v>
      </c>
      <c r="F279" s="75"/>
      <c r="G279" s="75" t="s">
        <v>112</v>
      </c>
      <c r="H279" s="75"/>
      <c r="I279" s="75" t="s">
        <v>171</v>
      </c>
      <c r="J279" s="501">
        <v>15</v>
      </c>
      <c r="K279" s="501" t="s">
        <v>386</v>
      </c>
      <c r="L279" s="502">
        <v>11.18</v>
      </c>
      <c r="M279" s="502">
        <v>11.84</v>
      </c>
      <c r="N279" s="500">
        <v>0.10299999999999999</v>
      </c>
      <c r="O279" s="500">
        <v>0.1</v>
      </c>
      <c r="P279" s="500">
        <v>0.112</v>
      </c>
      <c r="Q279" s="78">
        <v>0.44</v>
      </c>
      <c r="R279" s="78">
        <v>0.31740000000000002</v>
      </c>
      <c r="S279" s="69">
        <v>0</v>
      </c>
      <c r="T279" s="69">
        <v>0</v>
      </c>
      <c r="U279" s="500">
        <v>0.7</v>
      </c>
      <c r="V279" s="76">
        <v>0</v>
      </c>
      <c r="W279" s="76">
        <v>0</v>
      </c>
      <c r="X279" s="76"/>
    </row>
    <row r="280" spans="1:24" x14ac:dyDescent="0.25">
      <c r="A280" s="75" t="str">
        <f t="shared" si="8"/>
        <v>Adquisicion PF Wealth &amp; Premier Executive Apoyo Infonavit Pago_Fijo_Puntual 10</v>
      </c>
      <c r="B280" s="75" t="str">
        <f t="shared" si="9"/>
        <v>Adquisicion PF Wealth &amp; Premier Executive Apoyo Infonavit Pago_Fijo_Puntual 10 0.0965</v>
      </c>
      <c r="C280" s="75" t="s">
        <v>114</v>
      </c>
      <c r="D280" s="75" t="s">
        <v>132</v>
      </c>
      <c r="E280" s="75" t="s">
        <v>175</v>
      </c>
      <c r="F280" s="75"/>
      <c r="G280" s="75" t="s">
        <v>112</v>
      </c>
      <c r="H280" s="75"/>
      <c r="I280" s="75" t="s">
        <v>171</v>
      </c>
      <c r="J280" s="501">
        <v>10</v>
      </c>
      <c r="K280" s="501" t="s">
        <v>385</v>
      </c>
      <c r="L280" s="502">
        <v>13.16</v>
      </c>
      <c r="M280" s="502">
        <v>13.82</v>
      </c>
      <c r="N280" s="500">
        <v>9.6500000000000002E-2</v>
      </c>
      <c r="O280" s="500">
        <v>9.1999999999999998E-2</v>
      </c>
      <c r="P280" s="500">
        <v>0.10249999999999999</v>
      </c>
      <c r="Q280" s="78">
        <v>0.44</v>
      </c>
      <c r="R280" s="78">
        <v>0.31740000000000002</v>
      </c>
      <c r="S280" s="69">
        <v>0</v>
      </c>
      <c r="T280" s="69">
        <v>0</v>
      </c>
      <c r="U280" s="500">
        <v>0.7</v>
      </c>
      <c r="V280" s="76">
        <v>0</v>
      </c>
      <c r="W280" s="76">
        <v>0</v>
      </c>
      <c r="X280" s="76"/>
    </row>
    <row r="281" spans="1:24" x14ac:dyDescent="0.25">
      <c r="A281" s="75" t="str">
        <f t="shared" si="8"/>
        <v>Adquisicion PF Wealth &amp; Premier Executive Apoyo Infonavit Pago_Fijo_Puntual 10</v>
      </c>
      <c r="B281" s="75" t="str">
        <f t="shared" si="9"/>
        <v>Adquisicion PF Wealth &amp; Premier Executive Apoyo Infonavit Pago_Fijo_Puntual 10 0.103</v>
      </c>
      <c r="C281" s="75" t="s">
        <v>114</v>
      </c>
      <c r="D281" s="75" t="s">
        <v>132</v>
      </c>
      <c r="E281" s="75" t="s">
        <v>175</v>
      </c>
      <c r="F281" s="75"/>
      <c r="G281" s="75" t="s">
        <v>112</v>
      </c>
      <c r="H281" s="75"/>
      <c r="I281" s="75" t="s">
        <v>171</v>
      </c>
      <c r="J281" s="501">
        <v>10</v>
      </c>
      <c r="K281" s="501" t="s">
        <v>386</v>
      </c>
      <c r="L281" s="502">
        <v>13.54</v>
      </c>
      <c r="M281" s="502">
        <v>14.2</v>
      </c>
      <c r="N281" s="500">
        <v>0.10299999999999999</v>
      </c>
      <c r="O281" s="500">
        <v>0.1</v>
      </c>
      <c r="P281" s="500">
        <v>0.112</v>
      </c>
      <c r="Q281" s="78">
        <v>0.44</v>
      </c>
      <c r="R281" s="78">
        <v>0.31740000000000002</v>
      </c>
      <c r="S281" s="69">
        <v>0</v>
      </c>
      <c r="T281" s="69">
        <v>0</v>
      </c>
      <c r="U281" s="500">
        <v>0.7</v>
      </c>
      <c r="V281" s="76">
        <v>0</v>
      </c>
      <c r="W281" s="76">
        <v>0</v>
      </c>
      <c r="X281" s="76"/>
    </row>
    <row r="282" spans="1:24" x14ac:dyDescent="0.25">
      <c r="A282" s="75" t="str">
        <f t="shared" si="8"/>
        <v>Adquisicion PF Wealth &amp; Premier Executive Apoyo Infonavit Pago_Fijo_Puntual 5</v>
      </c>
      <c r="B282" s="75" t="str">
        <f t="shared" si="9"/>
        <v>Adquisicion PF Wealth &amp; Premier Executive Apoyo Infonavit Pago_Fijo_Puntual 5 0.0965</v>
      </c>
      <c r="C282" s="75" t="s">
        <v>114</v>
      </c>
      <c r="D282" s="75" t="s">
        <v>132</v>
      </c>
      <c r="E282" s="75" t="s">
        <v>175</v>
      </c>
      <c r="F282" s="75"/>
      <c r="G282" s="75" t="s">
        <v>112</v>
      </c>
      <c r="H282" s="75"/>
      <c r="I282" s="75" t="s">
        <v>171</v>
      </c>
      <c r="J282" s="501">
        <v>5</v>
      </c>
      <c r="K282" s="501" t="s">
        <v>385</v>
      </c>
      <c r="L282" s="502">
        <v>21.12</v>
      </c>
      <c r="M282" s="502">
        <v>21.78</v>
      </c>
      <c r="N282" s="500">
        <v>9.6500000000000002E-2</v>
      </c>
      <c r="O282" s="500">
        <v>9.1999999999999998E-2</v>
      </c>
      <c r="P282" s="500">
        <v>0.10249999999999999</v>
      </c>
      <c r="Q282" s="78">
        <v>0.44</v>
      </c>
      <c r="R282" s="78">
        <v>0.31740000000000002</v>
      </c>
      <c r="S282" s="69">
        <v>0</v>
      </c>
      <c r="T282" s="69">
        <v>0</v>
      </c>
      <c r="U282" s="500">
        <v>0.7</v>
      </c>
      <c r="V282" s="76">
        <v>0</v>
      </c>
      <c r="W282" s="76">
        <v>0</v>
      </c>
      <c r="X282" s="76"/>
    </row>
    <row r="283" spans="1:24" x14ac:dyDescent="0.25">
      <c r="A283" s="75" t="str">
        <f t="shared" si="8"/>
        <v>Adquisicion PF Wealth &amp; Premier Executive Apoyo Infonavit Pago_Fijo_Puntual 5</v>
      </c>
      <c r="B283" s="75" t="str">
        <f t="shared" si="9"/>
        <v>Adquisicion PF Wealth &amp; Premier Executive Apoyo Infonavit Pago_Fijo_Puntual 5 0.103</v>
      </c>
      <c r="C283" s="75" t="s">
        <v>114</v>
      </c>
      <c r="D283" s="75" t="s">
        <v>132</v>
      </c>
      <c r="E283" s="75" t="s">
        <v>175</v>
      </c>
      <c r="F283" s="75"/>
      <c r="G283" s="75" t="s">
        <v>112</v>
      </c>
      <c r="H283" s="75"/>
      <c r="I283" s="75" t="s">
        <v>171</v>
      </c>
      <c r="J283" s="501">
        <v>5</v>
      </c>
      <c r="K283" s="501" t="s">
        <v>386</v>
      </c>
      <c r="L283" s="502">
        <v>21.44</v>
      </c>
      <c r="M283" s="502">
        <v>22.1</v>
      </c>
      <c r="N283" s="500">
        <v>0.10299999999999999</v>
      </c>
      <c r="O283" s="500">
        <v>0.1</v>
      </c>
      <c r="P283" s="500">
        <v>0.112</v>
      </c>
      <c r="Q283" s="78">
        <v>0.44</v>
      </c>
      <c r="R283" s="78">
        <v>0.31740000000000002</v>
      </c>
      <c r="S283" s="69">
        <v>0</v>
      </c>
      <c r="T283" s="69">
        <v>0</v>
      </c>
      <c r="U283" s="500">
        <v>0.7</v>
      </c>
      <c r="V283" s="76">
        <v>0</v>
      </c>
      <c r="W283" s="76">
        <v>0</v>
      </c>
      <c r="X283" s="76"/>
    </row>
    <row r="284" spans="1:24" x14ac:dyDescent="0.25">
      <c r="A284" s="75" t="str">
        <f t="shared" si="8"/>
        <v>Adquisicion PF Wealth &amp; Premier Executive Cofinavit Pago_Fijo_Puntual 25</v>
      </c>
      <c r="B284" s="75" t="str">
        <f t="shared" si="9"/>
        <v>Adquisicion PF Wealth &amp; Premier Executive Cofinavit Pago_Fijo_Puntual 25 0.0965</v>
      </c>
      <c r="C284" s="75" t="s">
        <v>114</v>
      </c>
      <c r="D284" s="75" t="s">
        <v>132</v>
      </c>
      <c r="E284" s="75" t="s">
        <v>175</v>
      </c>
      <c r="F284" s="75"/>
      <c r="G284" s="75" t="s">
        <v>113</v>
      </c>
      <c r="H284" s="75"/>
      <c r="I284" s="75" t="s">
        <v>171</v>
      </c>
      <c r="J284" s="501">
        <v>25</v>
      </c>
      <c r="K284" s="501" t="s">
        <v>385</v>
      </c>
      <c r="L284" s="502">
        <v>9.11</v>
      </c>
      <c r="M284" s="502">
        <v>9.77</v>
      </c>
      <c r="N284" s="500">
        <v>9.6500000000000002E-2</v>
      </c>
      <c r="O284" s="500">
        <v>9.1999999999999998E-2</v>
      </c>
      <c r="P284" s="500">
        <v>0.10249999999999999</v>
      </c>
      <c r="Q284" s="78">
        <v>0.44</v>
      </c>
      <c r="R284" s="78">
        <v>0.31740000000000002</v>
      </c>
      <c r="S284" s="69">
        <v>0</v>
      </c>
      <c r="T284" s="69">
        <v>0</v>
      </c>
      <c r="U284" s="500">
        <v>0.7</v>
      </c>
      <c r="V284" s="76">
        <v>0</v>
      </c>
      <c r="W284" s="76">
        <v>0</v>
      </c>
      <c r="X284" s="76"/>
    </row>
    <row r="285" spans="1:24" x14ac:dyDescent="0.25">
      <c r="A285" s="75" t="str">
        <f t="shared" si="8"/>
        <v>Adquisicion PF Wealth &amp; Premier Executive Cofinavit Pago_Fijo_Puntual 25</v>
      </c>
      <c r="B285" s="75" t="str">
        <f t="shared" si="9"/>
        <v>Adquisicion PF Wealth &amp; Premier Executive Cofinavit Pago_Fijo_Puntual 25 0.103</v>
      </c>
      <c r="C285" s="75" t="s">
        <v>114</v>
      </c>
      <c r="D285" s="75" t="s">
        <v>132</v>
      </c>
      <c r="E285" s="75" t="s">
        <v>175</v>
      </c>
      <c r="F285" s="75"/>
      <c r="G285" s="75" t="s">
        <v>113</v>
      </c>
      <c r="H285" s="75"/>
      <c r="I285" s="75" t="s">
        <v>171</v>
      </c>
      <c r="J285" s="501">
        <v>25</v>
      </c>
      <c r="K285" s="501" t="s">
        <v>386</v>
      </c>
      <c r="L285" s="502">
        <v>9.65</v>
      </c>
      <c r="M285" s="502">
        <v>10.31</v>
      </c>
      <c r="N285" s="500">
        <v>0.10299999999999999</v>
      </c>
      <c r="O285" s="500">
        <v>0.1</v>
      </c>
      <c r="P285" s="500">
        <v>0.112</v>
      </c>
      <c r="Q285" s="78">
        <v>0.44</v>
      </c>
      <c r="R285" s="78">
        <v>0.31740000000000002</v>
      </c>
      <c r="S285" s="69">
        <v>0</v>
      </c>
      <c r="T285" s="69">
        <v>0</v>
      </c>
      <c r="U285" s="500">
        <v>0.7</v>
      </c>
      <c r="V285" s="76">
        <v>0</v>
      </c>
      <c r="W285" s="76">
        <v>0</v>
      </c>
      <c r="X285" s="76"/>
    </row>
    <row r="286" spans="1:24" x14ac:dyDescent="0.25">
      <c r="A286" s="75" t="str">
        <f t="shared" si="8"/>
        <v>Adquisicion PF Wealth &amp; Premier Executive Cofinavit Pago_Fijo_Puntual 20</v>
      </c>
      <c r="B286" s="75" t="str">
        <f t="shared" si="9"/>
        <v>Adquisicion PF Wealth &amp; Premier Executive Cofinavit Pago_Fijo_Puntual 20 0.0965</v>
      </c>
      <c r="C286" s="75" t="s">
        <v>114</v>
      </c>
      <c r="D286" s="75" t="s">
        <v>132</v>
      </c>
      <c r="E286" s="75" t="s">
        <v>175</v>
      </c>
      <c r="F286" s="75"/>
      <c r="G286" s="75" t="s">
        <v>113</v>
      </c>
      <c r="H286" s="75"/>
      <c r="I286" s="75" t="s">
        <v>171</v>
      </c>
      <c r="J286" s="501">
        <v>20</v>
      </c>
      <c r="K286" s="501" t="s">
        <v>385</v>
      </c>
      <c r="L286" s="502">
        <v>9.66</v>
      </c>
      <c r="M286" s="502">
        <v>10.32</v>
      </c>
      <c r="N286" s="500">
        <v>9.6500000000000002E-2</v>
      </c>
      <c r="O286" s="500">
        <v>9.1999999999999998E-2</v>
      </c>
      <c r="P286" s="500">
        <v>0.10249999999999999</v>
      </c>
      <c r="Q286" s="78">
        <v>0.44</v>
      </c>
      <c r="R286" s="78">
        <v>0.31740000000000002</v>
      </c>
      <c r="S286" s="69">
        <v>0</v>
      </c>
      <c r="T286" s="69">
        <v>0</v>
      </c>
      <c r="U286" s="500">
        <v>0.7</v>
      </c>
      <c r="V286" s="76">
        <v>0</v>
      </c>
      <c r="W286" s="76">
        <v>0</v>
      </c>
      <c r="X286" s="76"/>
    </row>
    <row r="287" spans="1:24" x14ac:dyDescent="0.25">
      <c r="A287" s="75" t="str">
        <f t="shared" si="8"/>
        <v>Adquisicion PF Wealth &amp; Premier Executive Cofinavit Pago_Fijo_Puntual 20</v>
      </c>
      <c r="B287" s="75" t="str">
        <f t="shared" si="9"/>
        <v>Adquisicion PF Wealth &amp; Premier Executive Cofinavit Pago_Fijo_Puntual 20 0.103</v>
      </c>
      <c r="C287" s="75" t="s">
        <v>114</v>
      </c>
      <c r="D287" s="75" t="s">
        <v>132</v>
      </c>
      <c r="E287" s="75" t="s">
        <v>175</v>
      </c>
      <c r="F287" s="75"/>
      <c r="G287" s="75" t="s">
        <v>113</v>
      </c>
      <c r="H287" s="75"/>
      <c r="I287" s="75" t="s">
        <v>171</v>
      </c>
      <c r="J287" s="501">
        <v>20</v>
      </c>
      <c r="K287" s="501" t="s">
        <v>386</v>
      </c>
      <c r="L287" s="502">
        <v>10.16</v>
      </c>
      <c r="M287" s="502">
        <v>10.82</v>
      </c>
      <c r="N287" s="500">
        <v>0.10299999999999999</v>
      </c>
      <c r="O287" s="500">
        <v>0.1</v>
      </c>
      <c r="P287" s="500">
        <v>0.112</v>
      </c>
      <c r="Q287" s="78">
        <v>0.44</v>
      </c>
      <c r="R287" s="78">
        <v>0.31740000000000002</v>
      </c>
      <c r="S287" s="69">
        <v>0</v>
      </c>
      <c r="T287" s="69">
        <v>0</v>
      </c>
      <c r="U287" s="500">
        <v>0.7</v>
      </c>
      <c r="V287" s="76">
        <v>0</v>
      </c>
      <c r="W287" s="76">
        <v>0</v>
      </c>
      <c r="X287" s="76"/>
    </row>
    <row r="288" spans="1:24" x14ac:dyDescent="0.25">
      <c r="A288" s="75" t="str">
        <f t="shared" si="8"/>
        <v>Adquisicion PF Wealth &amp; Premier Executive Cofinavit Pago_Fijo_Puntual 15</v>
      </c>
      <c r="B288" s="75" t="str">
        <f t="shared" si="9"/>
        <v>Adquisicion PF Wealth &amp; Premier Executive Cofinavit Pago_Fijo_Puntual 15 0.0965</v>
      </c>
      <c r="C288" s="75" t="s">
        <v>114</v>
      </c>
      <c r="D288" s="75" t="s">
        <v>132</v>
      </c>
      <c r="E288" s="75" t="s">
        <v>175</v>
      </c>
      <c r="F288" s="75"/>
      <c r="G288" s="75" t="s">
        <v>113</v>
      </c>
      <c r="H288" s="75"/>
      <c r="I288" s="75" t="s">
        <v>171</v>
      </c>
      <c r="J288" s="501">
        <v>15</v>
      </c>
      <c r="K288" s="501" t="s">
        <v>385</v>
      </c>
      <c r="L288" s="502">
        <v>10.73</v>
      </c>
      <c r="M288" s="502">
        <v>11.39</v>
      </c>
      <c r="N288" s="500">
        <v>9.6500000000000002E-2</v>
      </c>
      <c r="O288" s="500">
        <v>9.1999999999999998E-2</v>
      </c>
      <c r="P288" s="500">
        <v>0.10249999999999999</v>
      </c>
      <c r="Q288" s="78">
        <v>0.44</v>
      </c>
      <c r="R288" s="78">
        <v>0.31740000000000002</v>
      </c>
      <c r="S288" s="69">
        <v>0</v>
      </c>
      <c r="T288" s="69">
        <v>0</v>
      </c>
      <c r="U288" s="500">
        <v>0.7</v>
      </c>
      <c r="V288" s="76">
        <v>0</v>
      </c>
      <c r="W288" s="76">
        <v>0</v>
      </c>
      <c r="X288" s="76"/>
    </row>
    <row r="289" spans="1:24" x14ac:dyDescent="0.25">
      <c r="A289" s="75" t="str">
        <f t="shared" si="8"/>
        <v>Adquisicion PF Wealth &amp; Premier Executive Cofinavit Pago_Fijo_Puntual 15</v>
      </c>
      <c r="B289" s="75" t="str">
        <f t="shared" si="9"/>
        <v>Adquisicion PF Wealth &amp; Premier Executive Cofinavit Pago_Fijo_Puntual 15 0.103</v>
      </c>
      <c r="C289" s="75" t="s">
        <v>114</v>
      </c>
      <c r="D289" s="75" t="s">
        <v>132</v>
      </c>
      <c r="E289" s="75" t="s">
        <v>175</v>
      </c>
      <c r="F289" s="75"/>
      <c r="G289" s="75" t="s">
        <v>113</v>
      </c>
      <c r="H289" s="75"/>
      <c r="I289" s="75" t="s">
        <v>171</v>
      </c>
      <c r="J289" s="501">
        <v>15</v>
      </c>
      <c r="K289" s="501" t="s">
        <v>386</v>
      </c>
      <c r="L289" s="502">
        <v>11.18</v>
      </c>
      <c r="M289" s="502">
        <v>11.84</v>
      </c>
      <c r="N289" s="500">
        <v>0.10299999999999999</v>
      </c>
      <c r="O289" s="500">
        <v>0.1</v>
      </c>
      <c r="P289" s="500">
        <v>0.112</v>
      </c>
      <c r="Q289" s="78">
        <v>0.44</v>
      </c>
      <c r="R289" s="78">
        <v>0.31740000000000002</v>
      </c>
      <c r="S289" s="69">
        <v>0</v>
      </c>
      <c r="T289" s="69">
        <v>0</v>
      </c>
      <c r="U289" s="500">
        <v>0.7</v>
      </c>
      <c r="V289" s="76">
        <v>0</v>
      </c>
      <c r="W289" s="76">
        <v>0</v>
      </c>
      <c r="X289" s="76"/>
    </row>
    <row r="290" spans="1:24" x14ac:dyDescent="0.25">
      <c r="A290" s="75" t="str">
        <f t="shared" si="8"/>
        <v>Adquisicion PF Wealth &amp; Premier Executive Cofinavit Pago_Fijo_Puntual 10</v>
      </c>
      <c r="B290" s="75" t="str">
        <f t="shared" si="9"/>
        <v>Adquisicion PF Wealth &amp; Premier Executive Cofinavit Pago_Fijo_Puntual 10 0.0965</v>
      </c>
      <c r="C290" s="75" t="s">
        <v>114</v>
      </c>
      <c r="D290" s="75" t="s">
        <v>132</v>
      </c>
      <c r="E290" s="75" t="s">
        <v>175</v>
      </c>
      <c r="F290" s="75"/>
      <c r="G290" s="75" t="s">
        <v>113</v>
      </c>
      <c r="H290" s="75"/>
      <c r="I290" s="75" t="s">
        <v>171</v>
      </c>
      <c r="J290" s="501">
        <v>10</v>
      </c>
      <c r="K290" s="501" t="s">
        <v>385</v>
      </c>
      <c r="L290" s="502">
        <v>13.16</v>
      </c>
      <c r="M290" s="502">
        <v>13.82</v>
      </c>
      <c r="N290" s="500">
        <v>9.6500000000000002E-2</v>
      </c>
      <c r="O290" s="500">
        <v>9.1999999999999998E-2</v>
      </c>
      <c r="P290" s="500">
        <v>0.10249999999999999</v>
      </c>
      <c r="Q290" s="78">
        <v>0.44</v>
      </c>
      <c r="R290" s="78">
        <v>0.31740000000000002</v>
      </c>
      <c r="S290" s="69">
        <v>0</v>
      </c>
      <c r="T290" s="69">
        <v>0</v>
      </c>
      <c r="U290" s="500">
        <v>0.7</v>
      </c>
      <c r="V290" s="76">
        <v>0</v>
      </c>
      <c r="W290" s="76">
        <v>0</v>
      </c>
      <c r="X290" s="76"/>
    </row>
    <row r="291" spans="1:24" x14ac:dyDescent="0.25">
      <c r="A291" s="75" t="str">
        <f t="shared" si="8"/>
        <v>Adquisicion PF Wealth &amp; Premier Executive Cofinavit Pago_Fijo_Puntual 10</v>
      </c>
      <c r="B291" s="75" t="str">
        <f t="shared" si="9"/>
        <v>Adquisicion PF Wealth &amp; Premier Executive Cofinavit Pago_Fijo_Puntual 10 0.103</v>
      </c>
      <c r="C291" s="75" t="s">
        <v>114</v>
      </c>
      <c r="D291" s="75" t="s">
        <v>132</v>
      </c>
      <c r="E291" s="75" t="s">
        <v>175</v>
      </c>
      <c r="F291" s="75"/>
      <c r="G291" s="75" t="s">
        <v>113</v>
      </c>
      <c r="H291" s="75"/>
      <c r="I291" s="75" t="s">
        <v>171</v>
      </c>
      <c r="J291" s="501">
        <v>10</v>
      </c>
      <c r="K291" s="501" t="s">
        <v>386</v>
      </c>
      <c r="L291" s="502">
        <v>13.54</v>
      </c>
      <c r="M291" s="502">
        <v>14.2</v>
      </c>
      <c r="N291" s="500">
        <v>0.10299999999999999</v>
      </c>
      <c r="O291" s="500">
        <v>0.1</v>
      </c>
      <c r="P291" s="500">
        <v>0.112</v>
      </c>
      <c r="Q291" s="78">
        <v>0.44</v>
      </c>
      <c r="R291" s="78">
        <v>0.31740000000000002</v>
      </c>
      <c r="S291" s="69">
        <v>0</v>
      </c>
      <c r="T291" s="69">
        <v>0</v>
      </c>
      <c r="U291" s="500">
        <v>0.7</v>
      </c>
      <c r="V291" s="76">
        <v>0</v>
      </c>
      <c r="W291" s="76">
        <v>0</v>
      </c>
      <c r="X291" s="76"/>
    </row>
    <row r="292" spans="1:24" x14ac:dyDescent="0.25">
      <c r="A292" s="75" t="str">
        <f t="shared" si="8"/>
        <v>Adquisicion PF Wealth &amp; Premier Executive Cofinavit Pago_Fijo_Puntual 5</v>
      </c>
      <c r="B292" s="75" t="str">
        <f t="shared" si="9"/>
        <v>Adquisicion PF Wealth &amp; Premier Executive Cofinavit Pago_Fijo_Puntual 5 0.0965</v>
      </c>
      <c r="C292" s="75" t="s">
        <v>114</v>
      </c>
      <c r="D292" s="75" t="s">
        <v>132</v>
      </c>
      <c r="E292" s="75" t="s">
        <v>175</v>
      </c>
      <c r="F292" s="75"/>
      <c r="G292" s="75" t="s">
        <v>113</v>
      </c>
      <c r="H292" s="75"/>
      <c r="I292" s="75" t="s">
        <v>171</v>
      </c>
      <c r="J292" s="501">
        <v>5</v>
      </c>
      <c r="K292" s="501" t="s">
        <v>385</v>
      </c>
      <c r="L292" s="502">
        <v>21.12</v>
      </c>
      <c r="M292" s="502">
        <v>21.78</v>
      </c>
      <c r="N292" s="500">
        <v>9.6500000000000002E-2</v>
      </c>
      <c r="O292" s="500">
        <v>9.1999999999999998E-2</v>
      </c>
      <c r="P292" s="500">
        <v>0.10249999999999999</v>
      </c>
      <c r="Q292" s="78">
        <v>0.44</v>
      </c>
      <c r="R292" s="78">
        <v>0.31740000000000002</v>
      </c>
      <c r="S292" s="69">
        <v>0</v>
      </c>
      <c r="T292" s="69">
        <v>0</v>
      </c>
      <c r="U292" s="500">
        <v>0.7</v>
      </c>
      <c r="V292" s="76">
        <v>0</v>
      </c>
      <c r="W292" s="76">
        <v>0</v>
      </c>
      <c r="X292" s="76"/>
    </row>
    <row r="293" spans="1:24" x14ac:dyDescent="0.25">
      <c r="A293" s="75" t="str">
        <f t="shared" si="8"/>
        <v>Adquisicion PF Wealth &amp; Premier Executive Cofinavit Pago_Fijo_Puntual 5</v>
      </c>
      <c r="B293" s="75" t="str">
        <f t="shared" si="9"/>
        <v>Adquisicion PF Wealth &amp; Premier Executive Cofinavit Pago_Fijo_Puntual 5 0.103</v>
      </c>
      <c r="C293" s="75" t="s">
        <v>114</v>
      </c>
      <c r="D293" s="75" t="s">
        <v>132</v>
      </c>
      <c r="E293" s="75" t="s">
        <v>175</v>
      </c>
      <c r="F293" s="75"/>
      <c r="G293" s="75" t="s">
        <v>113</v>
      </c>
      <c r="H293" s="75"/>
      <c r="I293" s="75" t="s">
        <v>171</v>
      </c>
      <c r="J293" s="501">
        <v>5</v>
      </c>
      <c r="K293" s="501" t="s">
        <v>386</v>
      </c>
      <c r="L293" s="502">
        <v>21.44</v>
      </c>
      <c r="M293" s="502">
        <v>22.1</v>
      </c>
      <c r="N293" s="500">
        <v>0.10299999999999999</v>
      </c>
      <c r="O293" s="500">
        <v>0.1</v>
      </c>
      <c r="P293" s="500">
        <v>0.112</v>
      </c>
      <c r="Q293" s="78">
        <v>0.44</v>
      </c>
      <c r="R293" s="78">
        <v>0.31740000000000002</v>
      </c>
      <c r="S293" s="69">
        <v>0</v>
      </c>
      <c r="T293" s="69">
        <v>0</v>
      </c>
      <c r="U293" s="500">
        <v>0.7</v>
      </c>
      <c r="V293" s="76">
        <v>0</v>
      </c>
      <c r="W293" s="76">
        <v>0</v>
      </c>
      <c r="X293" s="76"/>
    </row>
    <row r="294" spans="1:24" x14ac:dyDescent="0.25">
      <c r="A294" s="75" t="str">
        <f t="shared" si="8"/>
        <v>Pago_de_Hipoteca PF Wealth &amp; Premier Executive Pago_Fijo_Puntual 20</v>
      </c>
      <c r="B294" s="75" t="str">
        <f t="shared" si="9"/>
        <v>Pago_de_Hipoteca PF Wealth &amp; Premier Executive Pago_Fijo_Puntual 20 0.0965</v>
      </c>
      <c r="C294" s="75" t="s">
        <v>173</v>
      </c>
      <c r="D294" s="75" t="s">
        <v>132</v>
      </c>
      <c r="E294" s="75" t="s">
        <v>175</v>
      </c>
      <c r="F294" s="75"/>
      <c r="G294" s="75"/>
      <c r="H294" s="75"/>
      <c r="I294" s="75" t="s">
        <v>171</v>
      </c>
      <c r="J294" s="501">
        <v>20</v>
      </c>
      <c r="K294" s="501" t="s">
        <v>385</v>
      </c>
      <c r="L294" s="502">
        <v>9.66</v>
      </c>
      <c r="M294" s="502">
        <v>10.32</v>
      </c>
      <c r="N294" s="500">
        <v>9.6500000000000002E-2</v>
      </c>
      <c r="O294" s="500">
        <v>9.1999999999999998E-2</v>
      </c>
      <c r="P294" s="500">
        <v>0.10249999999999999</v>
      </c>
      <c r="Q294" s="78">
        <v>0.44</v>
      </c>
      <c r="R294" s="78">
        <v>0.31740000000000002</v>
      </c>
      <c r="S294" s="69">
        <v>0</v>
      </c>
      <c r="T294" s="69">
        <v>0</v>
      </c>
      <c r="U294" s="500">
        <v>0.7</v>
      </c>
      <c r="V294" s="76">
        <v>0</v>
      </c>
      <c r="W294" s="76">
        <v>0</v>
      </c>
      <c r="X294" s="76"/>
    </row>
    <row r="295" spans="1:24" x14ac:dyDescent="0.25">
      <c r="A295" s="75" t="str">
        <f t="shared" si="8"/>
        <v>Pago_de_Hipoteca PF Wealth &amp; Premier Executive Pago_Fijo_Puntual 20</v>
      </c>
      <c r="B295" s="75" t="str">
        <f t="shared" si="9"/>
        <v>Pago_de_Hipoteca PF Wealth &amp; Premier Executive Pago_Fijo_Puntual 20 0.103</v>
      </c>
      <c r="C295" s="75" t="s">
        <v>173</v>
      </c>
      <c r="D295" s="75" t="s">
        <v>132</v>
      </c>
      <c r="E295" s="75" t="s">
        <v>175</v>
      </c>
      <c r="F295" s="75"/>
      <c r="G295" s="75"/>
      <c r="H295" s="75"/>
      <c r="I295" s="75" t="s">
        <v>171</v>
      </c>
      <c r="J295" s="501">
        <v>20</v>
      </c>
      <c r="K295" s="501" t="s">
        <v>386</v>
      </c>
      <c r="L295" s="502">
        <v>10.16</v>
      </c>
      <c r="M295" s="502">
        <v>10.82</v>
      </c>
      <c r="N295" s="500">
        <v>0.10299999999999999</v>
      </c>
      <c r="O295" s="500">
        <v>0.1</v>
      </c>
      <c r="P295" s="500">
        <v>0.112</v>
      </c>
      <c r="Q295" s="78">
        <v>0.44</v>
      </c>
      <c r="R295" s="78">
        <v>0.31740000000000002</v>
      </c>
      <c r="S295" s="69">
        <v>0</v>
      </c>
      <c r="T295" s="69">
        <v>0</v>
      </c>
      <c r="U295" s="500">
        <v>0.7</v>
      </c>
      <c r="V295" s="76">
        <v>0</v>
      </c>
      <c r="W295" s="76">
        <v>0</v>
      </c>
      <c r="X295" s="76"/>
    </row>
    <row r="296" spans="1:24" x14ac:dyDescent="0.25">
      <c r="A296" s="75" t="str">
        <f t="shared" si="8"/>
        <v>Pago_de_Hipoteca PF Wealth &amp; Premier Executive Pago_Fijo_Puntual 19</v>
      </c>
      <c r="B296" s="75" t="str">
        <f t="shared" si="9"/>
        <v>Pago_de_Hipoteca PF Wealth &amp; Premier Executive Pago_Fijo_Puntual 19 0.0965</v>
      </c>
      <c r="C296" s="75" t="s">
        <v>173</v>
      </c>
      <c r="D296" s="75" t="s">
        <v>132</v>
      </c>
      <c r="E296" s="75" t="s">
        <v>175</v>
      </c>
      <c r="F296" s="75"/>
      <c r="G296" s="75"/>
      <c r="H296" s="75"/>
      <c r="I296" s="75" t="s">
        <v>171</v>
      </c>
      <c r="J296" s="501">
        <v>19</v>
      </c>
      <c r="K296" s="501" t="s">
        <v>385</v>
      </c>
      <c r="L296" s="502">
        <v>9.82</v>
      </c>
      <c r="M296" s="502">
        <v>10.48</v>
      </c>
      <c r="N296" s="500">
        <v>9.6500000000000002E-2</v>
      </c>
      <c r="O296" s="500">
        <v>9.1999999999999998E-2</v>
      </c>
      <c r="P296" s="500">
        <v>0.10249999999999999</v>
      </c>
      <c r="Q296" s="78">
        <v>0.44</v>
      </c>
      <c r="R296" s="78">
        <v>0.31740000000000002</v>
      </c>
      <c r="S296" s="69">
        <v>0</v>
      </c>
      <c r="T296" s="69">
        <v>0</v>
      </c>
      <c r="U296" s="500">
        <v>0.7</v>
      </c>
      <c r="V296" s="76">
        <v>0</v>
      </c>
      <c r="W296" s="76">
        <v>0</v>
      </c>
      <c r="X296" s="76"/>
    </row>
    <row r="297" spans="1:24" x14ac:dyDescent="0.25">
      <c r="A297" s="75" t="str">
        <f t="shared" si="8"/>
        <v>Pago_de_Hipoteca PF Wealth &amp; Premier Executive Pago_Fijo_Puntual 19</v>
      </c>
      <c r="B297" s="75" t="str">
        <f t="shared" si="9"/>
        <v>Pago_de_Hipoteca PF Wealth &amp; Premier Executive Pago_Fijo_Puntual 19 0.103</v>
      </c>
      <c r="C297" s="75" t="s">
        <v>173</v>
      </c>
      <c r="D297" s="75" t="s">
        <v>132</v>
      </c>
      <c r="E297" s="75" t="s">
        <v>175</v>
      </c>
      <c r="F297" s="75"/>
      <c r="G297" s="75"/>
      <c r="H297" s="75"/>
      <c r="I297" s="75" t="s">
        <v>171</v>
      </c>
      <c r="J297" s="501">
        <v>19</v>
      </c>
      <c r="K297" s="501" t="s">
        <v>386</v>
      </c>
      <c r="L297" s="502">
        <v>10.3</v>
      </c>
      <c r="M297" s="502">
        <v>10.96</v>
      </c>
      <c r="N297" s="500">
        <v>0.10299999999999999</v>
      </c>
      <c r="O297" s="500">
        <v>0.1</v>
      </c>
      <c r="P297" s="500">
        <v>0.112</v>
      </c>
      <c r="Q297" s="78">
        <v>0.44</v>
      </c>
      <c r="R297" s="78">
        <v>0.31740000000000002</v>
      </c>
      <c r="S297" s="69">
        <v>0</v>
      </c>
      <c r="T297" s="69">
        <v>0</v>
      </c>
      <c r="U297" s="500">
        <v>0.7</v>
      </c>
      <c r="V297" s="76">
        <v>0</v>
      </c>
      <c r="W297" s="76">
        <v>0</v>
      </c>
      <c r="X297" s="76"/>
    </row>
    <row r="298" spans="1:24" x14ac:dyDescent="0.25">
      <c r="A298" s="75" t="str">
        <f t="shared" si="8"/>
        <v>Pago_de_Hipoteca PF Wealth &amp; Premier Executive Pago_Fijo_Puntual 18</v>
      </c>
      <c r="B298" s="75" t="str">
        <f t="shared" si="9"/>
        <v>Pago_de_Hipoteca PF Wealth &amp; Premier Executive Pago_Fijo_Puntual 18 0.0965</v>
      </c>
      <c r="C298" s="75" t="s">
        <v>173</v>
      </c>
      <c r="D298" s="75" t="s">
        <v>132</v>
      </c>
      <c r="E298" s="75" t="s">
        <v>175</v>
      </c>
      <c r="F298" s="75"/>
      <c r="G298" s="75"/>
      <c r="H298" s="75"/>
      <c r="I298" s="75" t="s">
        <v>171</v>
      </c>
      <c r="J298" s="501">
        <v>18</v>
      </c>
      <c r="K298" s="501" t="s">
        <v>385</v>
      </c>
      <c r="L298" s="502">
        <v>10</v>
      </c>
      <c r="M298" s="502">
        <v>10.66</v>
      </c>
      <c r="N298" s="500">
        <v>9.6500000000000002E-2</v>
      </c>
      <c r="O298" s="500">
        <v>9.1999999999999998E-2</v>
      </c>
      <c r="P298" s="500">
        <v>0.10249999999999999</v>
      </c>
      <c r="Q298" s="78">
        <v>0.44</v>
      </c>
      <c r="R298" s="78">
        <v>0.31740000000000002</v>
      </c>
      <c r="S298" s="69">
        <v>0</v>
      </c>
      <c r="T298" s="69">
        <v>0</v>
      </c>
      <c r="U298" s="500">
        <v>0.7</v>
      </c>
      <c r="V298" s="76">
        <v>0</v>
      </c>
      <c r="W298" s="76">
        <v>0</v>
      </c>
      <c r="X298" s="76"/>
    </row>
    <row r="299" spans="1:24" x14ac:dyDescent="0.25">
      <c r="A299" s="75" t="str">
        <f t="shared" si="8"/>
        <v>Pago_de_Hipoteca PF Wealth &amp; Premier Executive Pago_Fijo_Puntual 18</v>
      </c>
      <c r="B299" s="75" t="str">
        <f t="shared" si="9"/>
        <v>Pago_de_Hipoteca PF Wealth &amp; Premier Executive Pago_Fijo_Puntual 18 0.103</v>
      </c>
      <c r="C299" s="75" t="s">
        <v>173</v>
      </c>
      <c r="D299" s="75" t="s">
        <v>132</v>
      </c>
      <c r="E299" s="75" t="s">
        <v>175</v>
      </c>
      <c r="F299" s="75"/>
      <c r="G299" s="75"/>
      <c r="H299" s="75"/>
      <c r="I299" s="75" t="s">
        <v>171</v>
      </c>
      <c r="J299" s="501">
        <v>18</v>
      </c>
      <c r="K299" s="501" t="s">
        <v>386</v>
      </c>
      <c r="L299" s="502">
        <v>10.47</v>
      </c>
      <c r="M299" s="502">
        <v>11.13</v>
      </c>
      <c r="N299" s="500">
        <v>0.10299999999999999</v>
      </c>
      <c r="O299" s="500">
        <v>0.1</v>
      </c>
      <c r="P299" s="500">
        <v>0.112</v>
      </c>
      <c r="Q299" s="78">
        <v>0.44</v>
      </c>
      <c r="R299" s="78">
        <v>0.31740000000000002</v>
      </c>
      <c r="S299" s="69">
        <v>0</v>
      </c>
      <c r="T299" s="69">
        <v>0</v>
      </c>
      <c r="U299" s="500">
        <v>0.7</v>
      </c>
      <c r="V299" s="76">
        <v>0</v>
      </c>
      <c r="W299" s="76">
        <v>0</v>
      </c>
      <c r="X299" s="76"/>
    </row>
    <row r="300" spans="1:24" x14ac:dyDescent="0.25">
      <c r="A300" s="75" t="str">
        <f t="shared" si="8"/>
        <v>Pago_de_Hipoteca PF Wealth &amp; Premier Executive Pago_Fijo_Puntual 17</v>
      </c>
      <c r="B300" s="75" t="str">
        <f t="shared" si="9"/>
        <v>Pago_de_Hipoteca PF Wealth &amp; Premier Executive Pago_Fijo_Puntual 17 0.0965</v>
      </c>
      <c r="C300" s="75" t="s">
        <v>173</v>
      </c>
      <c r="D300" s="75" t="s">
        <v>132</v>
      </c>
      <c r="E300" s="75" t="s">
        <v>175</v>
      </c>
      <c r="F300" s="75"/>
      <c r="G300" s="75"/>
      <c r="H300" s="75"/>
      <c r="I300" s="75" t="s">
        <v>171</v>
      </c>
      <c r="J300" s="501">
        <v>17</v>
      </c>
      <c r="K300" s="501" t="s">
        <v>385</v>
      </c>
      <c r="L300" s="502">
        <v>10.210000000000001</v>
      </c>
      <c r="M300" s="502">
        <v>10.87</v>
      </c>
      <c r="N300" s="500">
        <v>9.6500000000000002E-2</v>
      </c>
      <c r="O300" s="500">
        <v>9.1999999999999998E-2</v>
      </c>
      <c r="P300" s="500">
        <v>0.10249999999999999</v>
      </c>
      <c r="Q300" s="78">
        <v>0.44</v>
      </c>
      <c r="R300" s="78">
        <v>0.31740000000000002</v>
      </c>
      <c r="S300" s="69">
        <v>0</v>
      </c>
      <c r="T300" s="69">
        <v>0</v>
      </c>
      <c r="U300" s="500">
        <v>0.7</v>
      </c>
      <c r="V300" s="76">
        <v>0</v>
      </c>
      <c r="W300" s="76">
        <v>0</v>
      </c>
      <c r="X300" s="76"/>
    </row>
    <row r="301" spans="1:24" x14ac:dyDescent="0.25">
      <c r="A301" s="75" t="str">
        <f t="shared" si="8"/>
        <v>Pago_de_Hipoteca PF Wealth &amp; Premier Executive Pago_Fijo_Puntual 17</v>
      </c>
      <c r="B301" s="75" t="str">
        <f t="shared" si="9"/>
        <v>Pago_de_Hipoteca PF Wealth &amp; Premier Executive Pago_Fijo_Puntual 17 0.103</v>
      </c>
      <c r="C301" s="75" t="s">
        <v>173</v>
      </c>
      <c r="D301" s="75" t="s">
        <v>132</v>
      </c>
      <c r="E301" s="75" t="s">
        <v>175</v>
      </c>
      <c r="F301" s="75"/>
      <c r="G301" s="75"/>
      <c r="H301" s="75"/>
      <c r="I301" s="75" t="s">
        <v>171</v>
      </c>
      <c r="J301" s="501">
        <v>17</v>
      </c>
      <c r="K301" s="501" t="s">
        <v>386</v>
      </c>
      <c r="L301" s="502">
        <v>10.67</v>
      </c>
      <c r="M301" s="502">
        <v>11.33</v>
      </c>
      <c r="N301" s="500">
        <v>0.10299999999999999</v>
      </c>
      <c r="O301" s="500">
        <v>0.1</v>
      </c>
      <c r="P301" s="500">
        <v>0.112</v>
      </c>
      <c r="Q301" s="78">
        <v>0.44</v>
      </c>
      <c r="R301" s="78">
        <v>0.31740000000000002</v>
      </c>
      <c r="S301" s="69">
        <v>0</v>
      </c>
      <c r="T301" s="69">
        <v>0</v>
      </c>
      <c r="U301" s="500">
        <v>0.7</v>
      </c>
      <c r="V301" s="76">
        <v>0</v>
      </c>
      <c r="W301" s="76">
        <v>0</v>
      </c>
      <c r="X301" s="76"/>
    </row>
    <row r="302" spans="1:24" x14ac:dyDescent="0.25">
      <c r="A302" s="75" t="str">
        <f t="shared" si="8"/>
        <v>Pago_de_Hipoteca PF Wealth &amp; Premier Executive Pago_Fijo_Puntual 16</v>
      </c>
      <c r="B302" s="75" t="str">
        <f t="shared" si="9"/>
        <v>Pago_de_Hipoteca PF Wealth &amp; Premier Executive Pago_Fijo_Puntual 16 0.0965</v>
      </c>
      <c r="C302" s="75" t="s">
        <v>173</v>
      </c>
      <c r="D302" s="75" t="s">
        <v>132</v>
      </c>
      <c r="E302" s="75" t="s">
        <v>175</v>
      </c>
      <c r="F302" s="75"/>
      <c r="G302" s="75"/>
      <c r="H302" s="75"/>
      <c r="I302" s="75" t="s">
        <v>171</v>
      </c>
      <c r="J302" s="501">
        <v>16</v>
      </c>
      <c r="K302" s="501" t="s">
        <v>385</v>
      </c>
      <c r="L302" s="502">
        <v>10.45</v>
      </c>
      <c r="M302" s="502">
        <v>11.11</v>
      </c>
      <c r="N302" s="500">
        <v>9.6500000000000002E-2</v>
      </c>
      <c r="O302" s="500">
        <v>9.1999999999999998E-2</v>
      </c>
      <c r="P302" s="500">
        <v>0.10249999999999999</v>
      </c>
      <c r="Q302" s="78">
        <v>0.44</v>
      </c>
      <c r="R302" s="78">
        <v>0.31740000000000002</v>
      </c>
      <c r="S302" s="69">
        <v>0</v>
      </c>
      <c r="T302" s="69">
        <v>0</v>
      </c>
      <c r="U302" s="500">
        <v>0.7</v>
      </c>
      <c r="V302" s="76">
        <v>0</v>
      </c>
      <c r="W302" s="76">
        <v>0</v>
      </c>
      <c r="X302" s="76"/>
    </row>
    <row r="303" spans="1:24" x14ac:dyDescent="0.25">
      <c r="A303" s="75" t="str">
        <f t="shared" si="8"/>
        <v>Pago_de_Hipoteca PF Wealth &amp; Premier Executive Pago_Fijo_Puntual 16</v>
      </c>
      <c r="B303" s="75" t="str">
        <f t="shared" si="9"/>
        <v>Pago_de_Hipoteca PF Wealth &amp; Premier Executive Pago_Fijo_Puntual 16 0.103</v>
      </c>
      <c r="C303" s="75" t="s">
        <v>173</v>
      </c>
      <c r="D303" s="75" t="s">
        <v>132</v>
      </c>
      <c r="E303" s="75" t="s">
        <v>175</v>
      </c>
      <c r="F303" s="75"/>
      <c r="G303" s="75"/>
      <c r="H303" s="75"/>
      <c r="I303" s="75" t="s">
        <v>171</v>
      </c>
      <c r="J303" s="501">
        <v>16</v>
      </c>
      <c r="K303" s="501" t="s">
        <v>386</v>
      </c>
      <c r="L303" s="502">
        <v>10.9</v>
      </c>
      <c r="M303" s="502">
        <v>11.56</v>
      </c>
      <c r="N303" s="500">
        <v>0.10299999999999999</v>
      </c>
      <c r="O303" s="500">
        <v>0.1</v>
      </c>
      <c r="P303" s="500">
        <v>0.112</v>
      </c>
      <c r="Q303" s="78">
        <v>0.44</v>
      </c>
      <c r="R303" s="78">
        <v>0.31740000000000002</v>
      </c>
      <c r="S303" s="69">
        <v>0</v>
      </c>
      <c r="T303" s="69">
        <v>0</v>
      </c>
      <c r="U303" s="500">
        <v>0.7</v>
      </c>
      <c r="V303" s="76">
        <v>0</v>
      </c>
      <c r="W303" s="76">
        <v>0</v>
      </c>
      <c r="X303" s="76"/>
    </row>
    <row r="304" spans="1:24" x14ac:dyDescent="0.25">
      <c r="A304" s="75" t="str">
        <f t="shared" si="8"/>
        <v>Pago_de_Hipoteca PF Wealth &amp; Premier Executive Pago_Fijo_Puntual 15</v>
      </c>
      <c r="B304" s="75" t="str">
        <f t="shared" si="9"/>
        <v>Pago_de_Hipoteca PF Wealth &amp; Premier Executive Pago_Fijo_Puntual 15 0.0965</v>
      </c>
      <c r="C304" s="75" t="s">
        <v>173</v>
      </c>
      <c r="D304" s="75" t="s">
        <v>132</v>
      </c>
      <c r="E304" s="75" t="s">
        <v>175</v>
      </c>
      <c r="F304" s="75"/>
      <c r="G304" s="75"/>
      <c r="H304" s="75"/>
      <c r="I304" s="75" t="s">
        <v>171</v>
      </c>
      <c r="J304" s="501">
        <v>15</v>
      </c>
      <c r="K304" s="501" t="s">
        <v>385</v>
      </c>
      <c r="L304" s="502">
        <v>10.73</v>
      </c>
      <c r="M304" s="502">
        <v>11.39</v>
      </c>
      <c r="N304" s="500">
        <v>9.6500000000000002E-2</v>
      </c>
      <c r="O304" s="500">
        <v>9.1999999999999998E-2</v>
      </c>
      <c r="P304" s="500">
        <v>0.10249999999999999</v>
      </c>
      <c r="Q304" s="78">
        <v>0.44</v>
      </c>
      <c r="R304" s="78">
        <v>0.31740000000000002</v>
      </c>
      <c r="S304" s="69">
        <v>0</v>
      </c>
      <c r="T304" s="69">
        <v>0</v>
      </c>
      <c r="U304" s="500">
        <v>0.7</v>
      </c>
      <c r="V304" s="76">
        <v>0</v>
      </c>
      <c r="W304" s="76">
        <v>0</v>
      </c>
      <c r="X304" s="76"/>
    </row>
    <row r="305" spans="1:24" x14ac:dyDescent="0.25">
      <c r="A305" s="75" t="str">
        <f t="shared" si="8"/>
        <v>Pago_de_Hipoteca PF Wealth &amp; Premier Executive Pago_Fijo_Puntual 15</v>
      </c>
      <c r="B305" s="75" t="str">
        <f t="shared" si="9"/>
        <v>Pago_de_Hipoteca PF Wealth &amp; Premier Executive Pago_Fijo_Puntual 15 0.103</v>
      </c>
      <c r="C305" s="75" t="s">
        <v>173</v>
      </c>
      <c r="D305" s="75" t="s">
        <v>132</v>
      </c>
      <c r="E305" s="75" t="s">
        <v>175</v>
      </c>
      <c r="F305" s="75"/>
      <c r="G305" s="75"/>
      <c r="H305" s="75"/>
      <c r="I305" s="75" t="s">
        <v>171</v>
      </c>
      <c r="J305" s="501">
        <v>15</v>
      </c>
      <c r="K305" s="501" t="s">
        <v>386</v>
      </c>
      <c r="L305" s="502">
        <v>11.18</v>
      </c>
      <c r="M305" s="502">
        <v>11.84</v>
      </c>
      <c r="N305" s="500">
        <v>0.10299999999999999</v>
      </c>
      <c r="O305" s="500">
        <v>0.1</v>
      </c>
      <c r="P305" s="500">
        <v>0.112</v>
      </c>
      <c r="Q305" s="78">
        <v>0.44</v>
      </c>
      <c r="R305" s="78">
        <v>0.31740000000000002</v>
      </c>
      <c r="S305" s="69">
        <v>0</v>
      </c>
      <c r="T305" s="69">
        <v>0</v>
      </c>
      <c r="U305" s="500">
        <v>0.7</v>
      </c>
      <c r="V305" s="76">
        <v>0</v>
      </c>
      <c r="W305" s="76">
        <v>0</v>
      </c>
      <c r="X305" s="76"/>
    </row>
    <row r="306" spans="1:24" x14ac:dyDescent="0.25">
      <c r="A306" s="75" t="str">
        <f t="shared" si="8"/>
        <v>Pago_de_Hipoteca PF Wealth &amp; Premier Executive Pago_Fijo_Puntual 14</v>
      </c>
      <c r="B306" s="75" t="str">
        <f t="shared" si="9"/>
        <v>Pago_de_Hipoteca PF Wealth &amp; Premier Executive Pago_Fijo_Puntual 14 0.0965</v>
      </c>
      <c r="C306" s="75" t="s">
        <v>173</v>
      </c>
      <c r="D306" s="75" t="s">
        <v>132</v>
      </c>
      <c r="E306" s="75" t="s">
        <v>175</v>
      </c>
      <c r="F306" s="75"/>
      <c r="G306" s="75"/>
      <c r="H306" s="75"/>
      <c r="I306" s="75" t="s">
        <v>171</v>
      </c>
      <c r="J306" s="501">
        <v>14</v>
      </c>
      <c r="K306" s="501" t="s">
        <v>385</v>
      </c>
      <c r="L306" s="502">
        <v>11.06</v>
      </c>
      <c r="M306" s="502">
        <v>11.72</v>
      </c>
      <c r="N306" s="500">
        <v>9.6500000000000002E-2</v>
      </c>
      <c r="O306" s="500">
        <v>9.1999999999999998E-2</v>
      </c>
      <c r="P306" s="500">
        <v>0.10249999999999999</v>
      </c>
      <c r="Q306" s="78">
        <v>0.44</v>
      </c>
      <c r="R306" s="78">
        <v>0.31740000000000002</v>
      </c>
      <c r="S306" s="69">
        <v>0</v>
      </c>
      <c r="T306" s="69">
        <v>0</v>
      </c>
      <c r="U306" s="500">
        <v>0.7</v>
      </c>
      <c r="V306" s="76">
        <v>0</v>
      </c>
      <c r="W306" s="76">
        <v>0</v>
      </c>
      <c r="X306" s="76"/>
    </row>
    <row r="307" spans="1:24" x14ac:dyDescent="0.25">
      <c r="A307" s="75" t="str">
        <f t="shared" si="8"/>
        <v>Pago_de_Hipoteca PF Wealth &amp; Premier Executive Pago_Fijo_Puntual 14</v>
      </c>
      <c r="B307" s="75" t="str">
        <f t="shared" si="9"/>
        <v>Pago_de_Hipoteca PF Wealth &amp; Premier Executive Pago_Fijo_Puntual 14 0.103</v>
      </c>
      <c r="C307" s="75" t="s">
        <v>173</v>
      </c>
      <c r="D307" s="75" t="s">
        <v>132</v>
      </c>
      <c r="E307" s="75" t="s">
        <v>175</v>
      </c>
      <c r="F307" s="75"/>
      <c r="G307" s="75"/>
      <c r="H307" s="75"/>
      <c r="I307" s="75" t="s">
        <v>171</v>
      </c>
      <c r="J307" s="501">
        <v>14</v>
      </c>
      <c r="K307" s="501" t="s">
        <v>386</v>
      </c>
      <c r="L307" s="502">
        <v>11.49</v>
      </c>
      <c r="M307" s="502">
        <v>12.15</v>
      </c>
      <c r="N307" s="500">
        <v>0.10299999999999999</v>
      </c>
      <c r="O307" s="500">
        <v>0.1</v>
      </c>
      <c r="P307" s="500">
        <v>0.112</v>
      </c>
      <c r="Q307" s="78">
        <v>0.44</v>
      </c>
      <c r="R307" s="78">
        <v>0.31740000000000002</v>
      </c>
      <c r="S307" s="69">
        <v>0</v>
      </c>
      <c r="T307" s="69">
        <v>0</v>
      </c>
      <c r="U307" s="500">
        <v>0.7</v>
      </c>
      <c r="V307" s="76">
        <v>0</v>
      </c>
      <c r="W307" s="76">
        <v>0</v>
      </c>
      <c r="X307" s="76"/>
    </row>
    <row r="308" spans="1:24" x14ac:dyDescent="0.25">
      <c r="A308" s="75" t="str">
        <f t="shared" si="8"/>
        <v>Pago_de_Hipoteca PF Wealth &amp; Premier Executive Pago_Fijo_Puntual 13</v>
      </c>
      <c r="B308" s="75" t="str">
        <f t="shared" si="9"/>
        <v>Pago_de_Hipoteca PF Wealth &amp; Premier Executive Pago_Fijo_Puntual 13 0.0965</v>
      </c>
      <c r="C308" s="75" t="s">
        <v>173</v>
      </c>
      <c r="D308" s="75" t="s">
        <v>132</v>
      </c>
      <c r="E308" s="75" t="s">
        <v>175</v>
      </c>
      <c r="F308" s="75"/>
      <c r="G308" s="75"/>
      <c r="H308" s="75"/>
      <c r="I308" s="75" t="s">
        <v>171</v>
      </c>
      <c r="J308" s="501">
        <v>13</v>
      </c>
      <c r="K308" s="501" t="s">
        <v>385</v>
      </c>
      <c r="L308" s="502">
        <v>11.45</v>
      </c>
      <c r="M308" s="502">
        <v>12.11</v>
      </c>
      <c r="N308" s="500">
        <v>9.6500000000000002E-2</v>
      </c>
      <c r="O308" s="500">
        <v>9.1999999999999998E-2</v>
      </c>
      <c r="P308" s="500">
        <v>0.10249999999999999</v>
      </c>
      <c r="Q308" s="78">
        <v>0.44</v>
      </c>
      <c r="R308" s="78">
        <v>0.31740000000000002</v>
      </c>
      <c r="S308" s="69">
        <v>0</v>
      </c>
      <c r="T308" s="69">
        <v>0</v>
      </c>
      <c r="U308" s="500">
        <v>0.7</v>
      </c>
      <c r="V308" s="76">
        <v>0</v>
      </c>
      <c r="W308" s="76">
        <v>0</v>
      </c>
      <c r="X308" s="76"/>
    </row>
    <row r="309" spans="1:24" x14ac:dyDescent="0.25">
      <c r="A309" s="75" t="str">
        <f t="shared" si="8"/>
        <v>Pago_de_Hipoteca PF Wealth &amp; Premier Executive Pago_Fijo_Puntual 13</v>
      </c>
      <c r="B309" s="75" t="str">
        <f t="shared" si="9"/>
        <v>Pago_de_Hipoteca PF Wealth &amp; Premier Executive Pago_Fijo_Puntual 13 0.103</v>
      </c>
      <c r="C309" s="75" t="s">
        <v>173</v>
      </c>
      <c r="D309" s="75" t="s">
        <v>132</v>
      </c>
      <c r="E309" s="75" t="s">
        <v>175</v>
      </c>
      <c r="F309" s="75"/>
      <c r="G309" s="75"/>
      <c r="H309" s="75"/>
      <c r="I309" s="75" t="s">
        <v>171</v>
      </c>
      <c r="J309" s="501">
        <v>13</v>
      </c>
      <c r="K309" s="501" t="s">
        <v>386</v>
      </c>
      <c r="L309" s="502">
        <v>11.86</v>
      </c>
      <c r="M309" s="502">
        <v>12.52</v>
      </c>
      <c r="N309" s="500">
        <v>0.10299999999999999</v>
      </c>
      <c r="O309" s="500">
        <v>0.1</v>
      </c>
      <c r="P309" s="500">
        <v>0.112</v>
      </c>
      <c r="Q309" s="78">
        <v>0.44</v>
      </c>
      <c r="R309" s="78">
        <v>0.31740000000000002</v>
      </c>
      <c r="S309" s="69">
        <v>0</v>
      </c>
      <c r="T309" s="69">
        <v>0</v>
      </c>
      <c r="U309" s="500">
        <v>0.7</v>
      </c>
      <c r="V309" s="76">
        <v>0</v>
      </c>
      <c r="W309" s="76">
        <v>0</v>
      </c>
      <c r="X309" s="76"/>
    </row>
    <row r="310" spans="1:24" x14ac:dyDescent="0.25">
      <c r="A310" s="75" t="str">
        <f t="shared" si="8"/>
        <v>Pago_de_Hipoteca PF Wealth &amp; Premier Executive Pago_Fijo_Puntual 12</v>
      </c>
      <c r="B310" s="75" t="str">
        <f t="shared" si="9"/>
        <v>Pago_de_Hipoteca PF Wealth &amp; Premier Executive Pago_Fijo_Puntual 12 0.0965</v>
      </c>
      <c r="C310" s="75" t="s">
        <v>173</v>
      </c>
      <c r="D310" s="75" t="s">
        <v>132</v>
      </c>
      <c r="E310" s="75" t="s">
        <v>175</v>
      </c>
      <c r="F310" s="75"/>
      <c r="G310" s="75"/>
      <c r="H310" s="75"/>
      <c r="I310" s="75" t="s">
        <v>171</v>
      </c>
      <c r="J310" s="501">
        <v>12</v>
      </c>
      <c r="K310" s="501" t="s">
        <v>385</v>
      </c>
      <c r="L310" s="502">
        <v>11.91</v>
      </c>
      <c r="M310" s="502">
        <v>12.57</v>
      </c>
      <c r="N310" s="500">
        <v>9.6500000000000002E-2</v>
      </c>
      <c r="O310" s="500">
        <v>9.1999999999999998E-2</v>
      </c>
      <c r="P310" s="500">
        <v>0.10249999999999999</v>
      </c>
      <c r="Q310" s="78">
        <v>0.44</v>
      </c>
      <c r="R310" s="78">
        <v>0.31740000000000002</v>
      </c>
      <c r="S310" s="69">
        <v>0</v>
      </c>
      <c r="T310" s="69">
        <v>0</v>
      </c>
      <c r="U310" s="500">
        <v>0.7</v>
      </c>
      <c r="V310" s="76">
        <v>0</v>
      </c>
      <c r="W310" s="76">
        <v>0</v>
      </c>
      <c r="X310" s="76"/>
    </row>
    <row r="311" spans="1:24" x14ac:dyDescent="0.25">
      <c r="A311" s="75" t="str">
        <f t="shared" si="8"/>
        <v>Pago_de_Hipoteca PF Wealth &amp; Premier Executive Pago_Fijo_Puntual 12</v>
      </c>
      <c r="B311" s="75" t="str">
        <f t="shared" si="9"/>
        <v>Pago_de_Hipoteca PF Wealth &amp; Premier Executive Pago_Fijo_Puntual 12 0.103</v>
      </c>
      <c r="C311" s="75" t="s">
        <v>173</v>
      </c>
      <c r="D311" s="75" t="s">
        <v>132</v>
      </c>
      <c r="E311" s="75" t="s">
        <v>175</v>
      </c>
      <c r="F311" s="75"/>
      <c r="G311" s="75"/>
      <c r="H311" s="75"/>
      <c r="I311" s="75" t="s">
        <v>171</v>
      </c>
      <c r="J311" s="501">
        <v>12</v>
      </c>
      <c r="K311" s="501" t="s">
        <v>386</v>
      </c>
      <c r="L311" s="502">
        <v>12.31</v>
      </c>
      <c r="M311" s="502">
        <v>12.97</v>
      </c>
      <c r="N311" s="500">
        <v>0.10299999999999999</v>
      </c>
      <c r="O311" s="500">
        <v>0.1</v>
      </c>
      <c r="P311" s="500">
        <v>0.112</v>
      </c>
      <c r="Q311" s="78">
        <v>0.44</v>
      </c>
      <c r="R311" s="78">
        <v>0.31740000000000002</v>
      </c>
      <c r="S311" s="69">
        <v>0</v>
      </c>
      <c r="T311" s="69">
        <v>0</v>
      </c>
      <c r="U311" s="500">
        <v>0.7</v>
      </c>
      <c r="V311" s="76">
        <v>0</v>
      </c>
      <c r="W311" s="76">
        <v>0</v>
      </c>
      <c r="X311" s="76"/>
    </row>
    <row r="312" spans="1:24" x14ac:dyDescent="0.25">
      <c r="A312" s="75" t="str">
        <f t="shared" si="8"/>
        <v>Pago_de_Hipoteca PF Wealth &amp; Premier Executive Pago_Fijo_Puntual 11</v>
      </c>
      <c r="B312" s="75" t="str">
        <f t="shared" si="9"/>
        <v>Pago_de_Hipoteca PF Wealth &amp; Premier Executive Pago_Fijo_Puntual 11 0.0965</v>
      </c>
      <c r="C312" s="75" t="s">
        <v>173</v>
      </c>
      <c r="D312" s="75" t="s">
        <v>132</v>
      </c>
      <c r="E312" s="75" t="s">
        <v>175</v>
      </c>
      <c r="F312" s="75"/>
      <c r="G312" s="75"/>
      <c r="H312" s="75"/>
      <c r="I312" s="75" t="s">
        <v>171</v>
      </c>
      <c r="J312" s="501">
        <v>11</v>
      </c>
      <c r="K312" s="501" t="s">
        <v>385</v>
      </c>
      <c r="L312" s="502">
        <v>12.47</v>
      </c>
      <c r="M312" s="502">
        <v>13.13</v>
      </c>
      <c r="N312" s="500">
        <v>9.6500000000000002E-2</v>
      </c>
      <c r="O312" s="500">
        <v>9.1999999999999998E-2</v>
      </c>
      <c r="P312" s="500">
        <v>0.10249999999999999</v>
      </c>
      <c r="Q312" s="78">
        <v>0.44</v>
      </c>
      <c r="R312" s="78">
        <v>0.31740000000000002</v>
      </c>
      <c r="S312" s="69">
        <v>0</v>
      </c>
      <c r="T312" s="69">
        <v>0</v>
      </c>
      <c r="U312" s="500">
        <v>0.7</v>
      </c>
      <c r="V312" s="76">
        <v>0</v>
      </c>
      <c r="W312" s="76">
        <v>0</v>
      </c>
      <c r="X312" s="76"/>
    </row>
    <row r="313" spans="1:24" x14ac:dyDescent="0.25">
      <c r="A313" s="75" t="str">
        <f t="shared" si="8"/>
        <v>Pago_de_Hipoteca PF Wealth &amp; Premier Executive Pago_Fijo_Puntual 11</v>
      </c>
      <c r="B313" s="75" t="str">
        <f t="shared" si="9"/>
        <v>Pago_de_Hipoteca PF Wealth &amp; Premier Executive Pago_Fijo_Puntual 11 0.103</v>
      </c>
      <c r="C313" s="75" t="s">
        <v>173</v>
      </c>
      <c r="D313" s="75" t="s">
        <v>132</v>
      </c>
      <c r="E313" s="75" t="s">
        <v>175</v>
      </c>
      <c r="F313" s="75"/>
      <c r="G313" s="75"/>
      <c r="H313" s="75"/>
      <c r="I313" s="75" t="s">
        <v>171</v>
      </c>
      <c r="J313" s="501">
        <v>11</v>
      </c>
      <c r="K313" s="501" t="s">
        <v>386</v>
      </c>
      <c r="L313" s="502">
        <v>12.86</v>
      </c>
      <c r="M313" s="502">
        <v>13.52</v>
      </c>
      <c r="N313" s="500">
        <v>0.10299999999999999</v>
      </c>
      <c r="O313" s="500">
        <v>0.1</v>
      </c>
      <c r="P313" s="500">
        <v>0.112</v>
      </c>
      <c r="Q313" s="78">
        <v>0.44</v>
      </c>
      <c r="R313" s="78">
        <v>0.31740000000000002</v>
      </c>
      <c r="S313" s="69">
        <v>0</v>
      </c>
      <c r="T313" s="69">
        <v>0</v>
      </c>
      <c r="U313" s="500">
        <v>0.7</v>
      </c>
      <c r="V313" s="76">
        <v>0</v>
      </c>
      <c r="W313" s="76">
        <v>0</v>
      </c>
      <c r="X313" s="76"/>
    </row>
    <row r="314" spans="1:24" x14ac:dyDescent="0.25">
      <c r="A314" s="75" t="str">
        <f t="shared" si="8"/>
        <v>Pago_de_Hipoteca PF Wealth &amp; Premier Executive Pago_Fijo_Puntual 10</v>
      </c>
      <c r="B314" s="75" t="str">
        <f t="shared" si="9"/>
        <v>Pago_de_Hipoteca PF Wealth &amp; Premier Executive Pago_Fijo_Puntual 10 0.0965</v>
      </c>
      <c r="C314" s="75" t="s">
        <v>173</v>
      </c>
      <c r="D314" s="75" t="s">
        <v>132</v>
      </c>
      <c r="E314" s="75" t="s">
        <v>175</v>
      </c>
      <c r="F314" s="75"/>
      <c r="G314" s="75"/>
      <c r="H314" s="75"/>
      <c r="I314" s="75" t="s">
        <v>171</v>
      </c>
      <c r="J314" s="501">
        <v>10</v>
      </c>
      <c r="K314" s="501" t="s">
        <v>385</v>
      </c>
      <c r="L314" s="502">
        <v>13.16</v>
      </c>
      <c r="M314" s="502">
        <v>13.82</v>
      </c>
      <c r="N314" s="500">
        <v>9.6500000000000002E-2</v>
      </c>
      <c r="O314" s="500">
        <v>9.1999999999999998E-2</v>
      </c>
      <c r="P314" s="500">
        <v>0.10249999999999999</v>
      </c>
      <c r="Q314" s="78">
        <v>0.44</v>
      </c>
      <c r="R314" s="78">
        <v>0.31740000000000002</v>
      </c>
      <c r="S314" s="69">
        <v>0</v>
      </c>
      <c r="T314" s="69">
        <v>0</v>
      </c>
      <c r="U314" s="500">
        <v>0.7</v>
      </c>
      <c r="V314" s="76">
        <v>0</v>
      </c>
      <c r="W314" s="76">
        <v>0</v>
      </c>
      <c r="X314" s="76"/>
    </row>
    <row r="315" spans="1:24" x14ac:dyDescent="0.25">
      <c r="A315" s="75" t="str">
        <f t="shared" si="8"/>
        <v>Pago_de_Hipoteca PF Wealth &amp; Premier Executive Pago_Fijo_Puntual 10</v>
      </c>
      <c r="B315" s="75" t="str">
        <f t="shared" si="9"/>
        <v>Pago_de_Hipoteca PF Wealth &amp; Premier Executive Pago_Fijo_Puntual 10 0.103</v>
      </c>
      <c r="C315" s="75" t="s">
        <v>173</v>
      </c>
      <c r="D315" s="75" t="s">
        <v>132</v>
      </c>
      <c r="E315" s="75" t="s">
        <v>175</v>
      </c>
      <c r="F315" s="75"/>
      <c r="G315" s="75"/>
      <c r="H315" s="75"/>
      <c r="I315" s="75" t="s">
        <v>171</v>
      </c>
      <c r="J315" s="501">
        <v>10</v>
      </c>
      <c r="K315" s="501" t="s">
        <v>386</v>
      </c>
      <c r="L315" s="502">
        <v>13.54</v>
      </c>
      <c r="M315" s="502">
        <v>14.2</v>
      </c>
      <c r="N315" s="500">
        <v>0.10299999999999999</v>
      </c>
      <c r="O315" s="500">
        <v>0.1</v>
      </c>
      <c r="P315" s="500">
        <v>0.112</v>
      </c>
      <c r="Q315" s="78">
        <v>0.44</v>
      </c>
      <c r="R315" s="78">
        <v>0.31740000000000002</v>
      </c>
      <c r="S315" s="69">
        <v>0</v>
      </c>
      <c r="T315" s="69">
        <v>0</v>
      </c>
      <c r="U315" s="500">
        <v>0.7</v>
      </c>
      <c r="V315" s="76">
        <v>0</v>
      </c>
      <c r="W315" s="76">
        <v>0</v>
      </c>
      <c r="X315" s="76"/>
    </row>
    <row r="316" spans="1:24" x14ac:dyDescent="0.25">
      <c r="A316" s="75" t="str">
        <f t="shared" si="8"/>
        <v>Pago_de_Hipoteca PF Wealth &amp; Premier Executive Pago_Fijo_Puntual 9</v>
      </c>
      <c r="B316" s="75" t="str">
        <f t="shared" si="9"/>
        <v>Pago_de_Hipoteca PF Wealth &amp; Premier Executive Pago_Fijo_Puntual 9 0.0965</v>
      </c>
      <c r="C316" s="75" t="s">
        <v>173</v>
      </c>
      <c r="D316" s="75" t="s">
        <v>132</v>
      </c>
      <c r="E316" s="75" t="s">
        <v>175</v>
      </c>
      <c r="F316" s="75"/>
      <c r="G316" s="75"/>
      <c r="H316" s="75"/>
      <c r="I316" s="75" t="s">
        <v>171</v>
      </c>
      <c r="J316" s="501">
        <v>9</v>
      </c>
      <c r="K316" s="501" t="s">
        <v>385</v>
      </c>
      <c r="L316" s="502">
        <v>14.01</v>
      </c>
      <c r="M316" s="502">
        <v>14.67</v>
      </c>
      <c r="N316" s="500">
        <v>9.6500000000000002E-2</v>
      </c>
      <c r="O316" s="500">
        <v>9.1999999999999998E-2</v>
      </c>
      <c r="P316" s="500">
        <v>0.10249999999999999</v>
      </c>
      <c r="Q316" s="78">
        <v>0.44</v>
      </c>
      <c r="R316" s="78">
        <v>0.31740000000000002</v>
      </c>
      <c r="S316" s="69">
        <v>0</v>
      </c>
      <c r="T316" s="69">
        <v>0</v>
      </c>
      <c r="U316" s="500">
        <v>0.7</v>
      </c>
      <c r="V316" s="76">
        <v>0</v>
      </c>
      <c r="W316" s="76">
        <v>0</v>
      </c>
      <c r="X316" s="76"/>
    </row>
    <row r="317" spans="1:24" x14ac:dyDescent="0.25">
      <c r="A317" s="75" t="str">
        <f t="shared" si="8"/>
        <v>Pago_de_Hipoteca PF Wealth &amp; Premier Executive Pago_Fijo_Puntual 9</v>
      </c>
      <c r="B317" s="75" t="str">
        <f t="shared" si="9"/>
        <v>Pago_de_Hipoteca PF Wealth &amp; Premier Executive Pago_Fijo_Puntual 9 0.103</v>
      </c>
      <c r="C317" s="75" t="s">
        <v>173</v>
      </c>
      <c r="D317" s="75" t="s">
        <v>132</v>
      </c>
      <c r="E317" s="75" t="s">
        <v>175</v>
      </c>
      <c r="F317" s="75"/>
      <c r="G317" s="75"/>
      <c r="H317" s="75"/>
      <c r="I317" s="75" t="s">
        <v>171</v>
      </c>
      <c r="J317" s="501">
        <v>9</v>
      </c>
      <c r="K317" s="501" t="s">
        <v>386</v>
      </c>
      <c r="L317" s="502">
        <v>14.37</v>
      </c>
      <c r="M317" s="502">
        <v>15.03</v>
      </c>
      <c r="N317" s="500">
        <v>0.10299999999999999</v>
      </c>
      <c r="O317" s="500">
        <v>0.1</v>
      </c>
      <c r="P317" s="500">
        <v>0.112</v>
      </c>
      <c r="Q317" s="78">
        <v>0.44</v>
      </c>
      <c r="R317" s="78">
        <v>0.31740000000000002</v>
      </c>
      <c r="S317" s="69">
        <v>0</v>
      </c>
      <c r="T317" s="69">
        <v>0</v>
      </c>
      <c r="U317" s="500">
        <v>0.7</v>
      </c>
      <c r="V317" s="76">
        <v>0</v>
      </c>
      <c r="W317" s="76">
        <v>0</v>
      </c>
      <c r="X317" s="76"/>
    </row>
    <row r="318" spans="1:24" x14ac:dyDescent="0.25">
      <c r="A318" s="75" t="str">
        <f t="shared" si="8"/>
        <v>Pago_de_Hipoteca PF Wealth &amp; Premier Executive Pago_Fijo_Puntual 8</v>
      </c>
      <c r="B318" s="75" t="str">
        <f t="shared" si="9"/>
        <v>Pago_de_Hipoteca PF Wealth &amp; Premier Executive Pago_Fijo_Puntual 8 0.0965</v>
      </c>
      <c r="C318" s="75" t="s">
        <v>173</v>
      </c>
      <c r="D318" s="75" t="s">
        <v>132</v>
      </c>
      <c r="E318" s="75" t="s">
        <v>175</v>
      </c>
      <c r="F318" s="75"/>
      <c r="G318" s="75"/>
      <c r="H318" s="75"/>
      <c r="I318" s="75" t="s">
        <v>171</v>
      </c>
      <c r="J318" s="501">
        <v>8</v>
      </c>
      <c r="K318" s="501" t="s">
        <v>385</v>
      </c>
      <c r="L318" s="502">
        <v>15.09</v>
      </c>
      <c r="M318" s="502">
        <v>15.75</v>
      </c>
      <c r="N318" s="500">
        <v>9.6500000000000002E-2</v>
      </c>
      <c r="O318" s="500">
        <v>9.1999999999999998E-2</v>
      </c>
      <c r="P318" s="500">
        <v>0.10249999999999999</v>
      </c>
      <c r="Q318" s="78">
        <v>0.44</v>
      </c>
      <c r="R318" s="78">
        <v>0.31740000000000002</v>
      </c>
      <c r="S318" s="69">
        <v>0</v>
      </c>
      <c r="T318" s="69">
        <v>0</v>
      </c>
      <c r="U318" s="500">
        <v>0.7</v>
      </c>
      <c r="V318" s="76">
        <v>0</v>
      </c>
      <c r="W318" s="76">
        <v>0</v>
      </c>
      <c r="X318" s="76"/>
    </row>
    <row r="319" spans="1:24" x14ac:dyDescent="0.25">
      <c r="A319" s="75" t="str">
        <f t="shared" si="8"/>
        <v>Pago_de_Hipoteca PF Wealth &amp; Premier Executive Pago_Fijo_Puntual 8</v>
      </c>
      <c r="B319" s="75" t="str">
        <f t="shared" si="9"/>
        <v>Pago_de_Hipoteca PF Wealth &amp; Premier Executive Pago_Fijo_Puntual 8 0.103</v>
      </c>
      <c r="C319" s="75" t="s">
        <v>173</v>
      </c>
      <c r="D319" s="75" t="s">
        <v>132</v>
      </c>
      <c r="E319" s="75" t="s">
        <v>175</v>
      </c>
      <c r="F319" s="75"/>
      <c r="G319" s="75"/>
      <c r="H319" s="75"/>
      <c r="I319" s="75" t="s">
        <v>171</v>
      </c>
      <c r="J319" s="501">
        <v>8</v>
      </c>
      <c r="K319" s="501" t="s">
        <v>386</v>
      </c>
      <c r="L319" s="502">
        <v>15.44</v>
      </c>
      <c r="M319" s="502">
        <v>16.100000000000001</v>
      </c>
      <c r="N319" s="500">
        <v>0.10299999999999999</v>
      </c>
      <c r="O319" s="500">
        <v>0.1</v>
      </c>
      <c r="P319" s="500">
        <v>0.112</v>
      </c>
      <c r="Q319" s="78">
        <v>0.44</v>
      </c>
      <c r="R319" s="78">
        <v>0.31740000000000002</v>
      </c>
      <c r="S319" s="69">
        <v>0</v>
      </c>
      <c r="T319" s="69">
        <v>0</v>
      </c>
      <c r="U319" s="500">
        <v>0.7</v>
      </c>
      <c r="V319" s="76">
        <v>0</v>
      </c>
      <c r="W319" s="76">
        <v>0</v>
      </c>
      <c r="X319" s="76"/>
    </row>
    <row r="320" spans="1:24" x14ac:dyDescent="0.25">
      <c r="A320" s="75" t="str">
        <f t="shared" si="8"/>
        <v>Pago_de_Hipoteca PF Wealth &amp; Premier Executive Pago_Fijo_Puntual 7</v>
      </c>
      <c r="B320" s="75" t="str">
        <f t="shared" si="9"/>
        <v>Pago_de_Hipoteca PF Wealth &amp; Premier Executive Pago_Fijo_Puntual 7 0.0965</v>
      </c>
      <c r="C320" s="75" t="s">
        <v>173</v>
      </c>
      <c r="D320" s="75" t="s">
        <v>132</v>
      </c>
      <c r="E320" s="75" t="s">
        <v>175</v>
      </c>
      <c r="F320" s="75"/>
      <c r="G320" s="75"/>
      <c r="H320" s="75"/>
      <c r="I320" s="75" t="s">
        <v>171</v>
      </c>
      <c r="J320" s="501">
        <v>7</v>
      </c>
      <c r="K320" s="501" t="s">
        <v>385</v>
      </c>
      <c r="L320" s="502">
        <v>16.5</v>
      </c>
      <c r="M320" s="502">
        <v>17.16</v>
      </c>
      <c r="N320" s="500">
        <v>9.6500000000000002E-2</v>
      </c>
      <c r="O320" s="500">
        <v>9.1999999999999998E-2</v>
      </c>
      <c r="P320" s="500">
        <v>0.10249999999999999</v>
      </c>
      <c r="Q320" s="78">
        <v>0.44</v>
      </c>
      <c r="R320" s="78">
        <v>0.31740000000000002</v>
      </c>
      <c r="S320" s="69">
        <v>0</v>
      </c>
      <c r="T320" s="69">
        <v>0</v>
      </c>
      <c r="U320" s="500">
        <v>0.7</v>
      </c>
      <c r="V320" s="76">
        <v>0</v>
      </c>
      <c r="W320" s="76">
        <v>0</v>
      </c>
      <c r="X320" s="76"/>
    </row>
    <row r="321" spans="1:24" x14ac:dyDescent="0.25">
      <c r="A321" s="75" t="str">
        <f t="shared" si="8"/>
        <v>Pago_de_Hipoteca PF Wealth &amp; Premier Executive Pago_Fijo_Puntual 7</v>
      </c>
      <c r="B321" s="75" t="str">
        <f t="shared" si="9"/>
        <v>Pago_de_Hipoteca PF Wealth &amp; Premier Executive Pago_Fijo_Puntual 7 0.103</v>
      </c>
      <c r="C321" s="75" t="s">
        <v>173</v>
      </c>
      <c r="D321" s="75" t="s">
        <v>132</v>
      </c>
      <c r="E321" s="75" t="s">
        <v>175</v>
      </c>
      <c r="F321" s="75"/>
      <c r="G321" s="75"/>
      <c r="H321" s="75"/>
      <c r="I321" s="75" t="s">
        <v>171</v>
      </c>
      <c r="J321" s="501">
        <v>7</v>
      </c>
      <c r="K321" s="501" t="s">
        <v>386</v>
      </c>
      <c r="L321" s="502">
        <v>16.84</v>
      </c>
      <c r="M321" s="502">
        <v>17.5</v>
      </c>
      <c r="N321" s="500">
        <v>0.10299999999999999</v>
      </c>
      <c r="O321" s="500">
        <v>0.1</v>
      </c>
      <c r="P321" s="500">
        <v>0.112</v>
      </c>
      <c r="Q321" s="78">
        <v>0.44</v>
      </c>
      <c r="R321" s="78">
        <v>0.31740000000000002</v>
      </c>
      <c r="S321" s="69">
        <v>0</v>
      </c>
      <c r="T321" s="69">
        <v>0</v>
      </c>
      <c r="U321" s="500">
        <v>0.7</v>
      </c>
      <c r="V321" s="76">
        <v>0</v>
      </c>
      <c r="W321" s="76">
        <v>0</v>
      </c>
      <c r="X321" s="76"/>
    </row>
    <row r="322" spans="1:24" x14ac:dyDescent="0.25">
      <c r="A322" s="75" t="str">
        <f t="shared" ref="A322:A385" si="10">TRIM(CONCATENATE(C322," ",D322," ",E322," ",F322," ",G322," ",I322," ",X322," ",J322))</f>
        <v>Pago_de_Hipoteca PF Wealth &amp; Premier Executive Pago_Fijo_Puntual 6</v>
      </c>
      <c r="B322" s="75" t="str">
        <f t="shared" ref="B322:B385" si="11">CONCATENATE(A322," ",N322)</f>
        <v>Pago_de_Hipoteca PF Wealth &amp; Premier Executive Pago_Fijo_Puntual 6 0.0965</v>
      </c>
      <c r="C322" s="75" t="s">
        <v>173</v>
      </c>
      <c r="D322" s="75" t="s">
        <v>132</v>
      </c>
      <c r="E322" s="75" t="s">
        <v>175</v>
      </c>
      <c r="F322" s="75"/>
      <c r="G322" s="75"/>
      <c r="H322" s="75"/>
      <c r="I322" s="75" t="s">
        <v>171</v>
      </c>
      <c r="J322" s="501">
        <v>6</v>
      </c>
      <c r="K322" s="501" t="s">
        <v>385</v>
      </c>
      <c r="L322" s="502">
        <v>18.41</v>
      </c>
      <c r="M322" s="502">
        <v>19.07</v>
      </c>
      <c r="N322" s="500">
        <v>9.6500000000000002E-2</v>
      </c>
      <c r="O322" s="500">
        <v>9.1999999999999998E-2</v>
      </c>
      <c r="P322" s="500">
        <v>0.10249999999999999</v>
      </c>
      <c r="Q322" s="78">
        <v>0.44</v>
      </c>
      <c r="R322" s="78">
        <v>0.31740000000000002</v>
      </c>
      <c r="S322" s="69">
        <v>0</v>
      </c>
      <c r="T322" s="69">
        <v>0</v>
      </c>
      <c r="U322" s="500">
        <v>0.7</v>
      </c>
      <c r="V322" s="76">
        <v>0</v>
      </c>
      <c r="W322" s="76">
        <v>0</v>
      </c>
      <c r="X322" s="76"/>
    </row>
    <row r="323" spans="1:24" x14ac:dyDescent="0.25">
      <c r="A323" s="75" t="str">
        <f t="shared" si="10"/>
        <v>Pago_de_Hipoteca PF Wealth &amp; Premier Executive Pago_Fijo_Puntual 6</v>
      </c>
      <c r="B323" s="75" t="str">
        <f t="shared" si="11"/>
        <v>Pago_de_Hipoteca PF Wealth &amp; Premier Executive Pago_Fijo_Puntual 6 0.103</v>
      </c>
      <c r="C323" s="75" t="s">
        <v>173</v>
      </c>
      <c r="D323" s="75" t="s">
        <v>132</v>
      </c>
      <c r="E323" s="75" t="s">
        <v>175</v>
      </c>
      <c r="F323" s="75"/>
      <c r="G323" s="75"/>
      <c r="H323" s="75"/>
      <c r="I323" s="75" t="s">
        <v>171</v>
      </c>
      <c r="J323" s="501">
        <v>6</v>
      </c>
      <c r="K323" s="501" t="s">
        <v>386</v>
      </c>
      <c r="L323" s="502">
        <v>18.739999999999998</v>
      </c>
      <c r="M323" s="502">
        <v>19.399999999999999</v>
      </c>
      <c r="N323" s="500">
        <v>0.10299999999999999</v>
      </c>
      <c r="O323" s="500">
        <v>0.1</v>
      </c>
      <c r="P323" s="500">
        <v>0.112</v>
      </c>
      <c r="Q323" s="78">
        <v>0.44</v>
      </c>
      <c r="R323" s="78">
        <v>0.31740000000000002</v>
      </c>
      <c r="S323" s="69">
        <v>0</v>
      </c>
      <c r="T323" s="69">
        <v>0</v>
      </c>
      <c r="U323" s="500">
        <v>0.7</v>
      </c>
      <c r="V323" s="76">
        <v>0</v>
      </c>
      <c r="W323" s="76">
        <v>0</v>
      </c>
      <c r="X323" s="76"/>
    </row>
    <row r="324" spans="1:24" x14ac:dyDescent="0.25">
      <c r="A324" s="75" t="str">
        <f t="shared" si="10"/>
        <v>Pago_de_Hipoteca PF Wealth &amp; Premier Executive Pago_Fijo_Puntual 5</v>
      </c>
      <c r="B324" s="75" t="str">
        <f t="shared" si="11"/>
        <v>Pago_de_Hipoteca PF Wealth &amp; Premier Executive Pago_Fijo_Puntual 5 0.0965</v>
      </c>
      <c r="C324" s="75" t="s">
        <v>173</v>
      </c>
      <c r="D324" s="75" t="s">
        <v>132</v>
      </c>
      <c r="E324" s="75" t="s">
        <v>175</v>
      </c>
      <c r="F324" s="75"/>
      <c r="G324" s="75"/>
      <c r="H324" s="75"/>
      <c r="I324" s="75" t="s">
        <v>171</v>
      </c>
      <c r="J324" s="501">
        <v>5</v>
      </c>
      <c r="K324" s="501" t="s">
        <v>385</v>
      </c>
      <c r="L324" s="502">
        <v>21.12</v>
      </c>
      <c r="M324" s="502">
        <v>21.78</v>
      </c>
      <c r="N324" s="500">
        <v>9.6500000000000002E-2</v>
      </c>
      <c r="O324" s="500">
        <v>9.1999999999999998E-2</v>
      </c>
      <c r="P324" s="500">
        <v>0.10249999999999999</v>
      </c>
      <c r="Q324" s="78">
        <v>0.44</v>
      </c>
      <c r="R324" s="78">
        <v>0.31740000000000002</v>
      </c>
      <c r="S324" s="69">
        <v>0</v>
      </c>
      <c r="T324" s="69">
        <v>0</v>
      </c>
      <c r="U324" s="500">
        <v>0.7</v>
      </c>
      <c r="V324" s="76">
        <v>0</v>
      </c>
      <c r="W324" s="76">
        <v>0</v>
      </c>
      <c r="X324" s="76"/>
    </row>
    <row r="325" spans="1:24" x14ac:dyDescent="0.25">
      <c r="A325" s="75" t="str">
        <f t="shared" si="10"/>
        <v>Pago_de_Hipoteca PF Wealth &amp; Premier Executive Pago_Fijo_Puntual 5</v>
      </c>
      <c r="B325" s="75" t="str">
        <f t="shared" si="11"/>
        <v>Pago_de_Hipoteca PF Wealth &amp; Premier Executive Pago_Fijo_Puntual 5 0.103</v>
      </c>
      <c r="C325" s="75" t="s">
        <v>173</v>
      </c>
      <c r="D325" s="75" t="s">
        <v>132</v>
      </c>
      <c r="E325" s="75" t="s">
        <v>175</v>
      </c>
      <c r="F325" s="75"/>
      <c r="G325" s="75"/>
      <c r="H325" s="75"/>
      <c r="I325" s="75" t="s">
        <v>171</v>
      </c>
      <c r="J325" s="501">
        <v>5</v>
      </c>
      <c r="K325" s="501" t="s">
        <v>386</v>
      </c>
      <c r="L325" s="502">
        <v>21.44</v>
      </c>
      <c r="M325" s="502">
        <v>22.1</v>
      </c>
      <c r="N325" s="500">
        <v>0.10299999999999999</v>
      </c>
      <c r="O325" s="500">
        <v>0.1</v>
      </c>
      <c r="P325" s="500">
        <v>0.112</v>
      </c>
      <c r="Q325" s="78">
        <v>0.44</v>
      </c>
      <c r="R325" s="78">
        <v>0.31740000000000002</v>
      </c>
      <c r="S325" s="69">
        <v>0</v>
      </c>
      <c r="T325" s="69">
        <v>0</v>
      </c>
      <c r="U325" s="500">
        <v>0.7</v>
      </c>
      <c r="V325" s="76">
        <v>0</v>
      </c>
      <c r="W325" s="76">
        <v>0</v>
      </c>
      <c r="X325" s="76"/>
    </row>
    <row r="326" spans="1:24" x14ac:dyDescent="0.25">
      <c r="A326" s="75" t="str">
        <f t="shared" si="10"/>
        <v>Pago_de_Hipoteca PFAE Wealth &amp; Premier Executive Pago_Fijo_Puntual 20</v>
      </c>
      <c r="B326" s="75" t="str">
        <f t="shared" si="11"/>
        <v>Pago_de_Hipoteca PFAE Wealth &amp; Premier Executive Pago_Fijo_Puntual 20 0.0965</v>
      </c>
      <c r="C326" s="75" t="s">
        <v>173</v>
      </c>
      <c r="D326" s="75" t="s">
        <v>168</v>
      </c>
      <c r="E326" s="75" t="s">
        <v>175</v>
      </c>
      <c r="F326" s="75"/>
      <c r="G326" s="75"/>
      <c r="H326" s="75"/>
      <c r="I326" s="75" t="s">
        <v>171</v>
      </c>
      <c r="J326" s="501">
        <v>20</v>
      </c>
      <c r="K326" s="501" t="s">
        <v>385</v>
      </c>
      <c r="L326" s="502">
        <v>9.66</v>
      </c>
      <c r="M326" s="502">
        <v>10.32</v>
      </c>
      <c r="N326" s="500">
        <v>9.6500000000000002E-2</v>
      </c>
      <c r="O326" s="500">
        <v>9.1999999999999998E-2</v>
      </c>
      <c r="P326" s="500">
        <v>0.10249999999999999</v>
      </c>
      <c r="Q326" s="78">
        <v>0.44</v>
      </c>
      <c r="R326" s="78">
        <v>0.31740000000000002</v>
      </c>
      <c r="S326" s="69">
        <v>0</v>
      </c>
      <c r="T326" s="69">
        <v>0</v>
      </c>
      <c r="U326" s="500">
        <v>0.7</v>
      </c>
      <c r="V326" s="76">
        <v>0</v>
      </c>
      <c r="W326" s="76">
        <v>0</v>
      </c>
      <c r="X326" s="76"/>
    </row>
    <row r="327" spans="1:24" x14ac:dyDescent="0.25">
      <c r="A327" s="75" t="str">
        <f t="shared" si="10"/>
        <v>Pago_de_Hipoteca PFAE Wealth &amp; Premier Executive Pago_Fijo_Puntual 20</v>
      </c>
      <c r="B327" s="75" t="str">
        <f t="shared" si="11"/>
        <v>Pago_de_Hipoteca PFAE Wealth &amp; Premier Executive Pago_Fijo_Puntual 20 0.103</v>
      </c>
      <c r="C327" s="75" t="s">
        <v>173</v>
      </c>
      <c r="D327" s="75" t="s">
        <v>168</v>
      </c>
      <c r="E327" s="75" t="s">
        <v>175</v>
      </c>
      <c r="F327" s="75"/>
      <c r="G327" s="75"/>
      <c r="H327" s="75"/>
      <c r="I327" s="75" t="s">
        <v>171</v>
      </c>
      <c r="J327" s="501">
        <v>20</v>
      </c>
      <c r="K327" s="501" t="s">
        <v>386</v>
      </c>
      <c r="L327" s="502">
        <v>10.16</v>
      </c>
      <c r="M327" s="502">
        <v>10.82</v>
      </c>
      <c r="N327" s="500">
        <v>0.10299999999999999</v>
      </c>
      <c r="O327" s="500">
        <v>0.1</v>
      </c>
      <c r="P327" s="500">
        <v>0.112</v>
      </c>
      <c r="Q327" s="78">
        <v>0.44</v>
      </c>
      <c r="R327" s="78">
        <v>0.31740000000000002</v>
      </c>
      <c r="S327" s="69">
        <v>0</v>
      </c>
      <c r="T327" s="69">
        <v>0</v>
      </c>
      <c r="U327" s="500">
        <v>0.7</v>
      </c>
      <c r="V327" s="76">
        <v>0</v>
      </c>
      <c r="W327" s="76">
        <v>0</v>
      </c>
      <c r="X327" s="76"/>
    </row>
    <row r="328" spans="1:24" x14ac:dyDescent="0.25">
      <c r="A328" s="75" t="str">
        <f t="shared" si="10"/>
        <v>Pago_de_Hipoteca PFAE Wealth &amp; Premier Executive Pago_Fijo_Puntual 19</v>
      </c>
      <c r="B328" s="75" t="str">
        <f t="shared" si="11"/>
        <v>Pago_de_Hipoteca PFAE Wealth &amp; Premier Executive Pago_Fijo_Puntual 19 0.0965</v>
      </c>
      <c r="C328" s="75" t="s">
        <v>173</v>
      </c>
      <c r="D328" s="75" t="s">
        <v>168</v>
      </c>
      <c r="E328" s="75" t="s">
        <v>175</v>
      </c>
      <c r="F328" s="75"/>
      <c r="G328" s="75"/>
      <c r="H328" s="75"/>
      <c r="I328" s="75" t="s">
        <v>171</v>
      </c>
      <c r="J328" s="501">
        <v>19</v>
      </c>
      <c r="K328" s="501" t="s">
        <v>385</v>
      </c>
      <c r="L328" s="502">
        <v>9.82</v>
      </c>
      <c r="M328" s="502">
        <v>10.48</v>
      </c>
      <c r="N328" s="500">
        <v>9.6500000000000002E-2</v>
      </c>
      <c r="O328" s="500">
        <v>9.1999999999999998E-2</v>
      </c>
      <c r="P328" s="500">
        <v>0.10249999999999999</v>
      </c>
      <c r="Q328" s="78">
        <v>0.44</v>
      </c>
      <c r="R328" s="78">
        <v>0.31740000000000002</v>
      </c>
      <c r="S328" s="69">
        <v>0</v>
      </c>
      <c r="T328" s="69">
        <v>0</v>
      </c>
      <c r="U328" s="500">
        <v>0.7</v>
      </c>
      <c r="V328" s="76">
        <v>0</v>
      </c>
      <c r="W328" s="76">
        <v>0</v>
      </c>
      <c r="X328" s="76"/>
    </row>
    <row r="329" spans="1:24" x14ac:dyDescent="0.25">
      <c r="A329" s="75" t="str">
        <f t="shared" si="10"/>
        <v>Pago_de_Hipoteca PFAE Wealth &amp; Premier Executive Pago_Fijo_Puntual 19</v>
      </c>
      <c r="B329" s="75" t="str">
        <f t="shared" si="11"/>
        <v>Pago_de_Hipoteca PFAE Wealth &amp; Premier Executive Pago_Fijo_Puntual 19 0.103</v>
      </c>
      <c r="C329" s="75" t="s">
        <v>173</v>
      </c>
      <c r="D329" s="75" t="s">
        <v>168</v>
      </c>
      <c r="E329" s="75" t="s">
        <v>175</v>
      </c>
      <c r="F329" s="75"/>
      <c r="G329" s="75"/>
      <c r="H329" s="75"/>
      <c r="I329" s="75" t="s">
        <v>171</v>
      </c>
      <c r="J329" s="501">
        <v>19</v>
      </c>
      <c r="K329" s="501" t="s">
        <v>386</v>
      </c>
      <c r="L329" s="502">
        <v>10.3</v>
      </c>
      <c r="M329" s="502">
        <v>10.96</v>
      </c>
      <c r="N329" s="500">
        <v>0.10299999999999999</v>
      </c>
      <c r="O329" s="500">
        <v>0.1</v>
      </c>
      <c r="P329" s="500">
        <v>0.112</v>
      </c>
      <c r="Q329" s="78">
        <v>0.44</v>
      </c>
      <c r="R329" s="78">
        <v>0.31740000000000002</v>
      </c>
      <c r="S329" s="69">
        <v>0</v>
      </c>
      <c r="T329" s="69">
        <v>0</v>
      </c>
      <c r="U329" s="500">
        <v>0.7</v>
      </c>
      <c r="V329" s="76">
        <v>0</v>
      </c>
      <c r="W329" s="76">
        <v>0</v>
      </c>
      <c r="X329" s="76"/>
    </row>
    <row r="330" spans="1:24" x14ac:dyDescent="0.25">
      <c r="A330" s="75" t="str">
        <f t="shared" si="10"/>
        <v>Pago_de_Hipoteca PFAE Wealth &amp; Premier Executive Pago_Fijo_Puntual 18</v>
      </c>
      <c r="B330" s="75" t="str">
        <f t="shared" si="11"/>
        <v>Pago_de_Hipoteca PFAE Wealth &amp; Premier Executive Pago_Fijo_Puntual 18 0.0965</v>
      </c>
      <c r="C330" s="75" t="s">
        <v>173</v>
      </c>
      <c r="D330" s="75" t="s">
        <v>168</v>
      </c>
      <c r="E330" s="75" t="s">
        <v>175</v>
      </c>
      <c r="F330" s="75"/>
      <c r="G330" s="75"/>
      <c r="H330" s="75"/>
      <c r="I330" s="75" t="s">
        <v>171</v>
      </c>
      <c r="J330" s="501">
        <v>18</v>
      </c>
      <c r="K330" s="501" t="s">
        <v>385</v>
      </c>
      <c r="L330" s="502">
        <v>10</v>
      </c>
      <c r="M330" s="502">
        <v>10.66</v>
      </c>
      <c r="N330" s="500">
        <v>9.6500000000000002E-2</v>
      </c>
      <c r="O330" s="500">
        <v>9.1999999999999998E-2</v>
      </c>
      <c r="P330" s="500">
        <v>0.10249999999999999</v>
      </c>
      <c r="Q330" s="78">
        <v>0.44</v>
      </c>
      <c r="R330" s="78">
        <v>0.31740000000000002</v>
      </c>
      <c r="S330" s="69">
        <v>0</v>
      </c>
      <c r="T330" s="69">
        <v>0</v>
      </c>
      <c r="U330" s="500">
        <v>0.7</v>
      </c>
      <c r="V330" s="76">
        <v>0</v>
      </c>
      <c r="W330" s="76">
        <v>0</v>
      </c>
      <c r="X330" s="76"/>
    </row>
    <row r="331" spans="1:24" x14ac:dyDescent="0.25">
      <c r="A331" s="75" t="str">
        <f t="shared" si="10"/>
        <v>Pago_de_Hipoteca PFAE Wealth &amp; Premier Executive Pago_Fijo_Puntual 18</v>
      </c>
      <c r="B331" s="75" t="str">
        <f t="shared" si="11"/>
        <v>Pago_de_Hipoteca PFAE Wealth &amp; Premier Executive Pago_Fijo_Puntual 18 0.103</v>
      </c>
      <c r="C331" s="75" t="s">
        <v>173</v>
      </c>
      <c r="D331" s="75" t="s">
        <v>168</v>
      </c>
      <c r="E331" s="75" t="s">
        <v>175</v>
      </c>
      <c r="F331" s="75"/>
      <c r="G331" s="75"/>
      <c r="H331" s="75"/>
      <c r="I331" s="75" t="s">
        <v>171</v>
      </c>
      <c r="J331" s="501">
        <v>18</v>
      </c>
      <c r="K331" s="501" t="s">
        <v>386</v>
      </c>
      <c r="L331" s="502">
        <v>10.47</v>
      </c>
      <c r="M331" s="502">
        <v>11.13</v>
      </c>
      <c r="N331" s="500">
        <v>0.10299999999999999</v>
      </c>
      <c r="O331" s="500">
        <v>0.1</v>
      </c>
      <c r="P331" s="500">
        <v>0.112</v>
      </c>
      <c r="Q331" s="78">
        <v>0.44</v>
      </c>
      <c r="R331" s="78">
        <v>0.31740000000000002</v>
      </c>
      <c r="S331" s="69">
        <v>0</v>
      </c>
      <c r="T331" s="69">
        <v>0</v>
      </c>
      <c r="U331" s="500">
        <v>0.7</v>
      </c>
      <c r="V331" s="76">
        <v>0</v>
      </c>
      <c r="W331" s="76">
        <v>0</v>
      </c>
      <c r="X331" s="76"/>
    </row>
    <row r="332" spans="1:24" x14ac:dyDescent="0.25">
      <c r="A332" s="75" t="str">
        <f t="shared" si="10"/>
        <v>Pago_de_Hipoteca PFAE Wealth &amp; Premier Executive Pago_Fijo_Puntual 17</v>
      </c>
      <c r="B332" s="75" t="str">
        <f t="shared" si="11"/>
        <v>Pago_de_Hipoteca PFAE Wealth &amp; Premier Executive Pago_Fijo_Puntual 17 0.0965</v>
      </c>
      <c r="C332" s="75" t="s">
        <v>173</v>
      </c>
      <c r="D332" s="75" t="s">
        <v>168</v>
      </c>
      <c r="E332" s="75" t="s">
        <v>175</v>
      </c>
      <c r="F332" s="75"/>
      <c r="G332" s="75"/>
      <c r="H332" s="75"/>
      <c r="I332" s="75" t="s">
        <v>171</v>
      </c>
      <c r="J332" s="501">
        <v>17</v>
      </c>
      <c r="K332" s="501" t="s">
        <v>385</v>
      </c>
      <c r="L332" s="502">
        <v>10.210000000000001</v>
      </c>
      <c r="M332" s="502">
        <v>10.87</v>
      </c>
      <c r="N332" s="500">
        <v>9.6500000000000002E-2</v>
      </c>
      <c r="O332" s="500">
        <v>9.1999999999999998E-2</v>
      </c>
      <c r="P332" s="500">
        <v>0.10249999999999999</v>
      </c>
      <c r="Q332" s="78">
        <v>0.44</v>
      </c>
      <c r="R332" s="78">
        <v>0.31740000000000002</v>
      </c>
      <c r="S332" s="69">
        <v>0</v>
      </c>
      <c r="T332" s="69">
        <v>0</v>
      </c>
      <c r="U332" s="500">
        <v>0.7</v>
      </c>
      <c r="V332" s="76">
        <v>0</v>
      </c>
      <c r="W332" s="76">
        <v>0</v>
      </c>
      <c r="X332" s="76"/>
    </row>
    <row r="333" spans="1:24" x14ac:dyDescent="0.25">
      <c r="A333" s="75" t="str">
        <f t="shared" si="10"/>
        <v>Pago_de_Hipoteca PFAE Wealth &amp; Premier Executive Pago_Fijo_Puntual 17</v>
      </c>
      <c r="B333" s="75" t="str">
        <f t="shared" si="11"/>
        <v>Pago_de_Hipoteca PFAE Wealth &amp; Premier Executive Pago_Fijo_Puntual 17 0.103</v>
      </c>
      <c r="C333" s="75" t="s">
        <v>173</v>
      </c>
      <c r="D333" s="75" t="s">
        <v>168</v>
      </c>
      <c r="E333" s="75" t="s">
        <v>175</v>
      </c>
      <c r="F333" s="75"/>
      <c r="G333" s="75"/>
      <c r="H333" s="75"/>
      <c r="I333" s="75" t="s">
        <v>171</v>
      </c>
      <c r="J333" s="501">
        <v>17</v>
      </c>
      <c r="K333" s="501" t="s">
        <v>386</v>
      </c>
      <c r="L333" s="502">
        <v>10.67</v>
      </c>
      <c r="M333" s="502">
        <v>11.33</v>
      </c>
      <c r="N333" s="500">
        <v>0.10299999999999999</v>
      </c>
      <c r="O333" s="500">
        <v>0.1</v>
      </c>
      <c r="P333" s="500">
        <v>0.112</v>
      </c>
      <c r="Q333" s="78">
        <v>0.44</v>
      </c>
      <c r="R333" s="78">
        <v>0.31740000000000002</v>
      </c>
      <c r="S333" s="69">
        <v>0</v>
      </c>
      <c r="T333" s="69">
        <v>0</v>
      </c>
      <c r="U333" s="500">
        <v>0.7</v>
      </c>
      <c r="V333" s="76">
        <v>0</v>
      </c>
      <c r="W333" s="76">
        <v>0</v>
      </c>
      <c r="X333" s="76"/>
    </row>
    <row r="334" spans="1:24" x14ac:dyDescent="0.25">
      <c r="A334" s="75" t="str">
        <f t="shared" si="10"/>
        <v>Pago_de_Hipoteca PFAE Wealth &amp; Premier Executive Pago_Fijo_Puntual 16</v>
      </c>
      <c r="B334" s="75" t="str">
        <f t="shared" si="11"/>
        <v>Pago_de_Hipoteca PFAE Wealth &amp; Premier Executive Pago_Fijo_Puntual 16 0.0965</v>
      </c>
      <c r="C334" s="75" t="s">
        <v>173</v>
      </c>
      <c r="D334" s="75" t="s">
        <v>168</v>
      </c>
      <c r="E334" s="75" t="s">
        <v>175</v>
      </c>
      <c r="F334" s="75"/>
      <c r="G334" s="75"/>
      <c r="H334" s="75"/>
      <c r="I334" s="75" t="s">
        <v>171</v>
      </c>
      <c r="J334" s="501">
        <v>16</v>
      </c>
      <c r="K334" s="501" t="s">
        <v>385</v>
      </c>
      <c r="L334" s="502">
        <v>10.45</v>
      </c>
      <c r="M334" s="502">
        <v>11.11</v>
      </c>
      <c r="N334" s="500">
        <v>9.6500000000000002E-2</v>
      </c>
      <c r="O334" s="500">
        <v>9.1999999999999998E-2</v>
      </c>
      <c r="P334" s="500">
        <v>0.10249999999999999</v>
      </c>
      <c r="Q334" s="78">
        <v>0.44</v>
      </c>
      <c r="R334" s="78">
        <v>0.31740000000000002</v>
      </c>
      <c r="S334" s="69">
        <v>0</v>
      </c>
      <c r="T334" s="69">
        <v>0</v>
      </c>
      <c r="U334" s="500">
        <v>0.7</v>
      </c>
      <c r="V334" s="76">
        <v>0</v>
      </c>
      <c r="W334" s="76">
        <v>0</v>
      </c>
      <c r="X334" s="76"/>
    </row>
    <row r="335" spans="1:24" x14ac:dyDescent="0.25">
      <c r="A335" s="75" t="str">
        <f t="shared" si="10"/>
        <v>Pago_de_Hipoteca PFAE Wealth &amp; Premier Executive Pago_Fijo_Puntual 16</v>
      </c>
      <c r="B335" s="75" t="str">
        <f t="shared" si="11"/>
        <v>Pago_de_Hipoteca PFAE Wealth &amp; Premier Executive Pago_Fijo_Puntual 16 0.103</v>
      </c>
      <c r="C335" s="75" t="s">
        <v>173</v>
      </c>
      <c r="D335" s="75" t="s">
        <v>168</v>
      </c>
      <c r="E335" s="75" t="s">
        <v>175</v>
      </c>
      <c r="F335" s="75"/>
      <c r="G335" s="75"/>
      <c r="H335" s="75"/>
      <c r="I335" s="75" t="s">
        <v>171</v>
      </c>
      <c r="J335" s="501">
        <v>16</v>
      </c>
      <c r="K335" s="501" t="s">
        <v>386</v>
      </c>
      <c r="L335" s="502">
        <v>10.9</v>
      </c>
      <c r="M335" s="502">
        <v>11.56</v>
      </c>
      <c r="N335" s="500">
        <v>0.10299999999999999</v>
      </c>
      <c r="O335" s="500">
        <v>0.1</v>
      </c>
      <c r="P335" s="500">
        <v>0.112</v>
      </c>
      <c r="Q335" s="78">
        <v>0.44</v>
      </c>
      <c r="R335" s="78">
        <v>0.31740000000000002</v>
      </c>
      <c r="S335" s="69">
        <v>0</v>
      </c>
      <c r="T335" s="69">
        <v>0</v>
      </c>
      <c r="U335" s="500">
        <v>0.7</v>
      </c>
      <c r="V335" s="76">
        <v>0</v>
      </c>
      <c r="W335" s="76">
        <v>0</v>
      </c>
      <c r="X335" s="76"/>
    </row>
    <row r="336" spans="1:24" x14ac:dyDescent="0.25">
      <c r="A336" s="75" t="str">
        <f t="shared" si="10"/>
        <v>Pago_de_Hipoteca PFAE Wealth &amp; Premier Executive Pago_Fijo_Puntual 15</v>
      </c>
      <c r="B336" s="75" t="str">
        <f t="shared" si="11"/>
        <v>Pago_de_Hipoteca PFAE Wealth &amp; Premier Executive Pago_Fijo_Puntual 15 0.0965</v>
      </c>
      <c r="C336" s="75" t="s">
        <v>173</v>
      </c>
      <c r="D336" s="75" t="s">
        <v>168</v>
      </c>
      <c r="E336" s="75" t="s">
        <v>175</v>
      </c>
      <c r="F336" s="75"/>
      <c r="G336" s="75"/>
      <c r="H336" s="75"/>
      <c r="I336" s="75" t="s">
        <v>171</v>
      </c>
      <c r="J336" s="501">
        <v>15</v>
      </c>
      <c r="K336" s="501" t="s">
        <v>385</v>
      </c>
      <c r="L336" s="502">
        <v>10.73</v>
      </c>
      <c r="M336" s="502">
        <v>11.39</v>
      </c>
      <c r="N336" s="500">
        <v>9.6500000000000002E-2</v>
      </c>
      <c r="O336" s="500">
        <v>9.1999999999999998E-2</v>
      </c>
      <c r="P336" s="500">
        <v>0.10249999999999999</v>
      </c>
      <c r="Q336" s="78">
        <v>0.44</v>
      </c>
      <c r="R336" s="78">
        <v>0.31740000000000002</v>
      </c>
      <c r="S336" s="69">
        <v>0</v>
      </c>
      <c r="T336" s="69">
        <v>0</v>
      </c>
      <c r="U336" s="500">
        <v>0.7</v>
      </c>
      <c r="V336" s="76">
        <v>0</v>
      </c>
      <c r="W336" s="76">
        <v>0</v>
      </c>
      <c r="X336" s="76"/>
    </row>
    <row r="337" spans="1:24" x14ac:dyDescent="0.25">
      <c r="A337" s="75" t="str">
        <f t="shared" si="10"/>
        <v>Pago_de_Hipoteca PFAE Wealth &amp; Premier Executive Pago_Fijo_Puntual 15</v>
      </c>
      <c r="B337" s="75" t="str">
        <f t="shared" si="11"/>
        <v>Pago_de_Hipoteca PFAE Wealth &amp; Premier Executive Pago_Fijo_Puntual 15 0.103</v>
      </c>
      <c r="C337" s="75" t="s">
        <v>173</v>
      </c>
      <c r="D337" s="75" t="s">
        <v>168</v>
      </c>
      <c r="E337" s="75" t="s">
        <v>175</v>
      </c>
      <c r="F337" s="75"/>
      <c r="G337" s="75"/>
      <c r="H337" s="75"/>
      <c r="I337" s="75" t="s">
        <v>171</v>
      </c>
      <c r="J337" s="501">
        <v>15</v>
      </c>
      <c r="K337" s="501" t="s">
        <v>386</v>
      </c>
      <c r="L337" s="502">
        <v>11.18</v>
      </c>
      <c r="M337" s="502">
        <v>11.84</v>
      </c>
      <c r="N337" s="500">
        <v>0.10299999999999999</v>
      </c>
      <c r="O337" s="500">
        <v>0.1</v>
      </c>
      <c r="P337" s="500">
        <v>0.112</v>
      </c>
      <c r="Q337" s="78">
        <v>0.44</v>
      </c>
      <c r="R337" s="78">
        <v>0.31740000000000002</v>
      </c>
      <c r="S337" s="69">
        <v>0</v>
      </c>
      <c r="T337" s="69">
        <v>0</v>
      </c>
      <c r="U337" s="500">
        <v>0.7</v>
      </c>
      <c r="V337" s="76">
        <v>0</v>
      </c>
      <c r="W337" s="76">
        <v>0</v>
      </c>
      <c r="X337" s="76"/>
    </row>
    <row r="338" spans="1:24" x14ac:dyDescent="0.25">
      <c r="A338" s="75" t="str">
        <f t="shared" si="10"/>
        <v>Pago_de_Hipoteca PFAE Wealth &amp; Premier Executive Pago_Fijo_Puntual 14</v>
      </c>
      <c r="B338" s="75" t="str">
        <f t="shared" si="11"/>
        <v>Pago_de_Hipoteca PFAE Wealth &amp; Premier Executive Pago_Fijo_Puntual 14 0.0965</v>
      </c>
      <c r="C338" s="75" t="s">
        <v>173</v>
      </c>
      <c r="D338" s="75" t="s">
        <v>168</v>
      </c>
      <c r="E338" s="75" t="s">
        <v>175</v>
      </c>
      <c r="F338" s="75"/>
      <c r="G338" s="75"/>
      <c r="H338" s="75"/>
      <c r="I338" s="75" t="s">
        <v>171</v>
      </c>
      <c r="J338" s="501">
        <v>14</v>
      </c>
      <c r="K338" s="501" t="s">
        <v>385</v>
      </c>
      <c r="L338" s="502">
        <v>11.06</v>
      </c>
      <c r="M338" s="502">
        <v>11.72</v>
      </c>
      <c r="N338" s="500">
        <v>9.6500000000000002E-2</v>
      </c>
      <c r="O338" s="500">
        <v>9.1999999999999998E-2</v>
      </c>
      <c r="P338" s="500">
        <v>0.10249999999999999</v>
      </c>
      <c r="Q338" s="78">
        <v>0.44</v>
      </c>
      <c r="R338" s="78">
        <v>0.31740000000000002</v>
      </c>
      <c r="S338" s="69">
        <v>0</v>
      </c>
      <c r="T338" s="69">
        <v>0</v>
      </c>
      <c r="U338" s="500">
        <v>0.7</v>
      </c>
      <c r="V338" s="76">
        <v>0</v>
      </c>
      <c r="W338" s="76">
        <v>0</v>
      </c>
      <c r="X338" s="76"/>
    </row>
    <row r="339" spans="1:24" x14ac:dyDescent="0.25">
      <c r="A339" s="75" t="str">
        <f t="shared" si="10"/>
        <v>Pago_de_Hipoteca PFAE Wealth &amp; Premier Executive Pago_Fijo_Puntual 14</v>
      </c>
      <c r="B339" s="75" t="str">
        <f t="shared" si="11"/>
        <v>Pago_de_Hipoteca PFAE Wealth &amp; Premier Executive Pago_Fijo_Puntual 14 0.103</v>
      </c>
      <c r="C339" s="75" t="s">
        <v>173</v>
      </c>
      <c r="D339" s="75" t="s">
        <v>168</v>
      </c>
      <c r="E339" s="75" t="s">
        <v>175</v>
      </c>
      <c r="F339" s="75"/>
      <c r="G339" s="75"/>
      <c r="H339" s="75"/>
      <c r="I339" s="75" t="s">
        <v>171</v>
      </c>
      <c r="J339" s="501">
        <v>14</v>
      </c>
      <c r="K339" s="501" t="s">
        <v>386</v>
      </c>
      <c r="L339" s="502">
        <v>11.49</v>
      </c>
      <c r="M339" s="502">
        <v>12.15</v>
      </c>
      <c r="N339" s="500">
        <v>0.10299999999999999</v>
      </c>
      <c r="O339" s="500">
        <v>0.1</v>
      </c>
      <c r="P339" s="500">
        <v>0.112</v>
      </c>
      <c r="Q339" s="78">
        <v>0.44</v>
      </c>
      <c r="R339" s="78">
        <v>0.31740000000000002</v>
      </c>
      <c r="S339" s="69">
        <v>0</v>
      </c>
      <c r="T339" s="69">
        <v>0</v>
      </c>
      <c r="U339" s="500">
        <v>0.7</v>
      </c>
      <c r="V339" s="76">
        <v>0</v>
      </c>
      <c r="W339" s="76">
        <v>0</v>
      </c>
      <c r="X339" s="76"/>
    </row>
    <row r="340" spans="1:24" x14ac:dyDescent="0.25">
      <c r="A340" s="75" t="str">
        <f t="shared" si="10"/>
        <v>Pago_de_Hipoteca PFAE Wealth &amp; Premier Executive Pago_Fijo_Puntual 13</v>
      </c>
      <c r="B340" s="75" t="str">
        <f t="shared" si="11"/>
        <v>Pago_de_Hipoteca PFAE Wealth &amp; Premier Executive Pago_Fijo_Puntual 13 0.0965</v>
      </c>
      <c r="C340" s="75" t="s">
        <v>173</v>
      </c>
      <c r="D340" s="75" t="s">
        <v>168</v>
      </c>
      <c r="E340" s="75" t="s">
        <v>175</v>
      </c>
      <c r="F340" s="75"/>
      <c r="G340" s="75"/>
      <c r="H340" s="75"/>
      <c r="I340" s="75" t="s">
        <v>171</v>
      </c>
      <c r="J340" s="501">
        <v>13</v>
      </c>
      <c r="K340" s="501" t="s">
        <v>385</v>
      </c>
      <c r="L340" s="502">
        <v>11.45</v>
      </c>
      <c r="M340" s="502">
        <v>12.11</v>
      </c>
      <c r="N340" s="500">
        <v>9.6500000000000002E-2</v>
      </c>
      <c r="O340" s="500">
        <v>9.1999999999999998E-2</v>
      </c>
      <c r="P340" s="500">
        <v>0.10249999999999999</v>
      </c>
      <c r="Q340" s="78">
        <v>0.44</v>
      </c>
      <c r="R340" s="78">
        <v>0.31740000000000002</v>
      </c>
      <c r="S340" s="69">
        <v>0</v>
      </c>
      <c r="T340" s="69">
        <v>0</v>
      </c>
      <c r="U340" s="500">
        <v>0.7</v>
      </c>
      <c r="V340" s="76">
        <v>0</v>
      </c>
      <c r="W340" s="76">
        <v>0</v>
      </c>
      <c r="X340" s="76"/>
    </row>
    <row r="341" spans="1:24" x14ac:dyDescent="0.25">
      <c r="A341" s="75" t="str">
        <f t="shared" si="10"/>
        <v>Pago_de_Hipoteca PFAE Wealth &amp; Premier Executive Pago_Fijo_Puntual 13</v>
      </c>
      <c r="B341" s="75" t="str">
        <f t="shared" si="11"/>
        <v>Pago_de_Hipoteca PFAE Wealth &amp; Premier Executive Pago_Fijo_Puntual 13 0.103</v>
      </c>
      <c r="C341" s="75" t="s">
        <v>173</v>
      </c>
      <c r="D341" s="75" t="s">
        <v>168</v>
      </c>
      <c r="E341" s="75" t="s">
        <v>175</v>
      </c>
      <c r="F341" s="75"/>
      <c r="G341" s="75"/>
      <c r="H341" s="75"/>
      <c r="I341" s="75" t="s">
        <v>171</v>
      </c>
      <c r="J341" s="501">
        <v>13</v>
      </c>
      <c r="K341" s="501" t="s">
        <v>386</v>
      </c>
      <c r="L341" s="502">
        <v>11.86</v>
      </c>
      <c r="M341" s="502">
        <v>12.52</v>
      </c>
      <c r="N341" s="500">
        <v>0.10299999999999999</v>
      </c>
      <c r="O341" s="500">
        <v>0.1</v>
      </c>
      <c r="P341" s="500">
        <v>0.112</v>
      </c>
      <c r="Q341" s="78">
        <v>0.44</v>
      </c>
      <c r="R341" s="78">
        <v>0.31740000000000002</v>
      </c>
      <c r="S341" s="69">
        <v>0</v>
      </c>
      <c r="T341" s="69">
        <v>0</v>
      </c>
      <c r="U341" s="500">
        <v>0.7</v>
      </c>
      <c r="V341" s="76">
        <v>0</v>
      </c>
      <c r="W341" s="76">
        <v>0</v>
      </c>
      <c r="X341" s="76"/>
    </row>
    <row r="342" spans="1:24" x14ac:dyDescent="0.25">
      <c r="A342" s="75" t="str">
        <f t="shared" si="10"/>
        <v>Pago_de_Hipoteca PFAE Wealth &amp; Premier Executive Pago_Fijo_Puntual 12</v>
      </c>
      <c r="B342" s="75" t="str">
        <f t="shared" si="11"/>
        <v>Pago_de_Hipoteca PFAE Wealth &amp; Premier Executive Pago_Fijo_Puntual 12 0.0965</v>
      </c>
      <c r="C342" s="75" t="s">
        <v>173</v>
      </c>
      <c r="D342" s="75" t="s">
        <v>168</v>
      </c>
      <c r="E342" s="75" t="s">
        <v>175</v>
      </c>
      <c r="F342" s="75"/>
      <c r="G342" s="75"/>
      <c r="H342" s="75"/>
      <c r="I342" s="75" t="s">
        <v>171</v>
      </c>
      <c r="J342" s="501">
        <v>12</v>
      </c>
      <c r="K342" s="501" t="s">
        <v>385</v>
      </c>
      <c r="L342" s="502">
        <v>11.91</v>
      </c>
      <c r="M342" s="502">
        <v>12.57</v>
      </c>
      <c r="N342" s="500">
        <v>9.6500000000000002E-2</v>
      </c>
      <c r="O342" s="500">
        <v>9.1999999999999998E-2</v>
      </c>
      <c r="P342" s="500">
        <v>0.10249999999999999</v>
      </c>
      <c r="Q342" s="78">
        <v>0.44</v>
      </c>
      <c r="R342" s="78">
        <v>0.31740000000000002</v>
      </c>
      <c r="S342" s="69">
        <v>0</v>
      </c>
      <c r="T342" s="69">
        <v>0</v>
      </c>
      <c r="U342" s="500">
        <v>0.7</v>
      </c>
      <c r="V342" s="76">
        <v>0</v>
      </c>
      <c r="W342" s="76">
        <v>0</v>
      </c>
      <c r="X342" s="76"/>
    </row>
    <row r="343" spans="1:24" x14ac:dyDescent="0.25">
      <c r="A343" s="75" t="str">
        <f t="shared" si="10"/>
        <v>Pago_de_Hipoteca PFAE Wealth &amp; Premier Executive Pago_Fijo_Puntual 12</v>
      </c>
      <c r="B343" s="75" t="str">
        <f t="shared" si="11"/>
        <v>Pago_de_Hipoteca PFAE Wealth &amp; Premier Executive Pago_Fijo_Puntual 12 0.103</v>
      </c>
      <c r="C343" s="75" t="s">
        <v>173</v>
      </c>
      <c r="D343" s="75" t="s">
        <v>168</v>
      </c>
      <c r="E343" s="75" t="s">
        <v>175</v>
      </c>
      <c r="F343" s="75"/>
      <c r="G343" s="75"/>
      <c r="H343" s="75"/>
      <c r="I343" s="75" t="s">
        <v>171</v>
      </c>
      <c r="J343" s="501">
        <v>12</v>
      </c>
      <c r="K343" s="501" t="s">
        <v>386</v>
      </c>
      <c r="L343" s="502">
        <v>12.31</v>
      </c>
      <c r="M343" s="502">
        <v>12.97</v>
      </c>
      <c r="N343" s="500">
        <v>0.10299999999999999</v>
      </c>
      <c r="O343" s="500">
        <v>0.1</v>
      </c>
      <c r="P343" s="500">
        <v>0.112</v>
      </c>
      <c r="Q343" s="78">
        <v>0.44</v>
      </c>
      <c r="R343" s="78">
        <v>0.31740000000000002</v>
      </c>
      <c r="S343" s="69">
        <v>0</v>
      </c>
      <c r="T343" s="69">
        <v>0</v>
      </c>
      <c r="U343" s="500">
        <v>0.7</v>
      </c>
      <c r="V343" s="76">
        <v>0</v>
      </c>
      <c r="W343" s="76">
        <v>0</v>
      </c>
      <c r="X343" s="76"/>
    </row>
    <row r="344" spans="1:24" x14ac:dyDescent="0.25">
      <c r="A344" s="75" t="str">
        <f t="shared" si="10"/>
        <v>Pago_de_Hipoteca PFAE Wealth &amp; Premier Executive Pago_Fijo_Puntual 11</v>
      </c>
      <c r="B344" s="75" t="str">
        <f t="shared" si="11"/>
        <v>Pago_de_Hipoteca PFAE Wealth &amp; Premier Executive Pago_Fijo_Puntual 11 0.0965</v>
      </c>
      <c r="C344" s="75" t="s">
        <v>173</v>
      </c>
      <c r="D344" s="75" t="s">
        <v>168</v>
      </c>
      <c r="E344" s="75" t="s">
        <v>175</v>
      </c>
      <c r="F344" s="75"/>
      <c r="G344" s="75"/>
      <c r="H344" s="75"/>
      <c r="I344" s="75" t="s">
        <v>171</v>
      </c>
      <c r="J344" s="501">
        <v>11</v>
      </c>
      <c r="K344" s="501" t="s">
        <v>385</v>
      </c>
      <c r="L344" s="502">
        <v>12.47</v>
      </c>
      <c r="M344" s="502">
        <v>13.13</v>
      </c>
      <c r="N344" s="500">
        <v>9.6500000000000002E-2</v>
      </c>
      <c r="O344" s="500">
        <v>9.1999999999999998E-2</v>
      </c>
      <c r="P344" s="500">
        <v>0.10249999999999999</v>
      </c>
      <c r="Q344" s="78">
        <v>0.44</v>
      </c>
      <c r="R344" s="78">
        <v>0.31740000000000002</v>
      </c>
      <c r="S344" s="69">
        <v>0</v>
      </c>
      <c r="T344" s="69">
        <v>0</v>
      </c>
      <c r="U344" s="500">
        <v>0.7</v>
      </c>
      <c r="V344" s="76">
        <v>0</v>
      </c>
      <c r="W344" s="76">
        <v>0</v>
      </c>
      <c r="X344" s="76"/>
    </row>
    <row r="345" spans="1:24" x14ac:dyDescent="0.25">
      <c r="A345" s="75" t="str">
        <f t="shared" si="10"/>
        <v>Pago_de_Hipoteca PFAE Wealth &amp; Premier Executive Pago_Fijo_Puntual 11</v>
      </c>
      <c r="B345" s="75" t="str">
        <f t="shared" si="11"/>
        <v>Pago_de_Hipoteca PFAE Wealth &amp; Premier Executive Pago_Fijo_Puntual 11 0.103</v>
      </c>
      <c r="C345" s="75" t="s">
        <v>173</v>
      </c>
      <c r="D345" s="75" t="s">
        <v>168</v>
      </c>
      <c r="E345" s="75" t="s">
        <v>175</v>
      </c>
      <c r="F345" s="75"/>
      <c r="G345" s="75"/>
      <c r="H345" s="75"/>
      <c r="I345" s="75" t="s">
        <v>171</v>
      </c>
      <c r="J345" s="501">
        <v>11</v>
      </c>
      <c r="K345" s="501" t="s">
        <v>386</v>
      </c>
      <c r="L345" s="502">
        <v>12.86</v>
      </c>
      <c r="M345" s="502">
        <v>13.52</v>
      </c>
      <c r="N345" s="500">
        <v>0.10299999999999999</v>
      </c>
      <c r="O345" s="500">
        <v>0.1</v>
      </c>
      <c r="P345" s="500">
        <v>0.112</v>
      </c>
      <c r="Q345" s="78">
        <v>0.44</v>
      </c>
      <c r="R345" s="78">
        <v>0.31740000000000002</v>
      </c>
      <c r="S345" s="69">
        <v>0</v>
      </c>
      <c r="T345" s="69">
        <v>0</v>
      </c>
      <c r="U345" s="500">
        <v>0.7</v>
      </c>
      <c r="V345" s="76">
        <v>0</v>
      </c>
      <c r="W345" s="76">
        <v>0</v>
      </c>
      <c r="X345" s="76"/>
    </row>
    <row r="346" spans="1:24" x14ac:dyDescent="0.25">
      <c r="A346" s="75" t="str">
        <f t="shared" si="10"/>
        <v>Pago_de_Hipoteca PFAE Wealth &amp; Premier Executive Pago_Fijo_Puntual 10</v>
      </c>
      <c r="B346" s="75" t="str">
        <f t="shared" si="11"/>
        <v>Pago_de_Hipoteca PFAE Wealth &amp; Premier Executive Pago_Fijo_Puntual 10 0.0965</v>
      </c>
      <c r="C346" s="75" t="s">
        <v>173</v>
      </c>
      <c r="D346" s="75" t="s">
        <v>168</v>
      </c>
      <c r="E346" s="75" t="s">
        <v>175</v>
      </c>
      <c r="F346" s="75"/>
      <c r="G346" s="75"/>
      <c r="H346" s="75"/>
      <c r="I346" s="75" t="s">
        <v>171</v>
      </c>
      <c r="J346" s="501">
        <v>10</v>
      </c>
      <c r="K346" s="501" t="s">
        <v>385</v>
      </c>
      <c r="L346" s="502">
        <v>13.16</v>
      </c>
      <c r="M346" s="502">
        <v>13.82</v>
      </c>
      <c r="N346" s="500">
        <v>9.6500000000000002E-2</v>
      </c>
      <c r="O346" s="500">
        <v>9.1999999999999998E-2</v>
      </c>
      <c r="P346" s="500">
        <v>0.10249999999999999</v>
      </c>
      <c r="Q346" s="78">
        <v>0.44</v>
      </c>
      <c r="R346" s="78">
        <v>0.31740000000000002</v>
      </c>
      <c r="S346" s="69">
        <v>0</v>
      </c>
      <c r="T346" s="69">
        <v>0</v>
      </c>
      <c r="U346" s="500">
        <v>0.7</v>
      </c>
      <c r="V346" s="76">
        <v>0</v>
      </c>
      <c r="W346" s="76">
        <v>0</v>
      </c>
      <c r="X346" s="76"/>
    </row>
    <row r="347" spans="1:24" x14ac:dyDescent="0.25">
      <c r="A347" s="75" t="str">
        <f t="shared" si="10"/>
        <v>Pago_de_Hipoteca PFAE Wealth &amp; Premier Executive Pago_Fijo_Puntual 10</v>
      </c>
      <c r="B347" s="75" t="str">
        <f t="shared" si="11"/>
        <v>Pago_de_Hipoteca PFAE Wealth &amp; Premier Executive Pago_Fijo_Puntual 10 0.103</v>
      </c>
      <c r="C347" s="75" t="s">
        <v>173</v>
      </c>
      <c r="D347" s="75" t="s">
        <v>168</v>
      </c>
      <c r="E347" s="75" t="s">
        <v>175</v>
      </c>
      <c r="F347" s="75"/>
      <c r="G347" s="75"/>
      <c r="H347" s="75"/>
      <c r="I347" s="75" t="s">
        <v>171</v>
      </c>
      <c r="J347" s="501">
        <v>10</v>
      </c>
      <c r="K347" s="501" t="s">
        <v>386</v>
      </c>
      <c r="L347" s="502">
        <v>13.54</v>
      </c>
      <c r="M347" s="502">
        <v>14.2</v>
      </c>
      <c r="N347" s="500">
        <v>0.10299999999999999</v>
      </c>
      <c r="O347" s="500">
        <v>0.1</v>
      </c>
      <c r="P347" s="500">
        <v>0.112</v>
      </c>
      <c r="Q347" s="78">
        <v>0.44</v>
      </c>
      <c r="R347" s="78">
        <v>0.31740000000000002</v>
      </c>
      <c r="S347" s="69">
        <v>0</v>
      </c>
      <c r="T347" s="69">
        <v>0</v>
      </c>
      <c r="U347" s="500">
        <v>0.7</v>
      </c>
      <c r="V347" s="76">
        <v>0</v>
      </c>
      <c r="W347" s="76">
        <v>0</v>
      </c>
      <c r="X347" s="76"/>
    </row>
    <row r="348" spans="1:24" x14ac:dyDescent="0.25">
      <c r="A348" s="75" t="str">
        <f t="shared" si="10"/>
        <v>Pago_de_Hipoteca PFAE Wealth &amp; Premier Executive Pago_Fijo_Puntual 9</v>
      </c>
      <c r="B348" s="75" t="str">
        <f t="shared" si="11"/>
        <v>Pago_de_Hipoteca PFAE Wealth &amp; Premier Executive Pago_Fijo_Puntual 9 0.0965</v>
      </c>
      <c r="C348" s="75" t="s">
        <v>173</v>
      </c>
      <c r="D348" s="75" t="s">
        <v>168</v>
      </c>
      <c r="E348" s="75" t="s">
        <v>175</v>
      </c>
      <c r="F348" s="75"/>
      <c r="G348" s="75"/>
      <c r="H348" s="75"/>
      <c r="I348" s="75" t="s">
        <v>171</v>
      </c>
      <c r="J348" s="501">
        <v>9</v>
      </c>
      <c r="K348" s="501" t="s">
        <v>385</v>
      </c>
      <c r="L348" s="502">
        <v>14.01</v>
      </c>
      <c r="M348" s="502">
        <v>14.67</v>
      </c>
      <c r="N348" s="500">
        <v>9.6500000000000002E-2</v>
      </c>
      <c r="O348" s="500">
        <v>9.1999999999999998E-2</v>
      </c>
      <c r="P348" s="500">
        <v>0.10249999999999999</v>
      </c>
      <c r="Q348" s="78">
        <v>0.44</v>
      </c>
      <c r="R348" s="78">
        <v>0.31740000000000002</v>
      </c>
      <c r="S348" s="69">
        <v>0</v>
      </c>
      <c r="T348" s="69">
        <v>0</v>
      </c>
      <c r="U348" s="500">
        <v>0.7</v>
      </c>
      <c r="V348" s="76">
        <v>0</v>
      </c>
      <c r="W348" s="76">
        <v>0</v>
      </c>
      <c r="X348" s="76"/>
    </row>
    <row r="349" spans="1:24" x14ac:dyDescent="0.25">
      <c r="A349" s="75" t="str">
        <f t="shared" si="10"/>
        <v>Pago_de_Hipoteca PFAE Wealth &amp; Premier Executive Pago_Fijo_Puntual 9</v>
      </c>
      <c r="B349" s="75" t="str">
        <f t="shared" si="11"/>
        <v>Pago_de_Hipoteca PFAE Wealth &amp; Premier Executive Pago_Fijo_Puntual 9 0.103</v>
      </c>
      <c r="C349" s="75" t="s">
        <v>173</v>
      </c>
      <c r="D349" s="75" t="s">
        <v>168</v>
      </c>
      <c r="E349" s="75" t="s">
        <v>175</v>
      </c>
      <c r="F349" s="75"/>
      <c r="G349" s="75"/>
      <c r="H349" s="75"/>
      <c r="I349" s="75" t="s">
        <v>171</v>
      </c>
      <c r="J349" s="501">
        <v>9</v>
      </c>
      <c r="K349" s="501" t="s">
        <v>386</v>
      </c>
      <c r="L349" s="502">
        <v>14.37</v>
      </c>
      <c r="M349" s="502">
        <v>15.03</v>
      </c>
      <c r="N349" s="500">
        <v>0.10299999999999999</v>
      </c>
      <c r="O349" s="500">
        <v>0.1</v>
      </c>
      <c r="P349" s="500">
        <v>0.112</v>
      </c>
      <c r="Q349" s="78">
        <v>0.44</v>
      </c>
      <c r="R349" s="78">
        <v>0.31740000000000002</v>
      </c>
      <c r="S349" s="69">
        <v>0</v>
      </c>
      <c r="T349" s="69">
        <v>0</v>
      </c>
      <c r="U349" s="500">
        <v>0.7</v>
      </c>
      <c r="V349" s="76">
        <v>0</v>
      </c>
      <c r="W349" s="76">
        <v>0</v>
      </c>
      <c r="X349" s="76"/>
    </row>
    <row r="350" spans="1:24" x14ac:dyDescent="0.25">
      <c r="A350" s="75" t="str">
        <f t="shared" si="10"/>
        <v>Pago_de_Hipoteca PFAE Wealth &amp; Premier Executive Pago_Fijo_Puntual 8</v>
      </c>
      <c r="B350" s="75" t="str">
        <f t="shared" si="11"/>
        <v>Pago_de_Hipoteca PFAE Wealth &amp; Premier Executive Pago_Fijo_Puntual 8 0.0965</v>
      </c>
      <c r="C350" s="75" t="s">
        <v>173</v>
      </c>
      <c r="D350" s="75" t="s">
        <v>168</v>
      </c>
      <c r="E350" s="75" t="s">
        <v>175</v>
      </c>
      <c r="F350" s="75"/>
      <c r="G350" s="75"/>
      <c r="H350" s="75"/>
      <c r="I350" s="75" t="s">
        <v>171</v>
      </c>
      <c r="J350" s="501">
        <v>8</v>
      </c>
      <c r="K350" s="501" t="s">
        <v>385</v>
      </c>
      <c r="L350" s="502">
        <v>15.09</v>
      </c>
      <c r="M350" s="502">
        <v>15.75</v>
      </c>
      <c r="N350" s="500">
        <v>9.6500000000000002E-2</v>
      </c>
      <c r="O350" s="500">
        <v>9.1999999999999998E-2</v>
      </c>
      <c r="P350" s="500">
        <v>0.10249999999999999</v>
      </c>
      <c r="Q350" s="78">
        <v>0.44</v>
      </c>
      <c r="R350" s="78">
        <v>0.31740000000000002</v>
      </c>
      <c r="S350" s="69">
        <v>0</v>
      </c>
      <c r="T350" s="69">
        <v>0</v>
      </c>
      <c r="U350" s="500">
        <v>0.7</v>
      </c>
      <c r="V350" s="76">
        <v>0</v>
      </c>
      <c r="W350" s="76">
        <v>0</v>
      </c>
      <c r="X350" s="76"/>
    </row>
    <row r="351" spans="1:24" x14ac:dyDescent="0.25">
      <c r="A351" s="75" t="str">
        <f t="shared" si="10"/>
        <v>Pago_de_Hipoteca PFAE Wealth &amp; Premier Executive Pago_Fijo_Puntual 8</v>
      </c>
      <c r="B351" s="75" t="str">
        <f t="shared" si="11"/>
        <v>Pago_de_Hipoteca PFAE Wealth &amp; Premier Executive Pago_Fijo_Puntual 8 0.103</v>
      </c>
      <c r="C351" s="75" t="s">
        <v>173</v>
      </c>
      <c r="D351" s="75" t="s">
        <v>168</v>
      </c>
      <c r="E351" s="75" t="s">
        <v>175</v>
      </c>
      <c r="F351" s="75"/>
      <c r="G351" s="75"/>
      <c r="H351" s="75"/>
      <c r="I351" s="75" t="s">
        <v>171</v>
      </c>
      <c r="J351" s="501">
        <v>8</v>
      </c>
      <c r="K351" s="501" t="s">
        <v>386</v>
      </c>
      <c r="L351" s="502">
        <v>15.44</v>
      </c>
      <c r="M351" s="502">
        <v>16.100000000000001</v>
      </c>
      <c r="N351" s="500">
        <v>0.10299999999999999</v>
      </c>
      <c r="O351" s="500">
        <v>0.1</v>
      </c>
      <c r="P351" s="500">
        <v>0.112</v>
      </c>
      <c r="Q351" s="78">
        <v>0.44</v>
      </c>
      <c r="R351" s="78">
        <v>0.31740000000000002</v>
      </c>
      <c r="S351" s="69">
        <v>0</v>
      </c>
      <c r="T351" s="69">
        <v>0</v>
      </c>
      <c r="U351" s="500">
        <v>0.7</v>
      </c>
      <c r="V351" s="76">
        <v>0</v>
      </c>
      <c r="W351" s="76">
        <v>0</v>
      </c>
      <c r="X351" s="76"/>
    </row>
    <row r="352" spans="1:24" x14ac:dyDescent="0.25">
      <c r="A352" s="75" t="str">
        <f t="shared" si="10"/>
        <v>Pago_de_Hipoteca PFAE Wealth &amp; Premier Executive Pago_Fijo_Puntual 7</v>
      </c>
      <c r="B352" s="75" t="str">
        <f t="shared" si="11"/>
        <v>Pago_de_Hipoteca PFAE Wealth &amp; Premier Executive Pago_Fijo_Puntual 7 0.0965</v>
      </c>
      <c r="C352" s="75" t="s">
        <v>173</v>
      </c>
      <c r="D352" s="75" t="s">
        <v>168</v>
      </c>
      <c r="E352" s="75" t="s">
        <v>175</v>
      </c>
      <c r="F352" s="75"/>
      <c r="G352" s="75"/>
      <c r="H352" s="75"/>
      <c r="I352" s="75" t="s">
        <v>171</v>
      </c>
      <c r="J352" s="501">
        <v>7</v>
      </c>
      <c r="K352" s="501" t="s">
        <v>385</v>
      </c>
      <c r="L352" s="502">
        <v>16.5</v>
      </c>
      <c r="M352" s="502">
        <v>17.16</v>
      </c>
      <c r="N352" s="500">
        <v>9.6500000000000002E-2</v>
      </c>
      <c r="O352" s="500">
        <v>9.1999999999999998E-2</v>
      </c>
      <c r="P352" s="500">
        <v>0.10249999999999999</v>
      </c>
      <c r="Q352" s="78">
        <v>0.44</v>
      </c>
      <c r="R352" s="78">
        <v>0.31740000000000002</v>
      </c>
      <c r="S352" s="69">
        <v>0</v>
      </c>
      <c r="T352" s="69">
        <v>0</v>
      </c>
      <c r="U352" s="500">
        <v>0.7</v>
      </c>
      <c r="V352" s="76">
        <v>0</v>
      </c>
      <c r="W352" s="76">
        <v>0</v>
      </c>
      <c r="X352" s="76"/>
    </row>
    <row r="353" spans="1:24" x14ac:dyDescent="0.25">
      <c r="A353" s="75" t="str">
        <f t="shared" si="10"/>
        <v>Pago_de_Hipoteca PFAE Wealth &amp; Premier Executive Pago_Fijo_Puntual 7</v>
      </c>
      <c r="B353" s="75" t="str">
        <f t="shared" si="11"/>
        <v>Pago_de_Hipoteca PFAE Wealth &amp; Premier Executive Pago_Fijo_Puntual 7 0.103</v>
      </c>
      <c r="C353" s="75" t="s">
        <v>173</v>
      </c>
      <c r="D353" s="75" t="s">
        <v>168</v>
      </c>
      <c r="E353" s="75" t="s">
        <v>175</v>
      </c>
      <c r="F353" s="75"/>
      <c r="G353" s="75"/>
      <c r="H353" s="75"/>
      <c r="I353" s="75" t="s">
        <v>171</v>
      </c>
      <c r="J353" s="501">
        <v>7</v>
      </c>
      <c r="K353" s="501" t="s">
        <v>386</v>
      </c>
      <c r="L353" s="502">
        <v>16.84</v>
      </c>
      <c r="M353" s="502">
        <v>17.5</v>
      </c>
      <c r="N353" s="500">
        <v>0.10299999999999999</v>
      </c>
      <c r="O353" s="500">
        <v>0.1</v>
      </c>
      <c r="P353" s="500">
        <v>0.112</v>
      </c>
      <c r="Q353" s="78">
        <v>0.44</v>
      </c>
      <c r="R353" s="78">
        <v>0.31740000000000002</v>
      </c>
      <c r="S353" s="69">
        <v>0</v>
      </c>
      <c r="T353" s="69">
        <v>0</v>
      </c>
      <c r="U353" s="500">
        <v>0.7</v>
      </c>
      <c r="V353" s="76">
        <v>0</v>
      </c>
      <c r="W353" s="76">
        <v>0</v>
      </c>
      <c r="X353" s="76"/>
    </row>
    <row r="354" spans="1:24" x14ac:dyDescent="0.25">
      <c r="A354" s="75" t="str">
        <f t="shared" si="10"/>
        <v>Pago_de_Hipoteca PFAE Wealth &amp; Premier Executive Pago_Fijo_Puntual 6</v>
      </c>
      <c r="B354" s="75" t="str">
        <f t="shared" si="11"/>
        <v>Pago_de_Hipoteca PFAE Wealth &amp; Premier Executive Pago_Fijo_Puntual 6 0.0965</v>
      </c>
      <c r="C354" s="75" t="s">
        <v>173</v>
      </c>
      <c r="D354" s="75" t="s">
        <v>168</v>
      </c>
      <c r="E354" s="75" t="s">
        <v>175</v>
      </c>
      <c r="F354" s="75"/>
      <c r="G354" s="75"/>
      <c r="H354" s="75"/>
      <c r="I354" s="75" t="s">
        <v>171</v>
      </c>
      <c r="J354" s="501">
        <v>6</v>
      </c>
      <c r="K354" s="501" t="s">
        <v>385</v>
      </c>
      <c r="L354" s="502">
        <v>18.41</v>
      </c>
      <c r="M354" s="502">
        <v>19.07</v>
      </c>
      <c r="N354" s="500">
        <v>9.6500000000000002E-2</v>
      </c>
      <c r="O354" s="500">
        <v>9.1999999999999998E-2</v>
      </c>
      <c r="P354" s="500">
        <v>0.10249999999999999</v>
      </c>
      <c r="Q354" s="78">
        <v>0.44</v>
      </c>
      <c r="R354" s="78">
        <v>0.31740000000000002</v>
      </c>
      <c r="S354" s="69">
        <v>0</v>
      </c>
      <c r="T354" s="69">
        <v>0</v>
      </c>
      <c r="U354" s="500">
        <v>0.7</v>
      </c>
      <c r="V354" s="76">
        <v>0</v>
      </c>
      <c r="W354" s="76">
        <v>0</v>
      </c>
      <c r="X354" s="76"/>
    </row>
    <row r="355" spans="1:24" x14ac:dyDescent="0.25">
      <c r="A355" s="75" t="str">
        <f t="shared" si="10"/>
        <v>Pago_de_Hipoteca PFAE Wealth &amp; Premier Executive Pago_Fijo_Puntual 6</v>
      </c>
      <c r="B355" s="75" t="str">
        <f t="shared" si="11"/>
        <v>Pago_de_Hipoteca PFAE Wealth &amp; Premier Executive Pago_Fijo_Puntual 6 0.103</v>
      </c>
      <c r="C355" s="75" t="s">
        <v>173</v>
      </c>
      <c r="D355" s="75" t="s">
        <v>168</v>
      </c>
      <c r="E355" s="75" t="s">
        <v>175</v>
      </c>
      <c r="F355" s="75"/>
      <c r="G355" s="75"/>
      <c r="H355" s="75"/>
      <c r="I355" s="75" t="s">
        <v>171</v>
      </c>
      <c r="J355" s="501">
        <v>6</v>
      </c>
      <c r="K355" s="501" t="s">
        <v>386</v>
      </c>
      <c r="L355" s="502">
        <v>18.739999999999998</v>
      </c>
      <c r="M355" s="502">
        <v>19.399999999999999</v>
      </c>
      <c r="N355" s="500">
        <v>0.10299999999999999</v>
      </c>
      <c r="O355" s="500">
        <v>0.1</v>
      </c>
      <c r="P355" s="500">
        <v>0.112</v>
      </c>
      <c r="Q355" s="78">
        <v>0.44</v>
      </c>
      <c r="R355" s="78">
        <v>0.31740000000000002</v>
      </c>
      <c r="S355" s="69">
        <v>0</v>
      </c>
      <c r="T355" s="69">
        <v>0</v>
      </c>
      <c r="U355" s="500">
        <v>0.7</v>
      </c>
      <c r="V355" s="76">
        <v>0</v>
      </c>
      <c r="W355" s="76">
        <v>0</v>
      </c>
      <c r="X355" s="76"/>
    </row>
    <row r="356" spans="1:24" x14ac:dyDescent="0.25">
      <c r="A356" s="75" t="str">
        <f t="shared" si="10"/>
        <v>Pago_de_Hipoteca PFAE Wealth &amp; Premier Executive Pago_Fijo_Puntual 5</v>
      </c>
      <c r="B356" s="75" t="str">
        <f t="shared" si="11"/>
        <v>Pago_de_Hipoteca PFAE Wealth &amp; Premier Executive Pago_Fijo_Puntual 5 0.0965</v>
      </c>
      <c r="C356" s="75" t="s">
        <v>173</v>
      </c>
      <c r="D356" s="75" t="s">
        <v>168</v>
      </c>
      <c r="E356" s="75" t="s">
        <v>175</v>
      </c>
      <c r="F356" s="75"/>
      <c r="G356" s="75"/>
      <c r="H356" s="75"/>
      <c r="I356" s="75" t="s">
        <v>171</v>
      </c>
      <c r="J356" s="501">
        <v>5</v>
      </c>
      <c r="K356" s="501" t="s">
        <v>385</v>
      </c>
      <c r="L356" s="502">
        <v>21.12</v>
      </c>
      <c r="M356" s="502">
        <v>21.78</v>
      </c>
      <c r="N356" s="500">
        <v>9.6500000000000002E-2</v>
      </c>
      <c r="O356" s="500">
        <v>9.1999999999999998E-2</v>
      </c>
      <c r="P356" s="500">
        <v>0.10249999999999999</v>
      </c>
      <c r="Q356" s="78">
        <v>0.44</v>
      </c>
      <c r="R356" s="78">
        <v>0.31740000000000002</v>
      </c>
      <c r="S356" s="69">
        <v>0</v>
      </c>
      <c r="T356" s="69">
        <v>0</v>
      </c>
      <c r="U356" s="500">
        <v>0.7</v>
      </c>
      <c r="V356" s="76">
        <v>0</v>
      </c>
      <c r="W356" s="76">
        <v>0</v>
      </c>
      <c r="X356" s="76"/>
    </row>
    <row r="357" spans="1:24" x14ac:dyDescent="0.25">
      <c r="A357" s="75" t="str">
        <f t="shared" si="10"/>
        <v>Pago_de_Hipoteca PFAE Wealth &amp; Premier Executive Pago_Fijo_Puntual 5</v>
      </c>
      <c r="B357" s="75" t="str">
        <f t="shared" si="11"/>
        <v>Pago_de_Hipoteca PFAE Wealth &amp; Premier Executive Pago_Fijo_Puntual 5 0.103</v>
      </c>
      <c r="C357" s="75" t="s">
        <v>173</v>
      </c>
      <c r="D357" s="75" t="s">
        <v>168</v>
      </c>
      <c r="E357" s="75" t="s">
        <v>175</v>
      </c>
      <c r="F357" s="75"/>
      <c r="G357" s="75"/>
      <c r="H357" s="75"/>
      <c r="I357" s="75" t="s">
        <v>171</v>
      </c>
      <c r="J357" s="501">
        <v>5</v>
      </c>
      <c r="K357" s="501" t="s">
        <v>386</v>
      </c>
      <c r="L357" s="502">
        <v>21.44</v>
      </c>
      <c r="M357" s="502">
        <v>22.1</v>
      </c>
      <c r="N357" s="500">
        <v>0.10299999999999999</v>
      </c>
      <c r="O357" s="500">
        <v>0.1</v>
      </c>
      <c r="P357" s="500">
        <v>0.112</v>
      </c>
      <c r="Q357" s="78">
        <v>0.44</v>
      </c>
      <c r="R357" s="78">
        <v>0.31740000000000002</v>
      </c>
      <c r="S357" s="69">
        <v>0</v>
      </c>
      <c r="T357" s="69">
        <v>0</v>
      </c>
      <c r="U357" s="500">
        <v>0.7</v>
      </c>
      <c r="V357" s="76">
        <v>0</v>
      </c>
      <c r="W357" s="76">
        <v>0</v>
      </c>
      <c r="X357" s="76"/>
    </row>
    <row r="358" spans="1:24" x14ac:dyDescent="0.25">
      <c r="A358" s="75" t="str">
        <f t="shared" si="10"/>
        <v>Pago_de_Hipoteca PROF Wealth &amp; Premier Executive Pago_Fijo_Puntual 20</v>
      </c>
      <c r="B358" s="75" t="str">
        <f t="shared" si="11"/>
        <v>Pago_de_Hipoteca PROF Wealth &amp; Premier Executive Pago_Fijo_Puntual 20 0.0965</v>
      </c>
      <c r="C358" s="75" t="s">
        <v>173</v>
      </c>
      <c r="D358" s="75" t="s">
        <v>169</v>
      </c>
      <c r="E358" s="75" t="s">
        <v>175</v>
      </c>
      <c r="F358" s="75"/>
      <c r="G358" s="75"/>
      <c r="H358" s="75"/>
      <c r="I358" s="75" t="s">
        <v>171</v>
      </c>
      <c r="J358" s="501">
        <v>20</v>
      </c>
      <c r="K358" s="501" t="s">
        <v>385</v>
      </c>
      <c r="L358" s="502">
        <v>9.66</v>
      </c>
      <c r="M358" s="502">
        <v>10.32</v>
      </c>
      <c r="N358" s="500">
        <v>9.6500000000000002E-2</v>
      </c>
      <c r="O358" s="500">
        <v>9.1999999999999998E-2</v>
      </c>
      <c r="P358" s="500">
        <v>0.10249999999999999</v>
      </c>
      <c r="Q358" s="78">
        <v>0.44</v>
      </c>
      <c r="R358" s="78">
        <v>0.31740000000000002</v>
      </c>
      <c r="S358" s="69">
        <v>0</v>
      </c>
      <c r="T358" s="69">
        <v>0</v>
      </c>
      <c r="U358" s="500">
        <v>0.7</v>
      </c>
      <c r="V358" s="76">
        <v>0</v>
      </c>
      <c r="W358" s="76">
        <v>0</v>
      </c>
      <c r="X358" s="76"/>
    </row>
    <row r="359" spans="1:24" x14ac:dyDescent="0.25">
      <c r="A359" s="75" t="str">
        <f t="shared" si="10"/>
        <v>Pago_de_Hipoteca PROF Wealth &amp; Premier Executive Pago_Fijo_Puntual 20</v>
      </c>
      <c r="B359" s="75" t="str">
        <f t="shared" si="11"/>
        <v>Pago_de_Hipoteca PROF Wealth &amp; Premier Executive Pago_Fijo_Puntual 20 0.103</v>
      </c>
      <c r="C359" s="75" t="s">
        <v>173</v>
      </c>
      <c r="D359" s="75" t="s">
        <v>169</v>
      </c>
      <c r="E359" s="75" t="s">
        <v>175</v>
      </c>
      <c r="F359" s="75"/>
      <c r="G359" s="75"/>
      <c r="H359" s="75"/>
      <c r="I359" s="75" t="s">
        <v>171</v>
      </c>
      <c r="J359" s="501">
        <v>20</v>
      </c>
      <c r="K359" s="501" t="s">
        <v>386</v>
      </c>
      <c r="L359" s="502">
        <v>10.16</v>
      </c>
      <c r="M359" s="502">
        <v>10.82</v>
      </c>
      <c r="N359" s="500">
        <v>0.10299999999999999</v>
      </c>
      <c r="O359" s="500">
        <v>0.1</v>
      </c>
      <c r="P359" s="500">
        <v>0.112</v>
      </c>
      <c r="Q359" s="78">
        <v>0.44</v>
      </c>
      <c r="R359" s="78">
        <v>0.31740000000000002</v>
      </c>
      <c r="S359" s="69">
        <v>0</v>
      </c>
      <c r="T359" s="69">
        <v>0</v>
      </c>
      <c r="U359" s="500">
        <v>0.7</v>
      </c>
      <c r="V359" s="76">
        <v>0</v>
      </c>
      <c r="W359" s="76">
        <v>0</v>
      </c>
      <c r="X359" s="76"/>
    </row>
    <row r="360" spans="1:24" x14ac:dyDescent="0.25">
      <c r="A360" s="75" t="str">
        <f t="shared" si="10"/>
        <v>Pago_de_Hipoteca PROF Wealth &amp; Premier Executive Pago_Fijo_Puntual 19</v>
      </c>
      <c r="B360" s="75" t="str">
        <f t="shared" si="11"/>
        <v>Pago_de_Hipoteca PROF Wealth &amp; Premier Executive Pago_Fijo_Puntual 19 0.0965</v>
      </c>
      <c r="C360" s="75" t="s">
        <v>173</v>
      </c>
      <c r="D360" s="75" t="s">
        <v>169</v>
      </c>
      <c r="E360" s="75" t="s">
        <v>175</v>
      </c>
      <c r="F360" s="75"/>
      <c r="G360" s="75"/>
      <c r="H360" s="75"/>
      <c r="I360" s="75" t="s">
        <v>171</v>
      </c>
      <c r="J360" s="501">
        <v>19</v>
      </c>
      <c r="K360" s="501" t="s">
        <v>385</v>
      </c>
      <c r="L360" s="502">
        <v>9.82</v>
      </c>
      <c r="M360" s="502">
        <v>10.48</v>
      </c>
      <c r="N360" s="500">
        <v>9.6500000000000002E-2</v>
      </c>
      <c r="O360" s="500">
        <v>9.1999999999999998E-2</v>
      </c>
      <c r="P360" s="500">
        <v>0.10249999999999999</v>
      </c>
      <c r="Q360" s="78">
        <v>0.44</v>
      </c>
      <c r="R360" s="78">
        <v>0.31740000000000002</v>
      </c>
      <c r="S360" s="69">
        <v>0</v>
      </c>
      <c r="T360" s="69">
        <v>0</v>
      </c>
      <c r="U360" s="500">
        <v>0.7</v>
      </c>
      <c r="V360" s="76">
        <v>0</v>
      </c>
      <c r="W360" s="76">
        <v>0</v>
      </c>
      <c r="X360" s="76"/>
    </row>
    <row r="361" spans="1:24" x14ac:dyDescent="0.25">
      <c r="A361" s="75" t="str">
        <f t="shared" si="10"/>
        <v>Pago_de_Hipoteca PROF Wealth &amp; Premier Executive Pago_Fijo_Puntual 19</v>
      </c>
      <c r="B361" s="75" t="str">
        <f t="shared" si="11"/>
        <v>Pago_de_Hipoteca PROF Wealth &amp; Premier Executive Pago_Fijo_Puntual 19 0.103</v>
      </c>
      <c r="C361" s="75" t="s">
        <v>173</v>
      </c>
      <c r="D361" s="75" t="s">
        <v>169</v>
      </c>
      <c r="E361" s="75" t="s">
        <v>175</v>
      </c>
      <c r="F361" s="75"/>
      <c r="G361" s="75"/>
      <c r="H361" s="75"/>
      <c r="I361" s="75" t="s">
        <v>171</v>
      </c>
      <c r="J361" s="501">
        <v>19</v>
      </c>
      <c r="K361" s="501" t="s">
        <v>386</v>
      </c>
      <c r="L361" s="502">
        <v>10.3</v>
      </c>
      <c r="M361" s="502">
        <v>10.96</v>
      </c>
      <c r="N361" s="500">
        <v>0.10299999999999999</v>
      </c>
      <c r="O361" s="500">
        <v>0.1</v>
      </c>
      <c r="P361" s="500">
        <v>0.112</v>
      </c>
      <c r="Q361" s="78">
        <v>0.44</v>
      </c>
      <c r="R361" s="78">
        <v>0.31740000000000002</v>
      </c>
      <c r="S361" s="69">
        <v>0</v>
      </c>
      <c r="T361" s="69">
        <v>0</v>
      </c>
      <c r="U361" s="500">
        <v>0.7</v>
      </c>
      <c r="V361" s="76">
        <v>0</v>
      </c>
      <c r="W361" s="76">
        <v>0</v>
      </c>
      <c r="X361" s="76"/>
    </row>
    <row r="362" spans="1:24" x14ac:dyDescent="0.25">
      <c r="A362" s="75" t="str">
        <f t="shared" si="10"/>
        <v>Pago_de_Hipoteca PROF Wealth &amp; Premier Executive Pago_Fijo_Puntual 18</v>
      </c>
      <c r="B362" s="75" t="str">
        <f t="shared" si="11"/>
        <v>Pago_de_Hipoteca PROF Wealth &amp; Premier Executive Pago_Fijo_Puntual 18 0.0965</v>
      </c>
      <c r="C362" s="75" t="s">
        <v>173</v>
      </c>
      <c r="D362" s="75" t="s">
        <v>169</v>
      </c>
      <c r="E362" s="75" t="s">
        <v>175</v>
      </c>
      <c r="F362" s="75"/>
      <c r="G362" s="75"/>
      <c r="H362" s="75"/>
      <c r="I362" s="75" t="s">
        <v>171</v>
      </c>
      <c r="J362" s="501">
        <v>18</v>
      </c>
      <c r="K362" s="501" t="s">
        <v>385</v>
      </c>
      <c r="L362" s="502">
        <v>10</v>
      </c>
      <c r="M362" s="502">
        <v>10.66</v>
      </c>
      <c r="N362" s="500">
        <v>9.6500000000000002E-2</v>
      </c>
      <c r="O362" s="500">
        <v>9.1999999999999998E-2</v>
      </c>
      <c r="P362" s="500">
        <v>0.10249999999999999</v>
      </c>
      <c r="Q362" s="78">
        <v>0.44</v>
      </c>
      <c r="R362" s="78">
        <v>0.31740000000000002</v>
      </c>
      <c r="S362" s="69">
        <v>0</v>
      </c>
      <c r="T362" s="69">
        <v>0</v>
      </c>
      <c r="U362" s="500">
        <v>0.7</v>
      </c>
      <c r="V362" s="76">
        <v>0</v>
      </c>
      <c r="W362" s="76">
        <v>0</v>
      </c>
      <c r="X362" s="76"/>
    </row>
    <row r="363" spans="1:24" x14ac:dyDescent="0.25">
      <c r="A363" s="75" t="str">
        <f t="shared" si="10"/>
        <v>Pago_de_Hipoteca PROF Wealth &amp; Premier Executive Pago_Fijo_Puntual 18</v>
      </c>
      <c r="B363" s="75" t="str">
        <f t="shared" si="11"/>
        <v>Pago_de_Hipoteca PROF Wealth &amp; Premier Executive Pago_Fijo_Puntual 18 0.103</v>
      </c>
      <c r="C363" s="75" t="s">
        <v>173</v>
      </c>
      <c r="D363" s="75" t="s">
        <v>169</v>
      </c>
      <c r="E363" s="75" t="s">
        <v>175</v>
      </c>
      <c r="F363" s="75"/>
      <c r="G363" s="75"/>
      <c r="H363" s="75"/>
      <c r="I363" s="75" t="s">
        <v>171</v>
      </c>
      <c r="J363" s="501">
        <v>18</v>
      </c>
      <c r="K363" s="501" t="s">
        <v>386</v>
      </c>
      <c r="L363" s="502">
        <v>10.47</v>
      </c>
      <c r="M363" s="502">
        <v>11.13</v>
      </c>
      <c r="N363" s="500">
        <v>0.10299999999999999</v>
      </c>
      <c r="O363" s="500">
        <v>0.1</v>
      </c>
      <c r="P363" s="500">
        <v>0.112</v>
      </c>
      <c r="Q363" s="78">
        <v>0.44</v>
      </c>
      <c r="R363" s="78">
        <v>0.31740000000000002</v>
      </c>
      <c r="S363" s="69">
        <v>0</v>
      </c>
      <c r="T363" s="69">
        <v>0</v>
      </c>
      <c r="U363" s="500">
        <v>0.7</v>
      </c>
      <c r="V363" s="76">
        <v>0</v>
      </c>
      <c r="W363" s="76">
        <v>0</v>
      </c>
      <c r="X363" s="76"/>
    </row>
    <row r="364" spans="1:24" x14ac:dyDescent="0.25">
      <c r="A364" s="75" t="str">
        <f t="shared" si="10"/>
        <v>Pago_de_Hipoteca PROF Wealth &amp; Premier Executive Pago_Fijo_Puntual 17</v>
      </c>
      <c r="B364" s="75" t="str">
        <f t="shared" si="11"/>
        <v>Pago_de_Hipoteca PROF Wealth &amp; Premier Executive Pago_Fijo_Puntual 17 0.0965</v>
      </c>
      <c r="C364" s="75" t="s">
        <v>173</v>
      </c>
      <c r="D364" s="75" t="s">
        <v>169</v>
      </c>
      <c r="E364" s="75" t="s">
        <v>175</v>
      </c>
      <c r="F364" s="75"/>
      <c r="G364" s="75"/>
      <c r="H364" s="75"/>
      <c r="I364" s="75" t="s">
        <v>171</v>
      </c>
      <c r="J364" s="501">
        <v>17</v>
      </c>
      <c r="K364" s="501" t="s">
        <v>385</v>
      </c>
      <c r="L364" s="502">
        <v>10.210000000000001</v>
      </c>
      <c r="M364" s="502">
        <v>10.87</v>
      </c>
      <c r="N364" s="500">
        <v>9.6500000000000002E-2</v>
      </c>
      <c r="O364" s="500">
        <v>9.1999999999999998E-2</v>
      </c>
      <c r="P364" s="500">
        <v>0.10249999999999999</v>
      </c>
      <c r="Q364" s="78">
        <v>0.44</v>
      </c>
      <c r="R364" s="78">
        <v>0.31740000000000002</v>
      </c>
      <c r="S364" s="69">
        <v>0</v>
      </c>
      <c r="T364" s="69">
        <v>0</v>
      </c>
      <c r="U364" s="500">
        <v>0.7</v>
      </c>
      <c r="V364" s="76">
        <v>0</v>
      </c>
      <c r="W364" s="76">
        <v>0</v>
      </c>
      <c r="X364" s="76"/>
    </row>
    <row r="365" spans="1:24" x14ac:dyDescent="0.25">
      <c r="A365" s="75" t="str">
        <f t="shared" si="10"/>
        <v>Pago_de_Hipoteca PROF Wealth &amp; Premier Executive Pago_Fijo_Puntual 17</v>
      </c>
      <c r="B365" s="75" t="str">
        <f t="shared" si="11"/>
        <v>Pago_de_Hipoteca PROF Wealth &amp; Premier Executive Pago_Fijo_Puntual 17 0.103</v>
      </c>
      <c r="C365" s="75" t="s">
        <v>173</v>
      </c>
      <c r="D365" s="75" t="s">
        <v>169</v>
      </c>
      <c r="E365" s="75" t="s">
        <v>175</v>
      </c>
      <c r="F365" s="75"/>
      <c r="G365" s="75"/>
      <c r="H365" s="75"/>
      <c r="I365" s="75" t="s">
        <v>171</v>
      </c>
      <c r="J365" s="501">
        <v>17</v>
      </c>
      <c r="K365" s="501" t="s">
        <v>386</v>
      </c>
      <c r="L365" s="502">
        <v>10.67</v>
      </c>
      <c r="M365" s="502">
        <v>11.33</v>
      </c>
      <c r="N365" s="500">
        <v>0.10299999999999999</v>
      </c>
      <c r="O365" s="500">
        <v>0.1</v>
      </c>
      <c r="P365" s="500">
        <v>0.112</v>
      </c>
      <c r="Q365" s="78">
        <v>0.44</v>
      </c>
      <c r="R365" s="78">
        <v>0.31740000000000002</v>
      </c>
      <c r="S365" s="69">
        <v>0</v>
      </c>
      <c r="T365" s="69">
        <v>0</v>
      </c>
      <c r="U365" s="500">
        <v>0.7</v>
      </c>
      <c r="V365" s="76">
        <v>0</v>
      </c>
      <c r="W365" s="76">
        <v>0</v>
      </c>
      <c r="X365" s="76"/>
    </row>
    <row r="366" spans="1:24" x14ac:dyDescent="0.25">
      <c r="A366" s="75" t="str">
        <f t="shared" si="10"/>
        <v>Pago_de_Hipoteca PROF Wealth &amp; Premier Executive Pago_Fijo_Puntual 16</v>
      </c>
      <c r="B366" s="75" t="str">
        <f t="shared" si="11"/>
        <v>Pago_de_Hipoteca PROF Wealth &amp; Premier Executive Pago_Fijo_Puntual 16 0.0965</v>
      </c>
      <c r="C366" s="75" t="s">
        <v>173</v>
      </c>
      <c r="D366" s="75" t="s">
        <v>169</v>
      </c>
      <c r="E366" s="75" t="s">
        <v>175</v>
      </c>
      <c r="F366" s="75"/>
      <c r="G366" s="75"/>
      <c r="H366" s="75"/>
      <c r="I366" s="75" t="s">
        <v>171</v>
      </c>
      <c r="J366" s="501">
        <v>16</v>
      </c>
      <c r="K366" s="501" t="s">
        <v>385</v>
      </c>
      <c r="L366" s="502">
        <v>10.45</v>
      </c>
      <c r="M366" s="502">
        <v>11.11</v>
      </c>
      <c r="N366" s="500">
        <v>9.6500000000000002E-2</v>
      </c>
      <c r="O366" s="500">
        <v>9.1999999999999998E-2</v>
      </c>
      <c r="P366" s="500">
        <v>0.10249999999999999</v>
      </c>
      <c r="Q366" s="78">
        <v>0.44</v>
      </c>
      <c r="R366" s="78">
        <v>0.31740000000000002</v>
      </c>
      <c r="S366" s="69">
        <v>0</v>
      </c>
      <c r="T366" s="69">
        <v>0</v>
      </c>
      <c r="U366" s="500">
        <v>0.7</v>
      </c>
      <c r="V366" s="76">
        <v>0</v>
      </c>
      <c r="W366" s="76">
        <v>0</v>
      </c>
      <c r="X366" s="76"/>
    </row>
    <row r="367" spans="1:24" x14ac:dyDescent="0.25">
      <c r="A367" s="75" t="str">
        <f t="shared" si="10"/>
        <v>Pago_de_Hipoteca PROF Wealth &amp; Premier Executive Pago_Fijo_Puntual 16</v>
      </c>
      <c r="B367" s="75" t="str">
        <f t="shared" si="11"/>
        <v>Pago_de_Hipoteca PROF Wealth &amp; Premier Executive Pago_Fijo_Puntual 16 0.103</v>
      </c>
      <c r="C367" s="75" t="s">
        <v>173</v>
      </c>
      <c r="D367" s="75" t="s">
        <v>169</v>
      </c>
      <c r="E367" s="75" t="s">
        <v>175</v>
      </c>
      <c r="F367" s="75"/>
      <c r="G367" s="75"/>
      <c r="H367" s="75"/>
      <c r="I367" s="75" t="s">
        <v>171</v>
      </c>
      <c r="J367" s="501">
        <v>16</v>
      </c>
      <c r="K367" s="501" t="s">
        <v>386</v>
      </c>
      <c r="L367" s="502">
        <v>10.9</v>
      </c>
      <c r="M367" s="502">
        <v>11.56</v>
      </c>
      <c r="N367" s="500">
        <v>0.10299999999999999</v>
      </c>
      <c r="O367" s="500">
        <v>0.1</v>
      </c>
      <c r="P367" s="500">
        <v>0.112</v>
      </c>
      <c r="Q367" s="78">
        <v>0.44</v>
      </c>
      <c r="R367" s="78">
        <v>0.31740000000000002</v>
      </c>
      <c r="S367" s="69">
        <v>0</v>
      </c>
      <c r="T367" s="69">
        <v>0</v>
      </c>
      <c r="U367" s="500">
        <v>0.7</v>
      </c>
      <c r="V367" s="76">
        <v>0</v>
      </c>
      <c r="W367" s="76">
        <v>0</v>
      </c>
      <c r="X367" s="76"/>
    </row>
    <row r="368" spans="1:24" x14ac:dyDescent="0.25">
      <c r="A368" s="75" t="str">
        <f t="shared" si="10"/>
        <v>Pago_de_Hipoteca PROF Wealth &amp; Premier Executive Pago_Fijo_Puntual 15</v>
      </c>
      <c r="B368" s="75" t="str">
        <f t="shared" si="11"/>
        <v>Pago_de_Hipoteca PROF Wealth &amp; Premier Executive Pago_Fijo_Puntual 15 0.0965</v>
      </c>
      <c r="C368" s="75" t="s">
        <v>173</v>
      </c>
      <c r="D368" s="75" t="s">
        <v>169</v>
      </c>
      <c r="E368" s="75" t="s">
        <v>175</v>
      </c>
      <c r="F368" s="75"/>
      <c r="G368" s="75"/>
      <c r="H368" s="75"/>
      <c r="I368" s="75" t="s">
        <v>171</v>
      </c>
      <c r="J368" s="501">
        <v>15</v>
      </c>
      <c r="K368" s="501" t="s">
        <v>385</v>
      </c>
      <c r="L368" s="502">
        <v>10.73</v>
      </c>
      <c r="M368" s="502">
        <v>11.39</v>
      </c>
      <c r="N368" s="500">
        <v>9.6500000000000002E-2</v>
      </c>
      <c r="O368" s="500">
        <v>9.1999999999999998E-2</v>
      </c>
      <c r="P368" s="500">
        <v>0.10249999999999999</v>
      </c>
      <c r="Q368" s="78">
        <v>0.44</v>
      </c>
      <c r="R368" s="78">
        <v>0.31740000000000002</v>
      </c>
      <c r="S368" s="69">
        <v>0</v>
      </c>
      <c r="T368" s="69">
        <v>0</v>
      </c>
      <c r="U368" s="500">
        <v>0.7</v>
      </c>
      <c r="V368" s="76">
        <v>0</v>
      </c>
      <c r="W368" s="76">
        <v>0</v>
      </c>
      <c r="X368" s="76"/>
    </row>
    <row r="369" spans="1:24" x14ac:dyDescent="0.25">
      <c r="A369" s="75" t="str">
        <f t="shared" si="10"/>
        <v>Pago_de_Hipoteca PROF Wealth &amp; Premier Executive Pago_Fijo_Puntual 15</v>
      </c>
      <c r="B369" s="75" t="str">
        <f t="shared" si="11"/>
        <v>Pago_de_Hipoteca PROF Wealth &amp; Premier Executive Pago_Fijo_Puntual 15 0.103</v>
      </c>
      <c r="C369" s="75" t="s">
        <v>173</v>
      </c>
      <c r="D369" s="75" t="s">
        <v>169</v>
      </c>
      <c r="E369" s="75" t="s">
        <v>175</v>
      </c>
      <c r="F369" s="75"/>
      <c r="G369" s="75"/>
      <c r="H369" s="75"/>
      <c r="I369" s="75" t="s">
        <v>171</v>
      </c>
      <c r="J369" s="501">
        <v>15</v>
      </c>
      <c r="K369" s="501" t="s">
        <v>386</v>
      </c>
      <c r="L369" s="502">
        <v>11.18</v>
      </c>
      <c r="M369" s="502">
        <v>11.84</v>
      </c>
      <c r="N369" s="500">
        <v>0.10299999999999999</v>
      </c>
      <c r="O369" s="500">
        <v>0.1</v>
      </c>
      <c r="P369" s="500">
        <v>0.112</v>
      </c>
      <c r="Q369" s="78">
        <v>0.44</v>
      </c>
      <c r="R369" s="78">
        <v>0.31740000000000002</v>
      </c>
      <c r="S369" s="69">
        <v>0</v>
      </c>
      <c r="T369" s="69">
        <v>0</v>
      </c>
      <c r="U369" s="500">
        <v>0.7</v>
      </c>
      <c r="V369" s="76">
        <v>0</v>
      </c>
      <c r="W369" s="76">
        <v>0</v>
      </c>
      <c r="X369" s="76"/>
    </row>
    <row r="370" spans="1:24" x14ac:dyDescent="0.25">
      <c r="A370" s="75" t="str">
        <f t="shared" si="10"/>
        <v>Pago_de_Hipoteca PROF Wealth &amp; Premier Executive Pago_Fijo_Puntual 14</v>
      </c>
      <c r="B370" s="75" t="str">
        <f t="shared" si="11"/>
        <v>Pago_de_Hipoteca PROF Wealth &amp; Premier Executive Pago_Fijo_Puntual 14 0.0965</v>
      </c>
      <c r="C370" s="75" t="s">
        <v>173</v>
      </c>
      <c r="D370" s="75" t="s">
        <v>169</v>
      </c>
      <c r="E370" s="75" t="s">
        <v>175</v>
      </c>
      <c r="F370" s="75"/>
      <c r="G370" s="75"/>
      <c r="H370" s="75"/>
      <c r="I370" s="75" t="s">
        <v>171</v>
      </c>
      <c r="J370" s="501">
        <v>14</v>
      </c>
      <c r="K370" s="501" t="s">
        <v>385</v>
      </c>
      <c r="L370" s="502">
        <v>11.06</v>
      </c>
      <c r="M370" s="502">
        <v>11.72</v>
      </c>
      <c r="N370" s="500">
        <v>9.6500000000000002E-2</v>
      </c>
      <c r="O370" s="500">
        <v>9.1999999999999998E-2</v>
      </c>
      <c r="P370" s="500">
        <v>0.10249999999999999</v>
      </c>
      <c r="Q370" s="78">
        <v>0.44</v>
      </c>
      <c r="R370" s="78">
        <v>0.31740000000000002</v>
      </c>
      <c r="S370" s="69">
        <v>0</v>
      </c>
      <c r="T370" s="69">
        <v>0</v>
      </c>
      <c r="U370" s="500">
        <v>0.7</v>
      </c>
      <c r="V370" s="76">
        <v>0</v>
      </c>
      <c r="W370" s="76">
        <v>0</v>
      </c>
      <c r="X370" s="76"/>
    </row>
    <row r="371" spans="1:24" x14ac:dyDescent="0.25">
      <c r="A371" s="75" t="str">
        <f t="shared" si="10"/>
        <v>Pago_de_Hipoteca PROF Wealth &amp; Premier Executive Pago_Fijo_Puntual 14</v>
      </c>
      <c r="B371" s="75" t="str">
        <f t="shared" si="11"/>
        <v>Pago_de_Hipoteca PROF Wealth &amp; Premier Executive Pago_Fijo_Puntual 14 0.103</v>
      </c>
      <c r="C371" s="75" t="s">
        <v>173</v>
      </c>
      <c r="D371" s="75" t="s">
        <v>169</v>
      </c>
      <c r="E371" s="75" t="s">
        <v>175</v>
      </c>
      <c r="F371" s="75"/>
      <c r="G371" s="75"/>
      <c r="H371" s="75"/>
      <c r="I371" s="75" t="s">
        <v>171</v>
      </c>
      <c r="J371" s="501">
        <v>14</v>
      </c>
      <c r="K371" s="501" t="s">
        <v>386</v>
      </c>
      <c r="L371" s="502">
        <v>11.49</v>
      </c>
      <c r="M371" s="502">
        <v>12.15</v>
      </c>
      <c r="N371" s="500">
        <v>0.10299999999999999</v>
      </c>
      <c r="O371" s="500">
        <v>0.1</v>
      </c>
      <c r="P371" s="500">
        <v>0.112</v>
      </c>
      <c r="Q371" s="78">
        <v>0.44</v>
      </c>
      <c r="R371" s="78">
        <v>0.31740000000000002</v>
      </c>
      <c r="S371" s="69">
        <v>0</v>
      </c>
      <c r="T371" s="69">
        <v>0</v>
      </c>
      <c r="U371" s="500">
        <v>0.7</v>
      </c>
      <c r="V371" s="76">
        <v>0</v>
      </c>
      <c r="W371" s="76">
        <v>0</v>
      </c>
      <c r="X371" s="76"/>
    </row>
    <row r="372" spans="1:24" x14ac:dyDescent="0.25">
      <c r="A372" s="75" t="str">
        <f t="shared" si="10"/>
        <v>Pago_de_Hipoteca PROF Wealth &amp; Premier Executive Pago_Fijo_Puntual 13</v>
      </c>
      <c r="B372" s="75" t="str">
        <f t="shared" si="11"/>
        <v>Pago_de_Hipoteca PROF Wealth &amp; Premier Executive Pago_Fijo_Puntual 13 0.0965</v>
      </c>
      <c r="C372" s="75" t="s">
        <v>173</v>
      </c>
      <c r="D372" s="75" t="s">
        <v>169</v>
      </c>
      <c r="E372" s="75" t="s">
        <v>175</v>
      </c>
      <c r="F372" s="75"/>
      <c r="G372" s="75"/>
      <c r="H372" s="75"/>
      <c r="I372" s="75" t="s">
        <v>171</v>
      </c>
      <c r="J372" s="501">
        <v>13</v>
      </c>
      <c r="K372" s="501" t="s">
        <v>385</v>
      </c>
      <c r="L372" s="502">
        <v>11.45</v>
      </c>
      <c r="M372" s="502">
        <v>12.11</v>
      </c>
      <c r="N372" s="500">
        <v>9.6500000000000002E-2</v>
      </c>
      <c r="O372" s="500">
        <v>9.1999999999999998E-2</v>
      </c>
      <c r="P372" s="500">
        <v>0.10249999999999999</v>
      </c>
      <c r="Q372" s="78">
        <v>0.44</v>
      </c>
      <c r="R372" s="78">
        <v>0.31740000000000002</v>
      </c>
      <c r="S372" s="69">
        <v>0</v>
      </c>
      <c r="T372" s="69">
        <v>0</v>
      </c>
      <c r="U372" s="500">
        <v>0.7</v>
      </c>
      <c r="V372" s="76">
        <v>0</v>
      </c>
      <c r="W372" s="76">
        <v>0</v>
      </c>
      <c r="X372" s="76"/>
    </row>
    <row r="373" spans="1:24" x14ac:dyDescent="0.25">
      <c r="A373" s="75" t="str">
        <f t="shared" si="10"/>
        <v>Pago_de_Hipoteca PROF Wealth &amp; Premier Executive Pago_Fijo_Puntual 13</v>
      </c>
      <c r="B373" s="75" t="str">
        <f t="shared" si="11"/>
        <v>Pago_de_Hipoteca PROF Wealth &amp; Premier Executive Pago_Fijo_Puntual 13 0.103</v>
      </c>
      <c r="C373" s="75" t="s">
        <v>173</v>
      </c>
      <c r="D373" s="75" t="s">
        <v>169</v>
      </c>
      <c r="E373" s="75" t="s">
        <v>175</v>
      </c>
      <c r="F373" s="75"/>
      <c r="G373" s="75"/>
      <c r="H373" s="75"/>
      <c r="I373" s="75" t="s">
        <v>171</v>
      </c>
      <c r="J373" s="501">
        <v>13</v>
      </c>
      <c r="K373" s="501" t="s">
        <v>386</v>
      </c>
      <c r="L373" s="502">
        <v>11.86</v>
      </c>
      <c r="M373" s="502">
        <v>12.52</v>
      </c>
      <c r="N373" s="500">
        <v>0.10299999999999999</v>
      </c>
      <c r="O373" s="500">
        <v>0.1</v>
      </c>
      <c r="P373" s="500">
        <v>0.112</v>
      </c>
      <c r="Q373" s="78">
        <v>0.44</v>
      </c>
      <c r="R373" s="78">
        <v>0.31740000000000002</v>
      </c>
      <c r="S373" s="69">
        <v>0</v>
      </c>
      <c r="T373" s="69">
        <v>0</v>
      </c>
      <c r="U373" s="500">
        <v>0.7</v>
      </c>
      <c r="V373" s="76">
        <v>0</v>
      </c>
      <c r="W373" s="76">
        <v>0</v>
      </c>
      <c r="X373" s="76"/>
    </row>
    <row r="374" spans="1:24" x14ac:dyDescent="0.25">
      <c r="A374" s="75" t="str">
        <f t="shared" si="10"/>
        <v>Pago_de_Hipoteca PROF Wealth &amp; Premier Executive Pago_Fijo_Puntual 12</v>
      </c>
      <c r="B374" s="75" t="str">
        <f t="shared" si="11"/>
        <v>Pago_de_Hipoteca PROF Wealth &amp; Premier Executive Pago_Fijo_Puntual 12 0.0965</v>
      </c>
      <c r="C374" s="75" t="s">
        <v>173</v>
      </c>
      <c r="D374" s="75" t="s">
        <v>169</v>
      </c>
      <c r="E374" s="75" t="s">
        <v>175</v>
      </c>
      <c r="F374" s="75"/>
      <c r="G374" s="75"/>
      <c r="H374" s="75"/>
      <c r="I374" s="75" t="s">
        <v>171</v>
      </c>
      <c r="J374" s="501">
        <v>12</v>
      </c>
      <c r="K374" s="501" t="s">
        <v>385</v>
      </c>
      <c r="L374" s="502">
        <v>11.91</v>
      </c>
      <c r="M374" s="502">
        <v>12.57</v>
      </c>
      <c r="N374" s="500">
        <v>9.6500000000000002E-2</v>
      </c>
      <c r="O374" s="500">
        <v>9.1999999999999998E-2</v>
      </c>
      <c r="P374" s="500">
        <v>0.10249999999999999</v>
      </c>
      <c r="Q374" s="78">
        <v>0.44</v>
      </c>
      <c r="R374" s="78">
        <v>0.31740000000000002</v>
      </c>
      <c r="S374" s="69">
        <v>0</v>
      </c>
      <c r="T374" s="69">
        <v>0</v>
      </c>
      <c r="U374" s="500">
        <v>0.7</v>
      </c>
      <c r="V374" s="76">
        <v>0</v>
      </c>
      <c r="W374" s="76">
        <v>0</v>
      </c>
      <c r="X374" s="76"/>
    </row>
    <row r="375" spans="1:24" x14ac:dyDescent="0.25">
      <c r="A375" s="75" t="str">
        <f t="shared" si="10"/>
        <v>Pago_de_Hipoteca PROF Wealth &amp; Premier Executive Pago_Fijo_Puntual 12</v>
      </c>
      <c r="B375" s="75" t="str">
        <f t="shared" si="11"/>
        <v>Pago_de_Hipoteca PROF Wealth &amp; Premier Executive Pago_Fijo_Puntual 12 0.103</v>
      </c>
      <c r="C375" s="75" t="s">
        <v>173</v>
      </c>
      <c r="D375" s="75" t="s">
        <v>169</v>
      </c>
      <c r="E375" s="75" t="s">
        <v>175</v>
      </c>
      <c r="F375" s="75"/>
      <c r="G375" s="75"/>
      <c r="H375" s="75"/>
      <c r="I375" s="75" t="s">
        <v>171</v>
      </c>
      <c r="J375" s="501">
        <v>12</v>
      </c>
      <c r="K375" s="501" t="s">
        <v>386</v>
      </c>
      <c r="L375" s="502">
        <v>12.31</v>
      </c>
      <c r="M375" s="502">
        <v>12.97</v>
      </c>
      <c r="N375" s="500">
        <v>0.10299999999999999</v>
      </c>
      <c r="O375" s="500">
        <v>0.1</v>
      </c>
      <c r="P375" s="500">
        <v>0.112</v>
      </c>
      <c r="Q375" s="78">
        <v>0.44</v>
      </c>
      <c r="R375" s="78">
        <v>0.31740000000000002</v>
      </c>
      <c r="S375" s="69">
        <v>0</v>
      </c>
      <c r="T375" s="69">
        <v>0</v>
      </c>
      <c r="U375" s="500">
        <v>0.7</v>
      </c>
      <c r="V375" s="76">
        <v>0</v>
      </c>
      <c r="W375" s="76">
        <v>0</v>
      </c>
      <c r="X375" s="76"/>
    </row>
    <row r="376" spans="1:24" x14ac:dyDescent="0.25">
      <c r="A376" s="75" t="str">
        <f t="shared" si="10"/>
        <v>Pago_de_Hipoteca PROF Wealth &amp; Premier Executive Pago_Fijo_Puntual 11</v>
      </c>
      <c r="B376" s="75" t="str">
        <f t="shared" si="11"/>
        <v>Pago_de_Hipoteca PROF Wealth &amp; Premier Executive Pago_Fijo_Puntual 11 0.0965</v>
      </c>
      <c r="C376" s="75" t="s">
        <v>173</v>
      </c>
      <c r="D376" s="75" t="s">
        <v>169</v>
      </c>
      <c r="E376" s="75" t="s">
        <v>175</v>
      </c>
      <c r="F376" s="75"/>
      <c r="G376" s="75"/>
      <c r="H376" s="75"/>
      <c r="I376" s="75" t="s">
        <v>171</v>
      </c>
      <c r="J376" s="501">
        <v>11</v>
      </c>
      <c r="K376" s="501" t="s">
        <v>385</v>
      </c>
      <c r="L376" s="502">
        <v>12.47</v>
      </c>
      <c r="M376" s="502">
        <v>13.13</v>
      </c>
      <c r="N376" s="500">
        <v>9.6500000000000002E-2</v>
      </c>
      <c r="O376" s="500">
        <v>9.1999999999999998E-2</v>
      </c>
      <c r="P376" s="500">
        <v>0.10249999999999999</v>
      </c>
      <c r="Q376" s="78">
        <v>0.44</v>
      </c>
      <c r="R376" s="78">
        <v>0.31740000000000002</v>
      </c>
      <c r="S376" s="69">
        <v>0</v>
      </c>
      <c r="T376" s="69">
        <v>0</v>
      </c>
      <c r="U376" s="500">
        <v>0.7</v>
      </c>
      <c r="V376" s="76">
        <v>0</v>
      </c>
      <c r="W376" s="76">
        <v>0</v>
      </c>
      <c r="X376" s="76"/>
    </row>
    <row r="377" spans="1:24" x14ac:dyDescent="0.25">
      <c r="A377" s="75" t="str">
        <f t="shared" si="10"/>
        <v>Pago_de_Hipoteca PROF Wealth &amp; Premier Executive Pago_Fijo_Puntual 11</v>
      </c>
      <c r="B377" s="75" t="str">
        <f t="shared" si="11"/>
        <v>Pago_de_Hipoteca PROF Wealth &amp; Premier Executive Pago_Fijo_Puntual 11 0.103</v>
      </c>
      <c r="C377" s="75" t="s">
        <v>173</v>
      </c>
      <c r="D377" s="75" t="s">
        <v>169</v>
      </c>
      <c r="E377" s="75" t="s">
        <v>175</v>
      </c>
      <c r="F377" s="75"/>
      <c r="G377" s="75"/>
      <c r="H377" s="75"/>
      <c r="I377" s="75" t="s">
        <v>171</v>
      </c>
      <c r="J377" s="501">
        <v>11</v>
      </c>
      <c r="K377" s="501" t="s">
        <v>386</v>
      </c>
      <c r="L377" s="502">
        <v>12.86</v>
      </c>
      <c r="M377" s="502">
        <v>13.52</v>
      </c>
      <c r="N377" s="500">
        <v>0.10299999999999999</v>
      </c>
      <c r="O377" s="500">
        <v>0.1</v>
      </c>
      <c r="P377" s="500">
        <v>0.112</v>
      </c>
      <c r="Q377" s="78">
        <v>0.44</v>
      </c>
      <c r="R377" s="78">
        <v>0.31740000000000002</v>
      </c>
      <c r="S377" s="69">
        <v>0</v>
      </c>
      <c r="T377" s="69">
        <v>0</v>
      </c>
      <c r="U377" s="500">
        <v>0.7</v>
      </c>
      <c r="V377" s="76">
        <v>0</v>
      </c>
      <c r="W377" s="76">
        <v>0</v>
      </c>
      <c r="X377" s="76"/>
    </row>
    <row r="378" spans="1:24" x14ac:dyDescent="0.25">
      <c r="A378" s="75" t="str">
        <f t="shared" si="10"/>
        <v>Pago_de_Hipoteca PROF Wealth &amp; Premier Executive Pago_Fijo_Puntual 10</v>
      </c>
      <c r="B378" s="75" t="str">
        <f t="shared" si="11"/>
        <v>Pago_de_Hipoteca PROF Wealth &amp; Premier Executive Pago_Fijo_Puntual 10 0.0965</v>
      </c>
      <c r="C378" s="75" t="s">
        <v>173</v>
      </c>
      <c r="D378" s="75" t="s">
        <v>169</v>
      </c>
      <c r="E378" s="75" t="s">
        <v>175</v>
      </c>
      <c r="F378" s="75"/>
      <c r="G378" s="75"/>
      <c r="H378" s="75"/>
      <c r="I378" s="75" t="s">
        <v>171</v>
      </c>
      <c r="J378" s="501">
        <v>10</v>
      </c>
      <c r="K378" s="501" t="s">
        <v>385</v>
      </c>
      <c r="L378" s="502">
        <v>13.16</v>
      </c>
      <c r="M378" s="502">
        <v>13.82</v>
      </c>
      <c r="N378" s="500">
        <v>9.6500000000000002E-2</v>
      </c>
      <c r="O378" s="500">
        <v>9.1999999999999998E-2</v>
      </c>
      <c r="P378" s="500">
        <v>0.10249999999999999</v>
      </c>
      <c r="Q378" s="78">
        <v>0.44</v>
      </c>
      <c r="R378" s="78">
        <v>0.31740000000000002</v>
      </c>
      <c r="S378" s="69">
        <v>0</v>
      </c>
      <c r="T378" s="69">
        <v>0</v>
      </c>
      <c r="U378" s="500">
        <v>0.7</v>
      </c>
      <c r="V378" s="76">
        <v>0</v>
      </c>
      <c r="W378" s="76">
        <v>0</v>
      </c>
      <c r="X378" s="76"/>
    </row>
    <row r="379" spans="1:24" x14ac:dyDescent="0.25">
      <c r="A379" s="75" t="str">
        <f t="shared" si="10"/>
        <v>Pago_de_Hipoteca PROF Wealth &amp; Premier Executive Pago_Fijo_Puntual 10</v>
      </c>
      <c r="B379" s="75" t="str">
        <f t="shared" si="11"/>
        <v>Pago_de_Hipoteca PROF Wealth &amp; Premier Executive Pago_Fijo_Puntual 10 0.103</v>
      </c>
      <c r="C379" s="75" t="s">
        <v>173</v>
      </c>
      <c r="D379" s="75" t="s">
        <v>169</v>
      </c>
      <c r="E379" s="75" t="s">
        <v>175</v>
      </c>
      <c r="F379" s="75"/>
      <c r="G379" s="75"/>
      <c r="H379" s="75"/>
      <c r="I379" s="75" t="s">
        <v>171</v>
      </c>
      <c r="J379" s="501">
        <v>10</v>
      </c>
      <c r="K379" s="501" t="s">
        <v>386</v>
      </c>
      <c r="L379" s="502">
        <v>13.54</v>
      </c>
      <c r="M379" s="502">
        <v>14.2</v>
      </c>
      <c r="N379" s="500">
        <v>0.10299999999999999</v>
      </c>
      <c r="O379" s="500">
        <v>0.1</v>
      </c>
      <c r="P379" s="500">
        <v>0.112</v>
      </c>
      <c r="Q379" s="78">
        <v>0.44</v>
      </c>
      <c r="R379" s="78">
        <v>0.31740000000000002</v>
      </c>
      <c r="S379" s="69">
        <v>0</v>
      </c>
      <c r="T379" s="69">
        <v>0</v>
      </c>
      <c r="U379" s="500">
        <v>0.7</v>
      </c>
      <c r="V379" s="76">
        <v>0</v>
      </c>
      <c r="W379" s="76">
        <v>0</v>
      </c>
      <c r="X379" s="76"/>
    </row>
    <row r="380" spans="1:24" x14ac:dyDescent="0.25">
      <c r="A380" s="75" t="str">
        <f t="shared" si="10"/>
        <v>Pago_de_Hipoteca PROF Wealth &amp; Premier Executive Pago_Fijo_Puntual 9</v>
      </c>
      <c r="B380" s="75" t="str">
        <f t="shared" si="11"/>
        <v>Pago_de_Hipoteca PROF Wealth &amp; Premier Executive Pago_Fijo_Puntual 9 0.0965</v>
      </c>
      <c r="C380" s="75" t="s">
        <v>173</v>
      </c>
      <c r="D380" s="75" t="s">
        <v>169</v>
      </c>
      <c r="E380" s="75" t="s">
        <v>175</v>
      </c>
      <c r="F380" s="75"/>
      <c r="G380" s="75"/>
      <c r="H380" s="75"/>
      <c r="I380" s="75" t="s">
        <v>171</v>
      </c>
      <c r="J380" s="501">
        <v>9</v>
      </c>
      <c r="K380" s="501" t="s">
        <v>385</v>
      </c>
      <c r="L380" s="502">
        <v>14.01</v>
      </c>
      <c r="M380" s="502">
        <v>14.67</v>
      </c>
      <c r="N380" s="500">
        <v>9.6500000000000002E-2</v>
      </c>
      <c r="O380" s="500">
        <v>9.1999999999999998E-2</v>
      </c>
      <c r="P380" s="500">
        <v>0.10249999999999999</v>
      </c>
      <c r="Q380" s="78">
        <v>0.44</v>
      </c>
      <c r="R380" s="78">
        <v>0.31740000000000002</v>
      </c>
      <c r="S380" s="69">
        <v>0</v>
      </c>
      <c r="T380" s="69">
        <v>0</v>
      </c>
      <c r="U380" s="500">
        <v>0.7</v>
      </c>
      <c r="V380" s="76">
        <v>0</v>
      </c>
      <c r="W380" s="76">
        <v>0</v>
      </c>
      <c r="X380" s="76"/>
    </row>
    <row r="381" spans="1:24" x14ac:dyDescent="0.25">
      <c r="A381" s="75" t="str">
        <f t="shared" si="10"/>
        <v>Pago_de_Hipoteca PROF Wealth &amp; Premier Executive Pago_Fijo_Puntual 9</v>
      </c>
      <c r="B381" s="75" t="str">
        <f t="shared" si="11"/>
        <v>Pago_de_Hipoteca PROF Wealth &amp; Premier Executive Pago_Fijo_Puntual 9 0.103</v>
      </c>
      <c r="C381" s="75" t="s">
        <v>173</v>
      </c>
      <c r="D381" s="75" t="s">
        <v>169</v>
      </c>
      <c r="E381" s="75" t="s">
        <v>175</v>
      </c>
      <c r="F381" s="75"/>
      <c r="G381" s="75"/>
      <c r="H381" s="75"/>
      <c r="I381" s="75" t="s">
        <v>171</v>
      </c>
      <c r="J381" s="501">
        <v>9</v>
      </c>
      <c r="K381" s="501" t="s">
        <v>386</v>
      </c>
      <c r="L381" s="502">
        <v>14.37</v>
      </c>
      <c r="M381" s="502">
        <v>15.03</v>
      </c>
      <c r="N381" s="500">
        <v>0.10299999999999999</v>
      </c>
      <c r="O381" s="500">
        <v>0.1</v>
      </c>
      <c r="P381" s="500">
        <v>0.112</v>
      </c>
      <c r="Q381" s="78">
        <v>0.44</v>
      </c>
      <c r="R381" s="78">
        <v>0.31740000000000002</v>
      </c>
      <c r="S381" s="69">
        <v>0</v>
      </c>
      <c r="T381" s="69">
        <v>0</v>
      </c>
      <c r="U381" s="500">
        <v>0.7</v>
      </c>
      <c r="V381" s="76">
        <v>0</v>
      </c>
      <c r="W381" s="76">
        <v>0</v>
      </c>
      <c r="X381" s="76"/>
    </row>
    <row r="382" spans="1:24" x14ac:dyDescent="0.25">
      <c r="A382" s="75" t="str">
        <f t="shared" si="10"/>
        <v>Pago_de_Hipoteca PROF Wealth &amp; Premier Executive Pago_Fijo_Puntual 8</v>
      </c>
      <c r="B382" s="75" t="str">
        <f t="shared" si="11"/>
        <v>Pago_de_Hipoteca PROF Wealth &amp; Premier Executive Pago_Fijo_Puntual 8 0.0965</v>
      </c>
      <c r="C382" s="75" t="s">
        <v>173</v>
      </c>
      <c r="D382" s="75" t="s">
        <v>169</v>
      </c>
      <c r="E382" s="75" t="s">
        <v>175</v>
      </c>
      <c r="F382" s="75"/>
      <c r="G382" s="75"/>
      <c r="H382" s="75"/>
      <c r="I382" s="75" t="s">
        <v>171</v>
      </c>
      <c r="J382" s="501">
        <v>8</v>
      </c>
      <c r="K382" s="501" t="s">
        <v>385</v>
      </c>
      <c r="L382" s="502">
        <v>15.09</v>
      </c>
      <c r="M382" s="502">
        <v>15.75</v>
      </c>
      <c r="N382" s="500">
        <v>9.6500000000000002E-2</v>
      </c>
      <c r="O382" s="500">
        <v>9.1999999999999998E-2</v>
      </c>
      <c r="P382" s="500">
        <v>0.10249999999999999</v>
      </c>
      <c r="Q382" s="78">
        <v>0.44</v>
      </c>
      <c r="R382" s="78">
        <v>0.31740000000000002</v>
      </c>
      <c r="S382" s="69">
        <v>0</v>
      </c>
      <c r="T382" s="69">
        <v>0</v>
      </c>
      <c r="U382" s="500">
        <v>0.7</v>
      </c>
      <c r="V382" s="76">
        <v>0</v>
      </c>
      <c r="W382" s="76">
        <v>0</v>
      </c>
      <c r="X382" s="76"/>
    </row>
    <row r="383" spans="1:24" x14ac:dyDescent="0.25">
      <c r="A383" s="75" t="str">
        <f t="shared" si="10"/>
        <v>Pago_de_Hipoteca PROF Wealth &amp; Premier Executive Pago_Fijo_Puntual 8</v>
      </c>
      <c r="B383" s="75" t="str">
        <f t="shared" si="11"/>
        <v>Pago_de_Hipoteca PROF Wealth &amp; Premier Executive Pago_Fijo_Puntual 8 0.103</v>
      </c>
      <c r="C383" s="75" t="s">
        <v>173</v>
      </c>
      <c r="D383" s="75" t="s">
        <v>169</v>
      </c>
      <c r="E383" s="75" t="s">
        <v>175</v>
      </c>
      <c r="F383" s="75"/>
      <c r="G383" s="75"/>
      <c r="H383" s="75"/>
      <c r="I383" s="75" t="s">
        <v>171</v>
      </c>
      <c r="J383" s="501">
        <v>8</v>
      </c>
      <c r="K383" s="501" t="s">
        <v>386</v>
      </c>
      <c r="L383" s="502">
        <v>15.44</v>
      </c>
      <c r="M383" s="502">
        <v>16.100000000000001</v>
      </c>
      <c r="N383" s="500">
        <v>0.10299999999999999</v>
      </c>
      <c r="O383" s="500">
        <v>0.1</v>
      </c>
      <c r="P383" s="500">
        <v>0.112</v>
      </c>
      <c r="Q383" s="78">
        <v>0.44</v>
      </c>
      <c r="R383" s="78">
        <v>0.31740000000000002</v>
      </c>
      <c r="S383" s="69">
        <v>0</v>
      </c>
      <c r="T383" s="69">
        <v>0</v>
      </c>
      <c r="U383" s="500">
        <v>0.7</v>
      </c>
      <c r="V383" s="76">
        <v>0</v>
      </c>
      <c r="W383" s="76">
        <v>0</v>
      </c>
      <c r="X383" s="76"/>
    </row>
    <row r="384" spans="1:24" x14ac:dyDescent="0.25">
      <c r="A384" s="75" t="str">
        <f t="shared" si="10"/>
        <v>Pago_de_Hipoteca PROF Wealth &amp; Premier Executive Pago_Fijo_Puntual 7</v>
      </c>
      <c r="B384" s="75" t="str">
        <f t="shared" si="11"/>
        <v>Pago_de_Hipoteca PROF Wealth &amp; Premier Executive Pago_Fijo_Puntual 7 0.0965</v>
      </c>
      <c r="C384" s="75" t="s">
        <v>173</v>
      </c>
      <c r="D384" s="75" t="s">
        <v>169</v>
      </c>
      <c r="E384" s="75" t="s">
        <v>175</v>
      </c>
      <c r="F384" s="75"/>
      <c r="G384" s="75"/>
      <c r="H384" s="75"/>
      <c r="I384" s="75" t="s">
        <v>171</v>
      </c>
      <c r="J384" s="501">
        <v>7</v>
      </c>
      <c r="K384" s="501" t="s">
        <v>385</v>
      </c>
      <c r="L384" s="502">
        <v>16.5</v>
      </c>
      <c r="M384" s="502">
        <v>17.16</v>
      </c>
      <c r="N384" s="500">
        <v>9.6500000000000002E-2</v>
      </c>
      <c r="O384" s="500">
        <v>9.1999999999999998E-2</v>
      </c>
      <c r="P384" s="500">
        <v>0.10249999999999999</v>
      </c>
      <c r="Q384" s="78">
        <v>0.44</v>
      </c>
      <c r="R384" s="78">
        <v>0.31740000000000002</v>
      </c>
      <c r="S384" s="69">
        <v>0</v>
      </c>
      <c r="T384" s="69">
        <v>0</v>
      </c>
      <c r="U384" s="500">
        <v>0.7</v>
      </c>
      <c r="V384" s="76">
        <v>0</v>
      </c>
      <c r="W384" s="76">
        <v>0</v>
      </c>
      <c r="X384" s="76"/>
    </row>
    <row r="385" spans="1:24" x14ac:dyDescent="0.25">
      <c r="A385" s="75" t="str">
        <f t="shared" si="10"/>
        <v>Pago_de_Hipoteca PROF Wealth &amp; Premier Executive Pago_Fijo_Puntual 7</v>
      </c>
      <c r="B385" s="75" t="str">
        <f t="shared" si="11"/>
        <v>Pago_de_Hipoteca PROF Wealth &amp; Premier Executive Pago_Fijo_Puntual 7 0.103</v>
      </c>
      <c r="C385" s="75" t="s">
        <v>173</v>
      </c>
      <c r="D385" s="75" t="s">
        <v>169</v>
      </c>
      <c r="E385" s="75" t="s">
        <v>175</v>
      </c>
      <c r="F385" s="75"/>
      <c r="G385" s="75"/>
      <c r="H385" s="75"/>
      <c r="I385" s="75" t="s">
        <v>171</v>
      </c>
      <c r="J385" s="501">
        <v>7</v>
      </c>
      <c r="K385" s="501" t="s">
        <v>386</v>
      </c>
      <c r="L385" s="502">
        <v>16.84</v>
      </c>
      <c r="M385" s="502">
        <v>17.5</v>
      </c>
      <c r="N385" s="500">
        <v>0.10299999999999999</v>
      </c>
      <c r="O385" s="500">
        <v>0.1</v>
      </c>
      <c r="P385" s="500">
        <v>0.112</v>
      </c>
      <c r="Q385" s="78">
        <v>0.44</v>
      </c>
      <c r="R385" s="78">
        <v>0.31740000000000002</v>
      </c>
      <c r="S385" s="69">
        <v>0</v>
      </c>
      <c r="T385" s="69">
        <v>0</v>
      </c>
      <c r="U385" s="500">
        <v>0.7</v>
      </c>
      <c r="V385" s="76">
        <v>0</v>
      </c>
      <c r="W385" s="76">
        <v>0</v>
      </c>
      <c r="X385" s="76"/>
    </row>
    <row r="386" spans="1:24" x14ac:dyDescent="0.25">
      <c r="A386" s="75" t="str">
        <f t="shared" ref="A386:A449" si="12">TRIM(CONCATENATE(C386," ",D386," ",E386," ",F386," ",G386," ",I386," ",X386," ",J386))</f>
        <v>Pago_de_Hipoteca PROF Wealth &amp; Premier Executive Pago_Fijo_Puntual 6</v>
      </c>
      <c r="B386" s="75" t="str">
        <f t="shared" ref="B386:B449" si="13">CONCATENATE(A386," ",N386)</f>
        <v>Pago_de_Hipoteca PROF Wealth &amp; Premier Executive Pago_Fijo_Puntual 6 0.0965</v>
      </c>
      <c r="C386" s="75" t="s">
        <v>173</v>
      </c>
      <c r="D386" s="75" t="s">
        <v>169</v>
      </c>
      <c r="E386" s="75" t="s">
        <v>175</v>
      </c>
      <c r="F386" s="75"/>
      <c r="G386" s="75"/>
      <c r="H386" s="75"/>
      <c r="I386" s="75" t="s">
        <v>171</v>
      </c>
      <c r="J386" s="501">
        <v>6</v>
      </c>
      <c r="K386" s="501" t="s">
        <v>385</v>
      </c>
      <c r="L386" s="502">
        <v>18.41</v>
      </c>
      <c r="M386" s="502">
        <v>19.07</v>
      </c>
      <c r="N386" s="500">
        <v>9.6500000000000002E-2</v>
      </c>
      <c r="O386" s="500">
        <v>9.1999999999999998E-2</v>
      </c>
      <c r="P386" s="500">
        <v>0.10249999999999999</v>
      </c>
      <c r="Q386" s="78">
        <v>0.44</v>
      </c>
      <c r="R386" s="78">
        <v>0.31740000000000002</v>
      </c>
      <c r="S386" s="69">
        <v>0</v>
      </c>
      <c r="T386" s="69">
        <v>0</v>
      </c>
      <c r="U386" s="500">
        <v>0.7</v>
      </c>
      <c r="V386" s="76">
        <v>0</v>
      </c>
      <c r="W386" s="76">
        <v>0</v>
      </c>
      <c r="X386" s="76"/>
    </row>
    <row r="387" spans="1:24" x14ac:dyDescent="0.25">
      <c r="A387" s="75" t="str">
        <f t="shared" si="12"/>
        <v>Pago_de_Hipoteca PROF Wealth &amp; Premier Executive Pago_Fijo_Puntual 6</v>
      </c>
      <c r="B387" s="75" t="str">
        <f t="shared" si="13"/>
        <v>Pago_de_Hipoteca PROF Wealth &amp; Premier Executive Pago_Fijo_Puntual 6 0.103</v>
      </c>
      <c r="C387" s="75" t="s">
        <v>173</v>
      </c>
      <c r="D387" s="75" t="s">
        <v>169</v>
      </c>
      <c r="E387" s="75" t="s">
        <v>175</v>
      </c>
      <c r="F387" s="75"/>
      <c r="G387" s="75"/>
      <c r="H387" s="75"/>
      <c r="I387" s="75" t="s">
        <v>171</v>
      </c>
      <c r="J387" s="501">
        <v>6</v>
      </c>
      <c r="K387" s="501" t="s">
        <v>386</v>
      </c>
      <c r="L387" s="502">
        <v>18.739999999999998</v>
      </c>
      <c r="M387" s="502">
        <v>19.399999999999999</v>
      </c>
      <c r="N387" s="500">
        <v>0.10299999999999999</v>
      </c>
      <c r="O387" s="500">
        <v>0.1</v>
      </c>
      <c r="P387" s="500">
        <v>0.112</v>
      </c>
      <c r="Q387" s="78">
        <v>0.44</v>
      </c>
      <c r="R387" s="78">
        <v>0.31740000000000002</v>
      </c>
      <c r="S387" s="69">
        <v>0</v>
      </c>
      <c r="T387" s="69">
        <v>0</v>
      </c>
      <c r="U387" s="500">
        <v>0.7</v>
      </c>
      <c r="V387" s="76">
        <v>0</v>
      </c>
      <c r="W387" s="76">
        <v>0</v>
      </c>
      <c r="X387" s="76"/>
    </row>
    <row r="388" spans="1:24" x14ac:dyDescent="0.25">
      <c r="A388" s="75" t="str">
        <f t="shared" si="12"/>
        <v>Pago_de_Hipoteca PROF Wealth &amp; Premier Executive Pago_Fijo_Puntual 5</v>
      </c>
      <c r="B388" s="75" t="str">
        <f t="shared" si="13"/>
        <v>Pago_de_Hipoteca PROF Wealth &amp; Premier Executive Pago_Fijo_Puntual 5 0.0965</v>
      </c>
      <c r="C388" s="75" t="s">
        <v>173</v>
      </c>
      <c r="D388" s="75" t="s">
        <v>169</v>
      </c>
      <c r="E388" s="75" t="s">
        <v>175</v>
      </c>
      <c r="F388" s="75"/>
      <c r="G388" s="75"/>
      <c r="H388" s="75"/>
      <c r="I388" s="75" t="s">
        <v>171</v>
      </c>
      <c r="J388" s="501">
        <v>5</v>
      </c>
      <c r="K388" s="501" t="s">
        <v>385</v>
      </c>
      <c r="L388" s="502">
        <v>21.12</v>
      </c>
      <c r="M388" s="502">
        <v>21.78</v>
      </c>
      <c r="N388" s="500">
        <v>9.6500000000000002E-2</v>
      </c>
      <c r="O388" s="500">
        <v>9.1999999999999998E-2</v>
      </c>
      <c r="P388" s="500">
        <v>0.10249999999999999</v>
      </c>
      <c r="Q388" s="78">
        <v>0.44</v>
      </c>
      <c r="R388" s="78">
        <v>0.31740000000000002</v>
      </c>
      <c r="S388" s="69">
        <v>0</v>
      </c>
      <c r="T388" s="69">
        <v>0</v>
      </c>
      <c r="U388" s="500">
        <v>0.7</v>
      </c>
      <c r="V388" s="76">
        <v>0</v>
      </c>
      <c r="W388" s="76">
        <v>0</v>
      </c>
      <c r="X388" s="76"/>
    </row>
    <row r="389" spans="1:24" x14ac:dyDescent="0.25">
      <c r="A389" s="75" t="str">
        <f t="shared" si="12"/>
        <v>Pago_de_Hipoteca PROF Wealth &amp; Premier Executive Pago_Fijo_Puntual 5</v>
      </c>
      <c r="B389" s="75" t="str">
        <f t="shared" si="13"/>
        <v>Pago_de_Hipoteca PROF Wealth &amp; Premier Executive Pago_Fijo_Puntual 5 0.103</v>
      </c>
      <c r="C389" s="75" t="s">
        <v>173</v>
      </c>
      <c r="D389" s="75" t="s">
        <v>169</v>
      </c>
      <c r="E389" s="75" t="s">
        <v>175</v>
      </c>
      <c r="F389" s="75"/>
      <c r="G389" s="75"/>
      <c r="H389" s="75"/>
      <c r="I389" s="75" t="s">
        <v>171</v>
      </c>
      <c r="J389" s="501">
        <v>5</v>
      </c>
      <c r="K389" s="501" t="s">
        <v>386</v>
      </c>
      <c r="L389" s="502">
        <v>21.44</v>
      </c>
      <c r="M389" s="502">
        <v>22.1</v>
      </c>
      <c r="N389" s="500">
        <v>0.10299999999999999</v>
      </c>
      <c r="O389" s="500">
        <v>0.1</v>
      </c>
      <c r="P389" s="500">
        <v>0.112</v>
      </c>
      <c r="Q389" s="78">
        <v>0.44</v>
      </c>
      <c r="R389" s="78">
        <v>0.31740000000000002</v>
      </c>
      <c r="S389" s="69">
        <v>0</v>
      </c>
      <c r="T389" s="69">
        <v>0</v>
      </c>
      <c r="U389" s="500">
        <v>0.7</v>
      </c>
      <c r="V389" s="76">
        <v>0</v>
      </c>
      <c r="W389" s="76">
        <v>0</v>
      </c>
      <c r="X389" s="76"/>
    </row>
    <row r="390" spans="1:24" x14ac:dyDescent="0.25">
      <c r="A390" s="75" t="str">
        <f t="shared" si="12"/>
        <v>Pago_Hipoteca+Liquidez PF Wealth &amp; Premier Executive Pago_Fijo_Puntual 20</v>
      </c>
      <c r="B390" s="75" t="str">
        <f t="shared" si="13"/>
        <v>Pago_Hipoteca+Liquidez PF Wealth &amp; Premier Executive Pago_Fijo_Puntual 20 0.0965</v>
      </c>
      <c r="C390" s="75" t="s">
        <v>174</v>
      </c>
      <c r="D390" s="75" t="s">
        <v>132</v>
      </c>
      <c r="E390" s="75" t="s">
        <v>175</v>
      </c>
      <c r="F390" s="75"/>
      <c r="G390" s="75"/>
      <c r="H390" s="75"/>
      <c r="I390" s="75" t="s">
        <v>171</v>
      </c>
      <c r="J390" s="501">
        <v>20</v>
      </c>
      <c r="K390" s="501" t="s">
        <v>385</v>
      </c>
      <c r="L390" s="502">
        <v>9.66</v>
      </c>
      <c r="M390" s="502">
        <v>10.32</v>
      </c>
      <c r="N390" s="500">
        <v>9.6500000000000002E-2</v>
      </c>
      <c r="O390" s="500">
        <v>9.1999999999999998E-2</v>
      </c>
      <c r="P390" s="500">
        <v>0.10249999999999999</v>
      </c>
      <c r="Q390" s="78">
        <v>0.44</v>
      </c>
      <c r="R390" s="78">
        <v>0.31740000000000002</v>
      </c>
      <c r="S390" s="69">
        <v>0</v>
      </c>
      <c r="T390" s="69">
        <v>0</v>
      </c>
      <c r="U390" s="500">
        <v>0.7</v>
      </c>
      <c r="V390" s="76">
        <v>0</v>
      </c>
      <c r="W390" s="76">
        <v>0</v>
      </c>
      <c r="X390" s="76"/>
    </row>
    <row r="391" spans="1:24" x14ac:dyDescent="0.25">
      <c r="A391" s="75" t="str">
        <f t="shared" si="12"/>
        <v>Pago_Hipoteca+Liquidez PF Wealth &amp; Premier Executive Pago_Fijo_Puntual 20</v>
      </c>
      <c r="B391" s="75" t="str">
        <f t="shared" si="13"/>
        <v>Pago_Hipoteca+Liquidez PF Wealth &amp; Premier Executive Pago_Fijo_Puntual 20 0.103</v>
      </c>
      <c r="C391" s="75" t="s">
        <v>174</v>
      </c>
      <c r="D391" s="75" t="s">
        <v>132</v>
      </c>
      <c r="E391" s="75" t="s">
        <v>175</v>
      </c>
      <c r="F391" s="75"/>
      <c r="G391" s="75"/>
      <c r="H391" s="75"/>
      <c r="I391" s="75" t="s">
        <v>171</v>
      </c>
      <c r="J391" s="501">
        <v>20</v>
      </c>
      <c r="K391" s="501" t="s">
        <v>386</v>
      </c>
      <c r="L391" s="502">
        <v>10.16</v>
      </c>
      <c r="M391" s="502">
        <v>10.82</v>
      </c>
      <c r="N391" s="500">
        <v>0.10299999999999999</v>
      </c>
      <c r="O391" s="500">
        <v>0.1</v>
      </c>
      <c r="P391" s="500">
        <v>0.112</v>
      </c>
      <c r="Q391" s="78">
        <v>0.44</v>
      </c>
      <c r="R391" s="78">
        <v>0.31740000000000002</v>
      </c>
      <c r="S391" s="69">
        <v>0</v>
      </c>
      <c r="T391" s="69">
        <v>0</v>
      </c>
      <c r="U391" s="500">
        <v>0.7</v>
      </c>
      <c r="V391" s="76">
        <v>0</v>
      </c>
      <c r="W391" s="76">
        <v>0</v>
      </c>
      <c r="X391" s="76"/>
    </row>
    <row r="392" spans="1:24" x14ac:dyDescent="0.25">
      <c r="A392" s="75" t="str">
        <f t="shared" si="12"/>
        <v>Pago_Hipoteca+Liquidez PF Wealth &amp; Premier Executive Pago_Fijo_Puntual 19</v>
      </c>
      <c r="B392" s="75" t="str">
        <f t="shared" si="13"/>
        <v>Pago_Hipoteca+Liquidez PF Wealth &amp; Premier Executive Pago_Fijo_Puntual 19 0.0965</v>
      </c>
      <c r="C392" s="75" t="s">
        <v>174</v>
      </c>
      <c r="D392" s="75" t="s">
        <v>132</v>
      </c>
      <c r="E392" s="75" t="s">
        <v>175</v>
      </c>
      <c r="F392" s="75"/>
      <c r="G392" s="75"/>
      <c r="H392" s="75"/>
      <c r="I392" s="75" t="s">
        <v>171</v>
      </c>
      <c r="J392" s="501">
        <v>19</v>
      </c>
      <c r="K392" s="501" t="s">
        <v>385</v>
      </c>
      <c r="L392" s="502">
        <v>9.82</v>
      </c>
      <c r="M392" s="502">
        <v>10.48</v>
      </c>
      <c r="N392" s="500">
        <v>9.6500000000000002E-2</v>
      </c>
      <c r="O392" s="500">
        <v>9.1999999999999998E-2</v>
      </c>
      <c r="P392" s="500">
        <v>0.10249999999999999</v>
      </c>
      <c r="Q392" s="78">
        <v>0.44</v>
      </c>
      <c r="R392" s="78">
        <v>0.31740000000000002</v>
      </c>
      <c r="S392" s="69">
        <v>0</v>
      </c>
      <c r="T392" s="69">
        <v>0</v>
      </c>
      <c r="U392" s="500">
        <v>0.7</v>
      </c>
      <c r="V392" s="76">
        <v>0</v>
      </c>
      <c r="W392" s="76">
        <v>0</v>
      </c>
      <c r="X392" s="76"/>
    </row>
    <row r="393" spans="1:24" x14ac:dyDescent="0.25">
      <c r="A393" s="75" t="str">
        <f t="shared" si="12"/>
        <v>Pago_Hipoteca+Liquidez PF Wealth &amp; Premier Executive Pago_Fijo_Puntual 19</v>
      </c>
      <c r="B393" s="75" t="str">
        <f t="shared" si="13"/>
        <v>Pago_Hipoteca+Liquidez PF Wealth &amp; Premier Executive Pago_Fijo_Puntual 19 0.103</v>
      </c>
      <c r="C393" s="75" t="s">
        <v>174</v>
      </c>
      <c r="D393" s="75" t="s">
        <v>132</v>
      </c>
      <c r="E393" s="75" t="s">
        <v>175</v>
      </c>
      <c r="F393" s="75"/>
      <c r="G393" s="75"/>
      <c r="H393" s="75"/>
      <c r="I393" s="75" t="s">
        <v>171</v>
      </c>
      <c r="J393" s="501">
        <v>19</v>
      </c>
      <c r="K393" s="501" t="s">
        <v>386</v>
      </c>
      <c r="L393" s="502">
        <v>10.3</v>
      </c>
      <c r="M393" s="502">
        <v>10.96</v>
      </c>
      <c r="N393" s="500">
        <v>0.10299999999999999</v>
      </c>
      <c r="O393" s="500">
        <v>0.1</v>
      </c>
      <c r="P393" s="500">
        <v>0.112</v>
      </c>
      <c r="Q393" s="78">
        <v>0.44</v>
      </c>
      <c r="R393" s="78">
        <v>0.31740000000000002</v>
      </c>
      <c r="S393" s="69">
        <v>0</v>
      </c>
      <c r="T393" s="69">
        <v>0</v>
      </c>
      <c r="U393" s="500">
        <v>0.7</v>
      </c>
      <c r="V393" s="76">
        <v>0</v>
      </c>
      <c r="W393" s="76">
        <v>0</v>
      </c>
      <c r="X393" s="76"/>
    </row>
    <row r="394" spans="1:24" x14ac:dyDescent="0.25">
      <c r="A394" s="75" t="str">
        <f t="shared" si="12"/>
        <v>Pago_Hipoteca+Liquidez PF Wealth &amp; Premier Executive Pago_Fijo_Puntual 18</v>
      </c>
      <c r="B394" s="75" t="str">
        <f t="shared" si="13"/>
        <v>Pago_Hipoteca+Liquidez PF Wealth &amp; Premier Executive Pago_Fijo_Puntual 18 0.0965</v>
      </c>
      <c r="C394" s="75" t="s">
        <v>174</v>
      </c>
      <c r="D394" s="75" t="s">
        <v>132</v>
      </c>
      <c r="E394" s="75" t="s">
        <v>175</v>
      </c>
      <c r="F394" s="75"/>
      <c r="G394" s="75"/>
      <c r="H394" s="75"/>
      <c r="I394" s="75" t="s">
        <v>171</v>
      </c>
      <c r="J394" s="501">
        <v>18</v>
      </c>
      <c r="K394" s="501" t="s">
        <v>385</v>
      </c>
      <c r="L394" s="502">
        <v>10</v>
      </c>
      <c r="M394" s="502">
        <v>10.66</v>
      </c>
      <c r="N394" s="500">
        <v>9.6500000000000002E-2</v>
      </c>
      <c r="O394" s="500">
        <v>9.1999999999999998E-2</v>
      </c>
      <c r="P394" s="500">
        <v>0.10249999999999999</v>
      </c>
      <c r="Q394" s="78">
        <v>0.44</v>
      </c>
      <c r="R394" s="78">
        <v>0.31740000000000002</v>
      </c>
      <c r="S394" s="69">
        <v>0</v>
      </c>
      <c r="T394" s="69">
        <v>0</v>
      </c>
      <c r="U394" s="500">
        <v>0.7</v>
      </c>
      <c r="V394" s="76">
        <v>0</v>
      </c>
      <c r="W394" s="76">
        <v>0</v>
      </c>
      <c r="X394" s="76"/>
    </row>
    <row r="395" spans="1:24" x14ac:dyDescent="0.25">
      <c r="A395" s="75" t="str">
        <f t="shared" si="12"/>
        <v>Pago_Hipoteca+Liquidez PF Wealth &amp; Premier Executive Pago_Fijo_Puntual 18</v>
      </c>
      <c r="B395" s="75" t="str">
        <f t="shared" si="13"/>
        <v>Pago_Hipoteca+Liquidez PF Wealth &amp; Premier Executive Pago_Fijo_Puntual 18 0.103</v>
      </c>
      <c r="C395" s="75" t="s">
        <v>174</v>
      </c>
      <c r="D395" s="75" t="s">
        <v>132</v>
      </c>
      <c r="E395" s="75" t="s">
        <v>175</v>
      </c>
      <c r="F395" s="75"/>
      <c r="G395" s="75"/>
      <c r="H395" s="75"/>
      <c r="I395" s="75" t="s">
        <v>171</v>
      </c>
      <c r="J395" s="501">
        <v>18</v>
      </c>
      <c r="K395" s="501" t="s">
        <v>386</v>
      </c>
      <c r="L395" s="502">
        <v>10.47</v>
      </c>
      <c r="M395" s="502">
        <v>11.13</v>
      </c>
      <c r="N395" s="500">
        <v>0.10299999999999999</v>
      </c>
      <c r="O395" s="500">
        <v>0.1</v>
      </c>
      <c r="P395" s="500">
        <v>0.112</v>
      </c>
      <c r="Q395" s="78">
        <v>0.44</v>
      </c>
      <c r="R395" s="78">
        <v>0.31740000000000002</v>
      </c>
      <c r="S395" s="69">
        <v>0</v>
      </c>
      <c r="T395" s="69">
        <v>0</v>
      </c>
      <c r="U395" s="500">
        <v>0.7</v>
      </c>
      <c r="V395" s="76">
        <v>0</v>
      </c>
      <c r="W395" s="76">
        <v>0</v>
      </c>
      <c r="X395" s="76"/>
    </row>
    <row r="396" spans="1:24" x14ac:dyDescent="0.25">
      <c r="A396" s="75" t="str">
        <f t="shared" si="12"/>
        <v>Pago_Hipoteca+Liquidez PF Wealth &amp; Premier Executive Pago_Fijo_Puntual 17</v>
      </c>
      <c r="B396" s="75" t="str">
        <f t="shared" si="13"/>
        <v>Pago_Hipoteca+Liquidez PF Wealth &amp; Premier Executive Pago_Fijo_Puntual 17 0.0965</v>
      </c>
      <c r="C396" s="75" t="s">
        <v>174</v>
      </c>
      <c r="D396" s="75" t="s">
        <v>132</v>
      </c>
      <c r="E396" s="75" t="s">
        <v>175</v>
      </c>
      <c r="F396" s="75"/>
      <c r="G396" s="75"/>
      <c r="H396" s="75"/>
      <c r="I396" s="75" t="s">
        <v>171</v>
      </c>
      <c r="J396" s="501">
        <v>17</v>
      </c>
      <c r="K396" s="501" t="s">
        <v>385</v>
      </c>
      <c r="L396" s="502">
        <v>10.210000000000001</v>
      </c>
      <c r="M396" s="502">
        <v>10.87</v>
      </c>
      <c r="N396" s="500">
        <v>9.6500000000000002E-2</v>
      </c>
      <c r="O396" s="500">
        <v>9.1999999999999998E-2</v>
      </c>
      <c r="P396" s="500">
        <v>0.10249999999999999</v>
      </c>
      <c r="Q396" s="78">
        <v>0.44</v>
      </c>
      <c r="R396" s="78">
        <v>0.31740000000000002</v>
      </c>
      <c r="S396" s="69">
        <v>0</v>
      </c>
      <c r="T396" s="69">
        <v>0</v>
      </c>
      <c r="U396" s="500">
        <v>0.7</v>
      </c>
      <c r="V396" s="76">
        <v>0</v>
      </c>
      <c r="W396" s="76">
        <v>0</v>
      </c>
      <c r="X396" s="76"/>
    </row>
    <row r="397" spans="1:24" x14ac:dyDescent="0.25">
      <c r="A397" s="75" t="str">
        <f t="shared" si="12"/>
        <v>Pago_Hipoteca+Liquidez PF Wealth &amp; Premier Executive Pago_Fijo_Puntual 17</v>
      </c>
      <c r="B397" s="75" t="str">
        <f t="shared" si="13"/>
        <v>Pago_Hipoteca+Liquidez PF Wealth &amp; Premier Executive Pago_Fijo_Puntual 17 0.103</v>
      </c>
      <c r="C397" s="75" t="s">
        <v>174</v>
      </c>
      <c r="D397" s="75" t="s">
        <v>132</v>
      </c>
      <c r="E397" s="75" t="s">
        <v>175</v>
      </c>
      <c r="F397" s="75"/>
      <c r="G397" s="75"/>
      <c r="H397" s="75"/>
      <c r="I397" s="75" t="s">
        <v>171</v>
      </c>
      <c r="J397" s="501">
        <v>17</v>
      </c>
      <c r="K397" s="501" t="s">
        <v>386</v>
      </c>
      <c r="L397" s="502">
        <v>10.67</v>
      </c>
      <c r="M397" s="502">
        <v>11.33</v>
      </c>
      <c r="N397" s="500">
        <v>0.10299999999999999</v>
      </c>
      <c r="O397" s="500">
        <v>0.1</v>
      </c>
      <c r="P397" s="500">
        <v>0.112</v>
      </c>
      <c r="Q397" s="78">
        <v>0.44</v>
      </c>
      <c r="R397" s="78">
        <v>0.31740000000000002</v>
      </c>
      <c r="S397" s="69">
        <v>0</v>
      </c>
      <c r="T397" s="69">
        <v>0</v>
      </c>
      <c r="U397" s="500">
        <v>0.7</v>
      </c>
      <c r="V397" s="76">
        <v>0</v>
      </c>
      <c r="W397" s="76">
        <v>0</v>
      </c>
      <c r="X397" s="76"/>
    </row>
    <row r="398" spans="1:24" x14ac:dyDescent="0.25">
      <c r="A398" s="75" t="str">
        <f t="shared" si="12"/>
        <v>Pago_Hipoteca+Liquidez PF Wealth &amp; Premier Executive Pago_Fijo_Puntual 16</v>
      </c>
      <c r="B398" s="75" t="str">
        <f t="shared" si="13"/>
        <v>Pago_Hipoteca+Liquidez PF Wealth &amp; Premier Executive Pago_Fijo_Puntual 16 0.0965</v>
      </c>
      <c r="C398" s="75" t="s">
        <v>174</v>
      </c>
      <c r="D398" s="75" t="s">
        <v>132</v>
      </c>
      <c r="E398" s="75" t="s">
        <v>175</v>
      </c>
      <c r="F398" s="75"/>
      <c r="G398" s="75"/>
      <c r="H398" s="75"/>
      <c r="I398" s="75" t="s">
        <v>171</v>
      </c>
      <c r="J398" s="501">
        <v>16</v>
      </c>
      <c r="K398" s="501" t="s">
        <v>385</v>
      </c>
      <c r="L398" s="502">
        <v>10.45</v>
      </c>
      <c r="M398" s="502">
        <v>11.11</v>
      </c>
      <c r="N398" s="500">
        <v>9.6500000000000002E-2</v>
      </c>
      <c r="O398" s="500">
        <v>9.1999999999999998E-2</v>
      </c>
      <c r="P398" s="500">
        <v>0.10249999999999999</v>
      </c>
      <c r="Q398" s="78">
        <v>0.44</v>
      </c>
      <c r="R398" s="78">
        <v>0.31740000000000002</v>
      </c>
      <c r="S398" s="69">
        <v>0</v>
      </c>
      <c r="T398" s="69">
        <v>0</v>
      </c>
      <c r="U398" s="500">
        <v>0.7</v>
      </c>
      <c r="V398" s="76">
        <v>0</v>
      </c>
      <c r="W398" s="76">
        <v>0</v>
      </c>
      <c r="X398" s="76"/>
    </row>
    <row r="399" spans="1:24" x14ac:dyDescent="0.25">
      <c r="A399" s="75" t="str">
        <f t="shared" si="12"/>
        <v>Pago_Hipoteca+Liquidez PF Wealth &amp; Premier Executive Pago_Fijo_Puntual 16</v>
      </c>
      <c r="B399" s="75" t="str">
        <f t="shared" si="13"/>
        <v>Pago_Hipoteca+Liquidez PF Wealth &amp; Premier Executive Pago_Fijo_Puntual 16 0.103</v>
      </c>
      <c r="C399" s="75" t="s">
        <v>174</v>
      </c>
      <c r="D399" s="75" t="s">
        <v>132</v>
      </c>
      <c r="E399" s="75" t="s">
        <v>175</v>
      </c>
      <c r="F399" s="75"/>
      <c r="G399" s="75"/>
      <c r="H399" s="75"/>
      <c r="I399" s="75" t="s">
        <v>171</v>
      </c>
      <c r="J399" s="501">
        <v>16</v>
      </c>
      <c r="K399" s="501" t="s">
        <v>386</v>
      </c>
      <c r="L399" s="502">
        <v>10.9</v>
      </c>
      <c r="M399" s="502">
        <v>11.56</v>
      </c>
      <c r="N399" s="500">
        <v>0.10299999999999999</v>
      </c>
      <c r="O399" s="500">
        <v>0.1</v>
      </c>
      <c r="P399" s="500">
        <v>0.112</v>
      </c>
      <c r="Q399" s="78">
        <v>0.44</v>
      </c>
      <c r="R399" s="78">
        <v>0.31740000000000002</v>
      </c>
      <c r="S399" s="69">
        <v>0</v>
      </c>
      <c r="T399" s="69">
        <v>0</v>
      </c>
      <c r="U399" s="500">
        <v>0.7</v>
      </c>
      <c r="V399" s="76">
        <v>0</v>
      </c>
      <c r="W399" s="76">
        <v>0</v>
      </c>
      <c r="X399" s="76"/>
    </row>
    <row r="400" spans="1:24" x14ac:dyDescent="0.25">
      <c r="A400" s="75" t="str">
        <f t="shared" si="12"/>
        <v>Pago_Hipoteca+Liquidez PF Wealth &amp; Premier Executive Pago_Fijo_Puntual 15</v>
      </c>
      <c r="B400" s="75" t="str">
        <f t="shared" si="13"/>
        <v>Pago_Hipoteca+Liquidez PF Wealth &amp; Premier Executive Pago_Fijo_Puntual 15 0.0965</v>
      </c>
      <c r="C400" s="75" t="s">
        <v>174</v>
      </c>
      <c r="D400" s="75" t="s">
        <v>132</v>
      </c>
      <c r="E400" s="75" t="s">
        <v>175</v>
      </c>
      <c r="F400" s="75"/>
      <c r="G400" s="75"/>
      <c r="H400" s="75"/>
      <c r="I400" s="75" t="s">
        <v>171</v>
      </c>
      <c r="J400" s="501">
        <v>15</v>
      </c>
      <c r="K400" s="501" t="s">
        <v>385</v>
      </c>
      <c r="L400" s="502">
        <v>10.73</v>
      </c>
      <c r="M400" s="502">
        <v>11.39</v>
      </c>
      <c r="N400" s="500">
        <v>9.6500000000000002E-2</v>
      </c>
      <c r="O400" s="500">
        <v>9.1999999999999998E-2</v>
      </c>
      <c r="P400" s="500">
        <v>0.10249999999999999</v>
      </c>
      <c r="Q400" s="78">
        <v>0.44</v>
      </c>
      <c r="R400" s="78">
        <v>0.31740000000000002</v>
      </c>
      <c r="S400" s="69">
        <v>0</v>
      </c>
      <c r="T400" s="69">
        <v>0</v>
      </c>
      <c r="U400" s="500">
        <v>0.7</v>
      </c>
      <c r="V400" s="76">
        <v>0</v>
      </c>
      <c r="W400" s="76">
        <v>0</v>
      </c>
      <c r="X400" s="76"/>
    </row>
    <row r="401" spans="1:24" x14ac:dyDescent="0.25">
      <c r="A401" s="75" t="str">
        <f t="shared" si="12"/>
        <v>Pago_Hipoteca+Liquidez PF Wealth &amp; Premier Executive Pago_Fijo_Puntual 15</v>
      </c>
      <c r="B401" s="75" t="str">
        <f t="shared" si="13"/>
        <v>Pago_Hipoteca+Liquidez PF Wealth &amp; Premier Executive Pago_Fijo_Puntual 15 0.103</v>
      </c>
      <c r="C401" s="75" t="s">
        <v>174</v>
      </c>
      <c r="D401" s="75" t="s">
        <v>132</v>
      </c>
      <c r="E401" s="75" t="s">
        <v>175</v>
      </c>
      <c r="F401" s="75"/>
      <c r="G401" s="75"/>
      <c r="H401" s="75"/>
      <c r="I401" s="75" t="s">
        <v>171</v>
      </c>
      <c r="J401" s="501">
        <v>15</v>
      </c>
      <c r="K401" s="501" t="s">
        <v>386</v>
      </c>
      <c r="L401" s="502">
        <v>11.18</v>
      </c>
      <c r="M401" s="502">
        <v>11.84</v>
      </c>
      <c r="N401" s="500">
        <v>0.10299999999999999</v>
      </c>
      <c r="O401" s="500">
        <v>0.1</v>
      </c>
      <c r="P401" s="500">
        <v>0.112</v>
      </c>
      <c r="Q401" s="78">
        <v>0.44</v>
      </c>
      <c r="R401" s="78">
        <v>0.31740000000000002</v>
      </c>
      <c r="S401" s="69">
        <v>0</v>
      </c>
      <c r="T401" s="69">
        <v>0</v>
      </c>
      <c r="U401" s="500">
        <v>0.7</v>
      </c>
      <c r="V401" s="76">
        <v>0</v>
      </c>
      <c r="W401" s="76">
        <v>0</v>
      </c>
      <c r="X401" s="76"/>
    </row>
    <row r="402" spans="1:24" x14ac:dyDescent="0.25">
      <c r="A402" s="75" t="str">
        <f t="shared" si="12"/>
        <v>Pago_Hipoteca+Liquidez PF Wealth &amp; Premier Executive Pago_Fijo_Puntual 14</v>
      </c>
      <c r="B402" s="75" t="str">
        <f t="shared" si="13"/>
        <v>Pago_Hipoteca+Liquidez PF Wealth &amp; Premier Executive Pago_Fijo_Puntual 14 0.0965</v>
      </c>
      <c r="C402" s="75" t="s">
        <v>174</v>
      </c>
      <c r="D402" s="75" t="s">
        <v>132</v>
      </c>
      <c r="E402" s="75" t="s">
        <v>175</v>
      </c>
      <c r="F402" s="75"/>
      <c r="G402" s="75"/>
      <c r="H402" s="75"/>
      <c r="I402" s="75" t="s">
        <v>171</v>
      </c>
      <c r="J402" s="501">
        <v>14</v>
      </c>
      <c r="K402" s="501" t="s">
        <v>385</v>
      </c>
      <c r="L402" s="502">
        <v>11.06</v>
      </c>
      <c r="M402" s="502">
        <v>11.72</v>
      </c>
      <c r="N402" s="500">
        <v>9.6500000000000002E-2</v>
      </c>
      <c r="O402" s="500">
        <v>9.1999999999999998E-2</v>
      </c>
      <c r="P402" s="500">
        <v>0.10249999999999999</v>
      </c>
      <c r="Q402" s="78">
        <v>0.44</v>
      </c>
      <c r="R402" s="78">
        <v>0.31740000000000002</v>
      </c>
      <c r="S402" s="69">
        <v>0</v>
      </c>
      <c r="T402" s="69">
        <v>0</v>
      </c>
      <c r="U402" s="500">
        <v>0.7</v>
      </c>
      <c r="V402" s="76">
        <v>0</v>
      </c>
      <c r="W402" s="76">
        <v>0</v>
      </c>
      <c r="X402" s="76"/>
    </row>
    <row r="403" spans="1:24" x14ac:dyDescent="0.25">
      <c r="A403" s="75" t="str">
        <f t="shared" si="12"/>
        <v>Pago_Hipoteca+Liquidez PF Wealth &amp; Premier Executive Pago_Fijo_Puntual 14</v>
      </c>
      <c r="B403" s="75" t="str">
        <f t="shared" si="13"/>
        <v>Pago_Hipoteca+Liquidez PF Wealth &amp; Premier Executive Pago_Fijo_Puntual 14 0.103</v>
      </c>
      <c r="C403" s="75" t="s">
        <v>174</v>
      </c>
      <c r="D403" s="75" t="s">
        <v>132</v>
      </c>
      <c r="E403" s="75" t="s">
        <v>175</v>
      </c>
      <c r="F403" s="75"/>
      <c r="G403" s="75"/>
      <c r="H403" s="75"/>
      <c r="I403" s="75" t="s">
        <v>171</v>
      </c>
      <c r="J403" s="501">
        <v>14</v>
      </c>
      <c r="K403" s="501" t="s">
        <v>386</v>
      </c>
      <c r="L403" s="502">
        <v>11.49</v>
      </c>
      <c r="M403" s="502">
        <v>12.15</v>
      </c>
      <c r="N403" s="500">
        <v>0.10299999999999999</v>
      </c>
      <c r="O403" s="500">
        <v>0.1</v>
      </c>
      <c r="P403" s="500">
        <v>0.112</v>
      </c>
      <c r="Q403" s="78">
        <v>0.44</v>
      </c>
      <c r="R403" s="78">
        <v>0.31740000000000002</v>
      </c>
      <c r="S403" s="69">
        <v>0</v>
      </c>
      <c r="T403" s="69">
        <v>0</v>
      </c>
      <c r="U403" s="500">
        <v>0.7</v>
      </c>
      <c r="V403" s="76">
        <v>0</v>
      </c>
      <c r="W403" s="76">
        <v>0</v>
      </c>
      <c r="X403" s="76"/>
    </row>
    <row r="404" spans="1:24" x14ac:dyDescent="0.25">
      <c r="A404" s="75" t="str">
        <f t="shared" si="12"/>
        <v>Pago_Hipoteca+Liquidez PF Wealth &amp; Premier Executive Pago_Fijo_Puntual 13</v>
      </c>
      <c r="B404" s="75" t="str">
        <f t="shared" si="13"/>
        <v>Pago_Hipoteca+Liquidez PF Wealth &amp; Premier Executive Pago_Fijo_Puntual 13 0.0965</v>
      </c>
      <c r="C404" s="75" t="s">
        <v>174</v>
      </c>
      <c r="D404" s="75" t="s">
        <v>132</v>
      </c>
      <c r="E404" s="75" t="s">
        <v>175</v>
      </c>
      <c r="F404" s="75"/>
      <c r="G404" s="75"/>
      <c r="H404" s="75"/>
      <c r="I404" s="75" t="s">
        <v>171</v>
      </c>
      <c r="J404" s="501">
        <v>13</v>
      </c>
      <c r="K404" s="501" t="s">
        <v>385</v>
      </c>
      <c r="L404" s="502">
        <v>11.45</v>
      </c>
      <c r="M404" s="502">
        <v>12.11</v>
      </c>
      <c r="N404" s="500">
        <v>9.6500000000000002E-2</v>
      </c>
      <c r="O404" s="500">
        <v>9.1999999999999998E-2</v>
      </c>
      <c r="P404" s="500">
        <v>0.10249999999999999</v>
      </c>
      <c r="Q404" s="78">
        <v>0.44</v>
      </c>
      <c r="R404" s="78">
        <v>0.31740000000000002</v>
      </c>
      <c r="S404" s="69">
        <v>0</v>
      </c>
      <c r="T404" s="69">
        <v>0</v>
      </c>
      <c r="U404" s="500">
        <v>0.7</v>
      </c>
      <c r="V404" s="76">
        <v>0</v>
      </c>
      <c r="W404" s="76">
        <v>0</v>
      </c>
      <c r="X404" s="76"/>
    </row>
    <row r="405" spans="1:24" x14ac:dyDescent="0.25">
      <c r="A405" s="75" t="str">
        <f t="shared" si="12"/>
        <v>Pago_Hipoteca+Liquidez PF Wealth &amp; Premier Executive Pago_Fijo_Puntual 13</v>
      </c>
      <c r="B405" s="75" t="str">
        <f t="shared" si="13"/>
        <v>Pago_Hipoteca+Liquidez PF Wealth &amp; Premier Executive Pago_Fijo_Puntual 13 0.103</v>
      </c>
      <c r="C405" s="75" t="s">
        <v>174</v>
      </c>
      <c r="D405" s="75" t="s">
        <v>132</v>
      </c>
      <c r="E405" s="75" t="s">
        <v>175</v>
      </c>
      <c r="F405" s="75"/>
      <c r="G405" s="75"/>
      <c r="H405" s="75"/>
      <c r="I405" s="75" t="s">
        <v>171</v>
      </c>
      <c r="J405" s="501">
        <v>13</v>
      </c>
      <c r="K405" s="501" t="s">
        <v>386</v>
      </c>
      <c r="L405" s="502">
        <v>11.86</v>
      </c>
      <c r="M405" s="502">
        <v>12.52</v>
      </c>
      <c r="N405" s="500">
        <v>0.10299999999999999</v>
      </c>
      <c r="O405" s="500">
        <v>0.1</v>
      </c>
      <c r="P405" s="500">
        <v>0.112</v>
      </c>
      <c r="Q405" s="78">
        <v>0.44</v>
      </c>
      <c r="R405" s="78">
        <v>0.31740000000000002</v>
      </c>
      <c r="S405" s="69">
        <v>0</v>
      </c>
      <c r="T405" s="69">
        <v>0</v>
      </c>
      <c r="U405" s="500">
        <v>0.7</v>
      </c>
      <c r="V405" s="76">
        <v>0</v>
      </c>
      <c r="W405" s="76">
        <v>0</v>
      </c>
      <c r="X405" s="76"/>
    </row>
    <row r="406" spans="1:24" x14ac:dyDescent="0.25">
      <c r="A406" s="75" t="str">
        <f t="shared" si="12"/>
        <v>Pago_Hipoteca+Liquidez PF Wealth &amp; Premier Executive Pago_Fijo_Puntual 12</v>
      </c>
      <c r="B406" s="75" t="str">
        <f t="shared" si="13"/>
        <v>Pago_Hipoteca+Liquidez PF Wealth &amp; Premier Executive Pago_Fijo_Puntual 12 0.0965</v>
      </c>
      <c r="C406" s="75" t="s">
        <v>174</v>
      </c>
      <c r="D406" s="75" t="s">
        <v>132</v>
      </c>
      <c r="E406" s="75" t="s">
        <v>175</v>
      </c>
      <c r="F406" s="75"/>
      <c r="G406" s="75"/>
      <c r="H406" s="75"/>
      <c r="I406" s="75" t="s">
        <v>171</v>
      </c>
      <c r="J406" s="501">
        <v>12</v>
      </c>
      <c r="K406" s="501" t="s">
        <v>385</v>
      </c>
      <c r="L406" s="502">
        <v>11.91</v>
      </c>
      <c r="M406" s="502">
        <v>12.57</v>
      </c>
      <c r="N406" s="500">
        <v>9.6500000000000002E-2</v>
      </c>
      <c r="O406" s="500">
        <v>9.1999999999999998E-2</v>
      </c>
      <c r="P406" s="500">
        <v>0.10249999999999999</v>
      </c>
      <c r="Q406" s="78">
        <v>0.44</v>
      </c>
      <c r="R406" s="78">
        <v>0.31740000000000002</v>
      </c>
      <c r="S406" s="69">
        <v>0</v>
      </c>
      <c r="T406" s="69">
        <v>0</v>
      </c>
      <c r="U406" s="500">
        <v>0.7</v>
      </c>
      <c r="V406" s="76">
        <v>0</v>
      </c>
      <c r="W406" s="76">
        <v>0</v>
      </c>
      <c r="X406" s="76"/>
    </row>
    <row r="407" spans="1:24" x14ac:dyDescent="0.25">
      <c r="A407" s="75" t="str">
        <f t="shared" si="12"/>
        <v>Pago_Hipoteca+Liquidez PF Wealth &amp; Premier Executive Pago_Fijo_Puntual 12</v>
      </c>
      <c r="B407" s="75" t="str">
        <f t="shared" si="13"/>
        <v>Pago_Hipoteca+Liquidez PF Wealth &amp; Premier Executive Pago_Fijo_Puntual 12 0.103</v>
      </c>
      <c r="C407" s="75" t="s">
        <v>174</v>
      </c>
      <c r="D407" s="75" t="s">
        <v>132</v>
      </c>
      <c r="E407" s="75" t="s">
        <v>175</v>
      </c>
      <c r="F407" s="75"/>
      <c r="G407" s="75"/>
      <c r="H407" s="75"/>
      <c r="I407" s="75" t="s">
        <v>171</v>
      </c>
      <c r="J407" s="501">
        <v>12</v>
      </c>
      <c r="K407" s="501" t="s">
        <v>386</v>
      </c>
      <c r="L407" s="502">
        <v>12.31</v>
      </c>
      <c r="M407" s="502">
        <v>12.97</v>
      </c>
      <c r="N407" s="500">
        <v>0.10299999999999999</v>
      </c>
      <c r="O407" s="500">
        <v>0.1</v>
      </c>
      <c r="P407" s="500">
        <v>0.112</v>
      </c>
      <c r="Q407" s="78">
        <v>0.44</v>
      </c>
      <c r="R407" s="78">
        <v>0.31740000000000002</v>
      </c>
      <c r="S407" s="69">
        <v>0</v>
      </c>
      <c r="T407" s="69">
        <v>0</v>
      </c>
      <c r="U407" s="500">
        <v>0.7</v>
      </c>
      <c r="V407" s="76">
        <v>0</v>
      </c>
      <c r="W407" s="76">
        <v>0</v>
      </c>
      <c r="X407" s="76"/>
    </row>
    <row r="408" spans="1:24" x14ac:dyDescent="0.25">
      <c r="A408" s="75" t="str">
        <f t="shared" si="12"/>
        <v>Pago_Hipoteca+Liquidez PF Wealth &amp; Premier Executive Pago_Fijo_Puntual 11</v>
      </c>
      <c r="B408" s="75" t="str">
        <f t="shared" si="13"/>
        <v>Pago_Hipoteca+Liquidez PF Wealth &amp; Premier Executive Pago_Fijo_Puntual 11 0.0965</v>
      </c>
      <c r="C408" s="75" t="s">
        <v>174</v>
      </c>
      <c r="D408" s="75" t="s">
        <v>132</v>
      </c>
      <c r="E408" s="75" t="s">
        <v>175</v>
      </c>
      <c r="F408" s="75"/>
      <c r="G408" s="75"/>
      <c r="H408" s="75"/>
      <c r="I408" s="75" t="s">
        <v>171</v>
      </c>
      <c r="J408" s="501">
        <v>11</v>
      </c>
      <c r="K408" s="501" t="s">
        <v>385</v>
      </c>
      <c r="L408" s="502">
        <v>12.47</v>
      </c>
      <c r="M408" s="502">
        <v>13.13</v>
      </c>
      <c r="N408" s="500">
        <v>9.6500000000000002E-2</v>
      </c>
      <c r="O408" s="500">
        <v>9.1999999999999998E-2</v>
      </c>
      <c r="P408" s="500">
        <v>0.10249999999999999</v>
      </c>
      <c r="Q408" s="78">
        <v>0.44</v>
      </c>
      <c r="R408" s="78">
        <v>0.31740000000000002</v>
      </c>
      <c r="S408" s="69">
        <v>0</v>
      </c>
      <c r="T408" s="69">
        <v>0</v>
      </c>
      <c r="U408" s="500">
        <v>0.7</v>
      </c>
      <c r="V408" s="76">
        <v>0</v>
      </c>
      <c r="W408" s="76">
        <v>0</v>
      </c>
      <c r="X408" s="76"/>
    </row>
    <row r="409" spans="1:24" x14ac:dyDescent="0.25">
      <c r="A409" s="75" t="str">
        <f t="shared" si="12"/>
        <v>Pago_Hipoteca+Liquidez PF Wealth &amp; Premier Executive Pago_Fijo_Puntual 11</v>
      </c>
      <c r="B409" s="75" t="str">
        <f t="shared" si="13"/>
        <v>Pago_Hipoteca+Liquidez PF Wealth &amp; Premier Executive Pago_Fijo_Puntual 11 0.103</v>
      </c>
      <c r="C409" s="75" t="s">
        <v>174</v>
      </c>
      <c r="D409" s="75" t="s">
        <v>132</v>
      </c>
      <c r="E409" s="75" t="s">
        <v>175</v>
      </c>
      <c r="F409" s="75"/>
      <c r="G409" s="75"/>
      <c r="H409" s="75"/>
      <c r="I409" s="75" t="s">
        <v>171</v>
      </c>
      <c r="J409" s="501">
        <v>11</v>
      </c>
      <c r="K409" s="501" t="s">
        <v>386</v>
      </c>
      <c r="L409" s="502">
        <v>12.86</v>
      </c>
      <c r="M409" s="502">
        <v>13.52</v>
      </c>
      <c r="N409" s="500">
        <v>0.10299999999999999</v>
      </c>
      <c r="O409" s="500">
        <v>0.1</v>
      </c>
      <c r="P409" s="500">
        <v>0.112</v>
      </c>
      <c r="Q409" s="78">
        <v>0.44</v>
      </c>
      <c r="R409" s="78">
        <v>0.31740000000000002</v>
      </c>
      <c r="S409" s="69">
        <v>0</v>
      </c>
      <c r="T409" s="69">
        <v>0</v>
      </c>
      <c r="U409" s="500">
        <v>0.7</v>
      </c>
      <c r="V409" s="76">
        <v>0</v>
      </c>
      <c r="W409" s="76">
        <v>0</v>
      </c>
      <c r="X409" s="76"/>
    </row>
    <row r="410" spans="1:24" x14ac:dyDescent="0.25">
      <c r="A410" s="75" t="str">
        <f t="shared" si="12"/>
        <v>Pago_Hipoteca+Liquidez PF Wealth &amp; Premier Executive Pago_Fijo_Puntual 10</v>
      </c>
      <c r="B410" s="75" t="str">
        <f t="shared" si="13"/>
        <v>Pago_Hipoteca+Liquidez PF Wealth &amp; Premier Executive Pago_Fijo_Puntual 10 0.0965</v>
      </c>
      <c r="C410" s="75" t="s">
        <v>174</v>
      </c>
      <c r="D410" s="75" t="s">
        <v>132</v>
      </c>
      <c r="E410" s="75" t="s">
        <v>175</v>
      </c>
      <c r="F410" s="75"/>
      <c r="G410" s="75"/>
      <c r="H410" s="75"/>
      <c r="I410" s="75" t="s">
        <v>171</v>
      </c>
      <c r="J410" s="501">
        <v>10</v>
      </c>
      <c r="K410" s="501" t="s">
        <v>385</v>
      </c>
      <c r="L410" s="502">
        <v>13.16</v>
      </c>
      <c r="M410" s="502">
        <v>13.82</v>
      </c>
      <c r="N410" s="500">
        <v>9.6500000000000002E-2</v>
      </c>
      <c r="O410" s="500">
        <v>9.1999999999999998E-2</v>
      </c>
      <c r="P410" s="500">
        <v>0.10249999999999999</v>
      </c>
      <c r="Q410" s="78">
        <v>0.44</v>
      </c>
      <c r="R410" s="78">
        <v>0.31740000000000002</v>
      </c>
      <c r="S410" s="69">
        <v>0</v>
      </c>
      <c r="T410" s="69">
        <v>0</v>
      </c>
      <c r="U410" s="500">
        <v>0.7</v>
      </c>
      <c r="V410" s="76">
        <v>0</v>
      </c>
      <c r="W410" s="76">
        <v>0</v>
      </c>
      <c r="X410" s="76"/>
    </row>
    <row r="411" spans="1:24" x14ac:dyDescent="0.25">
      <c r="A411" s="75" t="str">
        <f t="shared" si="12"/>
        <v>Pago_Hipoteca+Liquidez PF Wealth &amp; Premier Executive Pago_Fijo_Puntual 10</v>
      </c>
      <c r="B411" s="75" t="str">
        <f t="shared" si="13"/>
        <v>Pago_Hipoteca+Liquidez PF Wealth &amp; Premier Executive Pago_Fijo_Puntual 10 0.103</v>
      </c>
      <c r="C411" s="75" t="s">
        <v>174</v>
      </c>
      <c r="D411" s="75" t="s">
        <v>132</v>
      </c>
      <c r="E411" s="75" t="s">
        <v>175</v>
      </c>
      <c r="F411" s="75"/>
      <c r="G411" s="75"/>
      <c r="H411" s="75"/>
      <c r="I411" s="75" t="s">
        <v>171</v>
      </c>
      <c r="J411" s="501">
        <v>10</v>
      </c>
      <c r="K411" s="501" t="s">
        <v>386</v>
      </c>
      <c r="L411" s="502">
        <v>13.54</v>
      </c>
      <c r="M411" s="502">
        <v>14.2</v>
      </c>
      <c r="N411" s="500">
        <v>0.10299999999999999</v>
      </c>
      <c r="O411" s="500">
        <v>0.1</v>
      </c>
      <c r="P411" s="500">
        <v>0.112</v>
      </c>
      <c r="Q411" s="78">
        <v>0.44</v>
      </c>
      <c r="R411" s="78">
        <v>0.31740000000000002</v>
      </c>
      <c r="S411" s="69">
        <v>0</v>
      </c>
      <c r="T411" s="69">
        <v>0</v>
      </c>
      <c r="U411" s="500">
        <v>0.7</v>
      </c>
      <c r="V411" s="76">
        <v>0</v>
      </c>
      <c r="W411" s="76">
        <v>0</v>
      </c>
      <c r="X411" s="76"/>
    </row>
    <row r="412" spans="1:24" x14ac:dyDescent="0.25">
      <c r="A412" s="75" t="str">
        <f t="shared" si="12"/>
        <v>Pago_Hipoteca+Liquidez PF Wealth &amp; Premier Executive Pago_Fijo_Puntual 9</v>
      </c>
      <c r="B412" s="75" t="str">
        <f t="shared" si="13"/>
        <v>Pago_Hipoteca+Liquidez PF Wealth &amp; Premier Executive Pago_Fijo_Puntual 9 0.0965</v>
      </c>
      <c r="C412" s="75" t="s">
        <v>174</v>
      </c>
      <c r="D412" s="75" t="s">
        <v>132</v>
      </c>
      <c r="E412" s="75" t="s">
        <v>175</v>
      </c>
      <c r="F412" s="75"/>
      <c r="G412" s="75"/>
      <c r="H412" s="75"/>
      <c r="I412" s="75" t="s">
        <v>171</v>
      </c>
      <c r="J412" s="501">
        <v>9</v>
      </c>
      <c r="K412" s="501" t="s">
        <v>385</v>
      </c>
      <c r="L412" s="502">
        <v>14.01</v>
      </c>
      <c r="M412" s="502">
        <v>14.67</v>
      </c>
      <c r="N412" s="500">
        <v>9.6500000000000002E-2</v>
      </c>
      <c r="O412" s="500">
        <v>9.1999999999999998E-2</v>
      </c>
      <c r="P412" s="500">
        <v>0.10249999999999999</v>
      </c>
      <c r="Q412" s="78">
        <v>0.44</v>
      </c>
      <c r="R412" s="78">
        <v>0.31740000000000002</v>
      </c>
      <c r="S412" s="69">
        <v>0</v>
      </c>
      <c r="T412" s="69">
        <v>0</v>
      </c>
      <c r="U412" s="500">
        <v>0.7</v>
      </c>
      <c r="V412" s="76">
        <v>0</v>
      </c>
      <c r="W412" s="76">
        <v>0</v>
      </c>
      <c r="X412" s="76"/>
    </row>
    <row r="413" spans="1:24" x14ac:dyDescent="0.25">
      <c r="A413" s="75" t="str">
        <f t="shared" si="12"/>
        <v>Pago_Hipoteca+Liquidez PF Wealth &amp; Premier Executive Pago_Fijo_Puntual 9</v>
      </c>
      <c r="B413" s="75" t="str">
        <f t="shared" si="13"/>
        <v>Pago_Hipoteca+Liquidez PF Wealth &amp; Premier Executive Pago_Fijo_Puntual 9 0.103</v>
      </c>
      <c r="C413" s="75" t="s">
        <v>174</v>
      </c>
      <c r="D413" s="75" t="s">
        <v>132</v>
      </c>
      <c r="E413" s="75" t="s">
        <v>175</v>
      </c>
      <c r="F413" s="75"/>
      <c r="G413" s="75"/>
      <c r="H413" s="75"/>
      <c r="I413" s="75" t="s">
        <v>171</v>
      </c>
      <c r="J413" s="501">
        <v>9</v>
      </c>
      <c r="K413" s="501" t="s">
        <v>386</v>
      </c>
      <c r="L413" s="502">
        <v>14.37</v>
      </c>
      <c r="M413" s="502">
        <v>15.03</v>
      </c>
      <c r="N413" s="500">
        <v>0.10299999999999999</v>
      </c>
      <c r="O413" s="500">
        <v>0.1</v>
      </c>
      <c r="P413" s="500">
        <v>0.112</v>
      </c>
      <c r="Q413" s="78">
        <v>0.44</v>
      </c>
      <c r="R413" s="78">
        <v>0.31740000000000002</v>
      </c>
      <c r="S413" s="69">
        <v>0</v>
      </c>
      <c r="T413" s="69">
        <v>0</v>
      </c>
      <c r="U413" s="500">
        <v>0.7</v>
      </c>
      <c r="V413" s="76">
        <v>0</v>
      </c>
      <c r="W413" s="76">
        <v>0</v>
      </c>
      <c r="X413" s="76"/>
    </row>
    <row r="414" spans="1:24" x14ac:dyDescent="0.25">
      <c r="A414" s="75" t="str">
        <f t="shared" si="12"/>
        <v>Pago_Hipoteca+Liquidez PF Wealth &amp; Premier Executive Pago_Fijo_Puntual 8</v>
      </c>
      <c r="B414" s="75" t="str">
        <f t="shared" si="13"/>
        <v>Pago_Hipoteca+Liquidez PF Wealth &amp; Premier Executive Pago_Fijo_Puntual 8 0.0965</v>
      </c>
      <c r="C414" s="75" t="s">
        <v>174</v>
      </c>
      <c r="D414" s="75" t="s">
        <v>132</v>
      </c>
      <c r="E414" s="75" t="s">
        <v>175</v>
      </c>
      <c r="F414" s="75"/>
      <c r="G414" s="75"/>
      <c r="H414" s="75"/>
      <c r="I414" s="75" t="s">
        <v>171</v>
      </c>
      <c r="J414" s="501">
        <v>8</v>
      </c>
      <c r="K414" s="501" t="s">
        <v>385</v>
      </c>
      <c r="L414" s="502">
        <v>15.09</v>
      </c>
      <c r="M414" s="502">
        <v>15.75</v>
      </c>
      <c r="N414" s="500">
        <v>9.6500000000000002E-2</v>
      </c>
      <c r="O414" s="500">
        <v>9.1999999999999998E-2</v>
      </c>
      <c r="P414" s="500">
        <v>0.10249999999999999</v>
      </c>
      <c r="Q414" s="78">
        <v>0.44</v>
      </c>
      <c r="R414" s="78">
        <v>0.31740000000000002</v>
      </c>
      <c r="S414" s="69">
        <v>0</v>
      </c>
      <c r="T414" s="69">
        <v>0</v>
      </c>
      <c r="U414" s="500">
        <v>0.7</v>
      </c>
      <c r="V414" s="76">
        <v>0</v>
      </c>
      <c r="W414" s="76">
        <v>0</v>
      </c>
      <c r="X414" s="76"/>
    </row>
    <row r="415" spans="1:24" x14ac:dyDescent="0.25">
      <c r="A415" s="75" t="str">
        <f t="shared" si="12"/>
        <v>Pago_Hipoteca+Liquidez PF Wealth &amp; Premier Executive Pago_Fijo_Puntual 8</v>
      </c>
      <c r="B415" s="75" t="str">
        <f t="shared" si="13"/>
        <v>Pago_Hipoteca+Liquidez PF Wealth &amp; Premier Executive Pago_Fijo_Puntual 8 0.103</v>
      </c>
      <c r="C415" s="75" t="s">
        <v>174</v>
      </c>
      <c r="D415" s="75" t="s">
        <v>132</v>
      </c>
      <c r="E415" s="75" t="s">
        <v>175</v>
      </c>
      <c r="F415" s="75"/>
      <c r="G415" s="75"/>
      <c r="H415" s="75"/>
      <c r="I415" s="75" t="s">
        <v>171</v>
      </c>
      <c r="J415" s="501">
        <v>8</v>
      </c>
      <c r="K415" s="501" t="s">
        <v>386</v>
      </c>
      <c r="L415" s="502">
        <v>15.44</v>
      </c>
      <c r="M415" s="502">
        <v>16.100000000000001</v>
      </c>
      <c r="N415" s="500">
        <v>0.10299999999999999</v>
      </c>
      <c r="O415" s="500">
        <v>0.1</v>
      </c>
      <c r="P415" s="500">
        <v>0.112</v>
      </c>
      <c r="Q415" s="78">
        <v>0.44</v>
      </c>
      <c r="R415" s="78">
        <v>0.31740000000000002</v>
      </c>
      <c r="S415" s="69">
        <v>0</v>
      </c>
      <c r="T415" s="69">
        <v>0</v>
      </c>
      <c r="U415" s="500">
        <v>0.7</v>
      </c>
      <c r="V415" s="76">
        <v>0</v>
      </c>
      <c r="W415" s="76">
        <v>0</v>
      </c>
      <c r="X415" s="76"/>
    </row>
    <row r="416" spans="1:24" x14ac:dyDescent="0.25">
      <c r="A416" s="75" t="str">
        <f t="shared" si="12"/>
        <v>Pago_Hipoteca+Liquidez PF Wealth &amp; Premier Executive Pago_Fijo_Puntual 7</v>
      </c>
      <c r="B416" s="75" t="str">
        <f t="shared" si="13"/>
        <v>Pago_Hipoteca+Liquidez PF Wealth &amp; Premier Executive Pago_Fijo_Puntual 7 0.0965</v>
      </c>
      <c r="C416" s="75" t="s">
        <v>174</v>
      </c>
      <c r="D416" s="75" t="s">
        <v>132</v>
      </c>
      <c r="E416" s="75" t="s">
        <v>175</v>
      </c>
      <c r="F416" s="75"/>
      <c r="G416" s="75"/>
      <c r="H416" s="75"/>
      <c r="I416" s="75" t="s">
        <v>171</v>
      </c>
      <c r="J416" s="501">
        <v>7</v>
      </c>
      <c r="K416" s="501" t="s">
        <v>385</v>
      </c>
      <c r="L416" s="502">
        <v>16.5</v>
      </c>
      <c r="M416" s="502">
        <v>17.16</v>
      </c>
      <c r="N416" s="500">
        <v>9.6500000000000002E-2</v>
      </c>
      <c r="O416" s="500">
        <v>9.1999999999999998E-2</v>
      </c>
      <c r="P416" s="500">
        <v>0.10249999999999999</v>
      </c>
      <c r="Q416" s="78">
        <v>0.44</v>
      </c>
      <c r="R416" s="78">
        <v>0.31740000000000002</v>
      </c>
      <c r="S416" s="69">
        <v>0</v>
      </c>
      <c r="T416" s="69">
        <v>0</v>
      </c>
      <c r="U416" s="500">
        <v>0.7</v>
      </c>
      <c r="V416" s="76">
        <v>0</v>
      </c>
      <c r="W416" s="76">
        <v>0</v>
      </c>
      <c r="X416" s="76"/>
    </row>
    <row r="417" spans="1:24" x14ac:dyDescent="0.25">
      <c r="A417" s="75" t="str">
        <f t="shared" si="12"/>
        <v>Pago_Hipoteca+Liquidez PF Wealth &amp; Premier Executive Pago_Fijo_Puntual 7</v>
      </c>
      <c r="B417" s="75" t="str">
        <f t="shared" si="13"/>
        <v>Pago_Hipoteca+Liquidez PF Wealth &amp; Premier Executive Pago_Fijo_Puntual 7 0.103</v>
      </c>
      <c r="C417" s="75" t="s">
        <v>174</v>
      </c>
      <c r="D417" s="75" t="s">
        <v>132</v>
      </c>
      <c r="E417" s="75" t="s">
        <v>175</v>
      </c>
      <c r="F417" s="75"/>
      <c r="G417" s="75"/>
      <c r="H417" s="75"/>
      <c r="I417" s="75" t="s">
        <v>171</v>
      </c>
      <c r="J417" s="501">
        <v>7</v>
      </c>
      <c r="K417" s="501" t="s">
        <v>386</v>
      </c>
      <c r="L417" s="502">
        <v>16.84</v>
      </c>
      <c r="M417" s="502">
        <v>17.5</v>
      </c>
      <c r="N417" s="500">
        <v>0.10299999999999999</v>
      </c>
      <c r="O417" s="500">
        <v>0.1</v>
      </c>
      <c r="P417" s="500">
        <v>0.112</v>
      </c>
      <c r="Q417" s="78">
        <v>0.44</v>
      </c>
      <c r="R417" s="78">
        <v>0.31740000000000002</v>
      </c>
      <c r="S417" s="69">
        <v>0</v>
      </c>
      <c r="T417" s="69">
        <v>0</v>
      </c>
      <c r="U417" s="500">
        <v>0.7</v>
      </c>
      <c r="V417" s="76">
        <v>0</v>
      </c>
      <c r="W417" s="76">
        <v>0</v>
      </c>
      <c r="X417" s="76"/>
    </row>
    <row r="418" spans="1:24" x14ac:dyDescent="0.25">
      <c r="A418" s="75" t="str">
        <f t="shared" si="12"/>
        <v>Pago_Hipoteca+Liquidez PF Wealth &amp; Premier Executive Pago_Fijo_Puntual 6</v>
      </c>
      <c r="B418" s="75" t="str">
        <f t="shared" si="13"/>
        <v>Pago_Hipoteca+Liquidez PF Wealth &amp; Premier Executive Pago_Fijo_Puntual 6 0.0965</v>
      </c>
      <c r="C418" s="75" t="s">
        <v>174</v>
      </c>
      <c r="D418" s="75" t="s">
        <v>132</v>
      </c>
      <c r="E418" s="75" t="s">
        <v>175</v>
      </c>
      <c r="F418" s="75"/>
      <c r="G418" s="75"/>
      <c r="H418" s="75"/>
      <c r="I418" s="75" t="s">
        <v>171</v>
      </c>
      <c r="J418" s="501">
        <v>6</v>
      </c>
      <c r="K418" s="501" t="s">
        <v>385</v>
      </c>
      <c r="L418" s="502">
        <v>18.41</v>
      </c>
      <c r="M418" s="502">
        <v>19.07</v>
      </c>
      <c r="N418" s="500">
        <v>9.6500000000000002E-2</v>
      </c>
      <c r="O418" s="500">
        <v>9.1999999999999998E-2</v>
      </c>
      <c r="P418" s="500">
        <v>0.10249999999999999</v>
      </c>
      <c r="Q418" s="78">
        <v>0.44</v>
      </c>
      <c r="R418" s="78">
        <v>0.31740000000000002</v>
      </c>
      <c r="S418" s="69">
        <v>0</v>
      </c>
      <c r="T418" s="69">
        <v>0</v>
      </c>
      <c r="U418" s="500">
        <v>0.7</v>
      </c>
      <c r="V418" s="76">
        <v>0</v>
      </c>
      <c r="W418" s="76">
        <v>0</v>
      </c>
      <c r="X418" s="76"/>
    </row>
    <row r="419" spans="1:24" x14ac:dyDescent="0.25">
      <c r="A419" s="75" t="str">
        <f t="shared" si="12"/>
        <v>Pago_Hipoteca+Liquidez PF Wealth &amp; Premier Executive Pago_Fijo_Puntual 6</v>
      </c>
      <c r="B419" s="75" t="str">
        <f t="shared" si="13"/>
        <v>Pago_Hipoteca+Liquidez PF Wealth &amp; Premier Executive Pago_Fijo_Puntual 6 0.103</v>
      </c>
      <c r="C419" s="75" t="s">
        <v>174</v>
      </c>
      <c r="D419" s="75" t="s">
        <v>132</v>
      </c>
      <c r="E419" s="75" t="s">
        <v>175</v>
      </c>
      <c r="F419" s="75"/>
      <c r="G419" s="75"/>
      <c r="H419" s="75"/>
      <c r="I419" s="75" t="s">
        <v>171</v>
      </c>
      <c r="J419" s="501">
        <v>6</v>
      </c>
      <c r="K419" s="501" t="s">
        <v>386</v>
      </c>
      <c r="L419" s="502">
        <v>18.739999999999998</v>
      </c>
      <c r="M419" s="502">
        <v>19.399999999999999</v>
      </c>
      <c r="N419" s="500">
        <v>0.10299999999999999</v>
      </c>
      <c r="O419" s="500">
        <v>0.1</v>
      </c>
      <c r="P419" s="500">
        <v>0.112</v>
      </c>
      <c r="Q419" s="78">
        <v>0.44</v>
      </c>
      <c r="R419" s="78">
        <v>0.31740000000000002</v>
      </c>
      <c r="S419" s="69">
        <v>0</v>
      </c>
      <c r="T419" s="69">
        <v>0</v>
      </c>
      <c r="U419" s="500">
        <v>0.7</v>
      </c>
      <c r="V419" s="76">
        <v>0</v>
      </c>
      <c r="W419" s="76">
        <v>0</v>
      </c>
      <c r="X419" s="76"/>
    </row>
    <row r="420" spans="1:24" x14ac:dyDescent="0.25">
      <c r="A420" s="75" t="str">
        <f t="shared" si="12"/>
        <v>Pago_Hipoteca+Liquidez PF Wealth &amp; Premier Executive Pago_Fijo_Puntual 5</v>
      </c>
      <c r="B420" s="75" t="str">
        <f t="shared" si="13"/>
        <v>Pago_Hipoteca+Liquidez PF Wealth &amp; Premier Executive Pago_Fijo_Puntual 5 0.0965</v>
      </c>
      <c r="C420" s="75" t="s">
        <v>174</v>
      </c>
      <c r="D420" s="75" t="s">
        <v>132</v>
      </c>
      <c r="E420" s="75" t="s">
        <v>175</v>
      </c>
      <c r="F420" s="75"/>
      <c r="G420" s="75"/>
      <c r="H420" s="75"/>
      <c r="I420" s="75" t="s">
        <v>171</v>
      </c>
      <c r="J420" s="501">
        <v>5</v>
      </c>
      <c r="K420" s="501" t="s">
        <v>385</v>
      </c>
      <c r="L420" s="502">
        <v>21.12</v>
      </c>
      <c r="M420" s="502">
        <v>21.78</v>
      </c>
      <c r="N420" s="500">
        <v>9.6500000000000002E-2</v>
      </c>
      <c r="O420" s="500">
        <v>9.1999999999999998E-2</v>
      </c>
      <c r="P420" s="500">
        <v>0.10249999999999999</v>
      </c>
      <c r="Q420" s="78">
        <v>0.44</v>
      </c>
      <c r="R420" s="78">
        <v>0.31740000000000002</v>
      </c>
      <c r="S420" s="69">
        <v>0</v>
      </c>
      <c r="T420" s="69">
        <v>0</v>
      </c>
      <c r="U420" s="500">
        <v>0.7</v>
      </c>
      <c r="V420" s="76">
        <v>0</v>
      </c>
      <c r="W420" s="76">
        <v>0</v>
      </c>
      <c r="X420" s="76"/>
    </row>
    <row r="421" spans="1:24" x14ac:dyDescent="0.25">
      <c r="A421" s="75" t="str">
        <f t="shared" si="12"/>
        <v>Pago_Hipoteca+Liquidez PF Wealth &amp; Premier Executive Pago_Fijo_Puntual 5</v>
      </c>
      <c r="B421" s="75" t="str">
        <f t="shared" si="13"/>
        <v>Pago_Hipoteca+Liquidez PF Wealth &amp; Premier Executive Pago_Fijo_Puntual 5 0.103</v>
      </c>
      <c r="C421" s="75" t="s">
        <v>174</v>
      </c>
      <c r="D421" s="75" t="s">
        <v>132</v>
      </c>
      <c r="E421" s="75" t="s">
        <v>175</v>
      </c>
      <c r="F421" s="75"/>
      <c r="G421" s="75"/>
      <c r="H421" s="75"/>
      <c r="I421" s="75" t="s">
        <v>171</v>
      </c>
      <c r="J421" s="501">
        <v>5</v>
      </c>
      <c r="K421" s="501" t="s">
        <v>386</v>
      </c>
      <c r="L421" s="502">
        <v>21.44</v>
      </c>
      <c r="M421" s="502">
        <v>22.1</v>
      </c>
      <c r="N421" s="500">
        <v>0.10299999999999999</v>
      </c>
      <c r="O421" s="500">
        <v>0.1</v>
      </c>
      <c r="P421" s="500">
        <v>0.112</v>
      </c>
      <c r="Q421" s="78">
        <v>0.44</v>
      </c>
      <c r="R421" s="78">
        <v>0.31740000000000002</v>
      </c>
      <c r="S421" s="69">
        <v>0</v>
      </c>
      <c r="T421" s="69">
        <v>0</v>
      </c>
      <c r="U421" s="500">
        <v>0.7</v>
      </c>
      <c r="V421" s="76">
        <v>0</v>
      </c>
      <c r="W421" s="76">
        <v>0</v>
      </c>
      <c r="X421" s="76"/>
    </row>
    <row r="422" spans="1:24" x14ac:dyDescent="0.25">
      <c r="A422" s="75" t="str">
        <f t="shared" si="12"/>
        <v>Pago_Hipoteca+Liquidez PFAE Wealth &amp; Premier Executive Pago_Fijo_Puntual 20</v>
      </c>
      <c r="B422" s="75" t="str">
        <f t="shared" si="13"/>
        <v>Pago_Hipoteca+Liquidez PFAE Wealth &amp; Premier Executive Pago_Fijo_Puntual 20 0.0965</v>
      </c>
      <c r="C422" s="75" t="s">
        <v>174</v>
      </c>
      <c r="D422" s="75" t="s">
        <v>168</v>
      </c>
      <c r="E422" s="75" t="s">
        <v>175</v>
      </c>
      <c r="F422" s="75"/>
      <c r="G422" s="75"/>
      <c r="H422" s="75"/>
      <c r="I422" s="75" t="s">
        <v>171</v>
      </c>
      <c r="J422" s="501">
        <v>20</v>
      </c>
      <c r="K422" s="501" t="s">
        <v>385</v>
      </c>
      <c r="L422" s="502">
        <v>9.66</v>
      </c>
      <c r="M422" s="502">
        <v>10.32</v>
      </c>
      <c r="N422" s="500">
        <v>9.6500000000000002E-2</v>
      </c>
      <c r="O422" s="500">
        <v>9.1999999999999998E-2</v>
      </c>
      <c r="P422" s="500">
        <v>0.10249999999999999</v>
      </c>
      <c r="Q422" s="78">
        <v>0.44</v>
      </c>
      <c r="R422" s="78">
        <v>0.31740000000000002</v>
      </c>
      <c r="S422" s="69">
        <v>0</v>
      </c>
      <c r="T422" s="69">
        <v>0</v>
      </c>
      <c r="U422" s="500">
        <v>0.7</v>
      </c>
      <c r="V422" s="76">
        <v>0</v>
      </c>
      <c r="W422" s="76">
        <v>0</v>
      </c>
      <c r="X422" s="76"/>
    </row>
    <row r="423" spans="1:24" x14ac:dyDescent="0.25">
      <c r="A423" s="75" t="str">
        <f t="shared" si="12"/>
        <v>Pago_Hipoteca+Liquidez PFAE Wealth &amp; Premier Executive Pago_Fijo_Puntual 20</v>
      </c>
      <c r="B423" s="75" t="str">
        <f t="shared" si="13"/>
        <v>Pago_Hipoteca+Liquidez PFAE Wealth &amp; Premier Executive Pago_Fijo_Puntual 20 0.103</v>
      </c>
      <c r="C423" s="75" t="s">
        <v>174</v>
      </c>
      <c r="D423" s="75" t="s">
        <v>168</v>
      </c>
      <c r="E423" s="75" t="s">
        <v>175</v>
      </c>
      <c r="F423" s="75"/>
      <c r="G423" s="75"/>
      <c r="H423" s="75"/>
      <c r="I423" s="75" t="s">
        <v>171</v>
      </c>
      <c r="J423" s="501">
        <v>20</v>
      </c>
      <c r="K423" s="501" t="s">
        <v>386</v>
      </c>
      <c r="L423" s="502">
        <v>10.16</v>
      </c>
      <c r="M423" s="502">
        <v>10.82</v>
      </c>
      <c r="N423" s="500">
        <v>0.10299999999999999</v>
      </c>
      <c r="O423" s="500">
        <v>0.1</v>
      </c>
      <c r="P423" s="500">
        <v>0.112</v>
      </c>
      <c r="Q423" s="78">
        <v>0.44</v>
      </c>
      <c r="R423" s="78">
        <v>0.31740000000000002</v>
      </c>
      <c r="S423" s="69">
        <v>0</v>
      </c>
      <c r="T423" s="69">
        <v>0</v>
      </c>
      <c r="U423" s="500">
        <v>0.7</v>
      </c>
      <c r="V423" s="76">
        <v>0</v>
      </c>
      <c r="W423" s="76">
        <v>0</v>
      </c>
      <c r="X423" s="76"/>
    </row>
    <row r="424" spans="1:24" x14ac:dyDescent="0.25">
      <c r="A424" s="75" t="str">
        <f t="shared" si="12"/>
        <v>Pago_Hipoteca+Liquidez PFAE Wealth &amp; Premier Executive Pago_Fijo_Puntual 19</v>
      </c>
      <c r="B424" s="75" t="str">
        <f t="shared" si="13"/>
        <v>Pago_Hipoteca+Liquidez PFAE Wealth &amp; Premier Executive Pago_Fijo_Puntual 19 0.0965</v>
      </c>
      <c r="C424" s="75" t="s">
        <v>174</v>
      </c>
      <c r="D424" s="75" t="s">
        <v>168</v>
      </c>
      <c r="E424" s="75" t="s">
        <v>175</v>
      </c>
      <c r="F424" s="75"/>
      <c r="G424" s="75"/>
      <c r="H424" s="75"/>
      <c r="I424" s="75" t="s">
        <v>171</v>
      </c>
      <c r="J424" s="501">
        <v>19</v>
      </c>
      <c r="K424" s="501" t="s">
        <v>385</v>
      </c>
      <c r="L424" s="502">
        <v>9.82</v>
      </c>
      <c r="M424" s="502">
        <v>10.48</v>
      </c>
      <c r="N424" s="500">
        <v>9.6500000000000002E-2</v>
      </c>
      <c r="O424" s="500">
        <v>9.1999999999999998E-2</v>
      </c>
      <c r="P424" s="500">
        <v>0.10249999999999999</v>
      </c>
      <c r="Q424" s="78">
        <v>0.44</v>
      </c>
      <c r="R424" s="78">
        <v>0.31740000000000002</v>
      </c>
      <c r="S424" s="69">
        <v>0</v>
      </c>
      <c r="T424" s="69">
        <v>0</v>
      </c>
      <c r="U424" s="500">
        <v>0.7</v>
      </c>
      <c r="V424" s="76">
        <v>0</v>
      </c>
      <c r="W424" s="76">
        <v>0</v>
      </c>
      <c r="X424" s="76"/>
    </row>
    <row r="425" spans="1:24" x14ac:dyDescent="0.25">
      <c r="A425" s="75" t="str">
        <f t="shared" si="12"/>
        <v>Pago_Hipoteca+Liquidez PFAE Wealth &amp; Premier Executive Pago_Fijo_Puntual 19</v>
      </c>
      <c r="B425" s="75" t="str">
        <f t="shared" si="13"/>
        <v>Pago_Hipoteca+Liquidez PFAE Wealth &amp; Premier Executive Pago_Fijo_Puntual 19 0.103</v>
      </c>
      <c r="C425" s="75" t="s">
        <v>174</v>
      </c>
      <c r="D425" s="75" t="s">
        <v>168</v>
      </c>
      <c r="E425" s="75" t="s">
        <v>175</v>
      </c>
      <c r="F425" s="75"/>
      <c r="G425" s="75"/>
      <c r="H425" s="75"/>
      <c r="I425" s="75" t="s">
        <v>171</v>
      </c>
      <c r="J425" s="501">
        <v>19</v>
      </c>
      <c r="K425" s="501" t="s">
        <v>386</v>
      </c>
      <c r="L425" s="502">
        <v>10.3</v>
      </c>
      <c r="M425" s="502">
        <v>10.96</v>
      </c>
      <c r="N425" s="500">
        <v>0.10299999999999999</v>
      </c>
      <c r="O425" s="500">
        <v>0.1</v>
      </c>
      <c r="P425" s="500">
        <v>0.112</v>
      </c>
      <c r="Q425" s="78">
        <v>0.44</v>
      </c>
      <c r="R425" s="78">
        <v>0.31740000000000002</v>
      </c>
      <c r="S425" s="69">
        <v>0</v>
      </c>
      <c r="T425" s="69">
        <v>0</v>
      </c>
      <c r="U425" s="500">
        <v>0.7</v>
      </c>
      <c r="V425" s="76">
        <v>0</v>
      </c>
      <c r="W425" s="76">
        <v>0</v>
      </c>
      <c r="X425" s="76"/>
    </row>
    <row r="426" spans="1:24" x14ac:dyDescent="0.25">
      <c r="A426" s="75" t="str">
        <f t="shared" si="12"/>
        <v>Pago_Hipoteca+Liquidez PFAE Wealth &amp; Premier Executive Pago_Fijo_Puntual 18</v>
      </c>
      <c r="B426" s="75" t="str">
        <f t="shared" si="13"/>
        <v>Pago_Hipoteca+Liquidez PFAE Wealth &amp; Premier Executive Pago_Fijo_Puntual 18 0.0965</v>
      </c>
      <c r="C426" s="75" t="s">
        <v>174</v>
      </c>
      <c r="D426" s="75" t="s">
        <v>168</v>
      </c>
      <c r="E426" s="75" t="s">
        <v>175</v>
      </c>
      <c r="F426" s="75"/>
      <c r="G426" s="75"/>
      <c r="H426" s="75"/>
      <c r="I426" s="75" t="s">
        <v>171</v>
      </c>
      <c r="J426" s="501">
        <v>18</v>
      </c>
      <c r="K426" s="501" t="s">
        <v>385</v>
      </c>
      <c r="L426" s="502">
        <v>10</v>
      </c>
      <c r="M426" s="502">
        <v>10.66</v>
      </c>
      <c r="N426" s="500">
        <v>9.6500000000000002E-2</v>
      </c>
      <c r="O426" s="500">
        <v>9.1999999999999998E-2</v>
      </c>
      <c r="P426" s="500">
        <v>0.10249999999999999</v>
      </c>
      <c r="Q426" s="78">
        <v>0.44</v>
      </c>
      <c r="R426" s="78">
        <v>0.31740000000000002</v>
      </c>
      <c r="S426" s="69">
        <v>0</v>
      </c>
      <c r="T426" s="69">
        <v>0</v>
      </c>
      <c r="U426" s="500">
        <v>0.7</v>
      </c>
      <c r="V426" s="76">
        <v>0</v>
      </c>
      <c r="W426" s="76">
        <v>0</v>
      </c>
      <c r="X426" s="76"/>
    </row>
    <row r="427" spans="1:24" x14ac:dyDescent="0.25">
      <c r="A427" s="75" t="str">
        <f t="shared" si="12"/>
        <v>Pago_Hipoteca+Liquidez PFAE Wealth &amp; Premier Executive Pago_Fijo_Puntual 18</v>
      </c>
      <c r="B427" s="75" t="str">
        <f t="shared" si="13"/>
        <v>Pago_Hipoteca+Liquidez PFAE Wealth &amp; Premier Executive Pago_Fijo_Puntual 18 0.103</v>
      </c>
      <c r="C427" s="75" t="s">
        <v>174</v>
      </c>
      <c r="D427" s="75" t="s">
        <v>168</v>
      </c>
      <c r="E427" s="75" t="s">
        <v>175</v>
      </c>
      <c r="F427" s="75"/>
      <c r="G427" s="75"/>
      <c r="H427" s="75"/>
      <c r="I427" s="75" t="s">
        <v>171</v>
      </c>
      <c r="J427" s="501">
        <v>18</v>
      </c>
      <c r="K427" s="501" t="s">
        <v>386</v>
      </c>
      <c r="L427" s="502">
        <v>10.47</v>
      </c>
      <c r="M427" s="502">
        <v>11.13</v>
      </c>
      <c r="N427" s="500">
        <v>0.10299999999999999</v>
      </c>
      <c r="O427" s="500">
        <v>0.1</v>
      </c>
      <c r="P427" s="500">
        <v>0.112</v>
      </c>
      <c r="Q427" s="78">
        <v>0.44</v>
      </c>
      <c r="R427" s="78">
        <v>0.31740000000000002</v>
      </c>
      <c r="S427" s="69">
        <v>0</v>
      </c>
      <c r="T427" s="69">
        <v>0</v>
      </c>
      <c r="U427" s="500">
        <v>0.7</v>
      </c>
      <c r="V427" s="76">
        <v>0</v>
      </c>
      <c r="W427" s="76">
        <v>0</v>
      </c>
      <c r="X427" s="76"/>
    </row>
    <row r="428" spans="1:24" x14ac:dyDescent="0.25">
      <c r="A428" s="75" t="str">
        <f t="shared" si="12"/>
        <v>Pago_Hipoteca+Liquidez PFAE Wealth &amp; Premier Executive Pago_Fijo_Puntual 17</v>
      </c>
      <c r="B428" s="75" t="str">
        <f t="shared" si="13"/>
        <v>Pago_Hipoteca+Liquidez PFAE Wealth &amp; Premier Executive Pago_Fijo_Puntual 17 0.0965</v>
      </c>
      <c r="C428" s="75" t="s">
        <v>174</v>
      </c>
      <c r="D428" s="75" t="s">
        <v>168</v>
      </c>
      <c r="E428" s="75" t="s">
        <v>175</v>
      </c>
      <c r="F428" s="75"/>
      <c r="G428" s="75"/>
      <c r="H428" s="75"/>
      <c r="I428" s="75" t="s">
        <v>171</v>
      </c>
      <c r="J428" s="501">
        <v>17</v>
      </c>
      <c r="K428" s="501" t="s">
        <v>385</v>
      </c>
      <c r="L428" s="502">
        <v>10.210000000000001</v>
      </c>
      <c r="M428" s="502">
        <v>10.87</v>
      </c>
      <c r="N428" s="500">
        <v>9.6500000000000002E-2</v>
      </c>
      <c r="O428" s="500">
        <v>9.1999999999999998E-2</v>
      </c>
      <c r="P428" s="500">
        <v>0.10249999999999999</v>
      </c>
      <c r="Q428" s="78">
        <v>0.44</v>
      </c>
      <c r="R428" s="78">
        <v>0.31740000000000002</v>
      </c>
      <c r="S428" s="69">
        <v>0</v>
      </c>
      <c r="T428" s="69">
        <v>0</v>
      </c>
      <c r="U428" s="500">
        <v>0.7</v>
      </c>
      <c r="V428" s="76">
        <v>0</v>
      </c>
      <c r="W428" s="76">
        <v>0</v>
      </c>
      <c r="X428" s="76"/>
    </row>
    <row r="429" spans="1:24" x14ac:dyDescent="0.25">
      <c r="A429" s="75" t="str">
        <f t="shared" si="12"/>
        <v>Pago_Hipoteca+Liquidez PFAE Wealth &amp; Premier Executive Pago_Fijo_Puntual 17</v>
      </c>
      <c r="B429" s="75" t="str">
        <f t="shared" si="13"/>
        <v>Pago_Hipoteca+Liquidez PFAE Wealth &amp; Premier Executive Pago_Fijo_Puntual 17 0.103</v>
      </c>
      <c r="C429" s="75" t="s">
        <v>174</v>
      </c>
      <c r="D429" s="75" t="s">
        <v>168</v>
      </c>
      <c r="E429" s="75" t="s">
        <v>175</v>
      </c>
      <c r="F429" s="75"/>
      <c r="G429" s="75"/>
      <c r="H429" s="75"/>
      <c r="I429" s="75" t="s">
        <v>171</v>
      </c>
      <c r="J429" s="501">
        <v>17</v>
      </c>
      <c r="K429" s="501" t="s">
        <v>386</v>
      </c>
      <c r="L429" s="502">
        <v>10.67</v>
      </c>
      <c r="M429" s="502">
        <v>11.33</v>
      </c>
      <c r="N429" s="500">
        <v>0.10299999999999999</v>
      </c>
      <c r="O429" s="500">
        <v>0.1</v>
      </c>
      <c r="P429" s="500">
        <v>0.112</v>
      </c>
      <c r="Q429" s="78">
        <v>0.44</v>
      </c>
      <c r="R429" s="78">
        <v>0.31740000000000002</v>
      </c>
      <c r="S429" s="69">
        <v>0</v>
      </c>
      <c r="T429" s="69">
        <v>0</v>
      </c>
      <c r="U429" s="500">
        <v>0.7</v>
      </c>
      <c r="V429" s="76">
        <v>0</v>
      </c>
      <c r="W429" s="76">
        <v>0</v>
      </c>
      <c r="X429" s="76"/>
    </row>
    <row r="430" spans="1:24" x14ac:dyDescent="0.25">
      <c r="A430" s="75" t="str">
        <f t="shared" si="12"/>
        <v>Pago_Hipoteca+Liquidez PFAE Wealth &amp; Premier Executive Pago_Fijo_Puntual 16</v>
      </c>
      <c r="B430" s="75" t="str">
        <f t="shared" si="13"/>
        <v>Pago_Hipoteca+Liquidez PFAE Wealth &amp; Premier Executive Pago_Fijo_Puntual 16 0.0965</v>
      </c>
      <c r="C430" s="75" t="s">
        <v>174</v>
      </c>
      <c r="D430" s="75" t="s">
        <v>168</v>
      </c>
      <c r="E430" s="75" t="s">
        <v>175</v>
      </c>
      <c r="F430" s="75"/>
      <c r="G430" s="75"/>
      <c r="H430" s="75"/>
      <c r="I430" s="75" t="s">
        <v>171</v>
      </c>
      <c r="J430" s="501">
        <v>16</v>
      </c>
      <c r="K430" s="501" t="s">
        <v>385</v>
      </c>
      <c r="L430" s="502">
        <v>10.45</v>
      </c>
      <c r="M430" s="502">
        <v>11.11</v>
      </c>
      <c r="N430" s="500">
        <v>9.6500000000000002E-2</v>
      </c>
      <c r="O430" s="500">
        <v>9.1999999999999998E-2</v>
      </c>
      <c r="P430" s="500">
        <v>0.10249999999999999</v>
      </c>
      <c r="Q430" s="78">
        <v>0.44</v>
      </c>
      <c r="R430" s="78">
        <v>0.31740000000000002</v>
      </c>
      <c r="S430" s="69">
        <v>0</v>
      </c>
      <c r="T430" s="69">
        <v>0</v>
      </c>
      <c r="U430" s="500">
        <v>0.7</v>
      </c>
      <c r="V430" s="76">
        <v>0</v>
      </c>
      <c r="W430" s="76">
        <v>0</v>
      </c>
      <c r="X430" s="76"/>
    </row>
    <row r="431" spans="1:24" x14ac:dyDescent="0.25">
      <c r="A431" s="75" t="str">
        <f t="shared" si="12"/>
        <v>Pago_Hipoteca+Liquidez PFAE Wealth &amp; Premier Executive Pago_Fijo_Puntual 16</v>
      </c>
      <c r="B431" s="75" t="str">
        <f t="shared" si="13"/>
        <v>Pago_Hipoteca+Liquidez PFAE Wealth &amp; Premier Executive Pago_Fijo_Puntual 16 0.103</v>
      </c>
      <c r="C431" s="75" t="s">
        <v>174</v>
      </c>
      <c r="D431" s="75" t="s">
        <v>168</v>
      </c>
      <c r="E431" s="75" t="s">
        <v>175</v>
      </c>
      <c r="F431" s="75"/>
      <c r="G431" s="75"/>
      <c r="H431" s="75"/>
      <c r="I431" s="75" t="s">
        <v>171</v>
      </c>
      <c r="J431" s="501">
        <v>16</v>
      </c>
      <c r="K431" s="501" t="s">
        <v>386</v>
      </c>
      <c r="L431" s="502">
        <v>10.9</v>
      </c>
      <c r="M431" s="502">
        <v>11.56</v>
      </c>
      <c r="N431" s="500">
        <v>0.10299999999999999</v>
      </c>
      <c r="O431" s="500">
        <v>0.1</v>
      </c>
      <c r="P431" s="500">
        <v>0.112</v>
      </c>
      <c r="Q431" s="78">
        <v>0.44</v>
      </c>
      <c r="R431" s="78">
        <v>0.31740000000000002</v>
      </c>
      <c r="S431" s="69">
        <v>0</v>
      </c>
      <c r="T431" s="69">
        <v>0</v>
      </c>
      <c r="U431" s="500">
        <v>0.7</v>
      </c>
      <c r="V431" s="76">
        <v>0</v>
      </c>
      <c r="W431" s="76">
        <v>0</v>
      </c>
      <c r="X431" s="76"/>
    </row>
    <row r="432" spans="1:24" x14ac:dyDescent="0.25">
      <c r="A432" s="75" t="str">
        <f t="shared" si="12"/>
        <v>Pago_Hipoteca+Liquidez PFAE Wealth &amp; Premier Executive Pago_Fijo_Puntual 15</v>
      </c>
      <c r="B432" s="75" t="str">
        <f t="shared" si="13"/>
        <v>Pago_Hipoteca+Liquidez PFAE Wealth &amp; Premier Executive Pago_Fijo_Puntual 15 0.0965</v>
      </c>
      <c r="C432" s="75" t="s">
        <v>174</v>
      </c>
      <c r="D432" s="75" t="s">
        <v>168</v>
      </c>
      <c r="E432" s="75" t="s">
        <v>175</v>
      </c>
      <c r="F432" s="75"/>
      <c r="G432" s="75"/>
      <c r="H432" s="75"/>
      <c r="I432" s="75" t="s">
        <v>171</v>
      </c>
      <c r="J432" s="501">
        <v>15</v>
      </c>
      <c r="K432" s="501" t="s">
        <v>385</v>
      </c>
      <c r="L432" s="502">
        <v>10.73</v>
      </c>
      <c r="M432" s="502">
        <v>11.39</v>
      </c>
      <c r="N432" s="500">
        <v>9.6500000000000002E-2</v>
      </c>
      <c r="O432" s="500">
        <v>9.1999999999999998E-2</v>
      </c>
      <c r="P432" s="500">
        <v>0.10249999999999999</v>
      </c>
      <c r="Q432" s="78">
        <v>0.44</v>
      </c>
      <c r="R432" s="78">
        <v>0.31740000000000002</v>
      </c>
      <c r="S432" s="69">
        <v>0</v>
      </c>
      <c r="T432" s="69">
        <v>0</v>
      </c>
      <c r="U432" s="500">
        <v>0.7</v>
      </c>
      <c r="V432" s="76">
        <v>0</v>
      </c>
      <c r="W432" s="76">
        <v>0</v>
      </c>
      <c r="X432" s="76"/>
    </row>
    <row r="433" spans="1:24" x14ac:dyDescent="0.25">
      <c r="A433" s="75" t="str">
        <f t="shared" si="12"/>
        <v>Pago_Hipoteca+Liquidez PFAE Wealth &amp; Premier Executive Pago_Fijo_Puntual 15</v>
      </c>
      <c r="B433" s="75" t="str">
        <f t="shared" si="13"/>
        <v>Pago_Hipoteca+Liquidez PFAE Wealth &amp; Premier Executive Pago_Fijo_Puntual 15 0.103</v>
      </c>
      <c r="C433" s="75" t="s">
        <v>174</v>
      </c>
      <c r="D433" s="75" t="s">
        <v>168</v>
      </c>
      <c r="E433" s="75" t="s">
        <v>175</v>
      </c>
      <c r="F433" s="75"/>
      <c r="G433" s="75"/>
      <c r="H433" s="75"/>
      <c r="I433" s="75" t="s">
        <v>171</v>
      </c>
      <c r="J433" s="501">
        <v>15</v>
      </c>
      <c r="K433" s="501" t="s">
        <v>386</v>
      </c>
      <c r="L433" s="502">
        <v>11.18</v>
      </c>
      <c r="M433" s="502">
        <v>11.84</v>
      </c>
      <c r="N433" s="500">
        <v>0.10299999999999999</v>
      </c>
      <c r="O433" s="500">
        <v>0.1</v>
      </c>
      <c r="P433" s="500">
        <v>0.112</v>
      </c>
      <c r="Q433" s="78">
        <v>0.44</v>
      </c>
      <c r="R433" s="78">
        <v>0.31740000000000002</v>
      </c>
      <c r="S433" s="69">
        <v>0</v>
      </c>
      <c r="T433" s="69">
        <v>0</v>
      </c>
      <c r="U433" s="500">
        <v>0.7</v>
      </c>
      <c r="V433" s="76">
        <v>0</v>
      </c>
      <c r="W433" s="76">
        <v>0</v>
      </c>
      <c r="X433" s="76"/>
    </row>
    <row r="434" spans="1:24" x14ac:dyDescent="0.25">
      <c r="A434" s="75" t="str">
        <f t="shared" si="12"/>
        <v>Pago_Hipoteca+Liquidez PFAE Wealth &amp; Premier Executive Pago_Fijo_Puntual 14</v>
      </c>
      <c r="B434" s="75" t="str">
        <f t="shared" si="13"/>
        <v>Pago_Hipoteca+Liquidez PFAE Wealth &amp; Premier Executive Pago_Fijo_Puntual 14 0.0965</v>
      </c>
      <c r="C434" s="75" t="s">
        <v>174</v>
      </c>
      <c r="D434" s="75" t="s">
        <v>168</v>
      </c>
      <c r="E434" s="75" t="s">
        <v>175</v>
      </c>
      <c r="F434" s="75"/>
      <c r="G434" s="75"/>
      <c r="H434" s="75"/>
      <c r="I434" s="75" t="s">
        <v>171</v>
      </c>
      <c r="J434" s="501">
        <v>14</v>
      </c>
      <c r="K434" s="501" t="s">
        <v>385</v>
      </c>
      <c r="L434" s="502">
        <v>11.06</v>
      </c>
      <c r="M434" s="502">
        <v>11.72</v>
      </c>
      <c r="N434" s="500">
        <v>9.6500000000000002E-2</v>
      </c>
      <c r="O434" s="500">
        <v>9.1999999999999998E-2</v>
      </c>
      <c r="P434" s="500">
        <v>0.10249999999999999</v>
      </c>
      <c r="Q434" s="78">
        <v>0.44</v>
      </c>
      <c r="R434" s="78">
        <v>0.31740000000000002</v>
      </c>
      <c r="S434" s="69">
        <v>0</v>
      </c>
      <c r="T434" s="69">
        <v>0</v>
      </c>
      <c r="U434" s="500">
        <v>0.7</v>
      </c>
      <c r="V434" s="76">
        <v>0</v>
      </c>
      <c r="W434" s="76">
        <v>0</v>
      </c>
      <c r="X434" s="76"/>
    </row>
    <row r="435" spans="1:24" x14ac:dyDescent="0.25">
      <c r="A435" s="75" t="str">
        <f t="shared" si="12"/>
        <v>Pago_Hipoteca+Liquidez PFAE Wealth &amp; Premier Executive Pago_Fijo_Puntual 14</v>
      </c>
      <c r="B435" s="75" t="str">
        <f t="shared" si="13"/>
        <v>Pago_Hipoteca+Liquidez PFAE Wealth &amp; Premier Executive Pago_Fijo_Puntual 14 0.103</v>
      </c>
      <c r="C435" s="75" t="s">
        <v>174</v>
      </c>
      <c r="D435" s="75" t="s">
        <v>168</v>
      </c>
      <c r="E435" s="75" t="s">
        <v>175</v>
      </c>
      <c r="F435" s="75"/>
      <c r="G435" s="75"/>
      <c r="H435" s="75"/>
      <c r="I435" s="75" t="s">
        <v>171</v>
      </c>
      <c r="J435" s="501">
        <v>14</v>
      </c>
      <c r="K435" s="501" t="s">
        <v>386</v>
      </c>
      <c r="L435" s="502">
        <v>11.49</v>
      </c>
      <c r="M435" s="502">
        <v>12.15</v>
      </c>
      <c r="N435" s="500">
        <v>0.10299999999999999</v>
      </c>
      <c r="O435" s="500">
        <v>0.1</v>
      </c>
      <c r="P435" s="500">
        <v>0.112</v>
      </c>
      <c r="Q435" s="78">
        <v>0.44</v>
      </c>
      <c r="R435" s="78">
        <v>0.31740000000000002</v>
      </c>
      <c r="S435" s="69">
        <v>0</v>
      </c>
      <c r="T435" s="69">
        <v>0</v>
      </c>
      <c r="U435" s="500">
        <v>0.7</v>
      </c>
      <c r="V435" s="76">
        <v>0</v>
      </c>
      <c r="W435" s="76">
        <v>0</v>
      </c>
      <c r="X435" s="76"/>
    </row>
    <row r="436" spans="1:24" x14ac:dyDescent="0.25">
      <c r="A436" s="75" t="str">
        <f t="shared" si="12"/>
        <v>Pago_Hipoteca+Liquidez PFAE Wealth &amp; Premier Executive Pago_Fijo_Puntual 13</v>
      </c>
      <c r="B436" s="75" t="str">
        <f t="shared" si="13"/>
        <v>Pago_Hipoteca+Liquidez PFAE Wealth &amp; Premier Executive Pago_Fijo_Puntual 13 0.0965</v>
      </c>
      <c r="C436" s="75" t="s">
        <v>174</v>
      </c>
      <c r="D436" s="75" t="s">
        <v>168</v>
      </c>
      <c r="E436" s="75" t="s">
        <v>175</v>
      </c>
      <c r="F436" s="75"/>
      <c r="G436" s="75"/>
      <c r="H436" s="75"/>
      <c r="I436" s="75" t="s">
        <v>171</v>
      </c>
      <c r="J436" s="501">
        <v>13</v>
      </c>
      <c r="K436" s="501" t="s">
        <v>385</v>
      </c>
      <c r="L436" s="502">
        <v>11.45</v>
      </c>
      <c r="M436" s="502">
        <v>12.11</v>
      </c>
      <c r="N436" s="500">
        <v>9.6500000000000002E-2</v>
      </c>
      <c r="O436" s="500">
        <v>9.1999999999999998E-2</v>
      </c>
      <c r="P436" s="500">
        <v>0.10249999999999999</v>
      </c>
      <c r="Q436" s="78">
        <v>0.44</v>
      </c>
      <c r="R436" s="78">
        <v>0.31740000000000002</v>
      </c>
      <c r="S436" s="69">
        <v>0</v>
      </c>
      <c r="T436" s="69">
        <v>0</v>
      </c>
      <c r="U436" s="500">
        <v>0.7</v>
      </c>
      <c r="V436" s="76">
        <v>0</v>
      </c>
      <c r="W436" s="76">
        <v>0</v>
      </c>
      <c r="X436" s="76"/>
    </row>
    <row r="437" spans="1:24" x14ac:dyDescent="0.25">
      <c r="A437" s="75" t="str">
        <f t="shared" si="12"/>
        <v>Pago_Hipoteca+Liquidez PFAE Wealth &amp; Premier Executive Pago_Fijo_Puntual 13</v>
      </c>
      <c r="B437" s="75" t="str">
        <f t="shared" si="13"/>
        <v>Pago_Hipoteca+Liquidez PFAE Wealth &amp; Premier Executive Pago_Fijo_Puntual 13 0.103</v>
      </c>
      <c r="C437" s="75" t="s">
        <v>174</v>
      </c>
      <c r="D437" s="75" t="s">
        <v>168</v>
      </c>
      <c r="E437" s="75" t="s">
        <v>175</v>
      </c>
      <c r="F437" s="75"/>
      <c r="G437" s="75"/>
      <c r="H437" s="75"/>
      <c r="I437" s="75" t="s">
        <v>171</v>
      </c>
      <c r="J437" s="501">
        <v>13</v>
      </c>
      <c r="K437" s="501" t="s">
        <v>386</v>
      </c>
      <c r="L437" s="502">
        <v>11.86</v>
      </c>
      <c r="M437" s="502">
        <v>12.52</v>
      </c>
      <c r="N437" s="500">
        <v>0.10299999999999999</v>
      </c>
      <c r="O437" s="500">
        <v>0.1</v>
      </c>
      <c r="P437" s="500">
        <v>0.112</v>
      </c>
      <c r="Q437" s="78">
        <v>0.44</v>
      </c>
      <c r="R437" s="78">
        <v>0.31740000000000002</v>
      </c>
      <c r="S437" s="69">
        <v>0</v>
      </c>
      <c r="T437" s="69">
        <v>0</v>
      </c>
      <c r="U437" s="500">
        <v>0.7</v>
      </c>
      <c r="V437" s="76">
        <v>0</v>
      </c>
      <c r="W437" s="76">
        <v>0</v>
      </c>
      <c r="X437" s="76"/>
    </row>
    <row r="438" spans="1:24" x14ac:dyDescent="0.25">
      <c r="A438" s="75" t="str">
        <f t="shared" si="12"/>
        <v>Pago_Hipoteca+Liquidez PFAE Wealth &amp; Premier Executive Pago_Fijo_Puntual 12</v>
      </c>
      <c r="B438" s="75" t="str">
        <f t="shared" si="13"/>
        <v>Pago_Hipoteca+Liquidez PFAE Wealth &amp; Premier Executive Pago_Fijo_Puntual 12 0.0965</v>
      </c>
      <c r="C438" s="75" t="s">
        <v>174</v>
      </c>
      <c r="D438" s="75" t="s">
        <v>168</v>
      </c>
      <c r="E438" s="75" t="s">
        <v>175</v>
      </c>
      <c r="F438" s="75"/>
      <c r="G438" s="75"/>
      <c r="H438" s="75"/>
      <c r="I438" s="75" t="s">
        <v>171</v>
      </c>
      <c r="J438" s="501">
        <v>12</v>
      </c>
      <c r="K438" s="501" t="s">
        <v>385</v>
      </c>
      <c r="L438" s="502">
        <v>11.91</v>
      </c>
      <c r="M438" s="502">
        <v>12.57</v>
      </c>
      <c r="N438" s="500">
        <v>9.6500000000000002E-2</v>
      </c>
      <c r="O438" s="500">
        <v>9.1999999999999998E-2</v>
      </c>
      <c r="P438" s="500">
        <v>0.10249999999999999</v>
      </c>
      <c r="Q438" s="78">
        <v>0.44</v>
      </c>
      <c r="R438" s="78">
        <v>0.31740000000000002</v>
      </c>
      <c r="S438" s="69">
        <v>0</v>
      </c>
      <c r="T438" s="69">
        <v>0</v>
      </c>
      <c r="U438" s="500">
        <v>0.7</v>
      </c>
      <c r="V438" s="76">
        <v>0</v>
      </c>
      <c r="W438" s="76">
        <v>0</v>
      </c>
      <c r="X438" s="76"/>
    </row>
    <row r="439" spans="1:24" x14ac:dyDescent="0.25">
      <c r="A439" s="75" t="str">
        <f t="shared" si="12"/>
        <v>Pago_Hipoteca+Liquidez PFAE Wealth &amp; Premier Executive Pago_Fijo_Puntual 12</v>
      </c>
      <c r="B439" s="75" t="str">
        <f t="shared" si="13"/>
        <v>Pago_Hipoteca+Liquidez PFAE Wealth &amp; Premier Executive Pago_Fijo_Puntual 12 0.103</v>
      </c>
      <c r="C439" s="75" t="s">
        <v>174</v>
      </c>
      <c r="D439" s="75" t="s">
        <v>168</v>
      </c>
      <c r="E439" s="75" t="s">
        <v>175</v>
      </c>
      <c r="F439" s="75"/>
      <c r="G439" s="75"/>
      <c r="H439" s="75"/>
      <c r="I439" s="75" t="s">
        <v>171</v>
      </c>
      <c r="J439" s="501">
        <v>12</v>
      </c>
      <c r="K439" s="501" t="s">
        <v>386</v>
      </c>
      <c r="L439" s="502">
        <v>12.31</v>
      </c>
      <c r="M439" s="502">
        <v>12.97</v>
      </c>
      <c r="N439" s="500">
        <v>0.10299999999999999</v>
      </c>
      <c r="O439" s="500">
        <v>0.1</v>
      </c>
      <c r="P439" s="500">
        <v>0.112</v>
      </c>
      <c r="Q439" s="78">
        <v>0.44</v>
      </c>
      <c r="R439" s="78">
        <v>0.31740000000000002</v>
      </c>
      <c r="S439" s="69">
        <v>0</v>
      </c>
      <c r="T439" s="69">
        <v>0</v>
      </c>
      <c r="U439" s="500">
        <v>0.7</v>
      </c>
      <c r="V439" s="76">
        <v>0</v>
      </c>
      <c r="W439" s="76">
        <v>0</v>
      </c>
      <c r="X439" s="76"/>
    </row>
    <row r="440" spans="1:24" x14ac:dyDescent="0.25">
      <c r="A440" s="75" t="str">
        <f t="shared" si="12"/>
        <v>Pago_Hipoteca+Liquidez PFAE Wealth &amp; Premier Executive Pago_Fijo_Puntual 11</v>
      </c>
      <c r="B440" s="75" t="str">
        <f t="shared" si="13"/>
        <v>Pago_Hipoteca+Liquidez PFAE Wealth &amp; Premier Executive Pago_Fijo_Puntual 11 0.0965</v>
      </c>
      <c r="C440" s="75" t="s">
        <v>174</v>
      </c>
      <c r="D440" s="75" t="s">
        <v>168</v>
      </c>
      <c r="E440" s="75" t="s">
        <v>175</v>
      </c>
      <c r="F440" s="75"/>
      <c r="G440" s="75"/>
      <c r="H440" s="75"/>
      <c r="I440" s="75" t="s">
        <v>171</v>
      </c>
      <c r="J440" s="501">
        <v>11</v>
      </c>
      <c r="K440" s="501" t="s">
        <v>385</v>
      </c>
      <c r="L440" s="502">
        <v>12.47</v>
      </c>
      <c r="M440" s="502">
        <v>13.13</v>
      </c>
      <c r="N440" s="500">
        <v>9.6500000000000002E-2</v>
      </c>
      <c r="O440" s="500">
        <v>9.1999999999999998E-2</v>
      </c>
      <c r="P440" s="500">
        <v>0.10249999999999999</v>
      </c>
      <c r="Q440" s="78">
        <v>0.44</v>
      </c>
      <c r="R440" s="78">
        <v>0.31740000000000002</v>
      </c>
      <c r="S440" s="69">
        <v>0</v>
      </c>
      <c r="T440" s="69">
        <v>0</v>
      </c>
      <c r="U440" s="500">
        <v>0.7</v>
      </c>
      <c r="V440" s="76">
        <v>0</v>
      </c>
      <c r="W440" s="76">
        <v>0</v>
      </c>
      <c r="X440" s="76"/>
    </row>
    <row r="441" spans="1:24" x14ac:dyDescent="0.25">
      <c r="A441" s="75" t="str">
        <f t="shared" si="12"/>
        <v>Pago_Hipoteca+Liquidez PFAE Wealth &amp; Premier Executive Pago_Fijo_Puntual 11</v>
      </c>
      <c r="B441" s="75" t="str">
        <f t="shared" si="13"/>
        <v>Pago_Hipoteca+Liquidez PFAE Wealth &amp; Premier Executive Pago_Fijo_Puntual 11 0.103</v>
      </c>
      <c r="C441" s="75" t="s">
        <v>174</v>
      </c>
      <c r="D441" s="75" t="s">
        <v>168</v>
      </c>
      <c r="E441" s="75" t="s">
        <v>175</v>
      </c>
      <c r="F441" s="75"/>
      <c r="G441" s="75"/>
      <c r="H441" s="75"/>
      <c r="I441" s="75" t="s">
        <v>171</v>
      </c>
      <c r="J441" s="501">
        <v>11</v>
      </c>
      <c r="K441" s="501" t="s">
        <v>386</v>
      </c>
      <c r="L441" s="502">
        <v>12.86</v>
      </c>
      <c r="M441" s="502">
        <v>13.52</v>
      </c>
      <c r="N441" s="500">
        <v>0.10299999999999999</v>
      </c>
      <c r="O441" s="500">
        <v>0.1</v>
      </c>
      <c r="P441" s="500">
        <v>0.112</v>
      </c>
      <c r="Q441" s="78">
        <v>0.44</v>
      </c>
      <c r="R441" s="78">
        <v>0.31740000000000002</v>
      </c>
      <c r="S441" s="69">
        <v>0</v>
      </c>
      <c r="T441" s="69">
        <v>0</v>
      </c>
      <c r="U441" s="500">
        <v>0.7</v>
      </c>
      <c r="V441" s="76">
        <v>0</v>
      </c>
      <c r="W441" s="76">
        <v>0</v>
      </c>
      <c r="X441" s="76"/>
    </row>
    <row r="442" spans="1:24" x14ac:dyDescent="0.25">
      <c r="A442" s="75" t="str">
        <f t="shared" si="12"/>
        <v>Pago_Hipoteca+Liquidez PFAE Wealth &amp; Premier Executive Pago_Fijo_Puntual 10</v>
      </c>
      <c r="B442" s="75" t="str">
        <f t="shared" si="13"/>
        <v>Pago_Hipoteca+Liquidez PFAE Wealth &amp; Premier Executive Pago_Fijo_Puntual 10 0.0965</v>
      </c>
      <c r="C442" s="75" t="s">
        <v>174</v>
      </c>
      <c r="D442" s="75" t="s">
        <v>168</v>
      </c>
      <c r="E442" s="75" t="s">
        <v>175</v>
      </c>
      <c r="F442" s="75"/>
      <c r="G442" s="75"/>
      <c r="H442" s="75"/>
      <c r="I442" s="75" t="s">
        <v>171</v>
      </c>
      <c r="J442" s="501">
        <v>10</v>
      </c>
      <c r="K442" s="501" t="s">
        <v>385</v>
      </c>
      <c r="L442" s="502">
        <v>13.16</v>
      </c>
      <c r="M442" s="502">
        <v>13.82</v>
      </c>
      <c r="N442" s="500">
        <v>9.6500000000000002E-2</v>
      </c>
      <c r="O442" s="500">
        <v>9.1999999999999998E-2</v>
      </c>
      <c r="P442" s="500">
        <v>0.10249999999999999</v>
      </c>
      <c r="Q442" s="78">
        <v>0.44</v>
      </c>
      <c r="R442" s="78">
        <v>0.31740000000000002</v>
      </c>
      <c r="S442" s="69">
        <v>0</v>
      </c>
      <c r="T442" s="69">
        <v>0</v>
      </c>
      <c r="U442" s="500">
        <v>0.7</v>
      </c>
      <c r="V442" s="76">
        <v>0</v>
      </c>
      <c r="W442" s="76">
        <v>0</v>
      </c>
      <c r="X442" s="76"/>
    </row>
    <row r="443" spans="1:24" x14ac:dyDescent="0.25">
      <c r="A443" s="75" t="str">
        <f t="shared" si="12"/>
        <v>Pago_Hipoteca+Liquidez PFAE Wealth &amp; Premier Executive Pago_Fijo_Puntual 10</v>
      </c>
      <c r="B443" s="75" t="str">
        <f t="shared" si="13"/>
        <v>Pago_Hipoteca+Liquidez PFAE Wealth &amp; Premier Executive Pago_Fijo_Puntual 10 0.103</v>
      </c>
      <c r="C443" s="75" t="s">
        <v>174</v>
      </c>
      <c r="D443" s="75" t="s">
        <v>168</v>
      </c>
      <c r="E443" s="75" t="s">
        <v>175</v>
      </c>
      <c r="F443" s="75"/>
      <c r="G443" s="75"/>
      <c r="H443" s="75"/>
      <c r="I443" s="75" t="s">
        <v>171</v>
      </c>
      <c r="J443" s="501">
        <v>10</v>
      </c>
      <c r="K443" s="501" t="s">
        <v>386</v>
      </c>
      <c r="L443" s="502">
        <v>13.54</v>
      </c>
      <c r="M443" s="502">
        <v>14.2</v>
      </c>
      <c r="N443" s="500">
        <v>0.10299999999999999</v>
      </c>
      <c r="O443" s="500">
        <v>0.1</v>
      </c>
      <c r="P443" s="500">
        <v>0.112</v>
      </c>
      <c r="Q443" s="78">
        <v>0.44</v>
      </c>
      <c r="R443" s="78">
        <v>0.31740000000000002</v>
      </c>
      <c r="S443" s="69">
        <v>0</v>
      </c>
      <c r="T443" s="69">
        <v>0</v>
      </c>
      <c r="U443" s="500">
        <v>0.7</v>
      </c>
      <c r="V443" s="76">
        <v>0</v>
      </c>
      <c r="W443" s="76">
        <v>0</v>
      </c>
      <c r="X443" s="76"/>
    </row>
    <row r="444" spans="1:24" x14ac:dyDescent="0.25">
      <c r="A444" s="75" t="str">
        <f t="shared" si="12"/>
        <v>Pago_Hipoteca+Liquidez PFAE Wealth &amp; Premier Executive Pago_Fijo_Puntual 9</v>
      </c>
      <c r="B444" s="75" t="str">
        <f t="shared" si="13"/>
        <v>Pago_Hipoteca+Liquidez PFAE Wealth &amp; Premier Executive Pago_Fijo_Puntual 9 0.0965</v>
      </c>
      <c r="C444" s="75" t="s">
        <v>174</v>
      </c>
      <c r="D444" s="75" t="s">
        <v>168</v>
      </c>
      <c r="E444" s="75" t="s">
        <v>175</v>
      </c>
      <c r="F444" s="75"/>
      <c r="G444" s="75"/>
      <c r="H444" s="75"/>
      <c r="I444" s="75" t="s">
        <v>171</v>
      </c>
      <c r="J444" s="501">
        <v>9</v>
      </c>
      <c r="K444" s="501" t="s">
        <v>385</v>
      </c>
      <c r="L444" s="502">
        <v>14.01</v>
      </c>
      <c r="M444" s="502">
        <v>14.67</v>
      </c>
      <c r="N444" s="500">
        <v>9.6500000000000002E-2</v>
      </c>
      <c r="O444" s="500">
        <v>9.1999999999999998E-2</v>
      </c>
      <c r="P444" s="500">
        <v>0.10249999999999999</v>
      </c>
      <c r="Q444" s="78">
        <v>0.44</v>
      </c>
      <c r="R444" s="78">
        <v>0.31740000000000002</v>
      </c>
      <c r="S444" s="69">
        <v>0</v>
      </c>
      <c r="T444" s="69">
        <v>0</v>
      </c>
      <c r="U444" s="500">
        <v>0.7</v>
      </c>
      <c r="V444" s="76">
        <v>0</v>
      </c>
      <c r="W444" s="76">
        <v>0</v>
      </c>
      <c r="X444" s="76"/>
    </row>
    <row r="445" spans="1:24" x14ac:dyDescent="0.25">
      <c r="A445" s="75" t="str">
        <f t="shared" si="12"/>
        <v>Pago_Hipoteca+Liquidez PFAE Wealth &amp; Premier Executive Pago_Fijo_Puntual 9</v>
      </c>
      <c r="B445" s="75" t="str">
        <f t="shared" si="13"/>
        <v>Pago_Hipoteca+Liquidez PFAE Wealth &amp; Premier Executive Pago_Fijo_Puntual 9 0.103</v>
      </c>
      <c r="C445" s="75" t="s">
        <v>174</v>
      </c>
      <c r="D445" s="75" t="s">
        <v>168</v>
      </c>
      <c r="E445" s="75" t="s">
        <v>175</v>
      </c>
      <c r="F445" s="75"/>
      <c r="G445" s="75"/>
      <c r="H445" s="75"/>
      <c r="I445" s="75" t="s">
        <v>171</v>
      </c>
      <c r="J445" s="501">
        <v>9</v>
      </c>
      <c r="K445" s="501" t="s">
        <v>386</v>
      </c>
      <c r="L445" s="502">
        <v>14.37</v>
      </c>
      <c r="M445" s="502">
        <v>15.03</v>
      </c>
      <c r="N445" s="500">
        <v>0.10299999999999999</v>
      </c>
      <c r="O445" s="500">
        <v>0.1</v>
      </c>
      <c r="P445" s="500">
        <v>0.112</v>
      </c>
      <c r="Q445" s="78">
        <v>0.44</v>
      </c>
      <c r="R445" s="78">
        <v>0.31740000000000002</v>
      </c>
      <c r="S445" s="69">
        <v>0</v>
      </c>
      <c r="T445" s="69">
        <v>0</v>
      </c>
      <c r="U445" s="500">
        <v>0.7</v>
      </c>
      <c r="V445" s="76">
        <v>0</v>
      </c>
      <c r="W445" s="76">
        <v>0</v>
      </c>
      <c r="X445" s="76"/>
    </row>
    <row r="446" spans="1:24" x14ac:dyDescent="0.25">
      <c r="A446" s="75" t="str">
        <f t="shared" si="12"/>
        <v>Pago_Hipoteca+Liquidez PFAE Wealth &amp; Premier Executive Pago_Fijo_Puntual 8</v>
      </c>
      <c r="B446" s="75" t="str">
        <f t="shared" si="13"/>
        <v>Pago_Hipoteca+Liquidez PFAE Wealth &amp; Premier Executive Pago_Fijo_Puntual 8 0.0965</v>
      </c>
      <c r="C446" s="75" t="s">
        <v>174</v>
      </c>
      <c r="D446" s="75" t="s">
        <v>168</v>
      </c>
      <c r="E446" s="75" t="s">
        <v>175</v>
      </c>
      <c r="F446" s="75"/>
      <c r="G446" s="75"/>
      <c r="H446" s="75"/>
      <c r="I446" s="75" t="s">
        <v>171</v>
      </c>
      <c r="J446" s="501">
        <v>8</v>
      </c>
      <c r="K446" s="501" t="s">
        <v>385</v>
      </c>
      <c r="L446" s="502">
        <v>15.09</v>
      </c>
      <c r="M446" s="502">
        <v>15.75</v>
      </c>
      <c r="N446" s="500">
        <v>9.6500000000000002E-2</v>
      </c>
      <c r="O446" s="500">
        <v>9.1999999999999998E-2</v>
      </c>
      <c r="P446" s="500">
        <v>0.10249999999999999</v>
      </c>
      <c r="Q446" s="78">
        <v>0.44</v>
      </c>
      <c r="R446" s="78">
        <v>0.31740000000000002</v>
      </c>
      <c r="S446" s="69">
        <v>0</v>
      </c>
      <c r="T446" s="69">
        <v>0</v>
      </c>
      <c r="U446" s="500">
        <v>0.7</v>
      </c>
      <c r="V446" s="76">
        <v>0</v>
      </c>
      <c r="W446" s="76">
        <v>0</v>
      </c>
      <c r="X446" s="76"/>
    </row>
    <row r="447" spans="1:24" x14ac:dyDescent="0.25">
      <c r="A447" s="75" t="str">
        <f t="shared" si="12"/>
        <v>Pago_Hipoteca+Liquidez PFAE Wealth &amp; Premier Executive Pago_Fijo_Puntual 8</v>
      </c>
      <c r="B447" s="75" t="str">
        <f t="shared" si="13"/>
        <v>Pago_Hipoteca+Liquidez PFAE Wealth &amp; Premier Executive Pago_Fijo_Puntual 8 0.103</v>
      </c>
      <c r="C447" s="75" t="s">
        <v>174</v>
      </c>
      <c r="D447" s="75" t="s">
        <v>168</v>
      </c>
      <c r="E447" s="75" t="s">
        <v>175</v>
      </c>
      <c r="F447" s="75"/>
      <c r="G447" s="75"/>
      <c r="H447" s="75"/>
      <c r="I447" s="75" t="s">
        <v>171</v>
      </c>
      <c r="J447" s="501">
        <v>8</v>
      </c>
      <c r="K447" s="501" t="s">
        <v>386</v>
      </c>
      <c r="L447" s="502">
        <v>15.44</v>
      </c>
      <c r="M447" s="502">
        <v>16.100000000000001</v>
      </c>
      <c r="N447" s="500">
        <v>0.10299999999999999</v>
      </c>
      <c r="O447" s="500">
        <v>0.1</v>
      </c>
      <c r="P447" s="500">
        <v>0.112</v>
      </c>
      <c r="Q447" s="78">
        <v>0.44</v>
      </c>
      <c r="R447" s="78">
        <v>0.31740000000000002</v>
      </c>
      <c r="S447" s="69">
        <v>0</v>
      </c>
      <c r="T447" s="69">
        <v>0</v>
      </c>
      <c r="U447" s="500">
        <v>0.7</v>
      </c>
      <c r="V447" s="76">
        <v>0</v>
      </c>
      <c r="W447" s="76">
        <v>0</v>
      </c>
      <c r="X447" s="76"/>
    </row>
    <row r="448" spans="1:24" x14ac:dyDescent="0.25">
      <c r="A448" s="75" t="str">
        <f t="shared" si="12"/>
        <v>Pago_Hipoteca+Liquidez PFAE Wealth &amp; Premier Executive Pago_Fijo_Puntual 7</v>
      </c>
      <c r="B448" s="75" t="str">
        <f t="shared" si="13"/>
        <v>Pago_Hipoteca+Liquidez PFAE Wealth &amp; Premier Executive Pago_Fijo_Puntual 7 0.0965</v>
      </c>
      <c r="C448" s="75" t="s">
        <v>174</v>
      </c>
      <c r="D448" s="75" t="s">
        <v>168</v>
      </c>
      <c r="E448" s="75" t="s">
        <v>175</v>
      </c>
      <c r="F448" s="75"/>
      <c r="G448" s="75"/>
      <c r="H448" s="75"/>
      <c r="I448" s="75" t="s">
        <v>171</v>
      </c>
      <c r="J448" s="501">
        <v>7</v>
      </c>
      <c r="K448" s="501" t="s">
        <v>385</v>
      </c>
      <c r="L448" s="502">
        <v>16.5</v>
      </c>
      <c r="M448" s="502">
        <v>17.16</v>
      </c>
      <c r="N448" s="500">
        <v>9.6500000000000002E-2</v>
      </c>
      <c r="O448" s="500">
        <v>9.1999999999999998E-2</v>
      </c>
      <c r="P448" s="500">
        <v>0.10249999999999999</v>
      </c>
      <c r="Q448" s="78">
        <v>0.44</v>
      </c>
      <c r="R448" s="78">
        <v>0.31740000000000002</v>
      </c>
      <c r="S448" s="69">
        <v>0</v>
      </c>
      <c r="T448" s="69">
        <v>0</v>
      </c>
      <c r="U448" s="500">
        <v>0.7</v>
      </c>
      <c r="V448" s="76">
        <v>0</v>
      </c>
      <c r="W448" s="76">
        <v>0</v>
      </c>
      <c r="X448" s="76"/>
    </row>
    <row r="449" spans="1:24" x14ac:dyDescent="0.25">
      <c r="A449" s="75" t="str">
        <f t="shared" si="12"/>
        <v>Pago_Hipoteca+Liquidez PFAE Wealth &amp; Premier Executive Pago_Fijo_Puntual 7</v>
      </c>
      <c r="B449" s="75" t="str">
        <f t="shared" si="13"/>
        <v>Pago_Hipoteca+Liquidez PFAE Wealth &amp; Premier Executive Pago_Fijo_Puntual 7 0.103</v>
      </c>
      <c r="C449" s="75" t="s">
        <v>174</v>
      </c>
      <c r="D449" s="75" t="s">
        <v>168</v>
      </c>
      <c r="E449" s="75" t="s">
        <v>175</v>
      </c>
      <c r="F449" s="75"/>
      <c r="G449" s="75"/>
      <c r="H449" s="75"/>
      <c r="I449" s="75" t="s">
        <v>171</v>
      </c>
      <c r="J449" s="501">
        <v>7</v>
      </c>
      <c r="K449" s="501" t="s">
        <v>386</v>
      </c>
      <c r="L449" s="502">
        <v>16.84</v>
      </c>
      <c r="M449" s="502">
        <v>17.5</v>
      </c>
      <c r="N449" s="500">
        <v>0.10299999999999999</v>
      </c>
      <c r="O449" s="500">
        <v>0.1</v>
      </c>
      <c r="P449" s="500">
        <v>0.112</v>
      </c>
      <c r="Q449" s="78">
        <v>0.44</v>
      </c>
      <c r="R449" s="78">
        <v>0.31740000000000002</v>
      </c>
      <c r="S449" s="69">
        <v>0</v>
      </c>
      <c r="T449" s="69">
        <v>0</v>
      </c>
      <c r="U449" s="500">
        <v>0.7</v>
      </c>
      <c r="V449" s="76">
        <v>0</v>
      </c>
      <c r="W449" s="76">
        <v>0</v>
      </c>
      <c r="X449" s="76"/>
    </row>
    <row r="450" spans="1:24" x14ac:dyDescent="0.25">
      <c r="A450" s="75" t="str">
        <f t="shared" ref="A450:A513" si="14">TRIM(CONCATENATE(C450," ",D450," ",E450," ",F450," ",G450," ",I450," ",X450," ",J450))</f>
        <v>Pago_Hipoteca+Liquidez PFAE Wealth &amp; Premier Executive Pago_Fijo_Puntual 6</v>
      </c>
      <c r="B450" s="75" t="str">
        <f t="shared" ref="B450:B513" si="15">CONCATENATE(A450," ",N450)</f>
        <v>Pago_Hipoteca+Liquidez PFAE Wealth &amp; Premier Executive Pago_Fijo_Puntual 6 0.0965</v>
      </c>
      <c r="C450" s="75" t="s">
        <v>174</v>
      </c>
      <c r="D450" s="75" t="s">
        <v>168</v>
      </c>
      <c r="E450" s="75" t="s">
        <v>175</v>
      </c>
      <c r="F450" s="75"/>
      <c r="G450" s="75"/>
      <c r="H450" s="75"/>
      <c r="I450" s="75" t="s">
        <v>171</v>
      </c>
      <c r="J450" s="501">
        <v>6</v>
      </c>
      <c r="K450" s="501" t="s">
        <v>385</v>
      </c>
      <c r="L450" s="502">
        <v>18.41</v>
      </c>
      <c r="M450" s="502">
        <v>19.07</v>
      </c>
      <c r="N450" s="500">
        <v>9.6500000000000002E-2</v>
      </c>
      <c r="O450" s="500">
        <v>9.1999999999999998E-2</v>
      </c>
      <c r="P450" s="500">
        <v>0.10249999999999999</v>
      </c>
      <c r="Q450" s="78">
        <v>0.44</v>
      </c>
      <c r="R450" s="78">
        <v>0.31740000000000002</v>
      </c>
      <c r="S450" s="69">
        <v>0</v>
      </c>
      <c r="T450" s="69">
        <v>0</v>
      </c>
      <c r="U450" s="500">
        <v>0.7</v>
      </c>
      <c r="V450" s="76">
        <v>0</v>
      </c>
      <c r="W450" s="76">
        <v>0</v>
      </c>
      <c r="X450" s="76"/>
    </row>
    <row r="451" spans="1:24" x14ac:dyDescent="0.25">
      <c r="A451" s="75" t="str">
        <f t="shared" si="14"/>
        <v>Pago_Hipoteca+Liquidez PFAE Wealth &amp; Premier Executive Pago_Fijo_Puntual 6</v>
      </c>
      <c r="B451" s="75" t="str">
        <f t="shared" si="15"/>
        <v>Pago_Hipoteca+Liquidez PFAE Wealth &amp; Premier Executive Pago_Fijo_Puntual 6 0.103</v>
      </c>
      <c r="C451" s="75" t="s">
        <v>174</v>
      </c>
      <c r="D451" s="75" t="s">
        <v>168</v>
      </c>
      <c r="E451" s="75" t="s">
        <v>175</v>
      </c>
      <c r="F451" s="75"/>
      <c r="G451" s="75"/>
      <c r="H451" s="75"/>
      <c r="I451" s="75" t="s">
        <v>171</v>
      </c>
      <c r="J451" s="501">
        <v>6</v>
      </c>
      <c r="K451" s="501" t="s">
        <v>386</v>
      </c>
      <c r="L451" s="502">
        <v>18.739999999999998</v>
      </c>
      <c r="M451" s="502">
        <v>19.399999999999999</v>
      </c>
      <c r="N451" s="500">
        <v>0.10299999999999999</v>
      </c>
      <c r="O451" s="500">
        <v>0.1</v>
      </c>
      <c r="P451" s="500">
        <v>0.112</v>
      </c>
      <c r="Q451" s="78">
        <v>0.44</v>
      </c>
      <c r="R451" s="78">
        <v>0.31740000000000002</v>
      </c>
      <c r="S451" s="69">
        <v>0</v>
      </c>
      <c r="T451" s="69">
        <v>0</v>
      </c>
      <c r="U451" s="500">
        <v>0.7</v>
      </c>
      <c r="V451" s="76">
        <v>0</v>
      </c>
      <c r="W451" s="76">
        <v>0</v>
      </c>
      <c r="X451" s="76"/>
    </row>
    <row r="452" spans="1:24" x14ac:dyDescent="0.25">
      <c r="A452" s="75" t="str">
        <f t="shared" si="14"/>
        <v>Pago_Hipoteca+Liquidez PFAE Wealth &amp; Premier Executive Pago_Fijo_Puntual 5</v>
      </c>
      <c r="B452" s="75" t="str">
        <f t="shared" si="15"/>
        <v>Pago_Hipoteca+Liquidez PFAE Wealth &amp; Premier Executive Pago_Fijo_Puntual 5 0.0965</v>
      </c>
      <c r="C452" s="75" t="s">
        <v>174</v>
      </c>
      <c r="D452" s="75" t="s">
        <v>168</v>
      </c>
      <c r="E452" s="75" t="s">
        <v>175</v>
      </c>
      <c r="F452" s="75"/>
      <c r="G452" s="75"/>
      <c r="H452" s="75"/>
      <c r="I452" s="75" t="s">
        <v>171</v>
      </c>
      <c r="J452" s="501">
        <v>5</v>
      </c>
      <c r="K452" s="501" t="s">
        <v>385</v>
      </c>
      <c r="L452" s="502">
        <v>21.12</v>
      </c>
      <c r="M452" s="502">
        <v>21.78</v>
      </c>
      <c r="N452" s="500">
        <v>9.6500000000000002E-2</v>
      </c>
      <c r="O452" s="500">
        <v>9.1999999999999998E-2</v>
      </c>
      <c r="P452" s="500">
        <v>0.10249999999999999</v>
      </c>
      <c r="Q452" s="78">
        <v>0.44</v>
      </c>
      <c r="R452" s="78">
        <v>0.31740000000000002</v>
      </c>
      <c r="S452" s="69">
        <v>0</v>
      </c>
      <c r="T452" s="69">
        <v>0</v>
      </c>
      <c r="U452" s="500">
        <v>0.7</v>
      </c>
      <c r="V452" s="76">
        <v>0</v>
      </c>
      <c r="W452" s="76">
        <v>0</v>
      </c>
      <c r="X452" s="76"/>
    </row>
    <row r="453" spans="1:24" x14ac:dyDescent="0.25">
      <c r="A453" s="75" t="str">
        <f t="shared" si="14"/>
        <v>Pago_Hipoteca+Liquidez PFAE Wealth &amp; Premier Executive Pago_Fijo_Puntual 5</v>
      </c>
      <c r="B453" s="75" t="str">
        <f t="shared" si="15"/>
        <v>Pago_Hipoteca+Liquidez PFAE Wealth &amp; Premier Executive Pago_Fijo_Puntual 5 0.103</v>
      </c>
      <c r="C453" s="75" t="s">
        <v>174</v>
      </c>
      <c r="D453" s="75" t="s">
        <v>168</v>
      </c>
      <c r="E453" s="75" t="s">
        <v>175</v>
      </c>
      <c r="F453" s="75"/>
      <c r="G453" s="75"/>
      <c r="H453" s="75"/>
      <c r="I453" s="75" t="s">
        <v>171</v>
      </c>
      <c r="J453" s="501">
        <v>5</v>
      </c>
      <c r="K453" s="501" t="s">
        <v>386</v>
      </c>
      <c r="L453" s="502">
        <v>21.44</v>
      </c>
      <c r="M453" s="502">
        <v>22.1</v>
      </c>
      <c r="N453" s="500">
        <v>0.10299999999999999</v>
      </c>
      <c r="O453" s="500">
        <v>0.1</v>
      </c>
      <c r="P453" s="500">
        <v>0.112</v>
      </c>
      <c r="Q453" s="78">
        <v>0.44</v>
      </c>
      <c r="R453" s="78">
        <v>0.31740000000000002</v>
      </c>
      <c r="S453" s="69">
        <v>0</v>
      </c>
      <c r="T453" s="69">
        <v>0</v>
      </c>
      <c r="U453" s="500">
        <v>0.7</v>
      </c>
      <c r="V453" s="76">
        <v>0</v>
      </c>
      <c r="W453" s="76">
        <v>0</v>
      </c>
      <c r="X453" s="76"/>
    </row>
    <row r="454" spans="1:24" x14ac:dyDescent="0.25">
      <c r="A454" s="75" t="str">
        <f t="shared" si="14"/>
        <v>Pago_Hipoteca+Liquidez PROF Wealth &amp; Premier Executive Pago_Fijo_Puntual 20</v>
      </c>
      <c r="B454" s="75" t="str">
        <f t="shared" si="15"/>
        <v>Pago_Hipoteca+Liquidez PROF Wealth &amp; Premier Executive Pago_Fijo_Puntual 20 0.0965</v>
      </c>
      <c r="C454" s="75" t="s">
        <v>174</v>
      </c>
      <c r="D454" s="75" t="s">
        <v>169</v>
      </c>
      <c r="E454" s="75" t="s">
        <v>175</v>
      </c>
      <c r="F454" s="75"/>
      <c r="G454" s="75"/>
      <c r="H454" s="75"/>
      <c r="I454" s="75" t="s">
        <v>171</v>
      </c>
      <c r="J454" s="501">
        <v>20</v>
      </c>
      <c r="K454" s="501" t="s">
        <v>385</v>
      </c>
      <c r="L454" s="502">
        <v>9.66</v>
      </c>
      <c r="M454" s="502">
        <v>10.32</v>
      </c>
      <c r="N454" s="500">
        <v>9.6500000000000002E-2</v>
      </c>
      <c r="O454" s="500">
        <v>9.1999999999999998E-2</v>
      </c>
      <c r="P454" s="500">
        <v>0.10249999999999999</v>
      </c>
      <c r="Q454" s="78">
        <v>0.44</v>
      </c>
      <c r="R454" s="78">
        <v>0.31740000000000002</v>
      </c>
      <c r="S454" s="69">
        <v>0</v>
      </c>
      <c r="T454" s="69">
        <v>0</v>
      </c>
      <c r="U454" s="500">
        <v>0.7</v>
      </c>
      <c r="V454" s="76">
        <v>0</v>
      </c>
      <c r="W454" s="76">
        <v>0</v>
      </c>
      <c r="X454" s="76"/>
    </row>
    <row r="455" spans="1:24" x14ac:dyDescent="0.25">
      <c r="A455" s="75" t="str">
        <f t="shared" si="14"/>
        <v>Pago_Hipoteca+Liquidez PROF Wealth &amp; Premier Executive Pago_Fijo_Puntual 20</v>
      </c>
      <c r="B455" s="75" t="str">
        <f t="shared" si="15"/>
        <v>Pago_Hipoteca+Liquidez PROF Wealth &amp; Premier Executive Pago_Fijo_Puntual 20 0.103</v>
      </c>
      <c r="C455" s="75" t="s">
        <v>174</v>
      </c>
      <c r="D455" s="75" t="s">
        <v>169</v>
      </c>
      <c r="E455" s="75" t="s">
        <v>175</v>
      </c>
      <c r="F455" s="75"/>
      <c r="G455" s="75"/>
      <c r="H455" s="75"/>
      <c r="I455" s="75" t="s">
        <v>171</v>
      </c>
      <c r="J455" s="501">
        <v>20</v>
      </c>
      <c r="K455" s="501" t="s">
        <v>386</v>
      </c>
      <c r="L455" s="502">
        <v>10.16</v>
      </c>
      <c r="M455" s="502">
        <v>10.82</v>
      </c>
      <c r="N455" s="500">
        <v>0.10299999999999999</v>
      </c>
      <c r="O455" s="500">
        <v>0.1</v>
      </c>
      <c r="P455" s="500">
        <v>0.112</v>
      </c>
      <c r="Q455" s="78">
        <v>0.44</v>
      </c>
      <c r="R455" s="78">
        <v>0.31740000000000002</v>
      </c>
      <c r="S455" s="69">
        <v>0</v>
      </c>
      <c r="T455" s="69">
        <v>0</v>
      </c>
      <c r="U455" s="500">
        <v>0.7</v>
      </c>
      <c r="V455" s="76">
        <v>0</v>
      </c>
      <c r="W455" s="76">
        <v>0</v>
      </c>
      <c r="X455" s="76"/>
    </row>
    <row r="456" spans="1:24" x14ac:dyDescent="0.25">
      <c r="A456" s="75" t="str">
        <f t="shared" si="14"/>
        <v>Pago_Hipoteca+Liquidez PROF Wealth &amp; Premier Executive Pago_Fijo_Puntual 19</v>
      </c>
      <c r="B456" s="75" t="str">
        <f t="shared" si="15"/>
        <v>Pago_Hipoteca+Liquidez PROF Wealth &amp; Premier Executive Pago_Fijo_Puntual 19 0.0965</v>
      </c>
      <c r="C456" s="75" t="s">
        <v>174</v>
      </c>
      <c r="D456" s="75" t="s">
        <v>169</v>
      </c>
      <c r="E456" s="75" t="s">
        <v>175</v>
      </c>
      <c r="F456" s="75"/>
      <c r="G456" s="75"/>
      <c r="H456" s="75"/>
      <c r="I456" s="75" t="s">
        <v>171</v>
      </c>
      <c r="J456" s="501">
        <v>19</v>
      </c>
      <c r="K456" s="501" t="s">
        <v>385</v>
      </c>
      <c r="L456" s="502">
        <v>9.82</v>
      </c>
      <c r="M456" s="502">
        <v>10.48</v>
      </c>
      <c r="N456" s="500">
        <v>9.6500000000000002E-2</v>
      </c>
      <c r="O456" s="500">
        <v>9.1999999999999998E-2</v>
      </c>
      <c r="P456" s="500">
        <v>0.10249999999999999</v>
      </c>
      <c r="Q456" s="78">
        <v>0.44</v>
      </c>
      <c r="R456" s="78">
        <v>0.31740000000000002</v>
      </c>
      <c r="S456" s="69">
        <v>0</v>
      </c>
      <c r="T456" s="69">
        <v>0</v>
      </c>
      <c r="U456" s="500">
        <v>0.7</v>
      </c>
      <c r="V456" s="76">
        <v>0</v>
      </c>
      <c r="W456" s="76">
        <v>0</v>
      </c>
      <c r="X456" s="76"/>
    </row>
    <row r="457" spans="1:24" x14ac:dyDescent="0.25">
      <c r="A457" s="75" t="str">
        <f t="shared" si="14"/>
        <v>Pago_Hipoteca+Liquidez PROF Wealth &amp; Premier Executive Pago_Fijo_Puntual 19</v>
      </c>
      <c r="B457" s="75" t="str">
        <f t="shared" si="15"/>
        <v>Pago_Hipoteca+Liquidez PROF Wealth &amp; Premier Executive Pago_Fijo_Puntual 19 0.103</v>
      </c>
      <c r="C457" s="75" t="s">
        <v>174</v>
      </c>
      <c r="D457" s="75" t="s">
        <v>169</v>
      </c>
      <c r="E457" s="75" t="s">
        <v>175</v>
      </c>
      <c r="F457" s="75"/>
      <c r="G457" s="75"/>
      <c r="H457" s="75"/>
      <c r="I457" s="75" t="s">
        <v>171</v>
      </c>
      <c r="J457" s="501">
        <v>19</v>
      </c>
      <c r="K457" s="501" t="s">
        <v>386</v>
      </c>
      <c r="L457" s="502">
        <v>10.3</v>
      </c>
      <c r="M457" s="502">
        <v>10.96</v>
      </c>
      <c r="N457" s="500">
        <v>0.10299999999999999</v>
      </c>
      <c r="O457" s="500">
        <v>0.1</v>
      </c>
      <c r="P457" s="500">
        <v>0.112</v>
      </c>
      <c r="Q457" s="78">
        <v>0.44</v>
      </c>
      <c r="R457" s="78">
        <v>0.31740000000000002</v>
      </c>
      <c r="S457" s="69">
        <v>0</v>
      </c>
      <c r="T457" s="69">
        <v>0</v>
      </c>
      <c r="U457" s="500">
        <v>0.7</v>
      </c>
      <c r="V457" s="76">
        <v>0</v>
      </c>
      <c r="W457" s="76">
        <v>0</v>
      </c>
      <c r="X457" s="76"/>
    </row>
    <row r="458" spans="1:24" x14ac:dyDescent="0.25">
      <c r="A458" s="75" t="str">
        <f t="shared" si="14"/>
        <v>Pago_Hipoteca+Liquidez PROF Wealth &amp; Premier Executive Pago_Fijo_Puntual 18</v>
      </c>
      <c r="B458" s="75" t="str">
        <f t="shared" si="15"/>
        <v>Pago_Hipoteca+Liquidez PROF Wealth &amp; Premier Executive Pago_Fijo_Puntual 18 0.0965</v>
      </c>
      <c r="C458" s="75" t="s">
        <v>174</v>
      </c>
      <c r="D458" s="75" t="s">
        <v>169</v>
      </c>
      <c r="E458" s="75" t="s">
        <v>175</v>
      </c>
      <c r="F458" s="75"/>
      <c r="G458" s="75"/>
      <c r="H458" s="75"/>
      <c r="I458" s="75" t="s">
        <v>171</v>
      </c>
      <c r="J458" s="501">
        <v>18</v>
      </c>
      <c r="K458" s="501" t="s">
        <v>385</v>
      </c>
      <c r="L458" s="502">
        <v>10</v>
      </c>
      <c r="M458" s="502">
        <v>10.66</v>
      </c>
      <c r="N458" s="500">
        <v>9.6500000000000002E-2</v>
      </c>
      <c r="O458" s="500">
        <v>9.1999999999999998E-2</v>
      </c>
      <c r="P458" s="500">
        <v>0.10249999999999999</v>
      </c>
      <c r="Q458" s="78">
        <v>0.44</v>
      </c>
      <c r="R458" s="78">
        <v>0.31740000000000002</v>
      </c>
      <c r="S458" s="69">
        <v>0</v>
      </c>
      <c r="T458" s="69">
        <v>0</v>
      </c>
      <c r="U458" s="500">
        <v>0.7</v>
      </c>
      <c r="V458" s="76">
        <v>0</v>
      </c>
      <c r="W458" s="76">
        <v>0</v>
      </c>
      <c r="X458" s="76"/>
    </row>
    <row r="459" spans="1:24" x14ac:dyDescent="0.25">
      <c r="A459" s="75" t="str">
        <f t="shared" si="14"/>
        <v>Pago_Hipoteca+Liquidez PROF Wealth &amp; Premier Executive Pago_Fijo_Puntual 18</v>
      </c>
      <c r="B459" s="75" t="str">
        <f t="shared" si="15"/>
        <v>Pago_Hipoteca+Liquidez PROF Wealth &amp; Premier Executive Pago_Fijo_Puntual 18 0.103</v>
      </c>
      <c r="C459" s="75" t="s">
        <v>174</v>
      </c>
      <c r="D459" s="75" t="s">
        <v>169</v>
      </c>
      <c r="E459" s="75" t="s">
        <v>175</v>
      </c>
      <c r="F459" s="75"/>
      <c r="G459" s="75"/>
      <c r="H459" s="75"/>
      <c r="I459" s="75" t="s">
        <v>171</v>
      </c>
      <c r="J459" s="501">
        <v>18</v>
      </c>
      <c r="K459" s="501" t="s">
        <v>386</v>
      </c>
      <c r="L459" s="502">
        <v>10.47</v>
      </c>
      <c r="M459" s="502">
        <v>11.13</v>
      </c>
      <c r="N459" s="500">
        <v>0.10299999999999999</v>
      </c>
      <c r="O459" s="500">
        <v>0.1</v>
      </c>
      <c r="P459" s="500">
        <v>0.112</v>
      </c>
      <c r="Q459" s="78">
        <v>0.44</v>
      </c>
      <c r="R459" s="78">
        <v>0.31740000000000002</v>
      </c>
      <c r="S459" s="69">
        <v>0</v>
      </c>
      <c r="T459" s="69">
        <v>0</v>
      </c>
      <c r="U459" s="500">
        <v>0.7</v>
      </c>
      <c r="V459" s="76">
        <v>0</v>
      </c>
      <c r="W459" s="76">
        <v>0</v>
      </c>
      <c r="X459" s="76"/>
    </row>
    <row r="460" spans="1:24" x14ac:dyDescent="0.25">
      <c r="A460" s="75" t="str">
        <f t="shared" si="14"/>
        <v>Pago_Hipoteca+Liquidez PROF Wealth &amp; Premier Executive Pago_Fijo_Puntual 17</v>
      </c>
      <c r="B460" s="75" t="str">
        <f t="shared" si="15"/>
        <v>Pago_Hipoteca+Liquidez PROF Wealth &amp; Premier Executive Pago_Fijo_Puntual 17 0.0965</v>
      </c>
      <c r="C460" s="75" t="s">
        <v>174</v>
      </c>
      <c r="D460" s="75" t="s">
        <v>169</v>
      </c>
      <c r="E460" s="75" t="s">
        <v>175</v>
      </c>
      <c r="F460" s="75"/>
      <c r="G460" s="75"/>
      <c r="H460" s="75"/>
      <c r="I460" s="75" t="s">
        <v>171</v>
      </c>
      <c r="J460" s="501">
        <v>17</v>
      </c>
      <c r="K460" s="501" t="s">
        <v>385</v>
      </c>
      <c r="L460" s="502">
        <v>10.210000000000001</v>
      </c>
      <c r="M460" s="502">
        <v>10.87</v>
      </c>
      <c r="N460" s="500">
        <v>9.6500000000000002E-2</v>
      </c>
      <c r="O460" s="500">
        <v>9.1999999999999998E-2</v>
      </c>
      <c r="P460" s="500">
        <v>0.10249999999999999</v>
      </c>
      <c r="Q460" s="78">
        <v>0.44</v>
      </c>
      <c r="R460" s="78">
        <v>0.31740000000000002</v>
      </c>
      <c r="S460" s="69">
        <v>0</v>
      </c>
      <c r="T460" s="69">
        <v>0</v>
      </c>
      <c r="U460" s="500">
        <v>0.7</v>
      </c>
      <c r="V460" s="76">
        <v>0</v>
      </c>
      <c r="W460" s="76">
        <v>0</v>
      </c>
      <c r="X460" s="76"/>
    </row>
    <row r="461" spans="1:24" x14ac:dyDescent="0.25">
      <c r="A461" s="75" t="str">
        <f t="shared" si="14"/>
        <v>Pago_Hipoteca+Liquidez PROF Wealth &amp; Premier Executive Pago_Fijo_Puntual 17</v>
      </c>
      <c r="B461" s="75" t="str">
        <f t="shared" si="15"/>
        <v>Pago_Hipoteca+Liquidez PROF Wealth &amp; Premier Executive Pago_Fijo_Puntual 17 0.103</v>
      </c>
      <c r="C461" s="75" t="s">
        <v>174</v>
      </c>
      <c r="D461" s="75" t="s">
        <v>169</v>
      </c>
      <c r="E461" s="75" t="s">
        <v>175</v>
      </c>
      <c r="F461" s="75"/>
      <c r="G461" s="75"/>
      <c r="H461" s="75"/>
      <c r="I461" s="75" t="s">
        <v>171</v>
      </c>
      <c r="J461" s="501">
        <v>17</v>
      </c>
      <c r="K461" s="501" t="s">
        <v>386</v>
      </c>
      <c r="L461" s="502">
        <v>10.67</v>
      </c>
      <c r="M461" s="502">
        <v>11.33</v>
      </c>
      <c r="N461" s="500">
        <v>0.10299999999999999</v>
      </c>
      <c r="O461" s="500">
        <v>0.1</v>
      </c>
      <c r="P461" s="500">
        <v>0.112</v>
      </c>
      <c r="Q461" s="78">
        <v>0.44</v>
      </c>
      <c r="R461" s="78">
        <v>0.31740000000000002</v>
      </c>
      <c r="S461" s="69">
        <v>0</v>
      </c>
      <c r="T461" s="69">
        <v>0</v>
      </c>
      <c r="U461" s="500">
        <v>0.7</v>
      </c>
      <c r="V461" s="76">
        <v>0</v>
      </c>
      <c r="W461" s="76">
        <v>0</v>
      </c>
      <c r="X461" s="76"/>
    </row>
    <row r="462" spans="1:24" x14ac:dyDescent="0.25">
      <c r="A462" s="75" t="str">
        <f t="shared" si="14"/>
        <v>Pago_Hipoteca+Liquidez PROF Wealth &amp; Premier Executive Pago_Fijo_Puntual 16</v>
      </c>
      <c r="B462" s="75" t="str">
        <f t="shared" si="15"/>
        <v>Pago_Hipoteca+Liquidez PROF Wealth &amp; Premier Executive Pago_Fijo_Puntual 16 0.0965</v>
      </c>
      <c r="C462" s="75" t="s">
        <v>174</v>
      </c>
      <c r="D462" s="75" t="s">
        <v>169</v>
      </c>
      <c r="E462" s="75" t="s">
        <v>175</v>
      </c>
      <c r="F462" s="75"/>
      <c r="G462" s="75"/>
      <c r="H462" s="75"/>
      <c r="I462" s="75" t="s">
        <v>171</v>
      </c>
      <c r="J462" s="501">
        <v>16</v>
      </c>
      <c r="K462" s="501" t="s">
        <v>385</v>
      </c>
      <c r="L462" s="502">
        <v>10.45</v>
      </c>
      <c r="M462" s="502">
        <v>11.11</v>
      </c>
      <c r="N462" s="500">
        <v>9.6500000000000002E-2</v>
      </c>
      <c r="O462" s="500">
        <v>9.1999999999999998E-2</v>
      </c>
      <c r="P462" s="500">
        <v>0.10249999999999999</v>
      </c>
      <c r="Q462" s="78">
        <v>0.44</v>
      </c>
      <c r="R462" s="78">
        <v>0.31740000000000002</v>
      </c>
      <c r="S462" s="69">
        <v>0</v>
      </c>
      <c r="T462" s="69">
        <v>0</v>
      </c>
      <c r="U462" s="500">
        <v>0.7</v>
      </c>
      <c r="V462" s="76">
        <v>0</v>
      </c>
      <c r="W462" s="76">
        <v>0</v>
      </c>
      <c r="X462" s="76"/>
    </row>
    <row r="463" spans="1:24" x14ac:dyDescent="0.25">
      <c r="A463" s="75" t="str">
        <f t="shared" si="14"/>
        <v>Pago_Hipoteca+Liquidez PROF Wealth &amp; Premier Executive Pago_Fijo_Puntual 16</v>
      </c>
      <c r="B463" s="75" t="str">
        <f t="shared" si="15"/>
        <v>Pago_Hipoteca+Liquidez PROF Wealth &amp; Premier Executive Pago_Fijo_Puntual 16 0.103</v>
      </c>
      <c r="C463" s="75" t="s">
        <v>174</v>
      </c>
      <c r="D463" s="75" t="s">
        <v>169</v>
      </c>
      <c r="E463" s="75" t="s">
        <v>175</v>
      </c>
      <c r="F463" s="75"/>
      <c r="G463" s="75"/>
      <c r="H463" s="75"/>
      <c r="I463" s="75" t="s">
        <v>171</v>
      </c>
      <c r="J463" s="501">
        <v>16</v>
      </c>
      <c r="K463" s="501" t="s">
        <v>386</v>
      </c>
      <c r="L463" s="502">
        <v>10.9</v>
      </c>
      <c r="M463" s="502">
        <v>11.56</v>
      </c>
      <c r="N463" s="500">
        <v>0.10299999999999999</v>
      </c>
      <c r="O463" s="500">
        <v>0.1</v>
      </c>
      <c r="P463" s="500">
        <v>0.112</v>
      </c>
      <c r="Q463" s="78">
        <v>0.44</v>
      </c>
      <c r="R463" s="78">
        <v>0.31740000000000002</v>
      </c>
      <c r="S463" s="69">
        <v>0</v>
      </c>
      <c r="T463" s="69">
        <v>0</v>
      </c>
      <c r="U463" s="500">
        <v>0.7</v>
      </c>
      <c r="V463" s="76">
        <v>0</v>
      </c>
      <c r="W463" s="76">
        <v>0</v>
      </c>
      <c r="X463" s="76"/>
    </row>
    <row r="464" spans="1:24" x14ac:dyDescent="0.25">
      <c r="A464" s="75" t="str">
        <f t="shared" si="14"/>
        <v>Pago_Hipoteca+Liquidez PROF Wealth &amp; Premier Executive Pago_Fijo_Puntual 15</v>
      </c>
      <c r="B464" s="75" t="str">
        <f t="shared" si="15"/>
        <v>Pago_Hipoteca+Liquidez PROF Wealth &amp; Premier Executive Pago_Fijo_Puntual 15 0.0965</v>
      </c>
      <c r="C464" s="75" t="s">
        <v>174</v>
      </c>
      <c r="D464" s="75" t="s">
        <v>169</v>
      </c>
      <c r="E464" s="75" t="s">
        <v>175</v>
      </c>
      <c r="F464" s="75"/>
      <c r="G464" s="75"/>
      <c r="H464" s="75"/>
      <c r="I464" s="75" t="s">
        <v>171</v>
      </c>
      <c r="J464" s="501">
        <v>15</v>
      </c>
      <c r="K464" s="501" t="s">
        <v>385</v>
      </c>
      <c r="L464" s="502">
        <v>10.73</v>
      </c>
      <c r="M464" s="502">
        <v>11.39</v>
      </c>
      <c r="N464" s="500">
        <v>9.6500000000000002E-2</v>
      </c>
      <c r="O464" s="500">
        <v>9.1999999999999998E-2</v>
      </c>
      <c r="P464" s="500">
        <v>0.10249999999999999</v>
      </c>
      <c r="Q464" s="78">
        <v>0.44</v>
      </c>
      <c r="R464" s="78">
        <v>0.31740000000000002</v>
      </c>
      <c r="S464" s="69">
        <v>0</v>
      </c>
      <c r="T464" s="69">
        <v>0</v>
      </c>
      <c r="U464" s="500">
        <v>0.7</v>
      </c>
      <c r="V464" s="76">
        <v>0</v>
      </c>
      <c r="W464" s="76">
        <v>0</v>
      </c>
      <c r="X464" s="76"/>
    </row>
    <row r="465" spans="1:24" x14ac:dyDescent="0.25">
      <c r="A465" s="75" t="str">
        <f t="shared" si="14"/>
        <v>Pago_Hipoteca+Liquidez PROF Wealth &amp; Premier Executive Pago_Fijo_Puntual 15</v>
      </c>
      <c r="B465" s="75" t="str">
        <f t="shared" si="15"/>
        <v>Pago_Hipoteca+Liquidez PROF Wealth &amp; Premier Executive Pago_Fijo_Puntual 15 0.103</v>
      </c>
      <c r="C465" s="75" t="s">
        <v>174</v>
      </c>
      <c r="D465" s="75" t="s">
        <v>169</v>
      </c>
      <c r="E465" s="75" t="s">
        <v>175</v>
      </c>
      <c r="F465" s="75"/>
      <c r="G465" s="75"/>
      <c r="H465" s="75"/>
      <c r="I465" s="75" t="s">
        <v>171</v>
      </c>
      <c r="J465" s="501">
        <v>15</v>
      </c>
      <c r="K465" s="501" t="s">
        <v>386</v>
      </c>
      <c r="L465" s="502">
        <v>11.18</v>
      </c>
      <c r="M465" s="502">
        <v>11.84</v>
      </c>
      <c r="N465" s="500">
        <v>0.10299999999999999</v>
      </c>
      <c r="O465" s="500">
        <v>0.1</v>
      </c>
      <c r="P465" s="500">
        <v>0.112</v>
      </c>
      <c r="Q465" s="78">
        <v>0.44</v>
      </c>
      <c r="R465" s="78">
        <v>0.31740000000000002</v>
      </c>
      <c r="S465" s="69">
        <v>0</v>
      </c>
      <c r="T465" s="69">
        <v>0</v>
      </c>
      <c r="U465" s="500">
        <v>0.7</v>
      </c>
      <c r="V465" s="76">
        <v>0</v>
      </c>
      <c r="W465" s="76">
        <v>0</v>
      </c>
      <c r="X465" s="76"/>
    </row>
    <row r="466" spans="1:24" x14ac:dyDescent="0.25">
      <c r="A466" s="75" t="str">
        <f t="shared" si="14"/>
        <v>Pago_Hipoteca+Liquidez PROF Wealth &amp; Premier Executive Pago_Fijo_Puntual 14</v>
      </c>
      <c r="B466" s="75" t="str">
        <f t="shared" si="15"/>
        <v>Pago_Hipoteca+Liquidez PROF Wealth &amp; Premier Executive Pago_Fijo_Puntual 14 0.0965</v>
      </c>
      <c r="C466" s="75" t="s">
        <v>174</v>
      </c>
      <c r="D466" s="75" t="s">
        <v>169</v>
      </c>
      <c r="E466" s="75" t="s">
        <v>175</v>
      </c>
      <c r="F466" s="75"/>
      <c r="G466" s="75"/>
      <c r="H466" s="75"/>
      <c r="I466" s="75" t="s">
        <v>171</v>
      </c>
      <c r="J466" s="501">
        <v>14</v>
      </c>
      <c r="K466" s="501" t="s">
        <v>385</v>
      </c>
      <c r="L466" s="502">
        <v>11.06</v>
      </c>
      <c r="M466" s="502">
        <v>11.72</v>
      </c>
      <c r="N466" s="500">
        <v>9.6500000000000002E-2</v>
      </c>
      <c r="O466" s="500">
        <v>9.1999999999999998E-2</v>
      </c>
      <c r="P466" s="500">
        <v>0.10249999999999999</v>
      </c>
      <c r="Q466" s="78">
        <v>0.44</v>
      </c>
      <c r="R466" s="78">
        <v>0.31740000000000002</v>
      </c>
      <c r="S466" s="69">
        <v>0</v>
      </c>
      <c r="T466" s="69">
        <v>0</v>
      </c>
      <c r="U466" s="500">
        <v>0.7</v>
      </c>
      <c r="V466" s="76">
        <v>0</v>
      </c>
      <c r="W466" s="76">
        <v>0</v>
      </c>
      <c r="X466" s="76"/>
    </row>
    <row r="467" spans="1:24" x14ac:dyDescent="0.25">
      <c r="A467" s="75" t="str">
        <f t="shared" si="14"/>
        <v>Pago_Hipoteca+Liquidez PROF Wealth &amp; Premier Executive Pago_Fijo_Puntual 14</v>
      </c>
      <c r="B467" s="75" t="str">
        <f t="shared" si="15"/>
        <v>Pago_Hipoteca+Liquidez PROF Wealth &amp; Premier Executive Pago_Fijo_Puntual 14 0.103</v>
      </c>
      <c r="C467" s="75" t="s">
        <v>174</v>
      </c>
      <c r="D467" s="75" t="s">
        <v>169</v>
      </c>
      <c r="E467" s="75" t="s">
        <v>175</v>
      </c>
      <c r="F467" s="75"/>
      <c r="G467" s="75"/>
      <c r="H467" s="75"/>
      <c r="I467" s="75" t="s">
        <v>171</v>
      </c>
      <c r="J467" s="501">
        <v>14</v>
      </c>
      <c r="K467" s="501" t="s">
        <v>386</v>
      </c>
      <c r="L467" s="502">
        <v>11.49</v>
      </c>
      <c r="M467" s="502">
        <v>12.15</v>
      </c>
      <c r="N467" s="500">
        <v>0.10299999999999999</v>
      </c>
      <c r="O467" s="500">
        <v>0.1</v>
      </c>
      <c r="P467" s="500">
        <v>0.112</v>
      </c>
      <c r="Q467" s="78">
        <v>0.44</v>
      </c>
      <c r="R467" s="78">
        <v>0.31740000000000002</v>
      </c>
      <c r="S467" s="69">
        <v>0</v>
      </c>
      <c r="T467" s="69">
        <v>0</v>
      </c>
      <c r="U467" s="500">
        <v>0.7</v>
      </c>
      <c r="V467" s="76">
        <v>0</v>
      </c>
      <c r="W467" s="76">
        <v>0</v>
      </c>
      <c r="X467" s="76"/>
    </row>
    <row r="468" spans="1:24" x14ac:dyDescent="0.25">
      <c r="A468" s="75" t="str">
        <f t="shared" si="14"/>
        <v>Pago_Hipoteca+Liquidez PROF Wealth &amp; Premier Executive Pago_Fijo_Puntual 13</v>
      </c>
      <c r="B468" s="75" t="str">
        <f t="shared" si="15"/>
        <v>Pago_Hipoteca+Liquidez PROF Wealth &amp; Premier Executive Pago_Fijo_Puntual 13 0.0965</v>
      </c>
      <c r="C468" s="75" t="s">
        <v>174</v>
      </c>
      <c r="D468" s="75" t="s">
        <v>169</v>
      </c>
      <c r="E468" s="75" t="s">
        <v>175</v>
      </c>
      <c r="F468" s="75"/>
      <c r="G468" s="75"/>
      <c r="H468" s="75"/>
      <c r="I468" s="75" t="s">
        <v>171</v>
      </c>
      <c r="J468" s="501">
        <v>13</v>
      </c>
      <c r="K468" s="501" t="s">
        <v>385</v>
      </c>
      <c r="L468" s="502">
        <v>11.45</v>
      </c>
      <c r="M468" s="502">
        <v>12.11</v>
      </c>
      <c r="N468" s="500">
        <v>9.6500000000000002E-2</v>
      </c>
      <c r="O468" s="500">
        <v>9.1999999999999998E-2</v>
      </c>
      <c r="P468" s="500">
        <v>0.10249999999999999</v>
      </c>
      <c r="Q468" s="78">
        <v>0.44</v>
      </c>
      <c r="R468" s="78">
        <v>0.31740000000000002</v>
      </c>
      <c r="S468" s="69">
        <v>0</v>
      </c>
      <c r="T468" s="69">
        <v>0</v>
      </c>
      <c r="U468" s="500">
        <v>0.7</v>
      </c>
      <c r="V468" s="76">
        <v>0</v>
      </c>
      <c r="W468" s="76">
        <v>0</v>
      </c>
      <c r="X468" s="76"/>
    </row>
    <row r="469" spans="1:24" x14ac:dyDescent="0.25">
      <c r="A469" s="75" t="str">
        <f t="shared" si="14"/>
        <v>Pago_Hipoteca+Liquidez PROF Wealth &amp; Premier Executive Pago_Fijo_Puntual 13</v>
      </c>
      <c r="B469" s="75" t="str">
        <f t="shared" si="15"/>
        <v>Pago_Hipoteca+Liquidez PROF Wealth &amp; Premier Executive Pago_Fijo_Puntual 13 0.103</v>
      </c>
      <c r="C469" s="75" t="s">
        <v>174</v>
      </c>
      <c r="D469" s="75" t="s">
        <v>169</v>
      </c>
      <c r="E469" s="75" t="s">
        <v>175</v>
      </c>
      <c r="F469" s="75"/>
      <c r="G469" s="75"/>
      <c r="H469" s="75"/>
      <c r="I469" s="75" t="s">
        <v>171</v>
      </c>
      <c r="J469" s="501">
        <v>13</v>
      </c>
      <c r="K469" s="501" t="s">
        <v>386</v>
      </c>
      <c r="L469" s="502">
        <v>11.86</v>
      </c>
      <c r="M469" s="502">
        <v>12.52</v>
      </c>
      <c r="N469" s="500">
        <v>0.10299999999999999</v>
      </c>
      <c r="O469" s="500">
        <v>0.1</v>
      </c>
      <c r="P469" s="500">
        <v>0.112</v>
      </c>
      <c r="Q469" s="78">
        <v>0.44</v>
      </c>
      <c r="R469" s="78">
        <v>0.31740000000000002</v>
      </c>
      <c r="S469" s="69">
        <v>0</v>
      </c>
      <c r="T469" s="69">
        <v>0</v>
      </c>
      <c r="U469" s="500">
        <v>0.7</v>
      </c>
      <c r="V469" s="76">
        <v>0</v>
      </c>
      <c r="W469" s="76">
        <v>0</v>
      </c>
      <c r="X469" s="76"/>
    </row>
    <row r="470" spans="1:24" x14ac:dyDescent="0.25">
      <c r="A470" s="75" t="str">
        <f t="shared" si="14"/>
        <v>Pago_Hipoteca+Liquidez PROF Wealth &amp; Premier Executive Pago_Fijo_Puntual 12</v>
      </c>
      <c r="B470" s="75" t="str">
        <f t="shared" si="15"/>
        <v>Pago_Hipoteca+Liquidez PROF Wealth &amp; Premier Executive Pago_Fijo_Puntual 12 0.0965</v>
      </c>
      <c r="C470" s="75" t="s">
        <v>174</v>
      </c>
      <c r="D470" s="75" t="s">
        <v>169</v>
      </c>
      <c r="E470" s="75" t="s">
        <v>175</v>
      </c>
      <c r="F470" s="75"/>
      <c r="G470" s="75"/>
      <c r="H470" s="75"/>
      <c r="I470" s="75" t="s">
        <v>171</v>
      </c>
      <c r="J470" s="501">
        <v>12</v>
      </c>
      <c r="K470" s="501" t="s">
        <v>385</v>
      </c>
      <c r="L470" s="502">
        <v>11.91</v>
      </c>
      <c r="M470" s="502">
        <v>12.57</v>
      </c>
      <c r="N470" s="500">
        <v>9.6500000000000002E-2</v>
      </c>
      <c r="O470" s="500">
        <v>9.1999999999999998E-2</v>
      </c>
      <c r="P470" s="500">
        <v>0.10249999999999999</v>
      </c>
      <c r="Q470" s="78">
        <v>0.44</v>
      </c>
      <c r="R470" s="78">
        <v>0.31740000000000002</v>
      </c>
      <c r="S470" s="69">
        <v>0</v>
      </c>
      <c r="T470" s="69">
        <v>0</v>
      </c>
      <c r="U470" s="500">
        <v>0.7</v>
      </c>
      <c r="V470" s="76">
        <v>0</v>
      </c>
      <c r="W470" s="76">
        <v>0</v>
      </c>
      <c r="X470" s="76"/>
    </row>
    <row r="471" spans="1:24" x14ac:dyDescent="0.25">
      <c r="A471" s="75" t="str">
        <f t="shared" si="14"/>
        <v>Pago_Hipoteca+Liquidez PROF Wealth &amp; Premier Executive Pago_Fijo_Puntual 12</v>
      </c>
      <c r="B471" s="75" t="str">
        <f t="shared" si="15"/>
        <v>Pago_Hipoteca+Liquidez PROF Wealth &amp; Premier Executive Pago_Fijo_Puntual 12 0.103</v>
      </c>
      <c r="C471" s="75" t="s">
        <v>174</v>
      </c>
      <c r="D471" s="75" t="s">
        <v>169</v>
      </c>
      <c r="E471" s="75" t="s">
        <v>175</v>
      </c>
      <c r="F471" s="75"/>
      <c r="G471" s="75"/>
      <c r="H471" s="75"/>
      <c r="I471" s="75" t="s">
        <v>171</v>
      </c>
      <c r="J471" s="501">
        <v>12</v>
      </c>
      <c r="K471" s="501" t="s">
        <v>386</v>
      </c>
      <c r="L471" s="502">
        <v>12.31</v>
      </c>
      <c r="M471" s="502">
        <v>12.97</v>
      </c>
      <c r="N471" s="500">
        <v>0.10299999999999999</v>
      </c>
      <c r="O471" s="500">
        <v>0.1</v>
      </c>
      <c r="P471" s="500">
        <v>0.112</v>
      </c>
      <c r="Q471" s="78">
        <v>0.44</v>
      </c>
      <c r="R471" s="78">
        <v>0.31740000000000002</v>
      </c>
      <c r="S471" s="69">
        <v>0</v>
      </c>
      <c r="T471" s="69">
        <v>0</v>
      </c>
      <c r="U471" s="500">
        <v>0.7</v>
      </c>
      <c r="V471" s="76">
        <v>0</v>
      </c>
      <c r="W471" s="76">
        <v>0</v>
      </c>
      <c r="X471" s="76"/>
    </row>
    <row r="472" spans="1:24" x14ac:dyDescent="0.25">
      <c r="A472" s="75" t="str">
        <f t="shared" si="14"/>
        <v>Pago_Hipoteca+Liquidez PROF Wealth &amp; Premier Executive Pago_Fijo_Puntual 11</v>
      </c>
      <c r="B472" s="75" t="str">
        <f t="shared" si="15"/>
        <v>Pago_Hipoteca+Liquidez PROF Wealth &amp; Premier Executive Pago_Fijo_Puntual 11 0.0965</v>
      </c>
      <c r="C472" s="75" t="s">
        <v>174</v>
      </c>
      <c r="D472" s="75" t="s">
        <v>169</v>
      </c>
      <c r="E472" s="75" t="s">
        <v>175</v>
      </c>
      <c r="F472" s="75"/>
      <c r="G472" s="75"/>
      <c r="H472" s="75"/>
      <c r="I472" s="75" t="s">
        <v>171</v>
      </c>
      <c r="J472" s="501">
        <v>11</v>
      </c>
      <c r="K472" s="501" t="s">
        <v>385</v>
      </c>
      <c r="L472" s="502">
        <v>12.47</v>
      </c>
      <c r="M472" s="502">
        <v>13.13</v>
      </c>
      <c r="N472" s="500">
        <v>9.6500000000000002E-2</v>
      </c>
      <c r="O472" s="500">
        <v>9.1999999999999998E-2</v>
      </c>
      <c r="P472" s="500">
        <v>0.10249999999999999</v>
      </c>
      <c r="Q472" s="78">
        <v>0.44</v>
      </c>
      <c r="R472" s="78">
        <v>0.31740000000000002</v>
      </c>
      <c r="S472" s="69">
        <v>0</v>
      </c>
      <c r="T472" s="69">
        <v>0</v>
      </c>
      <c r="U472" s="500">
        <v>0.7</v>
      </c>
      <c r="V472" s="76">
        <v>0</v>
      </c>
      <c r="W472" s="76">
        <v>0</v>
      </c>
      <c r="X472" s="76"/>
    </row>
    <row r="473" spans="1:24" x14ac:dyDescent="0.25">
      <c r="A473" s="75" t="str">
        <f t="shared" si="14"/>
        <v>Pago_Hipoteca+Liquidez PROF Wealth &amp; Premier Executive Pago_Fijo_Puntual 11</v>
      </c>
      <c r="B473" s="75" t="str">
        <f t="shared" si="15"/>
        <v>Pago_Hipoteca+Liquidez PROF Wealth &amp; Premier Executive Pago_Fijo_Puntual 11 0.103</v>
      </c>
      <c r="C473" s="75" t="s">
        <v>174</v>
      </c>
      <c r="D473" s="75" t="s">
        <v>169</v>
      </c>
      <c r="E473" s="75" t="s">
        <v>175</v>
      </c>
      <c r="F473" s="75"/>
      <c r="G473" s="75"/>
      <c r="H473" s="75"/>
      <c r="I473" s="75" t="s">
        <v>171</v>
      </c>
      <c r="J473" s="501">
        <v>11</v>
      </c>
      <c r="K473" s="501" t="s">
        <v>386</v>
      </c>
      <c r="L473" s="502">
        <v>12.86</v>
      </c>
      <c r="M473" s="502">
        <v>13.52</v>
      </c>
      <c r="N473" s="500">
        <v>0.10299999999999999</v>
      </c>
      <c r="O473" s="500">
        <v>0.1</v>
      </c>
      <c r="P473" s="500">
        <v>0.112</v>
      </c>
      <c r="Q473" s="78">
        <v>0.44</v>
      </c>
      <c r="R473" s="78">
        <v>0.31740000000000002</v>
      </c>
      <c r="S473" s="69">
        <v>0</v>
      </c>
      <c r="T473" s="69">
        <v>0</v>
      </c>
      <c r="U473" s="500">
        <v>0.7</v>
      </c>
      <c r="V473" s="76">
        <v>0</v>
      </c>
      <c r="W473" s="76">
        <v>0</v>
      </c>
      <c r="X473" s="76"/>
    </row>
    <row r="474" spans="1:24" x14ac:dyDescent="0.25">
      <c r="A474" s="75" t="str">
        <f t="shared" si="14"/>
        <v>Pago_Hipoteca+Liquidez PROF Wealth &amp; Premier Executive Pago_Fijo_Puntual 10</v>
      </c>
      <c r="B474" s="75" t="str">
        <f t="shared" si="15"/>
        <v>Pago_Hipoteca+Liquidez PROF Wealth &amp; Premier Executive Pago_Fijo_Puntual 10 0.0965</v>
      </c>
      <c r="C474" s="75" t="s">
        <v>174</v>
      </c>
      <c r="D474" s="75" t="s">
        <v>169</v>
      </c>
      <c r="E474" s="75" t="s">
        <v>175</v>
      </c>
      <c r="F474" s="75"/>
      <c r="G474" s="75"/>
      <c r="H474" s="75"/>
      <c r="I474" s="75" t="s">
        <v>171</v>
      </c>
      <c r="J474" s="501">
        <v>10</v>
      </c>
      <c r="K474" s="501" t="s">
        <v>385</v>
      </c>
      <c r="L474" s="502">
        <v>13.16</v>
      </c>
      <c r="M474" s="502">
        <v>13.82</v>
      </c>
      <c r="N474" s="500">
        <v>9.6500000000000002E-2</v>
      </c>
      <c r="O474" s="500">
        <v>9.1999999999999998E-2</v>
      </c>
      <c r="P474" s="500">
        <v>0.10249999999999999</v>
      </c>
      <c r="Q474" s="78">
        <v>0.44</v>
      </c>
      <c r="R474" s="78">
        <v>0.31740000000000002</v>
      </c>
      <c r="S474" s="69">
        <v>0</v>
      </c>
      <c r="T474" s="69">
        <v>0</v>
      </c>
      <c r="U474" s="500">
        <v>0.7</v>
      </c>
      <c r="V474" s="76">
        <v>0</v>
      </c>
      <c r="W474" s="76">
        <v>0</v>
      </c>
      <c r="X474" s="76"/>
    </row>
    <row r="475" spans="1:24" x14ac:dyDescent="0.25">
      <c r="A475" s="75" t="str">
        <f t="shared" si="14"/>
        <v>Pago_Hipoteca+Liquidez PROF Wealth &amp; Premier Executive Pago_Fijo_Puntual 10</v>
      </c>
      <c r="B475" s="75" t="str">
        <f t="shared" si="15"/>
        <v>Pago_Hipoteca+Liquidez PROF Wealth &amp; Premier Executive Pago_Fijo_Puntual 10 0.103</v>
      </c>
      <c r="C475" s="75" t="s">
        <v>174</v>
      </c>
      <c r="D475" s="75" t="s">
        <v>169</v>
      </c>
      <c r="E475" s="75" t="s">
        <v>175</v>
      </c>
      <c r="F475" s="75"/>
      <c r="G475" s="75"/>
      <c r="H475" s="75"/>
      <c r="I475" s="75" t="s">
        <v>171</v>
      </c>
      <c r="J475" s="501">
        <v>10</v>
      </c>
      <c r="K475" s="501" t="s">
        <v>386</v>
      </c>
      <c r="L475" s="502">
        <v>13.54</v>
      </c>
      <c r="M475" s="502">
        <v>14.2</v>
      </c>
      <c r="N475" s="500">
        <v>0.10299999999999999</v>
      </c>
      <c r="O475" s="500">
        <v>0.1</v>
      </c>
      <c r="P475" s="500">
        <v>0.112</v>
      </c>
      <c r="Q475" s="78">
        <v>0.44</v>
      </c>
      <c r="R475" s="78">
        <v>0.31740000000000002</v>
      </c>
      <c r="S475" s="69">
        <v>0</v>
      </c>
      <c r="T475" s="69">
        <v>0</v>
      </c>
      <c r="U475" s="500">
        <v>0.7</v>
      </c>
      <c r="V475" s="76">
        <v>0</v>
      </c>
      <c r="W475" s="76">
        <v>0</v>
      </c>
      <c r="X475" s="76"/>
    </row>
    <row r="476" spans="1:24" x14ac:dyDescent="0.25">
      <c r="A476" s="75" t="str">
        <f t="shared" si="14"/>
        <v>Pago_Hipoteca+Liquidez PROF Wealth &amp; Premier Executive Pago_Fijo_Puntual 9</v>
      </c>
      <c r="B476" s="75" t="str">
        <f t="shared" si="15"/>
        <v>Pago_Hipoteca+Liquidez PROF Wealth &amp; Premier Executive Pago_Fijo_Puntual 9 0.0965</v>
      </c>
      <c r="C476" s="75" t="s">
        <v>174</v>
      </c>
      <c r="D476" s="75" t="s">
        <v>169</v>
      </c>
      <c r="E476" s="75" t="s">
        <v>175</v>
      </c>
      <c r="F476" s="75"/>
      <c r="G476" s="75"/>
      <c r="H476" s="75"/>
      <c r="I476" s="75" t="s">
        <v>171</v>
      </c>
      <c r="J476" s="501">
        <v>9</v>
      </c>
      <c r="K476" s="501" t="s">
        <v>385</v>
      </c>
      <c r="L476" s="502">
        <v>14.01</v>
      </c>
      <c r="M476" s="502">
        <v>14.67</v>
      </c>
      <c r="N476" s="500">
        <v>9.6500000000000002E-2</v>
      </c>
      <c r="O476" s="500">
        <v>9.1999999999999998E-2</v>
      </c>
      <c r="P476" s="500">
        <v>0.10249999999999999</v>
      </c>
      <c r="Q476" s="78">
        <v>0.44</v>
      </c>
      <c r="R476" s="78">
        <v>0.31740000000000002</v>
      </c>
      <c r="S476" s="69">
        <v>0</v>
      </c>
      <c r="T476" s="69">
        <v>0</v>
      </c>
      <c r="U476" s="500">
        <v>0.7</v>
      </c>
      <c r="V476" s="76">
        <v>0</v>
      </c>
      <c r="W476" s="76">
        <v>0</v>
      </c>
      <c r="X476" s="76"/>
    </row>
    <row r="477" spans="1:24" x14ac:dyDescent="0.25">
      <c r="A477" s="75" t="str">
        <f t="shared" si="14"/>
        <v>Pago_Hipoteca+Liquidez PROF Wealth &amp; Premier Executive Pago_Fijo_Puntual 9</v>
      </c>
      <c r="B477" s="75" t="str">
        <f t="shared" si="15"/>
        <v>Pago_Hipoteca+Liquidez PROF Wealth &amp; Premier Executive Pago_Fijo_Puntual 9 0.103</v>
      </c>
      <c r="C477" s="75" t="s">
        <v>174</v>
      </c>
      <c r="D477" s="75" t="s">
        <v>169</v>
      </c>
      <c r="E477" s="75" t="s">
        <v>175</v>
      </c>
      <c r="F477" s="75"/>
      <c r="G477" s="75"/>
      <c r="H477" s="75"/>
      <c r="I477" s="75" t="s">
        <v>171</v>
      </c>
      <c r="J477" s="501">
        <v>9</v>
      </c>
      <c r="K477" s="501" t="s">
        <v>386</v>
      </c>
      <c r="L477" s="502">
        <v>14.37</v>
      </c>
      <c r="M477" s="502">
        <v>15.03</v>
      </c>
      <c r="N477" s="500">
        <v>0.10299999999999999</v>
      </c>
      <c r="O477" s="500">
        <v>0.1</v>
      </c>
      <c r="P477" s="500">
        <v>0.112</v>
      </c>
      <c r="Q477" s="78">
        <v>0.44</v>
      </c>
      <c r="R477" s="78">
        <v>0.31740000000000002</v>
      </c>
      <c r="S477" s="69">
        <v>0</v>
      </c>
      <c r="T477" s="69">
        <v>0</v>
      </c>
      <c r="U477" s="500">
        <v>0.7</v>
      </c>
      <c r="V477" s="76">
        <v>0</v>
      </c>
      <c r="W477" s="76">
        <v>0</v>
      </c>
      <c r="X477" s="76"/>
    </row>
    <row r="478" spans="1:24" x14ac:dyDescent="0.25">
      <c r="A478" s="75" t="str">
        <f t="shared" si="14"/>
        <v>Pago_Hipoteca+Liquidez PROF Wealth &amp; Premier Executive Pago_Fijo_Puntual 8</v>
      </c>
      <c r="B478" s="75" t="str">
        <f t="shared" si="15"/>
        <v>Pago_Hipoteca+Liquidez PROF Wealth &amp; Premier Executive Pago_Fijo_Puntual 8 0.0965</v>
      </c>
      <c r="C478" s="75" t="s">
        <v>174</v>
      </c>
      <c r="D478" s="75" t="s">
        <v>169</v>
      </c>
      <c r="E478" s="75" t="s">
        <v>175</v>
      </c>
      <c r="F478" s="75"/>
      <c r="G478" s="75"/>
      <c r="H478" s="75"/>
      <c r="I478" s="75" t="s">
        <v>171</v>
      </c>
      <c r="J478" s="501">
        <v>8</v>
      </c>
      <c r="K478" s="501" t="s">
        <v>385</v>
      </c>
      <c r="L478" s="502">
        <v>15.09</v>
      </c>
      <c r="M478" s="502">
        <v>15.75</v>
      </c>
      <c r="N478" s="500">
        <v>9.6500000000000002E-2</v>
      </c>
      <c r="O478" s="500">
        <v>9.1999999999999998E-2</v>
      </c>
      <c r="P478" s="500">
        <v>0.10249999999999999</v>
      </c>
      <c r="Q478" s="78">
        <v>0.44</v>
      </c>
      <c r="R478" s="78">
        <v>0.31740000000000002</v>
      </c>
      <c r="S478" s="69">
        <v>0</v>
      </c>
      <c r="T478" s="69">
        <v>0</v>
      </c>
      <c r="U478" s="500">
        <v>0.7</v>
      </c>
      <c r="V478" s="76">
        <v>0</v>
      </c>
      <c r="W478" s="76">
        <v>0</v>
      </c>
      <c r="X478" s="76"/>
    </row>
    <row r="479" spans="1:24" x14ac:dyDescent="0.25">
      <c r="A479" s="75" t="str">
        <f t="shared" si="14"/>
        <v>Pago_Hipoteca+Liquidez PROF Wealth &amp; Premier Executive Pago_Fijo_Puntual 8</v>
      </c>
      <c r="B479" s="75" t="str">
        <f t="shared" si="15"/>
        <v>Pago_Hipoteca+Liquidez PROF Wealth &amp; Premier Executive Pago_Fijo_Puntual 8 0.103</v>
      </c>
      <c r="C479" s="75" t="s">
        <v>174</v>
      </c>
      <c r="D479" s="75" t="s">
        <v>169</v>
      </c>
      <c r="E479" s="75" t="s">
        <v>175</v>
      </c>
      <c r="F479" s="75"/>
      <c r="G479" s="75"/>
      <c r="H479" s="75"/>
      <c r="I479" s="75" t="s">
        <v>171</v>
      </c>
      <c r="J479" s="501">
        <v>8</v>
      </c>
      <c r="K479" s="501" t="s">
        <v>386</v>
      </c>
      <c r="L479" s="502">
        <v>15.44</v>
      </c>
      <c r="M479" s="502">
        <v>16.100000000000001</v>
      </c>
      <c r="N479" s="500">
        <v>0.10299999999999999</v>
      </c>
      <c r="O479" s="500">
        <v>0.1</v>
      </c>
      <c r="P479" s="500">
        <v>0.112</v>
      </c>
      <c r="Q479" s="78">
        <v>0.44</v>
      </c>
      <c r="R479" s="78">
        <v>0.31740000000000002</v>
      </c>
      <c r="S479" s="69">
        <v>0</v>
      </c>
      <c r="T479" s="69">
        <v>0</v>
      </c>
      <c r="U479" s="500">
        <v>0.7</v>
      </c>
      <c r="V479" s="76">
        <v>0</v>
      </c>
      <c r="W479" s="76">
        <v>0</v>
      </c>
      <c r="X479" s="76"/>
    </row>
    <row r="480" spans="1:24" x14ac:dyDescent="0.25">
      <c r="A480" s="75" t="str">
        <f t="shared" si="14"/>
        <v>Pago_Hipoteca+Liquidez PROF Wealth &amp; Premier Executive Pago_Fijo_Puntual 7</v>
      </c>
      <c r="B480" s="75" t="str">
        <f t="shared" si="15"/>
        <v>Pago_Hipoteca+Liquidez PROF Wealth &amp; Premier Executive Pago_Fijo_Puntual 7 0.0965</v>
      </c>
      <c r="C480" s="75" t="s">
        <v>174</v>
      </c>
      <c r="D480" s="75" t="s">
        <v>169</v>
      </c>
      <c r="E480" s="75" t="s">
        <v>175</v>
      </c>
      <c r="F480" s="75"/>
      <c r="G480" s="75"/>
      <c r="H480" s="75"/>
      <c r="I480" s="75" t="s">
        <v>171</v>
      </c>
      <c r="J480" s="501">
        <v>7</v>
      </c>
      <c r="K480" s="501" t="s">
        <v>385</v>
      </c>
      <c r="L480" s="502">
        <v>16.5</v>
      </c>
      <c r="M480" s="502">
        <v>17.16</v>
      </c>
      <c r="N480" s="500">
        <v>9.6500000000000002E-2</v>
      </c>
      <c r="O480" s="500">
        <v>9.1999999999999998E-2</v>
      </c>
      <c r="P480" s="500">
        <v>0.10249999999999999</v>
      </c>
      <c r="Q480" s="78">
        <v>0.44</v>
      </c>
      <c r="R480" s="78">
        <v>0.31740000000000002</v>
      </c>
      <c r="S480" s="69">
        <v>0</v>
      </c>
      <c r="T480" s="69">
        <v>0</v>
      </c>
      <c r="U480" s="500">
        <v>0.7</v>
      </c>
      <c r="V480" s="76">
        <v>0</v>
      </c>
      <c r="W480" s="76">
        <v>0</v>
      </c>
      <c r="X480" s="76"/>
    </row>
    <row r="481" spans="1:24" x14ac:dyDescent="0.25">
      <c r="A481" s="75" t="str">
        <f t="shared" si="14"/>
        <v>Pago_Hipoteca+Liquidez PROF Wealth &amp; Premier Executive Pago_Fijo_Puntual 7</v>
      </c>
      <c r="B481" s="75" t="str">
        <f t="shared" si="15"/>
        <v>Pago_Hipoteca+Liquidez PROF Wealth &amp; Premier Executive Pago_Fijo_Puntual 7 0.103</v>
      </c>
      <c r="C481" s="75" t="s">
        <v>174</v>
      </c>
      <c r="D481" s="75" t="s">
        <v>169</v>
      </c>
      <c r="E481" s="75" t="s">
        <v>175</v>
      </c>
      <c r="F481" s="75"/>
      <c r="G481" s="75"/>
      <c r="H481" s="75"/>
      <c r="I481" s="75" t="s">
        <v>171</v>
      </c>
      <c r="J481" s="501">
        <v>7</v>
      </c>
      <c r="K481" s="501" t="s">
        <v>386</v>
      </c>
      <c r="L481" s="502">
        <v>16.84</v>
      </c>
      <c r="M481" s="502">
        <v>17.5</v>
      </c>
      <c r="N481" s="500">
        <v>0.10299999999999999</v>
      </c>
      <c r="O481" s="500">
        <v>0.1</v>
      </c>
      <c r="P481" s="500">
        <v>0.112</v>
      </c>
      <c r="Q481" s="78">
        <v>0.44</v>
      </c>
      <c r="R481" s="78">
        <v>0.31740000000000002</v>
      </c>
      <c r="S481" s="69">
        <v>0</v>
      </c>
      <c r="T481" s="69">
        <v>0</v>
      </c>
      <c r="U481" s="500">
        <v>0.7</v>
      </c>
      <c r="V481" s="76">
        <v>0</v>
      </c>
      <c r="W481" s="76">
        <v>0</v>
      </c>
      <c r="X481" s="76"/>
    </row>
    <row r="482" spans="1:24" x14ac:dyDescent="0.25">
      <c r="A482" s="75" t="str">
        <f t="shared" si="14"/>
        <v>Pago_Hipoteca+Liquidez PROF Wealth &amp; Premier Executive Pago_Fijo_Puntual 6</v>
      </c>
      <c r="B482" s="75" t="str">
        <f t="shared" si="15"/>
        <v>Pago_Hipoteca+Liquidez PROF Wealth &amp; Premier Executive Pago_Fijo_Puntual 6 0.0965</v>
      </c>
      <c r="C482" s="75" t="s">
        <v>174</v>
      </c>
      <c r="D482" s="75" t="s">
        <v>169</v>
      </c>
      <c r="E482" s="75" t="s">
        <v>175</v>
      </c>
      <c r="F482" s="75"/>
      <c r="G482" s="75"/>
      <c r="H482" s="75"/>
      <c r="I482" s="75" t="s">
        <v>171</v>
      </c>
      <c r="J482" s="501">
        <v>6</v>
      </c>
      <c r="K482" s="501" t="s">
        <v>385</v>
      </c>
      <c r="L482" s="502">
        <v>18.41</v>
      </c>
      <c r="M482" s="502">
        <v>19.07</v>
      </c>
      <c r="N482" s="500">
        <v>9.6500000000000002E-2</v>
      </c>
      <c r="O482" s="500">
        <v>9.1999999999999998E-2</v>
      </c>
      <c r="P482" s="500">
        <v>0.10249999999999999</v>
      </c>
      <c r="Q482" s="78">
        <v>0.44</v>
      </c>
      <c r="R482" s="78">
        <v>0.31740000000000002</v>
      </c>
      <c r="S482" s="69">
        <v>0</v>
      </c>
      <c r="T482" s="69">
        <v>0</v>
      </c>
      <c r="U482" s="500">
        <v>0.7</v>
      </c>
      <c r="V482" s="76">
        <v>0</v>
      </c>
      <c r="W482" s="76">
        <v>0</v>
      </c>
      <c r="X482" s="76"/>
    </row>
    <row r="483" spans="1:24" x14ac:dyDescent="0.25">
      <c r="A483" s="75" t="str">
        <f t="shared" si="14"/>
        <v>Pago_Hipoteca+Liquidez PROF Wealth &amp; Premier Executive Pago_Fijo_Puntual 6</v>
      </c>
      <c r="B483" s="75" t="str">
        <f t="shared" si="15"/>
        <v>Pago_Hipoteca+Liquidez PROF Wealth &amp; Premier Executive Pago_Fijo_Puntual 6 0.103</v>
      </c>
      <c r="C483" s="75" t="s">
        <v>174</v>
      </c>
      <c r="D483" s="75" t="s">
        <v>169</v>
      </c>
      <c r="E483" s="75" t="s">
        <v>175</v>
      </c>
      <c r="F483" s="75"/>
      <c r="G483" s="75"/>
      <c r="H483" s="75"/>
      <c r="I483" s="75" t="s">
        <v>171</v>
      </c>
      <c r="J483" s="501">
        <v>6</v>
      </c>
      <c r="K483" s="501" t="s">
        <v>386</v>
      </c>
      <c r="L483" s="502">
        <v>18.739999999999998</v>
      </c>
      <c r="M483" s="502">
        <v>19.399999999999999</v>
      </c>
      <c r="N483" s="500">
        <v>0.10299999999999999</v>
      </c>
      <c r="O483" s="500">
        <v>0.1</v>
      </c>
      <c r="P483" s="500">
        <v>0.112</v>
      </c>
      <c r="Q483" s="78">
        <v>0.44</v>
      </c>
      <c r="R483" s="78">
        <v>0.31740000000000002</v>
      </c>
      <c r="S483" s="69">
        <v>0</v>
      </c>
      <c r="T483" s="69">
        <v>0</v>
      </c>
      <c r="U483" s="500">
        <v>0.7</v>
      </c>
      <c r="V483" s="76">
        <v>0</v>
      </c>
      <c r="W483" s="76">
        <v>0</v>
      </c>
      <c r="X483" s="76"/>
    </row>
    <row r="484" spans="1:24" x14ac:dyDescent="0.25">
      <c r="A484" s="75" t="str">
        <f t="shared" si="14"/>
        <v>Pago_Hipoteca+Liquidez PROF Wealth &amp; Premier Executive Pago_Fijo_Puntual 5</v>
      </c>
      <c r="B484" s="75" t="str">
        <f t="shared" si="15"/>
        <v>Pago_Hipoteca+Liquidez PROF Wealth &amp; Premier Executive Pago_Fijo_Puntual 5 0.0965</v>
      </c>
      <c r="C484" s="75" t="s">
        <v>174</v>
      </c>
      <c r="D484" s="75" t="s">
        <v>169</v>
      </c>
      <c r="E484" s="75" t="s">
        <v>175</v>
      </c>
      <c r="F484" s="75"/>
      <c r="G484" s="75"/>
      <c r="H484" s="75"/>
      <c r="I484" s="75" t="s">
        <v>171</v>
      </c>
      <c r="J484" s="501">
        <v>5</v>
      </c>
      <c r="K484" s="501" t="s">
        <v>385</v>
      </c>
      <c r="L484" s="502">
        <v>21.12</v>
      </c>
      <c r="M484" s="502">
        <v>21.78</v>
      </c>
      <c r="N484" s="500">
        <v>9.6500000000000002E-2</v>
      </c>
      <c r="O484" s="500">
        <v>9.1999999999999998E-2</v>
      </c>
      <c r="P484" s="500">
        <v>0.10249999999999999</v>
      </c>
      <c r="Q484" s="78">
        <v>0.44</v>
      </c>
      <c r="R484" s="78">
        <v>0.31740000000000002</v>
      </c>
      <c r="S484" s="69">
        <v>0</v>
      </c>
      <c r="T484" s="69">
        <v>0</v>
      </c>
      <c r="U484" s="500">
        <v>0.7</v>
      </c>
      <c r="V484" s="76">
        <v>0</v>
      </c>
      <c r="W484" s="76">
        <v>0</v>
      </c>
      <c r="X484" s="76"/>
    </row>
    <row r="485" spans="1:24" x14ac:dyDescent="0.25">
      <c r="A485" s="75" t="str">
        <f t="shared" si="14"/>
        <v>Pago_Hipoteca+Liquidez PROF Wealth &amp; Premier Executive Pago_Fijo_Puntual 5</v>
      </c>
      <c r="B485" s="75" t="str">
        <f t="shared" si="15"/>
        <v>Pago_Hipoteca+Liquidez PROF Wealth &amp; Premier Executive Pago_Fijo_Puntual 5 0.103</v>
      </c>
      <c r="C485" s="75" t="s">
        <v>174</v>
      </c>
      <c r="D485" s="75" t="s">
        <v>169</v>
      </c>
      <c r="E485" s="75" t="s">
        <v>175</v>
      </c>
      <c r="F485" s="75"/>
      <c r="G485" s="75"/>
      <c r="H485" s="75"/>
      <c r="I485" s="75" t="s">
        <v>171</v>
      </c>
      <c r="J485" s="501">
        <v>5</v>
      </c>
      <c r="K485" s="501" t="s">
        <v>386</v>
      </c>
      <c r="L485" s="502">
        <v>21.44</v>
      </c>
      <c r="M485" s="502">
        <v>22.1</v>
      </c>
      <c r="N485" s="500">
        <v>0.10299999999999999</v>
      </c>
      <c r="O485" s="500">
        <v>0.1</v>
      </c>
      <c r="P485" s="500">
        <v>0.112</v>
      </c>
      <c r="Q485" s="78">
        <v>0.44</v>
      </c>
      <c r="R485" s="78">
        <v>0.31740000000000002</v>
      </c>
      <c r="S485" s="69">
        <v>0</v>
      </c>
      <c r="T485" s="69">
        <v>0</v>
      </c>
      <c r="U485" s="500">
        <v>0.7</v>
      </c>
      <c r="V485" s="76">
        <v>0</v>
      </c>
      <c r="W485" s="76">
        <v>0</v>
      </c>
      <c r="X485" s="76"/>
    </row>
    <row r="486" spans="1:24" x14ac:dyDescent="0.25">
      <c r="A486" s="75" t="str">
        <f t="shared" si="14"/>
        <v>Liquidez PF Wealth &amp; Premier Executive Pago_Fijo_Puntual 15</v>
      </c>
      <c r="B486" s="75" t="str">
        <f t="shared" si="15"/>
        <v>Liquidez PF Wealth &amp; Premier Executive Pago_Fijo_Puntual 15 0.12</v>
      </c>
      <c r="C486" s="75" t="s">
        <v>115</v>
      </c>
      <c r="D486" s="75" t="s">
        <v>132</v>
      </c>
      <c r="E486" s="75" t="s">
        <v>175</v>
      </c>
      <c r="F486" s="75"/>
      <c r="G486" s="75"/>
      <c r="H486" s="75"/>
      <c r="I486" s="75" t="s">
        <v>171</v>
      </c>
      <c r="J486" s="501">
        <v>15</v>
      </c>
      <c r="K486" s="501" t="s">
        <v>385</v>
      </c>
      <c r="L486" s="502">
        <v>12.24</v>
      </c>
      <c r="M486" s="502">
        <v>13.85</v>
      </c>
      <c r="N486" s="500">
        <v>0.12</v>
      </c>
      <c r="O486" s="500">
        <v>0.11700000000000001</v>
      </c>
      <c r="P486" s="500">
        <v>0.129</v>
      </c>
      <c r="Q486" s="78">
        <v>0.44</v>
      </c>
      <c r="R486" s="78">
        <v>0.31740000000000002</v>
      </c>
      <c r="S486" s="69">
        <v>0</v>
      </c>
      <c r="T486" s="69">
        <v>0</v>
      </c>
      <c r="U486" s="500">
        <v>0.7</v>
      </c>
      <c r="V486" s="76">
        <v>0</v>
      </c>
      <c r="W486" s="76">
        <v>250</v>
      </c>
      <c r="X486" s="76"/>
    </row>
    <row r="487" spans="1:24" x14ac:dyDescent="0.25">
      <c r="A487" s="75" t="str">
        <f t="shared" si="14"/>
        <v>Liquidez PF Wealth &amp; Premier Executive Pago_Fijo_Puntual 15</v>
      </c>
      <c r="B487" s="75" t="str">
        <f t="shared" si="15"/>
        <v>Liquidez PF Wealth &amp; Premier Executive Pago_Fijo_Puntual 15 0.12</v>
      </c>
      <c r="C487" s="75" t="s">
        <v>115</v>
      </c>
      <c r="D487" s="75" t="s">
        <v>132</v>
      </c>
      <c r="E487" s="75" t="s">
        <v>175</v>
      </c>
      <c r="F487" s="75"/>
      <c r="G487" s="75"/>
      <c r="H487" s="75"/>
      <c r="I487" s="75" t="s">
        <v>171</v>
      </c>
      <c r="J487" s="501">
        <v>15</v>
      </c>
      <c r="K487" s="501" t="s">
        <v>386</v>
      </c>
      <c r="L487" s="502">
        <v>12.24</v>
      </c>
      <c r="M487" s="502">
        <v>13.85</v>
      </c>
      <c r="N487" s="500">
        <v>0.12</v>
      </c>
      <c r="O487" s="500">
        <v>0.11700000000000001</v>
      </c>
      <c r="P487" s="500">
        <v>0.129</v>
      </c>
      <c r="Q487" s="78">
        <v>0.44</v>
      </c>
      <c r="R487" s="78">
        <v>0.31740000000000002</v>
      </c>
      <c r="S487" s="69">
        <v>0</v>
      </c>
      <c r="T487" s="69">
        <v>0</v>
      </c>
      <c r="U487" s="500">
        <v>0.7</v>
      </c>
      <c r="V487" s="76">
        <v>0</v>
      </c>
      <c r="W487" s="76">
        <v>250</v>
      </c>
      <c r="X487" s="76"/>
    </row>
    <row r="488" spans="1:24" x14ac:dyDescent="0.25">
      <c r="A488" s="75" t="str">
        <f t="shared" si="14"/>
        <v>Liquidez PF Wealth &amp; Premier Executive Pago_Fijo_Puntual 10</v>
      </c>
      <c r="B488" s="75" t="str">
        <f t="shared" si="15"/>
        <v>Liquidez PF Wealth &amp; Premier Executive Pago_Fijo_Puntual 10 0.12</v>
      </c>
      <c r="C488" s="75" t="s">
        <v>115</v>
      </c>
      <c r="D488" s="75" t="s">
        <v>132</v>
      </c>
      <c r="E488" s="75" t="s">
        <v>175</v>
      </c>
      <c r="F488" s="75"/>
      <c r="G488" s="75"/>
      <c r="H488" s="75"/>
      <c r="I488" s="75" t="s">
        <v>171</v>
      </c>
      <c r="J488" s="501">
        <v>10</v>
      </c>
      <c r="K488" s="501" t="s">
        <v>385</v>
      </c>
      <c r="L488" s="502">
        <v>14.5</v>
      </c>
      <c r="M488" s="502">
        <v>16.11</v>
      </c>
      <c r="N488" s="500">
        <v>0.12</v>
      </c>
      <c r="O488" s="500">
        <v>0.11700000000000001</v>
      </c>
      <c r="P488" s="500">
        <v>0.129</v>
      </c>
      <c r="Q488" s="78">
        <v>0.44</v>
      </c>
      <c r="R488" s="78">
        <v>0.31740000000000002</v>
      </c>
      <c r="S488" s="69">
        <v>0</v>
      </c>
      <c r="T488" s="69">
        <v>0</v>
      </c>
      <c r="U488" s="500">
        <v>0.7</v>
      </c>
      <c r="V488" s="76">
        <v>0</v>
      </c>
      <c r="W488" s="76">
        <v>250</v>
      </c>
      <c r="X488" s="76"/>
    </row>
    <row r="489" spans="1:24" x14ac:dyDescent="0.25">
      <c r="A489" s="75" t="str">
        <f t="shared" si="14"/>
        <v>Liquidez PF Wealth &amp; Premier Executive Pago_Fijo_Puntual 10</v>
      </c>
      <c r="B489" s="75" t="str">
        <f t="shared" si="15"/>
        <v>Liquidez PF Wealth &amp; Premier Executive Pago_Fijo_Puntual 10 0.12</v>
      </c>
      <c r="C489" s="75" t="s">
        <v>115</v>
      </c>
      <c r="D489" s="75" t="s">
        <v>132</v>
      </c>
      <c r="E489" s="75" t="s">
        <v>175</v>
      </c>
      <c r="F489" s="75"/>
      <c r="G489" s="75"/>
      <c r="H489" s="75"/>
      <c r="I489" s="75" t="s">
        <v>171</v>
      </c>
      <c r="J489" s="501">
        <v>10</v>
      </c>
      <c r="K489" s="501" t="s">
        <v>386</v>
      </c>
      <c r="L489" s="502">
        <v>14.5</v>
      </c>
      <c r="M489" s="502">
        <v>16.11</v>
      </c>
      <c r="N489" s="500">
        <v>0.12</v>
      </c>
      <c r="O489" s="500">
        <v>0.11700000000000001</v>
      </c>
      <c r="P489" s="500">
        <v>0.129</v>
      </c>
      <c r="Q489" s="78">
        <v>0.44</v>
      </c>
      <c r="R489" s="78">
        <v>0.31740000000000002</v>
      </c>
      <c r="S489" s="69">
        <v>0</v>
      </c>
      <c r="T489" s="69">
        <v>0</v>
      </c>
      <c r="U489" s="500">
        <v>0.7</v>
      </c>
      <c r="V489" s="76">
        <v>0</v>
      </c>
      <c r="W489" s="76">
        <v>250</v>
      </c>
      <c r="X489" s="76"/>
    </row>
    <row r="490" spans="1:24" x14ac:dyDescent="0.25">
      <c r="A490" s="75" t="str">
        <f t="shared" si="14"/>
        <v>Liquidez PF Wealth &amp; Premier Executive Pago_Fijo_Puntual 5</v>
      </c>
      <c r="B490" s="75" t="str">
        <f t="shared" si="15"/>
        <v>Liquidez PF Wealth &amp; Premier Executive Pago_Fijo_Puntual 5 0.12</v>
      </c>
      <c r="C490" s="75" t="s">
        <v>115</v>
      </c>
      <c r="D490" s="75" t="s">
        <v>132</v>
      </c>
      <c r="E490" s="75" t="s">
        <v>175</v>
      </c>
      <c r="F490" s="75"/>
      <c r="G490" s="75"/>
      <c r="H490" s="75"/>
      <c r="I490" s="75" t="s">
        <v>171</v>
      </c>
      <c r="J490" s="501">
        <v>5</v>
      </c>
      <c r="K490" s="501" t="s">
        <v>385</v>
      </c>
      <c r="L490" s="502">
        <v>22.29</v>
      </c>
      <c r="M490" s="502">
        <v>23.9</v>
      </c>
      <c r="N490" s="500">
        <v>0.12</v>
      </c>
      <c r="O490" s="500">
        <v>0.11700000000000001</v>
      </c>
      <c r="P490" s="500">
        <v>0.129</v>
      </c>
      <c r="Q490" s="78">
        <v>0.44</v>
      </c>
      <c r="R490" s="78">
        <v>0.31740000000000002</v>
      </c>
      <c r="S490" s="69">
        <v>0</v>
      </c>
      <c r="T490" s="69">
        <v>0</v>
      </c>
      <c r="U490" s="500">
        <v>0.7</v>
      </c>
      <c r="V490" s="76">
        <v>0</v>
      </c>
      <c r="W490" s="76">
        <v>250</v>
      </c>
      <c r="X490" s="76"/>
    </row>
    <row r="491" spans="1:24" x14ac:dyDescent="0.25">
      <c r="A491" s="75" t="str">
        <f t="shared" si="14"/>
        <v>Liquidez PF Wealth &amp; Premier Executive Pago_Fijo_Puntual 5</v>
      </c>
      <c r="B491" s="75" t="str">
        <f t="shared" si="15"/>
        <v>Liquidez PF Wealth &amp; Premier Executive Pago_Fijo_Puntual 5 0.12</v>
      </c>
      <c r="C491" s="75" t="s">
        <v>115</v>
      </c>
      <c r="D491" s="75" t="s">
        <v>132</v>
      </c>
      <c r="E491" s="75" t="s">
        <v>175</v>
      </c>
      <c r="F491" s="75"/>
      <c r="G491" s="75"/>
      <c r="H491" s="75"/>
      <c r="I491" s="75" t="s">
        <v>171</v>
      </c>
      <c r="J491" s="501">
        <v>5</v>
      </c>
      <c r="K491" s="501" t="s">
        <v>386</v>
      </c>
      <c r="L491" s="502">
        <v>22.29</v>
      </c>
      <c r="M491" s="502">
        <v>23.9</v>
      </c>
      <c r="N491" s="500">
        <v>0.12</v>
      </c>
      <c r="O491" s="500">
        <v>0.11700000000000001</v>
      </c>
      <c r="P491" s="500">
        <v>0.129</v>
      </c>
      <c r="Q491" s="78">
        <v>0.44</v>
      </c>
      <c r="R491" s="78">
        <v>0.31740000000000002</v>
      </c>
      <c r="S491" s="69">
        <v>0</v>
      </c>
      <c r="T491" s="69">
        <v>0</v>
      </c>
      <c r="U491" s="500">
        <v>0.7</v>
      </c>
      <c r="V491" s="76">
        <v>0</v>
      </c>
      <c r="W491" s="76">
        <v>250</v>
      </c>
      <c r="X491" s="76"/>
    </row>
    <row r="492" spans="1:24" x14ac:dyDescent="0.25">
      <c r="A492" s="75" t="str">
        <f t="shared" si="14"/>
        <v>Liquidez PFAE Wealth &amp; Premier Executive Pago_Fijo_Puntual 15</v>
      </c>
      <c r="B492" s="75" t="str">
        <f t="shared" si="15"/>
        <v>Liquidez PFAE Wealth &amp; Premier Executive Pago_Fijo_Puntual 15 0.12</v>
      </c>
      <c r="C492" s="75" t="s">
        <v>115</v>
      </c>
      <c r="D492" s="75" t="s">
        <v>168</v>
      </c>
      <c r="E492" s="75" t="s">
        <v>175</v>
      </c>
      <c r="F492" s="75"/>
      <c r="G492" s="75"/>
      <c r="H492" s="75"/>
      <c r="I492" s="75" t="s">
        <v>171</v>
      </c>
      <c r="J492" s="501">
        <v>15</v>
      </c>
      <c r="K492" s="501" t="s">
        <v>385</v>
      </c>
      <c r="L492" s="502">
        <v>12.24</v>
      </c>
      <c r="M492" s="502">
        <v>13.85</v>
      </c>
      <c r="N492" s="500">
        <v>0.12</v>
      </c>
      <c r="O492" s="500">
        <v>0.11700000000000001</v>
      </c>
      <c r="P492" s="500">
        <v>0.129</v>
      </c>
      <c r="Q492" s="78">
        <v>0.44</v>
      </c>
      <c r="R492" s="78">
        <v>0.31740000000000002</v>
      </c>
      <c r="S492" s="69">
        <v>0</v>
      </c>
      <c r="T492" s="69">
        <v>0</v>
      </c>
      <c r="U492" s="500">
        <v>0.7</v>
      </c>
      <c r="V492" s="76">
        <v>0</v>
      </c>
      <c r="W492" s="76">
        <v>250</v>
      </c>
      <c r="X492" s="76"/>
    </row>
    <row r="493" spans="1:24" x14ac:dyDescent="0.25">
      <c r="A493" s="75" t="str">
        <f t="shared" si="14"/>
        <v>Liquidez PFAE Wealth &amp; Premier Executive Pago_Fijo_Puntual 15</v>
      </c>
      <c r="B493" s="75" t="str">
        <f t="shared" si="15"/>
        <v>Liquidez PFAE Wealth &amp; Premier Executive Pago_Fijo_Puntual 15 0.12</v>
      </c>
      <c r="C493" s="75" t="s">
        <v>115</v>
      </c>
      <c r="D493" s="75" t="s">
        <v>168</v>
      </c>
      <c r="E493" s="75" t="s">
        <v>175</v>
      </c>
      <c r="F493" s="75"/>
      <c r="G493" s="75"/>
      <c r="H493" s="75"/>
      <c r="I493" s="75" t="s">
        <v>171</v>
      </c>
      <c r="J493" s="501">
        <v>15</v>
      </c>
      <c r="K493" s="501" t="s">
        <v>386</v>
      </c>
      <c r="L493" s="502">
        <v>12.24</v>
      </c>
      <c r="M493" s="502">
        <v>13.85</v>
      </c>
      <c r="N493" s="500">
        <v>0.12</v>
      </c>
      <c r="O493" s="500">
        <v>0.11700000000000001</v>
      </c>
      <c r="P493" s="500">
        <v>0.129</v>
      </c>
      <c r="Q493" s="78">
        <v>0.44</v>
      </c>
      <c r="R493" s="78">
        <v>0.31740000000000002</v>
      </c>
      <c r="S493" s="69">
        <v>0</v>
      </c>
      <c r="T493" s="69">
        <v>0</v>
      </c>
      <c r="U493" s="500">
        <v>0.7</v>
      </c>
      <c r="V493" s="76">
        <v>0</v>
      </c>
      <c r="W493" s="76">
        <v>250</v>
      </c>
      <c r="X493" s="76"/>
    </row>
    <row r="494" spans="1:24" x14ac:dyDescent="0.25">
      <c r="A494" s="75" t="str">
        <f t="shared" si="14"/>
        <v>Liquidez PFAE Wealth &amp; Premier Executive Pago_Fijo_Puntual 10</v>
      </c>
      <c r="B494" s="75" t="str">
        <f t="shared" si="15"/>
        <v>Liquidez PFAE Wealth &amp; Premier Executive Pago_Fijo_Puntual 10 0.12</v>
      </c>
      <c r="C494" s="75" t="s">
        <v>115</v>
      </c>
      <c r="D494" s="75" t="s">
        <v>168</v>
      </c>
      <c r="E494" s="75" t="s">
        <v>175</v>
      </c>
      <c r="F494" s="75"/>
      <c r="G494" s="75"/>
      <c r="H494" s="75"/>
      <c r="I494" s="75" t="s">
        <v>171</v>
      </c>
      <c r="J494" s="501">
        <v>10</v>
      </c>
      <c r="K494" s="501" t="s">
        <v>385</v>
      </c>
      <c r="L494" s="502">
        <v>14.5</v>
      </c>
      <c r="M494" s="502">
        <v>16.11</v>
      </c>
      <c r="N494" s="500">
        <v>0.12</v>
      </c>
      <c r="O494" s="500">
        <v>0.11700000000000001</v>
      </c>
      <c r="P494" s="500">
        <v>0.129</v>
      </c>
      <c r="Q494" s="78">
        <v>0.44</v>
      </c>
      <c r="R494" s="78">
        <v>0.31740000000000002</v>
      </c>
      <c r="S494" s="69">
        <v>0</v>
      </c>
      <c r="T494" s="69">
        <v>0</v>
      </c>
      <c r="U494" s="500">
        <v>0.7</v>
      </c>
      <c r="V494" s="76">
        <v>0</v>
      </c>
      <c r="W494" s="76">
        <v>250</v>
      </c>
      <c r="X494" s="76"/>
    </row>
    <row r="495" spans="1:24" x14ac:dyDescent="0.25">
      <c r="A495" s="75" t="str">
        <f t="shared" si="14"/>
        <v>Liquidez PFAE Wealth &amp; Premier Executive Pago_Fijo_Puntual 10</v>
      </c>
      <c r="B495" s="75" t="str">
        <f t="shared" si="15"/>
        <v>Liquidez PFAE Wealth &amp; Premier Executive Pago_Fijo_Puntual 10 0.12</v>
      </c>
      <c r="C495" s="75" t="s">
        <v>115</v>
      </c>
      <c r="D495" s="75" t="s">
        <v>168</v>
      </c>
      <c r="E495" s="75" t="s">
        <v>175</v>
      </c>
      <c r="F495" s="75"/>
      <c r="G495" s="75"/>
      <c r="H495" s="75"/>
      <c r="I495" s="75" t="s">
        <v>171</v>
      </c>
      <c r="J495" s="501">
        <v>10</v>
      </c>
      <c r="K495" s="501" t="s">
        <v>386</v>
      </c>
      <c r="L495" s="502">
        <v>14.5</v>
      </c>
      <c r="M495" s="502">
        <v>16.11</v>
      </c>
      <c r="N495" s="500">
        <v>0.12</v>
      </c>
      <c r="O495" s="500">
        <v>0.11700000000000001</v>
      </c>
      <c r="P495" s="500">
        <v>0.129</v>
      </c>
      <c r="Q495" s="78">
        <v>0.44</v>
      </c>
      <c r="R495" s="78">
        <v>0.31740000000000002</v>
      </c>
      <c r="S495" s="69">
        <v>0</v>
      </c>
      <c r="T495" s="69">
        <v>0</v>
      </c>
      <c r="U495" s="500">
        <v>0.7</v>
      </c>
      <c r="V495" s="76">
        <v>0</v>
      </c>
      <c r="W495" s="76">
        <v>250</v>
      </c>
      <c r="X495" s="76"/>
    </row>
    <row r="496" spans="1:24" x14ac:dyDescent="0.25">
      <c r="A496" s="75" t="str">
        <f t="shared" si="14"/>
        <v>Liquidez PFAE Wealth &amp; Premier Executive Pago_Fijo_Puntual 5</v>
      </c>
      <c r="B496" s="75" t="str">
        <f t="shared" si="15"/>
        <v>Liquidez PFAE Wealth &amp; Premier Executive Pago_Fijo_Puntual 5 0.12</v>
      </c>
      <c r="C496" s="75" t="s">
        <v>115</v>
      </c>
      <c r="D496" s="75" t="s">
        <v>168</v>
      </c>
      <c r="E496" s="75" t="s">
        <v>175</v>
      </c>
      <c r="F496" s="75"/>
      <c r="G496" s="75"/>
      <c r="H496" s="75"/>
      <c r="I496" s="75" t="s">
        <v>171</v>
      </c>
      <c r="J496" s="501">
        <v>5</v>
      </c>
      <c r="K496" s="501" t="s">
        <v>385</v>
      </c>
      <c r="L496" s="502">
        <v>22.29</v>
      </c>
      <c r="M496" s="502">
        <v>23.9</v>
      </c>
      <c r="N496" s="500">
        <v>0.12</v>
      </c>
      <c r="O496" s="500">
        <v>0.11700000000000001</v>
      </c>
      <c r="P496" s="500">
        <v>0.129</v>
      </c>
      <c r="Q496" s="78">
        <v>0.44</v>
      </c>
      <c r="R496" s="78">
        <v>0.31740000000000002</v>
      </c>
      <c r="S496" s="69">
        <v>0</v>
      </c>
      <c r="T496" s="69">
        <v>0</v>
      </c>
      <c r="U496" s="500">
        <v>0.7</v>
      </c>
      <c r="V496" s="76">
        <v>0</v>
      </c>
      <c r="W496" s="76">
        <v>250</v>
      </c>
      <c r="X496" s="76"/>
    </row>
    <row r="497" spans="1:24" x14ac:dyDescent="0.25">
      <c r="A497" s="75" t="str">
        <f t="shared" si="14"/>
        <v>Liquidez PFAE Wealth &amp; Premier Executive Pago_Fijo_Puntual 5</v>
      </c>
      <c r="B497" s="75" t="str">
        <f t="shared" si="15"/>
        <v>Liquidez PFAE Wealth &amp; Premier Executive Pago_Fijo_Puntual 5 0.12</v>
      </c>
      <c r="C497" s="75" t="s">
        <v>115</v>
      </c>
      <c r="D497" s="75" t="s">
        <v>168</v>
      </c>
      <c r="E497" s="75" t="s">
        <v>175</v>
      </c>
      <c r="F497" s="75"/>
      <c r="G497" s="75"/>
      <c r="H497" s="75"/>
      <c r="I497" s="75" t="s">
        <v>171</v>
      </c>
      <c r="J497" s="501">
        <v>5</v>
      </c>
      <c r="K497" s="501" t="s">
        <v>386</v>
      </c>
      <c r="L497" s="502">
        <v>22.29</v>
      </c>
      <c r="M497" s="502">
        <v>23.9</v>
      </c>
      <c r="N497" s="500">
        <v>0.12</v>
      </c>
      <c r="O497" s="500">
        <v>0.11700000000000001</v>
      </c>
      <c r="P497" s="500">
        <v>0.129</v>
      </c>
      <c r="Q497" s="78">
        <v>0.44</v>
      </c>
      <c r="R497" s="78">
        <v>0.31740000000000002</v>
      </c>
      <c r="S497" s="69">
        <v>0</v>
      </c>
      <c r="T497" s="69">
        <v>0</v>
      </c>
      <c r="U497" s="500">
        <v>0.7</v>
      </c>
      <c r="V497" s="76">
        <v>0</v>
      </c>
      <c r="W497" s="76">
        <v>250</v>
      </c>
      <c r="X497" s="76"/>
    </row>
    <row r="498" spans="1:24" x14ac:dyDescent="0.25">
      <c r="A498" s="75" t="str">
        <f t="shared" si="14"/>
        <v>Liquidez PROF Wealth &amp; Premier Executive Pago_Fijo_Puntual 15</v>
      </c>
      <c r="B498" s="75" t="str">
        <f t="shared" si="15"/>
        <v>Liquidez PROF Wealth &amp; Premier Executive Pago_Fijo_Puntual 15 0.12</v>
      </c>
      <c r="C498" s="75" t="s">
        <v>115</v>
      </c>
      <c r="D498" s="75" t="s">
        <v>169</v>
      </c>
      <c r="E498" s="75" t="s">
        <v>175</v>
      </c>
      <c r="F498" s="75"/>
      <c r="G498" s="75"/>
      <c r="H498" s="75"/>
      <c r="I498" s="75" t="s">
        <v>171</v>
      </c>
      <c r="J498" s="501">
        <v>15</v>
      </c>
      <c r="K498" s="501" t="s">
        <v>385</v>
      </c>
      <c r="L498" s="502">
        <v>12.24</v>
      </c>
      <c r="M498" s="502">
        <v>13.85</v>
      </c>
      <c r="N498" s="500">
        <v>0.12</v>
      </c>
      <c r="O498" s="500">
        <v>0.11700000000000001</v>
      </c>
      <c r="P498" s="500">
        <v>0.129</v>
      </c>
      <c r="Q498" s="78">
        <v>0.44</v>
      </c>
      <c r="R498" s="78">
        <v>0.31740000000000002</v>
      </c>
      <c r="S498" s="69">
        <v>0</v>
      </c>
      <c r="T498" s="69">
        <v>0</v>
      </c>
      <c r="U498" s="500">
        <v>0.7</v>
      </c>
      <c r="V498" s="76">
        <v>0</v>
      </c>
      <c r="W498" s="76">
        <v>250</v>
      </c>
      <c r="X498" s="76"/>
    </row>
    <row r="499" spans="1:24" x14ac:dyDescent="0.25">
      <c r="A499" s="75" t="str">
        <f t="shared" si="14"/>
        <v>Liquidez PROF Wealth &amp; Premier Executive Pago_Fijo_Puntual 15</v>
      </c>
      <c r="B499" s="75" t="str">
        <f t="shared" si="15"/>
        <v>Liquidez PROF Wealth &amp; Premier Executive Pago_Fijo_Puntual 15 0.12</v>
      </c>
      <c r="C499" s="75" t="s">
        <v>115</v>
      </c>
      <c r="D499" s="75" t="s">
        <v>169</v>
      </c>
      <c r="E499" s="75" t="s">
        <v>175</v>
      </c>
      <c r="F499" s="75"/>
      <c r="G499" s="75"/>
      <c r="H499" s="75"/>
      <c r="I499" s="75" t="s">
        <v>171</v>
      </c>
      <c r="J499" s="501">
        <v>15</v>
      </c>
      <c r="K499" s="501" t="s">
        <v>386</v>
      </c>
      <c r="L499" s="502">
        <v>12.24</v>
      </c>
      <c r="M499" s="502">
        <v>13.85</v>
      </c>
      <c r="N499" s="500">
        <v>0.12</v>
      </c>
      <c r="O499" s="500">
        <v>0.11700000000000001</v>
      </c>
      <c r="P499" s="500">
        <v>0.129</v>
      </c>
      <c r="Q499" s="78">
        <v>0.44</v>
      </c>
      <c r="R499" s="78">
        <v>0.31740000000000002</v>
      </c>
      <c r="S499" s="69">
        <v>0</v>
      </c>
      <c r="T499" s="69">
        <v>0</v>
      </c>
      <c r="U499" s="500">
        <v>0.7</v>
      </c>
      <c r="V499" s="76">
        <v>0</v>
      </c>
      <c r="W499" s="76">
        <v>250</v>
      </c>
      <c r="X499" s="76"/>
    </row>
    <row r="500" spans="1:24" x14ac:dyDescent="0.25">
      <c r="A500" s="75" t="str">
        <f t="shared" si="14"/>
        <v>Liquidez PROF Wealth &amp; Premier Executive Pago_Fijo_Puntual 10</v>
      </c>
      <c r="B500" s="75" t="str">
        <f t="shared" si="15"/>
        <v>Liquidez PROF Wealth &amp; Premier Executive Pago_Fijo_Puntual 10 0.12</v>
      </c>
      <c r="C500" s="75" t="s">
        <v>115</v>
      </c>
      <c r="D500" s="75" t="s">
        <v>169</v>
      </c>
      <c r="E500" s="75" t="s">
        <v>175</v>
      </c>
      <c r="F500" s="75"/>
      <c r="G500" s="75"/>
      <c r="H500" s="75"/>
      <c r="I500" s="75" t="s">
        <v>171</v>
      </c>
      <c r="J500" s="501">
        <v>10</v>
      </c>
      <c r="K500" s="501" t="s">
        <v>385</v>
      </c>
      <c r="L500" s="502">
        <v>14.5</v>
      </c>
      <c r="M500" s="502">
        <v>16.11</v>
      </c>
      <c r="N500" s="500">
        <v>0.12</v>
      </c>
      <c r="O500" s="500">
        <v>0.11700000000000001</v>
      </c>
      <c r="P500" s="500">
        <v>0.129</v>
      </c>
      <c r="Q500" s="78">
        <v>0.44</v>
      </c>
      <c r="R500" s="78">
        <v>0.31740000000000002</v>
      </c>
      <c r="S500" s="69">
        <v>0</v>
      </c>
      <c r="T500" s="69">
        <v>0</v>
      </c>
      <c r="U500" s="500">
        <v>0.7</v>
      </c>
      <c r="V500" s="76">
        <v>0</v>
      </c>
      <c r="W500" s="76">
        <v>250</v>
      </c>
      <c r="X500" s="76"/>
    </row>
    <row r="501" spans="1:24" x14ac:dyDescent="0.25">
      <c r="A501" s="75" t="str">
        <f t="shared" si="14"/>
        <v>Liquidez PROF Wealth &amp; Premier Executive Pago_Fijo_Puntual 10</v>
      </c>
      <c r="B501" s="75" t="str">
        <f t="shared" si="15"/>
        <v>Liquidez PROF Wealth &amp; Premier Executive Pago_Fijo_Puntual 10 0.12</v>
      </c>
      <c r="C501" s="75" t="s">
        <v>115</v>
      </c>
      <c r="D501" s="75" t="s">
        <v>169</v>
      </c>
      <c r="E501" s="75" t="s">
        <v>175</v>
      </c>
      <c r="F501" s="75"/>
      <c r="G501" s="75"/>
      <c r="H501" s="75"/>
      <c r="I501" s="75" t="s">
        <v>171</v>
      </c>
      <c r="J501" s="501">
        <v>10</v>
      </c>
      <c r="K501" s="501" t="s">
        <v>386</v>
      </c>
      <c r="L501" s="502">
        <v>14.5</v>
      </c>
      <c r="M501" s="502">
        <v>16.11</v>
      </c>
      <c r="N501" s="500">
        <v>0.12</v>
      </c>
      <c r="O501" s="500">
        <v>0.11700000000000001</v>
      </c>
      <c r="P501" s="500">
        <v>0.129</v>
      </c>
      <c r="Q501" s="78">
        <v>0.44</v>
      </c>
      <c r="R501" s="78">
        <v>0.31740000000000002</v>
      </c>
      <c r="S501" s="69">
        <v>0</v>
      </c>
      <c r="T501" s="69">
        <v>0</v>
      </c>
      <c r="U501" s="500">
        <v>0.7</v>
      </c>
      <c r="V501" s="76">
        <v>0</v>
      </c>
      <c r="W501" s="76">
        <v>250</v>
      </c>
      <c r="X501" s="76"/>
    </row>
    <row r="502" spans="1:24" x14ac:dyDescent="0.25">
      <c r="A502" s="75" t="str">
        <f t="shared" si="14"/>
        <v>Liquidez PROF Wealth &amp; Premier Executive Pago_Fijo_Puntual 5</v>
      </c>
      <c r="B502" s="75" t="str">
        <f t="shared" si="15"/>
        <v>Liquidez PROF Wealth &amp; Premier Executive Pago_Fijo_Puntual 5 0.12</v>
      </c>
      <c r="C502" s="75" t="s">
        <v>115</v>
      </c>
      <c r="D502" s="75" t="s">
        <v>169</v>
      </c>
      <c r="E502" s="75" t="s">
        <v>175</v>
      </c>
      <c r="F502" s="75"/>
      <c r="G502" s="75"/>
      <c r="H502" s="75"/>
      <c r="I502" s="75" t="s">
        <v>171</v>
      </c>
      <c r="J502" s="501">
        <v>5</v>
      </c>
      <c r="K502" s="501" t="s">
        <v>385</v>
      </c>
      <c r="L502" s="502">
        <v>22.29</v>
      </c>
      <c r="M502" s="502">
        <v>23.9</v>
      </c>
      <c r="N502" s="500">
        <v>0.12</v>
      </c>
      <c r="O502" s="500">
        <v>0.11700000000000001</v>
      </c>
      <c r="P502" s="500">
        <v>0.129</v>
      </c>
      <c r="Q502" s="78">
        <v>0.44</v>
      </c>
      <c r="R502" s="78">
        <v>0.31740000000000002</v>
      </c>
      <c r="S502" s="69">
        <v>0</v>
      </c>
      <c r="T502" s="69">
        <v>0</v>
      </c>
      <c r="U502" s="500">
        <v>0.7</v>
      </c>
      <c r="V502" s="76">
        <v>0</v>
      </c>
      <c r="W502" s="76">
        <v>250</v>
      </c>
      <c r="X502" s="76"/>
    </row>
    <row r="503" spans="1:24" x14ac:dyDescent="0.25">
      <c r="A503" s="75" t="str">
        <f t="shared" si="14"/>
        <v>Liquidez PROF Wealth &amp; Premier Executive Pago_Fijo_Puntual 5</v>
      </c>
      <c r="B503" s="75" t="str">
        <f t="shared" si="15"/>
        <v>Liquidez PROF Wealth &amp; Premier Executive Pago_Fijo_Puntual 5 0.12</v>
      </c>
      <c r="C503" s="75" t="s">
        <v>115</v>
      </c>
      <c r="D503" s="75" t="s">
        <v>169</v>
      </c>
      <c r="E503" s="75" t="s">
        <v>175</v>
      </c>
      <c r="F503" s="75"/>
      <c r="G503" s="75"/>
      <c r="H503" s="75"/>
      <c r="I503" s="75" t="s">
        <v>171</v>
      </c>
      <c r="J503" s="501">
        <v>5</v>
      </c>
      <c r="K503" s="501" t="s">
        <v>386</v>
      </c>
      <c r="L503" s="502">
        <v>22.29</v>
      </c>
      <c r="M503" s="502">
        <v>23.9</v>
      </c>
      <c r="N503" s="500">
        <v>0.12</v>
      </c>
      <c r="O503" s="500">
        <v>0.11700000000000001</v>
      </c>
      <c r="P503" s="500">
        <v>0.129</v>
      </c>
      <c r="Q503" s="78">
        <v>0.44</v>
      </c>
      <c r="R503" s="78">
        <v>0.31740000000000002</v>
      </c>
      <c r="S503" s="69">
        <v>0</v>
      </c>
      <c r="T503" s="69">
        <v>0</v>
      </c>
      <c r="U503" s="500">
        <v>0.7</v>
      </c>
      <c r="V503" s="76">
        <v>0</v>
      </c>
      <c r="W503" s="76">
        <v>250</v>
      </c>
      <c r="X503" s="76"/>
    </row>
    <row r="504" spans="1:24" x14ac:dyDescent="0.25">
      <c r="A504" s="75" t="str">
        <f t="shared" si="14"/>
        <v>Adquisicion PF Wealth &amp; Premier Executive Mercado_Abierto Pago_Bajo_Puntual Si 25</v>
      </c>
      <c r="B504" s="75" t="str">
        <f t="shared" si="15"/>
        <v>Adquisicion PF Wealth &amp; Premier Executive Mercado_Abierto Pago_Bajo_Puntual Si 25 0.103</v>
      </c>
      <c r="C504" s="75" t="s">
        <v>114</v>
      </c>
      <c r="D504" s="75" t="s">
        <v>132</v>
      </c>
      <c r="E504" s="75" t="s">
        <v>175</v>
      </c>
      <c r="F504" s="75"/>
      <c r="G504" s="75" t="s">
        <v>396</v>
      </c>
      <c r="H504" s="75"/>
      <c r="I504" s="75" t="s">
        <v>170</v>
      </c>
      <c r="J504" s="503">
        <v>25</v>
      </c>
      <c r="K504" s="503" t="s">
        <v>387</v>
      </c>
      <c r="L504" s="504">
        <v>8.42</v>
      </c>
      <c r="M504" s="504">
        <v>8.69</v>
      </c>
      <c r="N504" s="505">
        <v>0.10299999999999999</v>
      </c>
      <c r="O504" s="505">
        <v>0.1</v>
      </c>
      <c r="P504" s="505">
        <v>0.112</v>
      </c>
      <c r="Q504" s="78">
        <v>0.44</v>
      </c>
      <c r="R504" s="78">
        <v>0.31740000000000002</v>
      </c>
      <c r="S504" s="69">
        <v>0</v>
      </c>
      <c r="T504" s="69">
        <v>0</v>
      </c>
      <c r="U504" s="505">
        <v>0.9</v>
      </c>
      <c r="V504" s="76">
        <v>0</v>
      </c>
      <c r="W504" s="76">
        <v>0</v>
      </c>
      <c r="X504" s="76" t="s">
        <v>147</v>
      </c>
    </row>
    <row r="505" spans="1:24" x14ac:dyDescent="0.25">
      <c r="A505" s="75" t="str">
        <f t="shared" si="14"/>
        <v>Adquisicion PF Wealth &amp; Premier Executive Mercado_Abierto Pago_Bajo_Puntual 25</v>
      </c>
      <c r="B505" s="75" t="str">
        <f t="shared" si="15"/>
        <v>Adquisicion PF Wealth &amp; Premier Executive Mercado_Abierto Pago_Bajo_Puntual 25 0.106</v>
      </c>
      <c r="C505" s="75" t="s">
        <v>114</v>
      </c>
      <c r="D505" s="75" t="s">
        <v>132</v>
      </c>
      <c r="E505" s="75" t="s">
        <v>175</v>
      </c>
      <c r="F505" s="75"/>
      <c r="G505" s="75" t="s">
        <v>396</v>
      </c>
      <c r="H505" s="75"/>
      <c r="I505" s="75" t="s">
        <v>170</v>
      </c>
      <c r="J505" s="503">
        <v>25</v>
      </c>
      <c r="K505" s="503">
        <v>3</v>
      </c>
      <c r="L505" s="504">
        <v>9.0821799999999993</v>
      </c>
      <c r="M505" s="504">
        <v>9.35</v>
      </c>
      <c r="N505" s="505">
        <v>0.106</v>
      </c>
      <c r="O505" s="505">
        <v>0.10299999999999999</v>
      </c>
      <c r="P505" s="505">
        <v>0.11799999999999999</v>
      </c>
      <c r="Q505" s="78">
        <v>0.44</v>
      </c>
      <c r="R505" s="78">
        <v>0.31740000000000002</v>
      </c>
      <c r="S505" s="69">
        <v>0</v>
      </c>
      <c r="T505" s="69">
        <v>0</v>
      </c>
      <c r="U505" s="505">
        <v>0.85</v>
      </c>
      <c r="V505" s="76">
        <v>0</v>
      </c>
      <c r="W505" s="76">
        <v>0</v>
      </c>
      <c r="X505" s="76"/>
    </row>
    <row r="506" spans="1:24" x14ac:dyDescent="0.25">
      <c r="A506" s="75" t="str">
        <f t="shared" si="14"/>
        <v>Adquisicion PF Wealth &amp; Premier Executive Mercado_Abierto Pago_Bajo_Puntual Si 20</v>
      </c>
      <c r="B506" s="75" t="str">
        <f t="shared" si="15"/>
        <v>Adquisicion PF Wealth &amp; Premier Executive Mercado_Abierto Pago_Bajo_Puntual Si 20 0.103</v>
      </c>
      <c r="C506" s="75" t="s">
        <v>114</v>
      </c>
      <c r="D506" s="75" t="s">
        <v>132</v>
      </c>
      <c r="E506" s="75" t="s">
        <v>175</v>
      </c>
      <c r="F506" s="75"/>
      <c r="G506" s="75" t="s">
        <v>396</v>
      </c>
      <c r="H506" s="75"/>
      <c r="I506" s="75" t="s">
        <v>170</v>
      </c>
      <c r="J506" s="503">
        <v>20</v>
      </c>
      <c r="K506" s="503" t="s">
        <v>387</v>
      </c>
      <c r="L506" s="504">
        <v>9</v>
      </c>
      <c r="M506" s="504">
        <v>9.66</v>
      </c>
      <c r="N506" s="505">
        <v>0.10299999999999999</v>
      </c>
      <c r="O506" s="505">
        <v>0.1</v>
      </c>
      <c r="P506" s="505">
        <v>0.112</v>
      </c>
      <c r="Q506" s="78">
        <v>0.44</v>
      </c>
      <c r="R506" s="78">
        <v>0.31740000000000002</v>
      </c>
      <c r="S506" s="69">
        <v>0</v>
      </c>
      <c r="T506" s="69">
        <v>0</v>
      </c>
      <c r="U506" s="505">
        <v>0.9</v>
      </c>
      <c r="V506" s="76">
        <v>0</v>
      </c>
      <c r="W506" s="76">
        <v>0</v>
      </c>
      <c r="X506" s="76" t="s">
        <v>147</v>
      </c>
    </row>
    <row r="507" spans="1:24" x14ac:dyDescent="0.25">
      <c r="A507" s="75" t="str">
        <f t="shared" si="14"/>
        <v>Adquisicion PF Wealth &amp; Premier Executive Mercado_Abierto Pago_Bajo_Puntual 20</v>
      </c>
      <c r="B507" s="75" t="str">
        <f t="shared" si="15"/>
        <v>Adquisicion PF Wealth &amp; Premier Executive Mercado_Abierto Pago_Bajo_Puntual 20 0.106</v>
      </c>
      <c r="C507" s="75" t="s">
        <v>114</v>
      </c>
      <c r="D507" s="75" t="s">
        <v>132</v>
      </c>
      <c r="E507" s="75" t="s">
        <v>175</v>
      </c>
      <c r="F507" s="75"/>
      <c r="G507" s="75" t="s">
        <v>396</v>
      </c>
      <c r="H507" s="75"/>
      <c r="I507" s="75" t="s">
        <v>170</v>
      </c>
      <c r="J507" s="503">
        <v>20</v>
      </c>
      <c r="K507" s="503">
        <v>3</v>
      </c>
      <c r="L507" s="504">
        <v>9.24</v>
      </c>
      <c r="M507" s="504">
        <v>9.9</v>
      </c>
      <c r="N507" s="505">
        <v>0.106</v>
      </c>
      <c r="O507" s="505">
        <v>0.10299999999999999</v>
      </c>
      <c r="P507" s="505">
        <v>0.11799999999999999</v>
      </c>
      <c r="Q507" s="78">
        <v>0.44</v>
      </c>
      <c r="R507" s="78">
        <v>0.31740000000000002</v>
      </c>
      <c r="S507" s="69">
        <v>0</v>
      </c>
      <c r="T507" s="69">
        <v>0</v>
      </c>
      <c r="U507" s="505">
        <v>0.85</v>
      </c>
      <c r="V507" s="76">
        <v>0</v>
      </c>
      <c r="W507" s="76">
        <v>0</v>
      </c>
      <c r="X507" s="76"/>
    </row>
    <row r="508" spans="1:24" x14ac:dyDescent="0.25">
      <c r="A508" s="75" t="str">
        <f t="shared" si="14"/>
        <v>Adquisicion PF Wealth &amp; Premier Executive Mercado_Abierto Pago_Bajo_Puntual Si 15</v>
      </c>
      <c r="B508" s="75" t="str">
        <f t="shared" si="15"/>
        <v>Adquisicion PF Wealth &amp; Premier Executive Mercado_Abierto Pago_Bajo_Puntual Si 15 0.103</v>
      </c>
      <c r="C508" s="75" t="s">
        <v>114</v>
      </c>
      <c r="D508" s="75" t="s">
        <v>132</v>
      </c>
      <c r="E508" s="75" t="s">
        <v>175</v>
      </c>
      <c r="F508" s="75"/>
      <c r="G508" s="75" t="s">
        <v>396</v>
      </c>
      <c r="H508" s="75"/>
      <c r="I508" s="75" t="s">
        <v>170</v>
      </c>
      <c r="J508" s="503">
        <v>15</v>
      </c>
      <c r="K508" s="503" t="s">
        <v>387</v>
      </c>
      <c r="L508" s="504">
        <v>10.119999999999999</v>
      </c>
      <c r="M508" s="504">
        <v>10.78</v>
      </c>
      <c r="N508" s="505">
        <v>0.10299999999999999</v>
      </c>
      <c r="O508" s="505">
        <v>0.1</v>
      </c>
      <c r="P508" s="505">
        <v>0.112</v>
      </c>
      <c r="Q508" s="78">
        <v>0.44</v>
      </c>
      <c r="R508" s="78">
        <v>0.31740000000000002</v>
      </c>
      <c r="S508" s="69">
        <v>0</v>
      </c>
      <c r="T508" s="69">
        <v>0</v>
      </c>
      <c r="U508" s="505">
        <v>0.9</v>
      </c>
      <c r="V508" s="76">
        <v>0</v>
      </c>
      <c r="W508" s="76">
        <v>0</v>
      </c>
      <c r="X508" s="76" t="s">
        <v>147</v>
      </c>
    </row>
    <row r="509" spans="1:24" x14ac:dyDescent="0.25">
      <c r="A509" s="75" t="str">
        <f t="shared" si="14"/>
        <v>Adquisicion PF Wealth &amp; Premier Executive Mercado_Abierto Pago_Bajo_Puntual 15</v>
      </c>
      <c r="B509" s="75" t="str">
        <f t="shared" si="15"/>
        <v>Adquisicion PF Wealth &amp; Premier Executive Mercado_Abierto Pago_Bajo_Puntual 15 0.106</v>
      </c>
      <c r="C509" s="75" t="s">
        <v>114</v>
      </c>
      <c r="D509" s="75" t="s">
        <v>132</v>
      </c>
      <c r="E509" s="75" t="s">
        <v>175</v>
      </c>
      <c r="F509" s="75"/>
      <c r="G509" s="75" t="s">
        <v>396</v>
      </c>
      <c r="H509" s="75"/>
      <c r="I509" s="75" t="s">
        <v>170</v>
      </c>
      <c r="J509" s="503">
        <v>15</v>
      </c>
      <c r="K509" s="503">
        <v>3</v>
      </c>
      <c r="L509" s="504">
        <v>10.33</v>
      </c>
      <c r="M509" s="504">
        <v>10.99</v>
      </c>
      <c r="N509" s="505">
        <v>0.106</v>
      </c>
      <c r="O509" s="505">
        <v>0.10299999999999999</v>
      </c>
      <c r="P509" s="505">
        <v>0.11799999999999999</v>
      </c>
      <c r="Q509" s="78">
        <v>0.44</v>
      </c>
      <c r="R509" s="78">
        <v>0.31740000000000002</v>
      </c>
      <c r="S509" s="69">
        <v>0</v>
      </c>
      <c r="T509" s="69">
        <v>0</v>
      </c>
      <c r="U509" s="505">
        <v>0.85</v>
      </c>
      <c r="V509" s="76">
        <v>0</v>
      </c>
      <c r="W509" s="76">
        <v>0</v>
      </c>
      <c r="X509" s="76"/>
    </row>
    <row r="510" spans="1:24" x14ac:dyDescent="0.25">
      <c r="A510" s="75" t="str">
        <f t="shared" si="14"/>
        <v>Adquisicion PF Wealth &amp; Premier Executive Mercado_Abierto Pago_Bajo_Puntual Si 10</v>
      </c>
      <c r="B510" s="75" t="str">
        <f t="shared" si="15"/>
        <v>Adquisicion PF Wealth &amp; Premier Executive Mercado_Abierto Pago_Bajo_Puntual Si 10 0.103</v>
      </c>
      <c r="C510" s="75" t="s">
        <v>114</v>
      </c>
      <c r="D510" s="75" t="s">
        <v>132</v>
      </c>
      <c r="E510" s="75" t="s">
        <v>175</v>
      </c>
      <c r="F510" s="75"/>
      <c r="G510" s="75" t="s">
        <v>396</v>
      </c>
      <c r="H510" s="75"/>
      <c r="I510" s="75" t="s">
        <v>170</v>
      </c>
      <c r="J510" s="503">
        <v>10</v>
      </c>
      <c r="K510" s="503" t="s">
        <v>387</v>
      </c>
      <c r="L510" s="504">
        <v>12.62</v>
      </c>
      <c r="M510" s="504">
        <v>13.28</v>
      </c>
      <c r="N510" s="505">
        <v>0.10299999999999999</v>
      </c>
      <c r="O510" s="505">
        <v>0.1</v>
      </c>
      <c r="P510" s="505">
        <v>0.112</v>
      </c>
      <c r="Q510" s="78">
        <v>0.44</v>
      </c>
      <c r="R510" s="78">
        <v>0.31740000000000002</v>
      </c>
      <c r="S510" s="69">
        <v>0</v>
      </c>
      <c r="T510" s="69">
        <v>0</v>
      </c>
      <c r="U510" s="505">
        <v>0.9</v>
      </c>
      <c r="V510" s="76">
        <v>0</v>
      </c>
      <c r="W510" s="76">
        <v>0</v>
      </c>
      <c r="X510" s="76" t="s">
        <v>147</v>
      </c>
    </row>
    <row r="511" spans="1:24" x14ac:dyDescent="0.25">
      <c r="A511" s="75" t="str">
        <f t="shared" si="14"/>
        <v>Adquisicion PF Wealth &amp; Premier Executive Mercado_Abierto Pago_Bajo_Puntual 10</v>
      </c>
      <c r="B511" s="75" t="str">
        <f t="shared" si="15"/>
        <v>Adquisicion PF Wealth &amp; Premier Executive Mercado_Abierto Pago_Bajo_Puntual 10 0.106</v>
      </c>
      <c r="C511" s="75" t="s">
        <v>114</v>
      </c>
      <c r="D511" s="75" t="s">
        <v>132</v>
      </c>
      <c r="E511" s="75" t="s">
        <v>175</v>
      </c>
      <c r="F511" s="75"/>
      <c r="G511" s="75" t="s">
        <v>396</v>
      </c>
      <c r="H511" s="75"/>
      <c r="I511" s="75" t="s">
        <v>170</v>
      </c>
      <c r="J511" s="503">
        <v>10</v>
      </c>
      <c r="K511" s="503">
        <v>3</v>
      </c>
      <c r="L511" s="504">
        <v>12.78</v>
      </c>
      <c r="M511" s="504">
        <v>13.44</v>
      </c>
      <c r="N511" s="505">
        <v>0.106</v>
      </c>
      <c r="O511" s="505">
        <v>0.10299999999999999</v>
      </c>
      <c r="P511" s="505">
        <v>0.11799999999999999</v>
      </c>
      <c r="Q511" s="78">
        <v>0.44</v>
      </c>
      <c r="R511" s="78">
        <v>0.31740000000000002</v>
      </c>
      <c r="S511" s="69">
        <v>0</v>
      </c>
      <c r="T511" s="69">
        <v>0</v>
      </c>
      <c r="U511" s="505">
        <v>0.85</v>
      </c>
      <c r="V511" s="76">
        <v>0</v>
      </c>
      <c r="W511" s="76">
        <v>0</v>
      </c>
      <c r="X511" s="76"/>
    </row>
    <row r="512" spans="1:24" x14ac:dyDescent="0.25">
      <c r="A512" s="75" t="str">
        <f t="shared" si="14"/>
        <v>Adquisicion PF Wealth &amp; Premier Executive Mercado_Abierto Pago_Bajo_Puntual Si 5</v>
      </c>
      <c r="B512" s="75" t="str">
        <f t="shared" si="15"/>
        <v>Adquisicion PF Wealth &amp; Premier Executive Mercado_Abierto Pago_Bajo_Puntual Si 5 0.103</v>
      </c>
      <c r="C512" s="75" t="s">
        <v>114</v>
      </c>
      <c r="D512" s="75" t="s">
        <v>132</v>
      </c>
      <c r="E512" s="75" t="s">
        <v>175</v>
      </c>
      <c r="F512" s="75"/>
      <c r="G512" s="75" t="s">
        <v>396</v>
      </c>
      <c r="H512" s="75"/>
      <c r="I512" s="75" t="s">
        <v>170</v>
      </c>
      <c r="J512" s="503">
        <v>5</v>
      </c>
      <c r="K512" s="503" t="s">
        <v>387</v>
      </c>
      <c r="L512" s="504">
        <v>20.72</v>
      </c>
      <c r="M512" s="504">
        <v>21.38</v>
      </c>
      <c r="N512" s="505">
        <v>0.10299999999999999</v>
      </c>
      <c r="O512" s="505">
        <v>0.1</v>
      </c>
      <c r="P512" s="505">
        <v>0.112</v>
      </c>
      <c r="Q512" s="78">
        <v>0.44</v>
      </c>
      <c r="R512" s="78">
        <v>0.31740000000000002</v>
      </c>
      <c r="S512" s="69">
        <v>0</v>
      </c>
      <c r="T512" s="69">
        <v>0</v>
      </c>
      <c r="U512" s="505">
        <v>0.9</v>
      </c>
      <c r="V512" s="76">
        <v>0</v>
      </c>
      <c r="W512" s="76">
        <v>0</v>
      </c>
      <c r="X512" s="76" t="s">
        <v>147</v>
      </c>
    </row>
    <row r="513" spans="1:24" x14ac:dyDescent="0.25">
      <c r="A513" s="75" t="str">
        <f t="shared" si="14"/>
        <v>Adquisicion PF Wealth &amp; Premier Executive Mercado_Abierto Pago_Bajo_Puntual 5</v>
      </c>
      <c r="B513" s="75" t="str">
        <f t="shared" si="15"/>
        <v>Adquisicion PF Wealth &amp; Premier Executive Mercado_Abierto Pago_Bajo_Puntual 5 0.106</v>
      </c>
      <c r="C513" s="75" t="s">
        <v>114</v>
      </c>
      <c r="D513" s="75" t="s">
        <v>132</v>
      </c>
      <c r="E513" s="75" t="s">
        <v>175</v>
      </c>
      <c r="F513" s="75"/>
      <c r="G513" s="75" t="s">
        <v>396</v>
      </c>
      <c r="H513" s="75"/>
      <c r="I513" s="75" t="s">
        <v>170</v>
      </c>
      <c r="J513" s="503">
        <v>5</v>
      </c>
      <c r="K513" s="503">
        <v>3</v>
      </c>
      <c r="L513" s="504">
        <v>20.86</v>
      </c>
      <c r="M513" s="504">
        <v>21.52</v>
      </c>
      <c r="N513" s="505">
        <v>0.106</v>
      </c>
      <c r="O513" s="505">
        <v>0.10299999999999999</v>
      </c>
      <c r="P513" s="505">
        <v>0.11799999999999999</v>
      </c>
      <c r="Q513" s="78">
        <v>0.44</v>
      </c>
      <c r="R513" s="78">
        <v>0.31740000000000002</v>
      </c>
      <c r="S513" s="69">
        <v>0</v>
      </c>
      <c r="T513" s="69">
        <v>0</v>
      </c>
      <c r="U513" s="505">
        <v>0.85</v>
      </c>
      <c r="V513" s="76">
        <v>0</v>
      </c>
      <c r="W513" s="76">
        <v>0</v>
      </c>
      <c r="X513" s="76"/>
    </row>
    <row r="514" spans="1:24" x14ac:dyDescent="0.25">
      <c r="A514" s="75" t="str">
        <f t="shared" ref="A514:A577" si="16">TRIM(CONCATENATE(C514," ",D514," ",E514," ",F514," ",G514," ",I514," ",X514," ",J514))</f>
        <v>Adquisicion PFAE Wealth &amp; Premier Executive Mercado_Abierto Pago_Bajo_Puntual Si 25</v>
      </c>
      <c r="B514" s="75" t="str">
        <f t="shared" ref="B514:B577" si="17">CONCATENATE(A514," ",N514)</f>
        <v>Adquisicion PFAE Wealth &amp; Premier Executive Mercado_Abierto Pago_Bajo_Puntual Si 25 0.103</v>
      </c>
      <c r="C514" s="75" t="s">
        <v>114</v>
      </c>
      <c r="D514" s="75" t="s">
        <v>168</v>
      </c>
      <c r="E514" s="75" t="s">
        <v>175</v>
      </c>
      <c r="F514" s="75"/>
      <c r="G514" s="75" t="s">
        <v>396</v>
      </c>
      <c r="H514" s="75"/>
      <c r="I514" s="75" t="s">
        <v>170</v>
      </c>
      <c r="J514" s="503">
        <v>25</v>
      </c>
      <c r="K514" s="503" t="s">
        <v>387</v>
      </c>
      <c r="L514" s="504">
        <v>8.42</v>
      </c>
      <c r="M514" s="504">
        <v>8.69</v>
      </c>
      <c r="N514" s="505">
        <v>0.10299999999999999</v>
      </c>
      <c r="O514" s="505">
        <v>0.1</v>
      </c>
      <c r="P514" s="505">
        <v>0.112</v>
      </c>
      <c r="Q514" s="78">
        <v>0.44</v>
      </c>
      <c r="R514" s="78">
        <v>0.31740000000000002</v>
      </c>
      <c r="S514" s="69">
        <v>0</v>
      </c>
      <c r="T514" s="69">
        <v>0</v>
      </c>
      <c r="U514" s="505">
        <v>0.85</v>
      </c>
      <c r="V514" s="76">
        <v>0</v>
      </c>
      <c r="W514" s="76">
        <v>0</v>
      </c>
      <c r="X514" s="76" t="s">
        <v>147</v>
      </c>
    </row>
    <row r="515" spans="1:24" x14ac:dyDescent="0.25">
      <c r="A515" s="75" t="str">
        <f t="shared" si="16"/>
        <v>Adquisicion PFAE Wealth &amp; Premier Executive Mercado_Abierto Pago_Bajo_Puntual 25</v>
      </c>
      <c r="B515" s="75" t="str">
        <f t="shared" si="17"/>
        <v>Adquisicion PFAE Wealth &amp; Premier Executive Mercado_Abierto Pago_Bajo_Puntual 25 0.106</v>
      </c>
      <c r="C515" s="75" t="s">
        <v>114</v>
      </c>
      <c r="D515" s="75" t="s">
        <v>168</v>
      </c>
      <c r="E515" s="75" t="s">
        <v>175</v>
      </c>
      <c r="F515" s="75"/>
      <c r="G515" s="75" t="s">
        <v>396</v>
      </c>
      <c r="H515" s="75"/>
      <c r="I515" s="75" t="s">
        <v>170</v>
      </c>
      <c r="J515" s="503">
        <v>25</v>
      </c>
      <c r="K515" s="503">
        <v>3</v>
      </c>
      <c r="L515" s="504">
        <v>9.0821799999999993</v>
      </c>
      <c r="M515" s="504">
        <v>9.35</v>
      </c>
      <c r="N515" s="505">
        <v>0.106</v>
      </c>
      <c r="O515" s="505">
        <v>0.10299999999999999</v>
      </c>
      <c r="P515" s="505">
        <v>0.11799999999999999</v>
      </c>
      <c r="Q515" s="78">
        <v>0.44</v>
      </c>
      <c r="R515" s="78">
        <v>0.31740000000000002</v>
      </c>
      <c r="S515" s="69">
        <v>0</v>
      </c>
      <c r="T515" s="69">
        <v>0</v>
      </c>
      <c r="U515" s="505">
        <v>0.7</v>
      </c>
      <c r="V515" s="76">
        <v>0</v>
      </c>
      <c r="W515" s="76">
        <v>0</v>
      </c>
      <c r="X515" s="76"/>
    </row>
    <row r="516" spans="1:24" x14ac:dyDescent="0.25">
      <c r="A516" s="75" t="str">
        <f t="shared" si="16"/>
        <v>Adquisicion PFAE Wealth &amp; Premier Executive Mercado_Abierto Pago_Bajo_Puntual Si 20</v>
      </c>
      <c r="B516" s="75" t="str">
        <f t="shared" si="17"/>
        <v>Adquisicion PFAE Wealth &amp; Premier Executive Mercado_Abierto Pago_Bajo_Puntual Si 20 0.103</v>
      </c>
      <c r="C516" s="75" t="s">
        <v>114</v>
      </c>
      <c r="D516" s="75" t="s">
        <v>168</v>
      </c>
      <c r="E516" s="75" t="s">
        <v>175</v>
      </c>
      <c r="F516" s="75"/>
      <c r="G516" s="75" t="s">
        <v>396</v>
      </c>
      <c r="H516" s="75"/>
      <c r="I516" s="75" t="s">
        <v>170</v>
      </c>
      <c r="J516" s="503">
        <v>20</v>
      </c>
      <c r="K516" s="503" t="s">
        <v>387</v>
      </c>
      <c r="L516" s="504">
        <v>9</v>
      </c>
      <c r="M516" s="504">
        <v>9.66</v>
      </c>
      <c r="N516" s="505">
        <v>0.10299999999999999</v>
      </c>
      <c r="O516" s="505">
        <v>0.1</v>
      </c>
      <c r="P516" s="505">
        <v>0.112</v>
      </c>
      <c r="Q516" s="78">
        <v>0.44</v>
      </c>
      <c r="R516" s="78">
        <v>0.31740000000000002</v>
      </c>
      <c r="S516" s="69">
        <v>0</v>
      </c>
      <c r="T516" s="69">
        <v>0</v>
      </c>
      <c r="U516" s="505">
        <v>0.85</v>
      </c>
      <c r="V516" s="76">
        <v>0</v>
      </c>
      <c r="W516" s="76">
        <v>0</v>
      </c>
      <c r="X516" s="76" t="s">
        <v>147</v>
      </c>
    </row>
    <row r="517" spans="1:24" x14ac:dyDescent="0.25">
      <c r="A517" s="75" t="str">
        <f t="shared" si="16"/>
        <v>Adquisicion PFAE Wealth &amp; Premier Executive Mercado_Abierto Pago_Bajo_Puntual 20</v>
      </c>
      <c r="B517" s="75" t="str">
        <f t="shared" si="17"/>
        <v>Adquisicion PFAE Wealth &amp; Premier Executive Mercado_Abierto Pago_Bajo_Puntual 20 0.106</v>
      </c>
      <c r="C517" s="75" t="s">
        <v>114</v>
      </c>
      <c r="D517" s="75" t="s">
        <v>168</v>
      </c>
      <c r="E517" s="75" t="s">
        <v>175</v>
      </c>
      <c r="F517" s="75"/>
      <c r="G517" s="75" t="s">
        <v>396</v>
      </c>
      <c r="H517" s="75"/>
      <c r="I517" s="75" t="s">
        <v>170</v>
      </c>
      <c r="J517" s="503">
        <v>20</v>
      </c>
      <c r="K517" s="503">
        <v>3</v>
      </c>
      <c r="L517" s="504">
        <v>9.24</v>
      </c>
      <c r="M517" s="504">
        <v>9.9</v>
      </c>
      <c r="N517" s="505">
        <v>0.106</v>
      </c>
      <c r="O517" s="505">
        <v>0.10299999999999999</v>
      </c>
      <c r="P517" s="505">
        <v>0.11799999999999999</v>
      </c>
      <c r="Q517" s="78">
        <v>0.44</v>
      </c>
      <c r="R517" s="78">
        <v>0.31740000000000002</v>
      </c>
      <c r="S517" s="69">
        <v>0</v>
      </c>
      <c r="T517" s="69">
        <v>0</v>
      </c>
      <c r="U517" s="505">
        <v>0.7</v>
      </c>
      <c r="V517" s="76">
        <v>0</v>
      </c>
      <c r="W517" s="76">
        <v>0</v>
      </c>
      <c r="X517" s="76"/>
    </row>
    <row r="518" spans="1:24" x14ac:dyDescent="0.25">
      <c r="A518" s="75" t="str">
        <f t="shared" si="16"/>
        <v>Adquisicion PFAE Wealth &amp; Premier Executive Mercado_Abierto Pago_Bajo_Puntual Si 15</v>
      </c>
      <c r="B518" s="75" t="str">
        <f t="shared" si="17"/>
        <v>Adquisicion PFAE Wealth &amp; Premier Executive Mercado_Abierto Pago_Bajo_Puntual Si 15 0.103</v>
      </c>
      <c r="C518" s="75" t="s">
        <v>114</v>
      </c>
      <c r="D518" s="75" t="s">
        <v>168</v>
      </c>
      <c r="E518" s="75" t="s">
        <v>175</v>
      </c>
      <c r="F518" s="75"/>
      <c r="G518" s="75" t="s">
        <v>396</v>
      </c>
      <c r="H518" s="75"/>
      <c r="I518" s="75" t="s">
        <v>170</v>
      </c>
      <c r="J518" s="503">
        <v>15</v>
      </c>
      <c r="K518" s="503" t="s">
        <v>387</v>
      </c>
      <c r="L518" s="504">
        <v>10.119999999999999</v>
      </c>
      <c r="M518" s="504">
        <v>10.78</v>
      </c>
      <c r="N518" s="505">
        <v>0.10299999999999999</v>
      </c>
      <c r="O518" s="505">
        <v>0.1</v>
      </c>
      <c r="P518" s="505">
        <v>0.112</v>
      </c>
      <c r="Q518" s="78">
        <v>0.44</v>
      </c>
      <c r="R518" s="78">
        <v>0.31740000000000002</v>
      </c>
      <c r="S518" s="69">
        <v>0</v>
      </c>
      <c r="T518" s="69">
        <v>0</v>
      </c>
      <c r="U518" s="505">
        <v>0.85</v>
      </c>
      <c r="V518" s="76">
        <v>0</v>
      </c>
      <c r="W518" s="76">
        <v>0</v>
      </c>
      <c r="X518" s="76" t="s">
        <v>147</v>
      </c>
    </row>
    <row r="519" spans="1:24" x14ac:dyDescent="0.25">
      <c r="A519" s="75" t="str">
        <f t="shared" si="16"/>
        <v>Adquisicion PFAE Wealth &amp; Premier Executive Mercado_Abierto Pago_Bajo_Puntual 15</v>
      </c>
      <c r="B519" s="75" t="str">
        <f t="shared" si="17"/>
        <v>Adquisicion PFAE Wealth &amp; Premier Executive Mercado_Abierto Pago_Bajo_Puntual 15 0.106</v>
      </c>
      <c r="C519" s="75" t="s">
        <v>114</v>
      </c>
      <c r="D519" s="75" t="s">
        <v>168</v>
      </c>
      <c r="E519" s="75" t="s">
        <v>175</v>
      </c>
      <c r="F519" s="75"/>
      <c r="G519" s="75" t="s">
        <v>396</v>
      </c>
      <c r="H519" s="75"/>
      <c r="I519" s="75" t="s">
        <v>170</v>
      </c>
      <c r="J519" s="503">
        <v>15</v>
      </c>
      <c r="K519" s="503">
        <v>3</v>
      </c>
      <c r="L519" s="504">
        <v>10.33</v>
      </c>
      <c r="M519" s="504">
        <v>10.99</v>
      </c>
      <c r="N519" s="505">
        <v>0.106</v>
      </c>
      <c r="O519" s="505">
        <v>0.10299999999999999</v>
      </c>
      <c r="P519" s="505">
        <v>0.11799999999999999</v>
      </c>
      <c r="Q519" s="78">
        <v>0.44</v>
      </c>
      <c r="R519" s="78">
        <v>0.31740000000000002</v>
      </c>
      <c r="S519" s="69">
        <v>0</v>
      </c>
      <c r="T519" s="69">
        <v>0</v>
      </c>
      <c r="U519" s="505">
        <v>0.7</v>
      </c>
      <c r="V519" s="76">
        <v>0</v>
      </c>
      <c r="W519" s="76">
        <v>0</v>
      </c>
      <c r="X519" s="76"/>
    </row>
    <row r="520" spans="1:24" x14ac:dyDescent="0.25">
      <c r="A520" s="75" t="str">
        <f t="shared" si="16"/>
        <v>Adquisicion PFAE Wealth &amp; Premier Executive Mercado_Abierto Pago_Bajo_Puntual Si 10</v>
      </c>
      <c r="B520" s="75" t="str">
        <f t="shared" si="17"/>
        <v>Adquisicion PFAE Wealth &amp; Premier Executive Mercado_Abierto Pago_Bajo_Puntual Si 10 0.103</v>
      </c>
      <c r="C520" s="75" t="s">
        <v>114</v>
      </c>
      <c r="D520" s="75" t="s">
        <v>168</v>
      </c>
      <c r="E520" s="75" t="s">
        <v>175</v>
      </c>
      <c r="F520" s="75"/>
      <c r="G520" s="75" t="s">
        <v>396</v>
      </c>
      <c r="H520" s="75"/>
      <c r="I520" s="75" t="s">
        <v>170</v>
      </c>
      <c r="J520" s="503">
        <v>10</v>
      </c>
      <c r="K520" s="503" t="s">
        <v>387</v>
      </c>
      <c r="L520" s="504">
        <v>12.62</v>
      </c>
      <c r="M520" s="504">
        <v>13.28</v>
      </c>
      <c r="N520" s="505">
        <v>0.10299999999999999</v>
      </c>
      <c r="O520" s="505">
        <v>0.1</v>
      </c>
      <c r="P520" s="505">
        <v>0.112</v>
      </c>
      <c r="Q520" s="78">
        <v>0.44</v>
      </c>
      <c r="R520" s="78">
        <v>0.31740000000000002</v>
      </c>
      <c r="S520" s="69">
        <v>0</v>
      </c>
      <c r="T520" s="69">
        <v>0</v>
      </c>
      <c r="U520" s="505">
        <v>0.85</v>
      </c>
      <c r="V520" s="76">
        <v>0</v>
      </c>
      <c r="W520" s="76">
        <v>0</v>
      </c>
      <c r="X520" s="76" t="s">
        <v>147</v>
      </c>
    </row>
    <row r="521" spans="1:24" x14ac:dyDescent="0.25">
      <c r="A521" s="75" t="str">
        <f t="shared" si="16"/>
        <v>Adquisicion PFAE Wealth &amp; Premier Executive Mercado_Abierto Pago_Bajo_Puntual 10</v>
      </c>
      <c r="B521" s="75" t="str">
        <f t="shared" si="17"/>
        <v>Adquisicion PFAE Wealth &amp; Premier Executive Mercado_Abierto Pago_Bajo_Puntual 10 0.106</v>
      </c>
      <c r="C521" s="75" t="s">
        <v>114</v>
      </c>
      <c r="D521" s="75" t="s">
        <v>168</v>
      </c>
      <c r="E521" s="75" t="s">
        <v>175</v>
      </c>
      <c r="F521" s="75"/>
      <c r="G521" s="75" t="s">
        <v>396</v>
      </c>
      <c r="H521" s="75"/>
      <c r="I521" s="75" t="s">
        <v>170</v>
      </c>
      <c r="J521" s="503">
        <v>10</v>
      </c>
      <c r="K521" s="503">
        <v>3</v>
      </c>
      <c r="L521" s="504">
        <v>12.78</v>
      </c>
      <c r="M521" s="504">
        <v>13.44</v>
      </c>
      <c r="N521" s="505">
        <v>0.106</v>
      </c>
      <c r="O521" s="505">
        <v>0.10299999999999999</v>
      </c>
      <c r="P521" s="505">
        <v>0.11799999999999999</v>
      </c>
      <c r="Q521" s="78">
        <v>0.44</v>
      </c>
      <c r="R521" s="78">
        <v>0.31740000000000002</v>
      </c>
      <c r="S521" s="69">
        <v>0</v>
      </c>
      <c r="T521" s="69">
        <v>0</v>
      </c>
      <c r="U521" s="505">
        <v>0.7</v>
      </c>
      <c r="V521" s="76">
        <v>0</v>
      </c>
      <c r="W521" s="76">
        <v>0</v>
      </c>
      <c r="X521" s="76"/>
    </row>
    <row r="522" spans="1:24" x14ac:dyDescent="0.25">
      <c r="A522" s="75" t="str">
        <f t="shared" si="16"/>
        <v>Adquisicion PFAE Wealth &amp; Premier Executive Mercado_Abierto Pago_Bajo_Puntual Si 5</v>
      </c>
      <c r="B522" s="75" t="str">
        <f t="shared" si="17"/>
        <v>Adquisicion PFAE Wealth &amp; Premier Executive Mercado_Abierto Pago_Bajo_Puntual Si 5 0.103</v>
      </c>
      <c r="C522" s="75" t="s">
        <v>114</v>
      </c>
      <c r="D522" s="75" t="s">
        <v>168</v>
      </c>
      <c r="E522" s="75" t="s">
        <v>175</v>
      </c>
      <c r="F522" s="75"/>
      <c r="G522" s="75" t="s">
        <v>396</v>
      </c>
      <c r="H522" s="75"/>
      <c r="I522" s="75" t="s">
        <v>170</v>
      </c>
      <c r="J522" s="503">
        <v>5</v>
      </c>
      <c r="K522" s="503" t="s">
        <v>387</v>
      </c>
      <c r="L522" s="504">
        <v>20.72</v>
      </c>
      <c r="M522" s="504">
        <v>21.38</v>
      </c>
      <c r="N522" s="505">
        <v>0.10299999999999999</v>
      </c>
      <c r="O522" s="505">
        <v>0.1</v>
      </c>
      <c r="P522" s="505">
        <v>0.112</v>
      </c>
      <c r="Q522" s="78">
        <v>0.44</v>
      </c>
      <c r="R522" s="78">
        <v>0.31740000000000002</v>
      </c>
      <c r="S522" s="69">
        <v>0</v>
      </c>
      <c r="T522" s="69">
        <v>0</v>
      </c>
      <c r="U522" s="505">
        <v>0.85</v>
      </c>
      <c r="V522" s="76">
        <v>0</v>
      </c>
      <c r="W522" s="76">
        <v>0</v>
      </c>
      <c r="X522" s="76" t="s">
        <v>147</v>
      </c>
    </row>
    <row r="523" spans="1:24" x14ac:dyDescent="0.25">
      <c r="A523" s="75" t="str">
        <f t="shared" si="16"/>
        <v>Adquisicion PFAE Wealth &amp; Premier Executive Mercado_Abierto Pago_Bajo_Puntual 5</v>
      </c>
      <c r="B523" s="75" t="str">
        <f t="shared" si="17"/>
        <v>Adquisicion PFAE Wealth &amp; Premier Executive Mercado_Abierto Pago_Bajo_Puntual 5 0.106</v>
      </c>
      <c r="C523" s="75" t="s">
        <v>114</v>
      </c>
      <c r="D523" s="75" t="s">
        <v>168</v>
      </c>
      <c r="E523" s="75" t="s">
        <v>175</v>
      </c>
      <c r="F523" s="75"/>
      <c r="G523" s="75" t="s">
        <v>396</v>
      </c>
      <c r="H523" s="75"/>
      <c r="I523" s="75" t="s">
        <v>170</v>
      </c>
      <c r="J523" s="503">
        <v>5</v>
      </c>
      <c r="K523" s="503">
        <v>3</v>
      </c>
      <c r="L523" s="504">
        <v>20.86</v>
      </c>
      <c r="M523" s="504">
        <v>21.52</v>
      </c>
      <c r="N523" s="505">
        <v>0.106</v>
      </c>
      <c r="O523" s="505">
        <v>0.10299999999999999</v>
      </c>
      <c r="P523" s="505">
        <v>0.11799999999999999</v>
      </c>
      <c r="Q523" s="78">
        <v>0.44</v>
      </c>
      <c r="R523" s="78">
        <v>0.31740000000000002</v>
      </c>
      <c r="S523" s="69">
        <v>0</v>
      </c>
      <c r="T523" s="69">
        <v>0</v>
      </c>
      <c r="U523" s="505">
        <v>0.7</v>
      </c>
      <c r="V523" s="76">
        <v>0</v>
      </c>
      <c r="W523" s="76">
        <v>0</v>
      </c>
      <c r="X523" s="76"/>
    </row>
    <row r="524" spans="1:24" x14ac:dyDescent="0.25">
      <c r="A524" s="75" t="str">
        <f t="shared" si="16"/>
        <v>Adquisicion PROF Wealth &amp; Premier Executive Mercado_Abierto Pago_Bajo_Puntual Si 25</v>
      </c>
      <c r="B524" s="75" t="str">
        <f t="shared" si="17"/>
        <v>Adquisicion PROF Wealth &amp; Premier Executive Mercado_Abierto Pago_Bajo_Puntual Si 25 0.103</v>
      </c>
      <c r="C524" s="75" t="s">
        <v>114</v>
      </c>
      <c r="D524" s="75" t="s">
        <v>169</v>
      </c>
      <c r="E524" s="75" t="s">
        <v>175</v>
      </c>
      <c r="F524" s="75"/>
      <c r="G524" s="75" t="s">
        <v>396</v>
      </c>
      <c r="H524" s="75"/>
      <c r="I524" s="75" t="s">
        <v>170</v>
      </c>
      <c r="J524" s="503">
        <v>25</v>
      </c>
      <c r="K524" s="503" t="s">
        <v>387</v>
      </c>
      <c r="L524" s="504">
        <v>8.42</v>
      </c>
      <c r="M524" s="504">
        <v>8.69</v>
      </c>
      <c r="N524" s="505">
        <v>0.10299999999999999</v>
      </c>
      <c r="O524" s="505">
        <v>0.1</v>
      </c>
      <c r="P524" s="505">
        <v>0.112</v>
      </c>
      <c r="Q524" s="78">
        <v>0.44</v>
      </c>
      <c r="R524" s="78">
        <v>0.31740000000000002</v>
      </c>
      <c r="S524" s="69">
        <v>0</v>
      </c>
      <c r="T524" s="69">
        <v>0</v>
      </c>
      <c r="U524" s="505">
        <v>0.85</v>
      </c>
      <c r="V524" s="76">
        <v>0</v>
      </c>
      <c r="W524" s="76">
        <v>0</v>
      </c>
      <c r="X524" s="76" t="s">
        <v>147</v>
      </c>
    </row>
    <row r="525" spans="1:24" x14ac:dyDescent="0.25">
      <c r="A525" s="75" t="str">
        <f t="shared" si="16"/>
        <v>Adquisicion PROF Wealth &amp; Premier Executive Mercado_Abierto Pago_Bajo_Puntual 25</v>
      </c>
      <c r="B525" s="75" t="str">
        <f t="shared" si="17"/>
        <v>Adquisicion PROF Wealth &amp; Premier Executive Mercado_Abierto Pago_Bajo_Puntual 25 0.106</v>
      </c>
      <c r="C525" s="75" t="s">
        <v>114</v>
      </c>
      <c r="D525" s="75" t="s">
        <v>169</v>
      </c>
      <c r="E525" s="75" t="s">
        <v>175</v>
      </c>
      <c r="F525" s="75"/>
      <c r="G525" s="75" t="s">
        <v>396</v>
      </c>
      <c r="H525" s="75"/>
      <c r="I525" s="75" t="s">
        <v>170</v>
      </c>
      <c r="J525" s="503">
        <v>25</v>
      </c>
      <c r="K525" s="503">
        <v>3</v>
      </c>
      <c r="L525" s="504">
        <v>9.0821799999999993</v>
      </c>
      <c r="M525" s="504">
        <v>9.35</v>
      </c>
      <c r="N525" s="505">
        <v>0.106</v>
      </c>
      <c r="O525" s="505">
        <v>0.10299999999999999</v>
      </c>
      <c r="P525" s="505">
        <v>0.11799999999999999</v>
      </c>
      <c r="Q525" s="78">
        <v>0.44</v>
      </c>
      <c r="R525" s="78">
        <v>0.31740000000000002</v>
      </c>
      <c r="S525" s="69">
        <v>0</v>
      </c>
      <c r="T525" s="69">
        <v>0</v>
      </c>
      <c r="U525" s="505">
        <v>0.7</v>
      </c>
      <c r="V525" s="76">
        <v>0</v>
      </c>
      <c r="W525" s="76">
        <v>0</v>
      </c>
      <c r="X525" s="76"/>
    </row>
    <row r="526" spans="1:24" x14ac:dyDescent="0.25">
      <c r="A526" s="75" t="str">
        <f t="shared" si="16"/>
        <v>Adquisicion PROF Wealth &amp; Premier Executive Mercado_Abierto Pago_Bajo_Puntual Si 20</v>
      </c>
      <c r="B526" s="75" t="str">
        <f t="shared" si="17"/>
        <v>Adquisicion PROF Wealth &amp; Premier Executive Mercado_Abierto Pago_Bajo_Puntual Si 20 0.103</v>
      </c>
      <c r="C526" s="75" t="s">
        <v>114</v>
      </c>
      <c r="D526" s="75" t="s">
        <v>169</v>
      </c>
      <c r="E526" s="75" t="s">
        <v>175</v>
      </c>
      <c r="F526" s="75"/>
      <c r="G526" s="75" t="s">
        <v>396</v>
      </c>
      <c r="H526" s="75"/>
      <c r="I526" s="75" t="s">
        <v>170</v>
      </c>
      <c r="J526" s="503">
        <v>20</v>
      </c>
      <c r="K526" s="503" t="s">
        <v>387</v>
      </c>
      <c r="L526" s="504">
        <v>9</v>
      </c>
      <c r="M526" s="504">
        <v>9.66</v>
      </c>
      <c r="N526" s="505">
        <v>0.10299999999999999</v>
      </c>
      <c r="O526" s="505">
        <v>0.1</v>
      </c>
      <c r="P526" s="505">
        <v>0.112</v>
      </c>
      <c r="Q526" s="78">
        <v>0.44</v>
      </c>
      <c r="R526" s="78">
        <v>0.31740000000000002</v>
      </c>
      <c r="S526" s="69">
        <v>0</v>
      </c>
      <c r="T526" s="69">
        <v>0</v>
      </c>
      <c r="U526" s="505">
        <v>0.85</v>
      </c>
      <c r="V526" s="76">
        <v>0</v>
      </c>
      <c r="W526" s="76">
        <v>0</v>
      </c>
      <c r="X526" s="76" t="s">
        <v>147</v>
      </c>
    </row>
    <row r="527" spans="1:24" x14ac:dyDescent="0.25">
      <c r="A527" s="75" t="str">
        <f t="shared" si="16"/>
        <v>Adquisicion PROF Wealth &amp; Premier Executive Mercado_Abierto Pago_Bajo_Puntual 20</v>
      </c>
      <c r="B527" s="75" t="str">
        <f t="shared" si="17"/>
        <v>Adquisicion PROF Wealth &amp; Premier Executive Mercado_Abierto Pago_Bajo_Puntual 20 0.106</v>
      </c>
      <c r="C527" s="75" t="s">
        <v>114</v>
      </c>
      <c r="D527" s="75" t="s">
        <v>169</v>
      </c>
      <c r="E527" s="75" t="s">
        <v>175</v>
      </c>
      <c r="F527" s="75"/>
      <c r="G527" s="75" t="s">
        <v>396</v>
      </c>
      <c r="H527" s="75"/>
      <c r="I527" s="75" t="s">
        <v>170</v>
      </c>
      <c r="J527" s="503">
        <v>20</v>
      </c>
      <c r="K527" s="503">
        <v>3</v>
      </c>
      <c r="L527" s="504">
        <v>9.24</v>
      </c>
      <c r="M527" s="504">
        <v>9.9</v>
      </c>
      <c r="N527" s="505">
        <v>0.106</v>
      </c>
      <c r="O527" s="505">
        <v>0.10299999999999999</v>
      </c>
      <c r="P527" s="505">
        <v>0.11799999999999999</v>
      </c>
      <c r="Q527" s="78">
        <v>0.44</v>
      </c>
      <c r="R527" s="78">
        <v>0.31740000000000002</v>
      </c>
      <c r="S527" s="69">
        <v>0</v>
      </c>
      <c r="T527" s="69">
        <v>0</v>
      </c>
      <c r="U527" s="505">
        <v>0.7</v>
      </c>
      <c r="V527" s="76">
        <v>0</v>
      </c>
      <c r="W527" s="76">
        <v>0</v>
      </c>
      <c r="X527" s="76"/>
    </row>
    <row r="528" spans="1:24" x14ac:dyDescent="0.25">
      <c r="A528" s="75" t="str">
        <f t="shared" si="16"/>
        <v>Adquisicion PROF Wealth &amp; Premier Executive Mercado_Abierto Pago_Bajo_Puntual Si 15</v>
      </c>
      <c r="B528" s="75" t="str">
        <f t="shared" si="17"/>
        <v>Adquisicion PROF Wealth &amp; Premier Executive Mercado_Abierto Pago_Bajo_Puntual Si 15 0.103</v>
      </c>
      <c r="C528" s="75" t="s">
        <v>114</v>
      </c>
      <c r="D528" s="75" t="s">
        <v>169</v>
      </c>
      <c r="E528" s="75" t="s">
        <v>175</v>
      </c>
      <c r="F528" s="75"/>
      <c r="G528" s="75" t="s">
        <v>396</v>
      </c>
      <c r="H528" s="75"/>
      <c r="I528" s="75" t="s">
        <v>170</v>
      </c>
      <c r="J528" s="503">
        <v>15</v>
      </c>
      <c r="K528" s="503" t="s">
        <v>387</v>
      </c>
      <c r="L528" s="504">
        <v>10.119999999999999</v>
      </c>
      <c r="M528" s="504">
        <v>10.78</v>
      </c>
      <c r="N528" s="505">
        <v>0.10299999999999999</v>
      </c>
      <c r="O528" s="505">
        <v>0.1</v>
      </c>
      <c r="P528" s="505">
        <v>0.112</v>
      </c>
      <c r="Q528" s="78">
        <v>0.44</v>
      </c>
      <c r="R528" s="78">
        <v>0.31740000000000002</v>
      </c>
      <c r="S528" s="69">
        <v>0</v>
      </c>
      <c r="T528" s="69">
        <v>0</v>
      </c>
      <c r="U528" s="505">
        <v>0.85</v>
      </c>
      <c r="V528" s="76">
        <v>0</v>
      </c>
      <c r="W528" s="76">
        <v>0</v>
      </c>
      <c r="X528" s="76" t="s">
        <v>147</v>
      </c>
    </row>
    <row r="529" spans="1:24" x14ac:dyDescent="0.25">
      <c r="A529" s="75" t="str">
        <f t="shared" si="16"/>
        <v>Adquisicion PROF Wealth &amp; Premier Executive Mercado_Abierto Pago_Bajo_Puntual 15</v>
      </c>
      <c r="B529" s="75" t="str">
        <f t="shared" si="17"/>
        <v>Adquisicion PROF Wealth &amp; Premier Executive Mercado_Abierto Pago_Bajo_Puntual 15 0.106</v>
      </c>
      <c r="C529" s="75" t="s">
        <v>114</v>
      </c>
      <c r="D529" s="75" t="s">
        <v>169</v>
      </c>
      <c r="E529" s="75" t="s">
        <v>175</v>
      </c>
      <c r="F529" s="75"/>
      <c r="G529" s="75" t="s">
        <v>396</v>
      </c>
      <c r="H529" s="75"/>
      <c r="I529" s="75" t="s">
        <v>170</v>
      </c>
      <c r="J529" s="503">
        <v>15</v>
      </c>
      <c r="K529" s="503">
        <v>3</v>
      </c>
      <c r="L529" s="504">
        <v>10.33</v>
      </c>
      <c r="M529" s="504">
        <v>10.99</v>
      </c>
      <c r="N529" s="505">
        <v>0.106</v>
      </c>
      <c r="O529" s="505">
        <v>0.10299999999999999</v>
      </c>
      <c r="P529" s="505">
        <v>0.11799999999999999</v>
      </c>
      <c r="Q529" s="78">
        <v>0.44</v>
      </c>
      <c r="R529" s="78">
        <v>0.31740000000000002</v>
      </c>
      <c r="S529" s="69">
        <v>0</v>
      </c>
      <c r="T529" s="69">
        <v>0</v>
      </c>
      <c r="U529" s="505">
        <v>0.7</v>
      </c>
      <c r="V529" s="76">
        <v>0</v>
      </c>
      <c r="W529" s="76">
        <v>0</v>
      </c>
      <c r="X529" s="76"/>
    </row>
    <row r="530" spans="1:24" x14ac:dyDescent="0.25">
      <c r="A530" s="75" t="str">
        <f t="shared" si="16"/>
        <v>Adquisicion PROF Wealth &amp; Premier Executive Mercado_Abierto Pago_Bajo_Puntual Si 10</v>
      </c>
      <c r="B530" s="75" t="str">
        <f t="shared" si="17"/>
        <v>Adquisicion PROF Wealth &amp; Premier Executive Mercado_Abierto Pago_Bajo_Puntual Si 10 0.103</v>
      </c>
      <c r="C530" s="75" t="s">
        <v>114</v>
      </c>
      <c r="D530" s="75" t="s">
        <v>169</v>
      </c>
      <c r="E530" s="75" t="s">
        <v>175</v>
      </c>
      <c r="F530" s="75"/>
      <c r="G530" s="75" t="s">
        <v>396</v>
      </c>
      <c r="H530" s="75"/>
      <c r="I530" s="75" t="s">
        <v>170</v>
      </c>
      <c r="J530" s="503">
        <v>10</v>
      </c>
      <c r="K530" s="503" t="s">
        <v>387</v>
      </c>
      <c r="L530" s="504">
        <v>12.62</v>
      </c>
      <c r="M530" s="504">
        <v>13.28</v>
      </c>
      <c r="N530" s="505">
        <v>0.10299999999999999</v>
      </c>
      <c r="O530" s="505">
        <v>0.1</v>
      </c>
      <c r="P530" s="505">
        <v>0.112</v>
      </c>
      <c r="Q530" s="78">
        <v>0.44</v>
      </c>
      <c r="R530" s="78">
        <v>0.31740000000000002</v>
      </c>
      <c r="S530" s="69">
        <v>0</v>
      </c>
      <c r="T530" s="69">
        <v>0</v>
      </c>
      <c r="U530" s="505">
        <v>0.85</v>
      </c>
      <c r="V530" s="76">
        <v>0</v>
      </c>
      <c r="W530" s="76">
        <v>0</v>
      </c>
      <c r="X530" s="76" t="s">
        <v>147</v>
      </c>
    </row>
    <row r="531" spans="1:24" x14ac:dyDescent="0.25">
      <c r="A531" s="75" t="str">
        <f t="shared" si="16"/>
        <v>Adquisicion PROF Wealth &amp; Premier Executive Mercado_Abierto Pago_Bajo_Puntual 10</v>
      </c>
      <c r="B531" s="75" t="str">
        <f t="shared" si="17"/>
        <v>Adquisicion PROF Wealth &amp; Premier Executive Mercado_Abierto Pago_Bajo_Puntual 10 0.106</v>
      </c>
      <c r="C531" s="75" t="s">
        <v>114</v>
      </c>
      <c r="D531" s="75" t="s">
        <v>169</v>
      </c>
      <c r="E531" s="75" t="s">
        <v>175</v>
      </c>
      <c r="F531" s="75"/>
      <c r="G531" s="75" t="s">
        <v>396</v>
      </c>
      <c r="H531" s="75"/>
      <c r="I531" s="75" t="s">
        <v>170</v>
      </c>
      <c r="J531" s="503">
        <v>10</v>
      </c>
      <c r="K531" s="503">
        <v>3</v>
      </c>
      <c r="L531" s="504">
        <v>12.78</v>
      </c>
      <c r="M531" s="504">
        <v>13.44</v>
      </c>
      <c r="N531" s="505">
        <v>0.106</v>
      </c>
      <c r="O531" s="505">
        <v>0.10299999999999999</v>
      </c>
      <c r="P531" s="505">
        <v>0.11799999999999999</v>
      </c>
      <c r="Q531" s="78">
        <v>0.44</v>
      </c>
      <c r="R531" s="78">
        <v>0.31740000000000002</v>
      </c>
      <c r="S531" s="69">
        <v>0</v>
      </c>
      <c r="T531" s="69">
        <v>0</v>
      </c>
      <c r="U531" s="505">
        <v>0.7</v>
      </c>
      <c r="V531" s="76">
        <v>0</v>
      </c>
      <c r="W531" s="76">
        <v>0</v>
      </c>
      <c r="X531" s="76"/>
    </row>
    <row r="532" spans="1:24" x14ac:dyDescent="0.25">
      <c r="A532" s="75" t="str">
        <f t="shared" si="16"/>
        <v>Adquisicion PROF Wealth &amp; Premier Executive Mercado_Abierto Pago_Bajo_Puntual Si 5</v>
      </c>
      <c r="B532" s="75" t="str">
        <f t="shared" si="17"/>
        <v>Adquisicion PROF Wealth &amp; Premier Executive Mercado_Abierto Pago_Bajo_Puntual Si 5 0.103</v>
      </c>
      <c r="C532" s="75" t="s">
        <v>114</v>
      </c>
      <c r="D532" s="75" t="s">
        <v>169</v>
      </c>
      <c r="E532" s="75" t="s">
        <v>175</v>
      </c>
      <c r="F532" s="75"/>
      <c r="G532" s="75" t="s">
        <v>396</v>
      </c>
      <c r="H532" s="75"/>
      <c r="I532" s="75" t="s">
        <v>170</v>
      </c>
      <c r="J532" s="503">
        <v>5</v>
      </c>
      <c r="K532" s="503" t="s">
        <v>387</v>
      </c>
      <c r="L532" s="504">
        <v>20.72</v>
      </c>
      <c r="M532" s="504">
        <v>21.38</v>
      </c>
      <c r="N532" s="505">
        <v>0.10299999999999999</v>
      </c>
      <c r="O532" s="505">
        <v>0.1</v>
      </c>
      <c r="P532" s="505">
        <v>0.112</v>
      </c>
      <c r="Q532" s="78">
        <v>0.44</v>
      </c>
      <c r="R532" s="78">
        <v>0.31740000000000002</v>
      </c>
      <c r="S532" s="69">
        <v>0</v>
      </c>
      <c r="T532" s="69">
        <v>0</v>
      </c>
      <c r="U532" s="505">
        <v>0.85</v>
      </c>
      <c r="V532" s="76">
        <v>0</v>
      </c>
      <c r="W532" s="76">
        <v>0</v>
      </c>
      <c r="X532" s="76" t="s">
        <v>147</v>
      </c>
    </row>
    <row r="533" spans="1:24" x14ac:dyDescent="0.25">
      <c r="A533" s="75" t="str">
        <f t="shared" si="16"/>
        <v>Adquisicion PROF Wealth &amp; Premier Executive Mercado_Abierto Pago_Bajo_Puntual 5</v>
      </c>
      <c r="B533" s="75" t="str">
        <f t="shared" si="17"/>
        <v>Adquisicion PROF Wealth &amp; Premier Executive Mercado_Abierto Pago_Bajo_Puntual 5 0.106</v>
      </c>
      <c r="C533" s="75" t="s">
        <v>114</v>
      </c>
      <c r="D533" s="75" t="s">
        <v>169</v>
      </c>
      <c r="E533" s="75" t="s">
        <v>175</v>
      </c>
      <c r="F533" s="75"/>
      <c r="G533" s="75" t="s">
        <v>396</v>
      </c>
      <c r="H533" s="75"/>
      <c r="I533" s="75" t="s">
        <v>170</v>
      </c>
      <c r="J533" s="503">
        <v>5</v>
      </c>
      <c r="K533" s="503">
        <v>3</v>
      </c>
      <c r="L533" s="504">
        <v>20.86</v>
      </c>
      <c r="M533" s="504">
        <v>21.52</v>
      </c>
      <c r="N533" s="505">
        <v>0.106</v>
      </c>
      <c r="O533" s="505">
        <v>0.10299999999999999</v>
      </c>
      <c r="P533" s="505">
        <v>0.11799999999999999</v>
      </c>
      <c r="Q533" s="78">
        <v>0.44</v>
      </c>
      <c r="R533" s="78">
        <v>0.31740000000000002</v>
      </c>
      <c r="S533" s="69">
        <v>0</v>
      </c>
      <c r="T533" s="69">
        <v>0</v>
      </c>
      <c r="U533" s="505">
        <v>0.7</v>
      </c>
      <c r="V533" s="76">
        <v>0</v>
      </c>
      <c r="W533" s="76">
        <v>0</v>
      </c>
      <c r="X533" s="76"/>
    </row>
    <row r="534" spans="1:24" x14ac:dyDescent="0.25">
      <c r="A534" s="75" t="str">
        <f t="shared" si="16"/>
        <v>Adquisicion PF Wealth &amp; Premier Executive Apoyo Infonavit Pago_Bajo_Puntual Si 25</v>
      </c>
      <c r="B534" s="75" t="str">
        <f t="shared" si="17"/>
        <v>Adquisicion PF Wealth &amp; Premier Executive Apoyo Infonavit Pago_Bajo_Puntual Si 25 0.103</v>
      </c>
      <c r="C534" s="75" t="s">
        <v>114</v>
      </c>
      <c r="D534" s="75" t="s">
        <v>132</v>
      </c>
      <c r="E534" s="75" t="s">
        <v>175</v>
      </c>
      <c r="F534" s="75"/>
      <c r="G534" s="75" t="s">
        <v>112</v>
      </c>
      <c r="H534" s="75"/>
      <c r="I534" s="75" t="s">
        <v>170</v>
      </c>
      <c r="J534" s="503">
        <v>25</v>
      </c>
      <c r="K534" s="503" t="s">
        <v>387</v>
      </c>
      <c r="L534" s="504">
        <v>8.42</v>
      </c>
      <c r="M534" s="504">
        <v>8.69</v>
      </c>
      <c r="N534" s="505">
        <v>0.10299999999999999</v>
      </c>
      <c r="O534" s="505">
        <v>0.1</v>
      </c>
      <c r="P534" s="505">
        <v>0.112</v>
      </c>
      <c r="Q534" s="78">
        <v>0.44</v>
      </c>
      <c r="R534" s="78">
        <v>0.31740000000000002</v>
      </c>
      <c r="S534" s="69">
        <v>0</v>
      </c>
      <c r="T534" s="69">
        <v>0</v>
      </c>
      <c r="U534" s="505">
        <v>0.95</v>
      </c>
      <c r="V534" s="76">
        <v>0</v>
      </c>
      <c r="W534" s="76">
        <v>0</v>
      </c>
      <c r="X534" s="76" t="s">
        <v>147</v>
      </c>
    </row>
    <row r="535" spans="1:24" x14ac:dyDescent="0.25">
      <c r="A535" s="75" t="str">
        <f t="shared" si="16"/>
        <v>Adquisicion PF Wealth &amp; Premier Executive Apoyo Infonavit Pago_Bajo_Puntual 25</v>
      </c>
      <c r="B535" s="75" t="str">
        <f t="shared" si="17"/>
        <v>Adquisicion PF Wealth &amp; Premier Executive Apoyo Infonavit Pago_Bajo_Puntual 25 0.106</v>
      </c>
      <c r="C535" s="75" t="s">
        <v>114</v>
      </c>
      <c r="D535" s="75" t="s">
        <v>132</v>
      </c>
      <c r="E535" s="75" t="s">
        <v>175</v>
      </c>
      <c r="F535" s="75"/>
      <c r="G535" s="75" t="s">
        <v>112</v>
      </c>
      <c r="H535" s="75"/>
      <c r="I535" s="75" t="s">
        <v>170</v>
      </c>
      <c r="J535" s="503">
        <v>25</v>
      </c>
      <c r="K535" s="503">
        <v>3</v>
      </c>
      <c r="L535" s="504">
        <v>9.0821799999999993</v>
      </c>
      <c r="M535" s="504">
        <v>9.35</v>
      </c>
      <c r="N535" s="505">
        <v>0.106</v>
      </c>
      <c r="O535" s="505">
        <v>0.10299999999999999</v>
      </c>
      <c r="P535" s="505">
        <v>0.11799999999999999</v>
      </c>
      <c r="Q535" s="78">
        <v>0.44</v>
      </c>
      <c r="R535" s="78">
        <v>0.31740000000000002</v>
      </c>
      <c r="S535" s="69">
        <v>0</v>
      </c>
      <c r="T535" s="69">
        <v>0</v>
      </c>
      <c r="U535" s="505">
        <v>0.95</v>
      </c>
      <c r="V535" s="76">
        <v>0</v>
      </c>
      <c r="W535" s="76">
        <v>0</v>
      </c>
      <c r="X535" s="76"/>
    </row>
    <row r="536" spans="1:24" x14ac:dyDescent="0.25">
      <c r="A536" s="75" t="str">
        <f t="shared" si="16"/>
        <v>Adquisicion PF Wealth &amp; Premier Executive Apoyo Infonavit Pago_Bajo_Puntual Si 20</v>
      </c>
      <c r="B536" s="75" t="str">
        <f t="shared" si="17"/>
        <v>Adquisicion PF Wealth &amp; Premier Executive Apoyo Infonavit Pago_Bajo_Puntual Si 20 0.103</v>
      </c>
      <c r="C536" s="75" t="s">
        <v>114</v>
      </c>
      <c r="D536" s="75" t="s">
        <v>132</v>
      </c>
      <c r="E536" s="75" t="s">
        <v>175</v>
      </c>
      <c r="F536" s="75"/>
      <c r="G536" s="75" t="s">
        <v>112</v>
      </c>
      <c r="H536" s="75"/>
      <c r="I536" s="75" t="s">
        <v>170</v>
      </c>
      <c r="J536" s="503">
        <v>20</v>
      </c>
      <c r="K536" s="503" t="s">
        <v>387</v>
      </c>
      <c r="L536" s="504">
        <v>9</v>
      </c>
      <c r="M536" s="504">
        <v>9.66</v>
      </c>
      <c r="N536" s="505">
        <v>0.10299999999999999</v>
      </c>
      <c r="O536" s="505">
        <v>0.1</v>
      </c>
      <c r="P536" s="505">
        <v>0.112</v>
      </c>
      <c r="Q536" s="78">
        <v>0.44</v>
      </c>
      <c r="R536" s="78">
        <v>0.31740000000000002</v>
      </c>
      <c r="S536" s="69">
        <v>0</v>
      </c>
      <c r="T536" s="69">
        <v>0</v>
      </c>
      <c r="U536" s="505">
        <v>0.95</v>
      </c>
      <c r="V536" s="76">
        <v>0</v>
      </c>
      <c r="W536" s="76">
        <v>0</v>
      </c>
      <c r="X536" s="76" t="s">
        <v>147</v>
      </c>
    </row>
    <row r="537" spans="1:24" x14ac:dyDescent="0.25">
      <c r="A537" s="75" t="str">
        <f t="shared" si="16"/>
        <v>Adquisicion PF Wealth &amp; Premier Executive Apoyo Infonavit Pago_Bajo_Puntual 20</v>
      </c>
      <c r="B537" s="75" t="str">
        <f t="shared" si="17"/>
        <v>Adquisicion PF Wealth &amp; Premier Executive Apoyo Infonavit Pago_Bajo_Puntual 20 0.106</v>
      </c>
      <c r="C537" s="75" t="s">
        <v>114</v>
      </c>
      <c r="D537" s="75" t="s">
        <v>132</v>
      </c>
      <c r="E537" s="75" t="s">
        <v>175</v>
      </c>
      <c r="F537" s="75"/>
      <c r="G537" s="75" t="s">
        <v>112</v>
      </c>
      <c r="H537" s="75"/>
      <c r="I537" s="75" t="s">
        <v>170</v>
      </c>
      <c r="J537" s="503">
        <v>20</v>
      </c>
      <c r="K537" s="503">
        <v>3</v>
      </c>
      <c r="L537" s="504">
        <v>9.24</v>
      </c>
      <c r="M537" s="504">
        <v>9.9</v>
      </c>
      <c r="N537" s="505">
        <v>0.106</v>
      </c>
      <c r="O537" s="505">
        <v>0.10299999999999999</v>
      </c>
      <c r="P537" s="505">
        <v>0.11799999999999999</v>
      </c>
      <c r="Q537" s="78">
        <v>0.44</v>
      </c>
      <c r="R537" s="78">
        <v>0.31740000000000002</v>
      </c>
      <c r="S537" s="69">
        <v>0</v>
      </c>
      <c r="T537" s="69">
        <v>0</v>
      </c>
      <c r="U537" s="505">
        <v>0.95</v>
      </c>
      <c r="V537" s="76">
        <v>0</v>
      </c>
      <c r="W537" s="76">
        <v>0</v>
      </c>
      <c r="X537" s="76"/>
    </row>
    <row r="538" spans="1:24" x14ac:dyDescent="0.25">
      <c r="A538" s="75" t="str">
        <f t="shared" si="16"/>
        <v>Adquisicion PF Wealth &amp; Premier Executive Apoyo Infonavit Pago_Bajo_Puntual Si 15</v>
      </c>
      <c r="B538" s="75" t="str">
        <f t="shared" si="17"/>
        <v>Adquisicion PF Wealth &amp; Premier Executive Apoyo Infonavit Pago_Bajo_Puntual Si 15 0.103</v>
      </c>
      <c r="C538" s="75" t="s">
        <v>114</v>
      </c>
      <c r="D538" s="75" t="s">
        <v>132</v>
      </c>
      <c r="E538" s="75" t="s">
        <v>175</v>
      </c>
      <c r="F538" s="75"/>
      <c r="G538" s="75" t="s">
        <v>112</v>
      </c>
      <c r="H538" s="75"/>
      <c r="I538" s="75" t="s">
        <v>170</v>
      </c>
      <c r="J538" s="503">
        <v>15</v>
      </c>
      <c r="K538" s="503" t="s">
        <v>387</v>
      </c>
      <c r="L538" s="504">
        <v>10.119999999999999</v>
      </c>
      <c r="M538" s="504">
        <v>10.78</v>
      </c>
      <c r="N538" s="505">
        <v>0.10299999999999999</v>
      </c>
      <c r="O538" s="505">
        <v>0.1</v>
      </c>
      <c r="P538" s="505">
        <v>0.112</v>
      </c>
      <c r="Q538" s="78">
        <v>0.44</v>
      </c>
      <c r="R538" s="78">
        <v>0.31740000000000002</v>
      </c>
      <c r="S538" s="69">
        <v>0</v>
      </c>
      <c r="T538" s="69">
        <v>0</v>
      </c>
      <c r="U538" s="505">
        <v>0.95</v>
      </c>
      <c r="V538" s="76">
        <v>0</v>
      </c>
      <c r="W538" s="76">
        <v>0</v>
      </c>
      <c r="X538" s="76" t="s">
        <v>147</v>
      </c>
    </row>
    <row r="539" spans="1:24" x14ac:dyDescent="0.25">
      <c r="A539" s="75" t="str">
        <f t="shared" si="16"/>
        <v>Adquisicion PF Wealth &amp; Premier Executive Apoyo Infonavit Pago_Bajo_Puntual 15</v>
      </c>
      <c r="B539" s="75" t="str">
        <f t="shared" si="17"/>
        <v>Adquisicion PF Wealth &amp; Premier Executive Apoyo Infonavit Pago_Bajo_Puntual 15 0.106</v>
      </c>
      <c r="C539" s="75" t="s">
        <v>114</v>
      </c>
      <c r="D539" s="75" t="s">
        <v>132</v>
      </c>
      <c r="E539" s="75" t="s">
        <v>175</v>
      </c>
      <c r="F539" s="75"/>
      <c r="G539" s="75" t="s">
        <v>112</v>
      </c>
      <c r="H539" s="75"/>
      <c r="I539" s="75" t="s">
        <v>170</v>
      </c>
      <c r="J539" s="503">
        <v>15</v>
      </c>
      <c r="K539" s="503">
        <v>3</v>
      </c>
      <c r="L539" s="504">
        <v>10.33</v>
      </c>
      <c r="M539" s="504">
        <v>10.99</v>
      </c>
      <c r="N539" s="505">
        <v>0.106</v>
      </c>
      <c r="O539" s="505">
        <v>0.10299999999999999</v>
      </c>
      <c r="P539" s="505">
        <v>0.11799999999999999</v>
      </c>
      <c r="Q539" s="78">
        <v>0.44</v>
      </c>
      <c r="R539" s="78">
        <v>0.31740000000000002</v>
      </c>
      <c r="S539" s="69">
        <v>0</v>
      </c>
      <c r="T539" s="69">
        <v>0</v>
      </c>
      <c r="U539" s="505">
        <v>0.95</v>
      </c>
      <c r="V539" s="76">
        <v>0</v>
      </c>
      <c r="W539" s="76">
        <v>0</v>
      </c>
      <c r="X539" s="76"/>
    </row>
    <row r="540" spans="1:24" x14ac:dyDescent="0.25">
      <c r="A540" s="75" t="str">
        <f t="shared" si="16"/>
        <v>Adquisicion PF Wealth &amp; Premier Executive Apoyo Infonavit Pago_Bajo_Puntual Si 10</v>
      </c>
      <c r="B540" s="75" t="str">
        <f t="shared" si="17"/>
        <v>Adquisicion PF Wealth &amp; Premier Executive Apoyo Infonavit Pago_Bajo_Puntual Si 10 0.103</v>
      </c>
      <c r="C540" s="75" t="s">
        <v>114</v>
      </c>
      <c r="D540" s="75" t="s">
        <v>132</v>
      </c>
      <c r="E540" s="75" t="s">
        <v>175</v>
      </c>
      <c r="F540" s="75"/>
      <c r="G540" s="75" t="s">
        <v>112</v>
      </c>
      <c r="H540" s="75"/>
      <c r="I540" s="75" t="s">
        <v>170</v>
      </c>
      <c r="J540" s="503">
        <v>10</v>
      </c>
      <c r="K540" s="503" t="s">
        <v>387</v>
      </c>
      <c r="L540" s="504">
        <v>12.62</v>
      </c>
      <c r="M540" s="504">
        <v>13.28</v>
      </c>
      <c r="N540" s="505">
        <v>0.10299999999999999</v>
      </c>
      <c r="O540" s="505">
        <v>0.1</v>
      </c>
      <c r="P540" s="505">
        <v>0.112</v>
      </c>
      <c r="Q540" s="78">
        <v>0.44</v>
      </c>
      <c r="R540" s="78">
        <v>0.31740000000000002</v>
      </c>
      <c r="S540" s="69">
        <v>0</v>
      </c>
      <c r="T540" s="69">
        <v>0</v>
      </c>
      <c r="U540" s="505">
        <v>0.95</v>
      </c>
      <c r="V540" s="76">
        <v>0</v>
      </c>
      <c r="W540" s="76">
        <v>0</v>
      </c>
      <c r="X540" s="76" t="s">
        <v>147</v>
      </c>
    </row>
    <row r="541" spans="1:24" x14ac:dyDescent="0.25">
      <c r="A541" s="75" t="str">
        <f t="shared" si="16"/>
        <v>Adquisicion PF Wealth &amp; Premier Executive Apoyo Infonavit Pago_Bajo_Puntual 10</v>
      </c>
      <c r="B541" s="75" t="str">
        <f t="shared" si="17"/>
        <v>Adquisicion PF Wealth &amp; Premier Executive Apoyo Infonavit Pago_Bajo_Puntual 10 0.106</v>
      </c>
      <c r="C541" s="75" t="s">
        <v>114</v>
      </c>
      <c r="D541" s="75" t="s">
        <v>132</v>
      </c>
      <c r="E541" s="75" t="s">
        <v>175</v>
      </c>
      <c r="F541" s="75"/>
      <c r="G541" s="75" t="s">
        <v>112</v>
      </c>
      <c r="H541" s="75"/>
      <c r="I541" s="75" t="s">
        <v>170</v>
      </c>
      <c r="J541" s="503">
        <v>10</v>
      </c>
      <c r="K541" s="503">
        <v>3</v>
      </c>
      <c r="L541" s="504">
        <v>12.78</v>
      </c>
      <c r="M541" s="504">
        <v>13.44</v>
      </c>
      <c r="N541" s="505">
        <v>0.106</v>
      </c>
      <c r="O541" s="505">
        <v>0.10299999999999999</v>
      </c>
      <c r="P541" s="505">
        <v>0.11799999999999999</v>
      </c>
      <c r="Q541" s="78">
        <v>0.44</v>
      </c>
      <c r="R541" s="78">
        <v>0.31740000000000002</v>
      </c>
      <c r="S541" s="69">
        <v>0</v>
      </c>
      <c r="T541" s="69">
        <v>0</v>
      </c>
      <c r="U541" s="505">
        <v>0.95</v>
      </c>
      <c r="V541" s="76">
        <v>0</v>
      </c>
      <c r="W541" s="76">
        <v>0</v>
      </c>
      <c r="X541" s="76"/>
    </row>
    <row r="542" spans="1:24" x14ac:dyDescent="0.25">
      <c r="A542" s="75" t="str">
        <f t="shared" si="16"/>
        <v>Adquisicion PF Wealth &amp; Premier Executive Apoyo Infonavit Pago_Bajo_Puntual Si 5</v>
      </c>
      <c r="B542" s="75" t="str">
        <f t="shared" si="17"/>
        <v>Adquisicion PF Wealth &amp; Premier Executive Apoyo Infonavit Pago_Bajo_Puntual Si 5 0.103</v>
      </c>
      <c r="C542" s="75" t="s">
        <v>114</v>
      </c>
      <c r="D542" s="75" t="s">
        <v>132</v>
      </c>
      <c r="E542" s="75" t="s">
        <v>175</v>
      </c>
      <c r="F542" s="75"/>
      <c r="G542" s="75" t="s">
        <v>112</v>
      </c>
      <c r="H542" s="75"/>
      <c r="I542" s="75" t="s">
        <v>170</v>
      </c>
      <c r="J542" s="503">
        <v>5</v>
      </c>
      <c r="K542" s="503" t="s">
        <v>387</v>
      </c>
      <c r="L542" s="504">
        <v>20.72</v>
      </c>
      <c r="M542" s="504">
        <v>21.38</v>
      </c>
      <c r="N542" s="505">
        <v>0.10299999999999999</v>
      </c>
      <c r="O542" s="505">
        <v>0.1</v>
      </c>
      <c r="P542" s="505">
        <v>0.112</v>
      </c>
      <c r="Q542" s="78">
        <v>0.44</v>
      </c>
      <c r="R542" s="78">
        <v>0.31740000000000002</v>
      </c>
      <c r="S542" s="69">
        <v>0</v>
      </c>
      <c r="T542" s="69">
        <v>0</v>
      </c>
      <c r="U542" s="505">
        <v>0.95</v>
      </c>
      <c r="V542" s="76">
        <v>0</v>
      </c>
      <c r="W542" s="76">
        <v>0</v>
      </c>
      <c r="X542" s="76" t="s">
        <v>147</v>
      </c>
    </row>
    <row r="543" spans="1:24" x14ac:dyDescent="0.25">
      <c r="A543" s="75" t="str">
        <f t="shared" si="16"/>
        <v>Adquisicion PF Wealth &amp; Premier Executive Apoyo Infonavit Pago_Bajo_Puntual 5</v>
      </c>
      <c r="B543" s="75" t="str">
        <f t="shared" si="17"/>
        <v>Adquisicion PF Wealth &amp; Premier Executive Apoyo Infonavit Pago_Bajo_Puntual 5 0.106</v>
      </c>
      <c r="C543" s="75" t="s">
        <v>114</v>
      </c>
      <c r="D543" s="75" t="s">
        <v>132</v>
      </c>
      <c r="E543" s="75" t="s">
        <v>175</v>
      </c>
      <c r="F543" s="75"/>
      <c r="G543" s="75" t="s">
        <v>112</v>
      </c>
      <c r="H543" s="75"/>
      <c r="I543" s="75" t="s">
        <v>170</v>
      </c>
      <c r="J543" s="503">
        <v>5</v>
      </c>
      <c r="K543" s="503">
        <v>3</v>
      </c>
      <c r="L543" s="504">
        <v>20.86</v>
      </c>
      <c r="M543" s="504">
        <v>21.52</v>
      </c>
      <c r="N543" s="505">
        <v>0.106</v>
      </c>
      <c r="O543" s="505">
        <v>0.10299999999999999</v>
      </c>
      <c r="P543" s="505">
        <v>0.11799999999999999</v>
      </c>
      <c r="Q543" s="78">
        <v>0.44</v>
      </c>
      <c r="R543" s="78">
        <v>0.31740000000000002</v>
      </c>
      <c r="S543" s="69">
        <v>0</v>
      </c>
      <c r="T543" s="69">
        <v>0</v>
      </c>
      <c r="U543" s="505">
        <v>0.95</v>
      </c>
      <c r="V543" s="76">
        <v>0</v>
      </c>
      <c r="W543" s="76">
        <v>0</v>
      </c>
      <c r="X543" s="76"/>
    </row>
    <row r="544" spans="1:24" x14ac:dyDescent="0.25">
      <c r="A544" s="75" t="str">
        <f t="shared" si="16"/>
        <v>Adquisicion PF Wealth &amp; Premier Executive Cofinavit Pago_Bajo_Puntual Si 25</v>
      </c>
      <c r="B544" s="75" t="str">
        <f t="shared" si="17"/>
        <v>Adquisicion PF Wealth &amp; Premier Executive Cofinavit Pago_Bajo_Puntual Si 25 0.103</v>
      </c>
      <c r="C544" s="75" t="s">
        <v>114</v>
      </c>
      <c r="D544" s="75" t="s">
        <v>132</v>
      </c>
      <c r="E544" s="75" t="s">
        <v>175</v>
      </c>
      <c r="F544" s="75"/>
      <c r="G544" s="75" t="s">
        <v>113</v>
      </c>
      <c r="H544" s="75"/>
      <c r="I544" s="75" t="s">
        <v>170</v>
      </c>
      <c r="J544" s="503">
        <v>25</v>
      </c>
      <c r="K544" s="503" t="s">
        <v>387</v>
      </c>
      <c r="L544" s="504">
        <v>8.42</v>
      </c>
      <c r="M544" s="504">
        <v>8.69</v>
      </c>
      <c r="N544" s="505">
        <v>0.10299999999999999</v>
      </c>
      <c r="O544" s="505">
        <v>0.1</v>
      </c>
      <c r="P544" s="505">
        <v>0.112</v>
      </c>
      <c r="Q544" s="78">
        <v>0.44</v>
      </c>
      <c r="R544" s="78">
        <v>0.31740000000000002</v>
      </c>
      <c r="S544" s="69">
        <v>0</v>
      </c>
      <c r="T544" s="69">
        <v>0</v>
      </c>
      <c r="U544" s="505">
        <v>0.95</v>
      </c>
      <c r="V544" s="76">
        <v>0</v>
      </c>
      <c r="W544" s="76">
        <v>0</v>
      </c>
      <c r="X544" s="76" t="s">
        <v>147</v>
      </c>
    </row>
    <row r="545" spans="1:24" x14ac:dyDescent="0.25">
      <c r="A545" s="75" t="str">
        <f t="shared" si="16"/>
        <v>Adquisicion PF Wealth &amp; Premier Executive Cofinavit Pago_Bajo_Puntual 25</v>
      </c>
      <c r="B545" s="75" t="str">
        <f t="shared" si="17"/>
        <v>Adquisicion PF Wealth &amp; Premier Executive Cofinavit Pago_Bajo_Puntual 25 0.106</v>
      </c>
      <c r="C545" s="75" t="s">
        <v>114</v>
      </c>
      <c r="D545" s="75" t="s">
        <v>132</v>
      </c>
      <c r="E545" s="75" t="s">
        <v>175</v>
      </c>
      <c r="F545" s="75"/>
      <c r="G545" s="75" t="s">
        <v>113</v>
      </c>
      <c r="H545" s="75"/>
      <c r="I545" s="75" t="s">
        <v>170</v>
      </c>
      <c r="J545" s="503">
        <v>25</v>
      </c>
      <c r="K545" s="503">
        <v>3</v>
      </c>
      <c r="L545" s="504">
        <v>9.0821799999999993</v>
      </c>
      <c r="M545" s="504">
        <v>9.35</v>
      </c>
      <c r="N545" s="505">
        <v>0.106</v>
      </c>
      <c r="O545" s="505">
        <v>0.10299999999999999</v>
      </c>
      <c r="P545" s="505">
        <v>0.11799999999999999</v>
      </c>
      <c r="Q545" s="78">
        <v>0.44</v>
      </c>
      <c r="R545" s="78">
        <v>0.31740000000000002</v>
      </c>
      <c r="S545" s="69">
        <v>0</v>
      </c>
      <c r="T545" s="69">
        <v>0</v>
      </c>
      <c r="U545" s="505">
        <v>0.95</v>
      </c>
      <c r="V545" s="76">
        <v>0</v>
      </c>
      <c r="W545" s="76">
        <v>0</v>
      </c>
      <c r="X545" s="76"/>
    </row>
    <row r="546" spans="1:24" x14ac:dyDescent="0.25">
      <c r="A546" s="75" t="str">
        <f t="shared" si="16"/>
        <v>Adquisicion PF Wealth &amp; Premier Executive Cofinavit Pago_Bajo_Puntual Si 20</v>
      </c>
      <c r="B546" s="75" t="str">
        <f t="shared" si="17"/>
        <v>Adquisicion PF Wealth &amp; Premier Executive Cofinavit Pago_Bajo_Puntual Si 20 0.103</v>
      </c>
      <c r="C546" s="75" t="s">
        <v>114</v>
      </c>
      <c r="D546" s="75" t="s">
        <v>132</v>
      </c>
      <c r="E546" s="75" t="s">
        <v>175</v>
      </c>
      <c r="F546" s="75"/>
      <c r="G546" s="75" t="s">
        <v>113</v>
      </c>
      <c r="H546" s="75"/>
      <c r="I546" s="75" t="s">
        <v>170</v>
      </c>
      <c r="J546" s="503">
        <v>20</v>
      </c>
      <c r="K546" s="503" t="s">
        <v>387</v>
      </c>
      <c r="L546" s="504">
        <v>9</v>
      </c>
      <c r="M546" s="504">
        <v>9.66</v>
      </c>
      <c r="N546" s="505">
        <v>0.10299999999999999</v>
      </c>
      <c r="O546" s="505">
        <v>0.1</v>
      </c>
      <c r="P546" s="505">
        <v>0.112</v>
      </c>
      <c r="Q546" s="78">
        <v>0.44</v>
      </c>
      <c r="R546" s="78">
        <v>0.31740000000000002</v>
      </c>
      <c r="S546" s="69">
        <v>0</v>
      </c>
      <c r="T546" s="69">
        <v>0</v>
      </c>
      <c r="U546" s="505">
        <v>0.95</v>
      </c>
      <c r="V546" s="76">
        <v>0</v>
      </c>
      <c r="W546" s="76">
        <v>0</v>
      </c>
      <c r="X546" s="76" t="s">
        <v>147</v>
      </c>
    </row>
    <row r="547" spans="1:24" x14ac:dyDescent="0.25">
      <c r="A547" s="75" t="str">
        <f t="shared" si="16"/>
        <v>Adquisicion PF Wealth &amp; Premier Executive Cofinavit Pago_Bajo_Puntual 20</v>
      </c>
      <c r="B547" s="75" t="str">
        <f t="shared" si="17"/>
        <v>Adquisicion PF Wealth &amp; Premier Executive Cofinavit Pago_Bajo_Puntual 20 0.106</v>
      </c>
      <c r="C547" s="75" t="s">
        <v>114</v>
      </c>
      <c r="D547" s="75" t="s">
        <v>132</v>
      </c>
      <c r="E547" s="75" t="s">
        <v>175</v>
      </c>
      <c r="F547" s="75"/>
      <c r="G547" s="75" t="s">
        <v>113</v>
      </c>
      <c r="H547" s="75"/>
      <c r="I547" s="75" t="s">
        <v>170</v>
      </c>
      <c r="J547" s="503">
        <v>20</v>
      </c>
      <c r="K547" s="503">
        <v>3</v>
      </c>
      <c r="L547" s="504">
        <v>9.24</v>
      </c>
      <c r="M547" s="504">
        <v>9.9</v>
      </c>
      <c r="N547" s="505">
        <v>0.106</v>
      </c>
      <c r="O547" s="505">
        <v>0.10299999999999999</v>
      </c>
      <c r="P547" s="505">
        <v>0.11799999999999999</v>
      </c>
      <c r="Q547" s="78">
        <v>0.44</v>
      </c>
      <c r="R547" s="78">
        <v>0.31740000000000002</v>
      </c>
      <c r="S547" s="69">
        <v>0</v>
      </c>
      <c r="T547" s="69">
        <v>0</v>
      </c>
      <c r="U547" s="505">
        <v>0.95</v>
      </c>
      <c r="V547" s="76">
        <v>0</v>
      </c>
      <c r="W547" s="76">
        <v>0</v>
      </c>
      <c r="X547" s="76"/>
    </row>
    <row r="548" spans="1:24" x14ac:dyDescent="0.25">
      <c r="A548" s="75" t="str">
        <f t="shared" si="16"/>
        <v>Adquisicion PF Wealth &amp; Premier Executive Cofinavit Pago_Bajo_Puntual Si 15</v>
      </c>
      <c r="B548" s="75" t="str">
        <f t="shared" si="17"/>
        <v>Adquisicion PF Wealth &amp; Premier Executive Cofinavit Pago_Bajo_Puntual Si 15 0.103</v>
      </c>
      <c r="C548" s="75" t="s">
        <v>114</v>
      </c>
      <c r="D548" s="75" t="s">
        <v>132</v>
      </c>
      <c r="E548" s="75" t="s">
        <v>175</v>
      </c>
      <c r="F548" s="75"/>
      <c r="G548" s="75" t="s">
        <v>113</v>
      </c>
      <c r="H548" s="75"/>
      <c r="I548" s="75" t="s">
        <v>170</v>
      </c>
      <c r="J548" s="503">
        <v>15</v>
      </c>
      <c r="K548" s="503" t="s">
        <v>387</v>
      </c>
      <c r="L548" s="504">
        <v>10.119999999999999</v>
      </c>
      <c r="M548" s="504">
        <v>10.78</v>
      </c>
      <c r="N548" s="505">
        <v>0.10299999999999999</v>
      </c>
      <c r="O548" s="505">
        <v>0.1</v>
      </c>
      <c r="P548" s="505">
        <v>0.112</v>
      </c>
      <c r="Q548" s="78">
        <v>0.44</v>
      </c>
      <c r="R548" s="78">
        <v>0.31740000000000002</v>
      </c>
      <c r="S548" s="69">
        <v>0</v>
      </c>
      <c r="T548" s="69">
        <v>0</v>
      </c>
      <c r="U548" s="505">
        <v>0.95</v>
      </c>
      <c r="V548" s="76">
        <v>0</v>
      </c>
      <c r="W548" s="76">
        <v>0</v>
      </c>
      <c r="X548" s="76" t="s">
        <v>147</v>
      </c>
    </row>
    <row r="549" spans="1:24" x14ac:dyDescent="0.25">
      <c r="A549" s="75" t="str">
        <f t="shared" si="16"/>
        <v>Adquisicion PF Wealth &amp; Premier Executive Cofinavit Pago_Bajo_Puntual 15</v>
      </c>
      <c r="B549" s="75" t="str">
        <f t="shared" si="17"/>
        <v>Adquisicion PF Wealth &amp; Premier Executive Cofinavit Pago_Bajo_Puntual 15 0.106</v>
      </c>
      <c r="C549" s="75" t="s">
        <v>114</v>
      </c>
      <c r="D549" s="75" t="s">
        <v>132</v>
      </c>
      <c r="E549" s="75" t="s">
        <v>175</v>
      </c>
      <c r="F549" s="75"/>
      <c r="G549" s="75" t="s">
        <v>113</v>
      </c>
      <c r="H549" s="75"/>
      <c r="I549" s="75" t="s">
        <v>170</v>
      </c>
      <c r="J549" s="503">
        <v>15</v>
      </c>
      <c r="K549" s="503">
        <v>3</v>
      </c>
      <c r="L549" s="504">
        <v>10.33</v>
      </c>
      <c r="M549" s="504">
        <v>10.99</v>
      </c>
      <c r="N549" s="505">
        <v>0.106</v>
      </c>
      <c r="O549" s="505">
        <v>0.10299999999999999</v>
      </c>
      <c r="P549" s="505">
        <v>0.11799999999999999</v>
      </c>
      <c r="Q549" s="78">
        <v>0.44</v>
      </c>
      <c r="R549" s="78">
        <v>0.31740000000000002</v>
      </c>
      <c r="S549" s="69">
        <v>0</v>
      </c>
      <c r="T549" s="69">
        <v>0</v>
      </c>
      <c r="U549" s="505">
        <v>0.95</v>
      </c>
      <c r="V549" s="76">
        <v>0</v>
      </c>
      <c r="W549" s="76">
        <v>0</v>
      </c>
      <c r="X549" s="76"/>
    </row>
    <row r="550" spans="1:24" x14ac:dyDescent="0.25">
      <c r="A550" s="75" t="str">
        <f t="shared" si="16"/>
        <v>Adquisicion PF Wealth &amp; Premier Executive Cofinavit Pago_Bajo_Puntual Si 10</v>
      </c>
      <c r="B550" s="75" t="str">
        <f t="shared" si="17"/>
        <v>Adquisicion PF Wealth &amp; Premier Executive Cofinavit Pago_Bajo_Puntual Si 10 0.103</v>
      </c>
      <c r="C550" s="75" t="s">
        <v>114</v>
      </c>
      <c r="D550" s="75" t="s">
        <v>132</v>
      </c>
      <c r="E550" s="75" t="s">
        <v>175</v>
      </c>
      <c r="F550" s="75"/>
      <c r="G550" s="75" t="s">
        <v>113</v>
      </c>
      <c r="H550" s="75"/>
      <c r="I550" s="75" t="s">
        <v>170</v>
      </c>
      <c r="J550" s="503">
        <v>10</v>
      </c>
      <c r="K550" s="503" t="s">
        <v>387</v>
      </c>
      <c r="L550" s="504">
        <v>12.62</v>
      </c>
      <c r="M550" s="504">
        <v>13.28</v>
      </c>
      <c r="N550" s="505">
        <v>0.10299999999999999</v>
      </c>
      <c r="O550" s="505">
        <v>0.1</v>
      </c>
      <c r="P550" s="505">
        <v>0.112</v>
      </c>
      <c r="Q550" s="78">
        <v>0.44</v>
      </c>
      <c r="R550" s="78">
        <v>0.31740000000000002</v>
      </c>
      <c r="S550" s="69">
        <v>0</v>
      </c>
      <c r="T550" s="69">
        <v>0</v>
      </c>
      <c r="U550" s="505">
        <v>0.95</v>
      </c>
      <c r="V550" s="76">
        <v>0</v>
      </c>
      <c r="W550" s="76">
        <v>0</v>
      </c>
      <c r="X550" s="76" t="s">
        <v>147</v>
      </c>
    </row>
    <row r="551" spans="1:24" x14ac:dyDescent="0.25">
      <c r="A551" s="75" t="str">
        <f t="shared" si="16"/>
        <v>Adquisicion PF Wealth &amp; Premier Executive Cofinavit Pago_Bajo_Puntual 10</v>
      </c>
      <c r="B551" s="75" t="str">
        <f t="shared" si="17"/>
        <v>Adquisicion PF Wealth &amp; Premier Executive Cofinavit Pago_Bajo_Puntual 10 0.106</v>
      </c>
      <c r="C551" s="75" t="s">
        <v>114</v>
      </c>
      <c r="D551" s="75" t="s">
        <v>132</v>
      </c>
      <c r="E551" s="75" t="s">
        <v>175</v>
      </c>
      <c r="F551" s="75"/>
      <c r="G551" s="75" t="s">
        <v>113</v>
      </c>
      <c r="H551" s="75"/>
      <c r="I551" s="75" t="s">
        <v>170</v>
      </c>
      <c r="J551" s="503">
        <v>10</v>
      </c>
      <c r="K551" s="503">
        <v>3</v>
      </c>
      <c r="L551" s="504">
        <v>12.78</v>
      </c>
      <c r="M551" s="504">
        <v>13.44</v>
      </c>
      <c r="N551" s="505">
        <v>0.106</v>
      </c>
      <c r="O551" s="505">
        <v>0.10299999999999999</v>
      </c>
      <c r="P551" s="505">
        <v>0.11799999999999999</v>
      </c>
      <c r="Q551" s="78">
        <v>0.44</v>
      </c>
      <c r="R551" s="78">
        <v>0.31740000000000002</v>
      </c>
      <c r="S551" s="69">
        <v>0</v>
      </c>
      <c r="T551" s="69">
        <v>0</v>
      </c>
      <c r="U551" s="505">
        <v>0.95</v>
      </c>
      <c r="V551" s="76">
        <v>0</v>
      </c>
      <c r="W551" s="76">
        <v>0</v>
      </c>
      <c r="X551" s="76"/>
    </row>
    <row r="552" spans="1:24" x14ac:dyDescent="0.25">
      <c r="A552" s="75" t="str">
        <f t="shared" si="16"/>
        <v>Adquisicion PF Wealth &amp; Premier Executive Cofinavit Pago_Bajo_Puntual Si 5</v>
      </c>
      <c r="B552" s="75" t="str">
        <f t="shared" si="17"/>
        <v>Adquisicion PF Wealth &amp; Premier Executive Cofinavit Pago_Bajo_Puntual Si 5 0.103</v>
      </c>
      <c r="C552" s="75" t="s">
        <v>114</v>
      </c>
      <c r="D552" s="75" t="s">
        <v>132</v>
      </c>
      <c r="E552" s="75" t="s">
        <v>175</v>
      </c>
      <c r="F552" s="75"/>
      <c r="G552" s="75" t="s">
        <v>113</v>
      </c>
      <c r="H552" s="75"/>
      <c r="I552" s="75" t="s">
        <v>170</v>
      </c>
      <c r="J552" s="503">
        <v>5</v>
      </c>
      <c r="K552" s="503" t="s">
        <v>387</v>
      </c>
      <c r="L552" s="504">
        <v>20.72</v>
      </c>
      <c r="M552" s="504">
        <v>21.38</v>
      </c>
      <c r="N552" s="505">
        <v>0.10299999999999999</v>
      </c>
      <c r="O552" s="505">
        <v>0.1</v>
      </c>
      <c r="P552" s="505">
        <v>0.112</v>
      </c>
      <c r="Q552" s="78">
        <v>0.44</v>
      </c>
      <c r="R552" s="78">
        <v>0.31740000000000002</v>
      </c>
      <c r="S552" s="69">
        <v>0</v>
      </c>
      <c r="T552" s="69">
        <v>0</v>
      </c>
      <c r="U552" s="505">
        <v>0.95</v>
      </c>
      <c r="V552" s="76">
        <v>0</v>
      </c>
      <c r="W552" s="76">
        <v>0</v>
      </c>
      <c r="X552" s="76" t="s">
        <v>147</v>
      </c>
    </row>
    <row r="553" spans="1:24" x14ac:dyDescent="0.25">
      <c r="A553" s="75" t="str">
        <f t="shared" si="16"/>
        <v>Adquisicion PF Wealth &amp; Premier Executive Cofinavit Pago_Bajo_Puntual 5</v>
      </c>
      <c r="B553" s="75" t="str">
        <f t="shared" si="17"/>
        <v>Adquisicion PF Wealth &amp; Premier Executive Cofinavit Pago_Bajo_Puntual 5 0.106</v>
      </c>
      <c r="C553" s="75" t="s">
        <v>114</v>
      </c>
      <c r="D553" s="75" t="s">
        <v>132</v>
      </c>
      <c r="E553" s="75" t="s">
        <v>175</v>
      </c>
      <c r="F553" s="75"/>
      <c r="G553" s="75" t="s">
        <v>113</v>
      </c>
      <c r="H553" s="75"/>
      <c r="I553" s="75" t="s">
        <v>170</v>
      </c>
      <c r="J553" s="503">
        <v>5</v>
      </c>
      <c r="K553" s="503">
        <v>3</v>
      </c>
      <c r="L553" s="504">
        <v>20.86</v>
      </c>
      <c r="M553" s="504">
        <v>21.52</v>
      </c>
      <c r="N553" s="505">
        <v>0.106</v>
      </c>
      <c r="O553" s="505">
        <v>0.10299999999999999</v>
      </c>
      <c r="P553" s="505">
        <v>0.11799999999999999</v>
      </c>
      <c r="Q553" s="78">
        <v>0.44</v>
      </c>
      <c r="R553" s="78">
        <v>0.31740000000000002</v>
      </c>
      <c r="S553" s="69">
        <v>0</v>
      </c>
      <c r="T553" s="69">
        <v>0</v>
      </c>
      <c r="U553" s="505">
        <v>0.95</v>
      </c>
      <c r="V553" s="76">
        <v>0</v>
      </c>
      <c r="W553" s="76">
        <v>0</v>
      </c>
      <c r="X553" s="76"/>
    </row>
    <row r="554" spans="1:24" x14ac:dyDescent="0.25">
      <c r="A554" s="75" t="str">
        <f t="shared" si="16"/>
        <v>Pago_de_Hipoteca PF Wealth &amp; Premier Executive Pago_Bajo_Puntual Si 20</v>
      </c>
      <c r="B554" s="75" t="str">
        <f t="shared" si="17"/>
        <v>Pago_de_Hipoteca PF Wealth &amp; Premier Executive Pago_Bajo_Puntual Si 20 0.103</v>
      </c>
      <c r="C554" s="75" t="s">
        <v>173</v>
      </c>
      <c r="D554" s="75" t="s">
        <v>132</v>
      </c>
      <c r="E554" s="75" t="s">
        <v>175</v>
      </c>
      <c r="F554" s="75"/>
      <c r="G554" s="75"/>
      <c r="H554" s="75"/>
      <c r="I554" s="75" t="s">
        <v>170</v>
      </c>
      <c r="J554" s="503">
        <v>20</v>
      </c>
      <c r="K554" s="503" t="s">
        <v>387</v>
      </c>
      <c r="L554" s="504">
        <v>9</v>
      </c>
      <c r="M554" s="504">
        <v>9.66</v>
      </c>
      <c r="N554" s="505">
        <v>0.10299999999999999</v>
      </c>
      <c r="O554" s="505">
        <v>0.1</v>
      </c>
      <c r="P554" s="505">
        <v>0.112</v>
      </c>
      <c r="Q554" s="78">
        <v>0.44</v>
      </c>
      <c r="R554" s="78">
        <v>0.31740000000000002</v>
      </c>
      <c r="S554" s="69">
        <v>0</v>
      </c>
      <c r="T554" s="69">
        <v>0</v>
      </c>
      <c r="U554" s="505">
        <v>0.85</v>
      </c>
      <c r="V554" s="76">
        <v>0</v>
      </c>
      <c r="W554" s="76">
        <v>0</v>
      </c>
      <c r="X554" s="76" t="s">
        <v>147</v>
      </c>
    </row>
    <row r="555" spans="1:24" x14ac:dyDescent="0.25">
      <c r="A555" s="75" t="str">
        <f t="shared" si="16"/>
        <v>Pago_de_Hipoteca PF Wealth &amp; Premier Executive Pago_Bajo_Puntual 20</v>
      </c>
      <c r="B555" s="75" t="str">
        <f t="shared" si="17"/>
        <v>Pago_de_Hipoteca PF Wealth &amp; Premier Executive Pago_Bajo_Puntual 20 0.106</v>
      </c>
      <c r="C555" s="75" t="s">
        <v>173</v>
      </c>
      <c r="D555" s="75" t="s">
        <v>132</v>
      </c>
      <c r="E555" s="75" t="s">
        <v>175</v>
      </c>
      <c r="F555" s="75"/>
      <c r="G555" s="75"/>
      <c r="H555" s="75"/>
      <c r="I555" s="75" t="s">
        <v>170</v>
      </c>
      <c r="J555" s="503">
        <v>20</v>
      </c>
      <c r="K555" s="503">
        <v>3</v>
      </c>
      <c r="L555" s="504">
        <v>9.24</v>
      </c>
      <c r="M555" s="504">
        <v>9.9</v>
      </c>
      <c r="N555" s="505">
        <v>0.106</v>
      </c>
      <c r="O555" s="505">
        <v>0.10299999999999999</v>
      </c>
      <c r="P555" s="505">
        <v>0.11799999999999999</v>
      </c>
      <c r="Q555" s="78">
        <v>0.44</v>
      </c>
      <c r="R555" s="78">
        <v>0.31740000000000002</v>
      </c>
      <c r="S555" s="69">
        <v>0</v>
      </c>
      <c r="T555" s="69">
        <v>0</v>
      </c>
      <c r="U555" s="505">
        <v>0.85</v>
      </c>
      <c r="V555" s="76">
        <v>0</v>
      </c>
      <c r="W555" s="76">
        <v>0</v>
      </c>
      <c r="X555" s="76"/>
    </row>
    <row r="556" spans="1:24" x14ac:dyDescent="0.25">
      <c r="A556" s="75" t="str">
        <f t="shared" si="16"/>
        <v>Pago_de_Hipoteca PF Wealth &amp; Premier Executive Pago_Bajo_Puntual Si 19</v>
      </c>
      <c r="B556" s="75" t="str">
        <f t="shared" si="17"/>
        <v>Pago_de_Hipoteca PF Wealth &amp; Premier Executive Pago_Bajo_Puntual Si 19 0.103</v>
      </c>
      <c r="C556" s="75" t="s">
        <v>173</v>
      </c>
      <c r="D556" s="75" t="s">
        <v>132</v>
      </c>
      <c r="E556" s="75" t="s">
        <v>175</v>
      </c>
      <c r="F556" s="75"/>
      <c r="G556" s="75"/>
      <c r="H556" s="75"/>
      <c r="I556" s="75" t="s">
        <v>170</v>
      </c>
      <c r="J556" s="503">
        <v>19</v>
      </c>
      <c r="K556" s="503" t="s">
        <v>387</v>
      </c>
      <c r="L556" s="504">
        <v>9.17</v>
      </c>
      <c r="M556" s="504">
        <v>9.83</v>
      </c>
      <c r="N556" s="505">
        <v>0.10299999999999999</v>
      </c>
      <c r="O556" s="505">
        <v>0.1</v>
      </c>
      <c r="P556" s="505">
        <v>0.112</v>
      </c>
      <c r="Q556" s="78">
        <v>0.44</v>
      </c>
      <c r="R556" s="78">
        <v>0.31740000000000002</v>
      </c>
      <c r="S556" s="69">
        <v>0</v>
      </c>
      <c r="T556" s="69">
        <v>0</v>
      </c>
      <c r="U556" s="505">
        <v>0.85</v>
      </c>
      <c r="V556" s="76">
        <v>0</v>
      </c>
      <c r="W556" s="76">
        <v>0</v>
      </c>
      <c r="X556" s="76" t="s">
        <v>147</v>
      </c>
    </row>
    <row r="557" spans="1:24" x14ac:dyDescent="0.25">
      <c r="A557" s="75" t="str">
        <f t="shared" si="16"/>
        <v>Pago_de_Hipoteca PF Wealth &amp; Premier Executive Pago_Bajo_Puntual 19</v>
      </c>
      <c r="B557" s="75" t="str">
        <f t="shared" si="17"/>
        <v>Pago_de_Hipoteca PF Wealth &amp; Premier Executive Pago_Bajo_Puntual 19 0.106</v>
      </c>
      <c r="C557" s="75" t="s">
        <v>173</v>
      </c>
      <c r="D557" s="75" t="s">
        <v>132</v>
      </c>
      <c r="E557" s="75" t="s">
        <v>175</v>
      </c>
      <c r="F557" s="75"/>
      <c r="G557" s="75"/>
      <c r="H557" s="75"/>
      <c r="I557" s="75" t="s">
        <v>170</v>
      </c>
      <c r="J557" s="503">
        <v>19</v>
      </c>
      <c r="K557" s="503">
        <v>3</v>
      </c>
      <c r="L557" s="504">
        <v>9.4</v>
      </c>
      <c r="M557" s="504">
        <v>10.06</v>
      </c>
      <c r="N557" s="505">
        <v>0.106</v>
      </c>
      <c r="O557" s="505">
        <v>0.10299999999999999</v>
      </c>
      <c r="P557" s="505">
        <v>0.11799999999999999</v>
      </c>
      <c r="Q557" s="78">
        <v>0.44</v>
      </c>
      <c r="R557" s="78">
        <v>0.31740000000000002</v>
      </c>
      <c r="S557" s="69">
        <v>0</v>
      </c>
      <c r="T557" s="69">
        <v>0</v>
      </c>
      <c r="U557" s="505">
        <v>0.85</v>
      </c>
      <c r="V557" s="76">
        <v>0</v>
      </c>
      <c r="W557" s="76">
        <v>0</v>
      </c>
      <c r="X557" s="76"/>
    </row>
    <row r="558" spans="1:24" x14ac:dyDescent="0.25">
      <c r="A558" s="75" t="str">
        <f t="shared" si="16"/>
        <v>Pago_de_Hipoteca PF Wealth &amp; Premier Executive Pago_Bajo_Puntual Si 18</v>
      </c>
      <c r="B558" s="75" t="str">
        <f t="shared" si="17"/>
        <v>Pago_de_Hipoteca PF Wealth &amp; Premier Executive Pago_Bajo_Puntual Si 18 0.103</v>
      </c>
      <c r="C558" s="75" t="s">
        <v>173</v>
      </c>
      <c r="D558" s="75" t="s">
        <v>132</v>
      </c>
      <c r="E558" s="75" t="s">
        <v>175</v>
      </c>
      <c r="F558" s="75"/>
      <c r="G558" s="75"/>
      <c r="H558" s="75"/>
      <c r="I558" s="75" t="s">
        <v>170</v>
      </c>
      <c r="J558" s="503">
        <v>18</v>
      </c>
      <c r="K558" s="503" t="s">
        <v>387</v>
      </c>
      <c r="L558" s="504">
        <v>9.36</v>
      </c>
      <c r="M558" s="504">
        <v>10.02</v>
      </c>
      <c r="N558" s="505">
        <v>0.10299999999999999</v>
      </c>
      <c r="O558" s="505">
        <v>0.1</v>
      </c>
      <c r="P558" s="505">
        <v>0.112</v>
      </c>
      <c r="Q558" s="78">
        <v>0.44</v>
      </c>
      <c r="R558" s="78">
        <v>0.31740000000000002</v>
      </c>
      <c r="S558" s="69">
        <v>0</v>
      </c>
      <c r="T558" s="69">
        <v>0</v>
      </c>
      <c r="U558" s="505">
        <v>0.85</v>
      </c>
      <c r="V558" s="76">
        <v>0</v>
      </c>
      <c r="W558" s="76">
        <v>0</v>
      </c>
      <c r="X558" s="76" t="s">
        <v>147</v>
      </c>
    </row>
    <row r="559" spans="1:24" x14ac:dyDescent="0.25">
      <c r="A559" s="75" t="str">
        <f t="shared" si="16"/>
        <v>Pago_de_Hipoteca PF Wealth &amp; Premier Executive Pago_Bajo_Puntual 18</v>
      </c>
      <c r="B559" s="75" t="str">
        <f t="shared" si="17"/>
        <v>Pago_de_Hipoteca PF Wealth &amp; Premier Executive Pago_Bajo_Puntual 18 0.106</v>
      </c>
      <c r="C559" s="75" t="s">
        <v>173</v>
      </c>
      <c r="D559" s="75" t="s">
        <v>132</v>
      </c>
      <c r="E559" s="75" t="s">
        <v>175</v>
      </c>
      <c r="F559" s="75"/>
      <c r="G559" s="75"/>
      <c r="H559" s="75"/>
      <c r="I559" s="75" t="s">
        <v>170</v>
      </c>
      <c r="J559" s="503">
        <v>18</v>
      </c>
      <c r="K559" s="503">
        <v>3</v>
      </c>
      <c r="L559" s="504">
        <v>9.59</v>
      </c>
      <c r="M559" s="504">
        <v>10.25</v>
      </c>
      <c r="N559" s="505">
        <v>0.106</v>
      </c>
      <c r="O559" s="505">
        <v>0.10299999999999999</v>
      </c>
      <c r="P559" s="505">
        <v>0.11799999999999999</v>
      </c>
      <c r="Q559" s="78">
        <v>0.44</v>
      </c>
      <c r="R559" s="78">
        <v>0.31740000000000002</v>
      </c>
      <c r="S559" s="69">
        <v>0</v>
      </c>
      <c r="T559" s="69">
        <v>0</v>
      </c>
      <c r="U559" s="505">
        <v>0.85</v>
      </c>
      <c r="V559" s="76">
        <v>0</v>
      </c>
      <c r="W559" s="76">
        <v>0</v>
      </c>
      <c r="X559" s="76"/>
    </row>
    <row r="560" spans="1:24" x14ac:dyDescent="0.25">
      <c r="A560" s="75" t="str">
        <f t="shared" si="16"/>
        <v>Pago_de_Hipoteca PF Wealth &amp; Premier Executive Pago_Bajo_Puntual Si 17</v>
      </c>
      <c r="B560" s="75" t="str">
        <f t="shared" si="17"/>
        <v>Pago_de_Hipoteca PF Wealth &amp; Premier Executive Pago_Bajo_Puntual Si 17 0.103</v>
      </c>
      <c r="C560" s="75" t="s">
        <v>173</v>
      </c>
      <c r="D560" s="75" t="s">
        <v>132</v>
      </c>
      <c r="E560" s="75" t="s">
        <v>175</v>
      </c>
      <c r="F560" s="75"/>
      <c r="G560" s="75"/>
      <c r="H560" s="75"/>
      <c r="I560" s="75" t="s">
        <v>170</v>
      </c>
      <c r="J560" s="503">
        <v>17</v>
      </c>
      <c r="K560" s="503" t="s">
        <v>387</v>
      </c>
      <c r="L560" s="504">
        <v>9.58</v>
      </c>
      <c r="M560" s="504">
        <v>10.24</v>
      </c>
      <c r="N560" s="505">
        <v>0.10299999999999999</v>
      </c>
      <c r="O560" s="505">
        <v>0.1</v>
      </c>
      <c r="P560" s="505">
        <v>0.112</v>
      </c>
      <c r="Q560" s="78">
        <v>0.44</v>
      </c>
      <c r="R560" s="78">
        <v>0.31740000000000002</v>
      </c>
      <c r="S560" s="69">
        <v>0</v>
      </c>
      <c r="T560" s="69">
        <v>0</v>
      </c>
      <c r="U560" s="505">
        <v>0.85</v>
      </c>
      <c r="V560" s="76">
        <v>0</v>
      </c>
      <c r="W560" s="76">
        <v>0</v>
      </c>
      <c r="X560" s="76" t="s">
        <v>147</v>
      </c>
    </row>
    <row r="561" spans="1:24" x14ac:dyDescent="0.25">
      <c r="A561" s="75" t="str">
        <f t="shared" si="16"/>
        <v>Pago_de_Hipoteca PF Wealth &amp; Premier Executive Pago_Bajo_Puntual 17</v>
      </c>
      <c r="B561" s="75" t="str">
        <f t="shared" si="17"/>
        <v>Pago_de_Hipoteca PF Wealth &amp; Premier Executive Pago_Bajo_Puntual 17 0.106</v>
      </c>
      <c r="C561" s="75" t="s">
        <v>173</v>
      </c>
      <c r="D561" s="75" t="s">
        <v>132</v>
      </c>
      <c r="E561" s="75" t="s">
        <v>175</v>
      </c>
      <c r="F561" s="75"/>
      <c r="G561" s="75"/>
      <c r="H561" s="75"/>
      <c r="I561" s="75" t="s">
        <v>170</v>
      </c>
      <c r="J561" s="503">
        <v>17</v>
      </c>
      <c r="K561" s="503">
        <v>3</v>
      </c>
      <c r="L561" s="504">
        <v>9.8000000000000007</v>
      </c>
      <c r="M561" s="504">
        <v>10.46</v>
      </c>
      <c r="N561" s="505">
        <v>0.106</v>
      </c>
      <c r="O561" s="505">
        <v>0.10299999999999999</v>
      </c>
      <c r="P561" s="505">
        <v>0.11799999999999999</v>
      </c>
      <c r="Q561" s="78">
        <v>0.44</v>
      </c>
      <c r="R561" s="78">
        <v>0.31740000000000002</v>
      </c>
      <c r="S561" s="69">
        <v>0</v>
      </c>
      <c r="T561" s="69">
        <v>0</v>
      </c>
      <c r="U561" s="505">
        <v>0.85</v>
      </c>
      <c r="V561" s="76">
        <v>0</v>
      </c>
      <c r="W561" s="76">
        <v>0</v>
      </c>
      <c r="X561" s="76"/>
    </row>
    <row r="562" spans="1:24" x14ac:dyDescent="0.25">
      <c r="A562" s="75" t="str">
        <f t="shared" si="16"/>
        <v>Pago_de_Hipoteca PF Wealth &amp; Premier Executive Pago_Bajo_Puntual Si 16</v>
      </c>
      <c r="B562" s="75" t="str">
        <f t="shared" si="17"/>
        <v>Pago_de_Hipoteca PF Wealth &amp; Premier Executive Pago_Bajo_Puntual Si 16 0.103</v>
      </c>
      <c r="C562" s="75" t="s">
        <v>173</v>
      </c>
      <c r="D562" s="75" t="s">
        <v>132</v>
      </c>
      <c r="E562" s="75" t="s">
        <v>175</v>
      </c>
      <c r="F562" s="75"/>
      <c r="G562" s="75"/>
      <c r="H562" s="75"/>
      <c r="I562" s="75" t="s">
        <v>170</v>
      </c>
      <c r="J562" s="503">
        <v>16</v>
      </c>
      <c r="K562" s="503" t="s">
        <v>387</v>
      </c>
      <c r="L562" s="504">
        <v>9.83</v>
      </c>
      <c r="M562" s="504">
        <v>10.49</v>
      </c>
      <c r="N562" s="505">
        <v>0.10299999999999999</v>
      </c>
      <c r="O562" s="505">
        <v>0.1</v>
      </c>
      <c r="P562" s="505">
        <v>0.112</v>
      </c>
      <c r="Q562" s="78">
        <v>0.44</v>
      </c>
      <c r="R562" s="78">
        <v>0.31740000000000002</v>
      </c>
      <c r="S562" s="69">
        <v>0</v>
      </c>
      <c r="T562" s="69">
        <v>0</v>
      </c>
      <c r="U562" s="505">
        <v>0.85</v>
      </c>
      <c r="V562" s="76">
        <v>0</v>
      </c>
      <c r="W562" s="76">
        <v>0</v>
      </c>
      <c r="X562" s="76" t="s">
        <v>147</v>
      </c>
    </row>
    <row r="563" spans="1:24" x14ac:dyDescent="0.25">
      <c r="A563" s="75" t="str">
        <f t="shared" si="16"/>
        <v>Pago_de_Hipoteca PF Wealth &amp; Premier Executive Pago_Bajo_Puntual 16</v>
      </c>
      <c r="B563" s="75" t="str">
        <f t="shared" si="17"/>
        <v>Pago_de_Hipoteca PF Wealth &amp; Premier Executive Pago_Bajo_Puntual 16 0.106</v>
      </c>
      <c r="C563" s="75" t="s">
        <v>173</v>
      </c>
      <c r="D563" s="75" t="s">
        <v>132</v>
      </c>
      <c r="E563" s="75" t="s">
        <v>175</v>
      </c>
      <c r="F563" s="75"/>
      <c r="G563" s="75"/>
      <c r="H563" s="75"/>
      <c r="I563" s="75" t="s">
        <v>170</v>
      </c>
      <c r="J563" s="503">
        <v>16</v>
      </c>
      <c r="K563" s="503">
        <v>3</v>
      </c>
      <c r="L563" s="504">
        <v>10.039999999999999</v>
      </c>
      <c r="M563" s="504">
        <v>10.7</v>
      </c>
      <c r="N563" s="505">
        <v>0.106</v>
      </c>
      <c r="O563" s="505">
        <v>0.10299999999999999</v>
      </c>
      <c r="P563" s="505">
        <v>0.11799999999999999</v>
      </c>
      <c r="Q563" s="78">
        <v>0.44</v>
      </c>
      <c r="R563" s="78">
        <v>0.31740000000000002</v>
      </c>
      <c r="S563" s="69">
        <v>0</v>
      </c>
      <c r="T563" s="69">
        <v>0</v>
      </c>
      <c r="U563" s="505">
        <v>0.85</v>
      </c>
      <c r="V563" s="76">
        <v>0</v>
      </c>
      <c r="W563" s="76">
        <v>0</v>
      </c>
      <c r="X563" s="76"/>
    </row>
    <row r="564" spans="1:24" x14ac:dyDescent="0.25">
      <c r="A564" s="75" t="str">
        <f t="shared" si="16"/>
        <v>Pago_de_Hipoteca PF Wealth &amp; Premier Executive Pago_Bajo_Puntual Si 15</v>
      </c>
      <c r="B564" s="75" t="str">
        <f t="shared" si="17"/>
        <v>Pago_de_Hipoteca PF Wealth &amp; Premier Executive Pago_Bajo_Puntual Si 15 0.103</v>
      </c>
      <c r="C564" s="75" t="s">
        <v>173</v>
      </c>
      <c r="D564" s="75" t="s">
        <v>132</v>
      </c>
      <c r="E564" s="75" t="s">
        <v>175</v>
      </c>
      <c r="F564" s="75"/>
      <c r="G564" s="75"/>
      <c r="H564" s="75"/>
      <c r="I564" s="75" t="s">
        <v>170</v>
      </c>
      <c r="J564" s="503">
        <v>15</v>
      </c>
      <c r="K564" s="503" t="s">
        <v>387</v>
      </c>
      <c r="L564" s="504">
        <v>10.119999999999999</v>
      </c>
      <c r="M564" s="504">
        <v>10.78</v>
      </c>
      <c r="N564" s="505">
        <v>0.10299999999999999</v>
      </c>
      <c r="O564" s="505">
        <v>0.1</v>
      </c>
      <c r="P564" s="505">
        <v>0.112</v>
      </c>
      <c r="Q564" s="78">
        <v>0.44</v>
      </c>
      <c r="R564" s="78">
        <v>0.31740000000000002</v>
      </c>
      <c r="S564" s="69">
        <v>0</v>
      </c>
      <c r="T564" s="69">
        <v>0</v>
      </c>
      <c r="U564" s="505">
        <v>0.85</v>
      </c>
      <c r="V564" s="76">
        <v>0</v>
      </c>
      <c r="W564" s="76">
        <v>0</v>
      </c>
      <c r="X564" s="76" t="s">
        <v>147</v>
      </c>
    </row>
    <row r="565" spans="1:24" x14ac:dyDescent="0.25">
      <c r="A565" s="75" t="str">
        <f t="shared" si="16"/>
        <v>Pago_de_Hipoteca PF Wealth &amp; Premier Executive Pago_Bajo_Puntual 15</v>
      </c>
      <c r="B565" s="75" t="str">
        <f t="shared" si="17"/>
        <v>Pago_de_Hipoteca PF Wealth &amp; Premier Executive Pago_Bajo_Puntual 15 0.106</v>
      </c>
      <c r="C565" s="75" t="s">
        <v>173</v>
      </c>
      <c r="D565" s="75" t="s">
        <v>132</v>
      </c>
      <c r="E565" s="75" t="s">
        <v>175</v>
      </c>
      <c r="F565" s="75"/>
      <c r="G565" s="75"/>
      <c r="H565" s="75"/>
      <c r="I565" s="75" t="s">
        <v>170</v>
      </c>
      <c r="J565" s="503">
        <v>15</v>
      </c>
      <c r="K565" s="503">
        <v>3</v>
      </c>
      <c r="L565" s="504">
        <v>10.33</v>
      </c>
      <c r="M565" s="504">
        <v>10.99</v>
      </c>
      <c r="N565" s="505">
        <v>0.106</v>
      </c>
      <c r="O565" s="505">
        <v>0.10299999999999999</v>
      </c>
      <c r="P565" s="505">
        <v>0.11799999999999999</v>
      </c>
      <c r="Q565" s="78">
        <v>0.44</v>
      </c>
      <c r="R565" s="78">
        <v>0.31740000000000002</v>
      </c>
      <c r="S565" s="69">
        <v>0</v>
      </c>
      <c r="T565" s="69">
        <v>0</v>
      </c>
      <c r="U565" s="505">
        <v>0.85</v>
      </c>
      <c r="V565" s="76">
        <v>0</v>
      </c>
      <c r="W565" s="76">
        <v>0</v>
      </c>
      <c r="X565" s="76"/>
    </row>
    <row r="566" spans="1:24" x14ac:dyDescent="0.25">
      <c r="A566" s="75" t="str">
        <f t="shared" si="16"/>
        <v>Pago_de_Hipoteca PF Wealth &amp; Premier Executive Pago_Bajo_Puntual Si 14</v>
      </c>
      <c r="B566" s="75" t="str">
        <f t="shared" si="17"/>
        <v>Pago_de_Hipoteca PF Wealth &amp; Premier Executive Pago_Bajo_Puntual Si 14 0.103</v>
      </c>
      <c r="C566" s="75" t="s">
        <v>173</v>
      </c>
      <c r="D566" s="75" t="s">
        <v>132</v>
      </c>
      <c r="E566" s="75" t="s">
        <v>175</v>
      </c>
      <c r="F566" s="75"/>
      <c r="G566" s="75"/>
      <c r="H566" s="75"/>
      <c r="I566" s="75" t="s">
        <v>170</v>
      </c>
      <c r="J566" s="503">
        <v>14</v>
      </c>
      <c r="K566" s="503" t="s">
        <v>387</v>
      </c>
      <c r="L566" s="504">
        <v>10.46</v>
      </c>
      <c r="M566" s="504">
        <v>11.12</v>
      </c>
      <c r="N566" s="505">
        <v>0.10299999999999999</v>
      </c>
      <c r="O566" s="505">
        <v>0.1</v>
      </c>
      <c r="P566" s="505">
        <v>0.112</v>
      </c>
      <c r="Q566" s="78">
        <v>0.44</v>
      </c>
      <c r="R566" s="78">
        <v>0.31740000000000002</v>
      </c>
      <c r="S566" s="69">
        <v>0</v>
      </c>
      <c r="T566" s="69">
        <v>0</v>
      </c>
      <c r="U566" s="505">
        <v>0.85</v>
      </c>
      <c r="V566" s="76">
        <v>0</v>
      </c>
      <c r="W566" s="76">
        <v>0</v>
      </c>
      <c r="X566" s="76" t="s">
        <v>147</v>
      </c>
    </row>
    <row r="567" spans="1:24" x14ac:dyDescent="0.25">
      <c r="A567" s="75" t="str">
        <f t="shared" si="16"/>
        <v>Pago_de_Hipoteca PF Wealth &amp; Premier Executive Pago_Bajo_Puntual 14</v>
      </c>
      <c r="B567" s="75" t="str">
        <f t="shared" si="17"/>
        <v>Pago_de_Hipoteca PF Wealth &amp; Premier Executive Pago_Bajo_Puntual 14 0.106</v>
      </c>
      <c r="C567" s="75" t="s">
        <v>173</v>
      </c>
      <c r="D567" s="75" t="s">
        <v>132</v>
      </c>
      <c r="E567" s="75" t="s">
        <v>175</v>
      </c>
      <c r="F567" s="75"/>
      <c r="G567" s="75"/>
      <c r="H567" s="75"/>
      <c r="I567" s="75" t="s">
        <v>170</v>
      </c>
      <c r="J567" s="503">
        <v>14</v>
      </c>
      <c r="K567" s="503">
        <v>3</v>
      </c>
      <c r="L567" s="504">
        <v>10.66</v>
      </c>
      <c r="M567" s="504">
        <v>11.32</v>
      </c>
      <c r="N567" s="505">
        <v>0.106</v>
      </c>
      <c r="O567" s="505">
        <v>0.10299999999999999</v>
      </c>
      <c r="P567" s="505">
        <v>0.11799999999999999</v>
      </c>
      <c r="Q567" s="78">
        <v>0.44</v>
      </c>
      <c r="R567" s="78">
        <v>0.31740000000000002</v>
      </c>
      <c r="S567" s="69">
        <v>0</v>
      </c>
      <c r="T567" s="69">
        <v>0</v>
      </c>
      <c r="U567" s="505">
        <v>0.85</v>
      </c>
      <c r="V567" s="76">
        <v>0</v>
      </c>
      <c r="W567" s="76">
        <v>0</v>
      </c>
      <c r="X567" s="76"/>
    </row>
    <row r="568" spans="1:24" x14ac:dyDescent="0.25">
      <c r="A568" s="75" t="str">
        <f t="shared" si="16"/>
        <v>Pago_de_Hipoteca PF Wealth &amp; Premier Executive Pago_Bajo_Puntual Si 13</v>
      </c>
      <c r="B568" s="75" t="str">
        <f t="shared" si="17"/>
        <v>Pago_de_Hipoteca PF Wealth &amp; Premier Executive Pago_Bajo_Puntual Si 13 0.103</v>
      </c>
      <c r="C568" s="75" t="s">
        <v>173</v>
      </c>
      <c r="D568" s="75" t="s">
        <v>132</v>
      </c>
      <c r="E568" s="75" t="s">
        <v>175</v>
      </c>
      <c r="F568" s="75"/>
      <c r="G568" s="75"/>
      <c r="H568" s="75"/>
      <c r="I568" s="75" t="s">
        <v>170</v>
      </c>
      <c r="J568" s="503">
        <v>13</v>
      </c>
      <c r="K568" s="503" t="s">
        <v>387</v>
      </c>
      <c r="L568" s="504">
        <v>10.86</v>
      </c>
      <c r="M568" s="504">
        <v>11.52</v>
      </c>
      <c r="N568" s="505">
        <v>0.10299999999999999</v>
      </c>
      <c r="O568" s="505">
        <v>0.1</v>
      </c>
      <c r="P568" s="505">
        <v>0.112</v>
      </c>
      <c r="Q568" s="78">
        <v>0.44</v>
      </c>
      <c r="R568" s="78">
        <v>0.31740000000000002</v>
      </c>
      <c r="S568" s="69">
        <v>0</v>
      </c>
      <c r="T568" s="69">
        <v>0</v>
      </c>
      <c r="U568" s="505">
        <v>0.85</v>
      </c>
      <c r="V568" s="76">
        <v>0</v>
      </c>
      <c r="W568" s="76">
        <v>0</v>
      </c>
      <c r="X568" s="76" t="s">
        <v>147</v>
      </c>
    </row>
    <row r="569" spans="1:24" x14ac:dyDescent="0.25">
      <c r="A569" s="75" t="str">
        <f t="shared" si="16"/>
        <v>Pago_de_Hipoteca PF Wealth &amp; Premier Executive Pago_Bajo_Puntual 13</v>
      </c>
      <c r="B569" s="75" t="str">
        <f t="shared" si="17"/>
        <v>Pago_de_Hipoteca PF Wealth &amp; Premier Executive Pago_Bajo_Puntual 13 0.106</v>
      </c>
      <c r="C569" s="75" t="s">
        <v>173</v>
      </c>
      <c r="D569" s="75" t="s">
        <v>132</v>
      </c>
      <c r="E569" s="75" t="s">
        <v>175</v>
      </c>
      <c r="F569" s="75"/>
      <c r="G569" s="75"/>
      <c r="H569" s="75"/>
      <c r="I569" s="75" t="s">
        <v>170</v>
      </c>
      <c r="J569" s="503">
        <v>13</v>
      </c>
      <c r="K569" s="503">
        <v>3</v>
      </c>
      <c r="L569" s="504">
        <v>11.05</v>
      </c>
      <c r="M569" s="504">
        <v>11.71</v>
      </c>
      <c r="N569" s="505">
        <v>0.106</v>
      </c>
      <c r="O569" s="505">
        <v>0.10299999999999999</v>
      </c>
      <c r="P569" s="505">
        <v>0.11799999999999999</v>
      </c>
      <c r="Q569" s="78">
        <v>0.44</v>
      </c>
      <c r="R569" s="78">
        <v>0.31740000000000002</v>
      </c>
      <c r="S569" s="69">
        <v>0</v>
      </c>
      <c r="T569" s="69">
        <v>0</v>
      </c>
      <c r="U569" s="505">
        <v>0.85</v>
      </c>
      <c r="V569" s="76">
        <v>0</v>
      </c>
      <c r="W569" s="76">
        <v>0</v>
      </c>
      <c r="X569" s="76"/>
    </row>
    <row r="570" spans="1:24" x14ac:dyDescent="0.25">
      <c r="A570" s="75" t="str">
        <f t="shared" si="16"/>
        <v>Pago_de_Hipoteca PF Wealth &amp; Premier Executive Pago_Bajo_Puntual Si 12</v>
      </c>
      <c r="B570" s="75" t="str">
        <f t="shared" si="17"/>
        <v>Pago_de_Hipoteca PF Wealth &amp; Premier Executive Pago_Bajo_Puntual Si 12 0.103</v>
      </c>
      <c r="C570" s="75" t="s">
        <v>173</v>
      </c>
      <c r="D570" s="75" t="s">
        <v>132</v>
      </c>
      <c r="E570" s="75" t="s">
        <v>175</v>
      </c>
      <c r="F570" s="75"/>
      <c r="G570" s="75"/>
      <c r="H570" s="75"/>
      <c r="I570" s="75" t="s">
        <v>170</v>
      </c>
      <c r="J570" s="503">
        <v>12</v>
      </c>
      <c r="K570" s="503" t="s">
        <v>387</v>
      </c>
      <c r="L570" s="504">
        <v>11.34</v>
      </c>
      <c r="M570" s="504">
        <v>12</v>
      </c>
      <c r="N570" s="505">
        <v>0.10299999999999999</v>
      </c>
      <c r="O570" s="505">
        <v>0.1</v>
      </c>
      <c r="P570" s="505">
        <v>0.112</v>
      </c>
      <c r="Q570" s="78">
        <v>0.44</v>
      </c>
      <c r="R570" s="78">
        <v>0.31740000000000002</v>
      </c>
      <c r="S570" s="69">
        <v>0</v>
      </c>
      <c r="T570" s="69">
        <v>0</v>
      </c>
      <c r="U570" s="505">
        <v>0.85</v>
      </c>
      <c r="V570" s="76">
        <v>0</v>
      </c>
      <c r="W570" s="76">
        <v>0</v>
      </c>
      <c r="X570" s="76" t="s">
        <v>147</v>
      </c>
    </row>
    <row r="571" spans="1:24" x14ac:dyDescent="0.25">
      <c r="A571" s="75" t="str">
        <f t="shared" si="16"/>
        <v>Pago_de_Hipoteca PF Wealth &amp; Premier Executive Pago_Bajo_Puntual 12</v>
      </c>
      <c r="B571" s="75" t="str">
        <f t="shared" si="17"/>
        <v>Pago_de_Hipoteca PF Wealth &amp; Premier Executive Pago_Bajo_Puntual 12 0.106</v>
      </c>
      <c r="C571" s="75" t="s">
        <v>173</v>
      </c>
      <c r="D571" s="75" t="s">
        <v>132</v>
      </c>
      <c r="E571" s="75" t="s">
        <v>175</v>
      </c>
      <c r="F571" s="75"/>
      <c r="G571" s="75"/>
      <c r="H571" s="75"/>
      <c r="I571" s="75" t="s">
        <v>170</v>
      </c>
      <c r="J571" s="503">
        <v>12</v>
      </c>
      <c r="K571" s="503">
        <v>3</v>
      </c>
      <c r="L571" s="504">
        <v>11.52</v>
      </c>
      <c r="M571" s="504">
        <v>12.18</v>
      </c>
      <c r="N571" s="505">
        <v>0.106</v>
      </c>
      <c r="O571" s="505">
        <v>0.10299999999999999</v>
      </c>
      <c r="P571" s="505">
        <v>0.11799999999999999</v>
      </c>
      <c r="Q571" s="78">
        <v>0.44</v>
      </c>
      <c r="R571" s="78">
        <v>0.31740000000000002</v>
      </c>
      <c r="S571" s="69">
        <v>0</v>
      </c>
      <c r="T571" s="69">
        <v>0</v>
      </c>
      <c r="U571" s="505">
        <v>0.85</v>
      </c>
      <c r="V571" s="76">
        <v>0</v>
      </c>
      <c r="W571" s="76">
        <v>0</v>
      </c>
      <c r="X571" s="76"/>
    </row>
    <row r="572" spans="1:24" x14ac:dyDescent="0.25">
      <c r="A572" s="75" t="str">
        <f t="shared" si="16"/>
        <v>Pago_de_Hipoteca PF Wealth &amp; Premier Executive Pago_Bajo_Puntual Si 11</v>
      </c>
      <c r="B572" s="75" t="str">
        <f t="shared" si="17"/>
        <v>Pago_de_Hipoteca PF Wealth &amp; Premier Executive Pago_Bajo_Puntual Si 11 0.103</v>
      </c>
      <c r="C572" s="75" t="s">
        <v>173</v>
      </c>
      <c r="D572" s="75" t="s">
        <v>132</v>
      </c>
      <c r="E572" s="75" t="s">
        <v>175</v>
      </c>
      <c r="F572" s="75"/>
      <c r="G572" s="75"/>
      <c r="H572" s="75"/>
      <c r="I572" s="75" t="s">
        <v>170</v>
      </c>
      <c r="J572" s="503">
        <v>11</v>
      </c>
      <c r="K572" s="503" t="s">
        <v>387</v>
      </c>
      <c r="L572" s="504">
        <v>11.92</v>
      </c>
      <c r="M572" s="504">
        <v>12.58</v>
      </c>
      <c r="N572" s="505">
        <v>0.10299999999999999</v>
      </c>
      <c r="O572" s="505">
        <v>0.1</v>
      </c>
      <c r="P572" s="505">
        <v>0.112</v>
      </c>
      <c r="Q572" s="78">
        <v>0.44</v>
      </c>
      <c r="R572" s="78">
        <v>0.31740000000000002</v>
      </c>
      <c r="S572" s="69">
        <v>0</v>
      </c>
      <c r="T572" s="69">
        <v>0</v>
      </c>
      <c r="U572" s="505">
        <v>0.85</v>
      </c>
      <c r="V572" s="76">
        <v>0</v>
      </c>
      <c r="W572" s="76">
        <v>0</v>
      </c>
      <c r="X572" s="76" t="s">
        <v>147</v>
      </c>
    </row>
    <row r="573" spans="1:24" x14ac:dyDescent="0.25">
      <c r="A573" s="75" t="str">
        <f t="shared" si="16"/>
        <v>Pago_de_Hipoteca PF Wealth &amp; Premier Executive Pago_Bajo_Puntual 11</v>
      </c>
      <c r="B573" s="75" t="str">
        <f t="shared" si="17"/>
        <v>Pago_de_Hipoteca PF Wealth &amp; Premier Executive Pago_Bajo_Puntual 11 0.106</v>
      </c>
      <c r="C573" s="75" t="s">
        <v>173</v>
      </c>
      <c r="D573" s="75" t="s">
        <v>132</v>
      </c>
      <c r="E573" s="75" t="s">
        <v>175</v>
      </c>
      <c r="F573" s="75"/>
      <c r="G573" s="75"/>
      <c r="H573" s="75"/>
      <c r="I573" s="75" t="s">
        <v>170</v>
      </c>
      <c r="J573" s="503">
        <v>11</v>
      </c>
      <c r="K573" s="503">
        <v>3</v>
      </c>
      <c r="L573" s="504">
        <v>12.09</v>
      </c>
      <c r="M573" s="504">
        <v>12.75</v>
      </c>
      <c r="N573" s="505">
        <v>0.106</v>
      </c>
      <c r="O573" s="505">
        <v>0.10299999999999999</v>
      </c>
      <c r="P573" s="505">
        <v>0.11799999999999999</v>
      </c>
      <c r="Q573" s="78">
        <v>0.44</v>
      </c>
      <c r="R573" s="78">
        <v>0.31740000000000002</v>
      </c>
      <c r="S573" s="69">
        <v>0</v>
      </c>
      <c r="T573" s="69">
        <v>0</v>
      </c>
      <c r="U573" s="505">
        <v>0.85</v>
      </c>
      <c r="V573" s="76">
        <v>0</v>
      </c>
      <c r="W573" s="76">
        <v>0</v>
      </c>
      <c r="X573" s="76"/>
    </row>
    <row r="574" spans="1:24" x14ac:dyDescent="0.25">
      <c r="A574" s="75" t="str">
        <f t="shared" si="16"/>
        <v>Pago_de_Hipoteca PF Wealth &amp; Premier Executive Pago_Bajo_Puntual Si 10</v>
      </c>
      <c r="B574" s="75" t="str">
        <f t="shared" si="17"/>
        <v>Pago_de_Hipoteca PF Wealth &amp; Premier Executive Pago_Bajo_Puntual Si 10 0.103</v>
      </c>
      <c r="C574" s="75" t="s">
        <v>173</v>
      </c>
      <c r="D574" s="75" t="s">
        <v>132</v>
      </c>
      <c r="E574" s="75" t="s">
        <v>175</v>
      </c>
      <c r="F574" s="75"/>
      <c r="G574" s="75"/>
      <c r="H574" s="75"/>
      <c r="I574" s="75" t="s">
        <v>170</v>
      </c>
      <c r="J574" s="503">
        <v>10</v>
      </c>
      <c r="K574" s="503" t="s">
        <v>387</v>
      </c>
      <c r="L574" s="504">
        <v>12.62</v>
      </c>
      <c r="M574" s="504">
        <v>13.28</v>
      </c>
      <c r="N574" s="505">
        <v>0.10299999999999999</v>
      </c>
      <c r="O574" s="505">
        <v>0.1</v>
      </c>
      <c r="P574" s="505">
        <v>0.112</v>
      </c>
      <c r="Q574" s="78">
        <v>0.44</v>
      </c>
      <c r="R574" s="78">
        <v>0.31740000000000002</v>
      </c>
      <c r="S574" s="69">
        <v>0</v>
      </c>
      <c r="T574" s="69">
        <v>0</v>
      </c>
      <c r="U574" s="505">
        <v>0.85</v>
      </c>
      <c r="V574" s="76">
        <v>0</v>
      </c>
      <c r="W574" s="76">
        <v>0</v>
      </c>
      <c r="X574" s="76" t="s">
        <v>147</v>
      </c>
    </row>
    <row r="575" spans="1:24" x14ac:dyDescent="0.25">
      <c r="A575" s="75" t="str">
        <f t="shared" si="16"/>
        <v>Pago_de_Hipoteca PF Wealth &amp; Premier Executive Pago_Bajo_Puntual 10</v>
      </c>
      <c r="B575" s="75" t="str">
        <f t="shared" si="17"/>
        <v>Pago_de_Hipoteca PF Wealth &amp; Premier Executive Pago_Bajo_Puntual 10 0.106</v>
      </c>
      <c r="C575" s="75" t="s">
        <v>173</v>
      </c>
      <c r="D575" s="75" t="s">
        <v>132</v>
      </c>
      <c r="E575" s="75" t="s">
        <v>175</v>
      </c>
      <c r="F575" s="75"/>
      <c r="G575" s="75"/>
      <c r="H575" s="75"/>
      <c r="I575" s="75" t="s">
        <v>170</v>
      </c>
      <c r="J575" s="503">
        <v>10</v>
      </c>
      <c r="K575" s="503">
        <v>3</v>
      </c>
      <c r="L575" s="504">
        <v>12.78</v>
      </c>
      <c r="M575" s="504">
        <v>13.44</v>
      </c>
      <c r="N575" s="505">
        <v>0.106</v>
      </c>
      <c r="O575" s="505">
        <v>0.10299999999999999</v>
      </c>
      <c r="P575" s="505">
        <v>0.11799999999999999</v>
      </c>
      <c r="Q575" s="78">
        <v>0.44</v>
      </c>
      <c r="R575" s="78">
        <v>0.31740000000000002</v>
      </c>
      <c r="S575" s="69">
        <v>0</v>
      </c>
      <c r="T575" s="69">
        <v>0</v>
      </c>
      <c r="U575" s="505">
        <v>0.85</v>
      </c>
      <c r="V575" s="76">
        <v>0</v>
      </c>
      <c r="W575" s="76">
        <v>0</v>
      </c>
      <c r="X575" s="76"/>
    </row>
    <row r="576" spans="1:24" x14ac:dyDescent="0.25">
      <c r="A576" s="75" t="str">
        <f t="shared" si="16"/>
        <v>Pago_de_Hipoteca PF Wealth &amp; Premier Executive Pago_Bajo_Puntual Si 9</v>
      </c>
      <c r="B576" s="75" t="str">
        <f t="shared" si="17"/>
        <v>Pago_de_Hipoteca PF Wealth &amp; Premier Executive Pago_Bajo_Puntual Si 9 0.103</v>
      </c>
      <c r="C576" s="75" t="s">
        <v>173</v>
      </c>
      <c r="D576" s="75" t="s">
        <v>132</v>
      </c>
      <c r="E576" s="75" t="s">
        <v>175</v>
      </c>
      <c r="F576" s="75"/>
      <c r="G576" s="75"/>
      <c r="H576" s="75"/>
      <c r="I576" s="75" t="s">
        <v>170</v>
      </c>
      <c r="J576" s="503">
        <v>9</v>
      </c>
      <c r="K576" s="503" t="s">
        <v>387</v>
      </c>
      <c r="L576" s="504">
        <v>13.49</v>
      </c>
      <c r="M576" s="504">
        <v>14.15</v>
      </c>
      <c r="N576" s="505">
        <v>0.10299999999999999</v>
      </c>
      <c r="O576" s="505">
        <v>0.1</v>
      </c>
      <c r="P576" s="505">
        <v>0.112</v>
      </c>
      <c r="Q576" s="78">
        <v>0.44</v>
      </c>
      <c r="R576" s="78">
        <v>0.31740000000000002</v>
      </c>
      <c r="S576" s="69">
        <v>0</v>
      </c>
      <c r="T576" s="69">
        <v>0</v>
      </c>
      <c r="U576" s="505">
        <v>0.85</v>
      </c>
      <c r="V576" s="76">
        <v>0</v>
      </c>
      <c r="W576" s="76">
        <v>0</v>
      </c>
      <c r="X576" s="76" t="s">
        <v>147</v>
      </c>
    </row>
    <row r="577" spans="1:24" x14ac:dyDescent="0.25">
      <c r="A577" s="75" t="str">
        <f t="shared" si="16"/>
        <v>Pago_de_Hipoteca PF Wealth &amp; Premier Executive Pago_Bajo_Puntual 9</v>
      </c>
      <c r="B577" s="75" t="str">
        <f t="shared" si="17"/>
        <v>Pago_de_Hipoteca PF Wealth &amp; Premier Executive Pago_Bajo_Puntual 9 0.106</v>
      </c>
      <c r="C577" s="75" t="s">
        <v>173</v>
      </c>
      <c r="D577" s="75" t="s">
        <v>132</v>
      </c>
      <c r="E577" s="75" t="s">
        <v>175</v>
      </c>
      <c r="F577" s="75"/>
      <c r="G577" s="75"/>
      <c r="H577" s="75"/>
      <c r="I577" s="75" t="s">
        <v>170</v>
      </c>
      <c r="J577" s="503">
        <v>9</v>
      </c>
      <c r="K577" s="503">
        <v>3</v>
      </c>
      <c r="L577" s="504">
        <v>13.65</v>
      </c>
      <c r="M577" s="504">
        <v>14.31</v>
      </c>
      <c r="N577" s="505">
        <v>0.106</v>
      </c>
      <c r="O577" s="505">
        <v>0.10299999999999999</v>
      </c>
      <c r="P577" s="505">
        <v>0.11799999999999999</v>
      </c>
      <c r="Q577" s="78">
        <v>0.44</v>
      </c>
      <c r="R577" s="78">
        <v>0.31740000000000002</v>
      </c>
      <c r="S577" s="69">
        <v>0</v>
      </c>
      <c r="T577" s="69">
        <v>0</v>
      </c>
      <c r="U577" s="505">
        <v>0.85</v>
      </c>
      <c r="V577" s="76">
        <v>0</v>
      </c>
      <c r="W577" s="76">
        <v>0</v>
      </c>
      <c r="X577" s="76"/>
    </row>
    <row r="578" spans="1:24" x14ac:dyDescent="0.25">
      <c r="A578" s="75" t="str">
        <f t="shared" ref="A578:A585" si="18">TRIM(CONCATENATE(C578," ",D578," ",E578," ",F578," ",G578," ",I578," ",X578," ",J578))</f>
        <v>Pago_de_Hipoteca PF Wealth &amp; Premier Executive Pago_Bajo_Puntual Si 8</v>
      </c>
      <c r="B578" s="75" t="str">
        <f t="shared" ref="B578:B641" si="19">CONCATENATE(A578," ",N578)</f>
        <v>Pago_de_Hipoteca PF Wealth &amp; Premier Executive Pago_Bajo_Puntual Si 8 0.103</v>
      </c>
      <c r="C578" s="75" t="s">
        <v>173</v>
      </c>
      <c r="D578" s="75" t="s">
        <v>132</v>
      </c>
      <c r="E578" s="75" t="s">
        <v>175</v>
      </c>
      <c r="F578" s="75"/>
      <c r="G578" s="75"/>
      <c r="H578" s="75"/>
      <c r="I578" s="75" t="s">
        <v>170</v>
      </c>
      <c r="J578" s="503">
        <v>8</v>
      </c>
      <c r="K578" s="503" t="s">
        <v>387</v>
      </c>
      <c r="L578" s="504">
        <v>14.59</v>
      </c>
      <c r="M578" s="504">
        <v>15.25</v>
      </c>
      <c r="N578" s="505">
        <v>0.10299999999999999</v>
      </c>
      <c r="O578" s="505">
        <v>0.1</v>
      </c>
      <c r="P578" s="505">
        <v>0.112</v>
      </c>
      <c r="Q578" s="78">
        <v>0.44</v>
      </c>
      <c r="R578" s="78">
        <v>0.31740000000000002</v>
      </c>
      <c r="S578" s="69">
        <v>0</v>
      </c>
      <c r="T578" s="69">
        <v>0</v>
      </c>
      <c r="U578" s="505">
        <v>0.85</v>
      </c>
      <c r="V578" s="76">
        <v>0</v>
      </c>
      <c r="W578" s="76">
        <v>0</v>
      </c>
      <c r="X578" s="76" t="s">
        <v>147</v>
      </c>
    </row>
    <row r="579" spans="1:24" x14ac:dyDescent="0.25">
      <c r="A579" s="75" t="str">
        <f t="shared" si="18"/>
        <v>Pago_de_Hipoteca PF Wealth &amp; Premier Executive Pago_Bajo_Puntual 8</v>
      </c>
      <c r="B579" s="75" t="str">
        <f t="shared" si="19"/>
        <v>Pago_de_Hipoteca PF Wealth &amp; Premier Executive Pago_Bajo_Puntual 8 0.106</v>
      </c>
      <c r="C579" s="75" t="s">
        <v>173</v>
      </c>
      <c r="D579" s="75" t="s">
        <v>132</v>
      </c>
      <c r="E579" s="75" t="s">
        <v>175</v>
      </c>
      <c r="F579" s="75"/>
      <c r="G579" s="75"/>
      <c r="H579" s="75"/>
      <c r="I579" s="75" t="s">
        <v>170</v>
      </c>
      <c r="J579" s="503">
        <v>8</v>
      </c>
      <c r="K579" s="503">
        <v>3</v>
      </c>
      <c r="L579" s="504">
        <v>14.74</v>
      </c>
      <c r="M579" s="504">
        <v>15.4</v>
      </c>
      <c r="N579" s="505">
        <v>0.106</v>
      </c>
      <c r="O579" s="505">
        <v>0.10299999999999999</v>
      </c>
      <c r="P579" s="505">
        <v>0.11799999999999999</v>
      </c>
      <c r="Q579" s="78">
        <v>0.44</v>
      </c>
      <c r="R579" s="78">
        <v>0.31740000000000002</v>
      </c>
      <c r="S579" s="69">
        <v>0</v>
      </c>
      <c r="T579" s="69">
        <v>0</v>
      </c>
      <c r="U579" s="505">
        <v>0.85</v>
      </c>
      <c r="V579" s="76">
        <v>0</v>
      </c>
      <c r="W579" s="76">
        <v>0</v>
      </c>
      <c r="X579" s="76"/>
    </row>
    <row r="580" spans="1:24" x14ac:dyDescent="0.25">
      <c r="A580" s="75" t="str">
        <f t="shared" si="18"/>
        <v>Pago_de_Hipoteca PF Wealth &amp; Premier Executive Pago_Bajo_Puntual Si 7</v>
      </c>
      <c r="B580" s="75" t="str">
        <f t="shared" si="19"/>
        <v>Pago_de_Hipoteca PF Wealth &amp; Premier Executive Pago_Bajo_Puntual Si 7 0.103</v>
      </c>
      <c r="C580" s="75" t="s">
        <v>173</v>
      </c>
      <c r="D580" s="75" t="s">
        <v>132</v>
      </c>
      <c r="E580" s="75" t="s">
        <v>175</v>
      </c>
      <c r="F580" s="75"/>
      <c r="G580" s="75"/>
      <c r="H580" s="75"/>
      <c r="I580" s="75" t="s">
        <v>170</v>
      </c>
      <c r="J580" s="503">
        <v>7</v>
      </c>
      <c r="K580" s="503" t="s">
        <v>387</v>
      </c>
      <c r="L580" s="504">
        <v>16.03</v>
      </c>
      <c r="M580" s="504">
        <v>16.690000000000001</v>
      </c>
      <c r="N580" s="505">
        <v>0.10299999999999999</v>
      </c>
      <c r="O580" s="505">
        <v>0.1</v>
      </c>
      <c r="P580" s="505">
        <v>0.112</v>
      </c>
      <c r="Q580" s="78">
        <v>0.44</v>
      </c>
      <c r="R580" s="78">
        <v>0.31740000000000002</v>
      </c>
      <c r="S580" s="69">
        <v>0</v>
      </c>
      <c r="T580" s="69">
        <v>0</v>
      </c>
      <c r="U580" s="505">
        <v>0.85</v>
      </c>
      <c r="V580" s="76">
        <v>0</v>
      </c>
      <c r="W580" s="76">
        <v>0</v>
      </c>
      <c r="X580" s="76" t="s">
        <v>147</v>
      </c>
    </row>
    <row r="581" spans="1:24" x14ac:dyDescent="0.25">
      <c r="A581" s="75" t="str">
        <f t="shared" si="18"/>
        <v>Pago_de_Hipoteca PF Wealth &amp; Premier Executive Pago_Bajo_Puntual 7</v>
      </c>
      <c r="B581" s="75" t="str">
        <f t="shared" si="19"/>
        <v>Pago_de_Hipoteca PF Wealth &amp; Premier Executive Pago_Bajo_Puntual 7 0.106</v>
      </c>
      <c r="C581" s="75" t="s">
        <v>173</v>
      </c>
      <c r="D581" s="75" t="s">
        <v>132</v>
      </c>
      <c r="E581" s="75" t="s">
        <v>175</v>
      </c>
      <c r="F581" s="75"/>
      <c r="G581" s="75"/>
      <c r="H581" s="75"/>
      <c r="I581" s="75" t="s">
        <v>170</v>
      </c>
      <c r="J581" s="503">
        <v>7</v>
      </c>
      <c r="K581" s="503">
        <v>3</v>
      </c>
      <c r="L581" s="504">
        <v>16.18</v>
      </c>
      <c r="M581" s="504">
        <v>16.84</v>
      </c>
      <c r="N581" s="505">
        <v>0.106</v>
      </c>
      <c r="O581" s="505">
        <v>0.10299999999999999</v>
      </c>
      <c r="P581" s="505">
        <v>0.11799999999999999</v>
      </c>
      <c r="Q581" s="78">
        <v>0.44</v>
      </c>
      <c r="R581" s="78">
        <v>0.31740000000000002</v>
      </c>
      <c r="S581" s="69">
        <v>0</v>
      </c>
      <c r="T581" s="69">
        <v>0</v>
      </c>
      <c r="U581" s="505">
        <v>0.85</v>
      </c>
      <c r="V581" s="76">
        <v>0</v>
      </c>
      <c r="W581" s="76">
        <v>0</v>
      </c>
      <c r="X581" s="76"/>
    </row>
    <row r="582" spans="1:24" x14ac:dyDescent="0.25">
      <c r="A582" s="75" t="str">
        <f t="shared" si="18"/>
        <v>Pago_de_Hipoteca PF Wealth &amp; Premier Executive Pago_Bajo_Puntual Si 6</v>
      </c>
      <c r="B582" s="75" t="str">
        <f t="shared" si="19"/>
        <v>Pago_de_Hipoteca PF Wealth &amp; Premier Executive Pago_Bajo_Puntual Si 6 0.103</v>
      </c>
      <c r="C582" s="75" t="s">
        <v>173</v>
      </c>
      <c r="D582" s="75" t="s">
        <v>132</v>
      </c>
      <c r="E582" s="75" t="s">
        <v>175</v>
      </c>
      <c r="F582" s="75"/>
      <c r="G582" s="75"/>
      <c r="H582" s="75"/>
      <c r="I582" s="75" t="s">
        <v>170</v>
      </c>
      <c r="J582" s="503">
        <v>6</v>
      </c>
      <c r="K582" s="503" t="s">
        <v>387</v>
      </c>
      <c r="L582" s="504">
        <v>17.97</v>
      </c>
      <c r="M582" s="504">
        <v>18.63</v>
      </c>
      <c r="N582" s="505">
        <v>0.10299999999999999</v>
      </c>
      <c r="O582" s="505">
        <v>0.1</v>
      </c>
      <c r="P582" s="505">
        <v>0.112</v>
      </c>
      <c r="Q582" s="78">
        <v>0.44</v>
      </c>
      <c r="R582" s="78">
        <v>0.31740000000000002</v>
      </c>
      <c r="S582" s="69">
        <v>0</v>
      </c>
      <c r="T582" s="69">
        <v>0</v>
      </c>
      <c r="U582" s="505">
        <v>0.85</v>
      </c>
      <c r="V582" s="76">
        <v>0</v>
      </c>
      <c r="W582" s="76">
        <v>0</v>
      </c>
      <c r="X582" s="76" t="s">
        <v>147</v>
      </c>
    </row>
    <row r="583" spans="1:24" x14ac:dyDescent="0.25">
      <c r="A583" s="75" t="str">
        <f t="shared" si="18"/>
        <v>Pago_de_Hipoteca PF Wealth &amp; Premier Executive Pago_Bajo_Puntual 6</v>
      </c>
      <c r="B583" s="75" t="str">
        <f t="shared" si="19"/>
        <v>Pago_de_Hipoteca PF Wealth &amp; Premier Executive Pago_Bajo_Puntual 6 0.106</v>
      </c>
      <c r="C583" s="75" t="s">
        <v>173</v>
      </c>
      <c r="D583" s="75" t="s">
        <v>132</v>
      </c>
      <c r="E583" s="75" t="s">
        <v>175</v>
      </c>
      <c r="F583" s="75"/>
      <c r="G583" s="75"/>
      <c r="H583" s="75"/>
      <c r="I583" s="75" t="s">
        <v>170</v>
      </c>
      <c r="J583" s="503">
        <v>6</v>
      </c>
      <c r="K583" s="503">
        <v>3</v>
      </c>
      <c r="L583" s="504">
        <v>18.12</v>
      </c>
      <c r="M583" s="504">
        <v>18.78</v>
      </c>
      <c r="N583" s="505">
        <v>0.106</v>
      </c>
      <c r="O583" s="505">
        <v>0.10299999999999999</v>
      </c>
      <c r="P583" s="505">
        <v>0.11799999999999999</v>
      </c>
      <c r="Q583" s="78">
        <v>0.44</v>
      </c>
      <c r="R583" s="78">
        <v>0.31740000000000002</v>
      </c>
      <c r="S583" s="69">
        <v>0</v>
      </c>
      <c r="T583" s="69">
        <v>0</v>
      </c>
      <c r="U583" s="505">
        <v>0.85</v>
      </c>
      <c r="V583" s="76">
        <v>0</v>
      </c>
      <c r="W583" s="76">
        <v>0</v>
      </c>
      <c r="X583" s="76"/>
    </row>
    <row r="584" spans="1:24" x14ac:dyDescent="0.25">
      <c r="A584" s="75" t="str">
        <f t="shared" si="18"/>
        <v>Pago_de_Hipoteca PF Wealth &amp; Premier Executive Pago_Bajo_Puntual Si 5</v>
      </c>
      <c r="B584" s="75" t="str">
        <f t="shared" si="19"/>
        <v>Pago_de_Hipoteca PF Wealth &amp; Premier Executive Pago_Bajo_Puntual Si 5 0.103</v>
      </c>
      <c r="C584" s="75" t="s">
        <v>173</v>
      </c>
      <c r="D584" s="75" t="s">
        <v>132</v>
      </c>
      <c r="E584" s="75" t="s">
        <v>175</v>
      </c>
      <c r="F584" s="75"/>
      <c r="G584" s="75"/>
      <c r="H584" s="75"/>
      <c r="I584" s="75" t="s">
        <v>170</v>
      </c>
      <c r="J584" s="503">
        <v>5</v>
      </c>
      <c r="K584" s="503" t="s">
        <v>387</v>
      </c>
      <c r="L584" s="504">
        <v>20.72</v>
      </c>
      <c r="M584" s="504">
        <v>21.38</v>
      </c>
      <c r="N584" s="505">
        <v>0.10299999999999999</v>
      </c>
      <c r="O584" s="505">
        <v>0.1</v>
      </c>
      <c r="P584" s="505">
        <v>0.112</v>
      </c>
      <c r="Q584" s="78">
        <v>0.44</v>
      </c>
      <c r="R584" s="78">
        <v>0.31740000000000002</v>
      </c>
      <c r="S584" s="69">
        <v>0</v>
      </c>
      <c r="T584" s="69">
        <v>0</v>
      </c>
      <c r="U584" s="505">
        <v>0.85</v>
      </c>
      <c r="V584" s="76">
        <v>0</v>
      </c>
      <c r="W584" s="76">
        <v>0</v>
      </c>
      <c r="X584" s="76" t="s">
        <v>147</v>
      </c>
    </row>
    <row r="585" spans="1:24" x14ac:dyDescent="0.25">
      <c r="A585" s="75" t="str">
        <f t="shared" si="18"/>
        <v>Pago_de_Hipoteca PF Wealth &amp; Premier Executive Pago_Bajo_Puntual 5</v>
      </c>
      <c r="B585" s="75" t="str">
        <f t="shared" si="19"/>
        <v>Pago_de_Hipoteca PF Wealth &amp; Premier Executive Pago_Bajo_Puntual 5 0.106</v>
      </c>
      <c r="C585" s="75" t="s">
        <v>173</v>
      </c>
      <c r="D585" s="75" t="s">
        <v>132</v>
      </c>
      <c r="E585" s="75" t="s">
        <v>175</v>
      </c>
      <c r="F585" s="75"/>
      <c r="G585" s="75"/>
      <c r="H585" s="75"/>
      <c r="I585" s="75" t="s">
        <v>170</v>
      </c>
      <c r="J585" s="503">
        <v>5</v>
      </c>
      <c r="K585" s="503">
        <v>3</v>
      </c>
      <c r="L585" s="504">
        <v>20.86</v>
      </c>
      <c r="M585" s="504">
        <v>21.52</v>
      </c>
      <c r="N585" s="505">
        <v>0.106</v>
      </c>
      <c r="O585" s="505">
        <v>0.10299999999999999</v>
      </c>
      <c r="P585" s="505">
        <v>0.11799999999999999</v>
      </c>
      <c r="Q585" s="78">
        <v>0.44</v>
      </c>
      <c r="R585" s="78">
        <v>0.31740000000000002</v>
      </c>
      <c r="S585" s="69">
        <v>0</v>
      </c>
      <c r="T585" s="69">
        <v>0</v>
      </c>
      <c r="U585" s="505">
        <v>0.85</v>
      </c>
      <c r="V585" s="76">
        <v>0</v>
      </c>
      <c r="W585" s="76">
        <v>0</v>
      </c>
      <c r="X585" s="76"/>
    </row>
    <row r="586" spans="1:24" x14ac:dyDescent="0.25">
      <c r="A586" s="75" t="str">
        <f t="shared" ref="A586:A641" si="20">TRIM(CONCATENATE(C586," ",D586," ",E586," ",F586," ",G586," ",I586," ",X586," ",J586))</f>
        <v>Adquisicion PF Wealth &amp; Premier Executive Mercado_Abierto Pago_Bajo_Puntual 25</v>
      </c>
      <c r="B586" s="75" t="str">
        <f t="shared" si="19"/>
        <v>Adquisicion PF Wealth &amp; Premier Executive Mercado_Abierto Pago_Bajo_Puntual 25 0.0965</v>
      </c>
      <c r="C586" s="75" t="s">
        <v>114</v>
      </c>
      <c r="D586" s="75" t="s">
        <v>132</v>
      </c>
      <c r="E586" s="75" t="s">
        <v>175</v>
      </c>
      <c r="F586" s="75"/>
      <c r="G586" s="75" t="s">
        <v>396</v>
      </c>
      <c r="H586" s="75"/>
      <c r="I586" s="75" t="s">
        <v>170</v>
      </c>
      <c r="J586" s="501">
        <v>25</v>
      </c>
      <c r="K586" s="501" t="s">
        <v>385</v>
      </c>
      <c r="L586" s="502">
        <v>7.89</v>
      </c>
      <c r="M586" s="502">
        <v>8.5500000000000007</v>
      </c>
      <c r="N586" s="500">
        <v>9.6500000000000002E-2</v>
      </c>
      <c r="O586" s="500">
        <v>9.1999999999999998E-2</v>
      </c>
      <c r="P586" s="500">
        <v>0.10249999999999999</v>
      </c>
      <c r="Q586" s="78">
        <v>0.44</v>
      </c>
      <c r="R586" s="78">
        <v>0.31740000000000002</v>
      </c>
      <c r="S586" s="69">
        <v>0</v>
      </c>
      <c r="T586" s="69">
        <v>0</v>
      </c>
      <c r="U586" s="500">
        <v>0.7</v>
      </c>
      <c r="V586" s="76">
        <v>0</v>
      </c>
      <c r="W586" s="76">
        <v>0</v>
      </c>
      <c r="X586" s="76"/>
    </row>
    <row r="587" spans="1:24" x14ac:dyDescent="0.25">
      <c r="A587" s="75" t="str">
        <f t="shared" si="20"/>
        <v>Adquisicion PF Wealth &amp; Premier Executive Mercado_Abierto Pago_Bajo_Puntual 25</v>
      </c>
      <c r="B587" s="75" t="str">
        <f t="shared" si="19"/>
        <v>Adquisicion PF Wealth &amp; Premier Executive Mercado_Abierto Pago_Bajo_Puntual 25 0.103</v>
      </c>
      <c r="C587" s="75" t="s">
        <v>114</v>
      </c>
      <c r="D587" s="75" t="s">
        <v>132</v>
      </c>
      <c r="E587" s="75" t="s">
        <v>175</v>
      </c>
      <c r="F587" s="75"/>
      <c r="G587" s="75" t="s">
        <v>396</v>
      </c>
      <c r="H587" s="75"/>
      <c r="I587" s="75" t="s">
        <v>170</v>
      </c>
      <c r="J587" s="501">
        <v>25</v>
      </c>
      <c r="K587" s="501" t="s">
        <v>386</v>
      </c>
      <c r="L587" s="502">
        <v>8.42</v>
      </c>
      <c r="M587" s="502">
        <v>9.08</v>
      </c>
      <c r="N587" s="500">
        <v>0.10299999999999999</v>
      </c>
      <c r="O587" s="500">
        <v>0.1</v>
      </c>
      <c r="P587" s="500">
        <v>0.112</v>
      </c>
      <c r="Q587" s="78">
        <v>0.44</v>
      </c>
      <c r="R587" s="78">
        <v>0.31740000000000002</v>
      </c>
      <c r="S587" s="69">
        <v>0</v>
      </c>
      <c r="T587" s="69">
        <v>0</v>
      </c>
      <c r="U587" s="500">
        <v>0.7</v>
      </c>
      <c r="V587" s="76">
        <v>0</v>
      </c>
      <c r="W587" s="76">
        <v>0</v>
      </c>
      <c r="X587" s="76"/>
    </row>
    <row r="588" spans="1:24" x14ac:dyDescent="0.25">
      <c r="A588" s="75" t="str">
        <f t="shared" si="20"/>
        <v>Adquisicion PF Wealth &amp; Premier Executive Mercado_Abierto Pago_Bajo_Puntual 20</v>
      </c>
      <c r="B588" s="75" t="str">
        <f t="shared" si="19"/>
        <v>Adquisicion PF Wealth &amp; Premier Executive Mercado_Abierto Pago_Bajo_Puntual 20 0.0965</v>
      </c>
      <c r="C588" s="75" t="s">
        <v>114</v>
      </c>
      <c r="D588" s="75" t="s">
        <v>132</v>
      </c>
      <c r="E588" s="75" t="s">
        <v>175</v>
      </c>
      <c r="F588" s="75"/>
      <c r="G588" s="75" t="s">
        <v>396</v>
      </c>
      <c r="H588" s="75"/>
      <c r="I588" s="75" t="s">
        <v>170</v>
      </c>
      <c r="J588" s="501">
        <v>20</v>
      </c>
      <c r="K588" s="501" t="s">
        <v>385</v>
      </c>
      <c r="L588" s="502">
        <v>8.52</v>
      </c>
      <c r="M588" s="502">
        <v>9.18</v>
      </c>
      <c r="N588" s="500">
        <v>9.6500000000000002E-2</v>
      </c>
      <c r="O588" s="500">
        <v>9.1999999999999998E-2</v>
      </c>
      <c r="P588" s="500">
        <v>0.10249999999999999</v>
      </c>
      <c r="Q588" s="78">
        <v>0.44</v>
      </c>
      <c r="R588" s="78">
        <v>0.31740000000000002</v>
      </c>
      <c r="S588" s="69">
        <v>0</v>
      </c>
      <c r="T588" s="69">
        <v>0</v>
      </c>
      <c r="U588" s="500">
        <v>0.7</v>
      </c>
      <c r="V588" s="76">
        <v>0</v>
      </c>
      <c r="W588" s="76">
        <v>0</v>
      </c>
      <c r="X588" s="76"/>
    </row>
    <row r="589" spans="1:24" x14ac:dyDescent="0.25">
      <c r="A589" s="75" t="str">
        <f t="shared" si="20"/>
        <v>Adquisicion PF Wealth &amp; Premier Executive Mercado_Abierto Pago_Bajo_Puntual 20</v>
      </c>
      <c r="B589" s="75" t="str">
        <f t="shared" si="19"/>
        <v>Adquisicion PF Wealth &amp; Premier Executive Mercado_Abierto Pago_Bajo_Puntual 20 0.103</v>
      </c>
      <c r="C589" s="75" t="s">
        <v>114</v>
      </c>
      <c r="D589" s="75" t="s">
        <v>132</v>
      </c>
      <c r="E589" s="75" t="s">
        <v>175</v>
      </c>
      <c r="F589" s="75"/>
      <c r="G589" s="75" t="s">
        <v>396</v>
      </c>
      <c r="H589" s="75"/>
      <c r="I589" s="75" t="s">
        <v>170</v>
      </c>
      <c r="J589" s="501">
        <v>20</v>
      </c>
      <c r="K589" s="501" t="s">
        <v>386</v>
      </c>
      <c r="L589" s="502">
        <v>9</v>
      </c>
      <c r="M589" s="502">
        <v>9.66</v>
      </c>
      <c r="N589" s="500">
        <v>0.10299999999999999</v>
      </c>
      <c r="O589" s="500">
        <v>0.1</v>
      </c>
      <c r="P589" s="500">
        <v>0.112</v>
      </c>
      <c r="Q589" s="78">
        <v>0.44</v>
      </c>
      <c r="R589" s="78">
        <v>0.31740000000000002</v>
      </c>
      <c r="S589" s="69">
        <v>0</v>
      </c>
      <c r="T589" s="69">
        <v>0</v>
      </c>
      <c r="U589" s="500">
        <v>0.7</v>
      </c>
      <c r="V589" s="76">
        <v>0</v>
      </c>
      <c r="W589" s="76">
        <v>0</v>
      </c>
      <c r="X589" s="76"/>
    </row>
    <row r="590" spans="1:24" x14ac:dyDescent="0.25">
      <c r="A590" s="75" t="str">
        <f t="shared" si="20"/>
        <v>Adquisicion PF Wealth &amp; Premier Executive Mercado_Abierto Pago_Bajo_Puntual 15</v>
      </c>
      <c r="B590" s="75" t="str">
        <f t="shared" si="19"/>
        <v>Adquisicion PF Wealth &amp; Premier Executive Mercado_Abierto Pago_Bajo_Puntual 15 0.0965</v>
      </c>
      <c r="C590" s="75" t="s">
        <v>114</v>
      </c>
      <c r="D590" s="75" t="s">
        <v>132</v>
      </c>
      <c r="E590" s="75" t="s">
        <v>175</v>
      </c>
      <c r="F590" s="75"/>
      <c r="G590" s="75" t="s">
        <v>396</v>
      </c>
      <c r="H590" s="75"/>
      <c r="I590" s="75" t="s">
        <v>170</v>
      </c>
      <c r="J590" s="501">
        <v>15</v>
      </c>
      <c r="K590" s="501" t="s">
        <v>385</v>
      </c>
      <c r="L590" s="502">
        <v>9.6999999999999993</v>
      </c>
      <c r="M590" s="502">
        <v>10.36</v>
      </c>
      <c r="N590" s="500">
        <v>9.6500000000000002E-2</v>
      </c>
      <c r="O590" s="500">
        <v>9.1999999999999998E-2</v>
      </c>
      <c r="P590" s="500">
        <v>0.10249999999999999</v>
      </c>
      <c r="Q590" s="78">
        <v>0.44</v>
      </c>
      <c r="R590" s="78">
        <v>0.31740000000000002</v>
      </c>
      <c r="S590" s="69">
        <v>0</v>
      </c>
      <c r="T590" s="69">
        <v>0</v>
      </c>
      <c r="U590" s="500">
        <v>0.7</v>
      </c>
      <c r="V590" s="76">
        <v>0</v>
      </c>
      <c r="W590" s="76">
        <v>0</v>
      </c>
      <c r="X590" s="76"/>
    </row>
    <row r="591" spans="1:24" x14ac:dyDescent="0.25">
      <c r="A591" s="75" t="str">
        <f t="shared" si="20"/>
        <v>Adquisicion PF Wealth &amp; Premier Executive Mercado_Abierto Pago_Bajo_Puntual 15</v>
      </c>
      <c r="B591" s="75" t="str">
        <f t="shared" si="19"/>
        <v>Adquisicion PF Wealth &amp; Premier Executive Mercado_Abierto Pago_Bajo_Puntual 15 0.103</v>
      </c>
      <c r="C591" s="75" t="s">
        <v>114</v>
      </c>
      <c r="D591" s="75" t="s">
        <v>132</v>
      </c>
      <c r="E591" s="75" t="s">
        <v>175</v>
      </c>
      <c r="F591" s="75"/>
      <c r="G591" s="75" t="s">
        <v>396</v>
      </c>
      <c r="H591" s="75"/>
      <c r="I591" s="75" t="s">
        <v>170</v>
      </c>
      <c r="J591" s="501">
        <v>15</v>
      </c>
      <c r="K591" s="501" t="s">
        <v>386</v>
      </c>
      <c r="L591" s="502">
        <v>10.119999999999999</v>
      </c>
      <c r="M591" s="502">
        <v>10.78</v>
      </c>
      <c r="N591" s="500">
        <v>0.10299999999999999</v>
      </c>
      <c r="O591" s="500">
        <v>0.1</v>
      </c>
      <c r="P591" s="500">
        <v>0.112</v>
      </c>
      <c r="Q591" s="78">
        <v>0.44</v>
      </c>
      <c r="R591" s="78">
        <v>0.31740000000000002</v>
      </c>
      <c r="S591" s="69">
        <v>0</v>
      </c>
      <c r="T591" s="69">
        <v>0</v>
      </c>
      <c r="U591" s="500">
        <v>0.7</v>
      </c>
      <c r="V591" s="76">
        <v>0</v>
      </c>
      <c r="W591" s="76">
        <v>0</v>
      </c>
      <c r="X591" s="76"/>
    </row>
    <row r="592" spans="1:24" x14ac:dyDescent="0.25">
      <c r="A592" s="75" t="str">
        <f t="shared" si="20"/>
        <v>Adquisicion PF Wealth &amp; Premier Executive Mercado_Abierto Pago_Bajo_Puntual 10</v>
      </c>
      <c r="B592" s="75" t="str">
        <f t="shared" si="19"/>
        <v>Adquisicion PF Wealth &amp; Premier Executive Mercado_Abierto Pago_Bajo_Puntual 10 0.0965</v>
      </c>
      <c r="C592" s="75" t="s">
        <v>114</v>
      </c>
      <c r="D592" s="75" t="s">
        <v>132</v>
      </c>
      <c r="E592" s="75" t="s">
        <v>175</v>
      </c>
      <c r="F592" s="75"/>
      <c r="G592" s="75" t="s">
        <v>396</v>
      </c>
      <c r="H592" s="75"/>
      <c r="I592" s="75" t="s">
        <v>170</v>
      </c>
      <c r="J592" s="501">
        <v>10</v>
      </c>
      <c r="K592" s="501" t="s">
        <v>385</v>
      </c>
      <c r="L592" s="502">
        <v>12.25</v>
      </c>
      <c r="M592" s="502">
        <v>12.91</v>
      </c>
      <c r="N592" s="500">
        <v>9.6500000000000002E-2</v>
      </c>
      <c r="O592" s="500">
        <v>9.1999999999999998E-2</v>
      </c>
      <c r="P592" s="500">
        <v>0.10249999999999999</v>
      </c>
      <c r="Q592" s="78">
        <v>0.44</v>
      </c>
      <c r="R592" s="78">
        <v>0.31740000000000002</v>
      </c>
      <c r="S592" s="69">
        <v>0</v>
      </c>
      <c r="T592" s="69">
        <v>0</v>
      </c>
      <c r="U592" s="500">
        <v>0.7</v>
      </c>
      <c r="V592" s="76">
        <v>0</v>
      </c>
      <c r="W592" s="76">
        <v>0</v>
      </c>
      <c r="X592" s="76"/>
    </row>
    <row r="593" spans="1:24" x14ac:dyDescent="0.25">
      <c r="A593" s="75" t="str">
        <f t="shared" si="20"/>
        <v>Adquisicion PF Wealth &amp; Premier Executive Mercado_Abierto Pago_Bajo_Puntual 10</v>
      </c>
      <c r="B593" s="75" t="str">
        <f t="shared" si="19"/>
        <v>Adquisicion PF Wealth &amp; Premier Executive Mercado_Abierto Pago_Bajo_Puntual 10 0.103</v>
      </c>
      <c r="C593" s="75" t="s">
        <v>114</v>
      </c>
      <c r="D593" s="75" t="s">
        <v>132</v>
      </c>
      <c r="E593" s="75" t="s">
        <v>175</v>
      </c>
      <c r="F593" s="75"/>
      <c r="G593" s="75" t="s">
        <v>396</v>
      </c>
      <c r="H593" s="75"/>
      <c r="I593" s="75" t="s">
        <v>170</v>
      </c>
      <c r="J593" s="501">
        <v>10</v>
      </c>
      <c r="K593" s="501" t="s">
        <v>386</v>
      </c>
      <c r="L593" s="502">
        <v>12.62</v>
      </c>
      <c r="M593" s="502">
        <v>13.28</v>
      </c>
      <c r="N593" s="500">
        <v>0.10299999999999999</v>
      </c>
      <c r="O593" s="500">
        <v>0.1</v>
      </c>
      <c r="P593" s="500">
        <v>0.112</v>
      </c>
      <c r="Q593" s="78">
        <v>0.44</v>
      </c>
      <c r="R593" s="78">
        <v>0.31740000000000002</v>
      </c>
      <c r="S593" s="69">
        <v>0</v>
      </c>
      <c r="T593" s="69">
        <v>0</v>
      </c>
      <c r="U593" s="500">
        <v>0.7</v>
      </c>
      <c r="V593" s="76">
        <v>0</v>
      </c>
      <c r="W593" s="76">
        <v>0</v>
      </c>
      <c r="X593" s="76"/>
    </row>
    <row r="594" spans="1:24" x14ac:dyDescent="0.25">
      <c r="A594" s="75" t="str">
        <f t="shared" si="20"/>
        <v>Adquisicion PF Wealth &amp; Premier Executive Mercado_Abierto Pago_Bajo_Puntual 5</v>
      </c>
      <c r="B594" s="75" t="str">
        <f t="shared" si="19"/>
        <v>Adquisicion PF Wealth &amp; Premier Executive Mercado_Abierto Pago_Bajo_Puntual 5 0.0965</v>
      </c>
      <c r="C594" s="75" t="s">
        <v>114</v>
      </c>
      <c r="D594" s="75" t="s">
        <v>132</v>
      </c>
      <c r="E594" s="75" t="s">
        <v>175</v>
      </c>
      <c r="F594" s="75"/>
      <c r="G594" s="75" t="s">
        <v>396</v>
      </c>
      <c r="H594" s="75"/>
      <c r="I594" s="75" t="s">
        <v>170</v>
      </c>
      <c r="J594" s="501">
        <v>5</v>
      </c>
      <c r="K594" s="501" t="s">
        <v>385</v>
      </c>
      <c r="L594" s="502">
        <v>20.399999999999999</v>
      </c>
      <c r="M594" s="502">
        <v>21.06</v>
      </c>
      <c r="N594" s="500">
        <v>9.6500000000000002E-2</v>
      </c>
      <c r="O594" s="500">
        <v>9.1999999999999998E-2</v>
      </c>
      <c r="P594" s="500">
        <v>0.10249999999999999</v>
      </c>
      <c r="Q594" s="78">
        <v>0.44</v>
      </c>
      <c r="R594" s="78">
        <v>0.31740000000000002</v>
      </c>
      <c r="S594" s="69">
        <v>0</v>
      </c>
      <c r="T594" s="69">
        <v>0</v>
      </c>
      <c r="U594" s="500">
        <v>0.7</v>
      </c>
      <c r="V594" s="76">
        <v>0</v>
      </c>
      <c r="W594" s="76">
        <v>0</v>
      </c>
      <c r="X594" s="76"/>
    </row>
    <row r="595" spans="1:24" x14ac:dyDescent="0.25">
      <c r="A595" s="75" t="str">
        <f t="shared" si="20"/>
        <v>Adquisicion PF Wealth &amp; Premier Executive Mercado_Abierto Pago_Bajo_Puntual 5</v>
      </c>
      <c r="B595" s="75" t="str">
        <f t="shared" si="19"/>
        <v>Adquisicion PF Wealth &amp; Premier Executive Mercado_Abierto Pago_Bajo_Puntual 5 0.103</v>
      </c>
      <c r="C595" s="75" t="s">
        <v>114</v>
      </c>
      <c r="D595" s="75" t="s">
        <v>132</v>
      </c>
      <c r="E595" s="75" t="s">
        <v>175</v>
      </c>
      <c r="F595" s="75"/>
      <c r="G595" s="75" t="s">
        <v>396</v>
      </c>
      <c r="H595" s="75"/>
      <c r="I595" s="75" t="s">
        <v>170</v>
      </c>
      <c r="J595" s="501">
        <v>5</v>
      </c>
      <c r="K595" s="501" t="s">
        <v>386</v>
      </c>
      <c r="L595" s="502">
        <v>20.72</v>
      </c>
      <c r="M595" s="502">
        <v>21.38</v>
      </c>
      <c r="N595" s="500">
        <v>0.10299999999999999</v>
      </c>
      <c r="O595" s="500">
        <v>0.1</v>
      </c>
      <c r="P595" s="500">
        <v>0.112</v>
      </c>
      <c r="Q595" s="78">
        <v>0.44</v>
      </c>
      <c r="R595" s="78">
        <v>0.31740000000000002</v>
      </c>
      <c r="S595" s="69">
        <v>0</v>
      </c>
      <c r="T595" s="69">
        <v>0</v>
      </c>
      <c r="U595" s="500">
        <v>0.7</v>
      </c>
      <c r="V595" s="76">
        <v>0</v>
      </c>
      <c r="W595" s="76">
        <v>0</v>
      </c>
      <c r="X595" s="76"/>
    </row>
    <row r="596" spans="1:24" x14ac:dyDescent="0.25">
      <c r="A596" s="75" t="str">
        <f t="shared" si="20"/>
        <v>Adquisicion PFAE Wealth &amp; Premier Executive Mercado_Abierto Pago_Bajo_Puntual 25</v>
      </c>
      <c r="B596" s="75" t="str">
        <f t="shared" si="19"/>
        <v>Adquisicion PFAE Wealth &amp; Premier Executive Mercado_Abierto Pago_Bajo_Puntual 25 0.0965</v>
      </c>
      <c r="C596" s="75" t="s">
        <v>114</v>
      </c>
      <c r="D596" s="75" t="s">
        <v>168</v>
      </c>
      <c r="E596" s="75" t="s">
        <v>175</v>
      </c>
      <c r="F596" s="75"/>
      <c r="G596" s="75" t="s">
        <v>396</v>
      </c>
      <c r="H596" s="75"/>
      <c r="I596" s="75" t="s">
        <v>170</v>
      </c>
      <c r="J596" s="501">
        <v>25</v>
      </c>
      <c r="K596" s="501" t="s">
        <v>385</v>
      </c>
      <c r="L596" s="502">
        <v>7.89</v>
      </c>
      <c r="M596" s="502">
        <v>8.5500000000000007</v>
      </c>
      <c r="N596" s="500">
        <v>9.6500000000000002E-2</v>
      </c>
      <c r="O596" s="500">
        <v>9.1999999999999998E-2</v>
      </c>
      <c r="P596" s="500">
        <v>0.10249999999999999</v>
      </c>
      <c r="Q596" s="78">
        <v>0.44</v>
      </c>
      <c r="R596" s="78">
        <v>0.31740000000000002</v>
      </c>
      <c r="S596" s="69">
        <v>0</v>
      </c>
      <c r="T596" s="69">
        <v>0</v>
      </c>
      <c r="U596" s="500">
        <v>0.7</v>
      </c>
      <c r="V596" s="76">
        <v>0</v>
      </c>
      <c r="W596" s="76">
        <v>0</v>
      </c>
      <c r="X596" s="76"/>
    </row>
    <row r="597" spans="1:24" x14ac:dyDescent="0.25">
      <c r="A597" s="75" t="str">
        <f t="shared" si="20"/>
        <v>Adquisicion PFAE Wealth &amp; Premier Executive Mercado_Abierto Pago_Bajo_Puntual 25</v>
      </c>
      <c r="B597" s="75" t="str">
        <f t="shared" si="19"/>
        <v>Adquisicion PFAE Wealth &amp; Premier Executive Mercado_Abierto Pago_Bajo_Puntual 25 0.103</v>
      </c>
      <c r="C597" s="75" t="s">
        <v>114</v>
      </c>
      <c r="D597" s="75" t="s">
        <v>168</v>
      </c>
      <c r="E597" s="75" t="s">
        <v>175</v>
      </c>
      <c r="F597" s="75"/>
      <c r="G597" s="75" t="s">
        <v>396</v>
      </c>
      <c r="H597" s="75"/>
      <c r="I597" s="75" t="s">
        <v>170</v>
      </c>
      <c r="J597" s="501">
        <v>25</v>
      </c>
      <c r="K597" s="501" t="s">
        <v>386</v>
      </c>
      <c r="L597" s="502">
        <v>8.42</v>
      </c>
      <c r="M597" s="502">
        <v>9.08</v>
      </c>
      <c r="N597" s="500">
        <v>0.10299999999999999</v>
      </c>
      <c r="O597" s="500">
        <v>0.1</v>
      </c>
      <c r="P597" s="500">
        <v>0.112</v>
      </c>
      <c r="Q597" s="78">
        <v>0.44</v>
      </c>
      <c r="R597" s="78">
        <v>0.31740000000000002</v>
      </c>
      <c r="S597" s="69">
        <v>0</v>
      </c>
      <c r="T597" s="69">
        <v>0</v>
      </c>
      <c r="U597" s="500">
        <v>0.7</v>
      </c>
      <c r="V597" s="76">
        <v>0</v>
      </c>
      <c r="W597" s="76">
        <v>0</v>
      </c>
      <c r="X597" s="76"/>
    </row>
    <row r="598" spans="1:24" x14ac:dyDescent="0.25">
      <c r="A598" s="75" t="str">
        <f t="shared" si="20"/>
        <v>Adquisicion PFAE Wealth &amp; Premier Executive Mercado_Abierto Pago_Bajo_Puntual 20</v>
      </c>
      <c r="B598" s="75" t="str">
        <f t="shared" si="19"/>
        <v>Adquisicion PFAE Wealth &amp; Premier Executive Mercado_Abierto Pago_Bajo_Puntual 20 0.0965</v>
      </c>
      <c r="C598" s="75" t="s">
        <v>114</v>
      </c>
      <c r="D598" s="75" t="s">
        <v>168</v>
      </c>
      <c r="E598" s="75" t="s">
        <v>175</v>
      </c>
      <c r="F598" s="75"/>
      <c r="G598" s="75" t="s">
        <v>396</v>
      </c>
      <c r="H598" s="75"/>
      <c r="I598" s="75" t="s">
        <v>170</v>
      </c>
      <c r="J598" s="501">
        <v>20</v>
      </c>
      <c r="K598" s="501" t="s">
        <v>385</v>
      </c>
      <c r="L598" s="502">
        <v>8.52</v>
      </c>
      <c r="M598" s="502">
        <v>9.18</v>
      </c>
      <c r="N598" s="500">
        <v>9.6500000000000002E-2</v>
      </c>
      <c r="O598" s="500">
        <v>9.1999999999999998E-2</v>
      </c>
      <c r="P598" s="500">
        <v>0.10249999999999999</v>
      </c>
      <c r="Q598" s="78">
        <v>0.44</v>
      </c>
      <c r="R598" s="78">
        <v>0.31740000000000002</v>
      </c>
      <c r="S598" s="69">
        <v>0</v>
      </c>
      <c r="T598" s="69">
        <v>0</v>
      </c>
      <c r="U598" s="500">
        <v>0.7</v>
      </c>
      <c r="V598" s="76">
        <v>0</v>
      </c>
      <c r="W598" s="76">
        <v>0</v>
      </c>
      <c r="X598" s="76"/>
    </row>
    <row r="599" spans="1:24" x14ac:dyDescent="0.25">
      <c r="A599" s="75" t="str">
        <f t="shared" si="20"/>
        <v>Adquisicion PFAE Wealth &amp; Premier Executive Mercado_Abierto Pago_Bajo_Puntual 20</v>
      </c>
      <c r="B599" s="75" t="str">
        <f t="shared" si="19"/>
        <v>Adquisicion PFAE Wealth &amp; Premier Executive Mercado_Abierto Pago_Bajo_Puntual 20 0.103</v>
      </c>
      <c r="C599" s="75" t="s">
        <v>114</v>
      </c>
      <c r="D599" s="75" t="s">
        <v>168</v>
      </c>
      <c r="E599" s="75" t="s">
        <v>175</v>
      </c>
      <c r="F599" s="75"/>
      <c r="G599" s="75" t="s">
        <v>396</v>
      </c>
      <c r="H599" s="75"/>
      <c r="I599" s="75" t="s">
        <v>170</v>
      </c>
      <c r="J599" s="501">
        <v>20</v>
      </c>
      <c r="K599" s="501" t="s">
        <v>386</v>
      </c>
      <c r="L599" s="502">
        <v>9</v>
      </c>
      <c r="M599" s="502">
        <v>9.66</v>
      </c>
      <c r="N599" s="500">
        <v>0.10299999999999999</v>
      </c>
      <c r="O599" s="500">
        <v>0.1</v>
      </c>
      <c r="P599" s="500">
        <v>0.112</v>
      </c>
      <c r="Q599" s="78">
        <v>0.44</v>
      </c>
      <c r="R599" s="78">
        <v>0.31740000000000002</v>
      </c>
      <c r="S599" s="69">
        <v>0</v>
      </c>
      <c r="T599" s="69">
        <v>0</v>
      </c>
      <c r="U599" s="500">
        <v>0.7</v>
      </c>
      <c r="V599" s="76">
        <v>0</v>
      </c>
      <c r="W599" s="76">
        <v>0</v>
      </c>
      <c r="X599" s="76"/>
    </row>
    <row r="600" spans="1:24" x14ac:dyDescent="0.25">
      <c r="A600" s="75" t="str">
        <f t="shared" si="20"/>
        <v>Adquisicion PFAE Wealth &amp; Premier Executive Mercado_Abierto Pago_Bajo_Puntual 15</v>
      </c>
      <c r="B600" s="75" t="str">
        <f t="shared" si="19"/>
        <v>Adquisicion PFAE Wealth &amp; Premier Executive Mercado_Abierto Pago_Bajo_Puntual 15 0.0965</v>
      </c>
      <c r="C600" s="75" t="s">
        <v>114</v>
      </c>
      <c r="D600" s="75" t="s">
        <v>168</v>
      </c>
      <c r="E600" s="75" t="s">
        <v>175</v>
      </c>
      <c r="F600" s="75"/>
      <c r="G600" s="75" t="s">
        <v>396</v>
      </c>
      <c r="H600" s="75"/>
      <c r="I600" s="75" t="s">
        <v>170</v>
      </c>
      <c r="J600" s="501">
        <v>15</v>
      </c>
      <c r="K600" s="501" t="s">
        <v>385</v>
      </c>
      <c r="L600" s="502">
        <v>9.6999999999999993</v>
      </c>
      <c r="M600" s="502">
        <v>10.36</v>
      </c>
      <c r="N600" s="500">
        <v>9.6500000000000002E-2</v>
      </c>
      <c r="O600" s="500">
        <v>9.1999999999999998E-2</v>
      </c>
      <c r="P600" s="500">
        <v>0.10249999999999999</v>
      </c>
      <c r="Q600" s="78">
        <v>0.44</v>
      </c>
      <c r="R600" s="78">
        <v>0.31740000000000002</v>
      </c>
      <c r="S600" s="69">
        <v>0</v>
      </c>
      <c r="T600" s="69">
        <v>0</v>
      </c>
      <c r="U600" s="500">
        <v>0.7</v>
      </c>
      <c r="V600" s="76">
        <v>0</v>
      </c>
      <c r="W600" s="76">
        <v>0</v>
      </c>
      <c r="X600" s="76"/>
    </row>
    <row r="601" spans="1:24" x14ac:dyDescent="0.25">
      <c r="A601" s="75" t="str">
        <f t="shared" si="20"/>
        <v>Adquisicion PFAE Wealth &amp; Premier Executive Mercado_Abierto Pago_Bajo_Puntual 15</v>
      </c>
      <c r="B601" s="75" t="str">
        <f t="shared" si="19"/>
        <v>Adquisicion PFAE Wealth &amp; Premier Executive Mercado_Abierto Pago_Bajo_Puntual 15 0.103</v>
      </c>
      <c r="C601" s="75" t="s">
        <v>114</v>
      </c>
      <c r="D601" s="75" t="s">
        <v>168</v>
      </c>
      <c r="E601" s="75" t="s">
        <v>175</v>
      </c>
      <c r="F601" s="75"/>
      <c r="G601" s="75" t="s">
        <v>396</v>
      </c>
      <c r="H601" s="75"/>
      <c r="I601" s="75" t="s">
        <v>170</v>
      </c>
      <c r="J601" s="501">
        <v>15</v>
      </c>
      <c r="K601" s="501" t="s">
        <v>386</v>
      </c>
      <c r="L601" s="502">
        <v>10.119999999999999</v>
      </c>
      <c r="M601" s="502">
        <v>10.78</v>
      </c>
      <c r="N601" s="500">
        <v>0.10299999999999999</v>
      </c>
      <c r="O601" s="500">
        <v>0.1</v>
      </c>
      <c r="P601" s="500">
        <v>0.112</v>
      </c>
      <c r="Q601" s="78">
        <v>0.44</v>
      </c>
      <c r="R601" s="78">
        <v>0.31740000000000002</v>
      </c>
      <c r="S601" s="69">
        <v>0</v>
      </c>
      <c r="T601" s="69">
        <v>0</v>
      </c>
      <c r="U601" s="500">
        <v>0.7</v>
      </c>
      <c r="V601" s="76">
        <v>0</v>
      </c>
      <c r="W601" s="76">
        <v>0</v>
      </c>
      <c r="X601" s="76"/>
    </row>
    <row r="602" spans="1:24" x14ac:dyDescent="0.25">
      <c r="A602" s="75" t="str">
        <f t="shared" si="20"/>
        <v>Adquisicion PFAE Wealth &amp; Premier Executive Mercado_Abierto Pago_Bajo_Puntual 10</v>
      </c>
      <c r="B602" s="75" t="str">
        <f t="shared" si="19"/>
        <v>Adquisicion PFAE Wealth &amp; Premier Executive Mercado_Abierto Pago_Bajo_Puntual 10 0.0965</v>
      </c>
      <c r="C602" s="75" t="s">
        <v>114</v>
      </c>
      <c r="D602" s="75" t="s">
        <v>168</v>
      </c>
      <c r="E602" s="75" t="s">
        <v>175</v>
      </c>
      <c r="F602" s="75"/>
      <c r="G602" s="75" t="s">
        <v>396</v>
      </c>
      <c r="H602" s="75"/>
      <c r="I602" s="75" t="s">
        <v>170</v>
      </c>
      <c r="J602" s="501">
        <v>10</v>
      </c>
      <c r="K602" s="501" t="s">
        <v>385</v>
      </c>
      <c r="L602" s="502">
        <v>12.25</v>
      </c>
      <c r="M602" s="502">
        <v>12.91</v>
      </c>
      <c r="N602" s="500">
        <v>9.6500000000000002E-2</v>
      </c>
      <c r="O602" s="500">
        <v>9.1999999999999998E-2</v>
      </c>
      <c r="P602" s="500">
        <v>0.10249999999999999</v>
      </c>
      <c r="Q602" s="78">
        <v>0.44</v>
      </c>
      <c r="R602" s="78">
        <v>0.31740000000000002</v>
      </c>
      <c r="S602" s="69">
        <v>0</v>
      </c>
      <c r="T602" s="69">
        <v>0</v>
      </c>
      <c r="U602" s="500">
        <v>0.7</v>
      </c>
      <c r="V602" s="76">
        <v>0</v>
      </c>
      <c r="W602" s="76">
        <v>0</v>
      </c>
      <c r="X602" s="76"/>
    </row>
    <row r="603" spans="1:24" x14ac:dyDescent="0.25">
      <c r="A603" s="75" t="str">
        <f t="shared" si="20"/>
        <v>Adquisicion PFAE Wealth &amp; Premier Executive Mercado_Abierto Pago_Bajo_Puntual 10</v>
      </c>
      <c r="B603" s="75" t="str">
        <f t="shared" si="19"/>
        <v>Adquisicion PFAE Wealth &amp; Premier Executive Mercado_Abierto Pago_Bajo_Puntual 10 0.103</v>
      </c>
      <c r="C603" s="75" t="s">
        <v>114</v>
      </c>
      <c r="D603" s="75" t="s">
        <v>168</v>
      </c>
      <c r="E603" s="75" t="s">
        <v>175</v>
      </c>
      <c r="F603" s="75"/>
      <c r="G603" s="75" t="s">
        <v>396</v>
      </c>
      <c r="H603" s="75"/>
      <c r="I603" s="75" t="s">
        <v>170</v>
      </c>
      <c r="J603" s="501">
        <v>10</v>
      </c>
      <c r="K603" s="501" t="s">
        <v>386</v>
      </c>
      <c r="L603" s="502">
        <v>12.62</v>
      </c>
      <c r="M603" s="502">
        <v>13.28</v>
      </c>
      <c r="N603" s="500">
        <v>0.10299999999999999</v>
      </c>
      <c r="O603" s="500">
        <v>0.1</v>
      </c>
      <c r="P603" s="500">
        <v>0.112</v>
      </c>
      <c r="Q603" s="78">
        <v>0.44</v>
      </c>
      <c r="R603" s="78">
        <v>0.31740000000000002</v>
      </c>
      <c r="S603" s="69">
        <v>0</v>
      </c>
      <c r="T603" s="69">
        <v>0</v>
      </c>
      <c r="U603" s="500">
        <v>0.7</v>
      </c>
      <c r="V603" s="76">
        <v>0</v>
      </c>
      <c r="W603" s="76">
        <v>0</v>
      </c>
      <c r="X603" s="76"/>
    </row>
    <row r="604" spans="1:24" x14ac:dyDescent="0.25">
      <c r="A604" s="75" t="str">
        <f t="shared" si="20"/>
        <v>Adquisicion PFAE Wealth &amp; Premier Executive Mercado_Abierto Pago_Bajo_Puntual 5</v>
      </c>
      <c r="B604" s="75" t="str">
        <f t="shared" si="19"/>
        <v>Adquisicion PFAE Wealth &amp; Premier Executive Mercado_Abierto Pago_Bajo_Puntual 5 0.0965</v>
      </c>
      <c r="C604" s="75" t="s">
        <v>114</v>
      </c>
      <c r="D604" s="75" t="s">
        <v>168</v>
      </c>
      <c r="E604" s="75" t="s">
        <v>175</v>
      </c>
      <c r="F604" s="75"/>
      <c r="G604" s="75" t="s">
        <v>396</v>
      </c>
      <c r="H604" s="75"/>
      <c r="I604" s="75" t="s">
        <v>170</v>
      </c>
      <c r="J604" s="501">
        <v>5</v>
      </c>
      <c r="K604" s="501" t="s">
        <v>385</v>
      </c>
      <c r="L604" s="502">
        <v>20.399999999999999</v>
      </c>
      <c r="M604" s="502">
        <v>21.06</v>
      </c>
      <c r="N604" s="500">
        <v>9.6500000000000002E-2</v>
      </c>
      <c r="O604" s="500">
        <v>9.1999999999999998E-2</v>
      </c>
      <c r="P604" s="500">
        <v>0.10249999999999999</v>
      </c>
      <c r="Q604" s="78">
        <v>0.44</v>
      </c>
      <c r="R604" s="78">
        <v>0.31740000000000002</v>
      </c>
      <c r="S604" s="69">
        <v>0</v>
      </c>
      <c r="T604" s="69">
        <v>0</v>
      </c>
      <c r="U604" s="500">
        <v>0.7</v>
      </c>
      <c r="V604" s="76">
        <v>0</v>
      </c>
      <c r="W604" s="76">
        <v>0</v>
      </c>
      <c r="X604" s="76"/>
    </row>
    <row r="605" spans="1:24" x14ac:dyDescent="0.25">
      <c r="A605" s="75" t="str">
        <f t="shared" si="20"/>
        <v>Adquisicion PFAE Wealth &amp; Premier Executive Mercado_Abierto Pago_Bajo_Puntual 5</v>
      </c>
      <c r="B605" s="75" t="str">
        <f t="shared" si="19"/>
        <v>Adquisicion PFAE Wealth &amp; Premier Executive Mercado_Abierto Pago_Bajo_Puntual 5 0.103</v>
      </c>
      <c r="C605" s="75" t="s">
        <v>114</v>
      </c>
      <c r="D605" s="75" t="s">
        <v>168</v>
      </c>
      <c r="E605" s="75" t="s">
        <v>175</v>
      </c>
      <c r="F605" s="75"/>
      <c r="G605" s="75" t="s">
        <v>396</v>
      </c>
      <c r="H605" s="75"/>
      <c r="I605" s="75" t="s">
        <v>170</v>
      </c>
      <c r="J605" s="501">
        <v>5</v>
      </c>
      <c r="K605" s="501" t="s">
        <v>386</v>
      </c>
      <c r="L605" s="502">
        <v>20.72</v>
      </c>
      <c r="M605" s="502">
        <v>21.38</v>
      </c>
      <c r="N605" s="500">
        <v>0.10299999999999999</v>
      </c>
      <c r="O605" s="500">
        <v>0.1</v>
      </c>
      <c r="P605" s="500">
        <v>0.112</v>
      </c>
      <c r="Q605" s="78">
        <v>0.44</v>
      </c>
      <c r="R605" s="78">
        <v>0.31740000000000002</v>
      </c>
      <c r="S605" s="69">
        <v>0</v>
      </c>
      <c r="T605" s="69">
        <v>0</v>
      </c>
      <c r="U605" s="500">
        <v>0.7</v>
      </c>
      <c r="V605" s="76">
        <v>0</v>
      </c>
      <c r="W605" s="76">
        <v>0</v>
      </c>
      <c r="X605" s="76"/>
    </row>
    <row r="606" spans="1:24" x14ac:dyDescent="0.25">
      <c r="A606" s="75" t="str">
        <f t="shared" si="20"/>
        <v>Adquisicion PROF Wealth &amp; Premier Executive Mercado_Abierto Pago_Bajo_Puntual 25</v>
      </c>
      <c r="B606" s="75" t="str">
        <f t="shared" si="19"/>
        <v>Adquisicion PROF Wealth &amp; Premier Executive Mercado_Abierto Pago_Bajo_Puntual 25 0.0965</v>
      </c>
      <c r="C606" s="75" t="s">
        <v>114</v>
      </c>
      <c r="D606" s="75" t="s">
        <v>169</v>
      </c>
      <c r="E606" s="75" t="s">
        <v>175</v>
      </c>
      <c r="F606" s="75"/>
      <c r="G606" s="75" t="s">
        <v>396</v>
      </c>
      <c r="H606" s="75"/>
      <c r="I606" s="75" t="s">
        <v>170</v>
      </c>
      <c r="J606" s="501">
        <v>25</v>
      </c>
      <c r="K606" s="501" t="s">
        <v>385</v>
      </c>
      <c r="L606" s="502">
        <v>7.89</v>
      </c>
      <c r="M606" s="502">
        <v>8.5500000000000007</v>
      </c>
      <c r="N606" s="500">
        <v>9.6500000000000002E-2</v>
      </c>
      <c r="O606" s="500">
        <v>9.1999999999999998E-2</v>
      </c>
      <c r="P606" s="500">
        <v>0.10249999999999999</v>
      </c>
      <c r="Q606" s="78">
        <v>0.44</v>
      </c>
      <c r="R606" s="78">
        <v>0.31740000000000002</v>
      </c>
      <c r="S606" s="69">
        <v>0</v>
      </c>
      <c r="T606" s="69">
        <v>0</v>
      </c>
      <c r="U606" s="500">
        <v>0.7</v>
      </c>
      <c r="V606" s="76">
        <v>0</v>
      </c>
      <c r="W606" s="76">
        <v>0</v>
      </c>
      <c r="X606" s="76"/>
    </row>
    <row r="607" spans="1:24" x14ac:dyDescent="0.25">
      <c r="A607" s="75" t="str">
        <f t="shared" si="20"/>
        <v>Adquisicion PROF Wealth &amp; Premier Executive Mercado_Abierto Pago_Bajo_Puntual 25</v>
      </c>
      <c r="B607" s="75" t="str">
        <f t="shared" si="19"/>
        <v>Adquisicion PROF Wealth &amp; Premier Executive Mercado_Abierto Pago_Bajo_Puntual 25 0.103</v>
      </c>
      <c r="C607" s="75" t="s">
        <v>114</v>
      </c>
      <c r="D607" s="75" t="s">
        <v>169</v>
      </c>
      <c r="E607" s="75" t="s">
        <v>175</v>
      </c>
      <c r="F607" s="75"/>
      <c r="G607" s="75" t="s">
        <v>396</v>
      </c>
      <c r="H607" s="75"/>
      <c r="I607" s="75" t="s">
        <v>170</v>
      </c>
      <c r="J607" s="501">
        <v>25</v>
      </c>
      <c r="K607" s="501" t="s">
        <v>386</v>
      </c>
      <c r="L607" s="502">
        <v>8.42</v>
      </c>
      <c r="M607" s="502">
        <v>9.08</v>
      </c>
      <c r="N607" s="500">
        <v>0.10299999999999999</v>
      </c>
      <c r="O607" s="500">
        <v>0.1</v>
      </c>
      <c r="P607" s="500">
        <v>0.112</v>
      </c>
      <c r="Q607" s="78">
        <v>0.44</v>
      </c>
      <c r="R607" s="78">
        <v>0.31740000000000002</v>
      </c>
      <c r="S607" s="69">
        <v>0</v>
      </c>
      <c r="T607" s="69">
        <v>0</v>
      </c>
      <c r="U607" s="500">
        <v>0.7</v>
      </c>
      <c r="V607" s="76">
        <v>0</v>
      </c>
      <c r="W607" s="76">
        <v>0</v>
      </c>
      <c r="X607" s="76"/>
    </row>
    <row r="608" spans="1:24" x14ac:dyDescent="0.25">
      <c r="A608" s="75" t="str">
        <f t="shared" si="20"/>
        <v>Adquisicion PROF Wealth &amp; Premier Executive Mercado_Abierto Pago_Bajo_Puntual 20</v>
      </c>
      <c r="B608" s="75" t="str">
        <f t="shared" si="19"/>
        <v>Adquisicion PROF Wealth &amp; Premier Executive Mercado_Abierto Pago_Bajo_Puntual 20 0.0965</v>
      </c>
      <c r="C608" s="75" t="s">
        <v>114</v>
      </c>
      <c r="D608" s="75" t="s">
        <v>169</v>
      </c>
      <c r="E608" s="75" t="s">
        <v>175</v>
      </c>
      <c r="F608" s="75"/>
      <c r="G608" s="75" t="s">
        <v>396</v>
      </c>
      <c r="H608" s="75"/>
      <c r="I608" s="75" t="s">
        <v>170</v>
      </c>
      <c r="J608" s="501">
        <v>20</v>
      </c>
      <c r="K608" s="501" t="s">
        <v>385</v>
      </c>
      <c r="L608" s="502">
        <v>8.52</v>
      </c>
      <c r="M608" s="502">
        <v>9.18</v>
      </c>
      <c r="N608" s="500">
        <v>9.6500000000000002E-2</v>
      </c>
      <c r="O608" s="500">
        <v>9.1999999999999998E-2</v>
      </c>
      <c r="P608" s="500">
        <v>0.10249999999999999</v>
      </c>
      <c r="Q608" s="78">
        <v>0.44</v>
      </c>
      <c r="R608" s="78">
        <v>0.31740000000000002</v>
      </c>
      <c r="S608" s="69">
        <v>0</v>
      </c>
      <c r="T608" s="69">
        <v>0</v>
      </c>
      <c r="U608" s="500">
        <v>0.7</v>
      </c>
      <c r="V608" s="76">
        <v>0</v>
      </c>
      <c r="W608" s="76">
        <v>0</v>
      </c>
      <c r="X608" s="76"/>
    </row>
    <row r="609" spans="1:24" x14ac:dyDescent="0.25">
      <c r="A609" s="75" t="str">
        <f t="shared" si="20"/>
        <v>Adquisicion PROF Wealth &amp; Premier Executive Mercado_Abierto Pago_Bajo_Puntual 20</v>
      </c>
      <c r="B609" s="75" t="str">
        <f t="shared" si="19"/>
        <v>Adquisicion PROF Wealth &amp; Premier Executive Mercado_Abierto Pago_Bajo_Puntual 20 0.103</v>
      </c>
      <c r="C609" s="75" t="s">
        <v>114</v>
      </c>
      <c r="D609" s="75" t="s">
        <v>169</v>
      </c>
      <c r="E609" s="75" t="s">
        <v>175</v>
      </c>
      <c r="F609" s="75"/>
      <c r="G609" s="75" t="s">
        <v>396</v>
      </c>
      <c r="H609" s="75"/>
      <c r="I609" s="75" t="s">
        <v>170</v>
      </c>
      <c r="J609" s="501">
        <v>20</v>
      </c>
      <c r="K609" s="501" t="s">
        <v>386</v>
      </c>
      <c r="L609" s="502">
        <v>9</v>
      </c>
      <c r="M609" s="502">
        <v>9.66</v>
      </c>
      <c r="N609" s="500">
        <v>0.10299999999999999</v>
      </c>
      <c r="O609" s="500">
        <v>0.1</v>
      </c>
      <c r="P609" s="500">
        <v>0.112</v>
      </c>
      <c r="Q609" s="78">
        <v>0.44</v>
      </c>
      <c r="R609" s="78">
        <v>0.31740000000000002</v>
      </c>
      <c r="S609" s="69">
        <v>0</v>
      </c>
      <c r="T609" s="69">
        <v>0</v>
      </c>
      <c r="U609" s="500">
        <v>0.7</v>
      </c>
      <c r="V609" s="76">
        <v>0</v>
      </c>
      <c r="W609" s="76">
        <v>0</v>
      </c>
      <c r="X609" s="76"/>
    </row>
    <row r="610" spans="1:24" x14ac:dyDescent="0.25">
      <c r="A610" s="75" t="str">
        <f t="shared" si="20"/>
        <v>Adquisicion PROF Wealth &amp; Premier Executive Mercado_Abierto Pago_Bajo_Puntual 15</v>
      </c>
      <c r="B610" s="75" t="str">
        <f t="shared" si="19"/>
        <v>Adquisicion PROF Wealth &amp; Premier Executive Mercado_Abierto Pago_Bajo_Puntual 15 0.0965</v>
      </c>
      <c r="C610" s="75" t="s">
        <v>114</v>
      </c>
      <c r="D610" s="75" t="s">
        <v>169</v>
      </c>
      <c r="E610" s="75" t="s">
        <v>175</v>
      </c>
      <c r="F610" s="75"/>
      <c r="G610" s="75" t="s">
        <v>396</v>
      </c>
      <c r="H610" s="75"/>
      <c r="I610" s="75" t="s">
        <v>170</v>
      </c>
      <c r="J610" s="501">
        <v>15</v>
      </c>
      <c r="K610" s="501" t="s">
        <v>385</v>
      </c>
      <c r="L610" s="502">
        <v>9.6999999999999993</v>
      </c>
      <c r="M610" s="502">
        <v>10.36</v>
      </c>
      <c r="N610" s="500">
        <v>9.6500000000000002E-2</v>
      </c>
      <c r="O610" s="500">
        <v>9.1999999999999998E-2</v>
      </c>
      <c r="P610" s="500">
        <v>0.10249999999999999</v>
      </c>
      <c r="Q610" s="78">
        <v>0.44</v>
      </c>
      <c r="R610" s="78">
        <v>0.31740000000000002</v>
      </c>
      <c r="S610" s="69">
        <v>0</v>
      </c>
      <c r="T610" s="69">
        <v>0</v>
      </c>
      <c r="U610" s="500">
        <v>0.7</v>
      </c>
      <c r="V610" s="76">
        <v>0</v>
      </c>
      <c r="W610" s="76">
        <v>0</v>
      </c>
      <c r="X610" s="76"/>
    </row>
    <row r="611" spans="1:24" x14ac:dyDescent="0.25">
      <c r="A611" s="75" t="str">
        <f t="shared" si="20"/>
        <v>Adquisicion PROF Wealth &amp; Premier Executive Mercado_Abierto Pago_Bajo_Puntual 15</v>
      </c>
      <c r="B611" s="75" t="str">
        <f t="shared" si="19"/>
        <v>Adquisicion PROF Wealth &amp; Premier Executive Mercado_Abierto Pago_Bajo_Puntual 15 0.103</v>
      </c>
      <c r="C611" s="75" t="s">
        <v>114</v>
      </c>
      <c r="D611" s="75" t="s">
        <v>169</v>
      </c>
      <c r="E611" s="75" t="s">
        <v>175</v>
      </c>
      <c r="F611" s="75"/>
      <c r="G611" s="75" t="s">
        <v>396</v>
      </c>
      <c r="H611" s="75"/>
      <c r="I611" s="75" t="s">
        <v>170</v>
      </c>
      <c r="J611" s="501">
        <v>15</v>
      </c>
      <c r="K611" s="501" t="s">
        <v>386</v>
      </c>
      <c r="L611" s="502">
        <v>10.119999999999999</v>
      </c>
      <c r="M611" s="502">
        <v>10.78</v>
      </c>
      <c r="N611" s="500">
        <v>0.10299999999999999</v>
      </c>
      <c r="O611" s="500">
        <v>0.1</v>
      </c>
      <c r="P611" s="500">
        <v>0.112</v>
      </c>
      <c r="Q611" s="78">
        <v>0.44</v>
      </c>
      <c r="R611" s="78">
        <v>0.31740000000000002</v>
      </c>
      <c r="S611" s="69">
        <v>0</v>
      </c>
      <c r="T611" s="69">
        <v>0</v>
      </c>
      <c r="U611" s="500">
        <v>0.7</v>
      </c>
      <c r="V611" s="76">
        <v>0</v>
      </c>
      <c r="W611" s="76">
        <v>0</v>
      </c>
      <c r="X611" s="76"/>
    </row>
    <row r="612" spans="1:24" x14ac:dyDescent="0.25">
      <c r="A612" s="75" t="str">
        <f t="shared" si="20"/>
        <v>Adquisicion PROF Wealth &amp; Premier Executive Mercado_Abierto Pago_Bajo_Puntual 10</v>
      </c>
      <c r="B612" s="75" t="str">
        <f t="shared" si="19"/>
        <v>Adquisicion PROF Wealth &amp; Premier Executive Mercado_Abierto Pago_Bajo_Puntual 10 0.0965</v>
      </c>
      <c r="C612" s="75" t="s">
        <v>114</v>
      </c>
      <c r="D612" s="75" t="s">
        <v>169</v>
      </c>
      <c r="E612" s="75" t="s">
        <v>175</v>
      </c>
      <c r="F612" s="75"/>
      <c r="G612" s="75" t="s">
        <v>396</v>
      </c>
      <c r="H612" s="75"/>
      <c r="I612" s="75" t="s">
        <v>170</v>
      </c>
      <c r="J612" s="501">
        <v>10</v>
      </c>
      <c r="K612" s="501" t="s">
        <v>385</v>
      </c>
      <c r="L612" s="502">
        <v>12.25</v>
      </c>
      <c r="M612" s="502">
        <v>12.91</v>
      </c>
      <c r="N612" s="500">
        <v>9.6500000000000002E-2</v>
      </c>
      <c r="O612" s="500">
        <v>9.1999999999999998E-2</v>
      </c>
      <c r="P612" s="500">
        <v>0.10249999999999999</v>
      </c>
      <c r="Q612" s="78">
        <v>0.44</v>
      </c>
      <c r="R612" s="78">
        <v>0.31740000000000002</v>
      </c>
      <c r="S612" s="69">
        <v>0</v>
      </c>
      <c r="T612" s="69">
        <v>0</v>
      </c>
      <c r="U612" s="500">
        <v>0.7</v>
      </c>
      <c r="V612" s="76">
        <v>0</v>
      </c>
      <c r="W612" s="76">
        <v>0</v>
      </c>
      <c r="X612" s="76"/>
    </row>
    <row r="613" spans="1:24" x14ac:dyDescent="0.25">
      <c r="A613" s="75" t="str">
        <f t="shared" si="20"/>
        <v>Adquisicion PROF Wealth &amp; Premier Executive Mercado_Abierto Pago_Bajo_Puntual 10</v>
      </c>
      <c r="B613" s="75" t="str">
        <f t="shared" si="19"/>
        <v>Adquisicion PROF Wealth &amp; Premier Executive Mercado_Abierto Pago_Bajo_Puntual 10 0.103</v>
      </c>
      <c r="C613" s="75" t="s">
        <v>114</v>
      </c>
      <c r="D613" s="75" t="s">
        <v>169</v>
      </c>
      <c r="E613" s="75" t="s">
        <v>175</v>
      </c>
      <c r="F613" s="75"/>
      <c r="G613" s="75" t="s">
        <v>396</v>
      </c>
      <c r="H613" s="75"/>
      <c r="I613" s="75" t="s">
        <v>170</v>
      </c>
      <c r="J613" s="501">
        <v>10</v>
      </c>
      <c r="K613" s="501" t="s">
        <v>386</v>
      </c>
      <c r="L613" s="502">
        <v>12.62</v>
      </c>
      <c r="M613" s="502">
        <v>13.28</v>
      </c>
      <c r="N613" s="500">
        <v>0.10299999999999999</v>
      </c>
      <c r="O613" s="500">
        <v>0.1</v>
      </c>
      <c r="P613" s="500">
        <v>0.112</v>
      </c>
      <c r="Q613" s="78">
        <v>0.44</v>
      </c>
      <c r="R613" s="78">
        <v>0.31740000000000002</v>
      </c>
      <c r="S613" s="69">
        <v>0</v>
      </c>
      <c r="T613" s="69">
        <v>0</v>
      </c>
      <c r="U613" s="500">
        <v>0.7</v>
      </c>
      <c r="V613" s="76">
        <v>0</v>
      </c>
      <c r="W613" s="76">
        <v>0</v>
      </c>
      <c r="X613" s="76"/>
    </row>
    <row r="614" spans="1:24" x14ac:dyDescent="0.25">
      <c r="A614" s="75" t="str">
        <f t="shared" si="20"/>
        <v>Adquisicion PROF Wealth &amp; Premier Executive Mercado_Abierto Pago_Bajo_Puntual 5</v>
      </c>
      <c r="B614" s="75" t="str">
        <f t="shared" si="19"/>
        <v>Adquisicion PROF Wealth &amp; Premier Executive Mercado_Abierto Pago_Bajo_Puntual 5 0.0965</v>
      </c>
      <c r="C614" s="75" t="s">
        <v>114</v>
      </c>
      <c r="D614" s="75" t="s">
        <v>169</v>
      </c>
      <c r="E614" s="75" t="s">
        <v>175</v>
      </c>
      <c r="F614" s="75"/>
      <c r="G614" s="75" t="s">
        <v>396</v>
      </c>
      <c r="H614" s="75"/>
      <c r="I614" s="75" t="s">
        <v>170</v>
      </c>
      <c r="J614" s="501">
        <v>5</v>
      </c>
      <c r="K614" s="501" t="s">
        <v>385</v>
      </c>
      <c r="L614" s="502">
        <v>20.399999999999999</v>
      </c>
      <c r="M614" s="502">
        <v>21.06</v>
      </c>
      <c r="N614" s="500">
        <v>9.6500000000000002E-2</v>
      </c>
      <c r="O614" s="500">
        <v>9.1999999999999998E-2</v>
      </c>
      <c r="P614" s="500">
        <v>0.10249999999999999</v>
      </c>
      <c r="Q614" s="78">
        <v>0.44</v>
      </c>
      <c r="R614" s="78">
        <v>0.31740000000000002</v>
      </c>
      <c r="S614" s="69">
        <v>0</v>
      </c>
      <c r="T614" s="69">
        <v>0</v>
      </c>
      <c r="U614" s="500">
        <v>0.7</v>
      </c>
      <c r="V614" s="76">
        <v>0</v>
      </c>
      <c r="W614" s="76">
        <v>0</v>
      </c>
      <c r="X614" s="76"/>
    </row>
    <row r="615" spans="1:24" x14ac:dyDescent="0.25">
      <c r="A615" s="75" t="str">
        <f t="shared" si="20"/>
        <v>Adquisicion PROF Wealth &amp; Premier Executive Mercado_Abierto Pago_Bajo_Puntual 5</v>
      </c>
      <c r="B615" s="75" t="str">
        <f t="shared" si="19"/>
        <v>Adquisicion PROF Wealth &amp; Premier Executive Mercado_Abierto Pago_Bajo_Puntual 5 0.103</v>
      </c>
      <c r="C615" s="75" t="s">
        <v>114</v>
      </c>
      <c r="D615" s="75" t="s">
        <v>169</v>
      </c>
      <c r="E615" s="75" t="s">
        <v>175</v>
      </c>
      <c r="F615" s="75"/>
      <c r="G615" s="75" t="s">
        <v>396</v>
      </c>
      <c r="H615" s="75"/>
      <c r="I615" s="75" t="s">
        <v>170</v>
      </c>
      <c r="J615" s="501">
        <v>5</v>
      </c>
      <c r="K615" s="501" t="s">
        <v>386</v>
      </c>
      <c r="L615" s="502">
        <v>20.72</v>
      </c>
      <c r="M615" s="502">
        <v>21.38</v>
      </c>
      <c r="N615" s="500">
        <v>0.10299999999999999</v>
      </c>
      <c r="O615" s="500">
        <v>0.1</v>
      </c>
      <c r="P615" s="500">
        <v>0.112</v>
      </c>
      <c r="Q615" s="78">
        <v>0.44</v>
      </c>
      <c r="R615" s="78">
        <v>0.31740000000000002</v>
      </c>
      <c r="S615" s="69">
        <v>0</v>
      </c>
      <c r="T615" s="69">
        <v>0</v>
      </c>
      <c r="U615" s="500">
        <v>0.7</v>
      </c>
      <c r="V615" s="76">
        <v>0</v>
      </c>
      <c r="W615" s="76">
        <v>0</v>
      </c>
      <c r="X615" s="76"/>
    </row>
    <row r="616" spans="1:24" x14ac:dyDescent="0.25">
      <c r="A616" s="75" t="str">
        <f t="shared" si="20"/>
        <v>Adquisicion PF Wealth &amp; Premier Executive Apoyo Infonavit Pago_Bajo_Puntual 25</v>
      </c>
      <c r="B616" s="75" t="str">
        <f t="shared" si="19"/>
        <v>Adquisicion PF Wealth &amp; Premier Executive Apoyo Infonavit Pago_Bajo_Puntual 25 0.0965</v>
      </c>
      <c r="C616" s="75" t="s">
        <v>114</v>
      </c>
      <c r="D616" s="75" t="s">
        <v>132</v>
      </c>
      <c r="E616" s="75" t="s">
        <v>175</v>
      </c>
      <c r="F616" s="75"/>
      <c r="G616" s="75" t="s">
        <v>112</v>
      </c>
      <c r="H616" s="75"/>
      <c r="I616" s="75" t="s">
        <v>170</v>
      </c>
      <c r="J616" s="501">
        <v>25</v>
      </c>
      <c r="K616" s="501" t="s">
        <v>385</v>
      </c>
      <c r="L616" s="502">
        <v>7.89</v>
      </c>
      <c r="M616" s="502">
        <v>8.5500000000000007</v>
      </c>
      <c r="N616" s="500">
        <v>9.6500000000000002E-2</v>
      </c>
      <c r="O616" s="500">
        <v>9.1999999999999998E-2</v>
      </c>
      <c r="P616" s="500">
        <v>0.10249999999999999</v>
      </c>
      <c r="Q616" s="78">
        <v>0.44</v>
      </c>
      <c r="R616" s="78">
        <v>0.31740000000000002</v>
      </c>
      <c r="S616" s="69">
        <v>0</v>
      </c>
      <c r="T616" s="69">
        <v>0</v>
      </c>
      <c r="U616" s="500">
        <v>0.7</v>
      </c>
      <c r="V616" s="76">
        <v>0</v>
      </c>
      <c r="W616" s="76">
        <v>0</v>
      </c>
      <c r="X616" s="76"/>
    </row>
    <row r="617" spans="1:24" x14ac:dyDescent="0.25">
      <c r="A617" s="75" t="str">
        <f t="shared" si="20"/>
        <v>Adquisicion PF Wealth &amp; Premier Executive Apoyo Infonavit Pago_Bajo_Puntual 25</v>
      </c>
      <c r="B617" s="75" t="str">
        <f t="shared" si="19"/>
        <v>Adquisicion PF Wealth &amp; Premier Executive Apoyo Infonavit Pago_Bajo_Puntual 25 0.103</v>
      </c>
      <c r="C617" s="75" t="s">
        <v>114</v>
      </c>
      <c r="D617" s="75" t="s">
        <v>132</v>
      </c>
      <c r="E617" s="75" t="s">
        <v>175</v>
      </c>
      <c r="F617" s="75"/>
      <c r="G617" s="75" t="s">
        <v>112</v>
      </c>
      <c r="H617" s="75"/>
      <c r="I617" s="75" t="s">
        <v>170</v>
      </c>
      <c r="J617" s="501">
        <v>25</v>
      </c>
      <c r="K617" s="501" t="s">
        <v>386</v>
      </c>
      <c r="L617" s="502">
        <v>8.42</v>
      </c>
      <c r="M617" s="502">
        <v>9.08</v>
      </c>
      <c r="N617" s="500">
        <v>0.10299999999999999</v>
      </c>
      <c r="O617" s="500">
        <v>0.1</v>
      </c>
      <c r="P617" s="500">
        <v>0.112</v>
      </c>
      <c r="Q617" s="78">
        <v>0.44</v>
      </c>
      <c r="R617" s="78">
        <v>0.31740000000000002</v>
      </c>
      <c r="S617" s="69">
        <v>0</v>
      </c>
      <c r="T617" s="69">
        <v>0</v>
      </c>
      <c r="U617" s="500">
        <v>0.7</v>
      </c>
      <c r="V617" s="76">
        <v>0</v>
      </c>
      <c r="W617" s="76">
        <v>0</v>
      </c>
      <c r="X617" s="76"/>
    </row>
    <row r="618" spans="1:24" x14ac:dyDescent="0.25">
      <c r="A618" s="75" t="str">
        <f t="shared" si="20"/>
        <v>Adquisicion PF Wealth &amp; Premier Executive Apoyo Infonavit Pago_Bajo_Puntual 20</v>
      </c>
      <c r="B618" s="75" t="str">
        <f t="shared" si="19"/>
        <v>Adquisicion PF Wealth &amp; Premier Executive Apoyo Infonavit Pago_Bajo_Puntual 20 0.0965</v>
      </c>
      <c r="C618" s="75" t="s">
        <v>114</v>
      </c>
      <c r="D618" s="75" t="s">
        <v>132</v>
      </c>
      <c r="E618" s="75" t="s">
        <v>175</v>
      </c>
      <c r="F618" s="75"/>
      <c r="G618" s="75" t="s">
        <v>112</v>
      </c>
      <c r="H618" s="75"/>
      <c r="I618" s="75" t="s">
        <v>170</v>
      </c>
      <c r="J618" s="501">
        <v>20</v>
      </c>
      <c r="K618" s="501" t="s">
        <v>385</v>
      </c>
      <c r="L618" s="502">
        <v>8.52</v>
      </c>
      <c r="M618" s="502">
        <v>9.18</v>
      </c>
      <c r="N618" s="500">
        <v>9.6500000000000002E-2</v>
      </c>
      <c r="O618" s="500">
        <v>9.1999999999999998E-2</v>
      </c>
      <c r="P618" s="500">
        <v>0.10249999999999999</v>
      </c>
      <c r="Q618" s="78">
        <v>0.44</v>
      </c>
      <c r="R618" s="78">
        <v>0.31740000000000002</v>
      </c>
      <c r="S618" s="69">
        <v>0</v>
      </c>
      <c r="T618" s="69">
        <v>0</v>
      </c>
      <c r="U618" s="500">
        <v>0.7</v>
      </c>
      <c r="V618" s="76">
        <v>0</v>
      </c>
      <c r="W618" s="76">
        <v>0</v>
      </c>
      <c r="X618" s="76"/>
    </row>
    <row r="619" spans="1:24" x14ac:dyDescent="0.25">
      <c r="A619" s="75" t="str">
        <f t="shared" si="20"/>
        <v>Adquisicion PF Wealth &amp; Premier Executive Apoyo Infonavit Pago_Bajo_Puntual 20</v>
      </c>
      <c r="B619" s="75" t="str">
        <f t="shared" si="19"/>
        <v>Adquisicion PF Wealth &amp; Premier Executive Apoyo Infonavit Pago_Bajo_Puntual 20 0.103</v>
      </c>
      <c r="C619" s="75" t="s">
        <v>114</v>
      </c>
      <c r="D619" s="75" t="s">
        <v>132</v>
      </c>
      <c r="E619" s="75" t="s">
        <v>175</v>
      </c>
      <c r="F619" s="75"/>
      <c r="G619" s="75" t="s">
        <v>112</v>
      </c>
      <c r="H619" s="75"/>
      <c r="I619" s="75" t="s">
        <v>170</v>
      </c>
      <c r="J619" s="501">
        <v>20</v>
      </c>
      <c r="K619" s="501" t="s">
        <v>386</v>
      </c>
      <c r="L619" s="502">
        <v>9</v>
      </c>
      <c r="M619" s="502">
        <v>9.66</v>
      </c>
      <c r="N619" s="500">
        <v>0.10299999999999999</v>
      </c>
      <c r="O619" s="500">
        <v>0.1</v>
      </c>
      <c r="P619" s="500">
        <v>0.112</v>
      </c>
      <c r="Q619" s="78">
        <v>0.44</v>
      </c>
      <c r="R619" s="78">
        <v>0.31740000000000002</v>
      </c>
      <c r="S619" s="69">
        <v>0</v>
      </c>
      <c r="T619" s="69">
        <v>0</v>
      </c>
      <c r="U619" s="500">
        <v>0.7</v>
      </c>
      <c r="V619" s="76">
        <v>0</v>
      </c>
      <c r="W619" s="76">
        <v>0</v>
      </c>
      <c r="X619" s="76"/>
    </row>
    <row r="620" spans="1:24" x14ac:dyDescent="0.25">
      <c r="A620" s="75" t="str">
        <f t="shared" si="20"/>
        <v>Adquisicion PF Wealth &amp; Premier Executive Apoyo Infonavit Pago_Bajo_Puntual 15</v>
      </c>
      <c r="B620" s="75" t="str">
        <f t="shared" si="19"/>
        <v>Adquisicion PF Wealth &amp; Premier Executive Apoyo Infonavit Pago_Bajo_Puntual 15 0.0965</v>
      </c>
      <c r="C620" s="75" t="s">
        <v>114</v>
      </c>
      <c r="D620" s="75" t="s">
        <v>132</v>
      </c>
      <c r="E620" s="75" t="s">
        <v>175</v>
      </c>
      <c r="F620" s="75"/>
      <c r="G620" s="75" t="s">
        <v>112</v>
      </c>
      <c r="H620" s="75"/>
      <c r="I620" s="75" t="s">
        <v>170</v>
      </c>
      <c r="J620" s="501">
        <v>15</v>
      </c>
      <c r="K620" s="501" t="s">
        <v>385</v>
      </c>
      <c r="L620" s="502">
        <v>9.6999999999999993</v>
      </c>
      <c r="M620" s="502">
        <v>10.36</v>
      </c>
      <c r="N620" s="500">
        <v>9.6500000000000002E-2</v>
      </c>
      <c r="O620" s="500">
        <v>9.1999999999999998E-2</v>
      </c>
      <c r="P620" s="500">
        <v>0.10249999999999999</v>
      </c>
      <c r="Q620" s="78">
        <v>0.44</v>
      </c>
      <c r="R620" s="78">
        <v>0.31740000000000002</v>
      </c>
      <c r="S620" s="69">
        <v>0</v>
      </c>
      <c r="T620" s="69">
        <v>0</v>
      </c>
      <c r="U620" s="500">
        <v>0.7</v>
      </c>
      <c r="V620" s="76">
        <v>0</v>
      </c>
      <c r="W620" s="76">
        <v>0</v>
      </c>
      <c r="X620" s="76"/>
    </row>
    <row r="621" spans="1:24" x14ac:dyDescent="0.25">
      <c r="A621" s="75" t="str">
        <f t="shared" si="20"/>
        <v>Adquisicion PF Wealth &amp; Premier Executive Apoyo Infonavit Pago_Bajo_Puntual 15</v>
      </c>
      <c r="B621" s="75" t="str">
        <f t="shared" si="19"/>
        <v>Adquisicion PF Wealth &amp; Premier Executive Apoyo Infonavit Pago_Bajo_Puntual 15 0.103</v>
      </c>
      <c r="C621" s="75" t="s">
        <v>114</v>
      </c>
      <c r="D621" s="75" t="s">
        <v>132</v>
      </c>
      <c r="E621" s="75" t="s">
        <v>175</v>
      </c>
      <c r="F621" s="75"/>
      <c r="G621" s="75" t="s">
        <v>112</v>
      </c>
      <c r="H621" s="75"/>
      <c r="I621" s="75" t="s">
        <v>170</v>
      </c>
      <c r="J621" s="501">
        <v>15</v>
      </c>
      <c r="K621" s="501" t="s">
        <v>386</v>
      </c>
      <c r="L621" s="502">
        <v>10.119999999999999</v>
      </c>
      <c r="M621" s="502">
        <v>10.78</v>
      </c>
      <c r="N621" s="500">
        <v>0.10299999999999999</v>
      </c>
      <c r="O621" s="500">
        <v>0.1</v>
      </c>
      <c r="P621" s="500">
        <v>0.112</v>
      </c>
      <c r="Q621" s="78">
        <v>0.44</v>
      </c>
      <c r="R621" s="78">
        <v>0.31740000000000002</v>
      </c>
      <c r="S621" s="69">
        <v>0</v>
      </c>
      <c r="T621" s="69">
        <v>0</v>
      </c>
      <c r="U621" s="500">
        <v>0.7</v>
      </c>
      <c r="V621" s="76">
        <v>0</v>
      </c>
      <c r="W621" s="76">
        <v>0</v>
      </c>
      <c r="X621" s="76"/>
    </row>
    <row r="622" spans="1:24" x14ac:dyDescent="0.25">
      <c r="A622" s="75" t="str">
        <f t="shared" si="20"/>
        <v>Adquisicion PF Wealth &amp; Premier Executive Apoyo Infonavit Pago_Bajo_Puntual 10</v>
      </c>
      <c r="B622" s="75" t="str">
        <f t="shared" si="19"/>
        <v>Adquisicion PF Wealth &amp; Premier Executive Apoyo Infonavit Pago_Bajo_Puntual 10 0.0965</v>
      </c>
      <c r="C622" s="75" t="s">
        <v>114</v>
      </c>
      <c r="D622" s="75" t="s">
        <v>132</v>
      </c>
      <c r="E622" s="75" t="s">
        <v>175</v>
      </c>
      <c r="F622" s="75"/>
      <c r="G622" s="75" t="s">
        <v>112</v>
      </c>
      <c r="H622" s="75"/>
      <c r="I622" s="75" t="s">
        <v>170</v>
      </c>
      <c r="J622" s="501">
        <v>10</v>
      </c>
      <c r="K622" s="501" t="s">
        <v>385</v>
      </c>
      <c r="L622" s="502">
        <v>12.25</v>
      </c>
      <c r="M622" s="502">
        <v>12.91</v>
      </c>
      <c r="N622" s="500">
        <v>9.6500000000000002E-2</v>
      </c>
      <c r="O622" s="500">
        <v>9.1999999999999998E-2</v>
      </c>
      <c r="P622" s="500">
        <v>0.10249999999999999</v>
      </c>
      <c r="Q622" s="78">
        <v>0.44</v>
      </c>
      <c r="R622" s="78">
        <v>0.31740000000000002</v>
      </c>
      <c r="S622" s="69">
        <v>0</v>
      </c>
      <c r="T622" s="69">
        <v>0</v>
      </c>
      <c r="U622" s="500">
        <v>0.7</v>
      </c>
      <c r="V622" s="76">
        <v>0</v>
      </c>
      <c r="W622" s="76">
        <v>0</v>
      </c>
      <c r="X622" s="76"/>
    </row>
    <row r="623" spans="1:24" x14ac:dyDescent="0.25">
      <c r="A623" s="75" t="str">
        <f t="shared" si="20"/>
        <v>Adquisicion PF Wealth &amp; Premier Executive Apoyo Infonavit Pago_Bajo_Puntual 10</v>
      </c>
      <c r="B623" s="75" t="str">
        <f t="shared" si="19"/>
        <v>Adquisicion PF Wealth &amp; Premier Executive Apoyo Infonavit Pago_Bajo_Puntual 10 0.103</v>
      </c>
      <c r="C623" s="75" t="s">
        <v>114</v>
      </c>
      <c r="D623" s="75" t="s">
        <v>132</v>
      </c>
      <c r="E623" s="75" t="s">
        <v>175</v>
      </c>
      <c r="F623" s="75"/>
      <c r="G623" s="75" t="s">
        <v>112</v>
      </c>
      <c r="H623" s="75"/>
      <c r="I623" s="75" t="s">
        <v>170</v>
      </c>
      <c r="J623" s="501">
        <v>10</v>
      </c>
      <c r="K623" s="501" t="s">
        <v>386</v>
      </c>
      <c r="L623" s="502">
        <v>12.62</v>
      </c>
      <c r="M623" s="502">
        <v>13.28</v>
      </c>
      <c r="N623" s="500">
        <v>0.10299999999999999</v>
      </c>
      <c r="O623" s="500">
        <v>0.1</v>
      </c>
      <c r="P623" s="500">
        <v>0.112</v>
      </c>
      <c r="Q623" s="78">
        <v>0.44</v>
      </c>
      <c r="R623" s="78">
        <v>0.31740000000000002</v>
      </c>
      <c r="S623" s="69">
        <v>0</v>
      </c>
      <c r="T623" s="69">
        <v>0</v>
      </c>
      <c r="U623" s="500">
        <v>0.7</v>
      </c>
      <c r="V623" s="76">
        <v>0</v>
      </c>
      <c r="W623" s="76">
        <v>0</v>
      </c>
      <c r="X623" s="76"/>
    </row>
    <row r="624" spans="1:24" x14ac:dyDescent="0.25">
      <c r="A624" s="75" t="str">
        <f t="shared" si="20"/>
        <v>Adquisicion PF Wealth &amp; Premier Executive Apoyo Infonavit Pago_Bajo_Puntual 5</v>
      </c>
      <c r="B624" s="75" t="str">
        <f t="shared" si="19"/>
        <v>Adquisicion PF Wealth &amp; Premier Executive Apoyo Infonavit Pago_Bajo_Puntual 5 0.0965</v>
      </c>
      <c r="C624" s="75" t="s">
        <v>114</v>
      </c>
      <c r="D624" s="75" t="s">
        <v>132</v>
      </c>
      <c r="E624" s="75" t="s">
        <v>175</v>
      </c>
      <c r="F624" s="75"/>
      <c r="G624" s="75" t="s">
        <v>112</v>
      </c>
      <c r="H624" s="75"/>
      <c r="I624" s="75" t="s">
        <v>170</v>
      </c>
      <c r="J624" s="501">
        <v>5</v>
      </c>
      <c r="K624" s="501" t="s">
        <v>385</v>
      </c>
      <c r="L624" s="502">
        <v>20.399999999999999</v>
      </c>
      <c r="M624" s="502">
        <v>21.06</v>
      </c>
      <c r="N624" s="500">
        <v>9.6500000000000002E-2</v>
      </c>
      <c r="O624" s="500">
        <v>9.1999999999999998E-2</v>
      </c>
      <c r="P624" s="500">
        <v>0.10249999999999999</v>
      </c>
      <c r="Q624" s="78">
        <v>0.44</v>
      </c>
      <c r="R624" s="78">
        <v>0.31740000000000002</v>
      </c>
      <c r="S624" s="69">
        <v>0</v>
      </c>
      <c r="T624" s="69">
        <v>0</v>
      </c>
      <c r="U624" s="500">
        <v>0.7</v>
      </c>
      <c r="V624" s="76">
        <v>0</v>
      </c>
      <c r="W624" s="76">
        <v>0</v>
      </c>
      <c r="X624" s="76"/>
    </row>
    <row r="625" spans="1:24" x14ac:dyDescent="0.25">
      <c r="A625" s="75" t="str">
        <f t="shared" si="20"/>
        <v>Adquisicion PF Wealth &amp; Premier Executive Apoyo Infonavit Pago_Bajo_Puntual 5</v>
      </c>
      <c r="B625" s="75" t="str">
        <f t="shared" si="19"/>
        <v>Adquisicion PF Wealth &amp; Premier Executive Apoyo Infonavit Pago_Bajo_Puntual 5 0.103</v>
      </c>
      <c r="C625" s="75" t="s">
        <v>114</v>
      </c>
      <c r="D625" s="75" t="s">
        <v>132</v>
      </c>
      <c r="E625" s="75" t="s">
        <v>175</v>
      </c>
      <c r="F625" s="75"/>
      <c r="G625" s="75" t="s">
        <v>112</v>
      </c>
      <c r="H625" s="75"/>
      <c r="I625" s="75" t="s">
        <v>170</v>
      </c>
      <c r="J625" s="501">
        <v>5</v>
      </c>
      <c r="K625" s="501" t="s">
        <v>386</v>
      </c>
      <c r="L625" s="502">
        <v>20.72</v>
      </c>
      <c r="M625" s="502">
        <v>21.38</v>
      </c>
      <c r="N625" s="500">
        <v>0.10299999999999999</v>
      </c>
      <c r="O625" s="500">
        <v>0.1</v>
      </c>
      <c r="P625" s="500">
        <v>0.112</v>
      </c>
      <c r="Q625" s="78">
        <v>0.44</v>
      </c>
      <c r="R625" s="78">
        <v>0.31740000000000002</v>
      </c>
      <c r="S625" s="69">
        <v>0</v>
      </c>
      <c r="T625" s="69">
        <v>0</v>
      </c>
      <c r="U625" s="500">
        <v>0.7</v>
      </c>
      <c r="V625" s="76">
        <v>0</v>
      </c>
      <c r="W625" s="76">
        <v>0</v>
      </c>
      <c r="X625" s="76"/>
    </row>
    <row r="626" spans="1:24" x14ac:dyDescent="0.25">
      <c r="A626" s="75" t="str">
        <f t="shared" si="20"/>
        <v>Adquisicion PF Wealth &amp; Premier Executive Cofinavit Pago_Bajo_Puntual 25</v>
      </c>
      <c r="B626" s="75" t="str">
        <f t="shared" si="19"/>
        <v>Adquisicion PF Wealth &amp; Premier Executive Cofinavit Pago_Bajo_Puntual 25 0.0965</v>
      </c>
      <c r="C626" s="75" t="s">
        <v>114</v>
      </c>
      <c r="D626" s="75" t="s">
        <v>132</v>
      </c>
      <c r="E626" s="75" t="s">
        <v>175</v>
      </c>
      <c r="F626" s="75"/>
      <c r="G626" s="75" t="s">
        <v>113</v>
      </c>
      <c r="H626" s="75"/>
      <c r="I626" s="75" t="s">
        <v>170</v>
      </c>
      <c r="J626" s="501">
        <v>25</v>
      </c>
      <c r="K626" s="501" t="s">
        <v>385</v>
      </c>
      <c r="L626" s="502">
        <v>7.89</v>
      </c>
      <c r="M626" s="502">
        <v>8.5500000000000007</v>
      </c>
      <c r="N626" s="500">
        <v>9.6500000000000002E-2</v>
      </c>
      <c r="O626" s="500">
        <v>9.1999999999999998E-2</v>
      </c>
      <c r="P626" s="500">
        <v>0.10249999999999999</v>
      </c>
      <c r="Q626" s="78">
        <v>0.44</v>
      </c>
      <c r="R626" s="78">
        <v>0.31740000000000002</v>
      </c>
      <c r="S626" s="69">
        <v>0</v>
      </c>
      <c r="T626" s="69">
        <v>0</v>
      </c>
      <c r="U626" s="500">
        <v>0.7</v>
      </c>
      <c r="V626" s="76">
        <v>0</v>
      </c>
      <c r="W626" s="76">
        <v>0</v>
      </c>
      <c r="X626" s="76"/>
    </row>
    <row r="627" spans="1:24" x14ac:dyDescent="0.25">
      <c r="A627" s="75" t="str">
        <f t="shared" si="20"/>
        <v>Adquisicion PF Wealth &amp; Premier Executive Cofinavit Pago_Bajo_Puntual 25</v>
      </c>
      <c r="B627" s="75" t="str">
        <f t="shared" si="19"/>
        <v>Adquisicion PF Wealth &amp; Premier Executive Cofinavit Pago_Bajo_Puntual 25 0.103</v>
      </c>
      <c r="C627" s="75" t="s">
        <v>114</v>
      </c>
      <c r="D627" s="75" t="s">
        <v>132</v>
      </c>
      <c r="E627" s="75" t="s">
        <v>175</v>
      </c>
      <c r="F627" s="75"/>
      <c r="G627" s="75" t="s">
        <v>113</v>
      </c>
      <c r="H627" s="75"/>
      <c r="I627" s="75" t="s">
        <v>170</v>
      </c>
      <c r="J627" s="501">
        <v>25</v>
      </c>
      <c r="K627" s="501" t="s">
        <v>386</v>
      </c>
      <c r="L627" s="502">
        <v>8.42</v>
      </c>
      <c r="M627" s="502">
        <v>9.08</v>
      </c>
      <c r="N627" s="500">
        <v>0.10299999999999999</v>
      </c>
      <c r="O627" s="500">
        <v>0.1</v>
      </c>
      <c r="P627" s="500">
        <v>0.112</v>
      </c>
      <c r="Q627" s="78">
        <v>0.44</v>
      </c>
      <c r="R627" s="78">
        <v>0.31740000000000002</v>
      </c>
      <c r="S627" s="69">
        <v>0</v>
      </c>
      <c r="T627" s="69">
        <v>0</v>
      </c>
      <c r="U627" s="500">
        <v>0.7</v>
      </c>
      <c r="V627" s="76">
        <v>0</v>
      </c>
      <c r="W627" s="76">
        <v>0</v>
      </c>
      <c r="X627" s="76"/>
    </row>
    <row r="628" spans="1:24" x14ac:dyDescent="0.25">
      <c r="A628" s="75" t="str">
        <f t="shared" si="20"/>
        <v>Adquisicion PF Wealth &amp; Premier Executive Cofinavit Pago_Bajo_Puntual 20</v>
      </c>
      <c r="B628" s="75" t="str">
        <f t="shared" si="19"/>
        <v>Adquisicion PF Wealth &amp; Premier Executive Cofinavit Pago_Bajo_Puntual 20 0.0965</v>
      </c>
      <c r="C628" s="75" t="s">
        <v>114</v>
      </c>
      <c r="D628" s="75" t="s">
        <v>132</v>
      </c>
      <c r="E628" s="75" t="s">
        <v>175</v>
      </c>
      <c r="F628" s="75"/>
      <c r="G628" s="75" t="s">
        <v>113</v>
      </c>
      <c r="H628" s="75"/>
      <c r="I628" s="75" t="s">
        <v>170</v>
      </c>
      <c r="J628" s="501">
        <v>20</v>
      </c>
      <c r="K628" s="501" t="s">
        <v>385</v>
      </c>
      <c r="L628" s="502">
        <v>8.52</v>
      </c>
      <c r="M628" s="502">
        <v>9.18</v>
      </c>
      <c r="N628" s="500">
        <v>9.6500000000000002E-2</v>
      </c>
      <c r="O628" s="500">
        <v>9.1999999999999998E-2</v>
      </c>
      <c r="P628" s="500">
        <v>0.10249999999999999</v>
      </c>
      <c r="Q628" s="78">
        <v>0.44</v>
      </c>
      <c r="R628" s="78">
        <v>0.31740000000000002</v>
      </c>
      <c r="S628" s="69">
        <v>0</v>
      </c>
      <c r="T628" s="69">
        <v>0</v>
      </c>
      <c r="U628" s="500">
        <v>0.7</v>
      </c>
      <c r="V628" s="76">
        <v>0</v>
      </c>
      <c r="W628" s="76">
        <v>0</v>
      </c>
      <c r="X628" s="76"/>
    </row>
    <row r="629" spans="1:24" x14ac:dyDescent="0.25">
      <c r="A629" s="75" t="str">
        <f t="shared" si="20"/>
        <v>Adquisicion PF Wealth &amp; Premier Executive Cofinavit Pago_Bajo_Puntual 20</v>
      </c>
      <c r="B629" s="75" t="str">
        <f t="shared" si="19"/>
        <v>Adquisicion PF Wealth &amp; Premier Executive Cofinavit Pago_Bajo_Puntual 20 0.103</v>
      </c>
      <c r="C629" s="75" t="s">
        <v>114</v>
      </c>
      <c r="D629" s="75" t="s">
        <v>132</v>
      </c>
      <c r="E629" s="75" t="s">
        <v>175</v>
      </c>
      <c r="F629" s="75"/>
      <c r="G629" s="75" t="s">
        <v>113</v>
      </c>
      <c r="H629" s="75"/>
      <c r="I629" s="75" t="s">
        <v>170</v>
      </c>
      <c r="J629" s="501">
        <v>20</v>
      </c>
      <c r="K629" s="501" t="s">
        <v>386</v>
      </c>
      <c r="L629" s="502">
        <v>9</v>
      </c>
      <c r="M629" s="502">
        <v>9.66</v>
      </c>
      <c r="N629" s="500">
        <v>0.10299999999999999</v>
      </c>
      <c r="O629" s="500">
        <v>0.1</v>
      </c>
      <c r="P629" s="500">
        <v>0.112</v>
      </c>
      <c r="Q629" s="78">
        <v>0.44</v>
      </c>
      <c r="R629" s="78">
        <v>0.31740000000000002</v>
      </c>
      <c r="S629" s="69">
        <v>0</v>
      </c>
      <c r="T629" s="69">
        <v>0</v>
      </c>
      <c r="U629" s="500">
        <v>0.7</v>
      </c>
      <c r="V629" s="76">
        <v>0</v>
      </c>
      <c r="W629" s="76">
        <v>0</v>
      </c>
      <c r="X629" s="76"/>
    </row>
    <row r="630" spans="1:24" x14ac:dyDescent="0.25">
      <c r="A630" s="75" t="str">
        <f t="shared" si="20"/>
        <v>Adquisicion PF Wealth &amp; Premier Executive Cofinavit Pago_Bajo_Puntual 15</v>
      </c>
      <c r="B630" s="75" t="str">
        <f t="shared" si="19"/>
        <v>Adquisicion PF Wealth &amp; Premier Executive Cofinavit Pago_Bajo_Puntual 15 0.0965</v>
      </c>
      <c r="C630" s="75" t="s">
        <v>114</v>
      </c>
      <c r="D630" s="75" t="s">
        <v>132</v>
      </c>
      <c r="E630" s="75" t="s">
        <v>175</v>
      </c>
      <c r="F630" s="75"/>
      <c r="G630" s="75" t="s">
        <v>113</v>
      </c>
      <c r="H630" s="75"/>
      <c r="I630" s="75" t="s">
        <v>170</v>
      </c>
      <c r="J630" s="501">
        <v>15</v>
      </c>
      <c r="K630" s="501" t="s">
        <v>385</v>
      </c>
      <c r="L630" s="502">
        <v>9.6999999999999993</v>
      </c>
      <c r="M630" s="502">
        <v>10.36</v>
      </c>
      <c r="N630" s="500">
        <v>9.6500000000000002E-2</v>
      </c>
      <c r="O630" s="500">
        <v>9.1999999999999998E-2</v>
      </c>
      <c r="P630" s="500">
        <v>0.10249999999999999</v>
      </c>
      <c r="Q630" s="78">
        <v>0.44</v>
      </c>
      <c r="R630" s="78">
        <v>0.31740000000000002</v>
      </c>
      <c r="S630" s="69">
        <v>0</v>
      </c>
      <c r="T630" s="69">
        <v>0</v>
      </c>
      <c r="U630" s="500">
        <v>0.7</v>
      </c>
      <c r="V630" s="76">
        <v>0</v>
      </c>
      <c r="W630" s="76">
        <v>0</v>
      </c>
      <c r="X630" s="76"/>
    </row>
    <row r="631" spans="1:24" x14ac:dyDescent="0.25">
      <c r="A631" s="75" t="str">
        <f t="shared" si="20"/>
        <v>Adquisicion PF Wealth &amp; Premier Executive Cofinavit Pago_Bajo_Puntual 15</v>
      </c>
      <c r="B631" s="75" t="str">
        <f t="shared" si="19"/>
        <v>Adquisicion PF Wealth &amp; Premier Executive Cofinavit Pago_Bajo_Puntual 15 0.103</v>
      </c>
      <c r="C631" s="75" t="s">
        <v>114</v>
      </c>
      <c r="D631" s="75" t="s">
        <v>132</v>
      </c>
      <c r="E631" s="75" t="s">
        <v>175</v>
      </c>
      <c r="F631" s="75"/>
      <c r="G631" s="75" t="s">
        <v>113</v>
      </c>
      <c r="H631" s="75"/>
      <c r="I631" s="75" t="s">
        <v>170</v>
      </c>
      <c r="J631" s="501">
        <v>15</v>
      </c>
      <c r="K631" s="501" t="s">
        <v>386</v>
      </c>
      <c r="L631" s="502">
        <v>10.119999999999999</v>
      </c>
      <c r="M631" s="502">
        <v>10.78</v>
      </c>
      <c r="N631" s="500">
        <v>0.10299999999999999</v>
      </c>
      <c r="O631" s="500">
        <v>0.1</v>
      </c>
      <c r="P631" s="500">
        <v>0.112</v>
      </c>
      <c r="Q631" s="78">
        <v>0.44</v>
      </c>
      <c r="R631" s="78">
        <v>0.31740000000000002</v>
      </c>
      <c r="S631" s="69">
        <v>0</v>
      </c>
      <c r="T631" s="69">
        <v>0</v>
      </c>
      <c r="U631" s="500">
        <v>0.7</v>
      </c>
      <c r="V631" s="76">
        <v>0</v>
      </c>
      <c r="W631" s="76">
        <v>0</v>
      </c>
      <c r="X631" s="76"/>
    </row>
    <row r="632" spans="1:24" x14ac:dyDescent="0.25">
      <c r="A632" s="75" t="str">
        <f t="shared" si="20"/>
        <v>Adquisicion PF Wealth &amp; Premier Executive Cofinavit Pago_Bajo_Puntual 10</v>
      </c>
      <c r="B632" s="75" t="str">
        <f t="shared" si="19"/>
        <v>Adquisicion PF Wealth &amp; Premier Executive Cofinavit Pago_Bajo_Puntual 10 0.0965</v>
      </c>
      <c r="C632" s="75" t="s">
        <v>114</v>
      </c>
      <c r="D632" s="75" t="s">
        <v>132</v>
      </c>
      <c r="E632" s="75" t="s">
        <v>175</v>
      </c>
      <c r="F632" s="75"/>
      <c r="G632" s="75" t="s">
        <v>113</v>
      </c>
      <c r="H632" s="75"/>
      <c r="I632" s="75" t="s">
        <v>170</v>
      </c>
      <c r="J632" s="501">
        <v>10</v>
      </c>
      <c r="K632" s="501" t="s">
        <v>385</v>
      </c>
      <c r="L632" s="502">
        <v>12.25</v>
      </c>
      <c r="M632" s="502">
        <v>12.91</v>
      </c>
      <c r="N632" s="500">
        <v>9.6500000000000002E-2</v>
      </c>
      <c r="O632" s="500">
        <v>9.1999999999999998E-2</v>
      </c>
      <c r="P632" s="500">
        <v>0.10249999999999999</v>
      </c>
      <c r="Q632" s="78">
        <v>0.44</v>
      </c>
      <c r="R632" s="78">
        <v>0.31740000000000002</v>
      </c>
      <c r="S632" s="69">
        <v>0</v>
      </c>
      <c r="T632" s="69">
        <v>0</v>
      </c>
      <c r="U632" s="500">
        <v>0.7</v>
      </c>
      <c r="V632" s="76">
        <v>0</v>
      </c>
      <c r="W632" s="76">
        <v>0</v>
      </c>
      <c r="X632" s="76"/>
    </row>
    <row r="633" spans="1:24" x14ac:dyDescent="0.25">
      <c r="A633" s="75" t="str">
        <f t="shared" si="20"/>
        <v>Adquisicion PF Wealth &amp; Premier Executive Cofinavit Pago_Bajo_Puntual 10</v>
      </c>
      <c r="B633" s="75" t="str">
        <f t="shared" si="19"/>
        <v>Adquisicion PF Wealth &amp; Premier Executive Cofinavit Pago_Bajo_Puntual 10 0.103</v>
      </c>
      <c r="C633" s="75" t="s">
        <v>114</v>
      </c>
      <c r="D633" s="75" t="s">
        <v>132</v>
      </c>
      <c r="E633" s="75" t="s">
        <v>175</v>
      </c>
      <c r="F633" s="75"/>
      <c r="G633" s="75" t="s">
        <v>113</v>
      </c>
      <c r="H633" s="75"/>
      <c r="I633" s="75" t="s">
        <v>170</v>
      </c>
      <c r="J633" s="501">
        <v>10</v>
      </c>
      <c r="K633" s="501" t="s">
        <v>386</v>
      </c>
      <c r="L633" s="502">
        <v>12.62</v>
      </c>
      <c r="M633" s="502">
        <v>13.28</v>
      </c>
      <c r="N633" s="500">
        <v>0.10299999999999999</v>
      </c>
      <c r="O633" s="500">
        <v>0.1</v>
      </c>
      <c r="P633" s="500">
        <v>0.112</v>
      </c>
      <c r="Q633" s="78">
        <v>0.44</v>
      </c>
      <c r="R633" s="78">
        <v>0.31740000000000002</v>
      </c>
      <c r="S633" s="69">
        <v>0</v>
      </c>
      <c r="T633" s="69">
        <v>0</v>
      </c>
      <c r="U633" s="500">
        <v>0.7</v>
      </c>
      <c r="V633" s="76">
        <v>0</v>
      </c>
      <c r="W633" s="76">
        <v>0</v>
      </c>
      <c r="X633" s="76"/>
    </row>
    <row r="634" spans="1:24" x14ac:dyDescent="0.25">
      <c r="A634" s="75" t="str">
        <f t="shared" si="20"/>
        <v>Adquisicion PF Wealth &amp; Premier Executive Cofinavit Pago_Bajo_Puntual 5</v>
      </c>
      <c r="B634" s="75" t="str">
        <f t="shared" si="19"/>
        <v>Adquisicion PF Wealth &amp; Premier Executive Cofinavit Pago_Bajo_Puntual 5 0.0965</v>
      </c>
      <c r="C634" s="75" t="s">
        <v>114</v>
      </c>
      <c r="D634" s="75" t="s">
        <v>132</v>
      </c>
      <c r="E634" s="75" t="s">
        <v>175</v>
      </c>
      <c r="F634" s="75"/>
      <c r="G634" s="75" t="s">
        <v>113</v>
      </c>
      <c r="H634" s="75"/>
      <c r="I634" s="75" t="s">
        <v>170</v>
      </c>
      <c r="J634" s="501">
        <v>5</v>
      </c>
      <c r="K634" s="501" t="s">
        <v>385</v>
      </c>
      <c r="L634" s="502">
        <v>20.399999999999999</v>
      </c>
      <c r="M634" s="502">
        <v>21.06</v>
      </c>
      <c r="N634" s="500">
        <v>9.6500000000000002E-2</v>
      </c>
      <c r="O634" s="500">
        <v>9.1999999999999998E-2</v>
      </c>
      <c r="P634" s="500">
        <v>0.10249999999999999</v>
      </c>
      <c r="Q634" s="78">
        <v>0.44</v>
      </c>
      <c r="R634" s="78">
        <v>0.31740000000000002</v>
      </c>
      <c r="S634" s="69">
        <v>0</v>
      </c>
      <c r="T634" s="69">
        <v>0</v>
      </c>
      <c r="U634" s="500">
        <v>0.7</v>
      </c>
      <c r="V634" s="76">
        <v>0</v>
      </c>
      <c r="W634" s="76">
        <v>0</v>
      </c>
      <c r="X634" s="76"/>
    </row>
    <row r="635" spans="1:24" x14ac:dyDescent="0.25">
      <c r="A635" s="75" t="str">
        <f t="shared" si="20"/>
        <v>Adquisicion PF Wealth &amp; Premier Executive Cofinavit Pago_Bajo_Puntual 5</v>
      </c>
      <c r="B635" s="75" t="str">
        <f t="shared" si="19"/>
        <v>Adquisicion PF Wealth &amp; Premier Executive Cofinavit Pago_Bajo_Puntual 5 0.103</v>
      </c>
      <c r="C635" s="75" t="s">
        <v>114</v>
      </c>
      <c r="D635" s="75" t="s">
        <v>132</v>
      </c>
      <c r="E635" s="75" t="s">
        <v>175</v>
      </c>
      <c r="F635" s="75"/>
      <c r="G635" s="75" t="s">
        <v>113</v>
      </c>
      <c r="H635" s="75"/>
      <c r="I635" s="75" t="s">
        <v>170</v>
      </c>
      <c r="J635" s="501">
        <v>5</v>
      </c>
      <c r="K635" s="501" t="s">
        <v>386</v>
      </c>
      <c r="L635" s="502">
        <v>20.72</v>
      </c>
      <c r="M635" s="502">
        <v>21.38</v>
      </c>
      <c r="N635" s="500">
        <v>0.10299999999999999</v>
      </c>
      <c r="O635" s="500">
        <v>0.1</v>
      </c>
      <c r="P635" s="500">
        <v>0.112</v>
      </c>
      <c r="Q635" s="78">
        <v>0.44</v>
      </c>
      <c r="R635" s="78">
        <v>0.31740000000000002</v>
      </c>
      <c r="S635" s="69">
        <v>0</v>
      </c>
      <c r="T635" s="69">
        <v>0</v>
      </c>
      <c r="U635" s="500">
        <v>0.7</v>
      </c>
      <c r="V635" s="76">
        <v>0</v>
      </c>
      <c r="W635" s="76">
        <v>0</v>
      </c>
      <c r="X635" s="76"/>
    </row>
    <row r="636" spans="1:24" x14ac:dyDescent="0.25">
      <c r="A636" s="75" t="str">
        <f t="shared" si="20"/>
        <v>Pago_de_Hipoteca PF Wealth &amp; Premier Executive Pago_Bajo_Puntual 20</v>
      </c>
      <c r="B636" s="75" t="str">
        <f t="shared" si="19"/>
        <v>Pago_de_Hipoteca PF Wealth &amp; Premier Executive Pago_Bajo_Puntual 20 0.0965</v>
      </c>
      <c r="C636" s="75" t="s">
        <v>173</v>
      </c>
      <c r="D636" s="75" t="s">
        <v>132</v>
      </c>
      <c r="E636" s="75" t="s">
        <v>175</v>
      </c>
      <c r="F636" s="75"/>
      <c r="G636" s="75"/>
      <c r="H636" s="75"/>
      <c r="I636" s="75" t="s">
        <v>170</v>
      </c>
      <c r="J636" s="501">
        <v>20</v>
      </c>
      <c r="K636" s="501" t="s">
        <v>385</v>
      </c>
      <c r="L636" s="502">
        <v>8.52</v>
      </c>
      <c r="M636" s="502">
        <v>9.18</v>
      </c>
      <c r="N636" s="500">
        <v>9.6500000000000002E-2</v>
      </c>
      <c r="O636" s="500">
        <v>9.1999999999999998E-2</v>
      </c>
      <c r="P636" s="500">
        <v>0.10249999999999999</v>
      </c>
      <c r="Q636" s="78">
        <v>0.44</v>
      </c>
      <c r="R636" s="78">
        <v>0.31740000000000002</v>
      </c>
      <c r="S636" s="69">
        <v>0</v>
      </c>
      <c r="T636" s="69">
        <v>0</v>
      </c>
      <c r="U636" s="500">
        <v>0.7</v>
      </c>
      <c r="V636" s="76">
        <v>0</v>
      </c>
      <c r="W636" s="76">
        <v>0</v>
      </c>
      <c r="X636" s="76"/>
    </row>
    <row r="637" spans="1:24" x14ac:dyDescent="0.25">
      <c r="A637" s="75" t="str">
        <f t="shared" si="20"/>
        <v>Pago_de_Hipoteca PF Wealth &amp; Premier Executive Pago_Bajo_Puntual 20</v>
      </c>
      <c r="B637" s="75" t="str">
        <f t="shared" si="19"/>
        <v>Pago_de_Hipoteca PF Wealth &amp; Premier Executive Pago_Bajo_Puntual 20 0.103</v>
      </c>
      <c r="C637" s="75" t="s">
        <v>173</v>
      </c>
      <c r="D637" s="75" t="s">
        <v>132</v>
      </c>
      <c r="E637" s="75" t="s">
        <v>175</v>
      </c>
      <c r="F637" s="75"/>
      <c r="G637" s="75"/>
      <c r="H637" s="75"/>
      <c r="I637" s="75" t="s">
        <v>170</v>
      </c>
      <c r="J637" s="501">
        <v>20</v>
      </c>
      <c r="K637" s="501" t="s">
        <v>386</v>
      </c>
      <c r="L637" s="502">
        <v>9</v>
      </c>
      <c r="M637" s="502">
        <v>9.66</v>
      </c>
      <c r="N637" s="500">
        <v>0.10299999999999999</v>
      </c>
      <c r="O637" s="500">
        <v>0.1</v>
      </c>
      <c r="P637" s="500">
        <v>0.112</v>
      </c>
      <c r="Q637" s="78">
        <v>0.44</v>
      </c>
      <c r="R637" s="78">
        <v>0.31740000000000002</v>
      </c>
      <c r="S637" s="69">
        <v>0</v>
      </c>
      <c r="T637" s="69">
        <v>0</v>
      </c>
      <c r="U637" s="500">
        <v>0.7</v>
      </c>
      <c r="V637" s="76">
        <v>0</v>
      </c>
      <c r="W637" s="76">
        <v>0</v>
      </c>
      <c r="X637" s="76"/>
    </row>
    <row r="638" spans="1:24" x14ac:dyDescent="0.25">
      <c r="A638" s="75" t="str">
        <f t="shared" si="20"/>
        <v>Pago_de_Hipoteca PF Wealth &amp; Premier Executive Pago_Bajo_Puntual 19</v>
      </c>
      <c r="B638" s="75" t="str">
        <f t="shared" si="19"/>
        <v>Pago_de_Hipoteca PF Wealth &amp; Premier Executive Pago_Bajo_Puntual 19 0.0965</v>
      </c>
      <c r="C638" s="75" t="s">
        <v>173</v>
      </c>
      <c r="D638" s="75" t="s">
        <v>132</v>
      </c>
      <c r="E638" s="75" t="s">
        <v>175</v>
      </c>
      <c r="F638" s="75"/>
      <c r="G638" s="75"/>
      <c r="H638" s="75"/>
      <c r="I638" s="75" t="s">
        <v>170</v>
      </c>
      <c r="J638" s="501">
        <v>19</v>
      </c>
      <c r="K638" s="501" t="s">
        <v>385</v>
      </c>
      <c r="L638" s="502">
        <v>8.6999999999999993</v>
      </c>
      <c r="M638" s="502">
        <v>9.36</v>
      </c>
      <c r="N638" s="500">
        <v>9.6500000000000002E-2</v>
      </c>
      <c r="O638" s="500">
        <v>9.1999999999999998E-2</v>
      </c>
      <c r="P638" s="500">
        <v>0.10249999999999999</v>
      </c>
      <c r="Q638" s="78">
        <v>0.44</v>
      </c>
      <c r="R638" s="78">
        <v>0.31740000000000002</v>
      </c>
      <c r="S638" s="69">
        <v>0</v>
      </c>
      <c r="T638" s="69">
        <v>0</v>
      </c>
      <c r="U638" s="500">
        <v>0.7</v>
      </c>
      <c r="V638" s="76">
        <v>0</v>
      </c>
      <c r="W638" s="76">
        <v>0</v>
      </c>
      <c r="X638" s="76"/>
    </row>
    <row r="639" spans="1:24" x14ac:dyDescent="0.25">
      <c r="A639" s="75" t="str">
        <f t="shared" si="20"/>
        <v>Pago_de_Hipoteca PF Wealth &amp; Premier Executive Pago_Bajo_Puntual 19</v>
      </c>
      <c r="B639" s="75" t="str">
        <f t="shared" si="19"/>
        <v>Pago_de_Hipoteca PF Wealth &amp; Premier Executive Pago_Bajo_Puntual 19 0.103</v>
      </c>
      <c r="C639" s="75" t="s">
        <v>173</v>
      </c>
      <c r="D639" s="75" t="s">
        <v>132</v>
      </c>
      <c r="E639" s="75" t="s">
        <v>175</v>
      </c>
      <c r="F639" s="75"/>
      <c r="G639" s="75"/>
      <c r="H639" s="75"/>
      <c r="I639" s="75" t="s">
        <v>170</v>
      </c>
      <c r="J639" s="501">
        <v>19</v>
      </c>
      <c r="K639" s="501" t="s">
        <v>386</v>
      </c>
      <c r="L639" s="502">
        <v>9.17</v>
      </c>
      <c r="M639" s="502">
        <v>9.83</v>
      </c>
      <c r="N639" s="500">
        <v>0.10299999999999999</v>
      </c>
      <c r="O639" s="500">
        <v>0.1</v>
      </c>
      <c r="P639" s="500">
        <v>0.112</v>
      </c>
      <c r="Q639" s="78">
        <v>0.44</v>
      </c>
      <c r="R639" s="78">
        <v>0.31740000000000002</v>
      </c>
      <c r="S639" s="69">
        <v>0</v>
      </c>
      <c r="T639" s="69">
        <v>0</v>
      </c>
      <c r="U639" s="500">
        <v>0.7</v>
      </c>
      <c r="V639" s="76">
        <v>0</v>
      </c>
      <c r="W639" s="76">
        <v>0</v>
      </c>
      <c r="X639" s="76"/>
    </row>
    <row r="640" spans="1:24" x14ac:dyDescent="0.25">
      <c r="A640" s="75" t="str">
        <f t="shared" si="20"/>
        <v>Pago_de_Hipoteca PF Wealth &amp; Premier Executive Pago_Bajo_Puntual 18</v>
      </c>
      <c r="B640" s="75" t="str">
        <f t="shared" si="19"/>
        <v>Pago_de_Hipoteca PF Wealth &amp; Premier Executive Pago_Bajo_Puntual 18 0.0965</v>
      </c>
      <c r="C640" s="75" t="s">
        <v>173</v>
      </c>
      <c r="D640" s="75" t="s">
        <v>132</v>
      </c>
      <c r="E640" s="75" t="s">
        <v>175</v>
      </c>
      <c r="F640" s="75"/>
      <c r="G640" s="75"/>
      <c r="H640" s="75"/>
      <c r="I640" s="75" t="s">
        <v>170</v>
      </c>
      <c r="J640" s="501">
        <v>18</v>
      </c>
      <c r="K640" s="501" t="s">
        <v>385</v>
      </c>
      <c r="L640" s="502">
        <v>8.9</v>
      </c>
      <c r="M640" s="502">
        <v>9.56</v>
      </c>
      <c r="N640" s="500">
        <v>9.6500000000000002E-2</v>
      </c>
      <c r="O640" s="500">
        <v>9.1999999999999998E-2</v>
      </c>
      <c r="P640" s="500">
        <v>0.10249999999999999</v>
      </c>
      <c r="Q640" s="78">
        <v>0.44</v>
      </c>
      <c r="R640" s="78">
        <v>0.31740000000000002</v>
      </c>
      <c r="S640" s="69">
        <v>0</v>
      </c>
      <c r="T640" s="69">
        <v>0</v>
      </c>
      <c r="U640" s="500">
        <v>0.7</v>
      </c>
      <c r="V640" s="76">
        <v>0</v>
      </c>
      <c r="W640" s="76">
        <v>0</v>
      </c>
      <c r="X640" s="76"/>
    </row>
    <row r="641" spans="1:24" x14ac:dyDescent="0.25">
      <c r="A641" s="75" t="str">
        <f t="shared" si="20"/>
        <v>Pago_de_Hipoteca PF Wealth &amp; Premier Executive Pago_Bajo_Puntual 18</v>
      </c>
      <c r="B641" s="75" t="str">
        <f t="shared" si="19"/>
        <v>Pago_de_Hipoteca PF Wealth &amp; Premier Executive Pago_Bajo_Puntual 18 0.103</v>
      </c>
      <c r="C641" s="75" t="s">
        <v>173</v>
      </c>
      <c r="D641" s="75" t="s">
        <v>132</v>
      </c>
      <c r="E641" s="75" t="s">
        <v>175</v>
      </c>
      <c r="F641" s="75"/>
      <c r="G641" s="75"/>
      <c r="H641" s="75"/>
      <c r="I641" s="75" t="s">
        <v>170</v>
      </c>
      <c r="J641" s="501">
        <v>18</v>
      </c>
      <c r="K641" s="501" t="s">
        <v>386</v>
      </c>
      <c r="L641" s="502">
        <v>9.36</v>
      </c>
      <c r="M641" s="502">
        <v>10.02</v>
      </c>
      <c r="N641" s="500">
        <v>0.10299999999999999</v>
      </c>
      <c r="O641" s="500">
        <v>0.1</v>
      </c>
      <c r="P641" s="500">
        <v>0.112</v>
      </c>
      <c r="Q641" s="78">
        <v>0.44</v>
      </c>
      <c r="R641" s="78">
        <v>0.31740000000000002</v>
      </c>
      <c r="S641" s="69">
        <v>0</v>
      </c>
      <c r="T641" s="69">
        <v>0</v>
      </c>
      <c r="U641" s="500">
        <v>0.7</v>
      </c>
      <c r="V641" s="76">
        <v>0</v>
      </c>
      <c r="W641" s="76">
        <v>0</v>
      </c>
      <c r="X641" s="76"/>
    </row>
    <row r="642" spans="1:24" x14ac:dyDescent="0.25">
      <c r="A642" s="75" t="str">
        <f t="shared" ref="A642:A667" si="21">TRIM(CONCATENATE(C642," ",D642," ",E642," ",F642," ",G642," ",I642," ",X642," ",J642))</f>
        <v>Pago_de_Hipoteca PF Wealth &amp; Premier Executive Pago_Bajo_Puntual 17</v>
      </c>
      <c r="B642" s="75" t="str">
        <f t="shared" ref="B642:B667" si="22">CONCATENATE(A642," ",N642)</f>
        <v>Pago_de_Hipoteca PF Wealth &amp; Premier Executive Pago_Bajo_Puntual 17 0.0965</v>
      </c>
      <c r="C642" s="75" t="s">
        <v>173</v>
      </c>
      <c r="D642" s="75" t="s">
        <v>132</v>
      </c>
      <c r="E642" s="75" t="s">
        <v>175</v>
      </c>
      <c r="F642" s="75"/>
      <c r="G642" s="75"/>
      <c r="H642" s="75"/>
      <c r="I642" s="75" t="s">
        <v>170</v>
      </c>
      <c r="J642" s="501">
        <v>17</v>
      </c>
      <c r="K642" s="501" t="s">
        <v>385</v>
      </c>
      <c r="L642" s="502">
        <v>9.1300000000000008</v>
      </c>
      <c r="M642" s="502">
        <v>9.7899999999999991</v>
      </c>
      <c r="N642" s="500">
        <v>9.6500000000000002E-2</v>
      </c>
      <c r="O642" s="500">
        <v>9.1999999999999998E-2</v>
      </c>
      <c r="P642" s="500">
        <v>0.10249999999999999</v>
      </c>
      <c r="Q642" s="78">
        <v>0.44</v>
      </c>
      <c r="R642" s="78">
        <v>0.31740000000000002</v>
      </c>
      <c r="S642" s="69">
        <v>0</v>
      </c>
      <c r="T642" s="69">
        <v>0</v>
      </c>
      <c r="U642" s="500">
        <v>0.7</v>
      </c>
      <c r="V642" s="76">
        <v>0</v>
      </c>
      <c r="W642" s="76">
        <v>0</v>
      </c>
      <c r="X642" s="76"/>
    </row>
    <row r="643" spans="1:24" x14ac:dyDescent="0.25">
      <c r="A643" s="75" t="str">
        <f t="shared" si="21"/>
        <v>Pago_de_Hipoteca PF Wealth &amp; Premier Executive Pago_Bajo_Puntual 17</v>
      </c>
      <c r="B643" s="75" t="str">
        <f t="shared" si="22"/>
        <v>Pago_de_Hipoteca PF Wealth &amp; Premier Executive Pago_Bajo_Puntual 17 0.103</v>
      </c>
      <c r="C643" s="75" t="s">
        <v>173</v>
      </c>
      <c r="D643" s="75" t="s">
        <v>132</v>
      </c>
      <c r="E643" s="75" t="s">
        <v>175</v>
      </c>
      <c r="F643" s="75"/>
      <c r="G643" s="75"/>
      <c r="H643" s="75"/>
      <c r="I643" s="75" t="s">
        <v>170</v>
      </c>
      <c r="J643" s="501">
        <v>17</v>
      </c>
      <c r="K643" s="501" t="s">
        <v>386</v>
      </c>
      <c r="L643" s="502">
        <v>9.58</v>
      </c>
      <c r="M643" s="502">
        <v>10.24</v>
      </c>
      <c r="N643" s="500">
        <v>0.10299999999999999</v>
      </c>
      <c r="O643" s="500">
        <v>0.1</v>
      </c>
      <c r="P643" s="500">
        <v>0.112</v>
      </c>
      <c r="Q643" s="78">
        <v>0.44</v>
      </c>
      <c r="R643" s="78">
        <v>0.31740000000000002</v>
      </c>
      <c r="S643" s="69">
        <v>0</v>
      </c>
      <c r="T643" s="69">
        <v>0</v>
      </c>
      <c r="U643" s="500">
        <v>0.7</v>
      </c>
      <c r="V643" s="76">
        <v>0</v>
      </c>
      <c r="W643" s="76">
        <v>0</v>
      </c>
      <c r="X643" s="76"/>
    </row>
    <row r="644" spans="1:24" x14ac:dyDescent="0.25">
      <c r="A644" s="75" t="str">
        <f t="shared" si="21"/>
        <v>Pago_de_Hipoteca PF Wealth &amp; Premier Executive Pago_Bajo_Puntual 16</v>
      </c>
      <c r="B644" s="75" t="str">
        <f t="shared" si="22"/>
        <v>Pago_de_Hipoteca PF Wealth &amp; Premier Executive Pago_Bajo_Puntual 16 0.0965</v>
      </c>
      <c r="C644" s="75" t="s">
        <v>173</v>
      </c>
      <c r="D644" s="75" t="s">
        <v>132</v>
      </c>
      <c r="E644" s="75" t="s">
        <v>175</v>
      </c>
      <c r="F644" s="75"/>
      <c r="G644" s="75"/>
      <c r="H644" s="75"/>
      <c r="I644" s="75" t="s">
        <v>170</v>
      </c>
      <c r="J644" s="501">
        <v>16</v>
      </c>
      <c r="K644" s="501" t="s">
        <v>385</v>
      </c>
      <c r="L644" s="502">
        <v>9.39</v>
      </c>
      <c r="M644" s="502">
        <v>10.050000000000001</v>
      </c>
      <c r="N644" s="500">
        <v>9.6500000000000002E-2</v>
      </c>
      <c r="O644" s="500">
        <v>9.1999999999999998E-2</v>
      </c>
      <c r="P644" s="500">
        <v>0.10249999999999999</v>
      </c>
      <c r="Q644" s="78">
        <v>0.44</v>
      </c>
      <c r="R644" s="78">
        <v>0.31740000000000002</v>
      </c>
      <c r="S644" s="69">
        <v>0</v>
      </c>
      <c r="T644" s="69">
        <v>0</v>
      </c>
      <c r="U644" s="500">
        <v>0.7</v>
      </c>
      <c r="V644" s="76">
        <v>0</v>
      </c>
      <c r="W644" s="76">
        <v>0</v>
      </c>
      <c r="X644" s="76"/>
    </row>
    <row r="645" spans="1:24" x14ac:dyDescent="0.25">
      <c r="A645" s="75" t="str">
        <f t="shared" si="21"/>
        <v>Pago_de_Hipoteca PF Wealth &amp; Premier Executive Pago_Bajo_Puntual 16</v>
      </c>
      <c r="B645" s="75" t="str">
        <f t="shared" si="22"/>
        <v>Pago_de_Hipoteca PF Wealth &amp; Premier Executive Pago_Bajo_Puntual 16 0.103</v>
      </c>
      <c r="C645" s="75" t="s">
        <v>173</v>
      </c>
      <c r="D645" s="75" t="s">
        <v>132</v>
      </c>
      <c r="E645" s="75" t="s">
        <v>175</v>
      </c>
      <c r="F645" s="75"/>
      <c r="G645" s="75"/>
      <c r="H645" s="75"/>
      <c r="I645" s="75" t="s">
        <v>170</v>
      </c>
      <c r="J645" s="501">
        <v>16</v>
      </c>
      <c r="K645" s="501" t="s">
        <v>386</v>
      </c>
      <c r="L645" s="502">
        <v>9.83</v>
      </c>
      <c r="M645" s="502">
        <v>10.49</v>
      </c>
      <c r="N645" s="500">
        <v>0.10299999999999999</v>
      </c>
      <c r="O645" s="500">
        <v>0.1</v>
      </c>
      <c r="P645" s="500">
        <v>0.112</v>
      </c>
      <c r="Q645" s="78">
        <v>0.44</v>
      </c>
      <c r="R645" s="78">
        <v>0.31740000000000002</v>
      </c>
      <c r="S645" s="69">
        <v>0</v>
      </c>
      <c r="T645" s="69">
        <v>0</v>
      </c>
      <c r="U645" s="500">
        <v>0.7</v>
      </c>
      <c r="V645" s="76">
        <v>0</v>
      </c>
      <c r="W645" s="76">
        <v>0</v>
      </c>
      <c r="X645" s="76"/>
    </row>
    <row r="646" spans="1:24" x14ac:dyDescent="0.25">
      <c r="A646" s="75" t="str">
        <f t="shared" si="21"/>
        <v>Pago_de_Hipoteca PF Wealth &amp; Premier Executive Pago_Bajo_Puntual 15</v>
      </c>
      <c r="B646" s="75" t="str">
        <f t="shared" si="22"/>
        <v>Pago_de_Hipoteca PF Wealth &amp; Premier Executive Pago_Bajo_Puntual 15 0.0965</v>
      </c>
      <c r="C646" s="75" t="s">
        <v>173</v>
      </c>
      <c r="D646" s="75" t="s">
        <v>132</v>
      </c>
      <c r="E646" s="75" t="s">
        <v>175</v>
      </c>
      <c r="F646" s="75"/>
      <c r="G646" s="75"/>
      <c r="H646" s="75"/>
      <c r="I646" s="75" t="s">
        <v>170</v>
      </c>
      <c r="J646" s="501">
        <v>15</v>
      </c>
      <c r="K646" s="501" t="s">
        <v>385</v>
      </c>
      <c r="L646" s="502">
        <v>9.6999999999999993</v>
      </c>
      <c r="M646" s="502">
        <v>10.36</v>
      </c>
      <c r="N646" s="500">
        <v>9.6500000000000002E-2</v>
      </c>
      <c r="O646" s="500">
        <v>9.1999999999999998E-2</v>
      </c>
      <c r="P646" s="500">
        <v>0.10249999999999999</v>
      </c>
      <c r="Q646" s="78">
        <v>0.44</v>
      </c>
      <c r="R646" s="78">
        <v>0.31740000000000002</v>
      </c>
      <c r="S646" s="69">
        <v>0</v>
      </c>
      <c r="T646" s="69">
        <v>0</v>
      </c>
      <c r="U646" s="500">
        <v>0.7</v>
      </c>
      <c r="V646" s="76">
        <v>0</v>
      </c>
      <c r="W646" s="76">
        <v>0</v>
      </c>
      <c r="X646" s="76"/>
    </row>
    <row r="647" spans="1:24" x14ac:dyDescent="0.25">
      <c r="A647" s="75" t="str">
        <f t="shared" si="21"/>
        <v>Pago_de_Hipoteca PF Wealth &amp; Premier Executive Pago_Bajo_Puntual 15</v>
      </c>
      <c r="B647" s="75" t="str">
        <f t="shared" si="22"/>
        <v>Pago_de_Hipoteca PF Wealth &amp; Premier Executive Pago_Bajo_Puntual 15 0.103</v>
      </c>
      <c r="C647" s="75" t="s">
        <v>173</v>
      </c>
      <c r="D647" s="75" t="s">
        <v>132</v>
      </c>
      <c r="E647" s="75" t="s">
        <v>175</v>
      </c>
      <c r="F647" s="75"/>
      <c r="G647" s="75"/>
      <c r="H647" s="75"/>
      <c r="I647" s="75" t="s">
        <v>170</v>
      </c>
      <c r="J647" s="501">
        <v>15</v>
      </c>
      <c r="K647" s="501" t="s">
        <v>386</v>
      </c>
      <c r="L647" s="502">
        <v>10.119999999999999</v>
      </c>
      <c r="M647" s="502">
        <v>10.78</v>
      </c>
      <c r="N647" s="500">
        <v>0.10299999999999999</v>
      </c>
      <c r="O647" s="500">
        <v>0.1</v>
      </c>
      <c r="P647" s="500">
        <v>0.112</v>
      </c>
      <c r="Q647" s="78">
        <v>0.44</v>
      </c>
      <c r="R647" s="78">
        <v>0.31740000000000002</v>
      </c>
      <c r="S647" s="69">
        <v>0</v>
      </c>
      <c r="T647" s="69">
        <v>0</v>
      </c>
      <c r="U647" s="500">
        <v>0.7</v>
      </c>
      <c r="V647" s="76">
        <v>0</v>
      </c>
      <c r="W647" s="76">
        <v>0</v>
      </c>
      <c r="X647" s="76"/>
    </row>
    <row r="648" spans="1:24" x14ac:dyDescent="0.25">
      <c r="A648" s="75" t="str">
        <f t="shared" si="21"/>
        <v>Pago_de_Hipoteca PF Wealth &amp; Premier Executive Pago_Bajo_Puntual 14</v>
      </c>
      <c r="B648" s="75" t="str">
        <f t="shared" si="22"/>
        <v>Pago_de_Hipoteca PF Wealth &amp; Premier Executive Pago_Bajo_Puntual 14 0.0965</v>
      </c>
      <c r="C648" s="75" t="s">
        <v>173</v>
      </c>
      <c r="D648" s="75" t="s">
        <v>132</v>
      </c>
      <c r="E648" s="75" t="s">
        <v>175</v>
      </c>
      <c r="F648" s="75"/>
      <c r="G648" s="75"/>
      <c r="H648" s="75"/>
      <c r="I648" s="75" t="s">
        <v>170</v>
      </c>
      <c r="J648" s="501">
        <v>14</v>
      </c>
      <c r="K648" s="501" t="s">
        <v>385</v>
      </c>
      <c r="L648" s="502">
        <v>10.050000000000001</v>
      </c>
      <c r="M648" s="502">
        <v>10.71</v>
      </c>
      <c r="N648" s="500">
        <v>9.6500000000000002E-2</v>
      </c>
      <c r="O648" s="500">
        <v>9.1999999999999998E-2</v>
      </c>
      <c r="P648" s="500">
        <v>0.10249999999999999</v>
      </c>
      <c r="Q648" s="78">
        <v>0.44</v>
      </c>
      <c r="R648" s="78">
        <v>0.31740000000000002</v>
      </c>
      <c r="S648" s="69">
        <v>0</v>
      </c>
      <c r="T648" s="69">
        <v>0</v>
      </c>
      <c r="U648" s="500">
        <v>0.7</v>
      </c>
      <c r="V648" s="76">
        <v>0</v>
      </c>
      <c r="W648" s="76">
        <v>0</v>
      </c>
      <c r="X648" s="76"/>
    </row>
    <row r="649" spans="1:24" x14ac:dyDescent="0.25">
      <c r="A649" s="75" t="str">
        <f t="shared" si="21"/>
        <v>Pago_de_Hipoteca PF Wealth &amp; Premier Executive Pago_Bajo_Puntual 14</v>
      </c>
      <c r="B649" s="75" t="str">
        <f t="shared" si="22"/>
        <v>Pago_de_Hipoteca PF Wealth &amp; Premier Executive Pago_Bajo_Puntual 14 0.103</v>
      </c>
      <c r="C649" s="75" t="s">
        <v>173</v>
      </c>
      <c r="D649" s="75" t="s">
        <v>132</v>
      </c>
      <c r="E649" s="75" t="s">
        <v>175</v>
      </c>
      <c r="F649" s="75"/>
      <c r="G649" s="75"/>
      <c r="H649" s="75"/>
      <c r="I649" s="75" t="s">
        <v>170</v>
      </c>
      <c r="J649" s="501">
        <v>14</v>
      </c>
      <c r="K649" s="501" t="s">
        <v>386</v>
      </c>
      <c r="L649" s="502">
        <v>10.46</v>
      </c>
      <c r="M649" s="502">
        <v>11.12</v>
      </c>
      <c r="N649" s="500">
        <v>0.10299999999999999</v>
      </c>
      <c r="O649" s="500">
        <v>0.1</v>
      </c>
      <c r="P649" s="500">
        <v>0.112</v>
      </c>
      <c r="Q649" s="78">
        <v>0.44</v>
      </c>
      <c r="R649" s="78">
        <v>0.31740000000000002</v>
      </c>
      <c r="S649" s="69">
        <v>0</v>
      </c>
      <c r="T649" s="69">
        <v>0</v>
      </c>
      <c r="U649" s="500">
        <v>0.7</v>
      </c>
      <c r="V649" s="76">
        <v>0</v>
      </c>
      <c r="W649" s="76">
        <v>0</v>
      </c>
      <c r="X649" s="76"/>
    </row>
    <row r="650" spans="1:24" x14ac:dyDescent="0.25">
      <c r="A650" s="75" t="str">
        <f t="shared" si="21"/>
        <v>Pago_de_Hipoteca PF Wealth &amp; Premier Executive Pago_Bajo_Puntual 13</v>
      </c>
      <c r="B650" s="75" t="str">
        <f t="shared" si="22"/>
        <v>Pago_de_Hipoteca PF Wealth &amp; Premier Executive Pago_Bajo_Puntual 13 0.0965</v>
      </c>
      <c r="C650" s="75" t="s">
        <v>173</v>
      </c>
      <c r="D650" s="75" t="s">
        <v>132</v>
      </c>
      <c r="E650" s="75" t="s">
        <v>175</v>
      </c>
      <c r="F650" s="75"/>
      <c r="G650" s="75"/>
      <c r="H650" s="75"/>
      <c r="I650" s="75" t="s">
        <v>170</v>
      </c>
      <c r="J650" s="501">
        <v>13</v>
      </c>
      <c r="K650" s="501" t="s">
        <v>385</v>
      </c>
      <c r="L650" s="502">
        <v>10.46</v>
      </c>
      <c r="M650" s="502">
        <v>11.12</v>
      </c>
      <c r="N650" s="500">
        <v>9.6500000000000002E-2</v>
      </c>
      <c r="O650" s="500">
        <v>9.1999999999999998E-2</v>
      </c>
      <c r="P650" s="500">
        <v>0.10249999999999999</v>
      </c>
      <c r="Q650" s="78">
        <v>0.44</v>
      </c>
      <c r="R650" s="78">
        <v>0.31740000000000002</v>
      </c>
      <c r="S650" s="69">
        <v>0</v>
      </c>
      <c r="T650" s="69">
        <v>0</v>
      </c>
      <c r="U650" s="500">
        <v>0.7</v>
      </c>
      <c r="V650" s="76">
        <v>0</v>
      </c>
      <c r="W650" s="76">
        <v>0</v>
      </c>
      <c r="X650" s="76"/>
    </row>
    <row r="651" spans="1:24" x14ac:dyDescent="0.25">
      <c r="A651" s="75" t="str">
        <f t="shared" si="21"/>
        <v>Pago_de_Hipoteca PF Wealth &amp; Premier Executive Pago_Bajo_Puntual 13</v>
      </c>
      <c r="B651" s="75" t="str">
        <f t="shared" si="22"/>
        <v>Pago_de_Hipoteca PF Wealth &amp; Premier Executive Pago_Bajo_Puntual 13 0.103</v>
      </c>
      <c r="C651" s="75" t="s">
        <v>173</v>
      </c>
      <c r="D651" s="75" t="s">
        <v>132</v>
      </c>
      <c r="E651" s="75" t="s">
        <v>175</v>
      </c>
      <c r="F651" s="75"/>
      <c r="G651" s="75"/>
      <c r="H651" s="75"/>
      <c r="I651" s="75" t="s">
        <v>170</v>
      </c>
      <c r="J651" s="501">
        <v>13</v>
      </c>
      <c r="K651" s="501" t="s">
        <v>386</v>
      </c>
      <c r="L651" s="502">
        <v>10.86</v>
      </c>
      <c r="M651" s="502">
        <v>11.52</v>
      </c>
      <c r="N651" s="500">
        <v>0.10299999999999999</v>
      </c>
      <c r="O651" s="500">
        <v>0.1</v>
      </c>
      <c r="P651" s="500">
        <v>0.112</v>
      </c>
      <c r="Q651" s="78">
        <v>0.44</v>
      </c>
      <c r="R651" s="78">
        <v>0.31740000000000002</v>
      </c>
      <c r="S651" s="69">
        <v>0</v>
      </c>
      <c r="T651" s="69">
        <v>0</v>
      </c>
      <c r="U651" s="500">
        <v>0.7</v>
      </c>
      <c r="V651" s="76">
        <v>0</v>
      </c>
      <c r="W651" s="76">
        <v>0</v>
      </c>
      <c r="X651" s="76"/>
    </row>
    <row r="652" spans="1:24" x14ac:dyDescent="0.25">
      <c r="A652" s="75" t="str">
        <f t="shared" si="21"/>
        <v>Pago_de_Hipoteca PF Wealth &amp; Premier Executive Pago_Bajo_Puntual 12</v>
      </c>
      <c r="B652" s="75" t="str">
        <f t="shared" si="22"/>
        <v>Pago_de_Hipoteca PF Wealth &amp; Premier Executive Pago_Bajo_Puntual 12 0.0965</v>
      </c>
      <c r="C652" s="75" t="s">
        <v>173</v>
      </c>
      <c r="D652" s="75" t="s">
        <v>132</v>
      </c>
      <c r="E652" s="75" t="s">
        <v>175</v>
      </c>
      <c r="F652" s="75"/>
      <c r="G652" s="75"/>
      <c r="H652" s="75"/>
      <c r="I652" s="75" t="s">
        <v>170</v>
      </c>
      <c r="J652" s="501">
        <v>12</v>
      </c>
      <c r="K652" s="501" t="s">
        <v>385</v>
      </c>
      <c r="L652" s="502">
        <v>10.95</v>
      </c>
      <c r="M652" s="502">
        <v>11.61</v>
      </c>
      <c r="N652" s="500">
        <v>9.6500000000000002E-2</v>
      </c>
      <c r="O652" s="500">
        <v>9.1999999999999998E-2</v>
      </c>
      <c r="P652" s="500">
        <v>0.10249999999999999</v>
      </c>
      <c r="Q652" s="78">
        <v>0.44</v>
      </c>
      <c r="R652" s="78">
        <v>0.31740000000000002</v>
      </c>
      <c r="S652" s="69">
        <v>0</v>
      </c>
      <c r="T652" s="69">
        <v>0</v>
      </c>
      <c r="U652" s="500">
        <v>0.7</v>
      </c>
      <c r="V652" s="76">
        <v>0</v>
      </c>
      <c r="W652" s="76">
        <v>0</v>
      </c>
      <c r="X652" s="76"/>
    </row>
    <row r="653" spans="1:24" x14ac:dyDescent="0.25">
      <c r="A653" s="75" t="str">
        <f t="shared" si="21"/>
        <v>Pago_de_Hipoteca PF Wealth &amp; Premier Executive Pago_Bajo_Puntual 12</v>
      </c>
      <c r="B653" s="75" t="str">
        <f t="shared" si="22"/>
        <v>Pago_de_Hipoteca PF Wealth &amp; Premier Executive Pago_Bajo_Puntual 12 0.103</v>
      </c>
      <c r="C653" s="75" t="s">
        <v>173</v>
      </c>
      <c r="D653" s="75" t="s">
        <v>132</v>
      </c>
      <c r="E653" s="75" t="s">
        <v>175</v>
      </c>
      <c r="F653" s="75"/>
      <c r="G653" s="75"/>
      <c r="H653" s="75"/>
      <c r="I653" s="75" t="s">
        <v>170</v>
      </c>
      <c r="J653" s="501">
        <v>12</v>
      </c>
      <c r="K653" s="501" t="s">
        <v>386</v>
      </c>
      <c r="L653" s="502">
        <v>11.34</v>
      </c>
      <c r="M653" s="502">
        <v>12</v>
      </c>
      <c r="N653" s="500">
        <v>0.10299999999999999</v>
      </c>
      <c r="O653" s="500">
        <v>0.1</v>
      </c>
      <c r="P653" s="500">
        <v>0.112</v>
      </c>
      <c r="Q653" s="78">
        <v>0.44</v>
      </c>
      <c r="R653" s="78">
        <v>0.31740000000000002</v>
      </c>
      <c r="S653" s="69">
        <v>0</v>
      </c>
      <c r="T653" s="69">
        <v>0</v>
      </c>
      <c r="U653" s="500">
        <v>0.7</v>
      </c>
      <c r="V653" s="76">
        <v>0</v>
      </c>
      <c r="W653" s="76">
        <v>0</v>
      </c>
      <c r="X653" s="76"/>
    </row>
    <row r="654" spans="1:24" x14ac:dyDescent="0.25">
      <c r="A654" s="75" t="str">
        <f t="shared" si="21"/>
        <v>Pago_de_Hipoteca PF Wealth &amp; Premier Executive Pago_Bajo_Puntual 11</v>
      </c>
      <c r="B654" s="75" t="str">
        <f t="shared" si="22"/>
        <v>Pago_de_Hipoteca PF Wealth &amp; Premier Executive Pago_Bajo_Puntual 11 0.0965</v>
      </c>
      <c r="C654" s="75" t="s">
        <v>173</v>
      </c>
      <c r="D654" s="75" t="s">
        <v>132</v>
      </c>
      <c r="E654" s="75" t="s">
        <v>175</v>
      </c>
      <c r="F654" s="75"/>
      <c r="G654" s="75"/>
      <c r="H654" s="75"/>
      <c r="I654" s="75" t="s">
        <v>170</v>
      </c>
      <c r="J654" s="501">
        <v>11</v>
      </c>
      <c r="K654" s="501" t="s">
        <v>385</v>
      </c>
      <c r="L654" s="502">
        <v>11.54</v>
      </c>
      <c r="M654" s="502">
        <v>12.2</v>
      </c>
      <c r="N654" s="500">
        <v>9.6500000000000002E-2</v>
      </c>
      <c r="O654" s="500">
        <v>9.1999999999999998E-2</v>
      </c>
      <c r="P654" s="500">
        <v>0.10249999999999999</v>
      </c>
      <c r="Q654" s="78">
        <v>0.44</v>
      </c>
      <c r="R654" s="78">
        <v>0.31740000000000002</v>
      </c>
      <c r="S654" s="69">
        <v>0</v>
      </c>
      <c r="T654" s="69">
        <v>0</v>
      </c>
      <c r="U654" s="500">
        <v>0.7</v>
      </c>
      <c r="V654" s="76">
        <v>0</v>
      </c>
      <c r="W654" s="76">
        <v>0</v>
      </c>
      <c r="X654" s="76"/>
    </row>
    <row r="655" spans="1:24" x14ac:dyDescent="0.25">
      <c r="A655" s="75" t="str">
        <f t="shared" si="21"/>
        <v>Pago_de_Hipoteca PF Wealth &amp; Premier Executive Pago_Bajo_Puntual 11</v>
      </c>
      <c r="B655" s="75" t="str">
        <f t="shared" si="22"/>
        <v>Pago_de_Hipoteca PF Wealth &amp; Premier Executive Pago_Bajo_Puntual 11 0.103</v>
      </c>
      <c r="C655" s="75" t="s">
        <v>173</v>
      </c>
      <c r="D655" s="75" t="s">
        <v>132</v>
      </c>
      <c r="E655" s="75" t="s">
        <v>175</v>
      </c>
      <c r="F655" s="75"/>
      <c r="G655" s="75"/>
      <c r="H655" s="75"/>
      <c r="I655" s="75" t="s">
        <v>170</v>
      </c>
      <c r="J655" s="501">
        <v>11</v>
      </c>
      <c r="K655" s="501" t="s">
        <v>386</v>
      </c>
      <c r="L655" s="502">
        <v>11.92</v>
      </c>
      <c r="M655" s="502">
        <v>12.58</v>
      </c>
      <c r="N655" s="500">
        <v>0.10299999999999999</v>
      </c>
      <c r="O655" s="500">
        <v>0.1</v>
      </c>
      <c r="P655" s="500">
        <v>0.112</v>
      </c>
      <c r="Q655" s="78">
        <v>0.44</v>
      </c>
      <c r="R655" s="78">
        <v>0.31740000000000002</v>
      </c>
      <c r="S655" s="69">
        <v>0</v>
      </c>
      <c r="T655" s="69">
        <v>0</v>
      </c>
      <c r="U655" s="500">
        <v>0.7</v>
      </c>
      <c r="V655" s="76">
        <v>0</v>
      </c>
      <c r="W655" s="76">
        <v>0</v>
      </c>
      <c r="X655" s="76"/>
    </row>
    <row r="656" spans="1:24" x14ac:dyDescent="0.25">
      <c r="A656" s="75" t="str">
        <f t="shared" si="21"/>
        <v>Pago_de_Hipoteca PF Wealth &amp; Premier Executive Pago_Bajo_Puntual 10</v>
      </c>
      <c r="B656" s="75" t="str">
        <f t="shared" si="22"/>
        <v>Pago_de_Hipoteca PF Wealth &amp; Premier Executive Pago_Bajo_Puntual 10 0.0965</v>
      </c>
      <c r="C656" s="75" t="s">
        <v>173</v>
      </c>
      <c r="D656" s="75" t="s">
        <v>132</v>
      </c>
      <c r="E656" s="75" t="s">
        <v>175</v>
      </c>
      <c r="F656" s="75"/>
      <c r="G656" s="75"/>
      <c r="H656" s="75"/>
      <c r="I656" s="75" t="s">
        <v>170</v>
      </c>
      <c r="J656" s="501">
        <v>10</v>
      </c>
      <c r="K656" s="501" t="s">
        <v>385</v>
      </c>
      <c r="L656" s="502">
        <v>12.25</v>
      </c>
      <c r="M656" s="502">
        <v>12.91</v>
      </c>
      <c r="N656" s="500">
        <v>9.6500000000000002E-2</v>
      </c>
      <c r="O656" s="500">
        <v>9.1999999999999998E-2</v>
      </c>
      <c r="P656" s="500">
        <v>0.10249999999999999</v>
      </c>
      <c r="Q656" s="78">
        <v>0.44</v>
      </c>
      <c r="R656" s="78">
        <v>0.31740000000000002</v>
      </c>
      <c r="S656" s="69">
        <v>0</v>
      </c>
      <c r="T656" s="69">
        <v>0</v>
      </c>
      <c r="U656" s="500">
        <v>0.7</v>
      </c>
      <c r="V656" s="76">
        <v>0</v>
      </c>
      <c r="W656" s="76">
        <v>0</v>
      </c>
      <c r="X656" s="76"/>
    </row>
    <row r="657" spans="1:24" x14ac:dyDescent="0.25">
      <c r="A657" s="75" t="str">
        <f t="shared" si="21"/>
        <v>Pago_de_Hipoteca PF Wealth &amp; Premier Executive Pago_Bajo_Puntual 10</v>
      </c>
      <c r="B657" s="75" t="str">
        <f t="shared" si="22"/>
        <v>Pago_de_Hipoteca PF Wealth &amp; Premier Executive Pago_Bajo_Puntual 10 0.103</v>
      </c>
      <c r="C657" s="75" t="s">
        <v>173</v>
      </c>
      <c r="D657" s="75" t="s">
        <v>132</v>
      </c>
      <c r="E657" s="75" t="s">
        <v>175</v>
      </c>
      <c r="F657" s="75"/>
      <c r="G657" s="75"/>
      <c r="H657" s="75"/>
      <c r="I657" s="75" t="s">
        <v>170</v>
      </c>
      <c r="J657" s="501">
        <v>10</v>
      </c>
      <c r="K657" s="501" t="s">
        <v>386</v>
      </c>
      <c r="L657" s="502">
        <v>12.62</v>
      </c>
      <c r="M657" s="502">
        <v>13.28</v>
      </c>
      <c r="N657" s="500">
        <v>0.10299999999999999</v>
      </c>
      <c r="O657" s="500">
        <v>0.1</v>
      </c>
      <c r="P657" s="500">
        <v>0.112</v>
      </c>
      <c r="Q657" s="78">
        <v>0.44</v>
      </c>
      <c r="R657" s="78">
        <v>0.31740000000000002</v>
      </c>
      <c r="S657" s="69">
        <v>0</v>
      </c>
      <c r="T657" s="69">
        <v>0</v>
      </c>
      <c r="U657" s="500">
        <v>0.7</v>
      </c>
      <c r="V657" s="76">
        <v>0</v>
      </c>
      <c r="W657" s="76">
        <v>0</v>
      </c>
      <c r="X657" s="76"/>
    </row>
    <row r="658" spans="1:24" x14ac:dyDescent="0.25">
      <c r="A658" s="75" t="str">
        <f t="shared" si="21"/>
        <v>Pago_de_Hipoteca PF Wealth &amp; Premier Executive Pago_Bajo_Puntual 9</v>
      </c>
      <c r="B658" s="75" t="str">
        <f t="shared" si="22"/>
        <v>Pago_de_Hipoteca PF Wealth &amp; Premier Executive Pago_Bajo_Puntual 9 0.0965</v>
      </c>
      <c r="C658" s="75" t="s">
        <v>173</v>
      </c>
      <c r="D658" s="75" t="s">
        <v>132</v>
      </c>
      <c r="E658" s="75" t="s">
        <v>175</v>
      </c>
      <c r="F658" s="75"/>
      <c r="G658" s="75"/>
      <c r="H658" s="75"/>
      <c r="I658" s="75" t="s">
        <v>170</v>
      </c>
      <c r="J658" s="501">
        <v>9</v>
      </c>
      <c r="K658" s="501" t="s">
        <v>385</v>
      </c>
      <c r="L658" s="502">
        <v>13.13</v>
      </c>
      <c r="M658" s="502">
        <v>13.79</v>
      </c>
      <c r="N658" s="500">
        <v>9.6500000000000002E-2</v>
      </c>
      <c r="O658" s="500">
        <v>9.1999999999999998E-2</v>
      </c>
      <c r="P658" s="500">
        <v>0.10249999999999999</v>
      </c>
      <c r="Q658" s="78">
        <v>0.44</v>
      </c>
      <c r="R658" s="78">
        <v>0.31740000000000002</v>
      </c>
      <c r="S658" s="69">
        <v>0</v>
      </c>
      <c r="T658" s="69">
        <v>0</v>
      </c>
      <c r="U658" s="500">
        <v>0.7</v>
      </c>
      <c r="V658" s="76">
        <v>0</v>
      </c>
      <c r="W658" s="76">
        <v>0</v>
      </c>
      <c r="X658" s="76"/>
    </row>
    <row r="659" spans="1:24" x14ac:dyDescent="0.25">
      <c r="A659" s="75" t="str">
        <f t="shared" si="21"/>
        <v>Pago_de_Hipoteca PF Wealth &amp; Premier Executive Pago_Bajo_Puntual 9</v>
      </c>
      <c r="B659" s="75" t="str">
        <f t="shared" si="22"/>
        <v>Pago_de_Hipoteca PF Wealth &amp; Premier Executive Pago_Bajo_Puntual 9 0.103</v>
      </c>
      <c r="C659" s="75" t="s">
        <v>173</v>
      </c>
      <c r="D659" s="75" t="s">
        <v>132</v>
      </c>
      <c r="E659" s="75" t="s">
        <v>175</v>
      </c>
      <c r="F659" s="75"/>
      <c r="G659" s="75"/>
      <c r="H659" s="75"/>
      <c r="I659" s="75" t="s">
        <v>170</v>
      </c>
      <c r="J659" s="501">
        <v>9</v>
      </c>
      <c r="K659" s="501" t="s">
        <v>386</v>
      </c>
      <c r="L659" s="502">
        <v>13.49</v>
      </c>
      <c r="M659" s="502">
        <v>14.15</v>
      </c>
      <c r="N659" s="500">
        <v>0.10299999999999999</v>
      </c>
      <c r="O659" s="500">
        <v>0.1</v>
      </c>
      <c r="P659" s="500">
        <v>0.112</v>
      </c>
      <c r="Q659" s="78">
        <v>0.44</v>
      </c>
      <c r="R659" s="78">
        <v>0.31740000000000002</v>
      </c>
      <c r="S659" s="69">
        <v>0</v>
      </c>
      <c r="T659" s="69">
        <v>0</v>
      </c>
      <c r="U659" s="500">
        <v>0.7</v>
      </c>
      <c r="V659" s="76">
        <v>0</v>
      </c>
      <c r="W659" s="76">
        <v>0</v>
      </c>
      <c r="X659" s="76"/>
    </row>
    <row r="660" spans="1:24" x14ac:dyDescent="0.25">
      <c r="A660" s="75" t="str">
        <f t="shared" si="21"/>
        <v>Pago_de_Hipoteca PF Wealth &amp; Premier Executive Pago_Bajo_Puntual 8</v>
      </c>
      <c r="B660" s="75" t="str">
        <f t="shared" si="22"/>
        <v>Pago_de_Hipoteca PF Wealth &amp; Premier Executive Pago_Bajo_Puntual 8 0.0965</v>
      </c>
      <c r="C660" s="75" t="s">
        <v>173</v>
      </c>
      <c r="D660" s="75" t="s">
        <v>132</v>
      </c>
      <c r="E660" s="75" t="s">
        <v>175</v>
      </c>
      <c r="F660" s="75"/>
      <c r="G660" s="75"/>
      <c r="H660" s="75"/>
      <c r="I660" s="75" t="s">
        <v>170</v>
      </c>
      <c r="J660" s="501">
        <v>8</v>
      </c>
      <c r="K660" s="501" t="s">
        <v>385</v>
      </c>
      <c r="L660" s="502">
        <v>14.25</v>
      </c>
      <c r="M660" s="502">
        <v>14.91</v>
      </c>
      <c r="N660" s="500">
        <v>9.6500000000000002E-2</v>
      </c>
      <c r="O660" s="500">
        <v>9.1999999999999998E-2</v>
      </c>
      <c r="P660" s="500">
        <v>0.10249999999999999</v>
      </c>
      <c r="Q660" s="78">
        <v>0.44</v>
      </c>
      <c r="R660" s="78">
        <v>0.31740000000000002</v>
      </c>
      <c r="S660" s="69">
        <v>0</v>
      </c>
      <c r="T660" s="69">
        <v>0</v>
      </c>
      <c r="U660" s="500">
        <v>0.7</v>
      </c>
      <c r="V660" s="76">
        <v>0</v>
      </c>
      <c r="W660" s="76">
        <v>0</v>
      </c>
      <c r="X660" s="76"/>
    </row>
    <row r="661" spans="1:24" x14ac:dyDescent="0.25">
      <c r="A661" s="75" t="str">
        <f t="shared" si="21"/>
        <v>Pago_de_Hipoteca PF Wealth &amp; Premier Executive Pago_Bajo_Puntual 8</v>
      </c>
      <c r="B661" s="75" t="str">
        <f t="shared" si="22"/>
        <v>Pago_de_Hipoteca PF Wealth &amp; Premier Executive Pago_Bajo_Puntual 8 0.103</v>
      </c>
      <c r="C661" s="75" t="s">
        <v>173</v>
      </c>
      <c r="D661" s="75" t="s">
        <v>132</v>
      </c>
      <c r="E661" s="75" t="s">
        <v>175</v>
      </c>
      <c r="F661" s="75"/>
      <c r="G661" s="75"/>
      <c r="H661" s="75"/>
      <c r="I661" s="75" t="s">
        <v>170</v>
      </c>
      <c r="J661" s="501">
        <v>8</v>
      </c>
      <c r="K661" s="501" t="s">
        <v>386</v>
      </c>
      <c r="L661" s="502">
        <v>14.59</v>
      </c>
      <c r="M661" s="502">
        <v>15.25</v>
      </c>
      <c r="N661" s="500">
        <v>0.10299999999999999</v>
      </c>
      <c r="O661" s="500">
        <v>0.1</v>
      </c>
      <c r="P661" s="500">
        <v>0.112</v>
      </c>
      <c r="Q661" s="78">
        <v>0.44</v>
      </c>
      <c r="R661" s="78">
        <v>0.31740000000000002</v>
      </c>
      <c r="S661" s="69">
        <v>0</v>
      </c>
      <c r="T661" s="69">
        <v>0</v>
      </c>
      <c r="U661" s="500">
        <v>0.7</v>
      </c>
      <c r="V661" s="76">
        <v>0</v>
      </c>
      <c r="W661" s="76">
        <v>0</v>
      </c>
      <c r="X661" s="76"/>
    </row>
    <row r="662" spans="1:24" x14ac:dyDescent="0.25">
      <c r="A662" s="75" t="str">
        <f t="shared" si="21"/>
        <v>Pago_de_Hipoteca PF Wealth &amp; Premier Executive Pago_Bajo_Puntual 7</v>
      </c>
      <c r="B662" s="75" t="str">
        <f t="shared" si="22"/>
        <v>Pago_de_Hipoteca PF Wealth &amp; Premier Executive Pago_Bajo_Puntual 7 0.0965</v>
      </c>
      <c r="C662" s="75" t="s">
        <v>173</v>
      </c>
      <c r="D662" s="75" t="s">
        <v>132</v>
      </c>
      <c r="E662" s="75" t="s">
        <v>175</v>
      </c>
      <c r="F662" s="75"/>
      <c r="G662" s="75"/>
      <c r="H662" s="75"/>
      <c r="I662" s="75" t="s">
        <v>170</v>
      </c>
      <c r="J662" s="501">
        <v>7</v>
      </c>
      <c r="K662" s="501" t="s">
        <v>385</v>
      </c>
      <c r="L662" s="502">
        <v>15.7</v>
      </c>
      <c r="M662" s="502">
        <v>16.36</v>
      </c>
      <c r="N662" s="500">
        <v>9.6500000000000002E-2</v>
      </c>
      <c r="O662" s="500">
        <v>9.1999999999999998E-2</v>
      </c>
      <c r="P662" s="500">
        <v>0.10249999999999999</v>
      </c>
      <c r="Q662" s="78">
        <v>0.44</v>
      </c>
      <c r="R662" s="78">
        <v>0.31740000000000002</v>
      </c>
      <c r="S662" s="69">
        <v>0</v>
      </c>
      <c r="T662" s="69">
        <v>0</v>
      </c>
      <c r="U662" s="500">
        <v>0.7</v>
      </c>
      <c r="V662" s="76">
        <v>0</v>
      </c>
      <c r="W662" s="76">
        <v>0</v>
      </c>
      <c r="X662" s="76"/>
    </row>
    <row r="663" spans="1:24" x14ac:dyDescent="0.25">
      <c r="A663" s="75" t="str">
        <f t="shared" si="21"/>
        <v>Pago_de_Hipoteca PF Wealth &amp; Premier Executive Pago_Bajo_Puntual 7</v>
      </c>
      <c r="B663" s="75" t="str">
        <f t="shared" si="22"/>
        <v>Pago_de_Hipoteca PF Wealth &amp; Premier Executive Pago_Bajo_Puntual 7 0.103</v>
      </c>
      <c r="C663" s="75" t="s">
        <v>173</v>
      </c>
      <c r="D663" s="75" t="s">
        <v>132</v>
      </c>
      <c r="E663" s="75" t="s">
        <v>175</v>
      </c>
      <c r="F663" s="75"/>
      <c r="G663" s="75"/>
      <c r="H663" s="75"/>
      <c r="I663" s="75" t="s">
        <v>170</v>
      </c>
      <c r="J663" s="501">
        <v>7</v>
      </c>
      <c r="K663" s="501" t="s">
        <v>386</v>
      </c>
      <c r="L663" s="502">
        <v>16.03</v>
      </c>
      <c r="M663" s="502">
        <v>16.690000000000001</v>
      </c>
      <c r="N663" s="500">
        <v>0.10299999999999999</v>
      </c>
      <c r="O663" s="500">
        <v>0.1</v>
      </c>
      <c r="P663" s="500">
        <v>0.112</v>
      </c>
      <c r="Q663" s="78">
        <v>0.44</v>
      </c>
      <c r="R663" s="78">
        <v>0.31740000000000002</v>
      </c>
      <c r="S663" s="69">
        <v>0</v>
      </c>
      <c r="T663" s="69">
        <v>0</v>
      </c>
      <c r="U663" s="500">
        <v>0.7</v>
      </c>
      <c r="V663" s="76">
        <v>0</v>
      </c>
      <c r="W663" s="76">
        <v>0</v>
      </c>
      <c r="X663" s="76"/>
    </row>
    <row r="664" spans="1:24" x14ac:dyDescent="0.25">
      <c r="A664" s="75" t="str">
        <f t="shared" si="21"/>
        <v>Pago_de_Hipoteca PF Wealth &amp; Premier Executive Pago_Bajo_Puntual 6</v>
      </c>
      <c r="B664" s="75" t="str">
        <f t="shared" si="22"/>
        <v>Pago_de_Hipoteca PF Wealth &amp; Premier Executive Pago_Bajo_Puntual 6 0.0965</v>
      </c>
      <c r="C664" s="75" t="s">
        <v>173</v>
      </c>
      <c r="D664" s="75" t="s">
        <v>132</v>
      </c>
      <c r="E664" s="75" t="s">
        <v>175</v>
      </c>
      <c r="F664" s="75"/>
      <c r="G664" s="75"/>
      <c r="H664" s="75"/>
      <c r="I664" s="75" t="s">
        <v>170</v>
      </c>
      <c r="J664" s="501">
        <v>6</v>
      </c>
      <c r="K664" s="501" t="s">
        <v>385</v>
      </c>
      <c r="L664" s="502">
        <v>17.649999999999999</v>
      </c>
      <c r="M664" s="502">
        <v>18.309999999999999</v>
      </c>
      <c r="N664" s="500">
        <v>9.6500000000000002E-2</v>
      </c>
      <c r="O664" s="500">
        <v>9.1999999999999998E-2</v>
      </c>
      <c r="P664" s="500">
        <v>0.10249999999999999</v>
      </c>
      <c r="Q664" s="78">
        <v>0.44</v>
      </c>
      <c r="R664" s="78">
        <v>0.31740000000000002</v>
      </c>
      <c r="S664" s="69">
        <v>0</v>
      </c>
      <c r="T664" s="69">
        <v>0</v>
      </c>
      <c r="U664" s="500">
        <v>0.7</v>
      </c>
      <c r="V664" s="76">
        <v>0</v>
      </c>
      <c r="W664" s="76">
        <v>0</v>
      </c>
      <c r="X664" s="76"/>
    </row>
    <row r="665" spans="1:24" x14ac:dyDescent="0.25">
      <c r="A665" s="75" t="str">
        <f t="shared" si="21"/>
        <v>Pago_de_Hipoteca PF Wealth &amp; Premier Executive Pago_Bajo_Puntual 6</v>
      </c>
      <c r="B665" s="75" t="str">
        <f t="shared" si="22"/>
        <v>Pago_de_Hipoteca PF Wealth &amp; Premier Executive Pago_Bajo_Puntual 6 0.103</v>
      </c>
      <c r="C665" s="75" t="s">
        <v>173</v>
      </c>
      <c r="D665" s="75" t="s">
        <v>132</v>
      </c>
      <c r="E665" s="75" t="s">
        <v>175</v>
      </c>
      <c r="F665" s="75"/>
      <c r="G665" s="75"/>
      <c r="H665" s="75"/>
      <c r="I665" s="75" t="s">
        <v>170</v>
      </c>
      <c r="J665" s="501">
        <v>6</v>
      </c>
      <c r="K665" s="501" t="s">
        <v>386</v>
      </c>
      <c r="L665" s="502">
        <v>17.97</v>
      </c>
      <c r="M665" s="502">
        <v>18.63</v>
      </c>
      <c r="N665" s="500">
        <v>0.10299999999999999</v>
      </c>
      <c r="O665" s="500">
        <v>0.1</v>
      </c>
      <c r="P665" s="500">
        <v>0.112</v>
      </c>
      <c r="Q665" s="78">
        <v>0.44</v>
      </c>
      <c r="R665" s="78">
        <v>0.31740000000000002</v>
      </c>
      <c r="S665" s="69">
        <v>0</v>
      </c>
      <c r="T665" s="69">
        <v>0</v>
      </c>
      <c r="U665" s="500">
        <v>0.7</v>
      </c>
      <c r="V665" s="76">
        <v>0</v>
      </c>
      <c r="W665" s="76">
        <v>0</v>
      </c>
      <c r="X665" s="76"/>
    </row>
    <row r="666" spans="1:24" x14ac:dyDescent="0.25">
      <c r="A666" s="75" t="str">
        <f t="shared" si="21"/>
        <v>Pago_de_Hipoteca PF Wealth &amp; Premier Executive Pago_Bajo_Puntual 5</v>
      </c>
      <c r="B666" s="75" t="str">
        <f t="shared" si="22"/>
        <v>Pago_de_Hipoteca PF Wealth &amp; Premier Executive Pago_Bajo_Puntual 5 0.0965</v>
      </c>
      <c r="C666" s="75" t="s">
        <v>173</v>
      </c>
      <c r="D666" s="75" t="s">
        <v>132</v>
      </c>
      <c r="E666" s="75" t="s">
        <v>175</v>
      </c>
      <c r="F666" s="75"/>
      <c r="G666" s="75"/>
      <c r="H666" s="75"/>
      <c r="I666" s="75" t="s">
        <v>170</v>
      </c>
      <c r="J666" s="501">
        <v>5</v>
      </c>
      <c r="K666" s="501" t="s">
        <v>385</v>
      </c>
      <c r="L666" s="502">
        <v>20.399999999999999</v>
      </c>
      <c r="M666" s="502">
        <v>21.06</v>
      </c>
      <c r="N666" s="500">
        <v>9.6500000000000002E-2</v>
      </c>
      <c r="O666" s="500">
        <v>9.1999999999999998E-2</v>
      </c>
      <c r="P666" s="500">
        <v>0.10249999999999999</v>
      </c>
      <c r="Q666" s="78">
        <v>0.44</v>
      </c>
      <c r="R666" s="78">
        <v>0.31740000000000002</v>
      </c>
      <c r="S666" s="69">
        <v>0</v>
      </c>
      <c r="T666" s="69">
        <v>0</v>
      </c>
      <c r="U666" s="500">
        <v>0.7</v>
      </c>
      <c r="V666" s="76">
        <v>0</v>
      </c>
      <c r="W666" s="76">
        <v>0</v>
      </c>
      <c r="X666" s="76"/>
    </row>
    <row r="667" spans="1:24" x14ac:dyDescent="0.25">
      <c r="A667" s="75" t="str">
        <f t="shared" si="21"/>
        <v>Pago_de_Hipoteca PF Wealth &amp; Premier Executive Pago_Bajo_Puntual 5</v>
      </c>
      <c r="B667" s="75" t="str">
        <f t="shared" si="22"/>
        <v>Pago_de_Hipoteca PF Wealth &amp; Premier Executive Pago_Bajo_Puntual 5 0.103</v>
      </c>
      <c r="C667" s="75" t="s">
        <v>173</v>
      </c>
      <c r="D667" s="75" t="s">
        <v>132</v>
      </c>
      <c r="E667" s="75" t="s">
        <v>175</v>
      </c>
      <c r="F667" s="75"/>
      <c r="G667" s="75"/>
      <c r="H667" s="75"/>
      <c r="I667" s="75" t="s">
        <v>170</v>
      </c>
      <c r="J667" s="501">
        <v>5</v>
      </c>
      <c r="K667" s="501" t="s">
        <v>386</v>
      </c>
      <c r="L667" s="502">
        <v>20.72</v>
      </c>
      <c r="M667" s="502">
        <v>21.38</v>
      </c>
      <c r="N667" s="500">
        <v>0.10299999999999999</v>
      </c>
      <c r="O667" s="500">
        <v>0.1</v>
      </c>
      <c r="P667" s="500">
        <v>0.112</v>
      </c>
      <c r="Q667" s="78">
        <v>0.44</v>
      </c>
      <c r="R667" s="78">
        <v>0.31740000000000002</v>
      </c>
      <c r="S667" s="69">
        <v>0</v>
      </c>
      <c r="T667" s="69">
        <v>0</v>
      </c>
      <c r="U667" s="500">
        <v>0.7</v>
      </c>
      <c r="V667" s="76">
        <v>0</v>
      </c>
      <c r="W667" s="76">
        <v>0</v>
      </c>
      <c r="X667" s="76"/>
    </row>
  </sheetData>
  <sheetProtection algorithmName="SHA-512" hashValue="AidipRdiVLkZy5lDgQEFwqqVTTvyUjKHdTnqV6Tcqm+vNNS8dF7ccD8nCSDM1l7mlRkIMlUHGtSNUjK+oaDgdA==" saltValue="7kd1opfQw9gZccAoHuMC3A==" spinCount="100000" sheet="1" objects="1" scenarios="1"/>
  <autoFilter ref="A1:X667" xr:uid="{0C86B127-C10A-4383-980A-B475ED2AEF85}"/>
  <pageMargins left="0.7" right="0.7" top="0.75" bottom="0.75" header="0.3" footer="0.3"/>
  <pageSetup orientation="portrait" r:id="rId1"/>
  <headerFooter>
    <oddFooter>&amp;C&amp;1#&amp;"Calibri"&amp;10&amp;K000000PUBLIC</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3E52E-660B-449D-9BA7-F497788D8359}">
  <sheetPr codeName="Hoja17">
    <tabColor rgb="FFFF0000"/>
  </sheetPr>
  <dimension ref="C1:AC467"/>
  <sheetViews>
    <sheetView zoomScaleNormal="100" workbookViewId="0">
      <pane ySplit="20" topLeftCell="A21" activePane="bottomLeft" state="frozen"/>
      <selection pane="bottomLeft" activeCell="I11" sqref="I11"/>
    </sheetView>
  </sheetViews>
  <sheetFormatPr baseColWidth="10" defaultColWidth="11.42578125" defaultRowHeight="15" x14ac:dyDescent="0.25"/>
  <cols>
    <col min="1" max="2" width="2.140625" style="6" customWidth="1"/>
    <col min="3" max="3" width="17.140625" style="6" customWidth="1"/>
    <col min="4" max="4" width="15.42578125" style="6" customWidth="1"/>
    <col min="5" max="5" width="16" style="6" customWidth="1"/>
    <col min="6" max="6" width="18" style="6" customWidth="1"/>
    <col min="7" max="7" width="16.42578125" style="6" customWidth="1"/>
    <col min="8" max="8" width="15.42578125" style="6" customWidth="1"/>
    <col min="9" max="9" width="40.140625" style="63" bestFit="1" customWidth="1"/>
    <col min="10" max="10" width="16.42578125" style="63" customWidth="1"/>
    <col min="11" max="11" width="13.85546875" style="63" bestFit="1" customWidth="1"/>
    <col min="12" max="12" width="22.140625" style="6" bestFit="1" customWidth="1"/>
    <col min="13" max="13" width="17.140625" style="6" customWidth="1"/>
    <col min="14" max="15" width="18.5703125" style="6" customWidth="1"/>
    <col min="16" max="16" width="21.5703125" style="6" customWidth="1"/>
    <col min="17" max="17" width="18.5703125" style="6" customWidth="1"/>
    <col min="18" max="18" width="22.85546875" style="6" bestFit="1" customWidth="1"/>
    <col min="19" max="21" width="18.5703125" style="6" customWidth="1"/>
    <col min="22" max="23" width="11.42578125" style="6" customWidth="1"/>
    <col min="24" max="24" width="14" style="6" customWidth="1"/>
    <col min="25" max="26" width="11.42578125" style="6" customWidth="1"/>
    <col min="27" max="27" width="29.85546875" style="6" customWidth="1"/>
    <col min="28" max="29" width="11.42578125" style="6" customWidth="1"/>
    <col min="30" max="16384" width="11.42578125" style="6"/>
  </cols>
  <sheetData>
    <row r="1" spans="3:21" x14ac:dyDescent="0.25">
      <c r="F1" s="7"/>
      <c r="L1" s="7"/>
      <c r="M1" s="7"/>
      <c r="N1" s="7"/>
      <c r="O1" s="7"/>
      <c r="P1" s="7"/>
    </row>
    <row r="2" spans="3:21" x14ac:dyDescent="0.25">
      <c r="N2" s="11"/>
      <c r="O2" s="11"/>
    </row>
    <row r="3" spans="3:21" ht="26.25" x14ac:dyDescent="0.25">
      <c r="I3" s="726" t="s">
        <v>3</v>
      </c>
      <c r="J3" s="726"/>
      <c r="K3" s="726"/>
      <c r="L3" s="726"/>
      <c r="R3" s="185" t="str">
        <f>Caratula!Q10</f>
        <v>Versión M111 V3</v>
      </c>
      <c r="S3" s="64"/>
      <c r="T3" s="64"/>
    </row>
    <row r="4" spans="3:21" ht="23.25" x14ac:dyDescent="0.25">
      <c r="C4" s="1" t="s">
        <v>2</v>
      </c>
      <c r="D4" s="1"/>
      <c r="E4" s="1"/>
      <c r="F4" s="1"/>
      <c r="G4" s="1"/>
      <c r="H4" s="1"/>
      <c r="L4" s="1"/>
      <c r="M4" s="1"/>
      <c r="N4" s="5"/>
      <c r="O4" s="5"/>
      <c r="P4" s="1"/>
      <c r="Q4" s="1"/>
      <c r="R4" s="1"/>
      <c r="S4" s="1"/>
      <c r="T4" s="1"/>
      <c r="U4" s="1"/>
    </row>
    <row r="5" spans="3:21" ht="13.5" customHeight="1" x14ac:dyDescent="0.25">
      <c r="C5" s="1"/>
      <c r="D5" s="1"/>
      <c r="E5" s="1"/>
      <c r="F5" s="1"/>
      <c r="G5" s="1"/>
      <c r="H5" s="1"/>
      <c r="L5" s="5"/>
      <c r="M5" s="5"/>
      <c r="N5" s="5"/>
      <c r="O5" s="5"/>
      <c r="P5" s="5"/>
      <c r="Q5" s="1"/>
      <c r="R5" s="1"/>
      <c r="S5" s="1"/>
      <c r="T5" s="1"/>
      <c r="U5" s="1"/>
    </row>
    <row r="6" spans="3:21" ht="3" customHeight="1" x14ac:dyDescent="0.25">
      <c r="C6" s="2"/>
      <c r="D6" s="2"/>
      <c r="E6" s="2"/>
      <c r="F6" s="2"/>
      <c r="G6" s="2"/>
      <c r="H6" s="2"/>
      <c r="I6" s="65"/>
      <c r="J6" s="65"/>
      <c r="K6" s="65"/>
      <c r="L6" s="2"/>
      <c r="M6" s="2"/>
      <c r="N6" s="8"/>
      <c r="O6" s="8"/>
      <c r="P6" s="8"/>
      <c r="Q6" s="8"/>
      <c r="R6" s="8"/>
      <c r="S6" s="8"/>
      <c r="T6" s="8"/>
      <c r="U6" s="8"/>
    </row>
    <row r="7" spans="3:21" ht="18.75" x14ac:dyDescent="0.25">
      <c r="C7" s="9" t="s">
        <v>4</v>
      </c>
      <c r="D7" s="9"/>
      <c r="E7" s="9"/>
      <c r="G7" s="9"/>
      <c r="H7" s="9"/>
      <c r="I7" s="10" t="s">
        <v>6</v>
      </c>
      <c r="J7" s="6"/>
      <c r="K7" s="6"/>
    </row>
    <row r="8" spans="3:21" x14ac:dyDescent="0.25">
      <c r="C8" s="3" t="s">
        <v>5</v>
      </c>
      <c r="D8" s="3"/>
      <c r="E8" s="37" t="str">
        <f>Caratula_Patrimonial!F20</f>
        <v>Pago_Hipoteca+Liquidez</v>
      </c>
      <c r="G8" s="3"/>
      <c r="H8" s="3"/>
      <c r="I8" s="3" t="s">
        <v>7</v>
      </c>
      <c r="J8" s="52">
        <f>Caratula_Patrimonial!F28</f>
        <v>10000000</v>
      </c>
      <c r="K8" s="52"/>
      <c r="L8" s="52"/>
      <c r="M8" s="52"/>
    </row>
    <row r="9" spans="3:21" x14ac:dyDescent="0.25">
      <c r="C9" s="3" t="s">
        <v>192</v>
      </c>
      <c r="D9" s="3"/>
      <c r="E9" s="37" t="str">
        <f>Caratula_Patrimonial!F18</f>
        <v>Wealth &amp; Premier Executive</v>
      </c>
      <c r="G9" s="3"/>
      <c r="H9" s="3"/>
      <c r="I9" s="3" t="s">
        <v>20</v>
      </c>
      <c r="J9" s="52">
        <f>Caratula_Patrimonial!X63</f>
        <v>1000000</v>
      </c>
      <c r="K9" s="52"/>
      <c r="L9" s="52"/>
      <c r="M9" s="52"/>
      <c r="O9" s="12"/>
    </row>
    <row r="10" spans="3:21" x14ac:dyDescent="0.25">
      <c r="C10" s="3" t="s">
        <v>24</v>
      </c>
      <c r="D10" s="3"/>
      <c r="E10" s="37" t="str">
        <f>IF(Caratula_Patrimonial!F21="","",Caratula_Patrimonial!F21)</f>
        <v/>
      </c>
      <c r="G10" s="3"/>
      <c r="H10" s="3"/>
      <c r="I10" s="3" t="s">
        <v>39</v>
      </c>
      <c r="J10" s="13">
        <f>VLOOKUP(TRIM(CONCATENATE(E8," ",Caratula_Patrimonial!F17," ",E9," ",E12," ",E10," ",E14," ",E15," ",Caratula_Patrimonial!F24)),Condicione_Financieras_Patrimon!B:W,13,0)</f>
        <v>0.10299999999999999</v>
      </c>
      <c r="K10" s="28" t="s">
        <v>26</v>
      </c>
      <c r="L10" s="13">
        <f>VLOOKUP(TRIM(CONCATENATE(E8," ",Caratula_Patrimonial!F17," ",E9," ",E12," ",E10," ",E14," ",E15," ",Caratula_Patrimonial!F24)),Condicione_Financieras_Patrimon!B:W,14,0)</f>
        <v>0.1</v>
      </c>
      <c r="M10" s="28" t="s">
        <v>23</v>
      </c>
      <c r="N10" s="13">
        <f>VLOOKUP(TRIM(CONCATENATE(E8," ",Caratula_Patrimonial!F17," ",E9," ",E12," ",E10," ",E14," ",E15," ",Caratula_Patrimonial!F24)),Condicione_Financieras_Patrimon!B:W,15,0)</f>
        <v>0.112</v>
      </c>
      <c r="Q10" s="6" t="str">
        <f>TRIM(CONCATENATE(E8," ",Caratula_Patrimonial!F17," ",E9," ",E12," ",E10," ",E14," ",E15," ",Caratula_Patrimonial!F24))</f>
        <v>Pago_Hipoteca+Liquidez PF Wealth &amp; Premier Executive Pago_Fijo_Puntual 20 0.103</v>
      </c>
    </row>
    <row r="11" spans="3:21" ht="15" customHeight="1" x14ac:dyDescent="0.25">
      <c r="E11" s="37"/>
      <c r="I11" s="6"/>
      <c r="J11" s="6"/>
      <c r="K11" s="6"/>
      <c r="N11" s="37"/>
    </row>
    <row r="12" spans="3:21" ht="20.25" customHeight="1" x14ac:dyDescent="0.25">
      <c r="C12" s="6" t="str">
        <f>IF(Caratula_Patrimonial!F22="","","Tipo de Cliente")</f>
        <v/>
      </c>
      <c r="E12" s="6" t="str">
        <f>IF(Caratula_Patrimonial!F22="","",Caratula_Patrimonial!F22)</f>
        <v/>
      </c>
      <c r="I12" s="3" t="str">
        <f>Caratula_Patrimonial!N18</f>
        <v>Comisión por apertura</v>
      </c>
      <c r="J12" s="13">
        <f>Caratula_Patrimonial!S18</f>
        <v>0</v>
      </c>
      <c r="K12" s="28" t="s">
        <v>34</v>
      </c>
      <c r="L12" s="36">
        <f>VLOOKUP(TRIM(CONCATENATE(E8," ",Caratula_Patrimonial!F17," ",E9," ",E12," ",E10," ",E14," ",E15," ",Caratula_Patrimonial!F24)),Condicione_Financieras_Patrimon!B:W,16,0)</f>
        <v>0.44</v>
      </c>
      <c r="M12" s="28" t="s">
        <v>35</v>
      </c>
      <c r="N12" s="36">
        <f>VLOOKUP(TRIM(CONCATENATE(E8," ",Caratula_Patrimonial!F17," ",E9," ",E12," ",E10," ",E14," ",E15," ",Caratula_Patrimonial!F24)),Condicione_Financieras_Patrimon!B:W,17,0)</f>
        <v>0.31740000000000002</v>
      </c>
    </row>
    <row r="13" spans="3:21" ht="30" x14ac:dyDescent="0.25">
      <c r="C13" s="9" t="s">
        <v>19</v>
      </c>
      <c r="D13" s="9"/>
      <c r="G13" s="9"/>
      <c r="H13" s="9"/>
      <c r="I13" s="495" t="s">
        <v>369</v>
      </c>
      <c r="J13" s="52">
        <f>VLOOKUP(J8,Costo_Avaluos!$A$3:$B$11,2)</f>
        <v>23200</v>
      </c>
      <c r="K13" s="52"/>
      <c r="L13" s="52"/>
      <c r="M13" s="52"/>
      <c r="O13" s="14"/>
    </row>
    <row r="14" spans="3:21" ht="15.75" customHeight="1" x14ac:dyDescent="0.25">
      <c r="C14" s="3" t="s">
        <v>25</v>
      </c>
      <c r="D14" s="3"/>
      <c r="E14" s="53" t="str">
        <f>Caratula_Patrimonial!F16</f>
        <v>Pago_Fijo_Puntual</v>
      </c>
      <c r="G14" s="3"/>
      <c r="H14" s="3"/>
      <c r="I14" s="6" t="s">
        <v>8</v>
      </c>
      <c r="J14" s="6"/>
      <c r="K14" s="6"/>
    </row>
    <row r="15" spans="3:21" x14ac:dyDescent="0.25">
      <c r="C15" s="6" t="s">
        <v>0</v>
      </c>
      <c r="E15" s="37">
        <f>Caratula_Patrimonial!F23</f>
        <v>20</v>
      </c>
      <c r="G15" s="6">
        <f>MAX(C20:C320)</f>
        <v>240</v>
      </c>
      <c r="I15" s="6" t="s">
        <v>22</v>
      </c>
      <c r="J15" s="477">
        <f>VLOOKUP(TRIM(CONCATENATE(E8," ",Caratula_Patrimonial!F17," ",E9," ",E12," ",E10," ",E14," ",E15," ",Caratula_Patrimonial!F24)),Condicione_Financieras_Patrimon!B:W,11,0)</f>
        <v>10.16</v>
      </c>
      <c r="K15" s="37"/>
      <c r="L15" s="37" t="s">
        <v>53</v>
      </c>
      <c r="M15" s="37" t="s">
        <v>148</v>
      </c>
      <c r="O15" s="6" t="s">
        <v>372</v>
      </c>
      <c r="Q15" s="37">
        <f>VLOOKUP(TRIM(CONCATENATE(E8," ",Caratula_Patrimonial!F17," ",E9," ",E12," ",E10," ",E14," ",E15," ",Caratula_Patrimonial!F24)),Condicione_Financieras_Patrimon!B:W,22,0)</f>
        <v>0</v>
      </c>
    </row>
    <row r="16" spans="3:21" x14ac:dyDescent="0.25">
      <c r="C16" s="6" t="str">
        <f>IF(Caratula_Patrimonial!F20="Pago_Hipoteca+Liquidez","Tabla a simular","")</f>
        <v>Tabla a simular</v>
      </c>
      <c r="E16" s="6" t="str">
        <f>IF(Caratula_Patrimonial!F36="","",Caratula_Patrimonial!F36)</f>
        <v>Liquidez</v>
      </c>
      <c r="G16" s="11">
        <f>F21</f>
        <v>1576.6666666666661</v>
      </c>
      <c r="I16" s="6"/>
      <c r="J16" s="478">
        <f>VLOOKUP(TRIM(CONCATENATE(E8," ",Caratula_Patrimonial!F17," ",E9," ",E12," ",E10," ",E14," ",E15," ",Caratula_Patrimonial!F24)),Condicione_Financieras_Patrimon!B:W,12,0)</f>
        <v>10.82</v>
      </c>
      <c r="K16" s="6"/>
    </row>
    <row r="17" spans="3:29" ht="18.75" x14ac:dyDescent="0.25">
      <c r="E17" s="53"/>
      <c r="F17" s="12"/>
      <c r="I17" s="6" t="s">
        <v>9</v>
      </c>
      <c r="J17" s="40">
        <f>IF(ISERROR(((1+IRR(X20:X320))^(12))-1),"-",(((1+IRR(X20:X320))^(12))-1))</f>
        <v>0.12283581550805578</v>
      </c>
      <c r="K17" s="6"/>
      <c r="L17" s="38" t="s">
        <v>154</v>
      </c>
      <c r="M17" s="39">
        <f>IF(E14="Pago_Bajo_Puntual",1.9%,0)</f>
        <v>0</v>
      </c>
    </row>
    <row r="18" spans="3:29" ht="15.75" thickBot="1" x14ac:dyDescent="0.3"/>
    <row r="19" spans="3:29" ht="39.75" customHeight="1" thickBot="1" x14ac:dyDescent="0.3">
      <c r="C19" s="4" t="s">
        <v>125</v>
      </c>
      <c r="D19" s="4" t="s">
        <v>10</v>
      </c>
      <c r="E19" s="4" t="s">
        <v>160</v>
      </c>
      <c r="F19" s="4" t="s">
        <v>11</v>
      </c>
      <c r="G19" s="4" t="s">
        <v>12</v>
      </c>
      <c r="H19" s="4" t="s">
        <v>13</v>
      </c>
      <c r="I19" s="4" t="s">
        <v>14</v>
      </c>
      <c r="J19" s="4" t="s">
        <v>372</v>
      </c>
      <c r="K19" s="4" t="str">
        <f>IF(E8="Liquidez","Iva Intereses",IF(AND(E8="Pago_Hipoteca+Liquidez",E16="Liquidez"),"Iva Intereses",""))</f>
        <v>Iva Intereses</v>
      </c>
      <c r="L19" s="4" t="s">
        <v>163</v>
      </c>
      <c r="M19" s="4" t="s">
        <v>127</v>
      </c>
      <c r="N19" s="4" t="s">
        <v>370</v>
      </c>
      <c r="O19" s="4" t="s">
        <v>373</v>
      </c>
      <c r="P19" s="4" t="s">
        <v>18</v>
      </c>
      <c r="Q19" s="4" t="s">
        <v>162</v>
      </c>
      <c r="R19" s="4" t="s">
        <v>126</v>
      </c>
      <c r="S19" s="4" t="s">
        <v>159</v>
      </c>
      <c r="T19" s="476" t="s">
        <v>15</v>
      </c>
      <c r="U19" s="4" t="s">
        <v>133</v>
      </c>
      <c r="V19" s="4"/>
      <c r="W19" s="4"/>
      <c r="X19" s="32" t="s">
        <v>134</v>
      </c>
      <c r="Y19" s="32" t="s">
        <v>135</v>
      </c>
      <c r="Z19" s="37" t="s">
        <v>140</v>
      </c>
      <c r="AA19" s="37" t="s">
        <v>138</v>
      </c>
      <c r="AB19" s="37" t="s">
        <v>139</v>
      </c>
      <c r="AC19" s="6" t="s">
        <v>156</v>
      </c>
    </row>
    <row r="20" spans="3:29" x14ac:dyDescent="0.25">
      <c r="C20" s="27">
        <v>0</v>
      </c>
      <c r="E20" s="18"/>
      <c r="F20" s="15"/>
      <c r="G20" s="15"/>
      <c r="H20" s="16"/>
      <c r="I20" s="16"/>
      <c r="T20" s="22">
        <f>IF(OR(J8="",J9=""),"",MIN(J8,J9))</f>
        <v>1000000</v>
      </c>
      <c r="U20" s="6" t="str">
        <f>IF(C20&gt;0,1,"")</f>
        <v/>
      </c>
      <c r="V20" s="37">
        <v>0</v>
      </c>
      <c r="X20" s="33">
        <f>IF(ISNUMBER(J9),-J9,0)+IF(I12="Comisión por apertura",IF(ISNUMBER(J12),J12*J9,0),0)+IF(ISNUMBER(J13),J13/1.16,0)+IF(ISNUMBER(Caratula_Patrimonial!S19),Caratula_Patrimonial!S19/1.16)</f>
        <v>-980000</v>
      </c>
      <c r="Z20" s="35">
        <f>SUM(M21:M320)</f>
        <v>0</v>
      </c>
      <c r="AA20" s="66">
        <f>IF(D17="NO",0,J9*J10*3/12)</f>
        <v>25750</v>
      </c>
    </row>
    <row r="21" spans="3:29" x14ac:dyDescent="0.25">
      <c r="C21" s="27">
        <v>1</v>
      </c>
      <c r="D21" s="30">
        <f>T20</f>
        <v>1000000</v>
      </c>
      <c r="E21" s="20">
        <f>IF(C21="","",IF(T20&lt;E20,T20+$G$21,$J$9*$J$15/1000))</f>
        <v>10160</v>
      </c>
      <c r="F21" s="20">
        <f t="shared" ref="F21:F84" si="0">IF(C21="","",E21-G21+P21+M21)</f>
        <v>1576.6666666666661</v>
      </c>
      <c r="G21" s="20">
        <f t="shared" ref="G21:G84" si="1">IF(C21="","",IF(T20*(Q21/12)&lt;0,"",T20*(Q21/12)))</f>
        <v>8583.3333333333339</v>
      </c>
      <c r="H21" s="24">
        <f>IF(C21="","",L$12*T$20/1000)</f>
        <v>440</v>
      </c>
      <c r="I21" s="20">
        <f>IF(C21="","",IF(AND($E$8="Pago_Hipoteca+Liquidez",$E$16="Liquidez"),0,IF((($J$8*0.8)*($N$12/1.16))&gt;T20*($N$12/1.16),($J$8*0.8)*($N$12/1.16),($N$12/1.16)*T20)/1000))</f>
        <v>0</v>
      </c>
      <c r="J21" s="63">
        <f t="shared" ref="J21:J85" si="2">IF($D$17="SI",0,IF(D21="","",$Q$15))</f>
        <v>0</v>
      </c>
      <c r="K21" s="66">
        <f>IFERROR(IF($E$8="Liquidez",G21*0.16,IF(AND($E$8="Pago_Hipoteca+Liquidez",$E$16="Liquidez"),G21*0.16,"")),"")</f>
        <v>1373.3333333333335</v>
      </c>
      <c r="L21" s="17"/>
      <c r="M21" s="23">
        <f>IF(C21="","",IF(L21="",0,L21-N21-O21))</f>
        <v>0</v>
      </c>
      <c r="N21" s="23">
        <f t="shared" ref="N21:N84" si="3">IF(C21="","",(L21+P21)*$J$12)</f>
        <v>0</v>
      </c>
      <c r="O21" s="23">
        <f t="shared" ref="O21:O84" si="4">IF(C21="","",((L21+P21)*$J$12)*0.16)</f>
        <v>0</v>
      </c>
      <c r="P21" s="17"/>
      <c r="Q21" s="19">
        <f>IF(C21="","",'Tabla_Puntual&amp;Relacionamiento'!$E$68)</f>
        <v>0.10299999999999999</v>
      </c>
      <c r="R21" s="19"/>
      <c r="S21" s="11">
        <f>IF(C21="","",IF($K$19="",E21+H21+I21+J21+L21+P21,E21+H21+I21+J21+K21+L21+P21))</f>
        <v>11973.333333333334</v>
      </c>
      <c r="T21" s="23">
        <f t="shared" ref="T21:T84" si="5">IF(C21="","",T20-F21)</f>
        <v>998423.33333333337</v>
      </c>
      <c r="U21" s="37">
        <f t="shared" ref="U21:U84" si="6">IF(C21="","",1)</f>
        <v>1</v>
      </c>
      <c r="V21" s="37">
        <f>IF(ISNUMBER(V20),IF($E$15*12&gt;=V20+1,V20+1,""),"")</f>
        <v>1</v>
      </c>
      <c r="X21" s="31">
        <f t="shared" ref="X21:X84" si="7">IF(C21="","",IF($D$17="SI",AB21,
IF(ISNUMBER(V21),IF($E$14="Pago_Fijo_Puntual",PMT(Q21/12,$E$15*12,-$J$9),
Y21*$J$15*$J$9/1000)+H21+AB21+P21+I21/1.16+$Q$15,0)))</f>
        <v>10289.815764585619</v>
      </c>
      <c r="Y21" s="34">
        <v>1</v>
      </c>
      <c r="Z21" s="31">
        <f t="shared" ref="Z21:Z84" si="8">IF($AA$20=0,0,IF(M21&gt;AA20,MAX(0,M21-AA20),M21))</f>
        <v>0</v>
      </c>
      <c r="AA21" s="66">
        <f t="shared" ref="AA21:AA84" si="9">IFERROR(MAX(0,AA20-M21),0)</f>
        <v>25750</v>
      </c>
      <c r="AB21" s="6">
        <f t="shared" ref="AB21:AB84" si="10">IF($D$17="NO",M21,IF(AA21&gt;0,0,Z21))</f>
        <v>0</v>
      </c>
    </row>
    <row r="22" spans="3:29" x14ac:dyDescent="0.25">
      <c r="C22" s="27">
        <f t="shared" ref="C22:C85" si="11">IF(OR(C21="",T21&lt;=0),"",IF(C21+1&lt;=E$15*12,C21+1,""))</f>
        <v>2</v>
      </c>
      <c r="D22" s="30">
        <f t="shared" ref="D22:D85" si="12">IF(T21&lt;=0,"",T21)</f>
        <v>998423.33333333337</v>
      </c>
      <c r="E22" s="20">
        <f>IF(C22="","",IF(T21&lt;E21,T21+G22,IF(E14="Pago_Fijo_Puntual",$J$9*$J$15/1000,IF($E$14="Pago_Bajo_Puntual",E21+(E21*R22)))))</f>
        <v>10160</v>
      </c>
      <c r="F22" s="20">
        <f t="shared" si="0"/>
        <v>1590.1997222222217</v>
      </c>
      <c r="G22" s="21">
        <f t="shared" si="1"/>
        <v>8569.8002777777783</v>
      </c>
      <c r="H22" s="24">
        <f t="shared" ref="H22:H85" si="13">IF(C22="","",L$12*T21/1000)</f>
        <v>439.30626666666666</v>
      </c>
      <c r="I22" s="21">
        <f>IF(C22="","",IF(AND($E$8="Pago_Hipoteca+Liquidez",$E$16="Liquidez"),0,IF((($J$8*0.8)*($N$12/1.16))&gt;T21*($N$12/1.16),($J$8*0.8)*($N$12/1.16),($N$12/1.16)*T21)/1000))</f>
        <v>0</v>
      </c>
      <c r="J22" s="63">
        <f t="shared" si="2"/>
        <v>0</v>
      </c>
      <c r="K22" s="66">
        <f>IFERROR(IF($E$8="Liquidez",G22*0.16,IF(AND($E$8="Pago_Hipoteca+Liquidez",$E$16="Liquidez"),G22*0.16,"")),"")</f>
        <v>1371.1680444444446</v>
      </c>
      <c r="L22" s="17"/>
      <c r="M22" s="23">
        <f t="shared" ref="M22:M85" si="14">IF(C22="","",IF(L22="",0,L22-N22-O22))</f>
        <v>0</v>
      </c>
      <c r="N22" s="23">
        <f t="shared" si="3"/>
        <v>0</v>
      </c>
      <c r="O22" s="23">
        <f t="shared" si="4"/>
        <v>0</v>
      </c>
      <c r="P22" s="17"/>
      <c r="Q22" s="19">
        <f>IF(C22="","",'Tabla_Puntual&amp;Relacionamiento'!$E$68)</f>
        <v>0.10299999999999999</v>
      </c>
      <c r="R22" s="19"/>
      <c r="S22" s="11">
        <f t="shared" ref="S22:S85" si="15">IF(C22="","",IF($K$19="",E22+H22+I22+J22+L22+P22,E22+H22+I22+J22+K22+L22+P22))</f>
        <v>11970.474311111111</v>
      </c>
      <c r="T22" s="23">
        <f t="shared" si="5"/>
        <v>996833.1336111112</v>
      </c>
      <c r="U22" s="37">
        <f t="shared" si="6"/>
        <v>1</v>
      </c>
      <c r="V22" s="37">
        <f>C22</f>
        <v>2</v>
      </c>
      <c r="X22" s="31">
        <f t="shared" si="7"/>
        <v>10289.122031252286</v>
      </c>
      <c r="Y22" s="34">
        <f t="shared" ref="Y22:Y32" si="16">Y21</f>
        <v>1</v>
      </c>
      <c r="Z22" s="31">
        <f t="shared" si="8"/>
        <v>0</v>
      </c>
      <c r="AA22" s="66">
        <f t="shared" si="9"/>
        <v>25750</v>
      </c>
      <c r="AB22" s="6">
        <f t="shared" si="10"/>
        <v>0</v>
      </c>
    </row>
    <row r="23" spans="3:29" x14ac:dyDescent="0.25">
      <c r="C23" s="27">
        <f t="shared" si="11"/>
        <v>3</v>
      </c>
      <c r="D23" s="30">
        <f t="shared" si="12"/>
        <v>996833.1336111112</v>
      </c>
      <c r="E23" s="20">
        <f t="shared" ref="E23:E86" si="17">IF(C23="","",IF(T22&lt;E22,T22+G23,IF($E$14="Pago_Fijo_Puntual",$J$9*$J$15/1000,IF($E$14="Pago_Bajo_Puntual",E22+(E22*R23)))))</f>
        <v>10160</v>
      </c>
      <c r="F23" s="20">
        <f t="shared" si="0"/>
        <v>1603.848936504628</v>
      </c>
      <c r="G23" s="21">
        <f t="shared" si="1"/>
        <v>8556.151063495372</v>
      </c>
      <c r="H23" s="24">
        <f t="shared" si="13"/>
        <v>438.60657878888895</v>
      </c>
      <c r="I23" s="21">
        <f>IF(C23="","",IF(AND($E$8="Pago_Hipoteca+Liquidez",$E$16="Liquidez"),0,IF((($J$8*0.8)*($N$12/1.16))&gt;T22*($N$12/1.16),($J$8*0.8)*($N$12/1.16),($N$12/1.16)*T22)/1000))</f>
        <v>0</v>
      </c>
      <c r="J23" s="63">
        <f t="shared" si="2"/>
        <v>0</v>
      </c>
      <c r="K23" s="66">
        <f>IFERROR(IF($E$8="Liquidez",G23*0.16,IF(AND($E$8="Pago_Hipoteca+Liquidez",$E$16="Liquidez"),G23*0.16,"")),"")</f>
        <v>1368.9841701592595</v>
      </c>
      <c r="L23" s="17"/>
      <c r="M23" s="23">
        <f t="shared" si="14"/>
        <v>0</v>
      </c>
      <c r="N23" s="23">
        <f t="shared" si="3"/>
        <v>0</v>
      </c>
      <c r="O23" s="23">
        <f t="shared" si="4"/>
        <v>0</v>
      </c>
      <c r="P23" s="17"/>
      <c r="Q23" s="19">
        <f>IF(C23="","",'Tabla_Puntual&amp;Relacionamiento'!$E$68)</f>
        <v>0.10299999999999999</v>
      </c>
      <c r="R23" s="19"/>
      <c r="S23" s="11">
        <f t="shared" si="15"/>
        <v>11967.590748948149</v>
      </c>
      <c r="T23" s="23">
        <f t="shared" si="5"/>
        <v>995229.28467460652</v>
      </c>
      <c r="U23" s="37">
        <f t="shared" si="6"/>
        <v>1</v>
      </c>
      <c r="V23" s="37">
        <f t="shared" ref="V23:V86" si="18">C23</f>
        <v>3</v>
      </c>
      <c r="X23" s="31">
        <f t="shared" si="7"/>
        <v>10288.422343374508</v>
      </c>
      <c r="Y23" s="34">
        <f t="shared" si="16"/>
        <v>1</v>
      </c>
      <c r="Z23" s="31">
        <f t="shared" si="8"/>
        <v>0</v>
      </c>
      <c r="AA23" s="66">
        <f t="shared" si="9"/>
        <v>25750</v>
      </c>
      <c r="AB23" s="6">
        <f t="shared" si="10"/>
        <v>0</v>
      </c>
    </row>
    <row r="24" spans="3:29" x14ac:dyDescent="0.25">
      <c r="C24" s="27">
        <f t="shared" si="11"/>
        <v>4</v>
      </c>
      <c r="D24" s="30">
        <f t="shared" si="12"/>
        <v>995229.28467460652</v>
      </c>
      <c r="E24" s="20">
        <f t="shared" si="17"/>
        <v>10160</v>
      </c>
      <c r="F24" s="20">
        <f t="shared" si="0"/>
        <v>1617.6153065429608</v>
      </c>
      <c r="G24" s="21">
        <f t="shared" si="1"/>
        <v>8542.3846934570392</v>
      </c>
      <c r="H24" s="24">
        <f t="shared" si="13"/>
        <v>437.90088525682688</v>
      </c>
      <c r="I24" s="21">
        <f>IF(C24="","",IF(AND($E$8="Pago_Hipoteca+Liquidez",$E$16="Liquidez"),0,IF((($J$8*0.8)*($N$12/1.16))&gt;T23*($N$12/1.16),($J$8*0.8)*($N$12/1.16),($N$12/1.16)*T23)/1000))</f>
        <v>0</v>
      </c>
      <c r="J24" s="63">
        <f t="shared" si="2"/>
        <v>0</v>
      </c>
      <c r="K24" s="66">
        <f t="shared" ref="K24:K87" si="19">IFERROR(IF($E$8="Liquidez",G24*0.16,IF(AND($E$8="Pago_Hipoteca+Liquidez",$E$16="Liquidez"),G24*0.16,"")),"")</f>
        <v>1366.7815509531263</v>
      </c>
      <c r="L24" s="17"/>
      <c r="M24" s="23">
        <f t="shared" si="14"/>
        <v>0</v>
      </c>
      <c r="N24" s="23">
        <f t="shared" si="3"/>
        <v>0</v>
      </c>
      <c r="O24" s="23">
        <f t="shared" si="4"/>
        <v>0</v>
      </c>
      <c r="P24" s="17"/>
      <c r="Q24" s="19">
        <f>IF(C24="","",'Tabla_Puntual&amp;Relacionamiento'!$E$68)</f>
        <v>0.10299999999999999</v>
      </c>
      <c r="R24" s="19"/>
      <c r="S24" s="11">
        <f t="shared" si="15"/>
        <v>11964.682436209954</v>
      </c>
      <c r="T24" s="23">
        <f t="shared" si="5"/>
        <v>993611.66936806357</v>
      </c>
      <c r="U24" s="37">
        <f t="shared" si="6"/>
        <v>1</v>
      </c>
      <c r="V24" s="37">
        <f t="shared" si="18"/>
        <v>4</v>
      </c>
      <c r="X24" s="31">
        <f t="shared" si="7"/>
        <v>10287.716649842447</v>
      </c>
      <c r="Y24" s="34">
        <f t="shared" si="16"/>
        <v>1</v>
      </c>
      <c r="Z24" s="31">
        <f t="shared" si="8"/>
        <v>0</v>
      </c>
      <c r="AA24" s="66">
        <f t="shared" si="9"/>
        <v>25750</v>
      </c>
      <c r="AB24" s="6">
        <f t="shared" si="10"/>
        <v>0</v>
      </c>
    </row>
    <row r="25" spans="3:29" x14ac:dyDescent="0.25">
      <c r="C25" s="27">
        <f t="shared" si="11"/>
        <v>5</v>
      </c>
      <c r="D25" s="30">
        <f t="shared" si="12"/>
        <v>993611.66936806357</v>
      </c>
      <c r="E25" s="20">
        <f t="shared" si="17"/>
        <v>10160</v>
      </c>
      <c r="F25" s="20">
        <f t="shared" si="0"/>
        <v>1631.4998379241206</v>
      </c>
      <c r="G25" s="21">
        <f t="shared" si="1"/>
        <v>8528.5001620758794</v>
      </c>
      <c r="H25" s="24">
        <f t="shared" si="13"/>
        <v>437.18913452194801</v>
      </c>
      <c r="I25" s="21">
        <f t="shared" ref="I25:I88" si="20">IF(C25="","",IF(AND($E$8="Pago_Hipoteca+Liquidez",$E$16="Liquidez"),0,IF((($J$8*0.8)*($N$12/1.16))&gt;T24*($N$12/1.16),($J$8*0.8)*($N$12/1.16),($N$12/1.16)*T24)/1000))</f>
        <v>0</v>
      </c>
      <c r="J25" s="63">
        <f t="shared" si="2"/>
        <v>0</v>
      </c>
      <c r="K25" s="66">
        <f t="shared" si="19"/>
        <v>1364.5600259321407</v>
      </c>
      <c r="L25" s="17"/>
      <c r="M25" s="23">
        <f t="shared" si="14"/>
        <v>0</v>
      </c>
      <c r="N25" s="23">
        <f t="shared" si="3"/>
        <v>0</v>
      </c>
      <c r="O25" s="23">
        <f t="shared" si="4"/>
        <v>0</v>
      </c>
      <c r="P25" s="17"/>
      <c r="Q25" s="19">
        <f>IF(C25="","",'Tabla_Puntual&amp;Relacionamiento'!$E$68)</f>
        <v>0.10299999999999999</v>
      </c>
      <c r="R25" s="19"/>
      <c r="S25" s="11">
        <f t="shared" si="15"/>
        <v>11961.749160454088</v>
      </c>
      <c r="T25" s="23">
        <f t="shared" si="5"/>
        <v>991980.16953013942</v>
      </c>
      <c r="U25" s="37">
        <f t="shared" si="6"/>
        <v>1</v>
      </c>
      <c r="V25" s="37">
        <f t="shared" si="18"/>
        <v>5</v>
      </c>
      <c r="X25" s="31">
        <f t="shared" si="7"/>
        <v>10287.004899107567</v>
      </c>
      <c r="Y25" s="34">
        <f t="shared" si="16"/>
        <v>1</v>
      </c>
      <c r="Z25" s="31">
        <f t="shared" si="8"/>
        <v>0</v>
      </c>
      <c r="AA25" s="66">
        <f t="shared" si="9"/>
        <v>25750</v>
      </c>
      <c r="AB25" s="6">
        <f t="shared" si="10"/>
        <v>0</v>
      </c>
    </row>
    <row r="26" spans="3:29" x14ac:dyDescent="0.25">
      <c r="C26" s="27">
        <f t="shared" si="11"/>
        <v>6</v>
      </c>
      <c r="D26" s="30">
        <f t="shared" si="12"/>
        <v>991980.16953013942</v>
      </c>
      <c r="E26" s="20">
        <f t="shared" si="17"/>
        <v>10160</v>
      </c>
      <c r="F26" s="20">
        <f t="shared" si="0"/>
        <v>1645.5035448663039</v>
      </c>
      <c r="G26" s="21">
        <f t="shared" si="1"/>
        <v>8514.4964551336961</v>
      </c>
      <c r="H26" s="24">
        <f t="shared" si="13"/>
        <v>436.47127459326134</v>
      </c>
      <c r="I26" s="21">
        <f t="shared" si="20"/>
        <v>0</v>
      </c>
      <c r="J26" s="63">
        <f t="shared" si="2"/>
        <v>0</v>
      </c>
      <c r="K26" s="66">
        <f t="shared" si="19"/>
        <v>1362.3194328213915</v>
      </c>
      <c r="L26" s="17"/>
      <c r="M26" s="23">
        <f t="shared" si="14"/>
        <v>0</v>
      </c>
      <c r="N26" s="23">
        <f t="shared" si="3"/>
        <v>0</v>
      </c>
      <c r="O26" s="23">
        <f t="shared" si="4"/>
        <v>0</v>
      </c>
      <c r="P26" s="17"/>
      <c r="Q26" s="19">
        <f>IF(C26="","",'Tabla_Puntual&amp;Relacionamiento'!$E$68)</f>
        <v>0.10299999999999999</v>
      </c>
      <c r="R26" s="19"/>
      <c r="S26" s="11">
        <f t="shared" si="15"/>
        <v>11958.790707414653</v>
      </c>
      <c r="T26" s="23">
        <f t="shared" si="5"/>
        <v>990334.66598527308</v>
      </c>
      <c r="U26" s="37">
        <f t="shared" si="6"/>
        <v>1</v>
      </c>
      <c r="V26" s="37">
        <f t="shared" si="18"/>
        <v>6</v>
      </c>
      <c r="X26" s="31">
        <f t="shared" si="7"/>
        <v>10286.28703917888</v>
      </c>
      <c r="Y26" s="34">
        <f t="shared" si="16"/>
        <v>1</v>
      </c>
      <c r="Z26" s="31">
        <f t="shared" si="8"/>
        <v>0</v>
      </c>
      <c r="AA26" s="66">
        <f t="shared" si="9"/>
        <v>25750</v>
      </c>
      <c r="AB26" s="6">
        <f t="shared" si="10"/>
        <v>0</v>
      </c>
    </row>
    <row r="27" spans="3:29" x14ac:dyDescent="0.25">
      <c r="C27" s="27">
        <f t="shared" si="11"/>
        <v>7</v>
      </c>
      <c r="D27" s="30">
        <f t="shared" si="12"/>
        <v>990334.66598527308</v>
      </c>
      <c r="E27" s="20">
        <f t="shared" si="17"/>
        <v>10160</v>
      </c>
      <c r="F27" s="20">
        <f t="shared" si="0"/>
        <v>1659.6274502930719</v>
      </c>
      <c r="G27" s="21">
        <f t="shared" si="1"/>
        <v>8500.3725497069281</v>
      </c>
      <c r="H27" s="24">
        <f t="shared" si="13"/>
        <v>435.74725303352011</v>
      </c>
      <c r="I27" s="21">
        <f t="shared" si="20"/>
        <v>0</v>
      </c>
      <c r="J27" s="63">
        <f t="shared" si="2"/>
        <v>0</v>
      </c>
      <c r="K27" s="66">
        <f t="shared" si="19"/>
        <v>1360.0596079531085</v>
      </c>
      <c r="L27" s="17"/>
      <c r="M27" s="23">
        <f t="shared" si="14"/>
        <v>0</v>
      </c>
      <c r="N27" s="23">
        <f t="shared" si="3"/>
        <v>0</v>
      </c>
      <c r="O27" s="23">
        <f t="shared" si="4"/>
        <v>0</v>
      </c>
      <c r="P27" s="17"/>
      <c r="Q27" s="19">
        <f>IF(C27="","",'Tabla_Puntual&amp;Relacionamiento'!$E$68)</f>
        <v>0.10299999999999999</v>
      </c>
      <c r="R27" s="19"/>
      <c r="S27" s="11">
        <f t="shared" si="15"/>
        <v>11955.806860986628</v>
      </c>
      <c r="T27" s="23">
        <f t="shared" si="5"/>
        <v>988675.03853498003</v>
      </c>
      <c r="U27" s="37">
        <f t="shared" si="6"/>
        <v>1</v>
      </c>
      <c r="V27" s="37">
        <f t="shared" si="18"/>
        <v>7</v>
      </c>
      <c r="X27" s="31">
        <f t="shared" si="7"/>
        <v>10285.563017619139</v>
      </c>
      <c r="Y27" s="34">
        <f t="shared" si="16"/>
        <v>1</v>
      </c>
      <c r="Z27" s="31">
        <f t="shared" si="8"/>
        <v>0</v>
      </c>
      <c r="AA27" s="66">
        <f t="shared" si="9"/>
        <v>25750</v>
      </c>
      <c r="AB27" s="6">
        <f t="shared" si="10"/>
        <v>0</v>
      </c>
    </row>
    <row r="28" spans="3:29" x14ac:dyDescent="0.25">
      <c r="C28" s="27">
        <f t="shared" si="11"/>
        <v>8</v>
      </c>
      <c r="D28" s="30">
        <f t="shared" si="12"/>
        <v>988675.03853498003</v>
      </c>
      <c r="E28" s="20">
        <f t="shared" si="17"/>
        <v>10160</v>
      </c>
      <c r="F28" s="20">
        <f t="shared" si="0"/>
        <v>1673.8725859080878</v>
      </c>
      <c r="G28" s="21">
        <f t="shared" si="1"/>
        <v>8486.1274140919122</v>
      </c>
      <c r="H28" s="24">
        <f t="shared" si="13"/>
        <v>435.01701695539123</v>
      </c>
      <c r="I28" s="21">
        <f t="shared" si="20"/>
        <v>0</v>
      </c>
      <c r="J28" s="63">
        <f t="shared" si="2"/>
        <v>0</v>
      </c>
      <c r="K28" s="66">
        <f t="shared" si="19"/>
        <v>1357.7803862547059</v>
      </c>
      <c r="L28" s="17"/>
      <c r="M28" s="23">
        <f t="shared" si="14"/>
        <v>0</v>
      </c>
      <c r="N28" s="23">
        <f t="shared" si="3"/>
        <v>0</v>
      </c>
      <c r="O28" s="23">
        <f t="shared" si="4"/>
        <v>0</v>
      </c>
      <c r="P28" s="17"/>
      <c r="Q28" s="19">
        <f>IF(C28="","",'Tabla_Puntual&amp;Relacionamiento'!$E$68)</f>
        <v>0.10299999999999999</v>
      </c>
      <c r="R28" s="19"/>
      <c r="S28" s="11">
        <f t="shared" si="15"/>
        <v>11952.797403210097</v>
      </c>
      <c r="T28" s="23">
        <f t="shared" si="5"/>
        <v>987001.16594907199</v>
      </c>
      <c r="U28" s="37">
        <f t="shared" si="6"/>
        <v>1</v>
      </c>
      <c r="V28" s="37">
        <f t="shared" si="18"/>
        <v>8</v>
      </c>
      <c r="X28" s="31">
        <f t="shared" si="7"/>
        <v>10284.83278154101</v>
      </c>
      <c r="Y28" s="34">
        <f t="shared" si="16"/>
        <v>1</v>
      </c>
      <c r="Z28" s="31">
        <f t="shared" si="8"/>
        <v>0</v>
      </c>
      <c r="AA28" s="66">
        <f t="shared" si="9"/>
        <v>25750</v>
      </c>
      <c r="AB28" s="6">
        <f t="shared" si="10"/>
        <v>0</v>
      </c>
    </row>
    <row r="29" spans="3:29" x14ac:dyDescent="0.25">
      <c r="C29" s="27">
        <f t="shared" si="11"/>
        <v>9</v>
      </c>
      <c r="D29" s="30">
        <f t="shared" si="12"/>
        <v>987001.16594907199</v>
      </c>
      <c r="E29" s="20">
        <f t="shared" si="17"/>
        <v>10160</v>
      </c>
      <c r="F29" s="20">
        <f t="shared" si="0"/>
        <v>1688.2399922704644</v>
      </c>
      <c r="G29" s="21">
        <f t="shared" si="1"/>
        <v>8471.7600077295356</v>
      </c>
      <c r="H29" s="24">
        <f t="shared" si="13"/>
        <v>434.28051301759166</v>
      </c>
      <c r="I29" s="21">
        <f t="shared" si="20"/>
        <v>0</v>
      </c>
      <c r="J29" s="63">
        <f t="shared" si="2"/>
        <v>0</v>
      </c>
      <c r="K29" s="66">
        <f t="shared" si="19"/>
        <v>1355.4816012367257</v>
      </c>
      <c r="L29" s="17"/>
      <c r="M29" s="23">
        <f t="shared" si="14"/>
        <v>0</v>
      </c>
      <c r="N29" s="23">
        <f t="shared" si="3"/>
        <v>0</v>
      </c>
      <c r="O29" s="23">
        <f t="shared" si="4"/>
        <v>0</v>
      </c>
      <c r="P29" s="17"/>
      <c r="Q29" s="19">
        <f>IF(C29="","",'Tabla_Puntual&amp;Relacionamiento'!$E$68)</f>
        <v>0.10299999999999999</v>
      </c>
      <c r="R29" s="19"/>
      <c r="S29" s="11">
        <f t="shared" si="15"/>
        <v>11949.762114254318</v>
      </c>
      <c r="T29" s="23">
        <f t="shared" si="5"/>
        <v>985312.92595680151</v>
      </c>
      <c r="U29" s="37">
        <f t="shared" si="6"/>
        <v>1</v>
      </c>
      <c r="V29" s="37">
        <f t="shared" si="18"/>
        <v>9</v>
      </c>
      <c r="X29" s="31">
        <f t="shared" si="7"/>
        <v>10284.09627760321</v>
      </c>
      <c r="Y29" s="34">
        <f t="shared" si="16"/>
        <v>1</v>
      </c>
      <c r="Z29" s="31">
        <f t="shared" si="8"/>
        <v>0</v>
      </c>
      <c r="AA29" s="66">
        <f t="shared" si="9"/>
        <v>25750</v>
      </c>
      <c r="AB29" s="6">
        <f t="shared" si="10"/>
        <v>0</v>
      </c>
    </row>
    <row r="30" spans="3:29" x14ac:dyDescent="0.25">
      <c r="C30" s="27">
        <f t="shared" si="11"/>
        <v>10</v>
      </c>
      <c r="D30" s="30">
        <f t="shared" si="12"/>
        <v>985312.92595680151</v>
      </c>
      <c r="E30" s="20">
        <f t="shared" si="17"/>
        <v>10160</v>
      </c>
      <c r="F30" s="20">
        <f t="shared" si="0"/>
        <v>1702.7307188707873</v>
      </c>
      <c r="G30" s="21">
        <f t="shared" si="1"/>
        <v>8457.2692811292127</v>
      </c>
      <c r="H30" s="24">
        <f t="shared" si="13"/>
        <v>433.53768742099265</v>
      </c>
      <c r="I30" s="21">
        <f t="shared" si="20"/>
        <v>0</v>
      </c>
      <c r="J30" s="63">
        <f t="shared" si="2"/>
        <v>0</v>
      </c>
      <c r="K30" s="66">
        <f t="shared" si="19"/>
        <v>1353.1630849806741</v>
      </c>
      <c r="L30" s="17"/>
      <c r="M30" s="23">
        <f t="shared" si="14"/>
        <v>0</v>
      </c>
      <c r="N30" s="23">
        <f t="shared" si="3"/>
        <v>0</v>
      </c>
      <c r="O30" s="23">
        <f t="shared" si="4"/>
        <v>0</v>
      </c>
      <c r="P30" s="17"/>
      <c r="Q30" s="19">
        <f>IF(C30="","",'Tabla_Puntual&amp;Relacionamiento'!$E$68)</f>
        <v>0.10299999999999999</v>
      </c>
      <c r="R30" s="19"/>
      <c r="S30" s="11">
        <f t="shared" si="15"/>
        <v>11946.700772401666</v>
      </c>
      <c r="T30" s="23">
        <f t="shared" si="5"/>
        <v>983610.19523793075</v>
      </c>
      <c r="U30" s="37">
        <f t="shared" si="6"/>
        <v>1</v>
      </c>
      <c r="V30" s="37">
        <f t="shared" si="18"/>
        <v>10</v>
      </c>
      <c r="X30" s="31">
        <f t="shared" si="7"/>
        <v>10283.353452006611</v>
      </c>
      <c r="Y30" s="34">
        <f t="shared" si="16"/>
        <v>1</v>
      </c>
      <c r="Z30" s="31">
        <f t="shared" si="8"/>
        <v>0</v>
      </c>
      <c r="AA30" s="66">
        <f t="shared" si="9"/>
        <v>25750</v>
      </c>
      <c r="AB30" s="6">
        <f t="shared" si="10"/>
        <v>0</v>
      </c>
    </row>
    <row r="31" spans="3:29" x14ac:dyDescent="0.25">
      <c r="C31" s="27">
        <f t="shared" si="11"/>
        <v>11</v>
      </c>
      <c r="D31" s="30">
        <f t="shared" si="12"/>
        <v>983610.19523793075</v>
      </c>
      <c r="E31" s="20">
        <f t="shared" si="17"/>
        <v>10160</v>
      </c>
      <c r="F31" s="20">
        <f t="shared" si="0"/>
        <v>1717.3458242077613</v>
      </c>
      <c r="G31" s="21">
        <f t="shared" si="1"/>
        <v>8442.6541757922387</v>
      </c>
      <c r="H31" s="24">
        <f t="shared" si="13"/>
        <v>432.78848590468954</v>
      </c>
      <c r="I31" s="21">
        <f t="shared" si="20"/>
        <v>0</v>
      </c>
      <c r="J31" s="63">
        <f t="shared" si="2"/>
        <v>0</v>
      </c>
      <c r="K31" s="66">
        <f t="shared" si="19"/>
        <v>1350.8246681267583</v>
      </c>
      <c r="L31" s="17"/>
      <c r="M31" s="23">
        <f t="shared" si="14"/>
        <v>0</v>
      </c>
      <c r="N31" s="23">
        <f t="shared" si="3"/>
        <v>0</v>
      </c>
      <c r="O31" s="23">
        <f t="shared" si="4"/>
        <v>0</v>
      </c>
      <c r="P31" s="17"/>
      <c r="Q31" s="19">
        <f>IF(C31="","",'Tabla_Puntual&amp;Relacionamiento'!$E$68)</f>
        <v>0.10299999999999999</v>
      </c>
      <c r="R31" s="19"/>
      <c r="S31" s="11">
        <f t="shared" si="15"/>
        <v>11943.613154031449</v>
      </c>
      <c r="T31" s="23">
        <f t="shared" si="5"/>
        <v>981892.84941372299</v>
      </c>
      <c r="U31" s="37">
        <f t="shared" si="6"/>
        <v>1</v>
      </c>
      <c r="V31" s="37">
        <f t="shared" si="18"/>
        <v>11</v>
      </c>
      <c r="X31" s="31">
        <f t="shared" si="7"/>
        <v>10282.604250490309</v>
      </c>
      <c r="Y31" s="34">
        <f t="shared" si="16"/>
        <v>1</v>
      </c>
      <c r="Z31" s="31">
        <f t="shared" si="8"/>
        <v>0</v>
      </c>
      <c r="AA31" s="66">
        <f t="shared" si="9"/>
        <v>25750</v>
      </c>
      <c r="AB31" s="6">
        <f t="shared" si="10"/>
        <v>0</v>
      </c>
    </row>
    <row r="32" spans="3:29" x14ac:dyDescent="0.25">
      <c r="C32" s="27">
        <f t="shared" si="11"/>
        <v>12</v>
      </c>
      <c r="D32" s="30">
        <f t="shared" si="12"/>
        <v>981892.84941372299</v>
      </c>
      <c r="E32" s="20">
        <f t="shared" si="17"/>
        <v>10160</v>
      </c>
      <c r="F32" s="20">
        <f t="shared" si="0"/>
        <v>1732.0863758655451</v>
      </c>
      <c r="G32" s="21">
        <f t="shared" si="1"/>
        <v>8427.9136241344549</v>
      </c>
      <c r="H32" s="24">
        <f t="shared" si="13"/>
        <v>432.03285374203813</v>
      </c>
      <c r="I32" s="21">
        <f t="shared" si="20"/>
        <v>0</v>
      </c>
      <c r="J32" s="63">
        <f t="shared" si="2"/>
        <v>0</v>
      </c>
      <c r="K32" s="66">
        <f t="shared" si="19"/>
        <v>1348.4661798615127</v>
      </c>
      <c r="L32" s="17"/>
      <c r="M32" s="23">
        <f t="shared" si="14"/>
        <v>0</v>
      </c>
      <c r="N32" s="23">
        <f t="shared" si="3"/>
        <v>0</v>
      </c>
      <c r="O32" s="23">
        <f t="shared" si="4"/>
        <v>0</v>
      </c>
      <c r="P32" s="17"/>
      <c r="Q32" s="19">
        <f>IF(C32="","",'Tabla_Puntual&amp;Relacionamiento'!$E$68)</f>
        <v>0.10299999999999999</v>
      </c>
      <c r="R32" s="19"/>
      <c r="S32" s="11">
        <f t="shared" si="15"/>
        <v>11940.49903360355</v>
      </c>
      <c r="T32" s="23">
        <f t="shared" si="5"/>
        <v>980160.76303785748</v>
      </c>
      <c r="U32" s="37">
        <f t="shared" si="6"/>
        <v>1</v>
      </c>
      <c r="V32" s="37">
        <f t="shared" si="18"/>
        <v>12</v>
      </c>
      <c r="X32" s="31">
        <f t="shared" si="7"/>
        <v>10281.848618327656</v>
      </c>
      <c r="Y32" s="34">
        <f t="shared" si="16"/>
        <v>1</v>
      </c>
      <c r="Z32" s="31">
        <f t="shared" si="8"/>
        <v>0</v>
      </c>
      <c r="AA32" s="66">
        <f t="shared" si="9"/>
        <v>25750</v>
      </c>
      <c r="AB32" s="6">
        <f t="shared" si="10"/>
        <v>0</v>
      </c>
    </row>
    <row r="33" spans="3:29" x14ac:dyDescent="0.25">
      <c r="C33" s="27">
        <f t="shared" si="11"/>
        <v>13</v>
      </c>
      <c r="D33" s="30">
        <f t="shared" si="12"/>
        <v>980160.76303785748</v>
      </c>
      <c r="E33" s="20">
        <f t="shared" si="17"/>
        <v>10160</v>
      </c>
      <c r="F33" s="20">
        <f t="shared" si="0"/>
        <v>1746.9534505917236</v>
      </c>
      <c r="G33" s="21">
        <f t="shared" si="1"/>
        <v>8413.0465494082764</v>
      </c>
      <c r="H33" s="24">
        <f t="shared" si="13"/>
        <v>431.27073573665729</v>
      </c>
      <c r="I33" s="21">
        <f t="shared" si="20"/>
        <v>0</v>
      </c>
      <c r="J33" s="63">
        <f t="shared" si="2"/>
        <v>0</v>
      </c>
      <c r="K33" s="66">
        <f t="shared" si="19"/>
        <v>1346.0874479053243</v>
      </c>
      <c r="L33" s="17"/>
      <c r="M33" s="23">
        <f t="shared" si="14"/>
        <v>0</v>
      </c>
      <c r="N33" s="23">
        <f t="shared" si="3"/>
        <v>0</v>
      </c>
      <c r="O33" s="23">
        <f t="shared" si="4"/>
        <v>0</v>
      </c>
      <c r="P33" s="17"/>
      <c r="Q33" s="19">
        <f>IF(C33="","",'Tabla_Puntual&amp;Relacionamiento'!$E$69)</f>
        <v>0.10299999999999999</v>
      </c>
      <c r="R33" s="19" t="str">
        <f>IF(C33="","",IF($E$14="Pago_Bajo_Puntual",$M$17,""))</f>
        <v/>
      </c>
      <c r="S33" s="11">
        <f t="shared" si="15"/>
        <v>11937.358183641982</v>
      </c>
      <c r="T33" s="23">
        <f t="shared" si="5"/>
        <v>978413.80958726571</v>
      </c>
      <c r="U33" s="37">
        <f t="shared" si="6"/>
        <v>1</v>
      </c>
      <c r="V33" s="37">
        <f t="shared" si="18"/>
        <v>13</v>
      </c>
      <c r="X33" s="31">
        <f t="shared" si="7"/>
        <v>10281.086500322277</v>
      </c>
      <c r="Y33" s="34">
        <f>Y32*1.019</f>
        <v>1.0189999999999999</v>
      </c>
      <c r="Z33" s="31">
        <f t="shared" si="8"/>
        <v>0</v>
      </c>
      <c r="AA33" s="66">
        <f t="shared" si="9"/>
        <v>25750</v>
      </c>
      <c r="AB33" s="6">
        <f t="shared" si="10"/>
        <v>0</v>
      </c>
      <c r="AC33" s="48">
        <f>M17</f>
        <v>0</v>
      </c>
    </row>
    <row r="34" spans="3:29" x14ac:dyDescent="0.25">
      <c r="C34" s="27">
        <f t="shared" si="11"/>
        <v>14</v>
      </c>
      <c r="D34" s="30">
        <f t="shared" si="12"/>
        <v>978413.80958726571</v>
      </c>
      <c r="E34" s="20">
        <f t="shared" si="17"/>
        <v>10160</v>
      </c>
      <c r="F34" s="20">
        <f t="shared" si="0"/>
        <v>1761.9481343759689</v>
      </c>
      <c r="G34" s="21">
        <f t="shared" si="1"/>
        <v>8398.0518656240311</v>
      </c>
      <c r="H34" s="24">
        <f t="shared" si="13"/>
        <v>430.50207621839689</v>
      </c>
      <c r="I34" s="21">
        <f t="shared" si="20"/>
        <v>0</v>
      </c>
      <c r="J34" s="63">
        <f t="shared" si="2"/>
        <v>0</v>
      </c>
      <c r="K34" s="66">
        <f t="shared" si="19"/>
        <v>1343.6882984998449</v>
      </c>
      <c r="L34" s="17"/>
      <c r="M34" s="23">
        <f t="shared" si="14"/>
        <v>0</v>
      </c>
      <c r="N34" s="23">
        <f t="shared" si="3"/>
        <v>0</v>
      </c>
      <c r="O34" s="23">
        <f t="shared" si="4"/>
        <v>0</v>
      </c>
      <c r="P34" s="17"/>
      <c r="Q34" s="19">
        <f>IF(C34="","",'Tabla_Puntual&amp;Relacionamiento'!$E$69)</f>
        <v>0.10299999999999999</v>
      </c>
      <c r="R34" s="19"/>
      <c r="S34" s="11">
        <f t="shared" si="15"/>
        <v>11934.190374718242</v>
      </c>
      <c r="T34" s="23">
        <f t="shared" si="5"/>
        <v>976651.86145288975</v>
      </c>
      <c r="U34" s="37">
        <f t="shared" si="6"/>
        <v>1</v>
      </c>
      <c r="V34" s="37">
        <f t="shared" si="18"/>
        <v>14</v>
      </c>
      <c r="X34" s="31">
        <f t="shared" si="7"/>
        <v>10280.317840804017</v>
      </c>
      <c r="Y34" s="34">
        <f t="shared" ref="Y34:Y44" si="21">Y33</f>
        <v>1.0189999999999999</v>
      </c>
      <c r="Z34" s="31">
        <f t="shared" si="8"/>
        <v>0</v>
      </c>
      <c r="AA34" s="66">
        <f t="shared" si="9"/>
        <v>25750</v>
      </c>
      <c r="AB34" s="6">
        <f t="shared" si="10"/>
        <v>0</v>
      </c>
      <c r="AC34" s="48">
        <f>AC33</f>
        <v>0</v>
      </c>
    </row>
    <row r="35" spans="3:29" x14ac:dyDescent="0.25">
      <c r="C35" s="27">
        <f t="shared" si="11"/>
        <v>15</v>
      </c>
      <c r="D35" s="30">
        <f t="shared" si="12"/>
        <v>976651.86145288975</v>
      </c>
      <c r="E35" s="20">
        <f t="shared" si="17"/>
        <v>10160</v>
      </c>
      <c r="F35" s="20">
        <f t="shared" si="0"/>
        <v>1777.0715225293625</v>
      </c>
      <c r="G35" s="21">
        <f t="shared" si="1"/>
        <v>8382.9284774706375</v>
      </c>
      <c r="H35" s="24">
        <f t="shared" si="13"/>
        <v>429.7268190392715</v>
      </c>
      <c r="I35" s="21">
        <f t="shared" si="20"/>
        <v>0</v>
      </c>
      <c r="J35" s="63">
        <f t="shared" si="2"/>
        <v>0</v>
      </c>
      <c r="K35" s="66">
        <f t="shared" si="19"/>
        <v>1341.2685563953021</v>
      </c>
      <c r="L35" s="17"/>
      <c r="M35" s="23">
        <f t="shared" si="14"/>
        <v>0</v>
      </c>
      <c r="N35" s="23">
        <f t="shared" si="3"/>
        <v>0</v>
      </c>
      <c r="O35" s="23">
        <f t="shared" si="4"/>
        <v>0</v>
      </c>
      <c r="P35" s="17"/>
      <c r="Q35" s="19">
        <f>IF(C35="","",'Tabla_Puntual&amp;Relacionamiento'!$E$69)</f>
        <v>0.10299999999999999</v>
      </c>
      <c r="R35" s="19"/>
      <c r="S35" s="11">
        <f t="shared" si="15"/>
        <v>11930.995375434573</v>
      </c>
      <c r="T35" s="23">
        <f t="shared" si="5"/>
        <v>974874.78993036039</v>
      </c>
      <c r="U35" s="37">
        <f t="shared" si="6"/>
        <v>1</v>
      </c>
      <c r="V35" s="37">
        <f t="shared" si="18"/>
        <v>15</v>
      </c>
      <c r="X35" s="31">
        <f t="shared" si="7"/>
        <v>10279.542583624891</v>
      </c>
      <c r="Y35" s="34">
        <f t="shared" si="21"/>
        <v>1.0189999999999999</v>
      </c>
      <c r="Z35" s="31">
        <f t="shared" si="8"/>
        <v>0</v>
      </c>
      <c r="AA35" s="66">
        <f t="shared" si="9"/>
        <v>25750</v>
      </c>
      <c r="AB35" s="6">
        <f t="shared" si="10"/>
        <v>0</v>
      </c>
      <c r="AC35" s="48">
        <f t="shared" ref="AC35:AC98" si="22">AC34</f>
        <v>0</v>
      </c>
    </row>
    <row r="36" spans="3:29" x14ac:dyDescent="0.25">
      <c r="C36" s="27">
        <f t="shared" si="11"/>
        <v>16</v>
      </c>
      <c r="D36" s="30">
        <f t="shared" si="12"/>
        <v>974874.78993036039</v>
      </c>
      <c r="E36" s="20">
        <f t="shared" si="17"/>
        <v>10160</v>
      </c>
      <c r="F36" s="20">
        <f t="shared" si="0"/>
        <v>1792.3247197644068</v>
      </c>
      <c r="G36" s="21">
        <f t="shared" si="1"/>
        <v>8367.6752802355932</v>
      </c>
      <c r="H36" s="24">
        <f t="shared" si="13"/>
        <v>428.94490756935858</v>
      </c>
      <c r="I36" s="21">
        <f t="shared" si="20"/>
        <v>0</v>
      </c>
      <c r="J36" s="63">
        <f t="shared" si="2"/>
        <v>0</v>
      </c>
      <c r="K36" s="66">
        <f t="shared" si="19"/>
        <v>1338.828044837695</v>
      </c>
      <c r="L36" s="17"/>
      <c r="M36" s="23">
        <f t="shared" si="14"/>
        <v>0</v>
      </c>
      <c r="N36" s="23">
        <f t="shared" si="3"/>
        <v>0</v>
      </c>
      <c r="O36" s="23">
        <f t="shared" si="4"/>
        <v>0</v>
      </c>
      <c r="P36" s="17"/>
      <c r="Q36" s="19">
        <f>IF(C36="","",'Tabla_Puntual&amp;Relacionamiento'!$E$69)</f>
        <v>0.10299999999999999</v>
      </c>
      <c r="R36" s="19"/>
      <c r="S36" s="11">
        <f t="shared" si="15"/>
        <v>11927.772952407055</v>
      </c>
      <c r="T36" s="23">
        <f t="shared" si="5"/>
        <v>973082.46521059598</v>
      </c>
      <c r="U36" s="37">
        <f t="shared" si="6"/>
        <v>1</v>
      </c>
      <c r="V36" s="37">
        <f t="shared" si="18"/>
        <v>16</v>
      </c>
      <c r="X36" s="31">
        <f t="shared" si="7"/>
        <v>10278.760672154978</v>
      </c>
      <c r="Y36" s="34">
        <f t="shared" si="21"/>
        <v>1.0189999999999999</v>
      </c>
      <c r="Z36" s="31">
        <f t="shared" si="8"/>
        <v>0</v>
      </c>
      <c r="AA36" s="66">
        <f t="shared" si="9"/>
        <v>25750</v>
      </c>
      <c r="AB36" s="6">
        <f t="shared" si="10"/>
        <v>0</v>
      </c>
      <c r="AC36" s="48">
        <f t="shared" si="22"/>
        <v>0</v>
      </c>
    </row>
    <row r="37" spans="3:29" x14ac:dyDescent="0.25">
      <c r="C37" s="27">
        <f t="shared" si="11"/>
        <v>17</v>
      </c>
      <c r="D37" s="30">
        <f t="shared" si="12"/>
        <v>973082.46521059598</v>
      </c>
      <c r="E37" s="20">
        <f t="shared" si="17"/>
        <v>10160</v>
      </c>
      <c r="F37" s="20">
        <f t="shared" si="0"/>
        <v>1807.7088402757181</v>
      </c>
      <c r="G37" s="21">
        <f t="shared" si="1"/>
        <v>8352.2911597242819</v>
      </c>
      <c r="H37" s="24">
        <f t="shared" si="13"/>
        <v>428.15628469266227</v>
      </c>
      <c r="I37" s="21">
        <f t="shared" si="20"/>
        <v>0</v>
      </c>
      <c r="J37" s="63">
        <f t="shared" si="2"/>
        <v>0</v>
      </c>
      <c r="K37" s="66">
        <f t="shared" si="19"/>
        <v>1336.3665855558852</v>
      </c>
      <c r="L37" s="17"/>
      <c r="M37" s="23">
        <f t="shared" si="14"/>
        <v>0</v>
      </c>
      <c r="N37" s="23">
        <f t="shared" si="3"/>
        <v>0</v>
      </c>
      <c r="O37" s="23">
        <f t="shared" si="4"/>
        <v>0</v>
      </c>
      <c r="P37" s="17"/>
      <c r="Q37" s="19">
        <f>IF(C37="","",'Tabla_Puntual&amp;Relacionamiento'!$E$69)</f>
        <v>0.10299999999999999</v>
      </c>
      <c r="R37" s="19"/>
      <c r="S37" s="11">
        <f t="shared" si="15"/>
        <v>11924.522870248547</v>
      </c>
      <c r="T37" s="23">
        <f t="shared" si="5"/>
        <v>971274.75637032022</v>
      </c>
      <c r="U37" s="37">
        <f t="shared" si="6"/>
        <v>1</v>
      </c>
      <c r="V37" s="37">
        <f t="shared" si="18"/>
        <v>17</v>
      </c>
      <c r="X37" s="31">
        <f t="shared" si="7"/>
        <v>10277.972049278282</v>
      </c>
      <c r="Y37" s="34">
        <f t="shared" si="21"/>
        <v>1.0189999999999999</v>
      </c>
      <c r="Z37" s="31">
        <f t="shared" si="8"/>
        <v>0</v>
      </c>
      <c r="AA37" s="66">
        <f t="shared" si="9"/>
        <v>25750</v>
      </c>
      <c r="AB37" s="6">
        <f t="shared" si="10"/>
        <v>0</v>
      </c>
      <c r="AC37" s="48">
        <f t="shared" si="22"/>
        <v>0</v>
      </c>
    </row>
    <row r="38" spans="3:29" x14ac:dyDescent="0.25">
      <c r="C38" s="27">
        <f t="shared" si="11"/>
        <v>18</v>
      </c>
      <c r="D38" s="30">
        <f t="shared" si="12"/>
        <v>971274.75637032022</v>
      </c>
      <c r="E38" s="20">
        <f t="shared" si="17"/>
        <v>10160</v>
      </c>
      <c r="F38" s="20">
        <f t="shared" si="0"/>
        <v>1823.2250078214183</v>
      </c>
      <c r="G38" s="21">
        <f t="shared" si="1"/>
        <v>8336.7749921785817</v>
      </c>
      <c r="H38" s="24">
        <f t="shared" si="13"/>
        <v>427.3608928029409</v>
      </c>
      <c r="I38" s="21">
        <f t="shared" si="20"/>
        <v>0</v>
      </c>
      <c r="J38" s="63">
        <f t="shared" si="2"/>
        <v>0</v>
      </c>
      <c r="K38" s="66">
        <f t="shared" si="19"/>
        <v>1333.883998748573</v>
      </c>
      <c r="L38" s="17"/>
      <c r="M38" s="23">
        <f t="shared" si="14"/>
        <v>0</v>
      </c>
      <c r="N38" s="23">
        <f t="shared" si="3"/>
        <v>0</v>
      </c>
      <c r="O38" s="23">
        <f t="shared" si="4"/>
        <v>0</v>
      </c>
      <c r="P38" s="17"/>
      <c r="Q38" s="19">
        <f>IF(C38="","",'Tabla_Puntual&amp;Relacionamiento'!$E$69)</f>
        <v>0.10299999999999999</v>
      </c>
      <c r="R38" s="19"/>
      <c r="S38" s="11">
        <f t="shared" si="15"/>
        <v>11921.244891551514</v>
      </c>
      <c r="T38" s="23">
        <f t="shared" si="5"/>
        <v>969451.53136249876</v>
      </c>
      <c r="U38" s="37">
        <f t="shared" si="6"/>
        <v>1</v>
      </c>
      <c r="V38" s="37">
        <f t="shared" si="18"/>
        <v>18</v>
      </c>
      <c r="X38" s="31">
        <f t="shared" si="7"/>
        <v>10277.17665738856</v>
      </c>
      <c r="Y38" s="34">
        <f t="shared" si="21"/>
        <v>1.0189999999999999</v>
      </c>
      <c r="Z38" s="31">
        <f t="shared" si="8"/>
        <v>0</v>
      </c>
      <c r="AA38" s="66">
        <f t="shared" si="9"/>
        <v>25750</v>
      </c>
      <c r="AB38" s="6">
        <f t="shared" si="10"/>
        <v>0</v>
      </c>
      <c r="AC38" s="48">
        <f t="shared" si="22"/>
        <v>0</v>
      </c>
    </row>
    <row r="39" spans="3:29" x14ac:dyDescent="0.25">
      <c r="C39" s="27">
        <f t="shared" si="11"/>
        <v>19</v>
      </c>
      <c r="D39" s="30">
        <f t="shared" si="12"/>
        <v>969451.53136249876</v>
      </c>
      <c r="E39" s="20">
        <f t="shared" si="17"/>
        <v>10160</v>
      </c>
      <c r="F39" s="20">
        <f t="shared" si="0"/>
        <v>1838.8743558052192</v>
      </c>
      <c r="G39" s="21">
        <f t="shared" si="1"/>
        <v>8321.1256441947808</v>
      </c>
      <c r="H39" s="24">
        <f t="shared" si="13"/>
        <v>426.55867379949945</v>
      </c>
      <c r="I39" s="21">
        <f t="shared" si="20"/>
        <v>0</v>
      </c>
      <c r="J39" s="63">
        <f t="shared" si="2"/>
        <v>0</v>
      </c>
      <c r="K39" s="66">
        <f t="shared" si="19"/>
        <v>1331.380103071165</v>
      </c>
      <c r="L39" s="17"/>
      <c r="M39" s="23">
        <f t="shared" si="14"/>
        <v>0</v>
      </c>
      <c r="N39" s="23">
        <f t="shared" si="3"/>
        <v>0</v>
      </c>
      <c r="O39" s="23">
        <f t="shared" si="4"/>
        <v>0</v>
      </c>
      <c r="P39" s="17"/>
      <c r="Q39" s="19">
        <f>IF(C39="","",'Tabla_Puntual&amp;Relacionamiento'!$E$69)</f>
        <v>0.10299999999999999</v>
      </c>
      <c r="R39" s="19"/>
      <c r="S39" s="11">
        <f t="shared" si="15"/>
        <v>11917.938776870666</v>
      </c>
      <c r="T39" s="23">
        <f t="shared" si="5"/>
        <v>967612.65700669354</v>
      </c>
      <c r="U39" s="37">
        <f t="shared" si="6"/>
        <v>1</v>
      </c>
      <c r="V39" s="37">
        <f t="shared" si="18"/>
        <v>19</v>
      </c>
      <c r="X39" s="31">
        <f t="shared" si="7"/>
        <v>10276.374438385119</v>
      </c>
      <c r="Y39" s="34">
        <f t="shared" si="21"/>
        <v>1.0189999999999999</v>
      </c>
      <c r="Z39" s="31">
        <f t="shared" si="8"/>
        <v>0</v>
      </c>
      <c r="AA39" s="66">
        <f t="shared" si="9"/>
        <v>25750</v>
      </c>
      <c r="AB39" s="6">
        <f t="shared" si="10"/>
        <v>0</v>
      </c>
      <c r="AC39" s="48">
        <f t="shared" si="22"/>
        <v>0</v>
      </c>
    </row>
    <row r="40" spans="3:29" x14ac:dyDescent="0.25">
      <c r="C40" s="27">
        <f t="shared" si="11"/>
        <v>20</v>
      </c>
      <c r="D40" s="30">
        <f t="shared" si="12"/>
        <v>967612.65700669354</v>
      </c>
      <c r="E40" s="20">
        <f t="shared" si="17"/>
        <v>10160</v>
      </c>
      <c r="F40" s="20">
        <f t="shared" si="0"/>
        <v>1854.6580273592135</v>
      </c>
      <c r="G40" s="21">
        <f t="shared" si="1"/>
        <v>8305.3419726407865</v>
      </c>
      <c r="H40" s="24">
        <f t="shared" si="13"/>
        <v>425.74956908294519</v>
      </c>
      <c r="I40" s="21">
        <f t="shared" si="20"/>
        <v>0</v>
      </c>
      <c r="J40" s="63">
        <f t="shared" si="2"/>
        <v>0</v>
      </c>
      <c r="K40" s="66">
        <f t="shared" si="19"/>
        <v>1328.8547156225259</v>
      </c>
      <c r="L40" s="17"/>
      <c r="M40" s="23">
        <f t="shared" si="14"/>
        <v>0</v>
      </c>
      <c r="N40" s="23">
        <f t="shared" si="3"/>
        <v>0</v>
      </c>
      <c r="O40" s="23">
        <f t="shared" si="4"/>
        <v>0</v>
      </c>
      <c r="P40" s="17"/>
      <c r="Q40" s="19">
        <f>IF(C40="","",'Tabla_Puntual&amp;Relacionamiento'!$E$69)</f>
        <v>0.10299999999999999</v>
      </c>
      <c r="R40" s="19"/>
      <c r="S40" s="11">
        <f t="shared" si="15"/>
        <v>11914.60428470547</v>
      </c>
      <c r="T40" s="23">
        <f t="shared" si="5"/>
        <v>965757.99897933437</v>
      </c>
      <c r="U40" s="37">
        <f t="shared" si="6"/>
        <v>1</v>
      </c>
      <c r="V40" s="37">
        <f t="shared" si="18"/>
        <v>20</v>
      </c>
      <c r="X40" s="31">
        <f t="shared" si="7"/>
        <v>10275.565333668565</v>
      </c>
      <c r="Y40" s="34">
        <f t="shared" si="21"/>
        <v>1.0189999999999999</v>
      </c>
      <c r="Z40" s="31">
        <f t="shared" si="8"/>
        <v>0</v>
      </c>
      <c r="AA40" s="66">
        <f t="shared" si="9"/>
        <v>25750</v>
      </c>
      <c r="AB40" s="6">
        <f t="shared" si="10"/>
        <v>0</v>
      </c>
      <c r="AC40" s="48">
        <f t="shared" si="22"/>
        <v>0</v>
      </c>
    </row>
    <row r="41" spans="3:29" x14ac:dyDescent="0.25">
      <c r="C41" s="27">
        <f t="shared" si="11"/>
        <v>21</v>
      </c>
      <c r="D41" s="30">
        <f t="shared" si="12"/>
        <v>965757.99897933437</v>
      </c>
      <c r="E41" s="20">
        <f t="shared" si="17"/>
        <v>10160</v>
      </c>
      <c r="F41" s="20">
        <f t="shared" si="0"/>
        <v>1870.5771754273792</v>
      </c>
      <c r="G41" s="21">
        <f t="shared" si="1"/>
        <v>8289.4228245726208</v>
      </c>
      <c r="H41" s="24">
        <f t="shared" si="13"/>
        <v>424.93351955090714</v>
      </c>
      <c r="I41" s="21">
        <f t="shared" si="20"/>
        <v>0</v>
      </c>
      <c r="J41" s="63">
        <f t="shared" si="2"/>
        <v>0</v>
      </c>
      <c r="K41" s="66">
        <f t="shared" si="19"/>
        <v>1326.3076519316194</v>
      </c>
      <c r="L41" s="17"/>
      <c r="M41" s="23">
        <f t="shared" si="14"/>
        <v>0</v>
      </c>
      <c r="N41" s="23">
        <f t="shared" si="3"/>
        <v>0</v>
      </c>
      <c r="O41" s="23">
        <f t="shared" si="4"/>
        <v>0</v>
      </c>
      <c r="P41" s="17"/>
      <c r="Q41" s="19">
        <f>IF(C41="","",'Tabla_Puntual&amp;Relacionamiento'!$E$69)</f>
        <v>0.10299999999999999</v>
      </c>
      <c r="R41" s="19"/>
      <c r="S41" s="11">
        <f t="shared" si="15"/>
        <v>11911.241171482527</v>
      </c>
      <c r="T41" s="23">
        <f t="shared" si="5"/>
        <v>963887.42180390703</v>
      </c>
      <c r="U41" s="37">
        <f t="shared" si="6"/>
        <v>1</v>
      </c>
      <c r="V41" s="37">
        <f t="shared" si="18"/>
        <v>21</v>
      </c>
      <c r="X41" s="31">
        <f t="shared" si="7"/>
        <v>10274.749284136526</v>
      </c>
      <c r="Y41" s="34">
        <f t="shared" si="21"/>
        <v>1.0189999999999999</v>
      </c>
      <c r="Z41" s="31">
        <f t="shared" si="8"/>
        <v>0</v>
      </c>
      <c r="AA41" s="66">
        <f t="shared" si="9"/>
        <v>25750</v>
      </c>
      <c r="AB41" s="6">
        <f t="shared" si="10"/>
        <v>0</v>
      </c>
      <c r="AC41" s="48">
        <f t="shared" si="22"/>
        <v>0</v>
      </c>
    </row>
    <row r="42" spans="3:29" x14ac:dyDescent="0.25">
      <c r="C42" s="27">
        <f t="shared" si="11"/>
        <v>22</v>
      </c>
      <c r="D42" s="30">
        <f t="shared" si="12"/>
        <v>963887.42180390703</v>
      </c>
      <c r="E42" s="20">
        <f t="shared" si="17"/>
        <v>10160</v>
      </c>
      <c r="F42" s="20">
        <f t="shared" si="0"/>
        <v>1886.6329628497988</v>
      </c>
      <c r="G42" s="21">
        <f t="shared" si="1"/>
        <v>8273.3670371502012</v>
      </c>
      <c r="H42" s="24">
        <f t="shared" si="13"/>
        <v>424.11046559371908</v>
      </c>
      <c r="I42" s="21">
        <f t="shared" si="20"/>
        <v>0</v>
      </c>
      <c r="J42" s="63">
        <f t="shared" si="2"/>
        <v>0</v>
      </c>
      <c r="K42" s="66">
        <f t="shared" si="19"/>
        <v>1323.7387259440322</v>
      </c>
      <c r="L42" s="17"/>
      <c r="M42" s="23">
        <f t="shared" si="14"/>
        <v>0</v>
      </c>
      <c r="N42" s="23">
        <f t="shared" si="3"/>
        <v>0</v>
      </c>
      <c r="O42" s="23">
        <f t="shared" si="4"/>
        <v>0</v>
      </c>
      <c r="P42" s="17"/>
      <c r="Q42" s="19">
        <f>IF(C42="","",'Tabla_Puntual&amp;Relacionamiento'!$E$69)</f>
        <v>0.10299999999999999</v>
      </c>
      <c r="R42" s="19"/>
      <c r="S42" s="11">
        <f t="shared" si="15"/>
        <v>11907.849191537753</v>
      </c>
      <c r="T42" s="23">
        <f t="shared" si="5"/>
        <v>962000.78884105722</v>
      </c>
      <c r="U42" s="37">
        <f t="shared" si="6"/>
        <v>1</v>
      </c>
      <c r="V42" s="37">
        <f t="shared" si="18"/>
        <v>22</v>
      </c>
      <c r="X42" s="31">
        <f t="shared" si="7"/>
        <v>10273.926230179339</v>
      </c>
      <c r="Y42" s="34">
        <f t="shared" si="21"/>
        <v>1.0189999999999999</v>
      </c>
      <c r="Z42" s="31">
        <f t="shared" si="8"/>
        <v>0</v>
      </c>
      <c r="AA42" s="66">
        <f t="shared" si="9"/>
        <v>25750</v>
      </c>
      <c r="AB42" s="6">
        <f t="shared" si="10"/>
        <v>0</v>
      </c>
      <c r="AC42" s="48">
        <f t="shared" si="22"/>
        <v>0</v>
      </c>
    </row>
    <row r="43" spans="3:29" x14ac:dyDescent="0.25">
      <c r="C43" s="27">
        <f t="shared" si="11"/>
        <v>23</v>
      </c>
      <c r="D43" s="30">
        <f t="shared" si="12"/>
        <v>962000.78884105722</v>
      </c>
      <c r="E43" s="20">
        <f t="shared" si="17"/>
        <v>10160</v>
      </c>
      <c r="F43" s="20">
        <f t="shared" si="0"/>
        <v>1902.8265624475916</v>
      </c>
      <c r="G43" s="21">
        <f t="shared" si="1"/>
        <v>8257.1734375524084</v>
      </c>
      <c r="H43" s="24">
        <f t="shared" si="13"/>
        <v>423.28034709006516</v>
      </c>
      <c r="I43" s="21">
        <f t="shared" si="20"/>
        <v>0</v>
      </c>
      <c r="J43" s="63">
        <f t="shared" si="2"/>
        <v>0</v>
      </c>
      <c r="K43" s="66">
        <f t="shared" si="19"/>
        <v>1321.1477500083854</v>
      </c>
      <c r="L43" s="17"/>
      <c r="M43" s="23">
        <f t="shared" si="14"/>
        <v>0</v>
      </c>
      <c r="N43" s="23">
        <f t="shared" si="3"/>
        <v>0</v>
      </c>
      <c r="O43" s="23">
        <f t="shared" si="4"/>
        <v>0</v>
      </c>
      <c r="P43" s="17"/>
      <c r="Q43" s="19">
        <f>IF(C43="","",'Tabla_Puntual&amp;Relacionamiento'!$E$69)</f>
        <v>0.10299999999999999</v>
      </c>
      <c r="R43" s="19"/>
      <c r="S43" s="11">
        <f t="shared" si="15"/>
        <v>11904.428097098451</v>
      </c>
      <c r="T43" s="23">
        <f t="shared" si="5"/>
        <v>960097.96227860963</v>
      </c>
      <c r="U43" s="37">
        <f t="shared" si="6"/>
        <v>1</v>
      </c>
      <c r="V43" s="37">
        <f t="shared" si="18"/>
        <v>23</v>
      </c>
      <c r="X43" s="31">
        <f t="shared" si="7"/>
        <v>10273.096111675684</v>
      </c>
      <c r="Y43" s="34">
        <f t="shared" si="21"/>
        <v>1.0189999999999999</v>
      </c>
      <c r="Z43" s="31">
        <f t="shared" si="8"/>
        <v>0</v>
      </c>
      <c r="AA43" s="66">
        <f t="shared" si="9"/>
        <v>25750</v>
      </c>
      <c r="AB43" s="6">
        <f t="shared" si="10"/>
        <v>0</v>
      </c>
      <c r="AC43" s="48">
        <f t="shared" si="22"/>
        <v>0</v>
      </c>
    </row>
    <row r="44" spans="3:29" x14ac:dyDescent="0.25">
      <c r="C44" s="27">
        <f t="shared" si="11"/>
        <v>24</v>
      </c>
      <c r="D44" s="30">
        <f t="shared" si="12"/>
        <v>960097.96227860963</v>
      </c>
      <c r="E44" s="20">
        <f t="shared" si="17"/>
        <v>10160</v>
      </c>
      <c r="F44" s="20">
        <f t="shared" si="0"/>
        <v>1919.159157108601</v>
      </c>
      <c r="G44" s="21">
        <f t="shared" si="1"/>
        <v>8240.840842891399</v>
      </c>
      <c r="H44" s="24">
        <f t="shared" si="13"/>
        <v>422.44310340258824</v>
      </c>
      <c r="I44" s="21">
        <f t="shared" si="20"/>
        <v>0</v>
      </c>
      <c r="J44" s="63">
        <f t="shared" si="2"/>
        <v>0</v>
      </c>
      <c r="K44" s="66">
        <f t="shared" si="19"/>
        <v>1318.5345348626238</v>
      </c>
      <c r="L44" s="17"/>
      <c r="M44" s="23">
        <f t="shared" si="14"/>
        <v>0</v>
      </c>
      <c r="N44" s="23">
        <f t="shared" si="3"/>
        <v>0</v>
      </c>
      <c r="O44" s="23">
        <f t="shared" si="4"/>
        <v>0</v>
      </c>
      <c r="P44" s="17"/>
      <c r="Q44" s="19">
        <f>IF(C44="","",'Tabla_Puntual&amp;Relacionamiento'!$E$69)</f>
        <v>0.10299999999999999</v>
      </c>
      <c r="R44" s="19"/>
      <c r="S44" s="11">
        <f t="shared" si="15"/>
        <v>11900.977638265211</v>
      </c>
      <c r="T44" s="23">
        <f t="shared" si="5"/>
        <v>958178.803121501</v>
      </c>
      <c r="U44" s="37">
        <f t="shared" si="6"/>
        <v>1</v>
      </c>
      <c r="V44" s="37">
        <f t="shared" si="18"/>
        <v>24</v>
      </c>
      <c r="X44" s="31">
        <f t="shared" si="7"/>
        <v>10272.258867988206</v>
      </c>
      <c r="Y44" s="34">
        <f t="shared" si="21"/>
        <v>1.0189999999999999</v>
      </c>
      <c r="Z44" s="31">
        <f t="shared" si="8"/>
        <v>0</v>
      </c>
      <c r="AA44" s="66">
        <f t="shared" si="9"/>
        <v>25750</v>
      </c>
      <c r="AB44" s="6">
        <f t="shared" si="10"/>
        <v>0</v>
      </c>
      <c r="AC44" s="48">
        <f t="shared" si="22"/>
        <v>0</v>
      </c>
    </row>
    <row r="45" spans="3:29" x14ac:dyDescent="0.25">
      <c r="C45" s="27">
        <f t="shared" si="11"/>
        <v>25</v>
      </c>
      <c r="D45" s="30">
        <f t="shared" si="12"/>
        <v>958178.803121501</v>
      </c>
      <c r="E45" s="20">
        <f t="shared" si="17"/>
        <v>10160</v>
      </c>
      <c r="F45" s="20">
        <f t="shared" si="0"/>
        <v>1815.8595894835944</v>
      </c>
      <c r="G45" s="21">
        <f t="shared" si="1"/>
        <v>8344.1404105164056</v>
      </c>
      <c r="H45" s="24">
        <f t="shared" si="13"/>
        <v>421.59867337346043</v>
      </c>
      <c r="I45" s="21">
        <f t="shared" si="20"/>
        <v>0</v>
      </c>
      <c r="J45" s="63">
        <f t="shared" si="2"/>
        <v>0</v>
      </c>
      <c r="K45" s="66">
        <f t="shared" si="19"/>
        <v>1335.0624656826249</v>
      </c>
      <c r="L45" s="17"/>
      <c r="M45" s="23">
        <f t="shared" si="14"/>
        <v>0</v>
      </c>
      <c r="N45" s="23">
        <f t="shared" si="3"/>
        <v>0</v>
      </c>
      <c r="O45" s="23">
        <f t="shared" si="4"/>
        <v>0</v>
      </c>
      <c r="P45" s="17"/>
      <c r="Q45" s="19">
        <f>IF(C45="","",'Tabla_Puntual&amp;Relacionamiento'!$E$70)</f>
        <v>0.1045</v>
      </c>
      <c r="R45" s="19" t="str">
        <f>IF(C45="","",IF($E$14="Pago_Bajo_Puntual",$M$17,""))</f>
        <v/>
      </c>
      <c r="S45" s="11">
        <f t="shared" si="15"/>
        <v>11916.661139056087</v>
      </c>
      <c r="T45" s="23">
        <f t="shared" si="5"/>
        <v>956362.94353201741</v>
      </c>
      <c r="U45" s="37">
        <f t="shared" si="6"/>
        <v>1</v>
      </c>
      <c r="V45" s="37">
        <f t="shared" si="18"/>
        <v>25</v>
      </c>
      <c r="X45" s="31">
        <f t="shared" si="7"/>
        <v>10371.833788626302</v>
      </c>
      <c r="Y45" s="34">
        <f>Y44*1.019</f>
        <v>1.0383609999999999</v>
      </c>
      <c r="Z45" s="31">
        <f t="shared" si="8"/>
        <v>0</v>
      </c>
      <c r="AA45" s="66">
        <f t="shared" si="9"/>
        <v>25750</v>
      </c>
      <c r="AB45" s="6">
        <f t="shared" si="10"/>
        <v>0</v>
      </c>
      <c r="AC45" s="48">
        <f>AC44+$M$17</f>
        <v>0</v>
      </c>
    </row>
    <row r="46" spans="3:29" x14ac:dyDescent="0.25">
      <c r="C46" s="27">
        <f t="shared" si="11"/>
        <v>26</v>
      </c>
      <c r="D46" s="30">
        <f t="shared" si="12"/>
        <v>956362.94353201741</v>
      </c>
      <c r="E46" s="20">
        <f t="shared" si="17"/>
        <v>10160</v>
      </c>
      <c r="F46" s="20">
        <f t="shared" si="0"/>
        <v>1831.672700075349</v>
      </c>
      <c r="G46" s="21">
        <f t="shared" si="1"/>
        <v>8328.327299924651</v>
      </c>
      <c r="H46" s="24">
        <f t="shared" si="13"/>
        <v>420.79969515408766</v>
      </c>
      <c r="I46" s="21">
        <f t="shared" si="20"/>
        <v>0</v>
      </c>
      <c r="J46" s="63">
        <f t="shared" si="2"/>
        <v>0</v>
      </c>
      <c r="K46" s="66">
        <f t="shared" si="19"/>
        <v>1332.5323679879441</v>
      </c>
      <c r="L46" s="17"/>
      <c r="M46" s="23">
        <f t="shared" si="14"/>
        <v>0</v>
      </c>
      <c r="N46" s="23">
        <f t="shared" si="3"/>
        <v>0</v>
      </c>
      <c r="O46" s="23">
        <f t="shared" si="4"/>
        <v>0</v>
      </c>
      <c r="P46" s="17"/>
      <c r="Q46" s="19">
        <f>IF(C46="","",'Tabla_Puntual&amp;Relacionamiento'!$E$70)</f>
        <v>0.1045</v>
      </c>
      <c r="R46" s="19"/>
      <c r="S46" s="11">
        <f t="shared" si="15"/>
        <v>11913.332063142032</v>
      </c>
      <c r="T46" s="23">
        <f t="shared" si="5"/>
        <v>954531.27083194209</v>
      </c>
      <c r="U46" s="37">
        <f t="shared" si="6"/>
        <v>1</v>
      </c>
      <c r="V46" s="37">
        <f t="shared" si="18"/>
        <v>26</v>
      </c>
      <c r="X46" s="31">
        <f t="shared" si="7"/>
        <v>10371.034810406929</v>
      </c>
      <c r="Y46" s="34">
        <f t="shared" ref="Y46:Y56" si="23">Y45</f>
        <v>1.0383609999999999</v>
      </c>
      <c r="Z46" s="31">
        <f t="shared" si="8"/>
        <v>0</v>
      </c>
      <c r="AA46" s="66">
        <f t="shared" si="9"/>
        <v>25750</v>
      </c>
      <c r="AB46" s="6">
        <f t="shared" si="10"/>
        <v>0</v>
      </c>
      <c r="AC46" s="48">
        <f t="shared" si="22"/>
        <v>0</v>
      </c>
    </row>
    <row r="47" spans="3:29" x14ac:dyDescent="0.25">
      <c r="C47" s="27">
        <f t="shared" si="11"/>
        <v>27</v>
      </c>
      <c r="D47" s="30">
        <f t="shared" si="12"/>
        <v>954531.27083194209</v>
      </c>
      <c r="E47" s="20">
        <f t="shared" si="17"/>
        <v>10160</v>
      </c>
      <c r="F47" s="20">
        <f t="shared" si="0"/>
        <v>1847.6235165051712</v>
      </c>
      <c r="G47" s="21">
        <f t="shared" si="1"/>
        <v>8312.3764834948288</v>
      </c>
      <c r="H47" s="24">
        <f t="shared" si="13"/>
        <v>419.99375916605453</v>
      </c>
      <c r="I47" s="21">
        <f t="shared" si="20"/>
        <v>0</v>
      </c>
      <c r="J47" s="63">
        <f t="shared" si="2"/>
        <v>0</v>
      </c>
      <c r="K47" s="66">
        <f t="shared" si="19"/>
        <v>1329.9802373591726</v>
      </c>
      <c r="L47" s="17"/>
      <c r="M47" s="23">
        <f t="shared" si="14"/>
        <v>0</v>
      </c>
      <c r="N47" s="23">
        <f t="shared" si="3"/>
        <v>0</v>
      </c>
      <c r="O47" s="23">
        <f t="shared" si="4"/>
        <v>0</v>
      </c>
      <c r="P47" s="17"/>
      <c r="Q47" s="19">
        <f>IF(C47="","",'Tabla_Puntual&amp;Relacionamiento'!$E$70)</f>
        <v>0.1045</v>
      </c>
      <c r="R47" s="19"/>
      <c r="S47" s="11">
        <f t="shared" si="15"/>
        <v>11909.973996525227</v>
      </c>
      <c r="T47" s="23">
        <f t="shared" si="5"/>
        <v>952683.64731543697</v>
      </c>
      <c r="U47" s="37">
        <f t="shared" si="6"/>
        <v>1</v>
      </c>
      <c r="V47" s="37">
        <f t="shared" si="18"/>
        <v>27</v>
      </c>
      <c r="X47" s="31">
        <f t="shared" si="7"/>
        <v>10370.228874418895</v>
      </c>
      <c r="Y47" s="34">
        <f t="shared" si="23"/>
        <v>1.0383609999999999</v>
      </c>
      <c r="Z47" s="31">
        <f t="shared" si="8"/>
        <v>0</v>
      </c>
      <c r="AA47" s="66">
        <f t="shared" si="9"/>
        <v>25750</v>
      </c>
      <c r="AB47" s="6">
        <f t="shared" si="10"/>
        <v>0</v>
      </c>
      <c r="AC47" s="48">
        <f t="shared" si="22"/>
        <v>0</v>
      </c>
    </row>
    <row r="48" spans="3:29" x14ac:dyDescent="0.25">
      <c r="C48" s="27">
        <f t="shared" si="11"/>
        <v>28</v>
      </c>
      <c r="D48" s="30">
        <f t="shared" si="12"/>
        <v>952683.64731543697</v>
      </c>
      <c r="E48" s="20">
        <f t="shared" si="17"/>
        <v>10160</v>
      </c>
      <c r="F48" s="20">
        <f t="shared" si="0"/>
        <v>1863.7132379614031</v>
      </c>
      <c r="G48" s="21">
        <f t="shared" si="1"/>
        <v>8296.2867620385969</v>
      </c>
      <c r="H48" s="24">
        <f t="shared" si="13"/>
        <v>419.1808048187923</v>
      </c>
      <c r="I48" s="21">
        <f t="shared" si="20"/>
        <v>0</v>
      </c>
      <c r="J48" s="63">
        <f t="shared" si="2"/>
        <v>0</v>
      </c>
      <c r="K48" s="66">
        <f t="shared" si="19"/>
        <v>1327.4058819261754</v>
      </c>
      <c r="L48" s="17"/>
      <c r="M48" s="23">
        <f t="shared" si="14"/>
        <v>0</v>
      </c>
      <c r="N48" s="23">
        <f t="shared" si="3"/>
        <v>0</v>
      </c>
      <c r="O48" s="23">
        <f t="shared" si="4"/>
        <v>0</v>
      </c>
      <c r="P48" s="17"/>
      <c r="Q48" s="19">
        <f>IF(C48="","",'Tabla_Puntual&amp;Relacionamiento'!$E$70)</f>
        <v>0.1045</v>
      </c>
      <c r="R48" s="19"/>
      <c r="S48" s="11">
        <f t="shared" si="15"/>
        <v>11906.586686744968</v>
      </c>
      <c r="T48" s="23">
        <f t="shared" si="5"/>
        <v>950819.93407747557</v>
      </c>
      <c r="U48" s="37">
        <f t="shared" si="6"/>
        <v>1</v>
      </c>
      <c r="V48" s="37">
        <f t="shared" si="18"/>
        <v>28</v>
      </c>
      <c r="X48" s="31">
        <f t="shared" si="7"/>
        <v>10369.415920071633</v>
      </c>
      <c r="Y48" s="34">
        <f t="shared" si="23"/>
        <v>1.0383609999999999</v>
      </c>
      <c r="Z48" s="31">
        <f t="shared" si="8"/>
        <v>0</v>
      </c>
      <c r="AA48" s="66">
        <f t="shared" si="9"/>
        <v>25750</v>
      </c>
      <c r="AB48" s="6">
        <f t="shared" si="10"/>
        <v>0</v>
      </c>
      <c r="AC48" s="48">
        <f t="shared" si="22"/>
        <v>0</v>
      </c>
    </row>
    <row r="49" spans="3:29" x14ac:dyDescent="0.25">
      <c r="C49" s="27">
        <f t="shared" si="11"/>
        <v>29</v>
      </c>
      <c r="D49" s="30">
        <f t="shared" si="12"/>
        <v>950819.93407747557</v>
      </c>
      <c r="E49" s="20">
        <f t="shared" si="17"/>
        <v>10160</v>
      </c>
      <c r="F49" s="20">
        <f t="shared" si="0"/>
        <v>1879.943074075316</v>
      </c>
      <c r="G49" s="21">
        <f t="shared" si="1"/>
        <v>8280.056925924684</v>
      </c>
      <c r="H49" s="24">
        <f t="shared" si="13"/>
        <v>418.36077099408925</v>
      </c>
      <c r="I49" s="21">
        <f t="shared" si="20"/>
        <v>0</v>
      </c>
      <c r="J49" s="63">
        <f t="shared" si="2"/>
        <v>0</v>
      </c>
      <c r="K49" s="66">
        <f t="shared" si="19"/>
        <v>1324.8091081479495</v>
      </c>
      <c r="L49" s="17"/>
      <c r="M49" s="23">
        <f t="shared" si="14"/>
        <v>0</v>
      </c>
      <c r="N49" s="23">
        <f t="shared" si="3"/>
        <v>0</v>
      </c>
      <c r="O49" s="23">
        <f t="shared" si="4"/>
        <v>0</v>
      </c>
      <c r="P49" s="17"/>
      <c r="Q49" s="19">
        <f>IF(C49="","",'Tabla_Puntual&amp;Relacionamiento'!$E$70)</f>
        <v>0.1045</v>
      </c>
      <c r="R49" s="19"/>
      <c r="S49" s="11">
        <f t="shared" si="15"/>
        <v>11903.169879142039</v>
      </c>
      <c r="T49" s="23">
        <f t="shared" si="5"/>
        <v>948939.9910034003</v>
      </c>
      <c r="U49" s="37">
        <f t="shared" si="6"/>
        <v>1</v>
      </c>
      <c r="V49" s="37">
        <f t="shared" si="18"/>
        <v>29</v>
      </c>
      <c r="X49" s="31">
        <f t="shared" si="7"/>
        <v>10368.595886246931</v>
      </c>
      <c r="Y49" s="34">
        <f t="shared" si="23"/>
        <v>1.0383609999999999</v>
      </c>
      <c r="Z49" s="31">
        <f t="shared" si="8"/>
        <v>0</v>
      </c>
      <c r="AA49" s="66">
        <f t="shared" si="9"/>
        <v>25750</v>
      </c>
      <c r="AB49" s="6">
        <f t="shared" si="10"/>
        <v>0</v>
      </c>
      <c r="AC49" s="48">
        <f t="shared" si="22"/>
        <v>0</v>
      </c>
    </row>
    <row r="50" spans="3:29" x14ac:dyDescent="0.25">
      <c r="C50" s="27">
        <f t="shared" si="11"/>
        <v>30</v>
      </c>
      <c r="D50" s="30">
        <f t="shared" si="12"/>
        <v>948939.9910034003</v>
      </c>
      <c r="E50" s="20">
        <f t="shared" si="17"/>
        <v>10160</v>
      </c>
      <c r="F50" s="20">
        <f t="shared" si="0"/>
        <v>1896.3142450120558</v>
      </c>
      <c r="G50" s="21">
        <f t="shared" si="1"/>
        <v>8263.6857549879442</v>
      </c>
      <c r="H50" s="24">
        <f t="shared" si="13"/>
        <v>417.53359604149614</v>
      </c>
      <c r="I50" s="21">
        <f t="shared" si="20"/>
        <v>0</v>
      </c>
      <c r="J50" s="63">
        <f t="shared" si="2"/>
        <v>0</v>
      </c>
      <c r="K50" s="66">
        <f t="shared" si="19"/>
        <v>1322.189720798071</v>
      </c>
      <c r="L50" s="17"/>
      <c r="M50" s="23">
        <f t="shared" si="14"/>
        <v>0</v>
      </c>
      <c r="N50" s="23">
        <f t="shared" si="3"/>
        <v>0</v>
      </c>
      <c r="O50" s="23">
        <f t="shared" si="4"/>
        <v>0</v>
      </c>
      <c r="P50" s="17"/>
      <c r="Q50" s="19">
        <f>IF(C50="","",'Tabla_Puntual&amp;Relacionamiento'!$E$70)</f>
        <v>0.1045</v>
      </c>
      <c r="R50" s="19"/>
      <c r="S50" s="11">
        <f t="shared" si="15"/>
        <v>11899.723316839567</v>
      </c>
      <c r="T50" s="23">
        <f t="shared" si="5"/>
        <v>947043.67675838829</v>
      </c>
      <c r="U50" s="37">
        <f t="shared" si="6"/>
        <v>1</v>
      </c>
      <c r="V50" s="37">
        <f t="shared" si="18"/>
        <v>30</v>
      </c>
      <c r="X50" s="31">
        <f t="shared" si="7"/>
        <v>10367.768711294337</v>
      </c>
      <c r="Y50" s="34">
        <f t="shared" si="23"/>
        <v>1.0383609999999999</v>
      </c>
      <c r="Z50" s="31">
        <f t="shared" si="8"/>
        <v>0</v>
      </c>
      <c r="AA50" s="66">
        <f t="shared" si="9"/>
        <v>25750</v>
      </c>
      <c r="AB50" s="6">
        <f t="shared" si="10"/>
        <v>0</v>
      </c>
      <c r="AC50" s="48">
        <f t="shared" si="22"/>
        <v>0</v>
      </c>
    </row>
    <row r="51" spans="3:29" x14ac:dyDescent="0.25">
      <c r="C51" s="27">
        <f t="shared" si="11"/>
        <v>31</v>
      </c>
      <c r="D51" s="30">
        <f t="shared" si="12"/>
        <v>947043.67675838829</v>
      </c>
      <c r="E51" s="20">
        <f t="shared" si="17"/>
        <v>10160</v>
      </c>
      <c r="F51" s="20">
        <f t="shared" si="0"/>
        <v>1912.8279815623682</v>
      </c>
      <c r="G51" s="21">
        <f t="shared" si="1"/>
        <v>8247.1720184376318</v>
      </c>
      <c r="H51" s="24">
        <f t="shared" si="13"/>
        <v>416.69921777369086</v>
      </c>
      <c r="I51" s="21">
        <f t="shared" si="20"/>
        <v>0</v>
      </c>
      <c r="J51" s="63">
        <f t="shared" si="2"/>
        <v>0</v>
      </c>
      <c r="K51" s="66">
        <f t="shared" si="19"/>
        <v>1319.5475229500212</v>
      </c>
      <c r="L51" s="17"/>
      <c r="M51" s="23">
        <f t="shared" si="14"/>
        <v>0</v>
      </c>
      <c r="N51" s="23">
        <f t="shared" si="3"/>
        <v>0</v>
      </c>
      <c r="O51" s="23">
        <f t="shared" si="4"/>
        <v>0</v>
      </c>
      <c r="P51" s="17"/>
      <c r="Q51" s="19">
        <f>IF(C51="","",'Tabla_Puntual&amp;Relacionamiento'!$E$70)</f>
        <v>0.1045</v>
      </c>
      <c r="R51" s="19"/>
      <c r="S51" s="11">
        <f t="shared" si="15"/>
        <v>11896.246740723711</v>
      </c>
      <c r="T51" s="23">
        <f t="shared" si="5"/>
        <v>945130.84877682594</v>
      </c>
      <c r="U51" s="37">
        <f t="shared" si="6"/>
        <v>1</v>
      </c>
      <c r="V51" s="37">
        <f t="shared" si="18"/>
        <v>31</v>
      </c>
      <c r="X51" s="31">
        <f t="shared" si="7"/>
        <v>10366.934333026531</v>
      </c>
      <c r="Y51" s="34">
        <f t="shared" si="23"/>
        <v>1.0383609999999999</v>
      </c>
      <c r="Z51" s="31">
        <f t="shared" si="8"/>
        <v>0</v>
      </c>
      <c r="AA51" s="66">
        <f t="shared" si="9"/>
        <v>25750</v>
      </c>
      <c r="AB51" s="6">
        <f t="shared" si="10"/>
        <v>0</v>
      </c>
      <c r="AC51" s="48">
        <f t="shared" si="22"/>
        <v>0</v>
      </c>
    </row>
    <row r="52" spans="3:29" x14ac:dyDescent="0.25">
      <c r="C52" s="27">
        <f t="shared" si="11"/>
        <v>32</v>
      </c>
      <c r="D52" s="30">
        <f t="shared" si="12"/>
        <v>945130.84877682594</v>
      </c>
      <c r="E52" s="20">
        <f t="shared" si="17"/>
        <v>10160</v>
      </c>
      <c r="F52" s="20">
        <f t="shared" si="0"/>
        <v>1929.4855252351408</v>
      </c>
      <c r="G52" s="21">
        <f t="shared" si="1"/>
        <v>8230.5144747648592</v>
      </c>
      <c r="H52" s="24">
        <f t="shared" si="13"/>
        <v>415.85757346180344</v>
      </c>
      <c r="I52" s="21">
        <f t="shared" si="20"/>
        <v>0</v>
      </c>
      <c r="J52" s="63">
        <f t="shared" si="2"/>
        <v>0</v>
      </c>
      <c r="K52" s="66">
        <f t="shared" si="19"/>
        <v>1316.8823159623776</v>
      </c>
      <c r="L52" s="17"/>
      <c r="M52" s="23">
        <f t="shared" si="14"/>
        <v>0</v>
      </c>
      <c r="N52" s="23">
        <f t="shared" si="3"/>
        <v>0</v>
      </c>
      <c r="O52" s="23">
        <f t="shared" si="4"/>
        <v>0</v>
      </c>
      <c r="P52" s="17"/>
      <c r="Q52" s="19">
        <f>IF(C52="","",'Tabla_Puntual&amp;Relacionamiento'!$E$70)</f>
        <v>0.1045</v>
      </c>
      <c r="R52" s="19"/>
      <c r="S52" s="11">
        <f t="shared" si="15"/>
        <v>11892.73988942418</v>
      </c>
      <c r="T52" s="23">
        <f t="shared" si="5"/>
        <v>943201.36325159075</v>
      </c>
      <c r="U52" s="37">
        <f t="shared" si="6"/>
        <v>1</v>
      </c>
      <c r="V52" s="37">
        <f t="shared" si="18"/>
        <v>32</v>
      </c>
      <c r="X52" s="31">
        <f t="shared" si="7"/>
        <v>10366.092688714645</v>
      </c>
      <c r="Y52" s="34">
        <f t="shared" si="23"/>
        <v>1.0383609999999999</v>
      </c>
      <c r="Z52" s="31">
        <f t="shared" si="8"/>
        <v>0</v>
      </c>
      <c r="AA52" s="66">
        <f t="shared" si="9"/>
        <v>25750</v>
      </c>
      <c r="AB52" s="6">
        <f t="shared" si="10"/>
        <v>0</v>
      </c>
      <c r="AC52" s="48">
        <f t="shared" si="22"/>
        <v>0</v>
      </c>
    </row>
    <row r="53" spans="3:29" x14ac:dyDescent="0.25">
      <c r="C53" s="27">
        <f t="shared" si="11"/>
        <v>33</v>
      </c>
      <c r="D53" s="30">
        <f t="shared" si="12"/>
        <v>943201.36325159075</v>
      </c>
      <c r="E53" s="20">
        <f t="shared" si="17"/>
        <v>10160</v>
      </c>
      <c r="F53" s="20">
        <f t="shared" si="0"/>
        <v>1946.2881283507304</v>
      </c>
      <c r="G53" s="21">
        <f t="shared" si="1"/>
        <v>8213.7118716492696</v>
      </c>
      <c r="H53" s="24">
        <f t="shared" si="13"/>
        <v>415.00859983069989</v>
      </c>
      <c r="I53" s="21">
        <f t="shared" si="20"/>
        <v>0</v>
      </c>
      <c r="J53" s="63">
        <f t="shared" si="2"/>
        <v>0</v>
      </c>
      <c r="K53" s="66">
        <f t="shared" si="19"/>
        <v>1314.1938994638831</v>
      </c>
      <c r="L53" s="17"/>
      <c r="M53" s="23">
        <f t="shared" si="14"/>
        <v>0</v>
      </c>
      <c r="N53" s="23">
        <f t="shared" si="3"/>
        <v>0</v>
      </c>
      <c r="O53" s="23">
        <f t="shared" si="4"/>
        <v>0</v>
      </c>
      <c r="P53" s="17"/>
      <c r="Q53" s="19">
        <f>IF(C53="","",'Tabla_Puntual&amp;Relacionamiento'!$E$70)</f>
        <v>0.1045</v>
      </c>
      <c r="R53" s="19"/>
      <c r="S53" s="11">
        <f t="shared" si="15"/>
        <v>11889.202499294584</v>
      </c>
      <c r="T53" s="23">
        <f t="shared" si="5"/>
        <v>941255.07512324001</v>
      </c>
      <c r="U53" s="37">
        <f t="shared" si="6"/>
        <v>1</v>
      </c>
      <c r="V53" s="37">
        <f t="shared" si="18"/>
        <v>33</v>
      </c>
      <c r="X53" s="31">
        <f t="shared" si="7"/>
        <v>10365.243715083541</v>
      </c>
      <c r="Y53" s="34">
        <f t="shared" si="23"/>
        <v>1.0383609999999999</v>
      </c>
      <c r="Z53" s="31">
        <f t="shared" si="8"/>
        <v>0</v>
      </c>
      <c r="AA53" s="66">
        <f t="shared" si="9"/>
        <v>25750</v>
      </c>
      <c r="AB53" s="6">
        <f t="shared" si="10"/>
        <v>0</v>
      </c>
      <c r="AC53" s="48">
        <f t="shared" si="22"/>
        <v>0</v>
      </c>
    </row>
    <row r="54" spans="3:29" x14ac:dyDescent="0.25">
      <c r="C54" s="27">
        <f t="shared" si="11"/>
        <v>34</v>
      </c>
      <c r="D54" s="30">
        <f t="shared" si="12"/>
        <v>941255.07512324001</v>
      </c>
      <c r="E54" s="20">
        <f t="shared" si="17"/>
        <v>10160</v>
      </c>
      <c r="F54" s="20">
        <f t="shared" si="0"/>
        <v>1963.2370541351174</v>
      </c>
      <c r="G54" s="21">
        <f t="shared" si="1"/>
        <v>8196.7629458648826</v>
      </c>
      <c r="H54" s="24">
        <f t="shared" si="13"/>
        <v>414.15223305422563</v>
      </c>
      <c r="I54" s="21">
        <f t="shared" si="20"/>
        <v>0</v>
      </c>
      <c r="J54" s="63">
        <f t="shared" si="2"/>
        <v>0</v>
      </c>
      <c r="K54" s="66">
        <f t="shared" si="19"/>
        <v>1311.4820713383813</v>
      </c>
      <c r="L54" s="17"/>
      <c r="M54" s="23">
        <f t="shared" si="14"/>
        <v>0</v>
      </c>
      <c r="N54" s="23">
        <f t="shared" si="3"/>
        <v>0</v>
      </c>
      <c r="O54" s="23">
        <f t="shared" si="4"/>
        <v>0</v>
      </c>
      <c r="P54" s="17"/>
      <c r="Q54" s="19">
        <f>IF(C54="","",'Tabla_Puntual&amp;Relacionamiento'!$E$70)</f>
        <v>0.1045</v>
      </c>
      <c r="R54" s="19"/>
      <c r="S54" s="11">
        <f t="shared" si="15"/>
        <v>11885.634304392606</v>
      </c>
      <c r="T54" s="23">
        <f t="shared" si="5"/>
        <v>939291.83806910494</v>
      </c>
      <c r="U54" s="37">
        <f t="shared" si="6"/>
        <v>1</v>
      </c>
      <c r="V54" s="37">
        <f t="shared" si="18"/>
        <v>34</v>
      </c>
      <c r="X54" s="31">
        <f t="shared" si="7"/>
        <v>10364.387348307066</v>
      </c>
      <c r="Y54" s="34">
        <f t="shared" si="23"/>
        <v>1.0383609999999999</v>
      </c>
      <c r="Z54" s="31">
        <f t="shared" si="8"/>
        <v>0</v>
      </c>
      <c r="AA54" s="66">
        <f t="shared" si="9"/>
        <v>25750</v>
      </c>
      <c r="AB54" s="6">
        <f t="shared" si="10"/>
        <v>0</v>
      </c>
      <c r="AC54" s="48">
        <f t="shared" si="22"/>
        <v>0</v>
      </c>
    </row>
    <row r="55" spans="3:29" x14ac:dyDescent="0.25">
      <c r="C55" s="27">
        <f t="shared" si="11"/>
        <v>35</v>
      </c>
      <c r="D55" s="30">
        <f t="shared" si="12"/>
        <v>939291.83806910494</v>
      </c>
      <c r="E55" s="20">
        <f t="shared" si="17"/>
        <v>10160</v>
      </c>
      <c r="F55" s="20">
        <f t="shared" si="0"/>
        <v>1980.3335768148772</v>
      </c>
      <c r="G55" s="21">
        <f t="shared" si="1"/>
        <v>8179.6664231851228</v>
      </c>
      <c r="H55" s="24">
        <f t="shared" si="13"/>
        <v>413.28840875040618</v>
      </c>
      <c r="I55" s="21">
        <f t="shared" si="20"/>
        <v>0</v>
      </c>
      <c r="J55" s="63">
        <f t="shared" si="2"/>
        <v>0</v>
      </c>
      <c r="K55" s="66">
        <f t="shared" si="19"/>
        <v>1308.7466277096196</v>
      </c>
      <c r="L55" s="17"/>
      <c r="M55" s="23">
        <f t="shared" si="14"/>
        <v>0</v>
      </c>
      <c r="N55" s="23">
        <f t="shared" si="3"/>
        <v>0</v>
      </c>
      <c r="O55" s="23">
        <f t="shared" si="4"/>
        <v>0</v>
      </c>
      <c r="P55" s="17"/>
      <c r="Q55" s="19">
        <f>IF(C55="","",'Tabla_Puntual&amp;Relacionamiento'!$E$70)</f>
        <v>0.1045</v>
      </c>
      <c r="R55" s="19"/>
      <c r="S55" s="11">
        <f t="shared" si="15"/>
        <v>11882.035036460025</v>
      </c>
      <c r="T55" s="23">
        <f t="shared" si="5"/>
        <v>937311.50449229009</v>
      </c>
      <c r="U55" s="37">
        <f t="shared" si="6"/>
        <v>1</v>
      </c>
      <c r="V55" s="37">
        <f t="shared" si="18"/>
        <v>35</v>
      </c>
      <c r="X55" s="31">
        <f t="shared" si="7"/>
        <v>10363.523524003247</v>
      </c>
      <c r="Y55" s="34">
        <f t="shared" si="23"/>
        <v>1.0383609999999999</v>
      </c>
      <c r="Z55" s="31">
        <f t="shared" si="8"/>
        <v>0</v>
      </c>
      <c r="AA55" s="66">
        <f t="shared" si="9"/>
        <v>25750</v>
      </c>
      <c r="AB55" s="6">
        <f t="shared" si="10"/>
        <v>0</v>
      </c>
      <c r="AC55" s="48">
        <f t="shared" si="22"/>
        <v>0</v>
      </c>
    </row>
    <row r="56" spans="3:29" x14ac:dyDescent="0.25">
      <c r="C56" s="27">
        <f t="shared" si="11"/>
        <v>36</v>
      </c>
      <c r="D56" s="30">
        <f t="shared" si="12"/>
        <v>937311.50449229009</v>
      </c>
      <c r="E56" s="20">
        <f t="shared" si="17"/>
        <v>10160</v>
      </c>
      <c r="F56" s="20">
        <f t="shared" si="0"/>
        <v>1997.5789817129735</v>
      </c>
      <c r="G56" s="21">
        <f t="shared" si="1"/>
        <v>8162.4210182870265</v>
      </c>
      <c r="H56" s="24">
        <f t="shared" si="13"/>
        <v>412.41706197660767</v>
      </c>
      <c r="I56" s="21">
        <f t="shared" si="20"/>
        <v>0</v>
      </c>
      <c r="J56" s="63">
        <f t="shared" si="2"/>
        <v>0</v>
      </c>
      <c r="K56" s="66">
        <f t="shared" si="19"/>
        <v>1305.9873629259243</v>
      </c>
      <c r="L56" s="17"/>
      <c r="M56" s="23">
        <f t="shared" si="14"/>
        <v>0</v>
      </c>
      <c r="N56" s="23">
        <f t="shared" si="3"/>
        <v>0</v>
      </c>
      <c r="O56" s="23">
        <f t="shared" si="4"/>
        <v>0</v>
      </c>
      <c r="P56" s="17"/>
      <c r="Q56" s="19">
        <f>IF(C56="","",'Tabla_Puntual&amp;Relacionamiento'!$E$70)</f>
        <v>0.1045</v>
      </c>
      <c r="R56" s="19"/>
      <c r="S56" s="11">
        <f t="shared" si="15"/>
        <v>11878.404424902532</v>
      </c>
      <c r="T56" s="23">
        <f t="shared" si="5"/>
        <v>935313.92551057716</v>
      </c>
      <c r="U56" s="37">
        <f t="shared" si="6"/>
        <v>1</v>
      </c>
      <c r="V56" s="37">
        <f t="shared" si="18"/>
        <v>36</v>
      </c>
      <c r="X56" s="31">
        <f t="shared" si="7"/>
        <v>10362.652177229449</v>
      </c>
      <c r="Y56" s="34">
        <f t="shared" si="23"/>
        <v>1.0383609999999999</v>
      </c>
      <c r="Z56" s="31">
        <f t="shared" si="8"/>
        <v>0</v>
      </c>
      <c r="AA56" s="66">
        <f t="shared" si="9"/>
        <v>25750</v>
      </c>
      <c r="AB56" s="6">
        <f t="shared" si="10"/>
        <v>0</v>
      </c>
      <c r="AC56" s="48">
        <f t="shared" si="22"/>
        <v>0</v>
      </c>
    </row>
    <row r="57" spans="3:29" x14ac:dyDescent="0.25">
      <c r="C57" s="27">
        <f t="shared" si="11"/>
        <v>37</v>
      </c>
      <c r="D57" s="30">
        <f t="shared" si="12"/>
        <v>935313.92551057716</v>
      </c>
      <c r="E57" s="20">
        <f t="shared" si="17"/>
        <v>10160</v>
      </c>
      <c r="F57" s="20">
        <f t="shared" si="0"/>
        <v>1898.0603246565679</v>
      </c>
      <c r="G57" s="21">
        <f t="shared" si="1"/>
        <v>8261.9396753434321</v>
      </c>
      <c r="H57" s="24">
        <f t="shared" si="13"/>
        <v>411.53812722465398</v>
      </c>
      <c r="I57" s="21">
        <f t="shared" si="20"/>
        <v>0</v>
      </c>
      <c r="J57" s="63">
        <f t="shared" si="2"/>
        <v>0</v>
      </c>
      <c r="K57" s="66">
        <f t="shared" si="19"/>
        <v>1321.9103480549491</v>
      </c>
      <c r="L57" s="17"/>
      <c r="M57" s="23">
        <f t="shared" si="14"/>
        <v>0</v>
      </c>
      <c r="N57" s="23">
        <f t="shared" si="3"/>
        <v>0</v>
      </c>
      <c r="O57" s="23">
        <f t="shared" si="4"/>
        <v>0</v>
      </c>
      <c r="P57" s="17"/>
      <c r="Q57" s="19">
        <f>IF(C57="","",'Tabla_Puntual&amp;Relacionamiento'!$E$71)</f>
        <v>0.106</v>
      </c>
      <c r="R57" s="19" t="str">
        <f>IF(C57="","",IF($E$14="Pago_Bajo_Puntual",$M$17,""))</f>
        <v/>
      </c>
      <c r="S57" s="11">
        <f t="shared" si="15"/>
        <v>11893.448475279603</v>
      </c>
      <c r="T57" s="23">
        <f t="shared" si="5"/>
        <v>933415.86518592061</v>
      </c>
      <c r="U57" s="37">
        <f t="shared" si="6"/>
        <v>1</v>
      </c>
      <c r="V57" s="37">
        <f t="shared" si="18"/>
        <v>37</v>
      </c>
      <c r="X57" s="31">
        <f t="shared" si="7"/>
        <v>10462.599409625298</v>
      </c>
      <c r="Y57" s="34">
        <f>Y56*1.019</f>
        <v>1.0580898589999999</v>
      </c>
      <c r="Z57" s="31">
        <f t="shared" si="8"/>
        <v>0</v>
      </c>
      <c r="AA57" s="66">
        <f t="shared" si="9"/>
        <v>25750</v>
      </c>
      <c r="AB57" s="6">
        <f t="shared" si="10"/>
        <v>0</v>
      </c>
      <c r="AC57" s="48">
        <f>AC56+$M$17</f>
        <v>0</v>
      </c>
    </row>
    <row r="58" spans="3:29" x14ac:dyDescent="0.25">
      <c r="C58" s="27">
        <f t="shared" si="11"/>
        <v>38</v>
      </c>
      <c r="D58" s="30">
        <f t="shared" si="12"/>
        <v>933415.86518592061</v>
      </c>
      <c r="E58" s="20">
        <f t="shared" si="17"/>
        <v>10160</v>
      </c>
      <c r="F58" s="20">
        <f t="shared" si="0"/>
        <v>1914.826524191034</v>
      </c>
      <c r="G58" s="21">
        <f t="shared" si="1"/>
        <v>8245.173475808966</v>
      </c>
      <c r="H58" s="24">
        <f t="shared" si="13"/>
        <v>410.70298068180506</v>
      </c>
      <c r="I58" s="21">
        <f t="shared" si="20"/>
        <v>0</v>
      </c>
      <c r="J58" s="63">
        <f t="shared" si="2"/>
        <v>0</v>
      </c>
      <c r="K58" s="66">
        <f t="shared" si="19"/>
        <v>1319.2277561294345</v>
      </c>
      <c r="L58" s="17"/>
      <c r="M58" s="23">
        <f t="shared" si="14"/>
        <v>0</v>
      </c>
      <c r="N58" s="23">
        <f t="shared" si="3"/>
        <v>0</v>
      </c>
      <c r="O58" s="23">
        <f t="shared" si="4"/>
        <v>0</v>
      </c>
      <c r="P58" s="17"/>
      <c r="Q58" s="19">
        <f>IF(C58="","",'Tabla_Puntual&amp;Relacionamiento'!$E$71)</f>
        <v>0.106</v>
      </c>
      <c r="R58" s="19"/>
      <c r="S58" s="11">
        <f t="shared" si="15"/>
        <v>11889.930736811239</v>
      </c>
      <c r="T58" s="23">
        <f t="shared" si="5"/>
        <v>931501.03866172954</v>
      </c>
      <c r="U58" s="37">
        <f t="shared" si="6"/>
        <v>1</v>
      </c>
      <c r="V58" s="37">
        <f t="shared" si="18"/>
        <v>38</v>
      </c>
      <c r="X58" s="31">
        <f t="shared" si="7"/>
        <v>10461.764263082448</v>
      </c>
      <c r="Y58" s="34">
        <f t="shared" ref="Y58:Y68" si="24">Y57</f>
        <v>1.0580898589999999</v>
      </c>
      <c r="Z58" s="31">
        <f t="shared" si="8"/>
        <v>0</v>
      </c>
      <c r="AA58" s="66">
        <f t="shared" si="9"/>
        <v>25750</v>
      </c>
      <c r="AB58" s="6">
        <f t="shared" si="10"/>
        <v>0</v>
      </c>
      <c r="AC58" s="48">
        <f t="shared" si="22"/>
        <v>0</v>
      </c>
    </row>
    <row r="59" spans="3:29" x14ac:dyDescent="0.25">
      <c r="C59" s="27">
        <f t="shared" si="11"/>
        <v>39</v>
      </c>
      <c r="D59" s="30">
        <f t="shared" si="12"/>
        <v>931501.03866172954</v>
      </c>
      <c r="E59" s="20">
        <f t="shared" si="17"/>
        <v>10160</v>
      </c>
      <c r="F59" s="20">
        <f t="shared" si="0"/>
        <v>1931.7408251547222</v>
      </c>
      <c r="G59" s="21">
        <f t="shared" si="1"/>
        <v>8228.2591748452778</v>
      </c>
      <c r="H59" s="24">
        <f t="shared" si="13"/>
        <v>409.86045701116103</v>
      </c>
      <c r="I59" s="21">
        <f t="shared" si="20"/>
        <v>0</v>
      </c>
      <c r="J59" s="63">
        <f t="shared" si="2"/>
        <v>0</v>
      </c>
      <c r="K59" s="66">
        <f t="shared" si="19"/>
        <v>1316.5214679752444</v>
      </c>
      <c r="L59" s="17"/>
      <c r="M59" s="23">
        <f t="shared" si="14"/>
        <v>0</v>
      </c>
      <c r="N59" s="23">
        <f t="shared" si="3"/>
        <v>0</v>
      </c>
      <c r="O59" s="23">
        <f t="shared" si="4"/>
        <v>0</v>
      </c>
      <c r="P59" s="17"/>
      <c r="Q59" s="19">
        <f>IF(C59="","",'Tabla_Puntual&amp;Relacionamiento'!$E$71)</f>
        <v>0.106</v>
      </c>
      <c r="R59" s="19"/>
      <c r="S59" s="11">
        <f t="shared" si="15"/>
        <v>11886.381924986405</v>
      </c>
      <c r="T59" s="23">
        <f t="shared" si="5"/>
        <v>929569.29783657484</v>
      </c>
      <c r="U59" s="37">
        <f t="shared" si="6"/>
        <v>1</v>
      </c>
      <c r="V59" s="37">
        <f t="shared" si="18"/>
        <v>39</v>
      </c>
      <c r="X59" s="31">
        <f t="shared" si="7"/>
        <v>10460.921739411804</v>
      </c>
      <c r="Y59" s="34">
        <f t="shared" si="24"/>
        <v>1.0580898589999999</v>
      </c>
      <c r="Z59" s="31">
        <f t="shared" si="8"/>
        <v>0</v>
      </c>
      <c r="AA59" s="66">
        <f t="shared" si="9"/>
        <v>25750</v>
      </c>
      <c r="AB59" s="6">
        <f t="shared" si="10"/>
        <v>0</v>
      </c>
      <c r="AC59" s="48">
        <f t="shared" si="22"/>
        <v>0</v>
      </c>
    </row>
    <row r="60" spans="3:29" x14ac:dyDescent="0.25">
      <c r="C60" s="27">
        <f t="shared" si="11"/>
        <v>40</v>
      </c>
      <c r="D60" s="30">
        <f t="shared" si="12"/>
        <v>929569.29783657484</v>
      </c>
      <c r="E60" s="20">
        <f t="shared" si="17"/>
        <v>10160</v>
      </c>
      <c r="F60" s="20">
        <f t="shared" si="0"/>
        <v>1948.8045357769224</v>
      </c>
      <c r="G60" s="21">
        <f t="shared" si="1"/>
        <v>8211.1954642230776</v>
      </c>
      <c r="H60" s="24">
        <f t="shared" si="13"/>
        <v>409.01049104809294</v>
      </c>
      <c r="I60" s="21">
        <f t="shared" si="20"/>
        <v>0</v>
      </c>
      <c r="J60" s="63">
        <f t="shared" si="2"/>
        <v>0</v>
      </c>
      <c r="K60" s="66">
        <f t="shared" si="19"/>
        <v>1313.7912742756923</v>
      </c>
      <c r="L60" s="17"/>
      <c r="M60" s="23">
        <f t="shared" si="14"/>
        <v>0</v>
      </c>
      <c r="N60" s="23">
        <f t="shared" si="3"/>
        <v>0</v>
      </c>
      <c r="O60" s="23">
        <f t="shared" si="4"/>
        <v>0</v>
      </c>
      <c r="P60" s="17"/>
      <c r="Q60" s="19">
        <f>IF(C60="","",'Tabla_Puntual&amp;Relacionamiento'!$E$71)</f>
        <v>0.106</v>
      </c>
      <c r="R60" s="19"/>
      <c r="S60" s="11">
        <f t="shared" si="15"/>
        <v>11882.801765323786</v>
      </c>
      <c r="T60" s="23">
        <f t="shared" si="5"/>
        <v>927620.49330079788</v>
      </c>
      <c r="U60" s="37">
        <f t="shared" si="6"/>
        <v>1</v>
      </c>
      <c r="V60" s="37">
        <f t="shared" si="18"/>
        <v>40</v>
      </c>
      <c r="X60" s="31">
        <f t="shared" si="7"/>
        <v>10460.071773448737</v>
      </c>
      <c r="Y60" s="34">
        <f t="shared" si="24"/>
        <v>1.0580898589999999</v>
      </c>
      <c r="Z60" s="31">
        <f t="shared" si="8"/>
        <v>0</v>
      </c>
      <c r="AA60" s="66">
        <f t="shared" si="9"/>
        <v>25750</v>
      </c>
      <c r="AB60" s="6">
        <f t="shared" si="10"/>
        <v>0</v>
      </c>
      <c r="AC60" s="48">
        <f t="shared" si="22"/>
        <v>0</v>
      </c>
    </row>
    <row r="61" spans="3:29" x14ac:dyDescent="0.25">
      <c r="C61" s="27">
        <f t="shared" si="11"/>
        <v>41</v>
      </c>
      <c r="D61" s="30">
        <f t="shared" si="12"/>
        <v>927620.49330079788</v>
      </c>
      <c r="E61" s="20">
        <f t="shared" si="17"/>
        <v>10160</v>
      </c>
      <c r="F61" s="20">
        <f t="shared" si="0"/>
        <v>1966.0189758429515</v>
      </c>
      <c r="G61" s="21">
        <f t="shared" si="1"/>
        <v>8193.9810241570485</v>
      </c>
      <c r="H61" s="24">
        <f t="shared" si="13"/>
        <v>408.15301705235112</v>
      </c>
      <c r="I61" s="21">
        <f t="shared" si="20"/>
        <v>0</v>
      </c>
      <c r="J61" s="63">
        <f t="shared" si="2"/>
        <v>0</v>
      </c>
      <c r="K61" s="66">
        <f t="shared" si="19"/>
        <v>1311.0369638651277</v>
      </c>
      <c r="L61" s="17"/>
      <c r="M61" s="23">
        <f t="shared" si="14"/>
        <v>0</v>
      </c>
      <c r="N61" s="23">
        <f t="shared" si="3"/>
        <v>0</v>
      </c>
      <c r="O61" s="23">
        <f t="shared" si="4"/>
        <v>0</v>
      </c>
      <c r="P61" s="17"/>
      <c r="Q61" s="19">
        <f>IF(C61="","",'Tabla_Puntual&amp;Relacionamiento'!$E$71)</f>
        <v>0.106</v>
      </c>
      <c r="R61" s="19"/>
      <c r="S61" s="11">
        <f t="shared" si="15"/>
        <v>11879.189980917479</v>
      </c>
      <c r="T61" s="23">
        <f t="shared" si="5"/>
        <v>925654.47432495491</v>
      </c>
      <c r="U61" s="37">
        <f t="shared" si="6"/>
        <v>1</v>
      </c>
      <c r="V61" s="37">
        <f t="shared" si="18"/>
        <v>41</v>
      </c>
      <c r="X61" s="31">
        <f t="shared" si="7"/>
        <v>10459.214299452995</v>
      </c>
      <c r="Y61" s="34">
        <f t="shared" si="24"/>
        <v>1.0580898589999999</v>
      </c>
      <c r="Z61" s="31">
        <f t="shared" si="8"/>
        <v>0</v>
      </c>
      <c r="AA61" s="66">
        <f t="shared" si="9"/>
        <v>25750</v>
      </c>
      <c r="AB61" s="6">
        <f t="shared" si="10"/>
        <v>0</v>
      </c>
      <c r="AC61" s="48">
        <f t="shared" si="22"/>
        <v>0</v>
      </c>
    </row>
    <row r="62" spans="3:29" x14ac:dyDescent="0.25">
      <c r="C62" s="27">
        <f t="shared" si="11"/>
        <v>42</v>
      </c>
      <c r="D62" s="30">
        <f t="shared" si="12"/>
        <v>925654.47432495491</v>
      </c>
      <c r="E62" s="20">
        <f t="shared" si="17"/>
        <v>10160</v>
      </c>
      <c r="F62" s="20">
        <f t="shared" si="0"/>
        <v>1983.3854767962312</v>
      </c>
      <c r="G62" s="21">
        <f t="shared" si="1"/>
        <v>8176.6145232037688</v>
      </c>
      <c r="H62" s="24">
        <f t="shared" si="13"/>
        <v>407.28796870298015</v>
      </c>
      <c r="I62" s="21">
        <f t="shared" si="20"/>
        <v>0</v>
      </c>
      <c r="J62" s="63">
        <f t="shared" si="2"/>
        <v>0</v>
      </c>
      <c r="K62" s="66">
        <f t="shared" si="19"/>
        <v>1308.258323712603</v>
      </c>
      <c r="L62" s="17"/>
      <c r="M62" s="23">
        <f t="shared" si="14"/>
        <v>0</v>
      </c>
      <c r="N62" s="23">
        <f t="shared" si="3"/>
        <v>0</v>
      </c>
      <c r="O62" s="23">
        <f t="shared" si="4"/>
        <v>0</v>
      </c>
      <c r="P62" s="17"/>
      <c r="Q62" s="19">
        <f>IF(C62="","",'Tabla_Puntual&amp;Relacionamiento'!$E$71)</f>
        <v>0.106</v>
      </c>
      <c r="R62" s="19"/>
      <c r="S62" s="11">
        <f t="shared" si="15"/>
        <v>11875.546292415584</v>
      </c>
      <c r="T62" s="23">
        <f t="shared" si="5"/>
        <v>923671.08884815872</v>
      </c>
      <c r="U62" s="37">
        <f t="shared" si="6"/>
        <v>1</v>
      </c>
      <c r="V62" s="37">
        <f t="shared" si="18"/>
        <v>42</v>
      </c>
      <c r="X62" s="31">
        <f t="shared" si="7"/>
        <v>10458.349251103624</v>
      </c>
      <c r="Y62" s="34">
        <f t="shared" si="24"/>
        <v>1.0580898589999999</v>
      </c>
      <c r="Z62" s="31">
        <f t="shared" si="8"/>
        <v>0</v>
      </c>
      <c r="AA62" s="66">
        <f t="shared" si="9"/>
        <v>25750</v>
      </c>
      <c r="AB62" s="6">
        <f t="shared" si="10"/>
        <v>0</v>
      </c>
      <c r="AC62" s="48">
        <f t="shared" si="22"/>
        <v>0</v>
      </c>
    </row>
    <row r="63" spans="3:29" x14ac:dyDescent="0.25">
      <c r="C63" s="27">
        <f t="shared" si="11"/>
        <v>43</v>
      </c>
      <c r="D63" s="30">
        <f t="shared" si="12"/>
        <v>923671.08884815872</v>
      </c>
      <c r="E63" s="20">
        <f t="shared" si="17"/>
        <v>10160</v>
      </c>
      <c r="F63" s="20">
        <f t="shared" si="0"/>
        <v>2000.905381841264</v>
      </c>
      <c r="G63" s="21">
        <f t="shared" si="1"/>
        <v>8159.094618158736</v>
      </c>
      <c r="H63" s="24">
        <f t="shared" si="13"/>
        <v>406.41527909318984</v>
      </c>
      <c r="I63" s="21">
        <f t="shared" si="20"/>
        <v>0</v>
      </c>
      <c r="J63" s="63">
        <f t="shared" si="2"/>
        <v>0</v>
      </c>
      <c r="K63" s="66">
        <f t="shared" si="19"/>
        <v>1305.4551389053977</v>
      </c>
      <c r="L63" s="17"/>
      <c r="M63" s="23">
        <f t="shared" si="14"/>
        <v>0</v>
      </c>
      <c r="N63" s="23">
        <f t="shared" si="3"/>
        <v>0</v>
      </c>
      <c r="O63" s="23">
        <f t="shared" si="4"/>
        <v>0</v>
      </c>
      <c r="P63" s="17"/>
      <c r="Q63" s="19">
        <f>IF(C63="","",'Tabla_Puntual&amp;Relacionamiento'!$E$71)</f>
        <v>0.106</v>
      </c>
      <c r="R63" s="19"/>
      <c r="S63" s="11">
        <f t="shared" si="15"/>
        <v>11871.870417998587</v>
      </c>
      <c r="T63" s="23">
        <f t="shared" si="5"/>
        <v>921670.18346631748</v>
      </c>
      <c r="U63" s="37">
        <f t="shared" si="6"/>
        <v>1</v>
      </c>
      <c r="V63" s="37">
        <f t="shared" si="18"/>
        <v>43</v>
      </c>
      <c r="X63" s="31">
        <f t="shared" si="7"/>
        <v>10457.476561493833</v>
      </c>
      <c r="Y63" s="34">
        <f t="shared" si="24"/>
        <v>1.0580898589999999</v>
      </c>
      <c r="Z63" s="31">
        <f t="shared" si="8"/>
        <v>0</v>
      </c>
      <c r="AA63" s="66">
        <f t="shared" si="9"/>
        <v>25750</v>
      </c>
      <c r="AB63" s="6">
        <f t="shared" si="10"/>
        <v>0</v>
      </c>
      <c r="AC63" s="48">
        <f t="shared" si="22"/>
        <v>0</v>
      </c>
    </row>
    <row r="64" spans="3:29" x14ac:dyDescent="0.25">
      <c r="C64" s="27">
        <f t="shared" si="11"/>
        <v>44</v>
      </c>
      <c r="D64" s="30">
        <f t="shared" si="12"/>
        <v>921670.18346631748</v>
      </c>
      <c r="E64" s="20">
        <f t="shared" si="17"/>
        <v>10160</v>
      </c>
      <c r="F64" s="20">
        <f t="shared" si="0"/>
        <v>2018.5800460475284</v>
      </c>
      <c r="G64" s="21">
        <f t="shared" si="1"/>
        <v>8141.4199539524716</v>
      </c>
      <c r="H64" s="24">
        <f t="shared" si="13"/>
        <v>405.53488072517968</v>
      </c>
      <c r="I64" s="21">
        <f t="shared" si="20"/>
        <v>0</v>
      </c>
      <c r="J64" s="63">
        <f t="shared" si="2"/>
        <v>0</v>
      </c>
      <c r="K64" s="66">
        <f t="shared" si="19"/>
        <v>1302.6271926323955</v>
      </c>
      <c r="L64" s="17"/>
      <c r="M64" s="23">
        <f t="shared" si="14"/>
        <v>0</v>
      </c>
      <c r="N64" s="23">
        <f t="shared" si="3"/>
        <v>0</v>
      </c>
      <c r="O64" s="23">
        <f t="shared" si="4"/>
        <v>0</v>
      </c>
      <c r="P64" s="17"/>
      <c r="Q64" s="19">
        <f>IF(C64="","",'Tabla_Puntual&amp;Relacionamiento'!$E$71)</f>
        <v>0.106</v>
      </c>
      <c r="R64" s="19"/>
      <c r="S64" s="11">
        <f t="shared" si="15"/>
        <v>11868.162073357575</v>
      </c>
      <c r="T64" s="23">
        <f t="shared" si="5"/>
        <v>919651.60342026991</v>
      </c>
      <c r="U64" s="37">
        <f t="shared" si="6"/>
        <v>1</v>
      </c>
      <c r="V64" s="37">
        <f t="shared" si="18"/>
        <v>44</v>
      </c>
      <c r="X64" s="31">
        <f t="shared" si="7"/>
        <v>10456.596163125823</v>
      </c>
      <c r="Y64" s="34">
        <f t="shared" si="24"/>
        <v>1.0580898589999999</v>
      </c>
      <c r="Z64" s="31">
        <f t="shared" si="8"/>
        <v>0</v>
      </c>
      <c r="AA64" s="66">
        <f t="shared" si="9"/>
        <v>25750</v>
      </c>
      <c r="AB64" s="6">
        <f t="shared" si="10"/>
        <v>0</v>
      </c>
      <c r="AC64" s="48">
        <f t="shared" si="22"/>
        <v>0</v>
      </c>
    </row>
    <row r="65" spans="3:29" x14ac:dyDescent="0.25">
      <c r="C65" s="27">
        <f t="shared" si="11"/>
        <v>45</v>
      </c>
      <c r="D65" s="30">
        <f t="shared" si="12"/>
        <v>919651.60342026991</v>
      </c>
      <c r="E65" s="20">
        <f t="shared" si="17"/>
        <v>10160</v>
      </c>
      <c r="F65" s="20">
        <f t="shared" si="0"/>
        <v>2036.4108364542826</v>
      </c>
      <c r="G65" s="21">
        <f t="shared" si="1"/>
        <v>8123.5891635457174</v>
      </c>
      <c r="H65" s="24">
        <f t="shared" si="13"/>
        <v>404.64670550491877</v>
      </c>
      <c r="I65" s="21">
        <f t="shared" si="20"/>
        <v>0</v>
      </c>
      <c r="J65" s="63">
        <f t="shared" si="2"/>
        <v>0</v>
      </c>
      <c r="K65" s="66">
        <f t="shared" si="19"/>
        <v>1299.7742661673149</v>
      </c>
      <c r="L65" s="17"/>
      <c r="M65" s="23">
        <f t="shared" si="14"/>
        <v>0</v>
      </c>
      <c r="N65" s="23">
        <f t="shared" si="3"/>
        <v>0</v>
      </c>
      <c r="O65" s="23">
        <f t="shared" si="4"/>
        <v>0</v>
      </c>
      <c r="P65" s="17"/>
      <c r="Q65" s="19">
        <f>IF(C65="","",'Tabla_Puntual&amp;Relacionamiento'!$E$71)</f>
        <v>0.106</v>
      </c>
      <c r="R65" s="19"/>
      <c r="S65" s="11">
        <f t="shared" si="15"/>
        <v>11864.420971672233</v>
      </c>
      <c r="T65" s="23">
        <f t="shared" si="5"/>
        <v>917615.19258381566</v>
      </c>
      <c r="U65" s="37">
        <f t="shared" si="6"/>
        <v>1</v>
      </c>
      <c r="V65" s="37">
        <f t="shared" si="18"/>
        <v>45</v>
      </c>
      <c r="X65" s="31">
        <f t="shared" si="7"/>
        <v>10455.707987905562</v>
      </c>
      <c r="Y65" s="34">
        <f t="shared" si="24"/>
        <v>1.0580898589999999</v>
      </c>
      <c r="Z65" s="31">
        <f t="shared" si="8"/>
        <v>0</v>
      </c>
      <c r="AA65" s="66">
        <f t="shared" si="9"/>
        <v>25750</v>
      </c>
      <c r="AB65" s="6">
        <f t="shared" si="10"/>
        <v>0</v>
      </c>
      <c r="AC65" s="48">
        <f t="shared" si="22"/>
        <v>0</v>
      </c>
    </row>
    <row r="66" spans="3:29" x14ac:dyDescent="0.25">
      <c r="C66" s="27">
        <f t="shared" si="11"/>
        <v>46</v>
      </c>
      <c r="D66" s="30">
        <f t="shared" si="12"/>
        <v>917615.19258381566</v>
      </c>
      <c r="E66" s="20">
        <f t="shared" si="17"/>
        <v>10160</v>
      </c>
      <c r="F66" s="20">
        <f t="shared" si="0"/>
        <v>2054.3991321762951</v>
      </c>
      <c r="G66" s="21">
        <f t="shared" si="1"/>
        <v>8105.6008678237049</v>
      </c>
      <c r="H66" s="24">
        <f t="shared" si="13"/>
        <v>403.7506847368789</v>
      </c>
      <c r="I66" s="21">
        <f t="shared" si="20"/>
        <v>0</v>
      </c>
      <c r="J66" s="63">
        <f t="shared" si="2"/>
        <v>0</v>
      </c>
      <c r="K66" s="66">
        <f t="shared" si="19"/>
        <v>1296.8961388517928</v>
      </c>
      <c r="L66" s="17"/>
      <c r="M66" s="23">
        <f t="shared" si="14"/>
        <v>0</v>
      </c>
      <c r="N66" s="23">
        <f t="shared" si="3"/>
        <v>0</v>
      </c>
      <c r="O66" s="23">
        <f t="shared" si="4"/>
        <v>0</v>
      </c>
      <c r="P66" s="17"/>
      <c r="Q66" s="19">
        <f>IF(C66="","",'Tabla_Puntual&amp;Relacionamiento'!$E$71)</f>
        <v>0.106</v>
      </c>
      <c r="R66" s="19"/>
      <c r="S66" s="11">
        <f t="shared" si="15"/>
        <v>11860.646823588671</v>
      </c>
      <c r="T66" s="23">
        <f t="shared" si="5"/>
        <v>915560.79345163936</v>
      </c>
      <c r="U66" s="37">
        <f t="shared" si="6"/>
        <v>1</v>
      </c>
      <c r="V66" s="37">
        <f t="shared" si="18"/>
        <v>46</v>
      </c>
      <c r="X66" s="31">
        <f t="shared" si="7"/>
        <v>10454.811967137523</v>
      </c>
      <c r="Y66" s="34">
        <f t="shared" si="24"/>
        <v>1.0580898589999999</v>
      </c>
      <c r="Z66" s="31">
        <f t="shared" si="8"/>
        <v>0</v>
      </c>
      <c r="AA66" s="66">
        <f t="shared" si="9"/>
        <v>25750</v>
      </c>
      <c r="AB66" s="6">
        <f t="shared" si="10"/>
        <v>0</v>
      </c>
      <c r="AC66" s="48">
        <f t="shared" si="22"/>
        <v>0</v>
      </c>
    </row>
    <row r="67" spans="3:29" x14ac:dyDescent="0.25">
      <c r="C67" s="27">
        <f t="shared" si="11"/>
        <v>47</v>
      </c>
      <c r="D67" s="30">
        <f t="shared" si="12"/>
        <v>915560.79345163936</v>
      </c>
      <c r="E67" s="20">
        <f t="shared" si="17"/>
        <v>10160</v>
      </c>
      <c r="F67" s="20">
        <f t="shared" si="0"/>
        <v>2072.5463245105184</v>
      </c>
      <c r="G67" s="21">
        <f t="shared" si="1"/>
        <v>8087.4536754894816</v>
      </c>
      <c r="H67" s="24">
        <f t="shared" si="13"/>
        <v>402.84674911872133</v>
      </c>
      <c r="I67" s="21">
        <f t="shared" si="20"/>
        <v>0</v>
      </c>
      <c r="J67" s="63">
        <f t="shared" si="2"/>
        <v>0</v>
      </c>
      <c r="K67" s="66">
        <f t="shared" si="19"/>
        <v>1293.9925880783171</v>
      </c>
      <c r="L67" s="17"/>
      <c r="M67" s="23">
        <f t="shared" si="14"/>
        <v>0</v>
      </c>
      <c r="N67" s="23">
        <f t="shared" si="3"/>
        <v>0</v>
      </c>
      <c r="O67" s="23">
        <f t="shared" si="4"/>
        <v>0</v>
      </c>
      <c r="P67" s="17"/>
      <c r="Q67" s="19">
        <f>IF(C67="","",'Tabla_Puntual&amp;Relacionamiento'!$E$71)</f>
        <v>0.106</v>
      </c>
      <c r="R67" s="19"/>
      <c r="S67" s="11">
        <f t="shared" si="15"/>
        <v>11856.83933719704</v>
      </c>
      <c r="T67" s="23">
        <f t="shared" si="5"/>
        <v>913488.24712712888</v>
      </c>
      <c r="U67" s="37">
        <f t="shared" si="6"/>
        <v>1</v>
      </c>
      <c r="V67" s="37">
        <f t="shared" si="18"/>
        <v>47</v>
      </c>
      <c r="X67" s="31">
        <f t="shared" si="7"/>
        <v>10453.908031519366</v>
      </c>
      <c r="Y67" s="34">
        <f t="shared" si="24"/>
        <v>1.0580898589999999</v>
      </c>
      <c r="Z67" s="31">
        <f t="shared" si="8"/>
        <v>0</v>
      </c>
      <c r="AA67" s="66">
        <f t="shared" si="9"/>
        <v>25750</v>
      </c>
      <c r="AB67" s="6">
        <f t="shared" si="10"/>
        <v>0</v>
      </c>
      <c r="AC67" s="48">
        <f t="shared" si="22"/>
        <v>0</v>
      </c>
    </row>
    <row r="68" spans="3:29" x14ac:dyDescent="0.25">
      <c r="C68" s="27">
        <f t="shared" si="11"/>
        <v>48</v>
      </c>
      <c r="D68" s="30">
        <f t="shared" si="12"/>
        <v>913488.24712712888</v>
      </c>
      <c r="E68" s="20">
        <f t="shared" si="17"/>
        <v>10160</v>
      </c>
      <c r="F68" s="20">
        <f t="shared" si="0"/>
        <v>2090.853817043695</v>
      </c>
      <c r="G68" s="21">
        <f t="shared" si="1"/>
        <v>8069.146182956305</v>
      </c>
      <c r="H68" s="24">
        <f t="shared" si="13"/>
        <v>401.93482873593672</v>
      </c>
      <c r="I68" s="21">
        <f t="shared" si="20"/>
        <v>0</v>
      </c>
      <c r="J68" s="63">
        <f t="shared" si="2"/>
        <v>0</v>
      </c>
      <c r="K68" s="66">
        <f t="shared" si="19"/>
        <v>1291.0633892730089</v>
      </c>
      <c r="L68" s="17"/>
      <c r="M68" s="23">
        <f t="shared" si="14"/>
        <v>0</v>
      </c>
      <c r="N68" s="23">
        <f t="shared" si="3"/>
        <v>0</v>
      </c>
      <c r="O68" s="23">
        <f t="shared" si="4"/>
        <v>0</v>
      </c>
      <c r="P68" s="17"/>
      <c r="Q68" s="19">
        <f>IF(C68="","",'Tabla_Puntual&amp;Relacionamiento'!$E$71)</f>
        <v>0.106</v>
      </c>
      <c r="R68" s="19"/>
      <c r="S68" s="11">
        <f t="shared" si="15"/>
        <v>11852.998218008946</v>
      </c>
      <c r="T68" s="23">
        <f t="shared" si="5"/>
        <v>911397.39331008517</v>
      </c>
      <c r="U68" s="37">
        <f t="shared" si="6"/>
        <v>1</v>
      </c>
      <c r="V68" s="37">
        <f t="shared" si="18"/>
        <v>48</v>
      </c>
      <c r="X68" s="31">
        <f t="shared" si="7"/>
        <v>10452.996111136581</v>
      </c>
      <c r="Y68" s="34">
        <f t="shared" si="24"/>
        <v>1.0580898589999999</v>
      </c>
      <c r="Z68" s="31">
        <f t="shared" si="8"/>
        <v>0</v>
      </c>
      <c r="AA68" s="66">
        <f t="shared" si="9"/>
        <v>25750</v>
      </c>
      <c r="AB68" s="6">
        <f t="shared" si="10"/>
        <v>0</v>
      </c>
      <c r="AC68" s="48">
        <f t="shared" si="22"/>
        <v>0</v>
      </c>
    </row>
    <row r="69" spans="3:29" x14ac:dyDescent="0.25">
      <c r="C69" s="27">
        <f t="shared" si="11"/>
        <v>49</v>
      </c>
      <c r="D69" s="30">
        <f t="shared" si="12"/>
        <v>911397.39331008517</v>
      </c>
      <c r="E69" s="20">
        <f t="shared" si="17"/>
        <v>10160</v>
      </c>
      <c r="F69" s="20">
        <f t="shared" si="0"/>
        <v>1995.3983515971531</v>
      </c>
      <c r="G69" s="21">
        <f t="shared" si="1"/>
        <v>8164.6016484028469</v>
      </c>
      <c r="H69" s="24">
        <f t="shared" si="13"/>
        <v>401.01485305643746</v>
      </c>
      <c r="I69" s="21">
        <f t="shared" si="20"/>
        <v>0</v>
      </c>
      <c r="J69" s="63">
        <f t="shared" si="2"/>
        <v>0</v>
      </c>
      <c r="K69" s="66">
        <f t="shared" si="19"/>
        <v>1306.3362637444554</v>
      </c>
      <c r="L69" s="17"/>
      <c r="M69" s="23">
        <f t="shared" si="14"/>
        <v>0</v>
      </c>
      <c r="N69" s="23">
        <f t="shared" si="3"/>
        <v>0</v>
      </c>
      <c r="O69" s="23">
        <f t="shared" si="4"/>
        <v>0</v>
      </c>
      <c r="P69" s="17"/>
      <c r="Q69" s="19">
        <f>IF(C69="","",'Tabla_Puntual&amp;Relacionamiento'!$E$72)</f>
        <v>0.1075</v>
      </c>
      <c r="R69" s="19" t="str">
        <f>IF(C69="","",IF($E$14="Pago_Bajo_Puntual",$M$17,""))</f>
        <v/>
      </c>
      <c r="S69" s="11">
        <f t="shared" si="15"/>
        <v>11867.351116800892</v>
      </c>
      <c r="T69" s="23">
        <f t="shared" si="5"/>
        <v>909401.99495848804</v>
      </c>
      <c r="U69" s="37">
        <f t="shared" si="6"/>
        <v>1</v>
      </c>
      <c r="V69" s="37">
        <f t="shared" si="18"/>
        <v>49</v>
      </c>
      <c r="X69" s="31">
        <f t="shared" si="7"/>
        <v>10553.30438262492</v>
      </c>
      <c r="Y69" s="34">
        <f>Y68*1.019</f>
        <v>1.0781935663209998</v>
      </c>
      <c r="Z69" s="31">
        <f t="shared" si="8"/>
        <v>0</v>
      </c>
      <c r="AA69" s="66">
        <f t="shared" si="9"/>
        <v>25750</v>
      </c>
      <c r="AB69" s="6">
        <f t="shared" si="10"/>
        <v>0</v>
      </c>
      <c r="AC69" s="48">
        <f>AC68+$M$17</f>
        <v>0</v>
      </c>
    </row>
    <row r="70" spans="3:29" x14ac:dyDescent="0.25">
      <c r="C70" s="27">
        <f t="shared" si="11"/>
        <v>50</v>
      </c>
      <c r="D70" s="30">
        <f t="shared" si="12"/>
        <v>909401.99495848804</v>
      </c>
      <c r="E70" s="20">
        <f t="shared" si="17"/>
        <v>10160</v>
      </c>
      <c r="F70" s="20">
        <f t="shared" si="0"/>
        <v>2013.2737951635445</v>
      </c>
      <c r="G70" s="21">
        <f t="shared" si="1"/>
        <v>8146.7262048364555</v>
      </c>
      <c r="H70" s="24">
        <f t="shared" si="13"/>
        <v>400.13687778173477</v>
      </c>
      <c r="I70" s="21">
        <f t="shared" si="20"/>
        <v>0</v>
      </c>
      <c r="J70" s="63">
        <f t="shared" si="2"/>
        <v>0</v>
      </c>
      <c r="K70" s="66">
        <f t="shared" si="19"/>
        <v>1303.476192773833</v>
      </c>
      <c r="L70" s="17"/>
      <c r="M70" s="23">
        <f t="shared" si="14"/>
        <v>0</v>
      </c>
      <c r="N70" s="23">
        <f t="shared" si="3"/>
        <v>0</v>
      </c>
      <c r="O70" s="23">
        <f t="shared" si="4"/>
        <v>0</v>
      </c>
      <c r="P70" s="17"/>
      <c r="Q70" s="19">
        <f>IF(C70="","",'Tabla_Puntual&amp;Relacionamiento'!$E$72)</f>
        <v>0.1075</v>
      </c>
      <c r="R70" s="19"/>
      <c r="S70" s="11">
        <f t="shared" si="15"/>
        <v>11863.613070555568</v>
      </c>
      <c r="T70" s="23">
        <f t="shared" si="5"/>
        <v>907388.72116332455</v>
      </c>
      <c r="U70" s="37">
        <f t="shared" si="6"/>
        <v>1</v>
      </c>
      <c r="V70" s="37">
        <f t="shared" si="18"/>
        <v>50</v>
      </c>
      <c r="X70" s="31">
        <f t="shared" si="7"/>
        <v>10552.426407350216</v>
      </c>
      <c r="Y70" s="34">
        <f t="shared" ref="Y70:Y80" si="25">Y69</f>
        <v>1.0781935663209998</v>
      </c>
      <c r="Z70" s="31">
        <f t="shared" si="8"/>
        <v>0</v>
      </c>
      <c r="AA70" s="66">
        <f t="shared" si="9"/>
        <v>25750</v>
      </c>
      <c r="AB70" s="6">
        <f t="shared" si="10"/>
        <v>0</v>
      </c>
      <c r="AC70" s="48">
        <f t="shared" si="22"/>
        <v>0</v>
      </c>
    </row>
    <row r="71" spans="3:29" x14ac:dyDescent="0.25">
      <c r="C71" s="27">
        <f t="shared" si="11"/>
        <v>51</v>
      </c>
      <c r="D71" s="30">
        <f t="shared" si="12"/>
        <v>907388.72116332455</v>
      </c>
      <c r="E71" s="20">
        <f t="shared" si="17"/>
        <v>10160</v>
      </c>
      <c r="F71" s="20">
        <f t="shared" si="0"/>
        <v>2031.3093729118837</v>
      </c>
      <c r="G71" s="21">
        <f t="shared" si="1"/>
        <v>8128.6906270881163</v>
      </c>
      <c r="H71" s="24">
        <f t="shared" si="13"/>
        <v>399.25103731186283</v>
      </c>
      <c r="I71" s="21">
        <f t="shared" si="20"/>
        <v>0</v>
      </c>
      <c r="J71" s="63">
        <f t="shared" si="2"/>
        <v>0</v>
      </c>
      <c r="K71" s="66">
        <f t="shared" si="19"/>
        <v>1300.5905003340986</v>
      </c>
      <c r="L71" s="17"/>
      <c r="M71" s="23">
        <f t="shared" si="14"/>
        <v>0</v>
      </c>
      <c r="N71" s="23">
        <f t="shared" si="3"/>
        <v>0</v>
      </c>
      <c r="O71" s="23">
        <f t="shared" si="4"/>
        <v>0</v>
      </c>
      <c r="P71" s="17"/>
      <c r="Q71" s="19">
        <f>IF(C71="","",'Tabla_Puntual&amp;Relacionamiento'!$E$72)</f>
        <v>0.1075</v>
      </c>
      <c r="R71" s="19"/>
      <c r="S71" s="11">
        <f t="shared" si="15"/>
        <v>11859.84153764596</v>
      </c>
      <c r="T71" s="23">
        <f t="shared" si="5"/>
        <v>905357.41179041262</v>
      </c>
      <c r="U71" s="37">
        <f t="shared" si="6"/>
        <v>1</v>
      </c>
      <c r="V71" s="37">
        <f t="shared" si="18"/>
        <v>51</v>
      </c>
      <c r="X71" s="31">
        <f t="shared" si="7"/>
        <v>10551.540566880343</v>
      </c>
      <c r="Y71" s="34">
        <f t="shared" si="25"/>
        <v>1.0781935663209998</v>
      </c>
      <c r="Z71" s="31">
        <f t="shared" si="8"/>
        <v>0</v>
      </c>
      <c r="AA71" s="66">
        <f t="shared" si="9"/>
        <v>25750</v>
      </c>
      <c r="AB71" s="6">
        <f t="shared" si="10"/>
        <v>0</v>
      </c>
      <c r="AC71" s="48">
        <f t="shared" si="22"/>
        <v>0</v>
      </c>
    </row>
    <row r="72" spans="3:29" x14ac:dyDescent="0.25">
      <c r="C72" s="27">
        <f t="shared" si="11"/>
        <v>52</v>
      </c>
      <c r="D72" s="30">
        <f t="shared" si="12"/>
        <v>905357.41179041262</v>
      </c>
      <c r="E72" s="20">
        <f t="shared" si="17"/>
        <v>10160</v>
      </c>
      <c r="F72" s="20">
        <f t="shared" si="0"/>
        <v>2049.5065193775536</v>
      </c>
      <c r="G72" s="21">
        <f t="shared" si="1"/>
        <v>8110.4934806224464</v>
      </c>
      <c r="H72" s="24">
        <f t="shared" si="13"/>
        <v>398.3572611877816</v>
      </c>
      <c r="I72" s="21">
        <f t="shared" si="20"/>
        <v>0</v>
      </c>
      <c r="J72" s="63">
        <f t="shared" si="2"/>
        <v>0</v>
      </c>
      <c r="K72" s="66">
        <f t="shared" si="19"/>
        <v>1297.6789568995914</v>
      </c>
      <c r="L72" s="17"/>
      <c r="M72" s="23">
        <f t="shared" si="14"/>
        <v>0</v>
      </c>
      <c r="N72" s="23">
        <f t="shared" si="3"/>
        <v>0</v>
      </c>
      <c r="O72" s="23">
        <f t="shared" si="4"/>
        <v>0</v>
      </c>
      <c r="P72" s="17"/>
      <c r="Q72" s="19">
        <f>IF(C72="","",'Tabla_Puntual&amp;Relacionamiento'!$E$72)</f>
        <v>0.1075</v>
      </c>
      <c r="R72" s="19"/>
      <c r="S72" s="11">
        <f t="shared" si="15"/>
        <v>11856.036218087373</v>
      </c>
      <c r="T72" s="23">
        <f t="shared" si="5"/>
        <v>903307.90527103504</v>
      </c>
      <c r="U72" s="37">
        <f t="shared" si="6"/>
        <v>1</v>
      </c>
      <c r="V72" s="37">
        <f t="shared" si="18"/>
        <v>52</v>
      </c>
      <c r="X72" s="31">
        <f t="shared" si="7"/>
        <v>10550.646790756262</v>
      </c>
      <c r="Y72" s="34">
        <f t="shared" si="25"/>
        <v>1.0781935663209998</v>
      </c>
      <c r="Z72" s="31">
        <f t="shared" si="8"/>
        <v>0</v>
      </c>
      <c r="AA72" s="66">
        <f t="shared" si="9"/>
        <v>25750</v>
      </c>
      <c r="AB72" s="6">
        <f t="shared" si="10"/>
        <v>0</v>
      </c>
      <c r="AC72" s="48">
        <f t="shared" si="22"/>
        <v>0</v>
      </c>
    </row>
    <row r="73" spans="3:29" x14ac:dyDescent="0.25">
      <c r="C73" s="27">
        <f t="shared" si="11"/>
        <v>53</v>
      </c>
      <c r="D73" s="30">
        <f t="shared" si="12"/>
        <v>903307.90527103504</v>
      </c>
      <c r="E73" s="20">
        <f t="shared" si="17"/>
        <v>10160</v>
      </c>
      <c r="F73" s="20">
        <f t="shared" si="0"/>
        <v>2067.8666819469772</v>
      </c>
      <c r="G73" s="21">
        <f t="shared" si="1"/>
        <v>8092.1333180530228</v>
      </c>
      <c r="H73" s="24">
        <f t="shared" si="13"/>
        <v>397.45547831925541</v>
      </c>
      <c r="I73" s="21">
        <f t="shared" si="20"/>
        <v>0</v>
      </c>
      <c r="J73" s="63">
        <f t="shared" si="2"/>
        <v>0</v>
      </c>
      <c r="K73" s="66">
        <f t="shared" si="19"/>
        <v>1294.7413308884836</v>
      </c>
      <c r="L73" s="17"/>
      <c r="M73" s="23">
        <f t="shared" si="14"/>
        <v>0</v>
      </c>
      <c r="N73" s="23">
        <f t="shared" si="3"/>
        <v>0</v>
      </c>
      <c r="O73" s="23">
        <f t="shared" si="4"/>
        <v>0</v>
      </c>
      <c r="P73" s="17"/>
      <c r="Q73" s="19">
        <f>IF(C73="","",'Tabla_Puntual&amp;Relacionamiento'!$E$72)</f>
        <v>0.1075</v>
      </c>
      <c r="R73" s="19"/>
      <c r="S73" s="11">
        <f t="shared" si="15"/>
        <v>11852.19680920774</v>
      </c>
      <c r="T73" s="23">
        <f t="shared" si="5"/>
        <v>901240.03858908801</v>
      </c>
      <c r="U73" s="37">
        <f t="shared" si="6"/>
        <v>1</v>
      </c>
      <c r="V73" s="37">
        <f t="shared" si="18"/>
        <v>53</v>
      </c>
      <c r="X73" s="31">
        <f t="shared" si="7"/>
        <v>10549.745007887737</v>
      </c>
      <c r="Y73" s="34">
        <f t="shared" si="25"/>
        <v>1.0781935663209998</v>
      </c>
      <c r="Z73" s="31">
        <f t="shared" si="8"/>
        <v>0</v>
      </c>
      <c r="AA73" s="66">
        <f t="shared" si="9"/>
        <v>25750</v>
      </c>
      <c r="AB73" s="6">
        <f t="shared" si="10"/>
        <v>0</v>
      </c>
      <c r="AC73" s="48">
        <f t="shared" si="22"/>
        <v>0</v>
      </c>
    </row>
    <row r="74" spans="3:29" x14ac:dyDescent="0.25">
      <c r="C74" s="27">
        <f t="shared" si="11"/>
        <v>54</v>
      </c>
      <c r="D74" s="30">
        <f t="shared" si="12"/>
        <v>901240.03858908801</v>
      </c>
      <c r="E74" s="20">
        <f t="shared" si="17"/>
        <v>10160</v>
      </c>
      <c r="F74" s="20">
        <f t="shared" si="0"/>
        <v>2086.3913209727525</v>
      </c>
      <c r="G74" s="21">
        <f t="shared" si="1"/>
        <v>8073.6086790272475</v>
      </c>
      <c r="H74" s="24">
        <f t="shared" si="13"/>
        <v>396.54561697919871</v>
      </c>
      <c r="I74" s="21">
        <f t="shared" si="20"/>
        <v>0</v>
      </c>
      <c r="J74" s="63">
        <f t="shared" si="2"/>
        <v>0</v>
      </c>
      <c r="K74" s="66">
        <f t="shared" si="19"/>
        <v>1291.7773886443597</v>
      </c>
      <c r="L74" s="17"/>
      <c r="M74" s="23">
        <f t="shared" si="14"/>
        <v>0</v>
      </c>
      <c r="N74" s="23">
        <f t="shared" si="3"/>
        <v>0</v>
      </c>
      <c r="O74" s="23">
        <f t="shared" si="4"/>
        <v>0</v>
      </c>
      <c r="P74" s="17"/>
      <c r="Q74" s="19">
        <f>IF(C74="","",'Tabla_Puntual&amp;Relacionamiento'!$E$72)</f>
        <v>0.1075</v>
      </c>
      <c r="R74" s="19"/>
      <c r="S74" s="11">
        <f t="shared" si="15"/>
        <v>11848.323005623557</v>
      </c>
      <c r="T74" s="23">
        <f t="shared" si="5"/>
        <v>899153.64726811531</v>
      </c>
      <c r="U74" s="37">
        <f t="shared" si="6"/>
        <v>1</v>
      </c>
      <c r="V74" s="37">
        <f t="shared" si="18"/>
        <v>54</v>
      </c>
      <c r="X74" s="31">
        <f t="shared" si="7"/>
        <v>10548.835146547681</v>
      </c>
      <c r="Y74" s="34">
        <f t="shared" si="25"/>
        <v>1.0781935663209998</v>
      </c>
      <c r="Z74" s="31">
        <f t="shared" si="8"/>
        <v>0</v>
      </c>
      <c r="AA74" s="66">
        <f t="shared" si="9"/>
        <v>25750</v>
      </c>
      <c r="AB74" s="6">
        <f t="shared" si="10"/>
        <v>0</v>
      </c>
      <c r="AC74" s="48">
        <f t="shared" si="22"/>
        <v>0</v>
      </c>
    </row>
    <row r="75" spans="3:29" x14ac:dyDescent="0.25">
      <c r="C75" s="27">
        <f t="shared" si="11"/>
        <v>55</v>
      </c>
      <c r="D75" s="30">
        <f t="shared" si="12"/>
        <v>899153.64726811531</v>
      </c>
      <c r="E75" s="20">
        <f t="shared" si="17"/>
        <v>10160</v>
      </c>
      <c r="F75" s="20">
        <f t="shared" si="0"/>
        <v>2105.0819098898</v>
      </c>
      <c r="G75" s="21">
        <f t="shared" si="1"/>
        <v>8054.9180901102</v>
      </c>
      <c r="H75" s="24">
        <f t="shared" si="13"/>
        <v>395.62760479797072</v>
      </c>
      <c r="I75" s="21">
        <f t="shared" si="20"/>
        <v>0</v>
      </c>
      <c r="J75" s="63">
        <f t="shared" si="2"/>
        <v>0</v>
      </c>
      <c r="K75" s="66">
        <f t="shared" si="19"/>
        <v>1288.7868944176321</v>
      </c>
      <c r="L75" s="17"/>
      <c r="M75" s="23">
        <f t="shared" si="14"/>
        <v>0</v>
      </c>
      <c r="N75" s="23">
        <f t="shared" si="3"/>
        <v>0</v>
      </c>
      <c r="O75" s="23">
        <f t="shared" si="4"/>
        <v>0</v>
      </c>
      <c r="P75" s="17"/>
      <c r="Q75" s="19">
        <f>IF(C75="","",'Tabla_Puntual&amp;Relacionamiento'!$E$72)</f>
        <v>0.1075</v>
      </c>
      <c r="R75" s="19"/>
      <c r="S75" s="11">
        <f t="shared" si="15"/>
        <v>11844.414499215602</v>
      </c>
      <c r="T75" s="23">
        <f t="shared" si="5"/>
        <v>897048.56535822549</v>
      </c>
      <c r="U75" s="37">
        <f t="shared" si="6"/>
        <v>1</v>
      </c>
      <c r="V75" s="37">
        <f t="shared" si="18"/>
        <v>55</v>
      </c>
      <c r="X75" s="31">
        <f t="shared" si="7"/>
        <v>10547.917134366451</v>
      </c>
      <c r="Y75" s="34">
        <f t="shared" si="25"/>
        <v>1.0781935663209998</v>
      </c>
      <c r="Z75" s="31">
        <f t="shared" si="8"/>
        <v>0</v>
      </c>
      <c r="AA75" s="66">
        <f t="shared" si="9"/>
        <v>25750</v>
      </c>
      <c r="AB75" s="6">
        <f t="shared" si="10"/>
        <v>0</v>
      </c>
      <c r="AC75" s="48">
        <f t="shared" si="22"/>
        <v>0</v>
      </c>
    </row>
    <row r="76" spans="3:29" x14ac:dyDescent="0.25">
      <c r="C76" s="27">
        <f t="shared" si="11"/>
        <v>56</v>
      </c>
      <c r="D76" s="30">
        <f t="shared" si="12"/>
        <v>897048.56535822549</v>
      </c>
      <c r="E76" s="20">
        <f t="shared" si="17"/>
        <v>10160</v>
      </c>
      <c r="F76" s="20">
        <f t="shared" si="0"/>
        <v>2123.9399353325625</v>
      </c>
      <c r="G76" s="21">
        <f t="shared" si="1"/>
        <v>8036.0600646674375</v>
      </c>
      <c r="H76" s="24">
        <f t="shared" si="13"/>
        <v>394.70136875761921</v>
      </c>
      <c r="I76" s="21">
        <f t="shared" si="20"/>
        <v>0</v>
      </c>
      <c r="J76" s="63">
        <f t="shared" si="2"/>
        <v>0</v>
      </c>
      <c r="K76" s="66">
        <f t="shared" si="19"/>
        <v>1285.7696103467899</v>
      </c>
      <c r="L76" s="17"/>
      <c r="M76" s="23">
        <f t="shared" si="14"/>
        <v>0</v>
      </c>
      <c r="N76" s="23">
        <f t="shared" si="3"/>
        <v>0</v>
      </c>
      <c r="O76" s="23">
        <f t="shared" si="4"/>
        <v>0</v>
      </c>
      <c r="P76" s="17"/>
      <c r="Q76" s="19">
        <f>IF(C76="","",'Tabla_Puntual&amp;Relacionamiento'!$E$72)</f>
        <v>0.1075</v>
      </c>
      <c r="R76" s="19"/>
      <c r="S76" s="11">
        <f t="shared" si="15"/>
        <v>11840.47097910441</v>
      </c>
      <c r="T76" s="23">
        <f t="shared" si="5"/>
        <v>894924.62542289298</v>
      </c>
      <c r="U76" s="37">
        <f t="shared" si="6"/>
        <v>1</v>
      </c>
      <c r="V76" s="37">
        <f t="shared" si="18"/>
        <v>56</v>
      </c>
      <c r="X76" s="31">
        <f t="shared" si="7"/>
        <v>10546.990898326101</v>
      </c>
      <c r="Y76" s="34">
        <f t="shared" si="25"/>
        <v>1.0781935663209998</v>
      </c>
      <c r="Z76" s="31">
        <f t="shared" si="8"/>
        <v>0</v>
      </c>
      <c r="AA76" s="66">
        <f t="shared" si="9"/>
        <v>25750</v>
      </c>
      <c r="AB76" s="6">
        <f t="shared" si="10"/>
        <v>0</v>
      </c>
      <c r="AC76" s="48">
        <f t="shared" si="22"/>
        <v>0</v>
      </c>
    </row>
    <row r="77" spans="3:29" x14ac:dyDescent="0.25">
      <c r="C77" s="27">
        <f t="shared" si="11"/>
        <v>57</v>
      </c>
      <c r="D77" s="30">
        <f t="shared" si="12"/>
        <v>894924.62542289298</v>
      </c>
      <c r="E77" s="20">
        <f t="shared" si="17"/>
        <v>10160</v>
      </c>
      <c r="F77" s="20">
        <f t="shared" si="0"/>
        <v>2142.96689725325</v>
      </c>
      <c r="G77" s="21">
        <f t="shared" si="1"/>
        <v>8017.03310274675</v>
      </c>
      <c r="H77" s="24">
        <f t="shared" si="13"/>
        <v>393.76683518607291</v>
      </c>
      <c r="I77" s="21">
        <f t="shared" si="20"/>
        <v>0</v>
      </c>
      <c r="J77" s="63">
        <f t="shared" si="2"/>
        <v>0</v>
      </c>
      <c r="K77" s="66">
        <f t="shared" si="19"/>
        <v>1282.72529643948</v>
      </c>
      <c r="L77" s="17"/>
      <c r="M77" s="23">
        <f t="shared" si="14"/>
        <v>0</v>
      </c>
      <c r="N77" s="23">
        <f t="shared" si="3"/>
        <v>0</v>
      </c>
      <c r="O77" s="23">
        <f t="shared" si="4"/>
        <v>0</v>
      </c>
      <c r="P77" s="17"/>
      <c r="Q77" s="19">
        <f>IF(C77="","",'Tabla_Puntual&amp;Relacionamiento'!$E$72)</f>
        <v>0.1075</v>
      </c>
      <c r="R77" s="19"/>
      <c r="S77" s="11">
        <f t="shared" si="15"/>
        <v>11836.492131625551</v>
      </c>
      <c r="T77" s="23">
        <f t="shared" si="5"/>
        <v>892781.65852563968</v>
      </c>
      <c r="U77" s="37">
        <f t="shared" si="6"/>
        <v>1</v>
      </c>
      <c r="V77" s="37">
        <f t="shared" si="18"/>
        <v>57</v>
      </c>
      <c r="X77" s="31">
        <f t="shared" si="7"/>
        <v>10546.056364754553</v>
      </c>
      <c r="Y77" s="34">
        <f t="shared" si="25"/>
        <v>1.0781935663209998</v>
      </c>
      <c r="Z77" s="31">
        <f t="shared" si="8"/>
        <v>0</v>
      </c>
      <c r="AA77" s="66">
        <f t="shared" si="9"/>
        <v>25750</v>
      </c>
      <c r="AB77" s="6">
        <f t="shared" si="10"/>
        <v>0</v>
      </c>
      <c r="AC77" s="48">
        <f t="shared" si="22"/>
        <v>0</v>
      </c>
    </row>
    <row r="78" spans="3:29" x14ac:dyDescent="0.25">
      <c r="C78" s="27">
        <f t="shared" si="11"/>
        <v>58</v>
      </c>
      <c r="D78" s="30">
        <f t="shared" si="12"/>
        <v>892781.65852563968</v>
      </c>
      <c r="E78" s="20">
        <f t="shared" si="17"/>
        <v>10160</v>
      </c>
      <c r="F78" s="20">
        <f t="shared" si="0"/>
        <v>2162.1643090411444</v>
      </c>
      <c r="G78" s="21">
        <f t="shared" si="1"/>
        <v>7997.8356909588556</v>
      </c>
      <c r="H78" s="24">
        <f t="shared" si="13"/>
        <v>392.82392975128147</v>
      </c>
      <c r="I78" s="21">
        <f t="shared" si="20"/>
        <v>0</v>
      </c>
      <c r="J78" s="63">
        <f t="shared" si="2"/>
        <v>0</v>
      </c>
      <c r="K78" s="66">
        <f t="shared" si="19"/>
        <v>1279.6537105534169</v>
      </c>
      <c r="L78" s="17"/>
      <c r="M78" s="23">
        <f t="shared" si="14"/>
        <v>0</v>
      </c>
      <c r="N78" s="23">
        <f t="shared" si="3"/>
        <v>0</v>
      </c>
      <c r="O78" s="23">
        <f t="shared" si="4"/>
        <v>0</v>
      </c>
      <c r="P78" s="17"/>
      <c r="Q78" s="19">
        <f>IF(C78="","",'Tabla_Puntual&amp;Relacionamiento'!$E$72)</f>
        <v>0.1075</v>
      </c>
      <c r="R78" s="19"/>
      <c r="S78" s="11">
        <f t="shared" si="15"/>
        <v>11832.477640304698</v>
      </c>
      <c r="T78" s="23">
        <f t="shared" si="5"/>
        <v>890619.49421659857</v>
      </c>
      <c r="U78" s="37">
        <f t="shared" si="6"/>
        <v>1</v>
      </c>
      <c r="V78" s="37">
        <f t="shared" si="18"/>
        <v>58</v>
      </c>
      <c r="X78" s="31">
        <f t="shared" si="7"/>
        <v>10545.113459319762</v>
      </c>
      <c r="Y78" s="34">
        <f t="shared" si="25"/>
        <v>1.0781935663209998</v>
      </c>
      <c r="Z78" s="31">
        <f t="shared" si="8"/>
        <v>0</v>
      </c>
      <c r="AA78" s="66">
        <f t="shared" si="9"/>
        <v>25750</v>
      </c>
      <c r="AB78" s="6">
        <f t="shared" si="10"/>
        <v>0</v>
      </c>
      <c r="AC78" s="48">
        <f t="shared" si="22"/>
        <v>0</v>
      </c>
    </row>
    <row r="79" spans="3:29" x14ac:dyDescent="0.25">
      <c r="C79" s="27">
        <f t="shared" si="11"/>
        <v>59</v>
      </c>
      <c r="D79" s="30">
        <f t="shared" si="12"/>
        <v>890619.49421659857</v>
      </c>
      <c r="E79" s="20">
        <f t="shared" si="17"/>
        <v>10160</v>
      </c>
      <c r="F79" s="20">
        <f t="shared" si="0"/>
        <v>2181.5336976429708</v>
      </c>
      <c r="G79" s="21">
        <f t="shared" si="1"/>
        <v>7978.4663023570292</v>
      </c>
      <c r="H79" s="24">
        <f t="shared" si="13"/>
        <v>391.87257745530337</v>
      </c>
      <c r="I79" s="21">
        <f t="shared" si="20"/>
        <v>0</v>
      </c>
      <c r="J79" s="63">
        <f t="shared" si="2"/>
        <v>0</v>
      </c>
      <c r="K79" s="66">
        <f t="shared" si="19"/>
        <v>1276.5546083771246</v>
      </c>
      <c r="L79" s="17"/>
      <c r="M79" s="23">
        <f t="shared" si="14"/>
        <v>0</v>
      </c>
      <c r="N79" s="23">
        <f t="shared" si="3"/>
        <v>0</v>
      </c>
      <c r="O79" s="23">
        <f t="shared" si="4"/>
        <v>0</v>
      </c>
      <c r="P79" s="17"/>
      <c r="Q79" s="19">
        <f>IF(C79="","",'Tabla_Puntual&amp;Relacionamiento'!$E$72)</f>
        <v>0.1075</v>
      </c>
      <c r="R79" s="19"/>
      <c r="S79" s="11">
        <f t="shared" si="15"/>
        <v>11828.427185832428</v>
      </c>
      <c r="T79" s="23">
        <f t="shared" si="5"/>
        <v>888437.9605189556</v>
      </c>
      <c r="U79" s="37">
        <f t="shared" si="6"/>
        <v>1</v>
      </c>
      <c r="V79" s="37">
        <f t="shared" si="18"/>
        <v>59</v>
      </c>
      <c r="X79" s="31">
        <f t="shared" si="7"/>
        <v>10544.162107023785</v>
      </c>
      <c r="Y79" s="34">
        <f t="shared" si="25"/>
        <v>1.0781935663209998</v>
      </c>
      <c r="Z79" s="31">
        <f t="shared" si="8"/>
        <v>0</v>
      </c>
      <c r="AA79" s="66">
        <f t="shared" si="9"/>
        <v>25750</v>
      </c>
      <c r="AB79" s="6">
        <f t="shared" si="10"/>
        <v>0</v>
      </c>
      <c r="AC79" s="48">
        <f t="shared" si="22"/>
        <v>0</v>
      </c>
    </row>
    <row r="80" spans="3:29" x14ac:dyDescent="0.25">
      <c r="C80" s="27">
        <f t="shared" si="11"/>
        <v>60</v>
      </c>
      <c r="D80" s="30">
        <f t="shared" si="12"/>
        <v>888437.9605189556</v>
      </c>
      <c r="E80" s="20">
        <f t="shared" si="17"/>
        <v>10160</v>
      </c>
      <c r="F80" s="20">
        <f t="shared" si="0"/>
        <v>2201.0766036843561</v>
      </c>
      <c r="G80" s="21">
        <f t="shared" si="1"/>
        <v>7958.9233963156439</v>
      </c>
      <c r="H80" s="24">
        <f t="shared" si="13"/>
        <v>390.91270262834047</v>
      </c>
      <c r="I80" s="21">
        <f t="shared" si="20"/>
        <v>0</v>
      </c>
      <c r="J80" s="63">
        <f t="shared" si="2"/>
        <v>0</v>
      </c>
      <c r="K80" s="66">
        <f t="shared" si="19"/>
        <v>1273.4277434105031</v>
      </c>
      <c r="L80" s="17"/>
      <c r="M80" s="23">
        <f t="shared" si="14"/>
        <v>0</v>
      </c>
      <c r="N80" s="23">
        <f t="shared" si="3"/>
        <v>0</v>
      </c>
      <c r="O80" s="23">
        <f t="shared" si="4"/>
        <v>0</v>
      </c>
      <c r="P80" s="17"/>
      <c r="Q80" s="19">
        <f>IF(C80="","",'Tabla_Puntual&amp;Relacionamiento'!$E$72)</f>
        <v>0.1075</v>
      </c>
      <c r="R80" s="19"/>
      <c r="S80" s="11">
        <f t="shared" si="15"/>
        <v>11824.340446038843</v>
      </c>
      <c r="T80" s="23">
        <f t="shared" si="5"/>
        <v>886236.88391527126</v>
      </c>
      <c r="U80" s="37">
        <f t="shared" si="6"/>
        <v>1</v>
      </c>
      <c r="V80" s="37">
        <f t="shared" si="18"/>
        <v>60</v>
      </c>
      <c r="X80" s="31">
        <f t="shared" si="7"/>
        <v>10543.202232196822</v>
      </c>
      <c r="Y80" s="34">
        <f t="shared" si="25"/>
        <v>1.0781935663209998</v>
      </c>
      <c r="Z80" s="31">
        <f t="shared" si="8"/>
        <v>0</v>
      </c>
      <c r="AA80" s="66">
        <f t="shared" si="9"/>
        <v>25750</v>
      </c>
      <c r="AB80" s="6">
        <f t="shared" si="10"/>
        <v>0</v>
      </c>
      <c r="AC80" s="48">
        <f t="shared" si="22"/>
        <v>0</v>
      </c>
    </row>
    <row r="81" spans="3:29" x14ac:dyDescent="0.25">
      <c r="C81" s="27">
        <f t="shared" si="11"/>
        <v>61</v>
      </c>
      <c r="D81" s="30">
        <f t="shared" si="12"/>
        <v>886236.88391527126</v>
      </c>
      <c r="E81" s="20">
        <f t="shared" si="17"/>
        <v>10160</v>
      </c>
      <c r="F81" s="20">
        <f t="shared" si="0"/>
        <v>2110.0149711029526</v>
      </c>
      <c r="G81" s="21">
        <f t="shared" si="1"/>
        <v>8049.9850288970474</v>
      </c>
      <c r="H81" s="24">
        <f t="shared" si="13"/>
        <v>389.94422892271939</v>
      </c>
      <c r="I81" s="21">
        <f t="shared" si="20"/>
        <v>0</v>
      </c>
      <c r="J81" s="63">
        <f t="shared" si="2"/>
        <v>0</v>
      </c>
      <c r="K81" s="66">
        <f t="shared" si="19"/>
        <v>1287.9976046235276</v>
      </c>
      <c r="L81" s="17"/>
      <c r="M81" s="23">
        <f t="shared" si="14"/>
        <v>0</v>
      </c>
      <c r="N81" s="23">
        <f t="shared" si="3"/>
        <v>0</v>
      </c>
      <c r="O81" s="23">
        <f t="shared" si="4"/>
        <v>0</v>
      </c>
      <c r="P81" s="17"/>
      <c r="Q81" s="19">
        <f>IF(C81="","",'Tabla_Puntual&amp;Relacionamiento'!$E$73)</f>
        <v>0.109</v>
      </c>
      <c r="R81" s="19" t="str">
        <f>IF(C81="","",IF($E$14="Pago_Bajo_Puntual",$M$17,""))</f>
        <v/>
      </c>
      <c r="S81" s="11">
        <f t="shared" si="15"/>
        <v>11837.941833546247</v>
      </c>
      <c r="T81" s="23">
        <f t="shared" si="5"/>
        <v>884126.86894416832</v>
      </c>
      <c r="U81" s="37">
        <f t="shared" si="6"/>
        <v>1</v>
      </c>
      <c r="V81" s="37">
        <f t="shared" si="18"/>
        <v>61</v>
      </c>
      <c r="X81" s="31">
        <f t="shared" si="7"/>
        <v>10643.859349696688</v>
      </c>
      <c r="Y81" s="34">
        <f>Y80*1.019</f>
        <v>1.0986792440810986</v>
      </c>
      <c r="Z81" s="31">
        <f t="shared" si="8"/>
        <v>0</v>
      </c>
      <c r="AA81" s="66">
        <f t="shared" si="9"/>
        <v>25750</v>
      </c>
      <c r="AB81" s="6">
        <f t="shared" si="10"/>
        <v>0</v>
      </c>
      <c r="AC81" s="48">
        <f>AC80+$M$17</f>
        <v>0</v>
      </c>
    </row>
    <row r="82" spans="3:29" x14ac:dyDescent="0.25">
      <c r="C82" s="27">
        <f t="shared" si="11"/>
        <v>62</v>
      </c>
      <c r="D82" s="30">
        <f t="shared" si="12"/>
        <v>884126.86894416832</v>
      </c>
      <c r="E82" s="20">
        <f t="shared" si="17"/>
        <v>10160</v>
      </c>
      <c r="F82" s="20">
        <f t="shared" si="0"/>
        <v>2129.1809404238038</v>
      </c>
      <c r="G82" s="21">
        <f t="shared" si="1"/>
        <v>8030.8190595761962</v>
      </c>
      <c r="H82" s="24">
        <f t="shared" si="13"/>
        <v>389.01582233543411</v>
      </c>
      <c r="I82" s="21">
        <f t="shared" si="20"/>
        <v>0</v>
      </c>
      <c r="J82" s="63">
        <f t="shared" si="2"/>
        <v>0</v>
      </c>
      <c r="K82" s="66">
        <f t="shared" si="19"/>
        <v>1284.9310495321913</v>
      </c>
      <c r="L82" s="17"/>
      <c r="M82" s="23">
        <f t="shared" si="14"/>
        <v>0</v>
      </c>
      <c r="N82" s="23">
        <f t="shared" si="3"/>
        <v>0</v>
      </c>
      <c r="O82" s="23">
        <f t="shared" si="4"/>
        <v>0</v>
      </c>
      <c r="P82" s="17"/>
      <c r="Q82" s="19">
        <f>IF(C82="","",'Tabla_Puntual&amp;Relacionamiento'!$E$73)</f>
        <v>0.109</v>
      </c>
      <c r="R82" s="19"/>
      <c r="S82" s="11">
        <f t="shared" si="15"/>
        <v>11833.946871867625</v>
      </c>
      <c r="T82" s="23">
        <f t="shared" si="5"/>
        <v>881997.68800374446</v>
      </c>
      <c r="U82" s="37">
        <f t="shared" si="6"/>
        <v>1</v>
      </c>
      <c r="V82" s="37">
        <f t="shared" si="18"/>
        <v>62</v>
      </c>
      <c r="X82" s="31">
        <f t="shared" si="7"/>
        <v>10642.930943109403</v>
      </c>
      <c r="Y82" s="34">
        <f t="shared" ref="Y82:Y92" si="26">Y81</f>
        <v>1.0986792440810986</v>
      </c>
      <c r="Z82" s="31">
        <f t="shared" si="8"/>
        <v>0</v>
      </c>
      <c r="AA82" s="66">
        <f t="shared" si="9"/>
        <v>25750</v>
      </c>
      <c r="AB82" s="6">
        <f t="shared" si="10"/>
        <v>0</v>
      </c>
      <c r="AC82" s="48">
        <f t="shared" si="22"/>
        <v>0</v>
      </c>
    </row>
    <row r="83" spans="3:29" x14ac:dyDescent="0.25">
      <c r="C83" s="27">
        <f t="shared" si="11"/>
        <v>63</v>
      </c>
      <c r="D83" s="30">
        <f t="shared" si="12"/>
        <v>881997.68800374446</v>
      </c>
      <c r="E83" s="20">
        <f t="shared" si="17"/>
        <v>10160</v>
      </c>
      <c r="F83" s="20">
        <f t="shared" si="0"/>
        <v>2148.5210006326542</v>
      </c>
      <c r="G83" s="21">
        <f t="shared" si="1"/>
        <v>8011.4789993673458</v>
      </c>
      <c r="H83" s="24">
        <f t="shared" si="13"/>
        <v>388.07898272164755</v>
      </c>
      <c r="I83" s="21">
        <f t="shared" si="20"/>
        <v>0</v>
      </c>
      <c r="J83" s="63">
        <f t="shared" si="2"/>
        <v>0</v>
      </c>
      <c r="K83" s="66">
        <f t="shared" si="19"/>
        <v>1281.8366398987753</v>
      </c>
      <c r="L83" s="17"/>
      <c r="M83" s="23">
        <f t="shared" si="14"/>
        <v>0</v>
      </c>
      <c r="N83" s="23">
        <f t="shared" si="3"/>
        <v>0</v>
      </c>
      <c r="O83" s="23">
        <f t="shared" si="4"/>
        <v>0</v>
      </c>
      <c r="P83" s="17"/>
      <c r="Q83" s="19">
        <f>IF(C83="","",'Tabla_Puntual&amp;Relacionamiento'!$E$73)</f>
        <v>0.109</v>
      </c>
      <c r="R83" s="19"/>
      <c r="S83" s="11">
        <f t="shared" si="15"/>
        <v>11829.915622620421</v>
      </c>
      <c r="T83" s="23">
        <f t="shared" si="5"/>
        <v>879849.1670031118</v>
      </c>
      <c r="U83" s="37">
        <f t="shared" si="6"/>
        <v>1</v>
      </c>
      <c r="V83" s="37">
        <f t="shared" si="18"/>
        <v>63</v>
      </c>
      <c r="X83" s="31">
        <f t="shared" si="7"/>
        <v>10641.994103495615</v>
      </c>
      <c r="Y83" s="34">
        <f t="shared" si="26"/>
        <v>1.0986792440810986</v>
      </c>
      <c r="Z83" s="31">
        <f t="shared" si="8"/>
        <v>0</v>
      </c>
      <c r="AA83" s="66">
        <f t="shared" si="9"/>
        <v>25750</v>
      </c>
      <c r="AB83" s="6">
        <f t="shared" si="10"/>
        <v>0</v>
      </c>
      <c r="AC83" s="48">
        <f t="shared" si="22"/>
        <v>0</v>
      </c>
    </row>
    <row r="84" spans="3:29" x14ac:dyDescent="0.25">
      <c r="C84" s="27">
        <f t="shared" si="11"/>
        <v>64</v>
      </c>
      <c r="D84" s="30">
        <f t="shared" si="12"/>
        <v>879849.1670031118</v>
      </c>
      <c r="E84" s="20">
        <f t="shared" si="17"/>
        <v>10160</v>
      </c>
      <c r="F84" s="20">
        <f t="shared" si="0"/>
        <v>2168.0367330550671</v>
      </c>
      <c r="G84" s="21">
        <f t="shared" si="1"/>
        <v>7991.9632669449329</v>
      </c>
      <c r="H84" s="24">
        <f t="shared" si="13"/>
        <v>387.1336334813692</v>
      </c>
      <c r="I84" s="21">
        <f t="shared" si="20"/>
        <v>0</v>
      </c>
      <c r="J84" s="63">
        <f t="shared" si="2"/>
        <v>0</v>
      </c>
      <c r="K84" s="66">
        <f t="shared" si="19"/>
        <v>1278.7141227111892</v>
      </c>
      <c r="L84" s="17"/>
      <c r="M84" s="23">
        <f t="shared" si="14"/>
        <v>0</v>
      </c>
      <c r="N84" s="23">
        <f t="shared" si="3"/>
        <v>0</v>
      </c>
      <c r="O84" s="23">
        <f t="shared" si="4"/>
        <v>0</v>
      </c>
      <c r="P84" s="17"/>
      <c r="Q84" s="19">
        <f>IF(C84="","",'Tabla_Puntual&amp;Relacionamiento'!$E$73)</f>
        <v>0.109</v>
      </c>
      <c r="R84" s="19"/>
      <c r="S84" s="11">
        <f t="shared" si="15"/>
        <v>11825.847756192559</v>
      </c>
      <c r="T84" s="23">
        <f t="shared" si="5"/>
        <v>877681.13027005678</v>
      </c>
      <c r="U84" s="37">
        <f t="shared" si="6"/>
        <v>1</v>
      </c>
      <c r="V84" s="37">
        <f t="shared" si="18"/>
        <v>64</v>
      </c>
      <c r="X84" s="31">
        <f t="shared" si="7"/>
        <v>10641.048754255338</v>
      </c>
      <c r="Y84" s="34">
        <f t="shared" si="26"/>
        <v>1.0986792440810986</v>
      </c>
      <c r="Z84" s="31">
        <f t="shared" si="8"/>
        <v>0</v>
      </c>
      <c r="AA84" s="66">
        <f t="shared" si="9"/>
        <v>25750</v>
      </c>
      <c r="AB84" s="6">
        <f t="shared" si="10"/>
        <v>0</v>
      </c>
      <c r="AC84" s="48">
        <f t="shared" si="22"/>
        <v>0</v>
      </c>
    </row>
    <row r="85" spans="3:29" x14ac:dyDescent="0.25">
      <c r="C85" s="27">
        <f t="shared" si="11"/>
        <v>65</v>
      </c>
      <c r="D85" s="30">
        <f t="shared" si="12"/>
        <v>877681.13027005678</v>
      </c>
      <c r="E85" s="20">
        <f t="shared" si="17"/>
        <v>10160</v>
      </c>
      <c r="F85" s="20">
        <f t="shared" ref="F85:F148" si="27">IF(C85="","",E85-G85+P85+M85)</f>
        <v>2187.7297333803172</v>
      </c>
      <c r="G85" s="21">
        <f t="shared" ref="G85:G148" si="28">IF(C85="","",IF(T84*(Q85/12)&lt;0,"",T84*(Q85/12)))</f>
        <v>7972.2702666196828</v>
      </c>
      <c r="H85" s="24">
        <f t="shared" si="13"/>
        <v>386.17969731882499</v>
      </c>
      <c r="I85" s="21">
        <f t="shared" si="20"/>
        <v>0</v>
      </c>
      <c r="J85" s="63">
        <f t="shared" si="2"/>
        <v>0</v>
      </c>
      <c r="K85" s="66">
        <f t="shared" si="19"/>
        <v>1275.5632426591492</v>
      </c>
      <c r="L85" s="17"/>
      <c r="M85" s="23">
        <f t="shared" si="14"/>
        <v>0</v>
      </c>
      <c r="N85" s="23">
        <f t="shared" ref="N85:N148" si="29">IF(C85="","",(L85+P85)*$J$12)</f>
        <v>0</v>
      </c>
      <c r="O85" s="23">
        <f t="shared" ref="O85:O148" si="30">IF(C85="","",((L85+P85)*$J$12)*0.16)</f>
        <v>0</v>
      </c>
      <c r="P85" s="17"/>
      <c r="Q85" s="19">
        <f>IF(C85="","",'Tabla_Puntual&amp;Relacionamiento'!$E$73)</f>
        <v>0.109</v>
      </c>
      <c r="R85" s="19"/>
      <c r="S85" s="11">
        <f t="shared" si="15"/>
        <v>11821.742939977974</v>
      </c>
      <c r="T85" s="23">
        <f t="shared" ref="T85:T148" si="31">IF(C85="","",T84-F85)</f>
        <v>875493.4005366764</v>
      </c>
      <c r="U85" s="37">
        <f t="shared" ref="U85:U148" si="32">IF(C85="","",1)</f>
        <v>1</v>
      </c>
      <c r="V85" s="37">
        <f t="shared" si="18"/>
        <v>65</v>
      </c>
      <c r="X85" s="31">
        <f t="shared" ref="X85:X148" si="33">IF(C85="","",IF($D$17="SI",AB85,
IF(ISNUMBER(V85),IF($E$14="Pago_Fijo_Puntual",PMT(Q85/12,$E$15*12,-$J$9),
Y85*$J$15*$J$9/1000)+H85+AB85+P85+I85/1.16+$Q$15,0)))</f>
        <v>10640.094818092794</v>
      </c>
      <c r="Y85" s="34">
        <f t="shared" si="26"/>
        <v>1.0986792440810986</v>
      </c>
      <c r="Z85" s="31">
        <f t="shared" ref="Z85:Z148" si="34">IF($AA$20=0,0,IF(M85&gt;AA84,MAX(0,M85-AA84),M85))</f>
        <v>0</v>
      </c>
      <c r="AA85" s="66">
        <f t="shared" ref="AA85:AA148" si="35">IFERROR(MAX(0,AA84-M85),0)</f>
        <v>25750</v>
      </c>
      <c r="AB85" s="6">
        <f t="shared" ref="AB85:AB148" si="36">IF($D$17="NO",M85,IF(AA85&gt;0,0,Z85))</f>
        <v>0</v>
      </c>
      <c r="AC85" s="48">
        <f t="shared" si="22"/>
        <v>0</v>
      </c>
    </row>
    <row r="86" spans="3:29" x14ac:dyDescent="0.25">
      <c r="C86" s="27">
        <f t="shared" ref="C86:C149" si="37">IF(OR(C85="",T85&lt;=0),"",IF(C85+1&lt;=E$15*12,C85+1,""))</f>
        <v>66</v>
      </c>
      <c r="D86" s="30">
        <f t="shared" ref="D86:D149" si="38">IF(T85&lt;=0,"",T85)</f>
        <v>875493.4005366764</v>
      </c>
      <c r="E86" s="20">
        <f t="shared" si="17"/>
        <v>10160</v>
      </c>
      <c r="F86" s="20">
        <f t="shared" si="27"/>
        <v>2207.6016117918552</v>
      </c>
      <c r="G86" s="21">
        <f t="shared" si="28"/>
        <v>7952.3983882081448</v>
      </c>
      <c r="H86" s="24">
        <f t="shared" ref="H86:H149" si="39">IF(C86="","",L$12*T85/1000)</f>
        <v>385.21709623613759</v>
      </c>
      <c r="I86" s="21">
        <f t="shared" si="20"/>
        <v>0</v>
      </c>
      <c r="J86" s="63">
        <f t="shared" ref="J86:J149" si="40">IF($D$17="SI",0,IF(D86="","",$Q$15))</f>
        <v>0</v>
      </c>
      <c r="K86" s="66">
        <f t="shared" si="19"/>
        <v>1272.3837421133032</v>
      </c>
      <c r="L86" s="17"/>
      <c r="M86" s="23">
        <f t="shared" ref="M86:M149" si="41">IF(C86="","",IF(L86="",0,L86-N86-O86))</f>
        <v>0</v>
      </c>
      <c r="N86" s="23">
        <f t="shared" si="29"/>
        <v>0</v>
      </c>
      <c r="O86" s="23">
        <f t="shared" si="30"/>
        <v>0</v>
      </c>
      <c r="P86" s="17"/>
      <c r="Q86" s="19">
        <f>IF(C86="","",'Tabla_Puntual&amp;Relacionamiento'!$E$73)</f>
        <v>0.109</v>
      </c>
      <c r="R86" s="19"/>
      <c r="S86" s="11">
        <f t="shared" ref="S86:S149" si="42">IF(C86="","",IF($K$19="",E86+H86+I86+J86+L86+P86,E86+H86+I86+J86+K86+L86+P86))</f>
        <v>11817.600838349441</v>
      </c>
      <c r="T86" s="23">
        <f t="shared" si="31"/>
        <v>873285.79892488453</v>
      </c>
      <c r="U86" s="37">
        <f t="shared" si="32"/>
        <v>1</v>
      </c>
      <c r="V86" s="37">
        <f t="shared" si="18"/>
        <v>66</v>
      </c>
      <c r="X86" s="31">
        <f t="shared" si="33"/>
        <v>10639.132217010107</v>
      </c>
      <c r="Y86" s="34">
        <f t="shared" si="26"/>
        <v>1.0986792440810986</v>
      </c>
      <c r="Z86" s="31">
        <f t="shared" si="34"/>
        <v>0</v>
      </c>
      <c r="AA86" s="66">
        <f t="shared" si="35"/>
        <v>25750</v>
      </c>
      <c r="AB86" s="6">
        <f t="shared" si="36"/>
        <v>0</v>
      </c>
      <c r="AC86" s="48">
        <f t="shared" si="22"/>
        <v>0</v>
      </c>
    </row>
    <row r="87" spans="3:29" x14ac:dyDescent="0.25">
      <c r="C87" s="27">
        <f t="shared" si="37"/>
        <v>67</v>
      </c>
      <c r="D87" s="30">
        <f t="shared" si="38"/>
        <v>873285.79892488453</v>
      </c>
      <c r="E87" s="20">
        <f t="shared" ref="E87:E150" si="43">IF(C87="","",IF(T86&lt;E86,T86+G87,IF($E$14="Pago_Fijo_Puntual",$J$9*$J$15/1000,IF($E$14="Pago_Bajo_Puntual",E86+(E86*R87)))))</f>
        <v>10160</v>
      </c>
      <c r="F87" s="20">
        <f t="shared" si="27"/>
        <v>2227.6539930989647</v>
      </c>
      <c r="G87" s="21">
        <f t="shared" si="28"/>
        <v>7932.3460069010353</v>
      </c>
      <c r="H87" s="24">
        <f t="shared" si="39"/>
        <v>384.24575152694916</v>
      </c>
      <c r="I87" s="21">
        <f t="shared" si="20"/>
        <v>0</v>
      </c>
      <c r="J87" s="63">
        <f t="shared" si="40"/>
        <v>0</v>
      </c>
      <c r="K87" s="66">
        <f t="shared" si="19"/>
        <v>1269.1753611041656</v>
      </c>
      <c r="L87" s="17"/>
      <c r="M87" s="23">
        <f t="shared" si="41"/>
        <v>0</v>
      </c>
      <c r="N87" s="23">
        <f t="shared" si="29"/>
        <v>0</v>
      </c>
      <c r="O87" s="23">
        <f t="shared" si="30"/>
        <v>0</v>
      </c>
      <c r="P87" s="17"/>
      <c r="Q87" s="19">
        <f>IF(C87="","",'Tabla_Puntual&amp;Relacionamiento'!$E$73)</f>
        <v>0.109</v>
      </c>
      <c r="R87" s="19"/>
      <c r="S87" s="11">
        <f t="shared" si="42"/>
        <v>11813.421112631115</v>
      </c>
      <c r="T87" s="23">
        <f t="shared" si="31"/>
        <v>871058.14493178553</v>
      </c>
      <c r="U87" s="37">
        <f t="shared" si="32"/>
        <v>1</v>
      </c>
      <c r="V87" s="37">
        <f t="shared" ref="V87:V150" si="44">C87</f>
        <v>67</v>
      </c>
      <c r="X87" s="31">
        <f t="shared" si="33"/>
        <v>10638.160872300918</v>
      </c>
      <c r="Y87" s="34">
        <f t="shared" si="26"/>
        <v>1.0986792440810986</v>
      </c>
      <c r="Z87" s="31">
        <f t="shared" si="34"/>
        <v>0</v>
      </c>
      <c r="AA87" s="66">
        <f t="shared" si="35"/>
        <v>25750</v>
      </c>
      <c r="AB87" s="6">
        <f t="shared" si="36"/>
        <v>0</v>
      </c>
      <c r="AC87" s="48">
        <f t="shared" si="22"/>
        <v>0</v>
      </c>
    </row>
    <row r="88" spans="3:29" x14ac:dyDescent="0.25">
      <c r="C88" s="27">
        <f t="shared" si="37"/>
        <v>68</v>
      </c>
      <c r="D88" s="30">
        <f t="shared" si="38"/>
        <v>871058.14493178553</v>
      </c>
      <c r="E88" s="20">
        <f t="shared" si="43"/>
        <v>10160</v>
      </c>
      <c r="F88" s="20">
        <f t="shared" si="27"/>
        <v>2247.8885168696143</v>
      </c>
      <c r="G88" s="21">
        <f t="shared" si="28"/>
        <v>7912.1114831303857</v>
      </c>
      <c r="H88" s="24">
        <f t="shared" si="39"/>
        <v>383.26558376998565</v>
      </c>
      <c r="I88" s="21">
        <f t="shared" si="20"/>
        <v>0</v>
      </c>
      <c r="J88" s="63">
        <f t="shared" si="40"/>
        <v>0</v>
      </c>
      <c r="K88" s="66">
        <f t="shared" ref="K88:K151" si="45">IFERROR(IF($E$8="Liquidez",G88*0.16,IF(AND($E$8="Pago_Hipoteca+Liquidez",$E$16="Liquidez"),G88*0.16,"")),"")</f>
        <v>1265.9378373008617</v>
      </c>
      <c r="L88" s="17"/>
      <c r="M88" s="23">
        <f t="shared" si="41"/>
        <v>0</v>
      </c>
      <c r="N88" s="23">
        <f t="shared" si="29"/>
        <v>0</v>
      </c>
      <c r="O88" s="23">
        <f t="shared" si="30"/>
        <v>0</v>
      </c>
      <c r="P88" s="17"/>
      <c r="Q88" s="19">
        <f>IF(C88="","",'Tabla_Puntual&amp;Relacionamiento'!$E$73)</f>
        <v>0.109</v>
      </c>
      <c r="R88" s="19"/>
      <c r="S88" s="11">
        <f t="shared" si="42"/>
        <v>11809.203421070848</v>
      </c>
      <c r="T88" s="23">
        <f t="shared" si="31"/>
        <v>868810.2564149159</v>
      </c>
      <c r="U88" s="37">
        <f t="shared" si="32"/>
        <v>1</v>
      </c>
      <c r="V88" s="37">
        <f t="shared" si="44"/>
        <v>68</v>
      </c>
      <c r="X88" s="31">
        <f t="shared" si="33"/>
        <v>10637.180704543955</v>
      </c>
      <c r="Y88" s="34">
        <f t="shared" si="26"/>
        <v>1.0986792440810986</v>
      </c>
      <c r="Z88" s="31">
        <f t="shared" si="34"/>
        <v>0</v>
      </c>
      <c r="AA88" s="66">
        <f t="shared" si="35"/>
        <v>25750</v>
      </c>
      <c r="AB88" s="6">
        <f t="shared" si="36"/>
        <v>0</v>
      </c>
      <c r="AC88" s="48">
        <f t="shared" si="22"/>
        <v>0</v>
      </c>
    </row>
    <row r="89" spans="3:29" x14ac:dyDescent="0.25">
      <c r="C89" s="27">
        <f t="shared" si="37"/>
        <v>69</v>
      </c>
      <c r="D89" s="30">
        <f t="shared" si="38"/>
        <v>868810.2564149159</v>
      </c>
      <c r="E89" s="20">
        <f t="shared" si="43"/>
        <v>10160</v>
      </c>
      <c r="F89" s="20">
        <f t="shared" si="27"/>
        <v>2268.3068375645134</v>
      </c>
      <c r="G89" s="21">
        <f t="shared" si="28"/>
        <v>7891.6931624354866</v>
      </c>
      <c r="H89" s="24">
        <f t="shared" si="39"/>
        <v>382.27651282256301</v>
      </c>
      <c r="I89" s="21">
        <f t="shared" ref="I89:I152" si="46">IF(C89="","",IF(AND($E$8="Pago_Hipoteca+Liquidez",$E$16="Liquidez"),0,IF((($J$8*0.8)*($N$12/1.16))&gt;T88*($N$12/1.16),($J$8*0.8)*($N$12/1.16),($N$12/1.16)*T88)/1000))</f>
        <v>0</v>
      </c>
      <c r="J89" s="63">
        <f t="shared" si="40"/>
        <v>0</v>
      </c>
      <c r="K89" s="66">
        <f t="shared" si="45"/>
        <v>1262.670905989678</v>
      </c>
      <c r="L89" s="17"/>
      <c r="M89" s="23">
        <f t="shared" si="41"/>
        <v>0</v>
      </c>
      <c r="N89" s="23">
        <f t="shared" si="29"/>
        <v>0</v>
      </c>
      <c r="O89" s="23">
        <f t="shared" si="30"/>
        <v>0</v>
      </c>
      <c r="P89" s="17"/>
      <c r="Q89" s="19">
        <f>IF(C89="","",'Tabla_Puntual&amp;Relacionamiento'!$E$73)</f>
        <v>0.109</v>
      </c>
      <c r="R89" s="19"/>
      <c r="S89" s="11">
        <f t="shared" si="42"/>
        <v>11804.947418812242</v>
      </c>
      <c r="T89" s="23">
        <f t="shared" si="31"/>
        <v>866541.94957735133</v>
      </c>
      <c r="U89" s="37">
        <f t="shared" si="32"/>
        <v>1</v>
      </c>
      <c r="V89" s="37">
        <f t="shared" si="44"/>
        <v>69</v>
      </c>
      <c r="X89" s="31">
        <f t="shared" si="33"/>
        <v>10636.191633596532</v>
      </c>
      <c r="Y89" s="34">
        <f t="shared" si="26"/>
        <v>1.0986792440810986</v>
      </c>
      <c r="Z89" s="31">
        <f t="shared" si="34"/>
        <v>0</v>
      </c>
      <c r="AA89" s="66">
        <f t="shared" si="35"/>
        <v>25750</v>
      </c>
      <c r="AB89" s="6">
        <f t="shared" si="36"/>
        <v>0</v>
      </c>
      <c r="AC89" s="48">
        <f t="shared" si="22"/>
        <v>0</v>
      </c>
    </row>
    <row r="90" spans="3:29" x14ac:dyDescent="0.25">
      <c r="C90" s="27">
        <f t="shared" si="37"/>
        <v>70</v>
      </c>
      <c r="D90" s="30">
        <f t="shared" si="38"/>
        <v>866541.94957735133</v>
      </c>
      <c r="E90" s="20">
        <f t="shared" si="43"/>
        <v>10160</v>
      </c>
      <c r="F90" s="20">
        <f t="shared" si="27"/>
        <v>2288.9106246723914</v>
      </c>
      <c r="G90" s="21">
        <f t="shared" si="28"/>
        <v>7871.0893753276086</v>
      </c>
      <c r="H90" s="24">
        <f t="shared" si="39"/>
        <v>381.2784578140346</v>
      </c>
      <c r="I90" s="21">
        <f t="shared" si="46"/>
        <v>0</v>
      </c>
      <c r="J90" s="63">
        <f t="shared" si="40"/>
        <v>0</v>
      </c>
      <c r="K90" s="66">
        <f t="shared" si="45"/>
        <v>1259.3743000524173</v>
      </c>
      <c r="L90" s="17"/>
      <c r="M90" s="23">
        <f t="shared" si="41"/>
        <v>0</v>
      </c>
      <c r="N90" s="23">
        <f t="shared" si="29"/>
        <v>0</v>
      </c>
      <c r="O90" s="23">
        <f t="shared" si="30"/>
        <v>0</v>
      </c>
      <c r="P90" s="17"/>
      <c r="Q90" s="19">
        <f>IF(C90="","",'Tabla_Puntual&amp;Relacionamiento'!$E$73)</f>
        <v>0.109</v>
      </c>
      <c r="R90" s="19"/>
      <c r="S90" s="11">
        <f t="shared" si="42"/>
        <v>11800.652757866452</v>
      </c>
      <c r="T90" s="23">
        <f t="shared" si="31"/>
        <v>864253.03895267891</v>
      </c>
      <c r="U90" s="37">
        <f t="shared" si="32"/>
        <v>1</v>
      </c>
      <c r="V90" s="37">
        <f t="shared" si="44"/>
        <v>70</v>
      </c>
      <c r="X90" s="31">
        <f t="shared" si="33"/>
        <v>10635.193578588003</v>
      </c>
      <c r="Y90" s="34">
        <f t="shared" si="26"/>
        <v>1.0986792440810986</v>
      </c>
      <c r="Z90" s="31">
        <f t="shared" si="34"/>
        <v>0</v>
      </c>
      <c r="AA90" s="66">
        <f t="shared" si="35"/>
        <v>25750</v>
      </c>
      <c r="AB90" s="6">
        <f t="shared" si="36"/>
        <v>0</v>
      </c>
      <c r="AC90" s="48">
        <f t="shared" si="22"/>
        <v>0</v>
      </c>
    </row>
    <row r="91" spans="3:29" x14ac:dyDescent="0.25">
      <c r="C91" s="27">
        <f t="shared" si="37"/>
        <v>71</v>
      </c>
      <c r="D91" s="30">
        <f t="shared" si="38"/>
        <v>864253.03895267891</v>
      </c>
      <c r="E91" s="20">
        <f t="shared" si="43"/>
        <v>10160</v>
      </c>
      <c r="F91" s="20">
        <f t="shared" si="27"/>
        <v>2309.7015628464997</v>
      </c>
      <c r="G91" s="21">
        <f t="shared" si="28"/>
        <v>7850.2984371535003</v>
      </c>
      <c r="H91" s="24">
        <f t="shared" si="39"/>
        <v>380.27133713917868</v>
      </c>
      <c r="I91" s="21">
        <f t="shared" si="46"/>
        <v>0</v>
      </c>
      <c r="J91" s="63">
        <f t="shared" si="40"/>
        <v>0</v>
      </c>
      <c r="K91" s="66">
        <f t="shared" si="45"/>
        <v>1256.0477499445601</v>
      </c>
      <c r="L91" s="17"/>
      <c r="M91" s="23">
        <f t="shared" si="41"/>
        <v>0</v>
      </c>
      <c r="N91" s="23">
        <f t="shared" si="29"/>
        <v>0</v>
      </c>
      <c r="O91" s="23">
        <f t="shared" si="30"/>
        <v>0</v>
      </c>
      <c r="P91" s="17"/>
      <c r="Q91" s="19">
        <f>IF(C91="","",'Tabla_Puntual&amp;Relacionamiento'!$E$73)</f>
        <v>0.109</v>
      </c>
      <c r="R91" s="19"/>
      <c r="S91" s="11">
        <f t="shared" si="42"/>
        <v>11796.319087083739</v>
      </c>
      <c r="T91" s="23">
        <f t="shared" si="31"/>
        <v>861943.33738983236</v>
      </c>
      <c r="U91" s="37">
        <f t="shared" si="32"/>
        <v>1</v>
      </c>
      <c r="V91" s="37">
        <f t="shared" si="44"/>
        <v>71</v>
      </c>
      <c r="X91" s="31">
        <f t="shared" si="33"/>
        <v>10634.186457913147</v>
      </c>
      <c r="Y91" s="34">
        <f t="shared" si="26"/>
        <v>1.0986792440810986</v>
      </c>
      <c r="Z91" s="31">
        <f t="shared" si="34"/>
        <v>0</v>
      </c>
      <c r="AA91" s="66">
        <f t="shared" si="35"/>
        <v>25750</v>
      </c>
      <c r="AB91" s="6">
        <f t="shared" si="36"/>
        <v>0</v>
      </c>
      <c r="AC91" s="48">
        <f t="shared" si="22"/>
        <v>0</v>
      </c>
    </row>
    <row r="92" spans="3:29" x14ac:dyDescent="0.25">
      <c r="C92" s="27">
        <f t="shared" si="37"/>
        <v>72</v>
      </c>
      <c r="D92" s="30">
        <f t="shared" si="38"/>
        <v>861943.33738983236</v>
      </c>
      <c r="E92" s="20">
        <f t="shared" si="43"/>
        <v>10160</v>
      </c>
      <c r="F92" s="20">
        <f t="shared" si="27"/>
        <v>2330.6813520423557</v>
      </c>
      <c r="G92" s="21">
        <f t="shared" si="28"/>
        <v>7829.3186479576443</v>
      </c>
      <c r="H92" s="24">
        <f t="shared" si="39"/>
        <v>379.2550684515262</v>
      </c>
      <c r="I92" s="21">
        <f t="shared" si="46"/>
        <v>0</v>
      </c>
      <c r="J92" s="63">
        <f t="shared" si="40"/>
        <v>0</v>
      </c>
      <c r="K92" s="66">
        <f t="shared" si="45"/>
        <v>1252.6909836732232</v>
      </c>
      <c r="L92" s="17"/>
      <c r="M92" s="23">
        <f t="shared" si="41"/>
        <v>0</v>
      </c>
      <c r="N92" s="23">
        <f t="shared" si="29"/>
        <v>0</v>
      </c>
      <c r="O92" s="23">
        <f t="shared" si="30"/>
        <v>0</v>
      </c>
      <c r="P92" s="17"/>
      <c r="Q92" s="19">
        <f>IF(C92="","",'Tabla_Puntual&amp;Relacionamiento'!$E$73)</f>
        <v>0.109</v>
      </c>
      <c r="R92" s="19"/>
      <c r="S92" s="11">
        <f t="shared" si="42"/>
        <v>11791.946052124749</v>
      </c>
      <c r="T92" s="23">
        <f t="shared" si="31"/>
        <v>859612.65603779</v>
      </c>
      <c r="U92" s="37">
        <f t="shared" si="32"/>
        <v>1</v>
      </c>
      <c r="V92" s="37">
        <f t="shared" si="44"/>
        <v>72</v>
      </c>
      <c r="X92" s="31">
        <f t="shared" si="33"/>
        <v>10633.170189225495</v>
      </c>
      <c r="Y92" s="34">
        <f t="shared" si="26"/>
        <v>1.0986792440810986</v>
      </c>
      <c r="Z92" s="31">
        <f t="shared" si="34"/>
        <v>0</v>
      </c>
      <c r="AA92" s="66">
        <f t="shared" si="35"/>
        <v>25750</v>
      </c>
      <c r="AB92" s="6">
        <f t="shared" si="36"/>
        <v>0</v>
      </c>
      <c r="AC92" s="48">
        <f t="shared" si="22"/>
        <v>0</v>
      </c>
    </row>
    <row r="93" spans="3:29" x14ac:dyDescent="0.25">
      <c r="C93" s="27">
        <f t="shared" si="37"/>
        <v>73</v>
      </c>
      <c r="D93" s="30">
        <f t="shared" si="38"/>
        <v>859612.65603779</v>
      </c>
      <c r="E93" s="20">
        <f t="shared" si="43"/>
        <v>10160</v>
      </c>
      <c r="F93" s="20">
        <f t="shared" si="27"/>
        <v>2244.4001256520169</v>
      </c>
      <c r="G93" s="21">
        <f t="shared" si="28"/>
        <v>7915.5998743479831</v>
      </c>
      <c r="H93" s="24">
        <f t="shared" si="39"/>
        <v>378.22956865662763</v>
      </c>
      <c r="I93" s="21">
        <f t="shared" si="46"/>
        <v>0</v>
      </c>
      <c r="J93" s="63">
        <f t="shared" si="40"/>
        <v>0</v>
      </c>
      <c r="K93" s="66">
        <f t="shared" si="45"/>
        <v>1266.4959798956772</v>
      </c>
      <c r="L93" s="17"/>
      <c r="M93" s="23">
        <f t="shared" si="41"/>
        <v>0</v>
      </c>
      <c r="N93" s="23">
        <f t="shared" si="29"/>
        <v>0</v>
      </c>
      <c r="O93" s="23">
        <f t="shared" si="30"/>
        <v>0</v>
      </c>
      <c r="P93" s="17"/>
      <c r="Q93" s="19">
        <f>IF(C93="","",'Tabla_Puntual&amp;Relacionamiento'!$E$74)</f>
        <v>0.1105</v>
      </c>
      <c r="R93" s="19" t="str">
        <f>IF(C93="","",IF($E$14="Pago_Bajo_Puntual",$M$17,""))</f>
        <v/>
      </c>
      <c r="S93" s="11">
        <f t="shared" si="42"/>
        <v>11804.725548552306</v>
      </c>
      <c r="T93" s="23">
        <f t="shared" si="31"/>
        <v>857368.25591213803</v>
      </c>
      <c r="U93" s="37">
        <f t="shared" si="32"/>
        <v>1</v>
      </c>
      <c r="V93" s="37">
        <f t="shared" si="44"/>
        <v>73</v>
      </c>
      <c r="X93" s="31">
        <f t="shared" si="33"/>
        <v>10734.162890829983</v>
      </c>
      <c r="Y93" s="34">
        <f>Y92*1.019</f>
        <v>1.1195541497186394</v>
      </c>
      <c r="Z93" s="31">
        <f t="shared" si="34"/>
        <v>0</v>
      </c>
      <c r="AA93" s="66">
        <f t="shared" si="35"/>
        <v>25750</v>
      </c>
      <c r="AB93" s="6">
        <f t="shared" si="36"/>
        <v>0</v>
      </c>
      <c r="AC93" s="48">
        <f>AC92+$M$17</f>
        <v>0</v>
      </c>
    </row>
    <row r="94" spans="3:29" x14ac:dyDescent="0.25">
      <c r="C94" s="27">
        <f t="shared" si="37"/>
        <v>74</v>
      </c>
      <c r="D94" s="30">
        <f t="shared" si="38"/>
        <v>857368.25591213803</v>
      </c>
      <c r="E94" s="20">
        <f t="shared" si="43"/>
        <v>10160</v>
      </c>
      <c r="F94" s="20">
        <f t="shared" si="27"/>
        <v>2265.0673101423954</v>
      </c>
      <c r="G94" s="21">
        <f t="shared" si="28"/>
        <v>7894.9326898576046</v>
      </c>
      <c r="H94" s="24">
        <f t="shared" si="39"/>
        <v>377.24203260134072</v>
      </c>
      <c r="I94" s="21">
        <f t="shared" si="46"/>
        <v>0</v>
      </c>
      <c r="J94" s="63">
        <f t="shared" si="40"/>
        <v>0</v>
      </c>
      <c r="K94" s="66">
        <f t="shared" si="45"/>
        <v>1263.1892303772167</v>
      </c>
      <c r="L94" s="17"/>
      <c r="M94" s="23">
        <f t="shared" si="41"/>
        <v>0</v>
      </c>
      <c r="N94" s="23">
        <f t="shared" si="29"/>
        <v>0</v>
      </c>
      <c r="O94" s="23">
        <f t="shared" si="30"/>
        <v>0</v>
      </c>
      <c r="P94" s="17"/>
      <c r="Q94" s="19">
        <f>IF(C94="","",'Tabla_Puntual&amp;Relacionamiento'!$E$74)</f>
        <v>0.1105</v>
      </c>
      <c r="R94" s="19"/>
      <c r="S94" s="11">
        <f t="shared" si="42"/>
        <v>11800.431262978558</v>
      </c>
      <c r="T94" s="23">
        <f t="shared" si="31"/>
        <v>855103.18860199559</v>
      </c>
      <c r="U94" s="37">
        <f t="shared" si="32"/>
        <v>1</v>
      </c>
      <c r="V94" s="37">
        <f t="shared" si="44"/>
        <v>74</v>
      </c>
      <c r="X94" s="31">
        <f t="shared" si="33"/>
        <v>10733.175354774696</v>
      </c>
      <c r="Y94" s="34">
        <f t="shared" ref="Y94:Y104" si="47">Y93</f>
        <v>1.1195541497186394</v>
      </c>
      <c r="Z94" s="31">
        <f t="shared" si="34"/>
        <v>0</v>
      </c>
      <c r="AA94" s="66">
        <f t="shared" si="35"/>
        <v>25750</v>
      </c>
      <c r="AB94" s="6">
        <f t="shared" si="36"/>
        <v>0</v>
      </c>
      <c r="AC94" s="48">
        <f t="shared" si="22"/>
        <v>0</v>
      </c>
    </row>
    <row r="95" spans="3:29" x14ac:dyDescent="0.25">
      <c r="C95" s="27">
        <f t="shared" si="37"/>
        <v>75</v>
      </c>
      <c r="D95" s="30">
        <f t="shared" si="38"/>
        <v>855103.18860199559</v>
      </c>
      <c r="E95" s="20">
        <f t="shared" si="43"/>
        <v>10160</v>
      </c>
      <c r="F95" s="20">
        <f t="shared" si="27"/>
        <v>2285.9248049566231</v>
      </c>
      <c r="G95" s="21">
        <f t="shared" si="28"/>
        <v>7874.0751950433769</v>
      </c>
      <c r="H95" s="24">
        <f t="shared" si="39"/>
        <v>376.24540298487807</v>
      </c>
      <c r="I95" s="21">
        <f t="shared" si="46"/>
        <v>0</v>
      </c>
      <c r="J95" s="63">
        <f t="shared" si="40"/>
        <v>0</v>
      </c>
      <c r="K95" s="66">
        <f t="shared" si="45"/>
        <v>1259.8520312069404</v>
      </c>
      <c r="L95" s="17"/>
      <c r="M95" s="23">
        <f t="shared" si="41"/>
        <v>0</v>
      </c>
      <c r="N95" s="23">
        <f t="shared" si="29"/>
        <v>0</v>
      </c>
      <c r="O95" s="23">
        <f t="shared" si="30"/>
        <v>0</v>
      </c>
      <c r="P95" s="17"/>
      <c r="Q95" s="19">
        <f>IF(C95="","",'Tabla_Puntual&amp;Relacionamiento'!$E$74)</f>
        <v>0.1105</v>
      </c>
      <c r="R95" s="19"/>
      <c r="S95" s="11">
        <f t="shared" si="42"/>
        <v>11796.097434191819</v>
      </c>
      <c r="T95" s="23">
        <f t="shared" si="31"/>
        <v>852817.26379703893</v>
      </c>
      <c r="U95" s="37">
        <f t="shared" si="32"/>
        <v>1</v>
      </c>
      <c r="V95" s="37">
        <f t="shared" si="44"/>
        <v>75</v>
      </c>
      <c r="X95" s="31">
        <f t="shared" si="33"/>
        <v>10732.178725158234</v>
      </c>
      <c r="Y95" s="34">
        <f t="shared" si="47"/>
        <v>1.1195541497186394</v>
      </c>
      <c r="Z95" s="31">
        <f t="shared" si="34"/>
        <v>0</v>
      </c>
      <c r="AA95" s="66">
        <f t="shared" si="35"/>
        <v>25750</v>
      </c>
      <c r="AB95" s="6">
        <f t="shared" si="36"/>
        <v>0</v>
      </c>
      <c r="AC95" s="48">
        <f t="shared" si="22"/>
        <v>0</v>
      </c>
    </row>
    <row r="96" spans="3:29" x14ac:dyDescent="0.25">
      <c r="C96" s="27">
        <f t="shared" si="37"/>
        <v>76</v>
      </c>
      <c r="D96" s="30">
        <f t="shared" si="38"/>
        <v>852817.26379703893</v>
      </c>
      <c r="E96" s="20">
        <f t="shared" si="43"/>
        <v>10160</v>
      </c>
      <c r="F96" s="20">
        <f t="shared" si="27"/>
        <v>2306.9743625355995</v>
      </c>
      <c r="G96" s="21">
        <f t="shared" si="28"/>
        <v>7853.0256374644005</v>
      </c>
      <c r="H96" s="24">
        <f t="shared" si="39"/>
        <v>375.23959607069713</v>
      </c>
      <c r="I96" s="21">
        <f t="shared" si="46"/>
        <v>0</v>
      </c>
      <c r="J96" s="63">
        <f t="shared" si="40"/>
        <v>0</v>
      </c>
      <c r="K96" s="66">
        <f t="shared" si="45"/>
        <v>1256.4841019943042</v>
      </c>
      <c r="L96" s="17"/>
      <c r="M96" s="23">
        <f t="shared" si="41"/>
        <v>0</v>
      </c>
      <c r="N96" s="23">
        <f t="shared" si="29"/>
        <v>0</v>
      </c>
      <c r="O96" s="23">
        <f t="shared" si="30"/>
        <v>0</v>
      </c>
      <c r="P96" s="17"/>
      <c r="Q96" s="19">
        <f>IF(C96="","",'Tabla_Puntual&amp;Relacionamiento'!$E$74)</f>
        <v>0.1105</v>
      </c>
      <c r="R96" s="19"/>
      <c r="S96" s="11">
        <f t="shared" si="42"/>
        <v>11791.723698065001</v>
      </c>
      <c r="T96" s="23">
        <f t="shared" si="31"/>
        <v>850510.2894345033</v>
      </c>
      <c r="U96" s="37">
        <f t="shared" si="32"/>
        <v>1</v>
      </c>
      <c r="V96" s="37">
        <f t="shared" si="44"/>
        <v>76</v>
      </c>
      <c r="X96" s="31">
        <f t="shared" si="33"/>
        <v>10731.172918244052</v>
      </c>
      <c r="Y96" s="34">
        <f t="shared" si="47"/>
        <v>1.1195541497186394</v>
      </c>
      <c r="Z96" s="31">
        <f t="shared" si="34"/>
        <v>0</v>
      </c>
      <c r="AA96" s="66">
        <f t="shared" si="35"/>
        <v>25750</v>
      </c>
      <c r="AB96" s="6">
        <f t="shared" si="36"/>
        <v>0</v>
      </c>
      <c r="AC96" s="48">
        <f t="shared" si="22"/>
        <v>0</v>
      </c>
    </row>
    <row r="97" spans="3:29" x14ac:dyDescent="0.25">
      <c r="C97" s="27">
        <f t="shared" si="37"/>
        <v>77</v>
      </c>
      <c r="D97" s="30">
        <f t="shared" si="38"/>
        <v>850510.2894345033</v>
      </c>
      <c r="E97" s="20">
        <f t="shared" si="43"/>
        <v>10160</v>
      </c>
      <c r="F97" s="20">
        <f t="shared" si="27"/>
        <v>2328.2177514572813</v>
      </c>
      <c r="G97" s="21">
        <f t="shared" si="28"/>
        <v>7831.7822485427187</v>
      </c>
      <c r="H97" s="24">
        <f t="shared" si="39"/>
        <v>374.22452735118145</v>
      </c>
      <c r="I97" s="21">
        <f t="shared" si="46"/>
        <v>0</v>
      </c>
      <c r="J97" s="63">
        <f t="shared" si="40"/>
        <v>0</v>
      </c>
      <c r="K97" s="66">
        <f t="shared" si="45"/>
        <v>1253.085159766835</v>
      </c>
      <c r="L97" s="17"/>
      <c r="M97" s="23">
        <f t="shared" si="41"/>
        <v>0</v>
      </c>
      <c r="N97" s="23">
        <f t="shared" si="29"/>
        <v>0</v>
      </c>
      <c r="O97" s="23">
        <f t="shared" si="30"/>
        <v>0</v>
      </c>
      <c r="P97" s="17"/>
      <c r="Q97" s="19">
        <f>IF(C97="","",'Tabla_Puntual&amp;Relacionamiento'!$E$74)</f>
        <v>0.1105</v>
      </c>
      <c r="R97" s="19"/>
      <c r="S97" s="11">
        <f t="shared" si="42"/>
        <v>11787.309687118017</v>
      </c>
      <c r="T97" s="23">
        <f t="shared" si="31"/>
        <v>848182.07168304606</v>
      </c>
      <c r="U97" s="37">
        <f t="shared" si="32"/>
        <v>1</v>
      </c>
      <c r="V97" s="37">
        <f t="shared" si="44"/>
        <v>77</v>
      </c>
      <c r="X97" s="31">
        <f t="shared" si="33"/>
        <v>10730.157849524538</v>
      </c>
      <c r="Y97" s="34">
        <f t="shared" si="47"/>
        <v>1.1195541497186394</v>
      </c>
      <c r="Z97" s="31">
        <f t="shared" si="34"/>
        <v>0</v>
      </c>
      <c r="AA97" s="66">
        <f t="shared" si="35"/>
        <v>25750</v>
      </c>
      <c r="AB97" s="6">
        <f t="shared" si="36"/>
        <v>0</v>
      </c>
      <c r="AC97" s="48">
        <f t="shared" si="22"/>
        <v>0</v>
      </c>
    </row>
    <row r="98" spans="3:29" x14ac:dyDescent="0.25">
      <c r="C98" s="27">
        <f t="shared" si="37"/>
        <v>78</v>
      </c>
      <c r="D98" s="30">
        <f t="shared" si="38"/>
        <v>848182.07168304606</v>
      </c>
      <c r="E98" s="20">
        <f t="shared" si="43"/>
        <v>10160</v>
      </c>
      <c r="F98" s="20">
        <f t="shared" si="27"/>
        <v>2349.6567565852838</v>
      </c>
      <c r="G98" s="21">
        <f t="shared" si="28"/>
        <v>7810.3432434147162</v>
      </c>
      <c r="H98" s="24">
        <f t="shared" si="39"/>
        <v>373.20011154054032</v>
      </c>
      <c r="I98" s="21">
        <f t="shared" si="46"/>
        <v>0</v>
      </c>
      <c r="J98" s="63">
        <f t="shared" si="40"/>
        <v>0</v>
      </c>
      <c r="K98" s="66">
        <f t="shared" si="45"/>
        <v>1249.6549189463547</v>
      </c>
      <c r="L98" s="17"/>
      <c r="M98" s="23">
        <f t="shared" si="41"/>
        <v>0</v>
      </c>
      <c r="N98" s="23">
        <f t="shared" si="29"/>
        <v>0</v>
      </c>
      <c r="O98" s="23">
        <f t="shared" si="30"/>
        <v>0</v>
      </c>
      <c r="P98" s="17"/>
      <c r="Q98" s="19">
        <f>IF(C98="","",'Tabla_Puntual&amp;Relacionamiento'!$E$74)</f>
        <v>0.1105</v>
      </c>
      <c r="R98" s="19"/>
      <c r="S98" s="11">
        <f t="shared" si="42"/>
        <v>11782.855030486895</v>
      </c>
      <c r="T98" s="23">
        <f t="shared" si="31"/>
        <v>845832.41492646083</v>
      </c>
      <c r="U98" s="37">
        <f t="shared" si="32"/>
        <v>1</v>
      </c>
      <c r="V98" s="37">
        <f t="shared" si="44"/>
        <v>78</v>
      </c>
      <c r="X98" s="31">
        <f t="shared" si="33"/>
        <v>10729.133433713896</v>
      </c>
      <c r="Y98" s="34">
        <f t="shared" si="47"/>
        <v>1.1195541497186394</v>
      </c>
      <c r="Z98" s="31">
        <f t="shared" si="34"/>
        <v>0</v>
      </c>
      <c r="AA98" s="66">
        <f t="shared" si="35"/>
        <v>25750</v>
      </c>
      <c r="AB98" s="6">
        <f t="shared" si="36"/>
        <v>0</v>
      </c>
      <c r="AC98" s="48">
        <f t="shared" si="22"/>
        <v>0</v>
      </c>
    </row>
    <row r="99" spans="3:29" x14ac:dyDescent="0.25">
      <c r="C99" s="27">
        <f t="shared" si="37"/>
        <v>79</v>
      </c>
      <c r="D99" s="30">
        <f t="shared" si="38"/>
        <v>845832.41492646083</v>
      </c>
      <c r="E99" s="20">
        <f t="shared" si="43"/>
        <v>10160</v>
      </c>
      <c r="F99" s="20">
        <f t="shared" si="27"/>
        <v>2371.2931792188392</v>
      </c>
      <c r="G99" s="21">
        <f t="shared" si="28"/>
        <v>7788.7068207811608</v>
      </c>
      <c r="H99" s="24">
        <f t="shared" si="39"/>
        <v>372.16626256764278</v>
      </c>
      <c r="I99" s="21">
        <f t="shared" si="46"/>
        <v>0</v>
      </c>
      <c r="J99" s="63">
        <f t="shared" si="40"/>
        <v>0</v>
      </c>
      <c r="K99" s="66">
        <f t="shared" si="45"/>
        <v>1246.1930913249857</v>
      </c>
      <c r="L99" s="17"/>
      <c r="M99" s="23">
        <f t="shared" si="41"/>
        <v>0</v>
      </c>
      <c r="N99" s="23">
        <f t="shared" si="29"/>
        <v>0</v>
      </c>
      <c r="O99" s="23">
        <f t="shared" si="30"/>
        <v>0</v>
      </c>
      <c r="P99" s="17"/>
      <c r="Q99" s="19">
        <f>IF(C99="","",'Tabla_Puntual&amp;Relacionamiento'!$E$74)</f>
        <v>0.1105</v>
      </c>
      <c r="R99" s="19"/>
      <c r="S99" s="11">
        <f t="shared" si="42"/>
        <v>11778.359353892629</v>
      </c>
      <c r="T99" s="23">
        <f t="shared" si="31"/>
        <v>843461.12174724194</v>
      </c>
      <c r="U99" s="37">
        <f t="shared" si="32"/>
        <v>1</v>
      </c>
      <c r="V99" s="37">
        <f t="shared" si="44"/>
        <v>79</v>
      </c>
      <c r="X99" s="31">
        <f t="shared" si="33"/>
        <v>10728.099584740999</v>
      </c>
      <c r="Y99" s="34">
        <f t="shared" si="47"/>
        <v>1.1195541497186394</v>
      </c>
      <c r="Z99" s="31">
        <f t="shared" si="34"/>
        <v>0</v>
      </c>
      <c r="AA99" s="66">
        <f t="shared" si="35"/>
        <v>25750</v>
      </c>
      <c r="AB99" s="6">
        <f t="shared" si="36"/>
        <v>0</v>
      </c>
      <c r="AC99" s="48">
        <f t="shared" ref="AC99:AC162" si="48">AC98</f>
        <v>0</v>
      </c>
    </row>
    <row r="100" spans="3:29" x14ac:dyDescent="0.25">
      <c r="C100" s="27">
        <f t="shared" si="37"/>
        <v>80</v>
      </c>
      <c r="D100" s="30">
        <f t="shared" si="38"/>
        <v>843461.12174724194</v>
      </c>
      <c r="E100" s="20">
        <f t="shared" si="43"/>
        <v>10160</v>
      </c>
      <c r="F100" s="20">
        <f t="shared" si="27"/>
        <v>2393.1288372441468</v>
      </c>
      <c r="G100" s="21">
        <f t="shared" si="28"/>
        <v>7766.8711627558532</v>
      </c>
      <c r="H100" s="24">
        <f t="shared" si="39"/>
        <v>371.12289356878642</v>
      </c>
      <c r="I100" s="21">
        <f t="shared" si="46"/>
        <v>0</v>
      </c>
      <c r="J100" s="63">
        <f t="shared" si="40"/>
        <v>0</v>
      </c>
      <c r="K100" s="66">
        <f t="shared" si="45"/>
        <v>1242.6993860409366</v>
      </c>
      <c r="L100" s="17"/>
      <c r="M100" s="23">
        <f t="shared" si="41"/>
        <v>0</v>
      </c>
      <c r="N100" s="23">
        <f t="shared" si="29"/>
        <v>0</v>
      </c>
      <c r="O100" s="23">
        <f t="shared" si="30"/>
        <v>0</v>
      </c>
      <c r="P100" s="17"/>
      <c r="Q100" s="19">
        <f>IF(C100="","",'Tabla_Puntual&amp;Relacionamiento'!$E$74)</f>
        <v>0.1105</v>
      </c>
      <c r="R100" s="19"/>
      <c r="S100" s="11">
        <f t="shared" si="42"/>
        <v>11773.822279609723</v>
      </c>
      <c r="T100" s="23">
        <f t="shared" si="31"/>
        <v>841067.99290999782</v>
      </c>
      <c r="U100" s="37">
        <f t="shared" si="32"/>
        <v>1</v>
      </c>
      <c r="V100" s="37">
        <f t="shared" si="44"/>
        <v>80</v>
      </c>
      <c r="X100" s="31">
        <f t="shared" si="33"/>
        <v>10727.056215742143</v>
      </c>
      <c r="Y100" s="34">
        <f t="shared" si="47"/>
        <v>1.1195541497186394</v>
      </c>
      <c r="Z100" s="31">
        <f t="shared" si="34"/>
        <v>0</v>
      </c>
      <c r="AA100" s="66">
        <f t="shared" si="35"/>
        <v>25750</v>
      </c>
      <c r="AB100" s="6">
        <f t="shared" si="36"/>
        <v>0</v>
      </c>
      <c r="AC100" s="48">
        <f t="shared" si="48"/>
        <v>0</v>
      </c>
    </row>
    <row r="101" spans="3:29" x14ac:dyDescent="0.25">
      <c r="C101" s="27">
        <f t="shared" si="37"/>
        <v>81</v>
      </c>
      <c r="D101" s="30">
        <f t="shared" si="38"/>
        <v>841067.99290999782</v>
      </c>
      <c r="E101" s="20">
        <f t="shared" si="43"/>
        <v>10160</v>
      </c>
      <c r="F101" s="20">
        <f t="shared" si="27"/>
        <v>2415.1655652871032</v>
      </c>
      <c r="G101" s="21">
        <f t="shared" si="28"/>
        <v>7744.8344347128968</v>
      </c>
      <c r="H101" s="24">
        <f t="shared" si="39"/>
        <v>370.06991688039903</v>
      </c>
      <c r="I101" s="21">
        <f t="shared" si="46"/>
        <v>0</v>
      </c>
      <c r="J101" s="63">
        <f t="shared" si="40"/>
        <v>0</v>
      </c>
      <c r="K101" s="66">
        <f t="shared" si="45"/>
        <v>1239.1735095540635</v>
      </c>
      <c r="L101" s="17"/>
      <c r="M101" s="23">
        <f t="shared" si="41"/>
        <v>0</v>
      </c>
      <c r="N101" s="23">
        <f t="shared" si="29"/>
        <v>0</v>
      </c>
      <c r="O101" s="23">
        <f t="shared" si="30"/>
        <v>0</v>
      </c>
      <c r="P101" s="17"/>
      <c r="Q101" s="19">
        <f>IF(C101="","",'Tabla_Puntual&amp;Relacionamiento'!$E$74)</f>
        <v>0.1105</v>
      </c>
      <c r="R101" s="19"/>
      <c r="S101" s="11">
        <f t="shared" si="42"/>
        <v>11769.243426434463</v>
      </c>
      <c r="T101" s="23">
        <f t="shared" si="31"/>
        <v>838652.82734471071</v>
      </c>
      <c r="U101" s="37">
        <f t="shared" si="32"/>
        <v>1</v>
      </c>
      <c r="V101" s="37">
        <f t="shared" si="44"/>
        <v>81</v>
      </c>
      <c r="X101" s="31">
        <f t="shared" si="33"/>
        <v>10726.003239053754</v>
      </c>
      <c r="Y101" s="34">
        <f t="shared" si="47"/>
        <v>1.1195541497186394</v>
      </c>
      <c r="Z101" s="31">
        <f t="shared" si="34"/>
        <v>0</v>
      </c>
      <c r="AA101" s="66">
        <f t="shared" si="35"/>
        <v>25750</v>
      </c>
      <c r="AB101" s="6">
        <f t="shared" si="36"/>
        <v>0</v>
      </c>
      <c r="AC101" s="48">
        <f t="shared" si="48"/>
        <v>0</v>
      </c>
    </row>
    <row r="102" spans="3:29" x14ac:dyDescent="0.25">
      <c r="C102" s="27">
        <f t="shared" si="37"/>
        <v>82</v>
      </c>
      <c r="D102" s="30">
        <f t="shared" si="38"/>
        <v>838652.82734471071</v>
      </c>
      <c r="E102" s="20">
        <f t="shared" si="43"/>
        <v>10160</v>
      </c>
      <c r="F102" s="20">
        <f t="shared" si="27"/>
        <v>2437.4052148674555</v>
      </c>
      <c r="G102" s="21">
        <f t="shared" si="28"/>
        <v>7722.5947851325445</v>
      </c>
      <c r="H102" s="24">
        <f t="shared" si="39"/>
        <v>369.00724403167271</v>
      </c>
      <c r="I102" s="21">
        <f t="shared" si="46"/>
        <v>0</v>
      </c>
      <c r="J102" s="63">
        <f t="shared" si="40"/>
        <v>0</v>
      </c>
      <c r="K102" s="66">
        <f t="shared" si="45"/>
        <v>1235.6151656212071</v>
      </c>
      <c r="L102" s="17"/>
      <c r="M102" s="23">
        <f t="shared" si="41"/>
        <v>0</v>
      </c>
      <c r="N102" s="23">
        <f t="shared" si="29"/>
        <v>0</v>
      </c>
      <c r="O102" s="23">
        <f t="shared" si="30"/>
        <v>0</v>
      </c>
      <c r="P102" s="17"/>
      <c r="Q102" s="19">
        <f>IF(C102="","",'Tabla_Puntual&amp;Relacionamiento'!$E$74)</f>
        <v>0.1105</v>
      </c>
      <c r="R102" s="19"/>
      <c r="S102" s="11">
        <f t="shared" si="42"/>
        <v>11764.62240965288</v>
      </c>
      <c r="T102" s="23">
        <f t="shared" si="31"/>
        <v>836215.42212984327</v>
      </c>
      <c r="U102" s="37">
        <f t="shared" si="32"/>
        <v>1</v>
      </c>
      <c r="V102" s="37">
        <f t="shared" si="44"/>
        <v>82</v>
      </c>
      <c r="X102" s="31">
        <f t="shared" si="33"/>
        <v>10724.940566205029</v>
      </c>
      <c r="Y102" s="34">
        <f t="shared" si="47"/>
        <v>1.1195541497186394</v>
      </c>
      <c r="Z102" s="31">
        <f t="shared" si="34"/>
        <v>0</v>
      </c>
      <c r="AA102" s="66">
        <f t="shared" si="35"/>
        <v>25750</v>
      </c>
      <c r="AB102" s="6">
        <f t="shared" si="36"/>
        <v>0</v>
      </c>
      <c r="AC102" s="48">
        <f t="shared" si="48"/>
        <v>0</v>
      </c>
    </row>
    <row r="103" spans="3:29" x14ac:dyDescent="0.25">
      <c r="C103" s="27">
        <f t="shared" si="37"/>
        <v>83</v>
      </c>
      <c r="D103" s="30">
        <f t="shared" si="38"/>
        <v>836215.42212984327</v>
      </c>
      <c r="E103" s="20">
        <f t="shared" si="43"/>
        <v>10160</v>
      </c>
      <c r="F103" s="20">
        <f t="shared" si="27"/>
        <v>2459.8496545543594</v>
      </c>
      <c r="G103" s="21">
        <f t="shared" si="28"/>
        <v>7700.1503454456406</v>
      </c>
      <c r="H103" s="24">
        <f t="shared" si="39"/>
        <v>367.93478573713105</v>
      </c>
      <c r="I103" s="21">
        <f t="shared" si="46"/>
        <v>0</v>
      </c>
      <c r="J103" s="63">
        <f t="shared" si="40"/>
        <v>0</v>
      </c>
      <c r="K103" s="66">
        <f t="shared" si="45"/>
        <v>1232.0240552713026</v>
      </c>
      <c r="L103" s="17"/>
      <c r="M103" s="23">
        <f t="shared" si="41"/>
        <v>0</v>
      </c>
      <c r="N103" s="23">
        <f t="shared" si="29"/>
        <v>0</v>
      </c>
      <c r="O103" s="23">
        <f t="shared" si="30"/>
        <v>0</v>
      </c>
      <c r="P103" s="17"/>
      <c r="Q103" s="19">
        <f>IF(C103="","",'Tabla_Puntual&amp;Relacionamiento'!$E$74)</f>
        <v>0.1105</v>
      </c>
      <c r="R103" s="19"/>
      <c r="S103" s="11">
        <f t="shared" si="42"/>
        <v>11759.958841008433</v>
      </c>
      <c r="T103" s="23">
        <f t="shared" si="31"/>
        <v>833755.57247528888</v>
      </c>
      <c r="U103" s="37">
        <f t="shared" si="32"/>
        <v>1</v>
      </c>
      <c r="V103" s="37">
        <f t="shared" si="44"/>
        <v>83</v>
      </c>
      <c r="X103" s="31">
        <f t="shared" si="33"/>
        <v>10723.868107910486</v>
      </c>
      <c r="Y103" s="34">
        <f t="shared" si="47"/>
        <v>1.1195541497186394</v>
      </c>
      <c r="Z103" s="31">
        <f t="shared" si="34"/>
        <v>0</v>
      </c>
      <c r="AA103" s="66">
        <f t="shared" si="35"/>
        <v>25750</v>
      </c>
      <c r="AB103" s="6">
        <f t="shared" si="36"/>
        <v>0</v>
      </c>
      <c r="AC103" s="48">
        <f t="shared" si="48"/>
        <v>0</v>
      </c>
    </row>
    <row r="104" spans="3:29" x14ac:dyDescent="0.25">
      <c r="C104" s="27">
        <f t="shared" si="37"/>
        <v>84</v>
      </c>
      <c r="D104" s="30">
        <f t="shared" si="38"/>
        <v>833755.57247528888</v>
      </c>
      <c r="E104" s="20">
        <f t="shared" si="43"/>
        <v>10160</v>
      </c>
      <c r="F104" s="20">
        <f t="shared" si="27"/>
        <v>2482.5007701233808</v>
      </c>
      <c r="G104" s="21">
        <f t="shared" si="28"/>
        <v>7677.4992298766192</v>
      </c>
      <c r="H104" s="24">
        <f t="shared" si="39"/>
        <v>366.85245188912711</v>
      </c>
      <c r="I104" s="21">
        <f t="shared" si="46"/>
        <v>0</v>
      </c>
      <c r="J104" s="63">
        <f t="shared" si="40"/>
        <v>0</v>
      </c>
      <c r="K104" s="66">
        <f t="shared" si="45"/>
        <v>1228.3998767802591</v>
      </c>
      <c r="L104" s="17"/>
      <c r="M104" s="23">
        <f t="shared" si="41"/>
        <v>0</v>
      </c>
      <c r="N104" s="23">
        <f t="shared" si="29"/>
        <v>0</v>
      </c>
      <c r="O104" s="23">
        <f t="shared" si="30"/>
        <v>0</v>
      </c>
      <c r="P104" s="17"/>
      <c r="Q104" s="19">
        <f>IF(C104="","",'Tabla_Puntual&amp;Relacionamiento'!$E$74)</f>
        <v>0.1105</v>
      </c>
      <c r="R104" s="19"/>
      <c r="S104" s="11">
        <f t="shared" si="42"/>
        <v>11755.252328669385</v>
      </c>
      <c r="T104" s="23">
        <f t="shared" si="31"/>
        <v>831273.07170516555</v>
      </c>
      <c r="U104" s="37">
        <f t="shared" si="32"/>
        <v>1</v>
      </c>
      <c r="V104" s="37">
        <f t="shared" si="44"/>
        <v>84</v>
      </c>
      <c r="X104" s="31">
        <f t="shared" si="33"/>
        <v>10722.785774062482</v>
      </c>
      <c r="Y104" s="34">
        <f t="shared" si="47"/>
        <v>1.1195541497186394</v>
      </c>
      <c r="Z104" s="31">
        <f t="shared" si="34"/>
        <v>0</v>
      </c>
      <c r="AA104" s="66">
        <f t="shared" si="35"/>
        <v>25750</v>
      </c>
      <c r="AB104" s="6">
        <f t="shared" si="36"/>
        <v>0</v>
      </c>
      <c r="AC104" s="48">
        <f t="shared" si="48"/>
        <v>0</v>
      </c>
    </row>
    <row r="105" spans="3:29" x14ac:dyDescent="0.25">
      <c r="C105" s="27">
        <f t="shared" si="37"/>
        <v>85</v>
      </c>
      <c r="D105" s="30">
        <f t="shared" si="38"/>
        <v>831273.07170516555</v>
      </c>
      <c r="E105" s="20">
        <f t="shared" si="43"/>
        <v>10160</v>
      </c>
      <c r="F105" s="20">
        <f t="shared" si="27"/>
        <v>2401.4513307517873</v>
      </c>
      <c r="G105" s="21">
        <f t="shared" si="28"/>
        <v>7758.5486692482127</v>
      </c>
      <c r="H105" s="24">
        <f t="shared" si="39"/>
        <v>365.76015155027284</v>
      </c>
      <c r="I105" s="21">
        <f t="shared" si="46"/>
        <v>0</v>
      </c>
      <c r="J105" s="63">
        <f t="shared" si="40"/>
        <v>0</v>
      </c>
      <c r="K105" s="66">
        <f t="shared" si="45"/>
        <v>1241.3677870797142</v>
      </c>
      <c r="L105" s="17"/>
      <c r="M105" s="23">
        <f t="shared" si="41"/>
        <v>0</v>
      </c>
      <c r="N105" s="23">
        <f t="shared" si="29"/>
        <v>0</v>
      </c>
      <c r="O105" s="23">
        <f t="shared" si="30"/>
        <v>0</v>
      </c>
      <c r="P105" s="17"/>
      <c r="Q105" s="19">
        <f>IF(C105="","",'Tabla_Puntual&amp;Relacionamiento'!$E$75)</f>
        <v>0.112</v>
      </c>
      <c r="R105" s="19" t="str">
        <f>IF(C105="","",IF($E$14="Pago_Bajo_Puntual",$M$17,""))</f>
        <v/>
      </c>
      <c r="S105" s="11">
        <f t="shared" si="42"/>
        <v>11767.127938629987</v>
      </c>
      <c r="T105" s="23">
        <f t="shared" si="31"/>
        <v>828871.62037441379</v>
      </c>
      <c r="U105" s="37">
        <f t="shared" si="32"/>
        <v>1</v>
      </c>
      <c r="V105" s="37">
        <f t="shared" si="44"/>
        <v>85</v>
      </c>
      <c r="X105" s="31">
        <f t="shared" si="33"/>
        <v>10824.099555239674</v>
      </c>
      <c r="Y105" s="34">
        <f>Y104*1.019</f>
        <v>1.1408256785632935</v>
      </c>
      <c r="Z105" s="31">
        <f t="shared" si="34"/>
        <v>0</v>
      </c>
      <c r="AA105" s="66">
        <f t="shared" si="35"/>
        <v>25750</v>
      </c>
      <c r="AB105" s="6">
        <f t="shared" si="36"/>
        <v>0</v>
      </c>
      <c r="AC105" s="48">
        <f>AC104+$M$17</f>
        <v>0</v>
      </c>
    </row>
    <row r="106" spans="3:29" x14ac:dyDescent="0.25">
      <c r="C106" s="27">
        <f t="shared" si="37"/>
        <v>86</v>
      </c>
      <c r="D106" s="30">
        <f t="shared" si="38"/>
        <v>828871.62037441379</v>
      </c>
      <c r="E106" s="20">
        <f t="shared" si="43"/>
        <v>10160</v>
      </c>
      <c r="F106" s="20">
        <f t="shared" si="27"/>
        <v>2423.8648765054704</v>
      </c>
      <c r="G106" s="21">
        <f t="shared" si="28"/>
        <v>7736.1351234945296</v>
      </c>
      <c r="H106" s="24">
        <f t="shared" si="39"/>
        <v>364.70351296474206</v>
      </c>
      <c r="I106" s="21">
        <f t="shared" si="46"/>
        <v>0</v>
      </c>
      <c r="J106" s="63">
        <f t="shared" si="40"/>
        <v>0</v>
      </c>
      <c r="K106" s="66">
        <f t="shared" si="45"/>
        <v>1237.7816197591249</v>
      </c>
      <c r="L106" s="17"/>
      <c r="M106" s="23">
        <f t="shared" si="41"/>
        <v>0</v>
      </c>
      <c r="N106" s="23">
        <f t="shared" si="29"/>
        <v>0</v>
      </c>
      <c r="O106" s="23">
        <f t="shared" si="30"/>
        <v>0</v>
      </c>
      <c r="P106" s="17"/>
      <c r="Q106" s="19">
        <f>IF(C106="","",'Tabla_Puntual&amp;Relacionamiento'!$E$75)</f>
        <v>0.112</v>
      </c>
      <c r="R106" s="19"/>
      <c r="S106" s="11">
        <f t="shared" si="42"/>
        <v>11762.485132723868</v>
      </c>
      <c r="T106" s="23">
        <f t="shared" si="31"/>
        <v>826447.75549790834</v>
      </c>
      <c r="U106" s="37">
        <f t="shared" si="32"/>
        <v>1</v>
      </c>
      <c r="V106" s="37">
        <f t="shared" si="44"/>
        <v>86</v>
      </c>
      <c r="X106" s="31">
        <f t="shared" si="33"/>
        <v>10823.042916654145</v>
      </c>
      <c r="Y106" s="34">
        <f t="shared" ref="Y106:Y116" si="49">Y105</f>
        <v>1.1408256785632935</v>
      </c>
      <c r="Z106" s="31">
        <f t="shared" si="34"/>
        <v>0</v>
      </c>
      <c r="AA106" s="66">
        <f t="shared" si="35"/>
        <v>25750</v>
      </c>
      <c r="AB106" s="6">
        <f t="shared" si="36"/>
        <v>0</v>
      </c>
      <c r="AC106" s="48">
        <f t="shared" si="48"/>
        <v>0</v>
      </c>
    </row>
    <row r="107" spans="3:29" x14ac:dyDescent="0.25">
      <c r="C107" s="27">
        <f t="shared" si="37"/>
        <v>87</v>
      </c>
      <c r="D107" s="30">
        <f t="shared" si="38"/>
        <v>826447.75549790834</v>
      </c>
      <c r="E107" s="20">
        <f t="shared" si="43"/>
        <v>10160</v>
      </c>
      <c r="F107" s="20">
        <f t="shared" si="27"/>
        <v>2446.4876153528548</v>
      </c>
      <c r="G107" s="21">
        <f t="shared" si="28"/>
        <v>7713.5123846471452</v>
      </c>
      <c r="H107" s="24">
        <f t="shared" si="39"/>
        <v>363.63701241907967</v>
      </c>
      <c r="I107" s="21">
        <f t="shared" si="46"/>
        <v>0</v>
      </c>
      <c r="J107" s="63">
        <f t="shared" si="40"/>
        <v>0</v>
      </c>
      <c r="K107" s="66">
        <f t="shared" si="45"/>
        <v>1234.1619815435433</v>
      </c>
      <c r="L107" s="17"/>
      <c r="M107" s="23">
        <f t="shared" si="41"/>
        <v>0</v>
      </c>
      <c r="N107" s="23">
        <f t="shared" si="29"/>
        <v>0</v>
      </c>
      <c r="O107" s="23">
        <f t="shared" si="30"/>
        <v>0</v>
      </c>
      <c r="P107" s="17"/>
      <c r="Q107" s="19">
        <f>IF(C107="","",'Tabla_Puntual&amp;Relacionamiento'!$E$75)</f>
        <v>0.112</v>
      </c>
      <c r="R107" s="19"/>
      <c r="S107" s="11">
        <f t="shared" si="42"/>
        <v>11757.798993962624</v>
      </c>
      <c r="T107" s="23">
        <f t="shared" si="31"/>
        <v>824001.26788255549</v>
      </c>
      <c r="U107" s="37">
        <f t="shared" si="32"/>
        <v>1</v>
      </c>
      <c r="V107" s="37">
        <f t="shared" si="44"/>
        <v>87</v>
      </c>
      <c r="X107" s="31">
        <f t="shared" si="33"/>
        <v>10821.976416108482</v>
      </c>
      <c r="Y107" s="34">
        <f t="shared" si="49"/>
        <v>1.1408256785632935</v>
      </c>
      <c r="Z107" s="31">
        <f t="shared" si="34"/>
        <v>0</v>
      </c>
      <c r="AA107" s="66">
        <f t="shared" si="35"/>
        <v>25750</v>
      </c>
      <c r="AB107" s="6">
        <f t="shared" si="36"/>
        <v>0</v>
      </c>
      <c r="AC107" s="48">
        <f t="shared" si="48"/>
        <v>0</v>
      </c>
    </row>
    <row r="108" spans="3:29" x14ac:dyDescent="0.25">
      <c r="C108" s="27">
        <f t="shared" si="37"/>
        <v>88</v>
      </c>
      <c r="D108" s="30">
        <f t="shared" si="38"/>
        <v>824001.26788255549</v>
      </c>
      <c r="E108" s="20">
        <f t="shared" si="43"/>
        <v>10160</v>
      </c>
      <c r="F108" s="20">
        <f t="shared" si="27"/>
        <v>2469.3214997628147</v>
      </c>
      <c r="G108" s="21">
        <f t="shared" si="28"/>
        <v>7690.6785002371853</v>
      </c>
      <c r="H108" s="24">
        <f t="shared" si="39"/>
        <v>362.56055786832439</v>
      </c>
      <c r="I108" s="21">
        <f t="shared" si="46"/>
        <v>0</v>
      </c>
      <c r="J108" s="63">
        <f t="shared" si="40"/>
        <v>0</v>
      </c>
      <c r="K108" s="66">
        <f t="shared" si="45"/>
        <v>1230.5085600379496</v>
      </c>
      <c r="L108" s="17"/>
      <c r="M108" s="23">
        <f t="shared" si="41"/>
        <v>0</v>
      </c>
      <c r="N108" s="23">
        <f t="shared" si="29"/>
        <v>0</v>
      </c>
      <c r="O108" s="23">
        <f t="shared" si="30"/>
        <v>0</v>
      </c>
      <c r="P108" s="17"/>
      <c r="Q108" s="19">
        <f>IF(C108="","",'Tabla_Puntual&amp;Relacionamiento'!$E$75)</f>
        <v>0.112</v>
      </c>
      <c r="R108" s="19"/>
      <c r="S108" s="11">
        <f t="shared" si="42"/>
        <v>11753.069117906274</v>
      </c>
      <c r="T108" s="23">
        <f t="shared" si="31"/>
        <v>821531.94638279267</v>
      </c>
      <c r="U108" s="37">
        <f t="shared" si="32"/>
        <v>1</v>
      </c>
      <c r="V108" s="37">
        <f t="shared" si="44"/>
        <v>88</v>
      </c>
      <c r="X108" s="31">
        <f t="shared" si="33"/>
        <v>10820.899961557727</v>
      </c>
      <c r="Y108" s="34">
        <f t="shared" si="49"/>
        <v>1.1408256785632935</v>
      </c>
      <c r="Z108" s="31">
        <f t="shared" si="34"/>
        <v>0</v>
      </c>
      <c r="AA108" s="66">
        <f t="shared" si="35"/>
        <v>25750</v>
      </c>
      <c r="AB108" s="6">
        <f t="shared" si="36"/>
        <v>0</v>
      </c>
      <c r="AC108" s="48">
        <f t="shared" si="48"/>
        <v>0</v>
      </c>
    </row>
    <row r="109" spans="3:29" x14ac:dyDescent="0.25">
      <c r="C109" s="27">
        <f t="shared" si="37"/>
        <v>89</v>
      </c>
      <c r="D109" s="30">
        <f t="shared" si="38"/>
        <v>821531.94638279267</v>
      </c>
      <c r="E109" s="20">
        <f t="shared" si="43"/>
        <v>10160</v>
      </c>
      <c r="F109" s="20">
        <f t="shared" si="27"/>
        <v>2492.3685004272675</v>
      </c>
      <c r="G109" s="21">
        <f t="shared" si="28"/>
        <v>7667.6314995727325</v>
      </c>
      <c r="H109" s="24">
        <f t="shared" si="39"/>
        <v>361.47405640842874</v>
      </c>
      <c r="I109" s="21">
        <f t="shared" si="46"/>
        <v>0</v>
      </c>
      <c r="J109" s="63">
        <f t="shared" si="40"/>
        <v>0</v>
      </c>
      <c r="K109" s="66">
        <f t="shared" si="45"/>
        <v>1226.8210399316372</v>
      </c>
      <c r="L109" s="17"/>
      <c r="M109" s="23">
        <f t="shared" si="41"/>
        <v>0</v>
      </c>
      <c r="N109" s="23">
        <f t="shared" si="29"/>
        <v>0</v>
      </c>
      <c r="O109" s="23">
        <f t="shared" si="30"/>
        <v>0</v>
      </c>
      <c r="P109" s="17"/>
      <c r="Q109" s="19">
        <f>IF(C109="","",'Tabla_Puntual&amp;Relacionamiento'!$E$75)</f>
        <v>0.112</v>
      </c>
      <c r="R109" s="19"/>
      <c r="S109" s="11">
        <f t="shared" si="42"/>
        <v>11748.295096340067</v>
      </c>
      <c r="T109" s="23">
        <f t="shared" si="31"/>
        <v>819039.57788236544</v>
      </c>
      <c r="U109" s="37">
        <f t="shared" si="32"/>
        <v>1</v>
      </c>
      <c r="V109" s="37">
        <f t="shared" si="44"/>
        <v>89</v>
      </c>
      <c r="X109" s="31">
        <f t="shared" si="33"/>
        <v>10819.813460097832</v>
      </c>
      <c r="Y109" s="34">
        <f t="shared" si="49"/>
        <v>1.1408256785632935</v>
      </c>
      <c r="Z109" s="31">
        <f t="shared" si="34"/>
        <v>0</v>
      </c>
      <c r="AA109" s="66">
        <f t="shared" si="35"/>
        <v>25750</v>
      </c>
      <c r="AB109" s="6">
        <f t="shared" si="36"/>
        <v>0</v>
      </c>
      <c r="AC109" s="48">
        <f t="shared" si="48"/>
        <v>0</v>
      </c>
    </row>
    <row r="110" spans="3:29" x14ac:dyDescent="0.25">
      <c r="C110" s="27">
        <f t="shared" si="37"/>
        <v>90</v>
      </c>
      <c r="D110" s="30">
        <f t="shared" si="38"/>
        <v>819039.57788236544</v>
      </c>
      <c r="E110" s="20">
        <f t="shared" si="43"/>
        <v>10160</v>
      </c>
      <c r="F110" s="20">
        <f t="shared" si="27"/>
        <v>2515.6306064312548</v>
      </c>
      <c r="G110" s="21">
        <f t="shared" si="28"/>
        <v>7644.3693935687452</v>
      </c>
      <c r="H110" s="24">
        <f t="shared" si="39"/>
        <v>360.37741426824078</v>
      </c>
      <c r="I110" s="21">
        <f t="shared" si="46"/>
        <v>0</v>
      </c>
      <c r="J110" s="63">
        <f t="shared" si="40"/>
        <v>0</v>
      </c>
      <c r="K110" s="66">
        <f t="shared" si="45"/>
        <v>1223.0991029709992</v>
      </c>
      <c r="L110" s="17"/>
      <c r="M110" s="23">
        <f t="shared" si="41"/>
        <v>0</v>
      </c>
      <c r="N110" s="23">
        <f t="shared" si="29"/>
        <v>0</v>
      </c>
      <c r="O110" s="23">
        <f t="shared" si="30"/>
        <v>0</v>
      </c>
      <c r="P110" s="17"/>
      <c r="Q110" s="19">
        <f>IF(C110="","",'Tabla_Puntual&amp;Relacionamiento'!$E$75)</f>
        <v>0.112</v>
      </c>
      <c r="R110" s="19"/>
      <c r="S110" s="11">
        <f t="shared" si="42"/>
        <v>11743.47651723924</v>
      </c>
      <c r="T110" s="23">
        <f t="shared" si="31"/>
        <v>816523.94727593416</v>
      </c>
      <c r="U110" s="37">
        <f t="shared" si="32"/>
        <v>1</v>
      </c>
      <c r="V110" s="37">
        <f t="shared" si="44"/>
        <v>90</v>
      </c>
      <c r="X110" s="31">
        <f t="shared" si="33"/>
        <v>10818.716817957644</v>
      </c>
      <c r="Y110" s="34">
        <f t="shared" si="49"/>
        <v>1.1408256785632935</v>
      </c>
      <c r="Z110" s="31">
        <f t="shared" si="34"/>
        <v>0</v>
      </c>
      <c r="AA110" s="66">
        <f t="shared" si="35"/>
        <v>25750</v>
      </c>
      <c r="AB110" s="6">
        <f t="shared" si="36"/>
        <v>0</v>
      </c>
      <c r="AC110" s="48">
        <f t="shared" si="48"/>
        <v>0</v>
      </c>
    </row>
    <row r="111" spans="3:29" x14ac:dyDescent="0.25">
      <c r="C111" s="27">
        <f t="shared" si="37"/>
        <v>91</v>
      </c>
      <c r="D111" s="30">
        <f t="shared" si="38"/>
        <v>816523.94727593416</v>
      </c>
      <c r="E111" s="20">
        <f t="shared" si="43"/>
        <v>10160</v>
      </c>
      <c r="F111" s="20">
        <f t="shared" si="27"/>
        <v>2539.1098254246135</v>
      </c>
      <c r="G111" s="21">
        <f t="shared" si="28"/>
        <v>7620.8901745753865</v>
      </c>
      <c r="H111" s="24">
        <f t="shared" si="39"/>
        <v>359.27053680141103</v>
      </c>
      <c r="I111" s="21">
        <f t="shared" si="46"/>
        <v>0</v>
      </c>
      <c r="J111" s="63">
        <f t="shared" si="40"/>
        <v>0</v>
      </c>
      <c r="K111" s="66">
        <f t="shared" si="45"/>
        <v>1219.3424279320618</v>
      </c>
      <c r="L111" s="17"/>
      <c r="M111" s="23">
        <f t="shared" si="41"/>
        <v>0</v>
      </c>
      <c r="N111" s="23">
        <f t="shared" si="29"/>
        <v>0</v>
      </c>
      <c r="O111" s="23">
        <f t="shared" si="30"/>
        <v>0</v>
      </c>
      <c r="P111" s="17"/>
      <c r="Q111" s="19">
        <f>IF(C111="","",'Tabla_Puntual&amp;Relacionamiento'!$E$75)</f>
        <v>0.112</v>
      </c>
      <c r="R111" s="19"/>
      <c r="S111" s="11">
        <f t="shared" si="42"/>
        <v>11738.612964733473</v>
      </c>
      <c r="T111" s="23">
        <f t="shared" si="31"/>
        <v>813984.83745050954</v>
      </c>
      <c r="U111" s="37">
        <f t="shared" si="32"/>
        <v>1</v>
      </c>
      <c r="V111" s="37">
        <f t="shared" si="44"/>
        <v>91</v>
      </c>
      <c r="X111" s="31">
        <f t="shared" si="33"/>
        <v>10817.609940490813</v>
      </c>
      <c r="Y111" s="34">
        <f t="shared" si="49"/>
        <v>1.1408256785632935</v>
      </c>
      <c r="Z111" s="31">
        <f t="shared" si="34"/>
        <v>0</v>
      </c>
      <c r="AA111" s="66">
        <f t="shared" si="35"/>
        <v>25750</v>
      </c>
      <c r="AB111" s="6">
        <f t="shared" si="36"/>
        <v>0</v>
      </c>
      <c r="AC111" s="48">
        <f t="shared" si="48"/>
        <v>0</v>
      </c>
    </row>
    <row r="112" spans="3:29" x14ac:dyDescent="0.25">
      <c r="C112" s="27">
        <f t="shared" si="37"/>
        <v>92</v>
      </c>
      <c r="D112" s="30">
        <f t="shared" si="38"/>
        <v>813984.83745050954</v>
      </c>
      <c r="E112" s="20">
        <f t="shared" si="43"/>
        <v>10160</v>
      </c>
      <c r="F112" s="20">
        <f t="shared" si="27"/>
        <v>2562.8081837952441</v>
      </c>
      <c r="G112" s="21">
        <f t="shared" si="28"/>
        <v>7597.1918162047559</v>
      </c>
      <c r="H112" s="24">
        <f t="shared" si="39"/>
        <v>358.15332847822424</v>
      </c>
      <c r="I112" s="21">
        <f t="shared" si="46"/>
        <v>0</v>
      </c>
      <c r="J112" s="63">
        <f t="shared" si="40"/>
        <v>0</v>
      </c>
      <c r="K112" s="66">
        <f t="shared" si="45"/>
        <v>1215.5506905927609</v>
      </c>
      <c r="L112" s="17"/>
      <c r="M112" s="23">
        <f t="shared" si="41"/>
        <v>0</v>
      </c>
      <c r="N112" s="23">
        <f t="shared" si="29"/>
        <v>0</v>
      </c>
      <c r="O112" s="23">
        <f t="shared" si="30"/>
        <v>0</v>
      </c>
      <c r="P112" s="17"/>
      <c r="Q112" s="19">
        <f>IF(C112="","",'Tabla_Puntual&amp;Relacionamiento'!$E$75)</f>
        <v>0.112</v>
      </c>
      <c r="R112" s="19"/>
      <c r="S112" s="11">
        <f t="shared" si="42"/>
        <v>11733.704019070985</v>
      </c>
      <c r="T112" s="23">
        <f t="shared" si="31"/>
        <v>811422.02926671435</v>
      </c>
      <c r="U112" s="37">
        <f t="shared" si="32"/>
        <v>1</v>
      </c>
      <c r="V112" s="37">
        <f t="shared" si="44"/>
        <v>92</v>
      </c>
      <c r="X112" s="31">
        <f t="shared" si="33"/>
        <v>10816.492732167626</v>
      </c>
      <c r="Y112" s="34">
        <f t="shared" si="49"/>
        <v>1.1408256785632935</v>
      </c>
      <c r="Z112" s="31">
        <f t="shared" si="34"/>
        <v>0</v>
      </c>
      <c r="AA112" s="66">
        <f t="shared" si="35"/>
        <v>25750</v>
      </c>
      <c r="AB112" s="6">
        <f t="shared" si="36"/>
        <v>0</v>
      </c>
      <c r="AC112" s="48">
        <f t="shared" si="48"/>
        <v>0</v>
      </c>
    </row>
    <row r="113" spans="3:29" x14ac:dyDescent="0.25">
      <c r="C113" s="27">
        <f t="shared" si="37"/>
        <v>93</v>
      </c>
      <c r="D113" s="30">
        <f t="shared" si="38"/>
        <v>811422.02926671435</v>
      </c>
      <c r="E113" s="20">
        <f t="shared" si="43"/>
        <v>10160</v>
      </c>
      <c r="F113" s="20">
        <f t="shared" si="27"/>
        <v>2586.7277268439984</v>
      </c>
      <c r="G113" s="21">
        <f t="shared" si="28"/>
        <v>7573.2722731560016</v>
      </c>
      <c r="H113" s="24">
        <f t="shared" si="39"/>
        <v>357.02569287735435</v>
      </c>
      <c r="I113" s="21">
        <f t="shared" si="46"/>
        <v>0</v>
      </c>
      <c r="J113" s="63">
        <f t="shared" si="40"/>
        <v>0</v>
      </c>
      <c r="K113" s="66">
        <f t="shared" si="45"/>
        <v>1211.7235637049603</v>
      </c>
      <c r="L113" s="17"/>
      <c r="M113" s="23">
        <f t="shared" si="41"/>
        <v>0</v>
      </c>
      <c r="N113" s="23">
        <f t="shared" si="29"/>
        <v>0</v>
      </c>
      <c r="O113" s="23">
        <f t="shared" si="30"/>
        <v>0</v>
      </c>
      <c r="P113" s="17"/>
      <c r="Q113" s="19">
        <f>IF(C113="","",'Tabla_Puntual&amp;Relacionamiento'!$E$75)</f>
        <v>0.112</v>
      </c>
      <c r="R113" s="19"/>
      <c r="S113" s="11">
        <f t="shared" si="42"/>
        <v>11728.749256582314</v>
      </c>
      <c r="T113" s="23">
        <f t="shared" si="31"/>
        <v>808835.30153987033</v>
      </c>
      <c r="U113" s="37">
        <f t="shared" si="32"/>
        <v>1</v>
      </c>
      <c r="V113" s="37">
        <f t="shared" si="44"/>
        <v>93</v>
      </c>
      <c r="X113" s="31">
        <f t="shared" si="33"/>
        <v>10815.365096566757</v>
      </c>
      <c r="Y113" s="34">
        <f t="shared" si="49"/>
        <v>1.1408256785632935</v>
      </c>
      <c r="Z113" s="31">
        <f t="shared" si="34"/>
        <v>0</v>
      </c>
      <c r="AA113" s="66">
        <f t="shared" si="35"/>
        <v>25750</v>
      </c>
      <c r="AB113" s="6">
        <f t="shared" si="36"/>
        <v>0</v>
      </c>
      <c r="AC113" s="48">
        <f t="shared" si="48"/>
        <v>0</v>
      </c>
    </row>
    <row r="114" spans="3:29" x14ac:dyDescent="0.25">
      <c r="C114" s="27">
        <f t="shared" si="37"/>
        <v>94</v>
      </c>
      <c r="D114" s="30">
        <f t="shared" si="38"/>
        <v>808835.30153987033</v>
      </c>
      <c r="E114" s="20">
        <f t="shared" si="43"/>
        <v>10160</v>
      </c>
      <c r="F114" s="20">
        <f t="shared" si="27"/>
        <v>2610.8705189612092</v>
      </c>
      <c r="G114" s="21">
        <f t="shared" si="28"/>
        <v>7549.1294810387908</v>
      </c>
      <c r="H114" s="24">
        <f t="shared" si="39"/>
        <v>355.88753267754294</v>
      </c>
      <c r="I114" s="21">
        <f t="shared" si="46"/>
        <v>0</v>
      </c>
      <c r="J114" s="63">
        <f t="shared" si="40"/>
        <v>0</v>
      </c>
      <c r="K114" s="66">
        <f t="shared" si="45"/>
        <v>1207.8607169662066</v>
      </c>
      <c r="L114" s="17"/>
      <c r="M114" s="23">
        <f t="shared" si="41"/>
        <v>0</v>
      </c>
      <c r="N114" s="23">
        <f t="shared" si="29"/>
        <v>0</v>
      </c>
      <c r="O114" s="23">
        <f t="shared" si="30"/>
        <v>0</v>
      </c>
      <c r="P114" s="17"/>
      <c r="Q114" s="19">
        <f>IF(C114="","",'Tabla_Puntual&amp;Relacionamiento'!$E$75)</f>
        <v>0.112</v>
      </c>
      <c r="R114" s="19"/>
      <c r="S114" s="11">
        <f t="shared" si="42"/>
        <v>11723.74824964375</v>
      </c>
      <c r="T114" s="23">
        <f t="shared" si="31"/>
        <v>806224.43102090911</v>
      </c>
      <c r="U114" s="37">
        <f t="shared" si="32"/>
        <v>1</v>
      </c>
      <c r="V114" s="37">
        <f t="shared" si="44"/>
        <v>94</v>
      </c>
      <c r="X114" s="31">
        <f t="shared" si="33"/>
        <v>10814.226936366946</v>
      </c>
      <c r="Y114" s="34">
        <f t="shared" si="49"/>
        <v>1.1408256785632935</v>
      </c>
      <c r="Z114" s="31">
        <f t="shared" si="34"/>
        <v>0</v>
      </c>
      <c r="AA114" s="66">
        <f t="shared" si="35"/>
        <v>25750</v>
      </c>
      <c r="AB114" s="6">
        <f t="shared" si="36"/>
        <v>0</v>
      </c>
      <c r="AC114" s="48">
        <f t="shared" si="48"/>
        <v>0</v>
      </c>
    </row>
    <row r="115" spans="3:29" x14ac:dyDescent="0.25">
      <c r="C115" s="27">
        <f t="shared" si="37"/>
        <v>95</v>
      </c>
      <c r="D115" s="30">
        <f t="shared" si="38"/>
        <v>806224.43102090911</v>
      </c>
      <c r="E115" s="20">
        <f t="shared" si="43"/>
        <v>10160</v>
      </c>
      <c r="F115" s="20">
        <f t="shared" si="27"/>
        <v>2635.2386438048479</v>
      </c>
      <c r="G115" s="21">
        <f t="shared" si="28"/>
        <v>7524.7613561951521</v>
      </c>
      <c r="H115" s="24">
        <f t="shared" si="39"/>
        <v>354.73874964920003</v>
      </c>
      <c r="I115" s="21">
        <f t="shared" si="46"/>
        <v>0</v>
      </c>
      <c r="J115" s="63">
        <f t="shared" si="40"/>
        <v>0</v>
      </c>
      <c r="K115" s="66">
        <f t="shared" si="45"/>
        <v>1203.9618169912244</v>
      </c>
      <c r="L115" s="17"/>
      <c r="M115" s="23">
        <f t="shared" si="41"/>
        <v>0</v>
      </c>
      <c r="N115" s="23">
        <f t="shared" si="29"/>
        <v>0</v>
      </c>
      <c r="O115" s="23">
        <f t="shared" si="30"/>
        <v>0</v>
      </c>
      <c r="P115" s="17"/>
      <c r="Q115" s="19">
        <f>IF(C115="","",'Tabla_Puntual&amp;Relacionamiento'!$E$75)</f>
        <v>0.112</v>
      </c>
      <c r="R115" s="19"/>
      <c r="S115" s="11">
        <f t="shared" si="42"/>
        <v>11718.700566640424</v>
      </c>
      <c r="T115" s="23">
        <f t="shared" si="31"/>
        <v>803589.19237710431</v>
      </c>
      <c r="U115" s="37">
        <f t="shared" si="32"/>
        <v>1</v>
      </c>
      <c r="V115" s="37">
        <f t="shared" si="44"/>
        <v>95</v>
      </c>
      <c r="X115" s="31">
        <f t="shared" si="33"/>
        <v>10813.078153338602</v>
      </c>
      <c r="Y115" s="34">
        <f t="shared" si="49"/>
        <v>1.1408256785632935</v>
      </c>
      <c r="Z115" s="31">
        <f t="shared" si="34"/>
        <v>0</v>
      </c>
      <c r="AA115" s="66">
        <f t="shared" si="35"/>
        <v>25750</v>
      </c>
      <c r="AB115" s="6">
        <f t="shared" si="36"/>
        <v>0</v>
      </c>
      <c r="AC115" s="48">
        <f t="shared" si="48"/>
        <v>0</v>
      </c>
    </row>
    <row r="116" spans="3:29" x14ac:dyDescent="0.25">
      <c r="C116" s="27">
        <f t="shared" si="37"/>
        <v>96</v>
      </c>
      <c r="D116" s="30">
        <f t="shared" si="38"/>
        <v>803589.19237710431</v>
      </c>
      <c r="E116" s="20">
        <f t="shared" si="43"/>
        <v>10160</v>
      </c>
      <c r="F116" s="20">
        <f t="shared" si="27"/>
        <v>2659.8342044803594</v>
      </c>
      <c r="G116" s="21">
        <f t="shared" si="28"/>
        <v>7500.1657955196406</v>
      </c>
      <c r="H116" s="24">
        <f t="shared" si="39"/>
        <v>353.57924464592588</v>
      </c>
      <c r="I116" s="21">
        <f t="shared" si="46"/>
        <v>0</v>
      </c>
      <c r="J116" s="63">
        <f t="shared" si="40"/>
        <v>0</v>
      </c>
      <c r="K116" s="66">
        <f t="shared" si="45"/>
        <v>1200.0265272831425</v>
      </c>
      <c r="L116" s="17"/>
      <c r="M116" s="23">
        <f t="shared" si="41"/>
        <v>0</v>
      </c>
      <c r="N116" s="23">
        <f t="shared" si="29"/>
        <v>0</v>
      </c>
      <c r="O116" s="23">
        <f t="shared" si="30"/>
        <v>0</v>
      </c>
      <c r="P116" s="17"/>
      <c r="Q116" s="19">
        <f>IF(C116="","",'Tabla_Puntual&amp;Relacionamiento'!$E$75)</f>
        <v>0.112</v>
      </c>
      <c r="R116" s="19"/>
      <c r="S116" s="11">
        <f t="shared" si="42"/>
        <v>11713.605771929067</v>
      </c>
      <c r="T116" s="23">
        <f t="shared" si="31"/>
        <v>800929.35817262391</v>
      </c>
      <c r="U116" s="37">
        <f t="shared" si="32"/>
        <v>1</v>
      </c>
      <c r="V116" s="37">
        <f t="shared" si="44"/>
        <v>96</v>
      </c>
      <c r="X116" s="31">
        <f t="shared" si="33"/>
        <v>10811.918648335328</v>
      </c>
      <c r="Y116" s="34">
        <f t="shared" si="49"/>
        <v>1.1408256785632935</v>
      </c>
      <c r="Z116" s="31">
        <f t="shared" si="34"/>
        <v>0</v>
      </c>
      <c r="AA116" s="66">
        <f t="shared" si="35"/>
        <v>25750</v>
      </c>
      <c r="AB116" s="6">
        <f t="shared" si="36"/>
        <v>0</v>
      </c>
      <c r="AC116" s="48">
        <f t="shared" si="48"/>
        <v>0</v>
      </c>
    </row>
    <row r="117" spans="3:29" x14ac:dyDescent="0.25">
      <c r="C117" s="27">
        <f t="shared" si="37"/>
        <v>97</v>
      </c>
      <c r="D117" s="30">
        <f t="shared" si="38"/>
        <v>800929.35817262391</v>
      </c>
      <c r="E117" s="20">
        <f t="shared" si="43"/>
        <v>10160</v>
      </c>
      <c r="F117" s="20">
        <f t="shared" si="27"/>
        <v>2684.6593237221759</v>
      </c>
      <c r="G117" s="21">
        <f t="shared" si="28"/>
        <v>7475.3406762778241</v>
      </c>
      <c r="H117" s="24">
        <f t="shared" si="39"/>
        <v>352.40891759595451</v>
      </c>
      <c r="I117" s="21">
        <f t="shared" si="46"/>
        <v>0</v>
      </c>
      <c r="J117" s="63">
        <f t="shared" si="40"/>
        <v>0</v>
      </c>
      <c r="K117" s="66">
        <f t="shared" si="45"/>
        <v>1196.0545082044518</v>
      </c>
      <c r="L117" s="17"/>
      <c r="M117" s="23">
        <f t="shared" si="41"/>
        <v>0</v>
      </c>
      <c r="N117" s="23">
        <f t="shared" si="29"/>
        <v>0</v>
      </c>
      <c r="O117" s="23">
        <f t="shared" si="30"/>
        <v>0</v>
      </c>
      <c r="P117" s="17"/>
      <c r="Q117" s="19">
        <f>IF(C117="","",'Tabla_Puntual&amp;Relacionamiento'!$E$76)</f>
        <v>0.112</v>
      </c>
      <c r="R117" s="19" t="str">
        <f>IF(C117="","",IF($E$14="Pago_Bajo_Puntual",$M$17,""))</f>
        <v/>
      </c>
      <c r="S117" s="11">
        <f t="shared" si="42"/>
        <v>11708.463425800406</v>
      </c>
      <c r="T117" s="23">
        <f t="shared" si="31"/>
        <v>798244.69884890178</v>
      </c>
      <c r="U117" s="37">
        <f t="shared" si="32"/>
        <v>1</v>
      </c>
      <c r="V117" s="37">
        <f t="shared" si="44"/>
        <v>97</v>
      </c>
      <c r="X117" s="31">
        <f t="shared" si="33"/>
        <v>10810.748321285357</v>
      </c>
      <c r="Y117" s="34">
        <f>Y116*1.019</f>
        <v>1.162501366455996</v>
      </c>
      <c r="Z117" s="31">
        <f t="shared" si="34"/>
        <v>0</v>
      </c>
      <c r="AA117" s="66">
        <f t="shared" si="35"/>
        <v>25750</v>
      </c>
      <c r="AB117" s="6">
        <f t="shared" si="36"/>
        <v>0</v>
      </c>
      <c r="AC117" s="48">
        <f>AC116+$M$17</f>
        <v>0</v>
      </c>
    </row>
    <row r="118" spans="3:29" x14ac:dyDescent="0.25">
      <c r="C118" s="27">
        <f t="shared" si="37"/>
        <v>98</v>
      </c>
      <c r="D118" s="30">
        <f t="shared" si="38"/>
        <v>798244.69884890178</v>
      </c>
      <c r="E118" s="20">
        <f t="shared" si="43"/>
        <v>10160</v>
      </c>
      <c r="F118" s="20">
        <f t="shared" si="27"/>
        <v>2709.716144076916</v>
      </c>
      <c r="G118" s="21">
        <f t="shared" si="28"/>
        <v>7450.283855923084</v>
      </c>
      <c r="H118" s="24">
        <f t="shared" si="39"/>
        <v>351.22766749351683</v>
      </c>
      <c r="I118" s="21">
        <f t="shared" si="46"/>
        <v>0</v>
      </c>
      <c r="J118" s="63">
        <f t="shared" si="40"/>
        <v>0</v>
      </c>
      <c r="K118" s="66">
        <f t="shared" si="45"/>
        <v>1192.0454169476934</v>
      </c>
      <c r="L118" s="17"/>
      <c r="M118" s="23">
        <f t="shared" si="41"/>
        <v>0</v>
      </c>
      <c r="N118" s="23">
        <f t="shared" si="29"/>
        <v>0</v>
      </c>
      <c r="O118" s="23">
        <f t="shared" si="30"/>
        <v>0</v>
      </c>
      <c r="P118" s="17"/>
      <c r="Q118" s="19">
        <f>IF(C118="","",'Tabla_Puntual&amp;Relacionamiento'!$E$76)</f>
        <v>0.112</v>
      </c>
      <c r="R118" s="19"/>
      <c r="S118" s="11">
        <f t="shared" si="42"/>
        <v>11703.273084441211</v>
      </c>
      <c r="T118" s="23">
        <f t="shared" si="31"/>
        <v>795534.98270482488</v>
      </c>
      <c r="U118" s="37">
        <f t="shared" si="32"/>
        <v>1</v>
      </c>
      <c r="V118" s="37">
        <f t="shared" si="44"/>
        <v>98</v>
      </c>
      <c r="X118" s="31">
        <f t="shared" si="33"/>
        <v>10809.567071182919</v>
      </c>
      <c r="Y118" s="34">
        <f t="shared" ref="Y118:Y128" si="50">Y117</f>
        <v>1.162501366455996</v>
      </c>
      <c r="Z118" s="31">
        <f t="shared" si="34"/>
        <v>0</v>
      </c>
      <c r="AA118" s="66">
        <f t="shared" si="35"/>
        <v>25750</v>
      </c>
      <c r="AB118" s="6">
        <f t="shared" si="36"/>
        <v>0</v>
      </c>
      <c r="AC118" s="48">
        <f t="shared" si="48"/>
        <v>0</v>
      </c>
    </row>
    <row r="119" spans="3:29" x14ac:dyDescent="0.25">
      <c r="C119" s="27">
        <f t="shared" si="37"/>
        <v>99</v>
      </c>
      <c r="D119" s="30">
        <f t="shared" si="38"/>
        <v>795534.98270482488</v>
      </c>
      <c r="E119" s="20">
        <f t="shared" si="43"/>
        <v>10160</v>
      </c>
      <c r="F119" s="20">
        <f t="shared" si="27"/>
        <v>2735.0068280883006</v>
      </c>
      <c r="G119" s="21">
        <f t="shared" si="28"/>
        <v>7424.9931719116994</v>
      </c>
      <c r="H119" s="24">
        <f t="shared" si="39"/>
        <v>350.03539239012292</v>
      </c>
      <c r="I119" s="21">
        <f t="shared" si="46"/>
        <v>0</v>
      </c>
      <c r="J119" s="63">
        <f t="shared" si="40"/>
        <v>0</v>
      </c>
      <c r="K119" s="66">
        <f t="shared" si="45"/>
        <v>1187.998907505872</v>
      </c>
      <c r="L119" s="17"/>
      <c r="M119" s="23">
        <f t="shared" si="41"/>
        <v>0</v>
      </c>
      <c r="N119" s="23">
        <f t="shared" si="29"/>
        <v>0</v>
      </c>
      <c r="O119" s="23">
        <f t="shared" si="30"/>
        <v>0</v>
      </c>
      <c r="P119" s="17"/>
      <c r="Q119" s="19">
        <f>IF(C119="","",'Tabla_Puntual&amp;Relacionamiento'!$E$76)</f>
        <v>0.112</v>
      </c>
      <c r="R119" s="19"/>
      <c r="S119" s="11">
        <f t="shared" si="42"/>
        <v>11698.034299895993</v>
      </c>
      <c r="T119" s="23">
        <f t="shared" si="31"/>
        <v>792799.97587673657</v>
      </c>
      <c r="U119" s="37">
        <f t="shared" si="32"/>
        <v>1</v>
      </c>
      <c r="V119" s="37">
        <f t="shared" si="44"/>
        <v>99</v>
      </c>
      <c r="X119" s="31">
        <f t="shared" si="33"/>
        <v>10808.374796079524</v>
      </c>
      <c r="Y119" s="34">
        <f t="shared" si="50"/>
        <v>1.162501366455996</v>
      </c>
      <c r="Z119" s="31">
        <f t="shared" si="34"/>
        <v>0</v>
      </c>
      <c r="AA119" s="66">
        <f t="shared" si="35"/>
        <v>25750</v>
      </c>
      <c r="AB119" s="6">
        <f t="shared" si="36"/>
        <v>0</v>
      </c>
      <c r="AC119" s="48">
        <f t="shared" si="48"/>
        <v>0</v>
      </c>
    </row>
    <row r="120" spans="3:29" x14ac:dyDescent="0.25">
      <c r="C120" s="27">
        <f t="shared" si="37"/>
        <v>100</v>
      </c>
      <c r="D120" s="30">
        <f t="shared" si="38"/>
        <v>792799.97587673657</v>
      </c>
      <c r="E120" s="20">
        <f t="shared" si="43"/>
        <v>10160</v>
      </c>
      <c r="F120" s="20">
        <f t="shared" si="27"/>
        <v>2760.5335584837912</v>
      </c>
      <c r="G120" s="21">
        <f t="shared" si="28"/>
        <v>7399.4664415162088</v>
      </c>
      <c r="H120" s="24">
        <f t="shared" si="39"/>
        <v>348.83198938576413</v>
      </c>
      <c r="I120" s="21">
        <f t="shared" si="46"/>
        <v>0</v>
      </c>
      <c r="J120" s="63">
        <f t="shared" si="40"/>
        <v>0</v>
      </c>
      <c r="K120" s="66">
        <f t="shared" si="45"/>
        <v>1183.9146306425935</v>
      </c>
      <c r="L120" s="17"/>
      <c r="M120" s="23">
        <f t="shared" si="41"/>
        <v>0</v>
      </c>
      <c r="N120" s="23">
        <f t="shared" si="29"/>
        <v>0</v>
      </c>
      <c r="O120" s="23">
        <f t="shared" si="30"/>
        <v>0</v>
      </c>
      <c r="P120" s="17"/>
      <c r="Q120" s="19">
        <f>IF(C120="","",'Tabla_Puntual&amp;Relacionamiento'!$E$76)</f>
        <v>0.112</v>
      </c>
      <c r="R120" s="19"/>
      <c r="S120" s="11">
        <f t="shared" si="42"/>
        <v>11692.746620028358</v>
      </c>
      <c r="T120" s="23">
        <f t="shared" si="31"/>
        <v>790039.44231825275</v>
      </c>
      <c r="U120" s="37">
        <f t="shared" si="32"/>
        <v>1</v>
      </c>
      <c r="V120" s="37">
        <f t="shared" si="44"/>
        <v>100</v>
      </c>
      <c r="X120" s="31">
        <f t="shared" si="33"/>
        <v>10807.171393075167</v>
      </c>
      <c r="Y120" s="34">
        <f t="shared" si="50"/>
        <v>1.162501366455996</v>
      </c>
      <c r="Z120" s="31">
        <f t="shared" si="34"/>
        <v>0</v>
      </c>
      <c r="AA120" s="66">
        <f t="shared" si="35"/>
        <v>25750</v>
      </c>
      <c r="AB120" s="6">
        <f t="shared" si="36"/>
        <v>0</v>
      </c>
      <c r="AC120" s="48">
        <f t="shared" si="48"/>
        <v>0</v>
      </c>
    </row>
    <row r="121" spans="3:29" x14ac:dyDescent="0.25">
      <c r="C121" s="27">
        <f t="shared" si="37"/>
        <v>101</v>
      </c>
      <c r="D121" s="30">
        <f t="shared" si="38"/>
        <v>790039.44231825275</v>
      </c>
      <c r="E121" s="20">
        <f t="shared" si="43"/>
        <v>10160</v>
      </c>
      <c r="F121" s="20">
        <f t="shared" si="27"/>
        <v>2786.2985383629739</v>
      </c>
      <c r="G121" s="21">
        <f t="shared" si="28"/>
        <v>7373.7014616370261</v>
      </c>
      <c r="H121" s="24">
        <f t="shared" si="39"/>
        <v>347.61735462003122</v>
      </c>
      <c r="I121" s="21">
        <f t="shared" si="46"/>
        <v>0</v>
      </c>
      <c r="J121" s="63">
        <f t="shared" si="40"/>
        <v>0</v>
      </c>
      <c r="K121" s="66">
        <f t="shared" si="45"/>
        <v>1179.7922338619242</v>
      </c>
      <c r="L121" s="17"/>
      <c r="M121" s="23">
        <f t="shared" si="41"/>
        <v>0</v>
      </c>
      <c r="N121" s="23">
        <f t="shared" si="29"/>
        <v>0</v>
      </c>
      <c r="O121" s="23">
        <f t="shared" si="30"/>
        <v>0</v>
      </c>
      <c r="P121" s="17"/>
      <c r="Q121" s="19">
        <f>IF(C121="","",'Tabla_Puntual&amp;Relacionamiento'!$E$76)</f>
        <v>0.112</v>
      </c>
      <c r="R121" s="19"/>
      <c r="S121" s="11">
        <f t="shared" si="42"/>
        <v>11687.409588481956</v>
      </c>
      <c r="T121" s="23">
        <f t="shared" si="31"/>
        <v>787253.1437798898</v>
      </c>
      <c r="U121" s="37">
        <f t="shared" si="32"/>
        <v>1</v>
      </c>
      <c r="V121" s="37">
        <f t="shared" si="44"/>
        <v>101</v>
      </c>
      <c r="X121" s="31">
        <f t="shared" si="33"/>
        <v>10805.956758309434</v>
      </c>
      <c r="Y121" s="34">
        <f t="shared" si="50"/>
        <v>1.162501366455996</v>
      </c>
      <c r="Z121" s="31">
        <f t="shared" si="34"/>
        <v>0</v>
      </c>
      <c r="AA121" s="66">
        <f t="shared" si="35"/>
        <v>25750</v>
      </c>
      <c r="AB121" s="6">
        <f t="shared" si="36"/>
        <v>0</v>
      </c>
      <c r="AC121" s="48">
        <f t="shared" si="48"/>
        <v>0</v>
      </c>
    </row>
    <row r="122" spans="3:29" x14ac:dyDescent="0.25">
      <c r="C122" s="27">
        <f t="shared" si="37"/>
        <v>102</v>
      </c>
      <c r="D122" s="30">
        <f t="shared" si="38"/>
        <v>787253.1437798898</v>
      </c>
      <c r="E122" s="20">
        <f t="shared" si="43"/>
        <v>10160</v>
      </c>
      <c r="F122" s="20">
        <f t="shared" si="27"/>
        <v>2812.3039913876946</v>
      </c>
      <c r="G122" s="21">
        <f t="shared" si="28"/>
        <v>7347.6960086123054</v>
      </c>
      <c r="H122" s="24">
        <f t="shared" si="39"/>
        <v>346.39138326315151</v>
      </c>
      <c r="I122" s="21">
        <f t="shared" si="46"/>
        <v>0</v>
      </c>
      <c r="J122" s="63">
        <f t="shared" si="40"/>
        <v>0</v>
      </c>
      <c r="K122" s="66">
        <f t="shared" si="45"/>
        <v>1175.6313613779689</v>
      </c>
      <c r="L122" s="17"/>
      <c r="M122" s="23">
        <f t="shared" si="41"/>
        <v>0</v>
      </c>
      <c r="N122" s="23">
        <f t="shared" si="29"/>
        <v>0</v>
      </c>
      <c r="O122" s="23">
        <f t="shared" si="30"/>
        <v>0</v>
      </c>
      <c r="P122" s="17"/>
      <c r="Q122" s="19">
        <f>IF(C122="","",'Tabla_Puntual&amp;Relacionamiento'!$E$76)</f>
        <v>0.112</v>
      </c>
      <c r="R122" s="19"/>
      <c r="S122" s="11">
        <f t="shared" si="42"/>
        <v>11682.022744641121</v>
      </c>
      <c r="T122" s="23">
        <f t="shared" si="31"/>
        <v>784440.83978850208</v>
      </c>
      <c r="U122" s="37">
        <f t="shared" si="32"/>
        <v>1</v>
      </c>
      <c r="V122" s="37">
        <f t="shared" si="44"/>
        <v>102</v>
      </c>
      <c r="X122" s="31">
        <f t="shared" si="33"/>
        <v>10804.730786952554</v>
      </c>
      <c r="Y122" s="34">
        <f t="shared" si="50"/>
        <v>1.162501366455996</v>
      </c>
      <c r="Z122" s="31">
        <f t="shared" si="34"/>
        <v>0</v>
      </c>
      <c r="AA122" s="66">
        <f t="shared" si="35"/>
        <v>25750</v>
      </c>
      <c r="AB122" s="6">
        <f t="shared" si="36"/>
        <v>0</v>
      </c>
      <c r="AC122" s="48">
        <f t="shared" si="48"/>
        <v>0</v>
      </c>
    </row>
    <row r="123" spans="3:29" x14ac:dyDescent="0.25">
      <c r="C123" s="27">
        <f t="shared" si="37"/>
        <v>103</v>
      </c>
      <c r="D123" s="30">
        <f t="shared" si="38"/>
        <v>784440.83978850208</v>
      </c>
      <c r="E123" s="20">
        <f t="shared" si="43"/>
        <v>10160</v>
      </c>
      <c r="F123" s="20">
        <f t="shared" si="27"/>
        <v>2838.5521619739802</v>
      </c>
      <c r="G123" s="21">
        <f t="shared" si="28"/>
        <v>7321.4478380260198</v>
      </c>
      <c r="H123" s="24">
        <f t="shared" si="39"/>
        <v>345.15396950694094</v>
      </c>
      <c r="I123" s="21">
        <f t="shared" si="46"/>
        <v>0</v>
      </c>
      <c r="J123" s="63">
        <f t="shared" si="40"/>
        <v>0</v>
      </c>
      <c r="K123" s="66">
        <f t="shared" si="45"/>
        <v>1171.4316540841633</v>
      </c>
      <c r="L123" s="17"/>
      <c r="M123" s="23">
        <f t="shared" si="41"/>
        <v>0</v>
      </c>
      <c r="N123" s="23">
        <f t="shared" si="29"/>
        <v>0</v>
      </c>
      <c r="O123" s="23">
        <f t="shared" si="30"/>
        <v>0</v>
      </c>
      <c r="P123" s="17"/>
      <c r="Q123" s="19">
        <f>IF(C123="","",'Tabla_Puntual&amp;Relacionamiento'!$E$76)</f>
        <v>0.112</v>
      </c>
      <c r="R123" s="19"/>
      <c r="S123" s="11">
        <f t="shared" si="42"/>
        <v>11676.585623591103</v>
      </c>
      <c r="T123" s="23">
        <f t="shared" si="31"/>
        <v>781602.28762652806</v>
      </c>
      <c r="U123" s="37">
        <f t="shared" si="32"/>
        <v>1</v>
      </c>
      <c r="V123" s="37">
        <f t="shared" si="44"/>
        <v>103</v>
      </c>
      <c r="X123" s="31">
        <f t="shared" si="33"/>
        <v>10803.493373196343</v>
      </c>
      <c r="Y123" s="34">
        <f t="shared" si="50"/>
        <v>1.162501366455996</v>
      </c>
      <c r="Z123" s="31">
        <f t="shared" si="34"/>
        <v>0</v>
      </c>
      <c r="AA123" s="66">
        <f t="shared" si="35"/>
        <v>25750</v>
      </c>
      <c r="AB123" s="6">
        <f t="shared" si="36"/>
        <v>0</v>
      </c>
      <c r="AC123" s="48">
        <f t="shared" si="48"/>
        <v>0</v>
      </c>
    </row>
    <row r="124" spans="3:29" x14ac:dyDescent="0.25">
      <c r="C124" s="27">
        <f t="shared" si="37"/>
        <v>104</v>
      </c>
      <c r="D124" s="30">
        <f t="shared" si="38"/>
        <v>781602.28762652806</v>
      </c>
      <c r="E124" s="20">
        <f t="shared" si="43"/>
        <v>10160</v>
      </c>
      <c r="F124" s="20">
        <f t="shared" si="27"/>
        <v>2865.0453154857378</v>
      </c>
      <c r="G124" s="21">
        <f t="shared" si="28"/>
        <v>7294.9546845142622</v>
      </c>
      <c r="H124" s="24">
        <f t="shared" si="39"/>
        <v>343.90500655567234</v>
      </c>
      <c r="I124" s="21">
        <f t="shared" si="46"/>
        <v>0</v>
      </c>
      <c r="J124" s="63">
        <f t="shared" si="40"/>
        <v>0</v>
      </c>
      <c r="K124" s="66">
        <f t="shared" si="45"/>
        <v>1167.1927495222819</v>
      </c>
      <c r="L124" s="17"/>
      <c r="M124" s="23">
        <f t="shared" si="41"/>
        <v>0</v>
      </c>
      <c r="N124" s="23">
        <f t="shared" si="29"/>
        <v>0</v>
      </c>
      <c r="O124" s="23">
        <f t="shared" si="30"/>
        <v>0</v>
      </c>
      <c r="P124" s="17"/>
      <c r="Q124" s="19">
        <f>IF(C124="","",'Tabla_Puntual&amp;Relacionamiento'!$E$76)</f>
        <v>0.112</v>
      </c>
      <c r="R124" s="19"/>
      <c r="S124" s="11">
        <f t="shared" si="42"/>
        <v>11671.097756077956</v>
      </c>
      <c r="T124" s="23">
        <f t="shared" si="31"/>
        <v>778737.24231104238</v>
      </c>
      <c r="U124" s="37">
        <f t="shared" si="32"/>
        <v>1</v>
      </c>
      <c r="V124" s="37">
        <f t="shared" si="44"/>
        <v>104</v>
      </c>
      <c r="X124" s="31">
        <f t="shared" si="33"/>
        <v>10802.244410245075</v>
      </c>
      <c r="Y124" s="34">
        <f t="shared" si="50"/>
        <v>1.162501366455996</v>
      </c>
      <c r="Z124" s="31">
        <f t="shared" si="34"/>
        <v>0</v>
      </c>
      <c r="AA124" s="66">
        <f t="shared" si="35"/>
        <v>25750</v>
      </c>
      <c r="AB124" s="6">
        <f t="shared" si="36"/>
        <v>0</v>
      </c>
      <c r="AC124" s="48">
        <f t="shared" si="48"/>
        <v>0</v>
      </c>
    </row>
    <row r="125" spans="3:29" x14ac:dyDescent="0.25">
      <c r="C125" s="27">
        <f t="shared" si="37"/>
        <v>105</v>
      </c>
      <c r="D125" s="30">
        <f t="shared" si="38"/>
        <v>778737.24231104238</v>
      </c>
      <c r="E125" s="20">
        <f t="shared" si="43"/>
        <v>10160</v>
      </c>
      <c r="F125" s="20">
        <f t="shared" si="27"/>
        <v>2891.7857384302706</v>
      </c>
      <c r="G125" s="21">
        <f t="shared" si="28"/>
        <v>7268.2142615697294</v>
      </c>
      <c r="H125" s="24">
        <f t="shared" si="39"/>
        <v>342.64438661685864</v>
      </c>
      <c r="I125" s="21">
        <f t="shared" si="46"/>
        <v>0</v>
      </c>
      <c r="J125" s="63">
        <f t="shared" si="40"/>
        <v>0</v>
      </c>
      <c r="K125" s="66">
        <f t="shared" si="45"/>
        <v>1162.9142818511568</v>
      </c>
      <c r="L125" s="17"/>
      <c r="M125" s="23">
        <f t="shared" si="41"/>
        <v>0</v>
      </c>
      <c r="N125" s="23">
        <f t="shared" si="29"/>
        <v>0</v>
      </c>
      <c r="O125" s="23">
        <f t="shared" si="30"/>
        <v>0</v>
      </c>
      <c r="P125" s="17"/>
      <c r="Q125" s="19">
        <f>IF(C125="","",'Tabla_Puntual&amp;Relacionamiento'!$E$76)</f>
        <v>0.112</v>
      </c>
      <c r="R125" s="19"/>
      <c r="S125" s="11">
        <f t="shared" si="42"/>
        <v>11665.558668468017</v>
      </c>
      <c r="T125" s="23">
        <f t="shared" si="31"/>
        <v>775845.45657261217</v>
      </c>
      <c r="U125" s="37">
        <f t="shared" si="32"/>
        <v>1</v>
      </c>
      <c r="V125" s="37">
        <f t="shared" si="44"/>
        <v>105</v>
      </c>
      <c r="X125" s="31">
        <f t="shared" si="33"/>
        <v>10800.983790306262</v>
      </c>
      <c r="Y125" s="34">
        <f t="shared" si="50"/>
        <v>1.162501366455996</v>
      </c>
      <c r="Z125" s="31">
        <f t="shared" si="34"/>
        <v>0</v>
      </c>
      <c r="AA125" s="66">
        <f t="shared" si="35"/>
        <v>25750</v>
      </c>
      <c r="AB125" s="6">
        <f t="shared" si="36"/>
        <v>0</v>
      </c>
      <c r="AC125" s="48">
        <f t="shared" si="48"/>
        <v>0</v>
      </c>
    </row>
    <row r="126" spans="3:29" x14ac:dyDescent="0.25">
      <c r="C126" s="27">
        <f t="shared" si="37"/>
        <v>106</v>
      </c>
      <c r="D126" s="30">
        <f t="shared" si="38"/>
        <v>775845.45657261217</v>
      </c>
      <c r="E126" s="20">
        <f t="shared" si="43"/>
        <v>10160</v>
      </c>
      <c r="F126" s="20">
        <f t="shared" si="27"/>
        <v>2918.7757386556195</v>
      </c>
      <c r="G126" s="21">
        <f t="shared" si="28"/>
        <v>7241.2242613443805</v>
      </c>
      <c r="H126" s="24">
        <f t="shared" si="39"/>
        <v>341.37200089194937</v>
      </c>
      <c r="I126" s="21">
        <f t="shared" si="46"/>
        <v>0</v>
      </c>
      <c r="J126" s="63">
        <f t="shared" si="40"/>
        <v>0</v>
      </c>
      <c r="K126" s="66">
        <f t="shared" si="45"/>
        <v>1158.5958818151009</v>
      </c>
      <c r="L126" s="17"/>
      <c r="M126" s="23">
        <f t="shared" si="41"/>
        <v>0</v>
      </c>
      <c r="N126" s="23">
        <f t="shared" si="29"/>
        <v>0</v>
      </c>
      <c r="O126" s="23">
        <f t="shared" si="30"/>
        <v>0</v>
      </c>
      <c r="P126" s="17"/>
      <c r="Q126" s="19">
        <f>IF(C126="","",'Tabla_Puntual&amp;Relacionamiento'!$E$76)</f>
        <v>0.112</v>
      </c>
      <c r="R126" s="19"/>
      <c r="S126" s="11">
        <f t="shared" si="42"/>
        <v>11659.967882707051</v>
      </c>
      <c r="T126" s="23">
        <f t="shared" si="31"/>
        <v>772926.68083395658</v>
      </c>
      <c r="U126" s="37">
        <f t="shared" si="32"/>
        <v>1</v>
      </c>
      <c r="V126" s="37">
        <f t="shared" si="44"/>
        <v>106</v>
      </c>
      <c r="X126" s="31">
        <f t="shared" si="33"/>
        <v>10799.711404581352</v>
      </c>
      <c r="Y126" s="34">
        <f t="shared" si="50"/>
        <v>1.162501366455996</v>
      </c>
      <c r="Z126" s="31">
        <f t="shared" si="34"/>
        <v>0</v>
      </c>
      <c r="AA126" s="66">
        <f t="shared" si="35"/>
        <v>25750</v>
      </c>
      <c r="AB126" s="6">
        <f t="shared" si="36"/>
        <v>0</v>
      </c>
      <c r="AC126" s="48">
        <f t="shared" si="48"/>
        <v>0</v>
      </c>
    </row>
    <row r="127" spans="3:29" x14ac:dyDescent="0.25">
      <c r="C127" s="27">
        <f t="shared" si="37"/>
        <v>107</v>
      </c>
      <c r="D127" s="30">
        <f t="shared" si="38"/>
        <v>772926.68083395658</v>
      </c>
      <c r="E127" s="20">
        <f t="shared" si="43"/>
        <v>10160</v>
      </c>
      <c r="F127" s="20">
        <f t="shared" si="27"/>
        <v>2946.0176455497376</v>
      </c>
      <c r="G127" s="21">
        <f t="shared" si="28"/>
        <v>7213.9823544502624</v>
      </c>
      <c r="H127" s="24">
        <f t="shared" si="39"/>
        <v>340.08773956694085</v>
      </c>
      <c r="I127" s="21">
        <f t="shared" si="46"/>
        <v>0</v>
      </c>
      <c r="J127" s="63">
        <f t="shared" si="40"/>
        <v>0</v>
      </c>
      <c r="K127" s="66">
        <f t="shared" si="45"/>
        <v>1154.2371767120419</v>
      </c>
      <c r="L127" s="17"/>
      <c r="M127" s="23">
        <f t="shared" si="41"/>
        <v>0</v>
      </c>
      <c r="N127" s="23">
        <f t="shared" si="29"/>
        <v>0</v>
      </c>
      <c r="O127" s="23">
        <f t="shared" si="30"/>
        <v>0</v>
      </c>
      <c r="P127" s="17"/>
      <c r="Q127" s="19">
        <f>IF(C127="","",'Tabla_Puntual&amp;Relacionamiento'!$E$76)</f>
        <v>0.112</v>
      </c>
      <c r="R127" s="19"/>
      <c r="S127" s="11">
        <f t="shared" si="42"/>
        <v>11654.324916278983</v>
      </c>
      <c r="T127" s="23">
        <f t="shared" si="31"/>
        <v>769980.66318840685</v>
      </c>
      <c r="U127" s="37">
        <f t="shared" si="32"/>
        <v>1</v>
      </c>
      <c r="V127" s="37">
        <f t="shared" si="44"/>
        <v>107</v>
      </c>
      <c r="X127" s="31">
        <f t="shared" si="33"/>
        <v>10798.427143256344</v>
      </c>
      <c r="Y127" s="34">
        <f t="shared" si="50"/>
        <v>1.162501366455996</v>
      </c>
      <c r="Z127" s="31">
        <f t="shared" si="34"/>
        <v>0</v>
      </c>
      <c r="AA127" s="66">
        <f t="shared" si="35"/>
        <v>25750</v>
      </c>
      <c r="AB127" s="6">
        <f t="shared" si="36"/>
        <v>0</v>
      </c>
      <c r="AC127" s="48">
        <f t="shared" si="48"/>
        <v>0</v>
      </c>
    </row>
    <row r="128" spans="3:29" x14ac:dyDescent="0.25">
      <c r="C128" s="27">
        <f t="shared" si="37"/>
        <v>108</v>
      </c>
      <c r="D128" s="30">
        <f t="shared" si="38"/>
        <v>769980.66318840685</v>
      </c>
      <c r="E128" s="20">
        <f t="shared" si="43"/>
        <v>10160</v>
      </c>
      <c r="F128" s="20">
        <f t="shared" si="27"/>
        <v>2973.5138102415358</v>
      </c>
      <c r="G128" s="21">
        <f t="shared" si="28"/>
        <v>7186.4861897584642</v>
      </c>
      <c r="H128" s="24">
        <f t="shared" si="39"/>
        <v>338.79149180289897</v>
      </c>
      <c r="I128" s="21">
        <f t="shared" si="46"/>
        <v>0</v>
      </c>
      <c r="J128" s="63">
        <f t="shared" si="40"/>
        <v>0</v>
      </c>
      <c r="K128" s="66">
        <f t="shared" si="45"/>
        <v>1149.8377903613543</v>
      </c>
      <c r="L128" s="17"/>
      <c r="M128" s="23">
        <f t="shared" si="41"/>
        <v>0</v>
      </c>
      <c r="N128" s="23">
        <f t="shared" si="29"/>
        <v>0</v>
      </c>
      <c r="O128" s="23">
        <f t="shared" si="30"/>
        <v>0</v>
      </c>
      <c r="P128" s="17"/>
      <c r="Q128" s="19">
        <f>IF(C128="","",'Tabla_Puntual&amp;Relacionamiento'!$E$76)</f>
        <v>0.112</v>
      </c>
      <c r="R128" s="19"/>
      <c r="S128" s="11">
        <f t="shared" si="42"/>
        <v>11648.629282164253</v>
      </c>
      <c r="T128" s="23">
        <f t="shared" si="31"/>
        <v>767007.14937816537</v>
      </c>
      <c r="U128" s="37">
        <f t="shared" si="32"/>
        <v>1</v>
      </c>
      <c r="V128" s="37">
        <f t="shared" si="44"/>
        <v>108</v>
      </c>
      <c r="X128" s="31">
        <f t="shared" si="33"/>
        <v>10797.130895492301</v>
      </c>
      <c r="Y128" s="34">
        <f t="shared" si="50"/>
        <v>1.162501366455996</v>
      </c>
      <c r="Z128" s="31">
        <f t="shared" si="34"/>
        <v>0</v>
      </c>
      <c r="AA128" s="66">
        <f t="shared" si="35"/>
        <v>25750</v>
      </c>
      <c r="AB128" s="6">
        <f t="shared" si="36"/>
        <v>0</v>
      </c>
      <c r="AC128" s="48">
        <f t="shared" si="48"/>
        <v>0</v>
      </c>
    </row>
    <row r="129" spans="3:29" x14ac:dyDescent="0.25">
      <c r="C129" s="27">
        <f t="shared" si="37"/>
        <v>109</v>
      </c>
      <c r="D129" s="30">
        <f t="shared" si="38"/>
        <v>767007.14937816537</v>
      </c>
      <c r="E129" s="20">
        <f t="shared" si="43"/>
        <v>10160</v>
      </c>
      <c r="F129" s="20">
        <f t="shared" si="27"/>
        <v>3001.2666058037894</v>
      </c>
      <c r="G129" s="21">
        <f t="shared" si="28"/>
        <v>7158.7333941962106</v>
      </c>
      <c r="H129" s="24">
        <f t="shared" si="39"/>
        <v>337.48314572639276</v>
      </c>
      <c r="I129" s="21">
        <f t="shared" si="46"/>
        <v>0</v>
      </c>
      <c r="J129" s="63">
        <f t="shared" si="40"/>
        <v>0</v>
      </c>
      <c r="K129" s="66">
        <f t="shared" si="45"/>
        <v>1145.3973430713938</v>
      </c>
      <c r="L129" s="17"/>
      <c r="M129" s="23">
        <f t="shared" si="41"/>
        <v>0</v>
      </c>
      <c r="N129" s="23">
        <f t="shared" si="29"/>
        <v>0</v>
      </c>
      <c r="O129" s="23">
        <f t="shared" si="30"/>
        <v>0</v>
      </c>
      <c r="P129" s="17"/>
      <c r="Q129" s="19">
        <f>IF(C129="","",'Tabla_Puntual&amp;Relacionamiento'!$E$77)</f>
        <v>0.112</v>
      </c>
      <c r="R129" s="19" t="str">
        <f>IF(C129="","",IF($E$14="Pago_Bajo_Puntual",$M$17,""))</f>
        <v/>
      </c>
      <c r="S129" s="11">
        <f t="shared" si="42"/>
        <v>11642.880488797788</v>
      </c>
      <c r="T129" s="23">
        <f t="shared" si="31"/>
        <v>764005.88277236163</v>
      </c>
      <c r="U129" s="37">
        <f t="shared" si="32"/>
        <v>1</v>
      </c>
      <c r="V129" s="37">
        <f t="shared" si="44"/>
        <v>109</v>
      </c>
      <c r="X129" s="31">
        <f t="shared" si="33"/>
        <v>10795.822549415796</v>
      </c>
      <c r="Y129" s="34">
        <f>Y128*1.019</f>
        <v>1.1845888924186598</v>
      </c>
      <c r="Z129" s="31">
        <f t="shared" si="34"/>
        <v>0</v>
      </c>
      <c r="AA129" s="66">
        <f t="shared" si="35"/>
        <v>25750</v>
      </c>
      <c r="AB129" s="6">
        <f t="shared" si="36"/>
        <v>0</v>
      </c>
      <c r="AC129" s="48">
        <f>AC128+$M$17</f>
        <v>0</v>
      </c>
    </row>
    <row r="130" spans="3:29" x14ac:dyDescent="0.25">
      <c r="C130" s="27">
        <f t="shared" si="37"/>
        <v>110</v>
      </c>
      <c r="D130" s="30">
        <f t="shared" si="38"/>
        <v>764005.88277236163</v>
      </c>
      <c r="E130" s="20">
        <f t="shared" si="43"/>
        <v>10160</v>
      </c>
      <c r="F130" s="20">
        <f t="shared" si="27"/>
        <v>3029.2784274579572</v>
      </c>
      <c r="G130" s="21">
        <f t="shared" si="28"/>
        <v>7130.7215725420428</v>
      </c>
      <c r="H130" s="24">
        <f t="shared" si="39"/>
        <v>336.1625884198391</v>
      </c>
      <c r="I130" s="21">
        <f t="shared" si="46"/>
        <v>0</v>
      </c>
      <c r="J130" s="63">
        <f t="shared" si="40"/>
        <v>0</v>
      </c>
      <c r="K130" s="66">
        <f t="shared" si="45"/>
        <v>1140.9154516067269</v>
      </c>
      <c r="L130" s="17"/>
      <c r="M130" s="23">
        <f t="shared" si="41"/>
        <v>0</v>
      </c>
      <c r="N130" s="23">
        <f t="shared" si="29"/>
        <v>0</v>
      </c>
      <c r="O130" s="23">
        <f t="shared" si="30"/>
        <v>0</v>
      </c>
      <c r="P130" s="17"/>
      <c r="Q130" s="19">
        <f>IF(C130="","",'Tabla_Puntual&amp;Relacionamiento'!$E$77)</f>
        <v>0.112</v>
      </c>
      <c r="R130" s="19"/>
      <c r="S130" s="11">
        <f t="shared" si="42"/>
        <v>11637.078040026565</v>
      </c>
      <c r="T130" s="23">
        <f t="shared" si="31"/>
        <v>760976.60434490372</v>
      </c>
      <c r="U130" s="37">
        <f t="shared" si="32"/>
        <v>1</v>
      </c>
      <c r="V130" s="37">
        <f t="shared" si="44"/>
        <v>110</v>
      </c>
      <c r="X130" s="31">
        <f t="shared" si="33"/>
        <v>10794.501992109241</v>
      </c>
      <c r="Y130" s="34">
        <f t="shared" ref="Y130:Y140" si="51">Y129</f>
        <v>1.1845888924186598</v>
      </c>
      <c r="Z130" s="31">
        <f t="shared" si="34"/>
        <v>0</v>
      </c>
      <c r="AA130" s="66">
        <f t="shared" si="35"/>
        <v>25750</v>
      </c>
      <c r="AB130" s="6">
        <f t="shared" si="36"/>
        <v>0</v>
      </c>
      <c r="AC130" s="48">
        <f t="shared" si="48"/>
        <v>0</v>
      </c>
    </row>
    <row r="131" spans="3:29" x14ac:dyDescent="0.25">
      <c r="C131" s="27">
        <f t="shared" si="37"/>
        <v>111</v>
      </c>
      <c r="D131" s="30">
        <f t="shared" si="38"/>
        <v>760976.60434490372</v>
      </c>
      <c r="E131" s="20">
        <f t="shared" si="43"/>
        <v>10160</v>
      </c>
      <c r="F131" s="20">
        <f t="shared" si="27"/>
        <v>3057.5516927808976</v>
      </c>
      <c r="G131" s="21">
        <f t="shared" si="28"/>
        <v>7102.4483072191024</v>
      </c>
      <c r="H131" s="24">
        <f t="shared" si="39"/>
        <v>334.82970591175769</v>
      </c>
      <c r="I131" s="21">
        <f t="shared" si="46"/>
        <v>0</v>
      </c>
      <c r="J131" s="63">
        <f t="shared" si="40"/>
        <v>0</v>
      </c>
      <c r="K131" s="66">
        <f t="shared" si="45"/>
        <v>1136.3917291550565</v>
      </c>
      <c r="L131" s="17"/>
      <c r="M131" s="23">
        <f t="shared" si="41"/>
        <v>0</v>
      </c>
      <c r="N131" s="23">
        <f t="shared" si="29"/>
        <v>0</v>
      </c>
      <c r="O131" s="23">
        <f t="shared" si="30"/>
        <v>0</v>
      </c>
      <c r="P131" s="17"/>
      <c r="Q131" s="19">
        <f>IF(C131="","",'Tabla_Puntual&amp;Relacionamiento'!$E$77)</f>
        <v>0.112</v>
      </c>
      <c r="R131" s="19"/>
      <c r="S131" s="11">
        <f t="shared" si="42"/>
        <v>11631.221435066815</v>
      </c>
      <c r="T131" s="23">
        <f t="shared" si="31"/>
        <v>757919.0526521228</v>
      </c>
      <c r="U131" s="37">
        <f t="shared" si="32"/>
        <v>1</v>
      </c>
      <c r="V131" s="37">
        <f t="shared" si="44"/>
        <v>111</v>
      </c>
      <c r="X131" s="31">
        <f t="shared" si="33"/>
        <v>10793.16910960116</v>
      </c>
      <c r="Y131" s="34">
        <f t="shared" si="51"/>
        <v>1.1845888924186598</v>
      </c>
      <c r="Z131" s="31">
        <f t="shared" si="34"/>
        <v>0</v>
      </c>
      <c r="AA131" s="66">
        <f t="shared" si="35"/>
        <v>25750</v>
      </c>
      <c r="AB131" s="6">
        <f t="shared" si="36"/>
        <v>0</v>
      </c>
      <c r="AC131" s="48">
        <f t="shared" si="48"/>
        <v>0</v>
      </c>
    </row>
    <row r="132" spans="3:29" x14ac:dyDescent="0.25">
      <c r="C132" s="27">
        <f t="shared" si="37"/>
        <v>112</v>
      </c>
      <c r="D132" s="30">
        <f t="shared" si="38"/>
        <v>757919.0526521228</v>
      </c>
      <c r="E132" s="20">
        <f t="shared" si="43"/>
        <v>10160</v>
      </c>
      <c r="F132" s="20">
        <f t="shared" si="27"/>
        <v>3086.0888419135199</v>
      </c>
      <c r="G132" s="21">
        <f t="shared" si="28"/>
        <v>7073.9111580864801</v>
      </c>
      <c r="H132" s="24">
        <f t="shared" si="39"/>
        <v>333.48438316693404</v>
      </c>
      <c r="I132" s="21">
        <f t="shared" si="46"/>
        <v>0</v>
      </c>
      <c r="J132" s="63">
        <f t="shared" si="40"/>
        <v>0</v>
      </c>
      <c r="K132" s="66">
        <f t="shared" si="45"/>
        <v>1131.8257852938368</v>
      </c>
      <c r="L132" s="17"/>
      <c r="M132" s="23">
        <f t="shared" si="41"/>
        <v>0</v>
      </c>
      <c r="N132" s="23">
        <f t="shared" si="29"/>
        <v>0</v>
      </c>
      <c r="O132" s="23">
        <f t="shared" si="30"/>
        <v>0</v>
      </c>
      <c r="P132" s="17"/>
      <c r="Q132" s="19">
        <f>IF(C132="","",'Tabla_Puntual&amp;Relacionamiento'!$E$77)</f>
        <v>0.112</v>
      </c>
      <c r="R132" s="19"/>
      <c r="S132" s="11">
        <f t="shared" si="42"/>
        <v>11625.31016846077</v>
      </c>
      <c r="T132" s="23">
        <f t="shared" si="31"/>
        <v>754832.9638102093</v>
      </c>
      <c r="U132" s="37">
        <f t="shared" si="32"/>
        <v>1</v>
      </c>
      <c r="V132" s="37">
        <f t="shared" si="44"/>
        <v>112</v>
      </c>
      <c r="X132" s="31">
        <f t="shared" si="33"/>
        <v>10791.823786856336</v>
      </c>
      <c r="Y132" s="34">
        <f t="shared" si="51"/>
        <v>1.1845888924186598</v>
      </c>
      <c r="Z132" s="31">
        <f t="shared" si="34"/>
        <v>0</v>
      </c>
      <c r="AA132" s="66">
        <f t="shared" si="35"/>
        <v>25750</v>
      </c>
      <c r="AB132" s="6">
        <f t="shared" si="36"/>
        <v>0</v>
      </c>
      <c r="AC132" s="48">
        <f t="shared" si="48"/>
        <v>0</v>
      </c>
    </row>
    <row r="133" spans="3:29" x14ac:dyDescent="0.25">
      <c r="C133" s="27">
        <f t="shared" si="37"/>
        <v>113</v>
      </c>
      <c r="D133" s="30">
        <f t="shared" si="38"/>
        <v>754832.9638102093</v>
      </c>
      <c r="E133" s="20">
        <f t="shared" si="43"/>
        <v>10160</v>
      </c>
      <c r="F133" s="20">
        <f t="shared" si="27"/>
        <v>3114.8923377713791</v>
      </c>
      <c r="G133" s="21">
        <f t="shared" si="28"/>
        <v>7045.1076622286209</v>
      </c>
      <c r="H133" s="24">
        <f t="shared" si="39"/>
        <v>332.1265040764921</v>
      </c>
      <c r="I133" s="21">
        <f t="shared" si="46"/>
        <v>0</v>
      </c>
      <c r="J133" s="63">
        <f t="shared" si="40"/>
        <v>0</v>
      </c>
      <c r="K133" s="66">
        <f t="shared" si="45"/>
        <v>1127.2172259565793</v>
      </c>
      <c r="L133" s="17"/>
      <c r="M133" s="23">
        <f t="shared" si="41"/>
        <v>0</v>
      </c>
      <c r="N133" s="23">
        <f t="shared" si="29"/>
        <v>0</v>
      </c>
      <c r="O133" s="23">
        <f t="shared" si="30"/>
        <v>0</v>
      </c>
      <c r="P133" s="17"/>
      <c r="Q133" s="19">
        <f>IF(C133="","",'Tabla_Puntual&amp;Relacionamiento'!$E$77)</f>
        <v>0.112</v>
      </c>
      <c r="R133" s="19"/>
      <c r="S133" s="11">
        <f t="shared" si="42"/>
        <v>11619.343730033072</v>
      </c>
      <c r="T133" s="23">
        <f t="shared" si="31"/>
        <v>751718.07147243794</v>
      </c>
      <c r="U133" s="37">
        <f t="shared" si="32"/>
        <v>1</v>
      </c>
      <c r="V133" s="37">
        <f t="shared" si="44"/>
        <v>113</v>
      </c>
      <c r="X133" s="31">
        <f t="shared" si="33"/>
        <v>10790.465907765894</v>
      </c>
      <c r="Y133" s="34">
        <f t="shared" si="51"/>
        <v>1.1845888924186598</v>
      </c>
      <c r="Z133" s="31">
        <f t="shared" si="34"/>
        <v>0</v>
      </c>
      <c r="AA133" s="66">
        <f t="shared" si="35"/>
        <v>25750</v>
      </c>
      <c r="AB133" s="6">
        <f t="shared" si="36"/>
        <v>0</v>
      </c>
      <c r="AC133" s="48">
        <f t="shared" si="48"/>
        <v>0</v>
      </c>
    </row>
    <row r="134" spans="3:29" x14ac:dyDescent="0.25">
      <c r="C134" s="27">
        <f t="shared" si="37"/>
        <v>114</v>
      </c>
      <c r="D134" s="30">
        <f t="shared" si="38"/>
        <v>751718.07147243794</v>
      </c>
      <c r="E134" s="20">
        <f t="shared" si="43"/>
        <v>10160</v>
      </c>
      <c r="F134" s="20">
        <f t="shared" si="27"/>
        <v>3143.964666257245</v>
      </c>
      <c r="G134" s="21">
        <f t="shared" si="28"/>
        <v>7016.035333742755</v>
      </c>
      <c r="H134" s="24">
        <f t="shared" si="39"/>
        <v>330.75595144787269</v>
      </c>
      <c r="I134" s="21">
        <f t="shared" si="46"/>
        <v>0</v>
      </c>
      <c r="J134" s="63">
        <f t="shared" si="40"/>
        <v>0</v>
      </c>
      <c r="K134" s="66">
        <f t="shared" si="45"/>
        <v>1122.5656533988408</v>
      </c>
      <c r="L134" s="17"/>
      <c r="M134" s="23">
        <f t="shared" si="41"/>
        <v>0</v>
      </c>
      <c r="N134" s="23">
        <f t="shared" si="29"/>
        <v>0</v>
      </c>
      <c r="O134" s="23">
        <f t="shared" si="30"/>
        <v>0</v>
      </c>
      <c r="P134" s="17"/>
      <c r="Q134" s="19">
        <f>IF(C134="","",'Tabla_Puntual&amp;Relacionamiento'!$E$77)</f>
        <v>0.112</v>
      </c>
      <c r="R134" s="19"/>
      <c r="S134" s="11">
        <f t="shared" si="42"/>
        <v>11613.321604846713</v>
      </c>
      <c r="T134" s="23">
        <f t="shared" si="31"/>
        <v>748574.10680618067</v>
      </c>
      <c r="U134" s="37">
        <f t="shared" si="32"/>
        <v>1</v>
      </c>
      <c r="V134" s="37">
        <f t="shared" si="44"/>
        <v>114</v>
      </c>
      <c r="X134" s="31">
        <f t="shared" si="33"/>
        <v>10789.095355137275</v>
      </c>
      <c r="Y134" s="34">
        <f t="shared" si="51"/>
        <v>1.1845888924186598</v>
      </c>
      <c r="Z134" s="31">
        <f t="shared" si="34"/>
        <v>0</v>
      </c>
      <c r="AA134" s="66">
        <f t="shared" si="35"/>
        <v>25750</v>
      </c>
      <c r="AB134" s="6">
        <f t="shared" si="36"/>
        <v>0</v>
      </c>
      <c r="AC134" s="48">
        <f t="shared" si="48"/>
        <v>0</v>
      </c>
    </row>
    <row r="135" spans="3:29" x14ac:dyDescent="0.25">
      <c r="C135" s="27">
        <f t="shared" si="37"/>
        <v>115</v>
      </c>
      <c r="D135" s="30">
        <f t="shared" si="38"/>
        <v>748574.10680618067</v>
      </c>
      <c r="E135" s="20">
        <f t="shared" si="43"/>
        <v>10160</v>
      </c>
      <c r="F135" s="20">
        <f t="shared" si="27"/>
        <v>3173.3083364756467</v>
      </c>
      <c r="G135" s="21">
        <f t="shared" si="28"/>
        <v>6986.6916635243533</v>
      </c>
      <c r="H135" s="24">
        <f t="shared" si="39"/>
        <v>329.37260699471949</v>
      </c>
      <c r="I135" s="21">
        <f t="shared" si="46"/>
        <v>0</v>
      </c>
      <c r="J135" s="63">
        <f t="shared" si="40"/>
        <v>0</v>
      </c>
      <c r="K135" s="66">
        <f t="shared" si="45"/>
        <v>1117.8706661638967</v>
      </c>
      <c r="L135" s="17"/>
      <c r="M135" s="23">
        <f t="shared" si="41"/>
        <v>0</v>
      </c>
      <c r="N135" s="23">
        <f t="shared" si="29"/>
        <v>0</v>
      </c>
      <c r="O135" s="23">
        <f t="shared" si="30"/>
        <v>0</v>
      </c>
      <c r="P135" s="17"/>
      <c r="Q135" s="19">
        <f>IF(C135="","",'Tabla_Puntual&amp;Relacionamiento'!$E$77)</f>
        <v>0.112</v>
      </c>
      <c r="R135" s="19"/>
      <c r="S135" s="11">
        <f t="shared" si="42"/>
        <v>11607.243273158616</v>
      </c>
      <c r="T135" s="23">
        <f t="shared" si="31"/>
        <v>745400.79846970504</v>
      </c>
      <c r="U135" s="37">
        <f t="shared" si="32"/>
        <v>1</v>
      </c>
      <c r="V135" s="37">
        <f t="shared" si="44"/>
        <v>115</v>
      </c>
      <c r="X135" s="31">
        <f t="shared" si="33"/>
        <v>10787.712010684121</v>
      </c>
      <c r="Y135" s="34">
        <f t="shared" si="51"/>
        <v>1.1845888924186598</v>
      </c>
      <c r="Z135" s="31">
        <f t="shared" si="34"/>
        <v>0</v>
      </c>
      <c r="AA135" s="66">
        <f t="shared" si="35"/>
        <v>25750</v>
      </c>
      <c r="AB135" s="6">
        <f t="shared" si="36"/>
        <v>0</v>
      </c>
      <c r="AC135" s="48">
        <f t="shared" si="48"/>
        <v>0</v>
      </c>
    </row>
    <row r="136" spans="3:29" x14ac:dyDescent="0.25">
      <c r="C136" s="27">
        <f t="shared" si="37"/>
        <v>116</v>
      </c>
      <c r="D136" s="30">
        <f t="shared" si="38"/>
        <v>745400.79846970504</v>
      </c>
      <c r="E136" s="20">
        <f t="shared" si="43"/>
        <v>10160</v>
      </c>
      <c r="F136" s="20">
        <f t="shared" si="27"/>
        <v>3202.9258809494195</v>
      </c>
      <c r="G136" s="21">
        <f t="shared" si="28"/>
        <v>6957.0741190505805</v>
      </c>
      <c r="H136" s="24">
        <f t="shared" si="39"/>
        <v>327.97635132667023</v>
      </c>
      <c r="I136" s="21">
        <f t="shared" si="46"/>
        <v>0</v>
      </c>
      <c r="J136" s="63">
        <f t="shared" si="40"/>
        <v>0</v>
      </c>
      <c r="K136" s="66">
        <f t="shared" si="45"/>
        <v>1113.131859048093</v>
      </c>
      <c r="L136" s="17"/>
      <c r="M136" s="23">
        <f t="shared" si="41"/>
        <v>0</v>
      </c>
      <c r="N136" s="23">
        <f t="shared" si="29"/>
        <v>0</v>
      </c>
      <c r="O136" s="23">
        <f t="shared" si="30"/>
        <v>0</v>
      </c>
      <c r="P136" s="17"/>
      <c r="Q136" s="19">
        <f>IF(C136="","",'Tabla_Puntual&amp;Relacionamiento'!$E$77)</f>
        <v>0.112</v>
      </c>
      <c r="R136" s="19"/>
      <c r="S136" s="11">
        <f t="shared" si="42"/>
        <v>11601.108210374763</v>
      </c>
      <c r="T136" s="23">
        <f t="shared" si="31"/>
        <v>742197.87258875568</v>
      </c>
      <c r="U136" s="37">
        <f t="shared" si="32"/>
        <v>1</v>
      </c>
      <c r="V136" s="37">
        <f t="shared" si="44"/>
        <v>116</v>
      </c>
      <c r="X136" s="31">
        <f t="shared" si="33"/>
        <v>10786.315755016072</v>
      </c>
      <c r="Y136" s="34">
        <f t="shared" si="51"/>
        <v>1.1845888924186598</v>
      </c>
      <c r="Z136" s="31">
        <f t="shared" si="34"/>
        <v>0</v>
      </c>
      <c r="AA136" s="66">
        <f t="shared" si="35"/>
        <v>25750</v>
      </c>
      <c r="AB136" s="6">
        <f t="shared" si="36"/>
        <v>0</v>
      </c>
      <c r="AC136" s="48">
        <f t="shared" si="48"/>
        <v>0</v>
      </c>
    </row>
    <row r="137" spans="3:29" x14ac:dyDescent="0.25">
      <c r="C137" s="27">
        <f t="shared" si="37"/>
        <v>117</v>
      </c>
      <c r="D137" s="30">
        <f t="shared" si="38"/>
        <v>742197.87258875568</v>
      </c>
      <c r="E137" s="20">
        <f t="shared" si="43"/>
        <v>10160</v>
      </c>
      <c r="F137" s="20">
        <f t="shared" si="27"/>
        <v>3232.8198558382801</v>
      </c>
      <c r="G137" s="21">
        <f t="shared" si="28"/>
        <v>6927.1801441617199</v>
      </c>
      <c r="H137" s="24">
        <f t="shared" si="39"/>
        <v>326.5670639390525</v>
      </c>
      <c r="I137" s="21">
        <f t="shared" si="46"/>
        <v>0</v>
      </c>
      <c r="J137" s="63">
        <f t="shared" si="40"/>
        <v>0</v>
      </c>
      <c r="K137" s="66">
        <f t="shared" si="45"/>
        <v>1108.3488230658752</v>
      </c>
      <c r="L137" s="17"/>
      <c r="M137" s="23">
        <f t="shared" si="41"/>
        <v>0</v>
      </c>
      <c r="N137" s="23">
        <f t="shared" si="29"/>
        <v>0</v>
      </c>
      <c r="O137" s="23">
        <f t="shared" si="30"/>
        <v>0</v>
      </c>
      <c r="P137" s="17"/>
      <c r="Q137" s="19">
        <f>IF(C137="","",'Tabla_Puntual&amp;Relacionamiento'!$E$77)</f>
        <v>0.112</v>
      </c>
      <c r="R137" s="19"/>
      <c r="S137" s="11">
        <f t="shared" si="42"/>
        <v>11594.915887004927</v>
      </c>
      <c r="T137" s="23">
        <f t="shared" si="31"/>
        <v>738965.05273291736</v>
      </c>
      <c r="U137" s="37">
        <f t="shared" si="32"/>
        <v>1</v>
      </c>
      <c r="V137" s="37">
        <f t="shared" si="44"/>
        <v>117</v>
      </c>
      <c r="X137" s="31">
        <f t="shared" si="33"/>
        <v>10784.906467628454</v>
      </c>
      <c r="Y137" s="34">
        <f t="shared" si="51"/>
        <v>1.1845888924186598</v>
      </c>
      <c r="Z137" s="31">
        <f t="shared" si="34"/>
        <v>0</v>
      </c>
      <c r="AA137" s="66">
        <f t="shared" si="35"/>
        <v>25750</v>
      </c>
      <c r="AB137" s="6">
        <f t="shared" si="36"/>
        <v>0</v>
      </c>
      <c r="AC137" s="48">
        <f t="shared" si="48"/>
        <v>0</v>
      </c>
    </row>
    <row r="138" spans="3:29" x14ac:dyDescent="0.25">
      <c r="C138" s="27">
        <f t="shared" si="37"/>
        <v>118</v>
      </c>
      <c r="D138" s="30">
        <f t="shared" si="38"/>
        <v>738965.05273291736</v>
      </c>
      <c r="E138" s="20">
        <f t="shared" si="43"/>
        <v>10160</v>
      </c>
      <c r="F138" s="20">
        <f t="shared" si="27"/>
        <v>3262.9928411594374</v>
      </c>
      <c r="G138" s="21">
        <f t="shared" si="28"/>
        <v>6897.0071588405626</v>
      </c>
      <c r="H138" s="24">
        <f t="shared" si="39"/>
        <v>325.14462320248361</v>
      </c>
      <c r="I138" s="21">
        <f t="shared" si="46"/>
        <v>0</v>
      </c>
      <c r="J138" s="63">
        <f t="shared" si="40"/>
        <v>0</v>
      </c>
      <c r="K138" s="66">
        <f t="shared" si="45"/>
        <v>1103.5211454144901</v>
      </c>
      <c r="L138" s="17"/>
      <c r="M138" s="23">
        <f t="shared" si="41"/>
        <v>0</v>
      </c>
      <c r="N138" s="23">
        <f t="shared" si="29"/>
        <v>0</v>
      </c>
      <c r="O138" s="23">
        <f t="shared" si="30"/>
        <v>0</v>
      </c>
      <c r="P138" s="17"/>
      <c r="Q138" s="19">
        <f>IF(C138="","",'Tabla_Puntual&amp;Relacionamiento'!$E$77)</f>
        <v>0.112</v>
      </c>
      <c r="R138" s="19"/>
      <c r="S138" s="11">
        <f t="shared" si="42"/>
        <v>11588.665768616973</v>
      </c>
      <c r="T138" s="23">
        <f t="shared" si="31"/>
        <v>735702.0598917579</v>
      </c>
      <c r="U138" s="37">
        <f t="shared" si="32"/>
        <v>1</v>
      </c>
      <c r="V138" s="37">
        <f t="shared" si="44"/>
        <v>118</v>
      </c>
      <c r="X138" s="31">
        <f t="shared" si="33"/>
        <v>10783.484026891885</v>
      </c>
      <c r="Y138" s="34">
        <f t="shared" si="51"/>
        <v>1.1845888924186598</v>
      </c>
      <c r="Z138" s="31">
        <f t="shared" si="34"/>
        <v>0</v>
      </c>
      <c r="AA138" s="66">
        <f t="shared" si="35"/>
        <v>25750</v>
      </c>
      <c r="AB138" s="6">
        <f t="shared" si="36"/>
        <v>0</v>
      </c>
      <c r="AC138" s="48">
        <f t="shared" si="48"/>
        <v>0</v>
      </c>
    </row>
    <row r="139" spans="3:29" x14ac:dyDescent="0.25">
      <c r="C139" s="27">
        <f t="shared" si="37"/>
        <v>119</v>
      </c>
      <c r="D139" s="30">
        <f t="shared" si="38"/>
        <v>735702.0598917579</v>
      </c>
      <c r="E139" s="20">
        <f t="shared" si="43"/>
        <v>10160</v>
      </c>
      <c r="F139" s="20">
        <f t="shared" si="27"/>
        <v>3293.4474410102594</v>
      </c>
      <c r="G139" s="21">
        <f t="shared" si="28"/>
        <v>6866.5525589897406</v>
      </c>
      <c r="H139" s="24">
        <f t="shared" si="39"/>
        <v>323.7089063523735</v>
      </c>
      <c r="I139" s="21">
        <f t="shared" si="46"/>
        <v>0</v>
      </c>
      <c r="J139" s="63">
        <f t="shared" si="40"/>
        <v>0</v>
      </c>
      <c r="K139" s="66">
        <f t="shared" si="45"/>
        <v>1098.6484094383586</v>
      </c>
      <c r="L139" s="17"/>
      <c r="M139" s="23">
        <f t="shared" si="41"/>
        <v>0</v>
      </c>
      <c r="N139" s="23">
        <f t="shared" si="29"/>
        <v>0</v>
      </c>
      <c r="O139" s="23">
        <f t="shared" si="30"/>
        <v>0</v>
      </c>
      <c r="P139" s="17"/>
      <c r="Q139" s="19">
        <f>IF(C139="","",'Tabla_Puntual&amp;Relacionamiento'!$E$77)</f>
        <v>0.112</v>
      </c>
      <c r="R139" s="19"/>
      <c r="S139" s="11">
        <f t="shared" si="42"/>
        <v>11582.35731579073</v>
      </c>
      <c r="T139" s="23">
        <f t="shared" si="31"/>
        <v>732408.61245074763</v>
      </c>
      <c r="U139" s="37">
        <f t="shared" si="32"/>
        <v>1</v>
      </c>
      <c r="V139" s="37">
        <f t="shared" si="44"/>
        <v>119</v>
      </c>
      <c r="X139" s="31">
        <f t="shared" si="33"/>
        <v>10782.048310041775</v>
      </c>
      <c r="Y139" s="34">
        <f t="shared" si="51"/>
        <v>1.1845888924186598</v>
      </c>
      <c r="Z139" s="31">
        <f t="shared" si="34"/>
        <v>0</v>
      </c>
      <c r="AA139" s="66">
        <f t="shared" si="35"/>
        <v>25750</v>
      </c>
      <c r="AB139" s="6">
        <f t="shared" si="36"/>
        <v>0</v>
      </c>
      <c r="AC139" s="48">
        <f t="shared" si="48"/>
        <v>0</v>
      </c>
    </row>
    <row r="140" spans="3:29" x14ac:dyDescent="0.25">
      <c r="C140" s="27">
        <f t="shared" si="37"/>
        <v>120</v>
      </c>
      <c r="D140" s="30">
        <f t="shared" si="38"/>
        <v>732408.61245074763</v>
      </c>
      <c r="E140" s="20">
        <f t="shared" si="43"/>
        <v>10160</v>
      </c>
      <c r="F140" s="20">
        <f t="shared" si="27"/>
        <v>3324.1862837930212</v>
      </c>
      <c r="G140" s="21">
        <f t="shared" si="28"/>
        <v>6835.8137162069788</v>
      </c>
      <c r="H140" s="24">
        <f t="shared" si="39"/>
        <v>322.25978947832897</v>
      </c>
      <c r="I140" s="21">
        <f t="shared" si="46"/>
        <v>0</v>
      </c>
      <c r="J140" s="63">
        <f t="shared" si="40"/>
        <v>0</v>
      </c>
      <c r="K140" s="66">
        <f t="shared" si="45"/>
        <v>1093.7301945931167</v>
      </c>
      <c r="L140" s="17"/>
      <c r="M140" s="23">
        <f t="shared" si="41"/>
        <v>0</v>
      </c>
      <c r="N140" s="23">
        <f t="shared" si="29"/>
        <v>0</v>
      </c>
      <c r="O140" s="23">
        <f t="shared" si="30"/>
        <v>0</v>
      </c>
      <c r="P140" s="17"/>
      <c r="Q140" s="19">
        <f>IF(C140="","",'Tabla_Puntual&amp;Relacionamiento'!$E$77)</f>
        <v>0.112</v>
      </c>
      <c r="R140" s="19"/>
      <c r="S140" s="11">
        <f t="shared" si="42"/>
        <v>11575.989984071446</v>
      </c>
      <c r="T140" s="23">
        <f t="shared" si="31"/>
        <v>729084.42616695457</v>
      </c>
      <c r="U140" s="37">
        <f t="shared" si="32"/>
        <v>1</v>
      </c>
      <c r="V140" s="37">
        <f t="shared" si="44"/>
        <v>120</v>
      </c>
      <c r="X140" s="31">
        <f t="shared" si="33"/>
        <v>10780.599193167731</v>
      </c>
      <c r="Y140" s="34">
        <f t="shared" si="51"/>
        <v>1.1845888924186598</v>
      </c>
      <c r="Z140" s="31">
        <f t="shared" si="34"/>
        <v>0</v>
      </c>
      <c r="AA140" s="66">
        <f t="shared" si="35"/>
        <v>25750</v>
      </c>
      <c r="AB140" s="6">
        <f t="shared" si="36"/>
        <v>0</v>
      </c>
      <c r="AC140" s="48">
        <f t="shared" si="48"/>
        <v>0</v>
      </c>
    </row>
    <row r="141" spans="3:29" x14ac:dyDescent="0.25">
      <c r="C141" s="27">
        <f t="shared" si="37"/>
        <v>121</v>
      </c>
      <c r="D141" s="30">
        <f t="shared" si="38"/>
        <v>729084.42616695457</v>
      </c>
      <c r="E141" s="20">
        <f t="shared" si="43"/>
        <v>10160</v>
      </c>
      <c r="F141" s="20">
        <f t="shared" si="27"/>
        <v>3355.2120224417567</v>
      </c>
      <c r="G141" s="21">
        <f t="shared" si="28"/>
        <v>6804.7879775582433</v>
      </c>
      <c r="H141" s="24">
        <f t="shared" si="39"/>
        <v>320.79714751346</v>
      </c>
      <c r="I141" s="21">
        <f t="shared" si="46"/>
        <v>0</v>
      </c>
      <c r="J141" s="63">
        <f t="shared" si="40"/>
        <v>0</v>
      </c>
      <c r="K141" s="66">
        <f t="shared" si="45"/>
        <v>1088.7660764093189</v>
      </c>
      <c r="L141" s="17"/>
      <c r="M141" s="23">
        <f t="shared" si="41"/>
        <v>0</v>
      </c>
      <c r="N141" s="23">
        <f t="shared" si="29"/>
        <v>0</v>
      </c>
      <c r="O141" s="23">
        <f t="shared" si="30"/>
        <v>0</v>
      </c>
      <c r="P141" s="17"/>
      <c r="Q141" s="19">
        <f>IF(C141="","",'Tabla_Puntual&amp;Relacionamiento'!$E$78)</f>
        <v>0.112</v>
      </c>
      <c r="R141" s="19" t="str">
        <f>IF(C141="","",IF($E$14="Pago_Bajo_Puntual",$M$17,""))</f>
        <v/>
      </c>
      <c r="S141" s="11">
        <f t="shared" si="42"/>
        <v>11569.563223922778</v>
      </c>
      <c r="T141" s="23">
        <f t="shared" si="31"/>
        <v>725729.21414451278</v>
      </c>
      <c r="U141" s="37">
        <f t="shared" si="32"/>
        <v>1</v>
      </c>
      <c r="V141" s="37">
        <f t="shared" si="44"/>
        <v>121</v>
      </c>
      <c r="X141" s="31">
        <f t="shared" si="33"/>
        <v>10779.136551202862</v>
      </c>
      <c r="Y141" s="34">
        <f>Y140*1.019</f>
        <v>1.2070960813746143</v>
      </c>
      <c r="Z141" s="31">
        <f t="shared" si="34"/>
        <v>0</v>
      </c>
      <c r="AA141" s="66">
        <f t="shared" si="35"/>
        <v>25750</v>
      </c>
      <c r="AB141" s="6">
        <f t="shared" si="36"/>
        <v>0</v>
      </c>
      <c r="AC141" s="48">
        <f>AC140+$M$17</f>
        <v>0</v>
      </c>
    </row>
    <row r="142" spans="3:29" x14ac:dyDescent="0.25">
      <c r="C142" s="27">
        <f t="shared" si="37"/>
        <v>122</v>
      </c>
      <c r="D142" s="30">
        <f t="shared" si="38"/>
        <v>725729.21414451278</v>
      </c>
      <c r="E142" s="20">
        <f t="shared" si="43"/>
        <v>10160</v>
      </c>
      <c r="F142" s="20">
        <f t="shared" si="27"/>
        <v>3386.5273346512131</v>
      </c>
      <c r="G142" s="21">
        <f t="shared" si="28"/>
        <v>6773.4726653487869</v>
      </c>
      <c r="H142" s="24">
        <f t="shared" si="39"/>
        <v>319.32085422358563</v>
      </c>
      <c r="I142" s="21">
        <f t="shared" si="46"/>
        <v>0</v>
      </c>
      <c r="J142" s="63">
        <f t="shared" si="40"/>
        <v>0</v>
      </c>
      <c r="K142" s="66">
        <f t="shared" si="45"/>
        <v>1083.7556264558059</v>
      </c>
      <c r="L142" s="17"/>
      <c r="M142" s="23">
        <f t="shared" si="41"/>
        <v>0</v>
      </c>
      <c r="N142" s="23">
        <f t="shared" si="29"/>
        <v>0</v>
      </c>
      <c r="O142" s="23">
        <f t="shared" si="30"/>
        <v>0</v>
      </c>
      <c r="P142" s="17"/>
      <c r="Q142" s="19">
        <f>IF(C142="","",'Tabla_Puntual&amp;Relacionamiento'!$E$78)</f>
        <v>0.112</v>
      </c>
      <c r="R142" s="19"/>
      <c r="S142" s="11">
        <f t="shared" si="42"/>
        <v>11563.076480679392</v>
      </c>
      <c r="T142" s="23">
        <f t="shared" si="31"/>
        <v>722342.68680986157</v>
      </c>
      <c r="U142" s="37">
        <f t="shared" si="32"/>
        <v>1</v>
      </c>
      <c r="V142" s="37">
        <f t="shared" si="44"/>
        <v>122</v>
      </c>
      <c r="X142" s="31">
        <f t="shared" si="33"/>
        <v>10777.660257912989</v>
      </c>
      <c r="Y142" s="34">
        <f t="shared" ref="Y142:Y152" si="52">Y141</f>
        <v>1.2070960813746143</v>
      </c>
      <c r="Z142" s="31">
        <f t="shared" si="34"/>
        <v>0</v>
      </c>
      <c r="AA142" s="66">
        <f t="shared" si="35"/>
        <v>25750</v>
      </c>
      <c r="AB142" s="6">
        <f t="shared" si="36"/>
        <v>0</v>
      </c>
      <c r="AC142" s="48">
        <f t="shared" si="48"/>
        <v>0</v>
      </c>
    </row>
    <row r="143" spans="3:29" x14ac:dyDescent="0.25">
      <c r="C143" s="27">
        <f t="shared" si="37"/>
        <v>123</v>
      </c>
      <c r="D143" s="30">
        <f t="shared" si="38"/>
        <v>722342.68680986157</v>
      </c>
      <c r="E143" s="20">
        <f t="shared" si="43"/>
        <v>10160</v>
      </c>
      <c r="F143" s="20">
        <f t="shared" si="27"/>
        <v>3418.1349231079585</v>
      </c>
      <c r="G143" s="21">
        <f t="shared" si="28"/>
        <v>6741.8650768920415</v>
      </c>
      <c r="H143" s="24">
        <f t="shared" si="39"/>
        <v>317.8307821963391</v>
      </c>
      <c r="I143" s="21">
        <f t="shared" si="46"/>
        <v>0</v>
      </c>
      <c r="J143" s="63">
        <f t="shared" si="40"/>
        <v>0</v>
      </c>
      <c r="K143" s="66">
        <f t="shared" si="45"/>
        <v>1078.6984123027266</v>
      </c>
      <c r="L143" s="17"/>
      <c r="M143" s="23">
        <f t="shared" si="41"/>
        <v>0</v>
      </c>
      <c r="N143" s="23">
        <f t="shared" si="29"/>
        <v>0</v>
      </c>
      <c r="O143" s="23">
        <f t="shared" si="30"/>
        <v>0</v>
      </c>
      <c r="P143" s="17"/>
      <c r="Q143" s="19">
        <f>IF(C143="","",'Tabla_Puntual&amp;Relacionamiento'!$E$78)</f>
        <v>0.112</v>
      </c>
      <c r="R143" s="19"/>
      <c r="S143" s="11">
        <f t="shared" si="42"/>
        <v>11556.529194499066</v>
      </c>
      <c r="T143" s="23">
        <f t="shared" si="31"/>
        <v>718924.55188675364</v>
      </c>
      <c r="U143" s="37">
        <f t="shared" si="32"/>
        <v>1</v>
      </c>
      <c r="V143" s="37">
        <f t="shared" si="44"/>
        <v>123</v>
      </c>
      <c r="X143" s="31">
        <f t="shared" si="33"/>
        <v>10776.170185885741</v>
      </c>
      <c r="Y143" s="34">
        <f t="shared" si="52"/>
        <v>1.2070960813746143</v>
      </c>
      <c r="Z143" s="31">
        <f t="shared" si="34"/>
        <v>0</v>
      </c>
      <c r="AA143" s="66">
        <f t="shared" si="35"/>
        <v>25750</v>
      </c>
      <c r="AB143" s="6">
        <f t="shared" si="36"/>
        <v>0</v>
      </c>
      <c r="AC143" s="48">
        <f t="shared" si="48"/>
        <v>0</v>
      </c>
    </row>
    <row r="144" spans="3:29" x14ac:dyDescent="0.25">
      <c r="C144" s="27">
        <f t="shared" si="37"/>
        <v>124</v>
      </c>
      <c r="D144" s="30">
        <f t="shared" si="38"/>
        <v>718924.55188675364</v>
      </c>
      <c r="E144" s="20">
        <f t="shared" si="43"/>
        <v>10160</v>
      </c>
      <c r="F144" s="20">
        <f t="shared" si="27"/>
        <v>3450.0375157236322</v>
      </c>
      <c r="G144" s="21">
        <f t="shared" si="28"/>
        <v>6709.9624842763678</v>
      </c>
      <c r="H144" s="24">
        <f t="shared" si="39"/>
        <v>316.32680283017157</v>
      </c>
      <c r="I144" s="21">
        <f t="shared" si="46"/>
        <v>0</v>
      </c>
      <c r="J144" s="63">
        <f t="shared" si="40"/>
        <v>0</v>
      </c>
      <c r="K144" s="66">
        <f t="shared" si="45"/>
        <v>1073.5939974842188</v>
      </c>
      <c r="L144" s="17"/>
      <c r="M144" s="23">
        <f t="shared" si="41"/>
        <v>0</v>
      </c>
      <c r="N144" s="23">
        <f t="shared" si="29"/>
        <v>0</v>
      </c>
      <c r="O144" s="23">
        <f t="shared" si="30"/>
        <v>0</v>
      </c>
      <c r="P144" s="17"/>
      <c r="Q144" s="19">
        <f>IF(C144="","",'Tabla_Puntual&amp;Relacionamiento'!$E$78)</f>
        <v>0.112</v>
      </c>
      <c r="R144" s="19"/>
      <c r="S144" s="11">
        <f t="shared" si="42"/>
        <v>11549.92080031439</v>
      </c>
      <c r="T144" s="23">
        <f t="shared" si="31"/>
        <v>715474.51437103003</v>
      </c>
      <c r="U144" s="37">
        <f t="shared" si="32"/>
        <v>1</v>
      </c>
      <c r="V144" s="37">
        <f t="shared" si="44"/>
        <v>124</v>
      </c>
      <c r="X144" s="31">
        <f t="shared" si="33"/>
        <v>10774.666206519574</v>
      </c>
      <c r="Y144" s="34">
        <f t="shared" si="52"/>
        <v>1.2070960813746143</v>
      </c>
      <c r="Z144" s="31">
        <f t="shared" si="34"/>
        <v>0</v>
      </c>
      <c r="AA144" s="66">
        <f t="shared" si="35"/>
        <v>25750</v>
      </c>
      <c r="AB144" s="6">
        <f t="shared" si="36"/>
        <v>0</v>
      </c>
      <c r="AC144" s="48">
        <f t="shared" si="48"/>
        <v>0</v>
      </c>
    </row>
    <row r="145" spans="3:29" x14ac:dyDescent="0.25">
      <c r="C145" s="27">
        <f t="shared" si="37"/>
        <v>125</v>
      </c>
      <c r="D145" s="30">
        <f t="shared" si="38"/>
        <v>715474.51437103003</v>
      </c>
      <c r="E145" s="20">
        <f t="shared" si="43"/>
        <v>10160</v>
      </c>
      <c r="F145" s="20">
        <f t="shared" si="27"/>
        <v>3482.2378658703856</v>
      </c>
      <c r="G145" s="21">
        <f t="shared" si="28"/>
        <v>6677.7621341296144</v>
      </c>
      <c r="H145" s="24">
        <f t="shared" si="39"/>
        <v>314.80878632325323</v>
      </c>
      <c r="I145" s="21">
        <f t="shared" si="46"/>
        <v>0</v>
      </c>
      <c r="J145" s="63">
        <f t="shared" si="40"/>
        <v>0</v>
      </c>
      <c r="K145" s="66">
        <f t="shared" si="45"/>
        <v>1068.4419414607382</v>
      </c>
      <c r="L145" s="17"/>
      <c r="M145" s="23">
        <f t="shared" si="41"/>
        <v>0</v>
      </c>
      <c r="N145" s="23">
        <f t="shared" si="29"/>
        <v>0</v>
      </c>
      <c r="O145" s="23">
        <f t="shared" si="30"/>
        <v>0</v>
      </c>
      <c r="P145" s="17"/>
      <c r="Q145" s="19">
        <f>IF(C145="","",'Tabla_Puntual&amp;Relacionamiento'!$E$78)</f>
        <v>0.112</v>
      </c>
      <c r="R145" s="19"/>
      <c r="S145" s="11">
        <f t="shared" si="42"/>
        <v>11543.250727783992</v>
      </c>
      <c r="T145" s="23">
        <f t="shared" si="31"/>
        <v>711992.27650515968</v>
      </c>
      <c r="U145" s="37">
        <f t="shared" si="32"/>
        <v>1</v>
      </c>
      <c r="V145" s="37">
        <f t="shared" si="44"/>
        <v>125</v>
      </c>
      <c r="X145" s="31">
        <f t="shared" si="33"/>
        <v>10773.148190012656</v>
      </c>
      <c r="Y145" s="34">
        <f t="shared" si="52"/>
        <v>1.2070960813746143</v>
      </c>
      <c r="Z145" s="31">
        <f t="shared" si="34"/>
        <v>0</v>
      </c>
      <c r="AA145" s="66">
        <f t="shared" si="35"/>
        <v>25750</v>
      </c>
      <c r="AB145" s="6">
        <f t="shared" si="36"/>
        <v>0</v>
      </c>
      <c r="AC145" s="48">
        <f t="shared" si="48"/>
        <v>0</v>
      </c>
    </row>
    <row r="146" spans="3:29" x14ac:dyDescent="0.25">
      <c r="C146" s="27">
        <f t="shared" si="37"/>
        <v>126</v>
      </c>
      <c r="D146" s="30">
        <f t="shared" si="38"/>
        <v>711992.27650515968</v>
      </c>
      <c r="E146" s="20">
        <f t="shared" si="43"/>
        <v>10160</v>
      </c>
      <c r="F146" s="20">
        <f t="shared" si="27"/>
        <v>3514.7387526185094</v>
      </c>
      <c r="G146" s="21">
        <f t="shared" si="28"/>
        <v>6645.2612473814906</v>
      </c>
      <c r="H146" s="24">
        <f t="shared" si="39"/>
        <v>313.27660166227025</v>
      </c>
      <c r="I146" s="21">
        <f t="shared" si="46"/>
        <v>0</v>
      </c>
      <c r="J146" s="63">
        <f t="shared" si="40"/>
        <v>0</v>
      </c>
      <c r="K146" s="66">
        <f t="shared" si="45"/>
        <v>1063.2417995810385</v>
      </c>
      <c r="L146" s="17"/>
      <c r="M146" s="23">
        <f t="shared" si="41"/>
        <v>0</v>
      </c>
      <c r="N146" s="23">
        <f t="shared" si="29"/>
        <v>0</v>
      </c>
      <c r="O146" s="23">
        <f t="shared" si="30"/>
        <v>0</v>
      </c>
      <c r="P146" s="17"/>
      <c r="Q146" s="19">
        <f>IF(C146="","",'Tabla_Puntual&amp;Relacionamiento'!$E$78)</f>
        <v>0.112</v>
      </c>
      <c r="R146" s="19"/>
      <c r="S146" s="11">
        <f t="shared" si="42"/>
        <v>11536.518401243309</v>
      </c>
      <c r="T146" s="23">
        <f t="shared" si="31"/>
        <v>708477.53775254113</v>
      </c>
      <c r="U146" s="37">
        <f t="shared" si="32"/>
        <v>1</v>
      </c>
      <c r="V146" s="37">
        <f t="shared" si="44"/>
        <v>126</v>
      </c>
      <c r="X146" s="31">
        <f t="shared" si="33"/>
        <v>10771.616005351672</v>
      </c>
      <c r="Y146" s="34">
        <f t="shared" si="52"/>
        <v>1.2070960813746143</v>
      </c>
      <c r="Z146" s="31">
        <f t="shared" si="34"/>
        <v>0</v>
      </c>
      <c r="AA146" s="66">
        <f t="shared" si="35"/>
        <v>25750</v>
      </c>
      <c r="AB146" s="6">
        <f t="shared" si="36"/>
        <v>0</v>
      </c>
      <c r="AC146" s="48">
        <f t="shared" si="48"/>
        <v>0</v>
      </c>
    </row>
    <row r="147" spans="3:29" x14ac:dyDescent="0.25">
      <c r="C147" s="27">
        <f t="shared" si="37"/>
        <v>127</v>
      </c>
      <c r="D147" s="30">
        <f t="shared" si="38"/>
        <v>708477.53775254113</v>
      </c>
      <c r="E147" s="20">
        <f t="shared" si="43"/>
        <v>10160</v>
      </c>
      <c r="F147" s="20">
        <f t="shared" si="27"/>
        <v>3547.5429809762818</v>
      </c>
      <c r="G147" s="21">
        <f t="shared" si="28"/>
        <v>6612.4570190237182</v>
      </c>
      <c r="H147" s="24">
        <f t="shared" si="39"/>
        <v>311.73011661111809</v>
      </c>
      <c r="I147" s="21">
        <f t="shared" si="46"/>
        <v>0</v>
      </c>
      <c r="J147" s="63">
        <f t="shared" si="40"/>
        <v>0</v>
      </c>
      <c r="K147" s="66">
        <f t="shared" si="45"/>
        <v>1057.9931230437949</v>
      </c>
      <c r="L147" s="17"/>
      <c r="M147" s="23">
        <f t="shared" si="41"/>
        <v>0</v>
      </c>
      <c r="N147" s="23">
        <f t="shared" si="29"/>
        <v>0</v>
      </c>
      <c r="O147" s="23">
        <f t="shared" si="30"/>
        <v>0</v>
      </c>
      <c r="P147" s="17"/>
      <c r="Q147" s="19">
        <f>IF(C147="","",'Tabla_Puntual&amp;Relacionamiento'!$E$78)</f>
        <v>0.112</v>
      </c>
      <c r="R147" s="19"/>
      <c r="S147" s="11">
        <f t="shared" si="42"/>
        <v>11529.723239654912</v>
      </c>
      <c r="T147" s="23">
        <f t="shared" si="31"/>
        <v>704929.99477156484</v>
      </c>
      <c r="U147" s="37">
        <f t="shared" si="32"/>
        <v>1</v>
      </c>
      <c r="V147" s="37">
        <f t="shared" si="44"/>
        <v>127</v>
      </c>
      <c r="X147" s="31">
        <f t="shared" si="33"/>
        <v>10770.06952030052</v>
      </c>
      <c r="Y147" s="34">
        <f t="shared" si="52"/>
        <v>1.2070960813746143</v>
      </c>
      <c r="Z147" s="31">
        <f t="shared" si="34"/>
        <v>0</v>
      </c>
      <c r="AA147" s="66">
        <f t="shared" si="35"/>
        <v>25750</v>
      </c>
      <c r="AB147" s="6">
        <f t="shared" si="36"/>
        <v>0</v>
      </c>
      <c r="AC147" s="48">
        <f t="shared" si="48"/>
        <v>0</v>
      </c>
    </row>
    <row r="148" spans="3:29" x14ac:dyDescent="0.25">
      <c r="C148" s="27">
        <f t="shared" si="37"/>
        <v>128</v>
      </c>
      <c r="D148" s="30">
        <f t="shared" si="38"/>
        <v>704929.99477156484</v>
      </c>
      <c r="E148" s="20">
        <f t="shared" si="43"/>
        <v>10160</v>
      </c>
      <c r="F148" s="20">
        <f t="shared" si="27"/>
        <v>3580.6533821320609</v>
      </c>
      <c r="G148" s="21">
        <f t="shared" si="28"/>
        <v>6579.3466178679391</v>
      </c>
      <c r="H148" s="24">
        <f t="shared" si="39"/>
        <v>310.16919769948856</v>
      </c>
      <c r="I148" s="21">
        <f t="shared" si="46"/>
        <v>0</v>
      </c>
      <c r="J148" s="63">
        <f t="shared" si="40"/>
        <v>0</v>
      </c>
      <c r="K148" s="66">
        <f t="shared" si="45"/>
        <v>1052.6954588588703</v>
      </c>
      <c r="L148" s="17"/>
      <c r="M148" s="23">
        <f t="shared" si="41"/>
        <v>0</v>
      </c>
      <c r="N148" s="23">
        <f t="shared" si="29"/>
        <v>0</v>
      </c>
      <c r="O148" s="23">
        <f t="shared" si="30"/>
        <v>0</v>
      </c>
      <c r="P148" s="17"/>
      <c r="Q148" s="19">
        <f>IF(C148="","",'Tabla_Puntual&amp;Relacionamiento'!$E$78)</f>
        <v>0.112</v>
      </c>
      <c r="R148" s="19"/>
      <c r="S148" s="11">
        <f t="shared" si="42"/>
        <v>11522.864656558359</v>
      </c>
      <c r="T148" s="23">
        <f t="shared" si="31"/>
        <v>701349.34138943278</v>
      </c>
      <c r="U148" s="37">
        <f t="shared" si="32"/>
        <v>1</v>
      </c>
      <c r="V148" s="37">
        <f t="shared" si="44"/>
        <v>128</v>
      </c>
      <c r="X148" s="31">
        <f t="shared" si="33"/>
        <v>10768.50860138889</v>
      </c>
      <c r="Y148" s="34">
        <f t="shared" si="52"/>
        <v>1.2070960813746143</v>
      </c>
      <c r="Z148" s="31">
        <f t="shared" si="34"/>
        <v>0</v>
      </c>
      <c r="AA148" s="66">
        <f t="shared" si="35"/>
        <v>25750</v>
      </c>
      <c r="AB148" s="6">
        <f t="shared" si="36"/>
        <v>0</v>
      </c>
      <c r="AC148" s="48">
        <f t="shared" si="48"/>
        <v>0</v>
      </c>
    </row>
    <row r="149" spans="3:29" x14ac:dyDescent="0.25">
      <c r="C149" s="27">
        <f t="shared" si="37"/>
        <v>129</v>
      </c>
      <c r="D149" s="30">
        <f t="shared" si="38"/>
        <v>701349.34138943278</v>
      </c>
      <c r="E149" s="20">
        <f t="shared" si="43"/>
        <v>10160</v>
      </c>
      <c r="F149" s="20">
        <f t="shared" ref="F149:F212" si="53">IF(C149="","",E149-G149+P149+M149)</f>
        <v>3614.0728136986272</v>
      </c>
      <c r="G149" s="21">
        <f t="shared" ref="G149:G212" si="54">IF(C149="","",IF(T148*(Q149/12)&lt;0,"",T148*(Q149/12)))</f>
        <v>6545.9271863013728</v>
      </c>
      <c r="H149" s="24">
        <f t="shared" si="39"/>
        <v>308.59371021135041</v>
      </c>
      <c r="I149" s="21">
        <f t="shared" si="46"/>
        <v>0</v>
      </c>
      <c r="J149" s="63">
        <f t="shared" si="40"/>
        <v>0</v>
      </c>
      <c r="K149" s="66">
        <f t="shared" si="45"/>
        <v>1047.3483498082196</v>
      </c>
      <c r="L149" s="17"/>
      <c r="M149" s="23">
        <f t="shared" si="41"/>
        <v>0</v>
      </c>
      <c r="N149" s="23">
        <f t="shared" ref="N149:N212" si="55">IF(C149="","",(L149+P149)*$J$12)</f>
        <v>0</v>
      </c>
      <c r="O149" s="23">
        <f t="shared" ref="O149:O212" si="56">IF(C149="","",((L149+P149)*$J$12)*0.16)</f>
        <v>0</v>
      </c>
      <c r="P149" s="17"/>
      <c r="Q149" s="19">
        <f>IF(C149="","",'Tabla_Puntual&amp;Relacionamiento'!$E$78)</f>
        <v>0.112</v>
      </c>
      <c r="R149" s="19"/>
      <c r="S149" s="11">
        <f t="shared" si="42"/>
        <v>11515.94206001957</v>
      </c>
      <c r="T149" s="23">
        <f t="shared" ref="T149:T212" si="57">IF(C149="","",T148-F149)</f>
        <v>697735.26857573411</v>
      </c>
      <c r="U149" s="37">
        <f t="shared" ref="U149:U212" si="58">IF(C149="","",1)</f>
        <v>1</v>
      </c>
      <c r="V149" s="37">
        <f t="shared" si="44"/>
        <v>129</v>
      </c>
      <c r="X149" s="31">
        <f t="shared" ref="X149:X212" si="59">IF(C149="","",IF($D$17="SI",AB149,
IF(ISNUMBER(V149),IF($E$14="Pago_Fijo_Puntual",PMT(Q149/12,$E$15*12,-$J$9),
Y149*$J$15*$J$9/1000)+H149+AB149+P149+I149/1.16+$Q$15,0)))</f>
        <v>10766.933113900754</v>
      </c>
      <c r="Y149" s="34">
        <f t="shared" si="52"/>
        <v>1.2070960813746143</v>
      </c>
      <c r="Z149" s="31">
        <f t="shared" ref="Z149:Z212" si="60">IF($AA$20=0,0,IF(M149&gt;AA148,MAX(0,M149-AA148),M149))</f>
        <v>0</v>
      </c>
      <c r="AA149" s="66">
        <f t="shared" ref="AA149:AA212" si="61">IFERROR(MAX(0,AA148-M149),0)</f>
        <v>25750</v>
      </c>
      <c r="AB149" s="6">
        <f t="shared" ref="AB149:AB212" si="62">IF($D$17="NO",M149,IF(AA149&gt;0,0,Z149))</f>
        <v>0</v>
      </c>
      <c r="AC149" s="48">
        <f t="shared" si="48"/>
        <v>0</v>
      </c>
    </row>
    <row r="150" spans="3:29" x14ac:dyDescent="0.25">
      <c r="C150" s="27">
        <f t="shared" ref="C150:C213" si="63">IF(OR(C149="",T149&lt;=0),"",IF(C149+1&lt;=E$15*12,C149+1,""))</f>
        <v>130</v>
      </c>
      <c r="D150" s="30">
        <f t="shared" ref="D150:D213" si="64">IF(T149&lt;=0,"",T149)</f>
        <v>697735.26857573411</v>
      </c>
      <c r="E150" s="20">
        <f t="shared" si="43"/>
        <v>10160</v>
      </c>
      <c r="F150" s="20">
        <f t="shared" si="53"/>
        <v>3647.8041599598146</v>
      </c>
      <c r="G150" s="21">
        <f t="shared" si="54"/>
        <v>6512.1958400401854</v>
      </c>
      <c r="H150" s="24">
        <f t="shared" ref="H150:H213" si="65">IF(C150="","",L$12*T149/1000)</f>
        <v>307.00351817332302</v>
      </c>
      <c r="I150" s="21">
        <f t="shared" si="46"/>
        <v>0</v>
      </c>
      <c r="J150" s="63">
        <f t="shared" ref="J150:J213" si="66">IF($D$17="SI",0,IF(D150="","",$Q$15))</f>
        <v>0</v>
      </c>
      <c r="K150" s="66">
        <f t="shared" si="45"/>
        <v>1041.9513344064296</v>
      </c>
      <c r="L150" s="17"/>
      <c r="M150" s="23">
        <f t="shared" ref="M150:M213" si="67">IF(C150="","",IF(L150="",0,L150-N150-O150))</f>
        <v>0</v>
      </c>
      <c r="N150" s="23">
        <f t="shared" si="55"/>
        <v>0</v>
      </c>
      <c r="O150" s="23">
        <f t="shared" si="56"/>
        <v>0</v>
      </c>
      <c r="P150" s="17"/>
      <c r="Q150" s="19">
        <f>IF(C150="","",'Tabla_Puntual&amp;Relacionamiento'!$E$78)</f>
        <v>0.112</v>
      </c>
      <c r="R150" s="19"/>
      <c r="S150" s="11">
        <f t="shared" ref="S150:S213" si="68">IF(C150="","",IF($K$19="",E150+H150+I150+J150+L150+P150,E150+H150+I150+J150+K150+L150+P150))</f>
        <v>11508.954852579753</v>
      </c>
      <c r="T150" s="23">
        <f t="shared" si="57"/>
        <v>694087.46441577433</v>
      </c>
      <c r="U150" s="37">
        <f t="shared" si="58"/>
        <v>1</v>
      </c>
      <c r="V150" s="37">
        <f t="shared" si="44"/>
        <v>130</v>
      </c>
      <c r="X150" s="31">
        <f t="shared" si="59"/>
        <v>10765.342921862726</v>
      </c>
      <c r="Y150" s="34">
        <f t="shared" si="52"/>
        <v>1.2070960813746143</v>
      </c>
      <c r="Z150" s="31">
        <f t="shared" si="60"/>
        <v>0</v>
      </c>
      <c r="AA150" s="66">
        <f t="shared" si="61"/>
        <v>25750</v>
      </c>
      <c r="AB150" s="6">
        <f t="shared" si="62"/>
        <v>0</v>
      </c>
      <c r="AC150" s="48">
        <f t="shared" si="48"/>
        <v>0</v>
      </c>
    </row>
    <row r="151" spans="3:29" x14ac:dyDescent="0.25">
      <c r="C151" s="27">
        <f t="shared" si="63"/>
        <v>131</v>
      </c>
      <c r="D151" s="30">
        <f t="shared" si="64"/>
        <v>694087.46441577433</v>
      </c>
      <c r="E151" s="20">
        <f t="shared" ref="E151:E214" si="69">IF(C151="","",IF(T150&lt;E150,T150+G151,IF($E$14="Pago_Fijo_Puntual",$J$9*$J$15/1000,IF($E$14="Pago_Bajo_Puntual",E150+(E150*R151)))))</f>
        <v>10160</v>
      </c>
      <c r="F151" s="20">
        <f t="shared" si="53"/>
        <v>3681.8503321194394</v>
      </c>
      <c r="G151" s="21">
        <f t="shared" si="54"/>
        <v>6478.1496678805606</v>
      </c>
      <c r="H151" s="24">
        <f t="shared" si="65"/>
        <v>305.39848434294072</v>
      </c>
      <c r="I151" s="21">
        <f t="shared" si="46"/>
        <v>0</v>
      </c>
      <c r="J151" s="63">
        <f t="shared" si="66"/>
        <v>0</v>
      </c>
      <c r="K151" s="66">
        <f t="shared" si="45"/>
        <v>1036.5039468608898</v>
      </c>
      <c r="L151" s="17"/>
      <c r="M151" s="23">
        <f t="shared" si="67"/>
        <v>0</v>
      </c>
      <c r="N151" s="23">
        <f t="shared" si="55"/>
        <v>0</v>
      </c>
      <c r="O151" s="23">
        <f t="shared" si="56"/>
        <v>0</v>
      </c>
      <c r="P151" s="17"/>
      <c r="Q151" s="19">
        <f>IF(C151="","",'Tabla_Puntual&amp;Relacionamiento'!$E$78)</f>
        <v>0.112</v>
      </c>
      <c r="R151" s="19"/>
      <c r="S151" s="11">
        <f t="shared" si="68"/>
        <v>11501.902431203831</v>
      </c>
      <c r="T151" s="23">
        <f t="shared" si="57"/>
        <v>690405.61408365495</v>
      </c>
      <c r="U151" s="37">
        <f t="shared" si="58"/>
        <v>1</v>
      </c>
      <c r="V151" s="37">
        <f t="shared" ref="V151:V214" si="70">C151</f>
        <v>131</v>
      </c>
      <c r="X151" s="31">
        <f t="shared" si="59"/>
        <v>10763.737888032343</v>
      </c>
      <c r="Y151" s="34">
        <f t="shared" si="52"/>
        <v>1.2070960813746143</v>
      </c>
      <c r="Z151" s="31">
        <f t="shared" si="60"/>
        <v>0</v>
      </c>
      <c r="AA151" s="66">
        <f t="shared" si="61"/>
        <v>25750</v>
      </c>
      <c r="AB151" s="6">
        <f t="shared" si="62"/>
        <v>0</v>
      </c>
      <c r="AC151" s="48">
        <f t="shared" si="48"/>
        <v>0</v>
      </c>
    </row>
    <row r="152" spans="3:29" x14ac:dyDescent="0.25">
      <c r="C152" s="27">
        <f t="shared" si="63"/>
        <v>132</v>
      </c>
      <c r="D152" s="30">
        <f t="shared" si="64"/>
        <v>690405.61408365495</v>
      </c>
      <c r="E152" s="20">
        <f t="shared" si="69"/>
        <v>10160</v>
      </c>
      <c r="F152" s="20">
        <f t="shared" si="53"/>
        <v>3716.2142685525532</v>
      </c>
      <c r="G152" s="21">
        <f t="shared" si="54"/>
        <v>6443.7857314474468</v>
      </c>
      <c r="H152" s="24">
        <f t="shared" si="65"/>
        <v>303.77847019680814</v>
      </c>
      <c r="I152" s="21">
        <f t="shared" si="46"/>
        <v>0</v>
      </c>
      <c r="J152" s="63">
        <f t="shared" si="66"/>
        <v>0</v>
      </c>
      <c r="K152" s="66">
        <f t="shared" ref="K152:K215" si="71">IFERROR(IF($E$8="Liquidez",G152*0.16,IF(AND($E$8="Pago_Hipoteca+Liquidez",$E$16="Liquidez"),G152*0.16,"")),"")</f>
        <v>1031.0057170315915</v>
      </c>
      <c r="L152" s="17"/>
      <c r="M152" s="23">
        <f t="shared" si="67"/>
        <v>0</v>
      </c>
      <c r="N152" s="23">
        <f t="shared" si="55"/>
        <v>0</v>
      </c>
      <c r="O152" s="23">
        <f t="shared" si="56"/>
        <v>0</v>
      </c>
      <c r="P152" s="17"/>
      <c r="Q152" s="19">
        <f>IF(C152="","",'Tabla_Puntual&amp;Relacionamiento'!$E$78)</f>
        <v>0.112</v>
      </c>
      <c r="R152" s="19"/>
      <c r="S152" s="11">
        <f t="shared" si="68"/>
        <v>11494.784187228401</v>
      </c>
      <c r="T152" s="23">
        <f t="shared" si="57"/>
        <v>686689.39981510234</v>
      </c>
      <c r="U152" s="37">
        <f t="shared" si="58"/>
        <v>1</v>
      </c>
      <c r="V152" s="37">
        <f t="shared" si="70"/>
        <v>132</v>
      </c>
      <c r="X152" s="31">
        <f t="shared" si="59"/>
        <v>10762.117873886211</v>
      </c>
      <c r="Y152" s="34">
        <f t="shared" si="52"/>
        <v>1.2070960813746143</v>
      </c>
      <c r="Z152" s="31">
        <f t="shared" si="60"/>
        <v>0</v>
      </c>
      <c r="AA152" s="66">
        <f t="shared" si="61"/>
        <v>25750</v>
      </c>
      <c r="AB152" s="6">
        <f t="shared" si="62"/>
        <v>0</v>
      </c>
      <c r="AC152" s="48">
        <f t="shared" si="48"/>
        <v>0</v>
      </c>
    </row>
    <row r="153" spans="3:29" x14ac:dyDescent="0.25">
      <c r="C153" s="27">
        <f t="shared" si="63"/>
        <v>133</v>
      </c>
      <c r="D153" s="30">
        <f t="shared" si="64"/>
        <v>686689.39981510234</v>
      </c>
      <c r="E153" s="20">
        <f t="shared" si="69"/>
        <v>10160</v>
      </c>
      <c r="F153" s="20">
        <f t="shared" si="53"/>
        <v>3750.8989350590446</v>
      </c>
      <c r="G153" s="21">
        <f t="shared" si="54"/>
        <v>6409.1010649409554</v>
      </c>
      <c r="H153" s="24">
        <f t="shared" si="65"/>
        <v>302.14333591864505</v>
      </c>
      <c r="I153" s="21">
        <f t="shared" ref="I153:I216" si="72">IF(C153="","",IF(AND($E$8="Pago_Hipoteca+Liquidez",$E$16="Liquidez"),0,IF((($J$8*0.8)*($N$12/1.16))&gt;T152*($N$12/1.16),($J$8*0.8)*($N$12/1.16),($N$12/1.16)*T152)/1000))</f>
        <v>0</v>
      </c>
      <c r="J153" s="63">
        <f t="shared" si="66"/>
        <v>0</v>
      </c>
      <c r="K153" s="66">
        <f t="shared" si="71"/>
        <v>1025.4561703905529</v>
      </c>
      <c r="L153" s="17"/>
      <c r="M153" s="23">
        <f t="shared" si="67"/>
        <v>0</v>
      </c>
      <c r="N153" s="23">
        <f t="shared" si="55"/>
        <v>0</v>
      </c>
      <c r="O153" s="23">
        <f t="shared" si="56"/>
        <v>0</v>
      </c>
      <c r="P153" s="17"/>
      <c r="Q153" s="19">
        <f>IF(C153="","",'Tabla_Puntual&amp;Relacionamiento'!$E$79)</f>
        <v>0.112</v>
      </c>
      <c r="R153" s="19" t="str">
        <f>IF(C153="","",IF($E$14="Pago_Bajo_Puntual",$M$17,""))</f>
        <v/>
      </c>
      <c r="S153" s="11">
        <f t="shared" si="68"/>
        <v>11487.599506309198</v>
      </c>
      <c r="T153" s="23">
        <f t="shared" si="57"/>
        <v>682938.50088004326</v>
      </c>
      <c r="U153" s="37">
        <f t="shared" si="58"/>
        <v>1</v>
      </c>
      <c r="V153" s="37">
        <f t="shared" si="70"/>
        <v>133</v>
      </c>
      <c r="X153" s="31">
        <f t="shared" si="59"/>
        <v>10760.482739608047</v>
      </c>
      <c r="Y153" s="34">
        <f>Y152*1.019</f>
        <v>1.2300309069207318</v>
      </c>
      <c r="Z153" s="31">
        <f t="shared" si="60"/>
        <v>0</v>
      </c>
      <c r="AA153" s="66">
        <f t="shared" si="61"/>
        <v>25750</v>
      </c>
      <c r="AB153" s="6">
        <f t="shared" si="62"/>
        <v>0</v>
      </c>
      <c r="AC153" s="48">
        <f>AC152+$M$17</f>
        <v>0</v>
      </c>
    </row>
    <row r="154" spans="3:29" x14ac:dyDescent="0.25">
      <c r="C154" s="27">
        <f t="shared" si="63"/>
        <v>134</v>
      </c>
      <c r="D154" s="30">
        <f t="shared" si="64"/>
        <v>682938.50088004326</v>
      </c>
      <c r="E154" s="20">
        <f t="shared" si="69"/>
        <v>10160</v>
      </c>
      <c r="F154" s="20">
        <f t="shared" si="53"/>
        <v>3785.907325119596</v>
      </c>
      <c r="G154" s="21">
        <f t="shared" si="54"/>
        <v>6374.092674880404</v>
      </c>
      <c r="H154" s="24">
        <f t="shared" si="65"/>
        <v>300.49294038721899</v>
      </c>
      <c r="I154" s="21">
        <f t="shared" si="72"/>
        <v>0</v>
      </c>
      <c r="J154" s="63">
        <f t="shared" si="66"/>
        <v>0</v>
      </c>
      <c r="K154" s="66">
        <f t="shared" si="71"/>
        <v>1019.8548279808647</v>
      </c>
      <c r="L154" s="17"/>
      <c r="M154" s="23">
        <f t="shared" si="67"/>
        <v>0</v>
      </c>
      <c r="N154" s="23">
        <f t="shared" si="55"/>
        <v>0</v>
      </c>
      <c r="O154" s="23">
        <f t="shared" si="56"/>
        <v>0</v>
      </c>
      <c r="P154" s="17"/>
      <c r="Q154" s="19">
        <f>IF(C154="","",'Tabla_Puntual&amp;Relacionamiento'!$E$79)</f>
        <v>0.112</v>
      </c>
      <c r="R154" s="19"/>
      <c r="S154" s="11">
        <f t="shared" si="68"/>
        <v>11480.347768368083</v>
      </c>
      <c r="T154" s="23">
        <f t="shared" si="57"/>
        <v>679152.59355492366</v>
      </c>
      <c r="U154" s="37">
        <f t="shared" si="58"/>
        <v>1</v>
      </c>
      <c r="V154" s="37">
        <f t="shared" si="70"/>
        <v>134</v>
      </c>
      <c r="X154" s="31">
        <f t="shared" si="59"/>
        <v>10758.832344076622</v>
      </c>
      <c r="Y154" s="34">
        <f t="shared" ref="Y154:Y164" si="73">Y153</f>
        <v>1.2300309069207318</v>
      </c>
      <c r="Z154" s="31">
        <f t="shared" si="60"/>
        <v>0</v>
      </c>
      <c r="AA154" s="66">
        <f t="shared" si="61"/>
        <v>25750</v>
      </c>
      <c r="AB154" s="6">
        <f t="shared" si="62"/>
        <v>0</v>
      </c>
      <c r="AC154" s="48">
        <f t="shared" si="48"/>
        <v>0</v>
      </c>
    </row>
    <row r="155" spans="3:29" x14ac:dyDescent="0.25">
      <c r="C155" s="27">
        <f t="shared" si="63"/>
        <v>135</v>
      </c>
      <c r="D155" s="30">
        <f t="shared" si="64"/>
        <v>679152.59355492366</v>
      </c>
      <c r="E155" s="20">
        <f t="shared" si="69"/>
        <v>10160</v>
      </c>
      <c r="F155" s="20">
        <f t="shared" si="53"/>
        <v>3821.2424601540451</v>
      </c>
      <c r="G155" s="21">
        <f t="shared" si="54"/>
        <v>6338.7575398459549</v>
      </c>
      <c r="H155" s="24">
        <f t="shared" si="65"/>
        <v>298.82714116416639</v>
      </c>
      <c r="I155" s="21">
        <f t="shared" si="72"/>
        <v>0</v>
      </c>
      <c r="J155" s="63">
        <f t="shared" si="66"/>
        <v>0</v>
      </c>
      <c r="K155" s="66">
        <f t="shared" si="71"/>
        <v>1014.2012063753529</v>
      </c>
      <c r="L155" s="17"/>
      <c r="M155" s="23">
        <f t="shared" si="67"/>
        <v>0</v>
      </c>
      <c r="N155" s="23">
        <f t="shared" si="55"/>
        <v>0</v>
      </c>
      <c r="O155" s="23">
        <f t="shared" si="56"/>
        <v>0</v>
      </c>
      <c r="P155" s="17"/>
      <c r="Q155" s="19">
        <f>IF(C155="","",'Tabla_Puntual&amp;Relacionamiento'!$E$79)</f>
        <v>0.112</v>
      </c>
      <c r="R155" s="19"/>
      <c r="S155" s="11">
        <f t="shared" si="68"/>
        <v>11473.028347539521</v>
      </c>
      <c r="T155" s="23">
        <f t="shared" si="57"/>
        <v>675331.35109476966</v>
      </c>
      <c r="U155" s="37">
        <f t="shared" si="58"/>
        <v>1</v>
      </c>
      <c r="V155" s="37">
        <f t="shared" si="70"/>
        <v>135</v>
      </c>
      <c r="X155" s="31">
        <f t="shared" si="59"/>
        <v>10757.16654485357</v>
      </c>
      <c r="Y155" s="34">
        <f t="shared" si="73"/>
        <v>1.2300309069207318</v>
      </c>
      <c r="Z155" s="31">
        <f t="shared" si="60"/>
        <v>0</v>
      </c>
      <c r="AA155" s="66">
        <f t="shared" si="61"/>
        <v>25750</v>
      </c>
      <c r="AB155" s="6">
        <f t="shared" si="62"/>
        <v>0</v>
      </c>
      <c r="AC155" s="48">
        <f t="shared" si="48"/>
        <v>0</v>
      </c>
    </row>
    <row r="156" spans="3:29" x14ac:dyDescent="0.25">
      <c r="C156" s="27">
        <f t="shared" si="63"/>
        <v>136</v>
      </c>
      <c r="D156" s="30">
        <f t="shared" si="64"/>
        <v>675331.35109476966</v>
      </c>
      <c r="E156" s="20">
        <f t="shared" si="69"/>
        <v>10160</v>
      </c>
      <c r="F156" s="20">
        <f t="shared" si="53"/>
        <v>3856.907389782149</v>
      </c>
      <c r="G156" s="21">
        <f t="shared" si="54"/>
        <v>6303.092610217851</v>
      </c>
      <c r="H156" s="24">
        <f t="shared" si="65"/>
        <v>297.14579448169866</v>
      </c>
      <c r="I156" s="21">
        <f t="shared" si="72"/>
        <v>0</v>
      </c>
      <c r="J156" s="63">
        <f t="shared" si="66"/>
        <v>0</v>
      </c>
      <c r="K156" s="66">
        <f t="shared" si="71"/>
        <v>1008.4948176348562</v>
      </c>
      <c r="L156" s="17"/>
      <c r="M156" s="23">
        <f t="shared" si="67"/>
        <v>0</v>
      </c>
      <c r="N156" s="23">
        <f t="shared" si="55"/>
        <v>0</v>
      </c>
      <c r="O156" s="23">
        <f t="shared" si="56"/>
        <v>0</v>
      </c>
      <c r="P156" s="17"/>
      <c r="Q156" s="19">
        <f>IF(C156="","",'Tabla_Puntual&amp;Relacionamiento'!$E$79)</f>
        <v>0.112</v>
      </c>
      <c r="R156" s="19"/>
      <c r="S156" s="11">
        <f t="shared" si="68"/>
        <v>11465.640612116556</v>
      </c>
      <c r="T156" s="23">
        <f t="shared" si="57"/>
        <v>671474.44370498753</v>
      </c>
      <c r="U156" s="37">
        <f t="shared" si="58"/>
        <v>1</v>
      </c>
      <c r="V156" s="37">
        <f t="shared" si="70"/>
        <v>136</v>
      </c>
      <c r="X156" s="31">
        <f t="shared" si="59"/>
        <v>10755.485198171102</v>
      </c>
      <c r="Y156" s="34">
        <f t="shared" si="73"/>
        <v>1.2300309069207318</v>
      </c>
      <c r="Z156" s="31">
        <f t="shared" si="60"/>
        <v>0</v>
      </c>
      <c r="AA156" s="66">
        <f t="shared" si="61"/>
        <v>25750</v>
      </c>
      <c r="AB156" s="6">
        <f t="shared" si="62"/>
        <v>0</v>
      </c>
      <c r="AC156" s="48">
        <f t="shared" si="48"/>
        <v>0</v>
      </c>
    </row>
    <row r="157" spans="3:29" x14ac:dyDescent="0.25">
      <c r="C157" s="27">
        <f t="shared" si="63"/>
        <v>137</v>
      </c>
      <c r="D157" s="30">
        <f t="shared" si="64"/>
        <v>671474.44370498753</v>
      </c>
      <c r="E157" s="20">
        <f t="shared" si="69"/>
        <v>10160</v>
      </c>
      <c r="F157" s="20">
        <f t="shared" si="53"/>
        <v>3892.9051920867823</v>
      </c>
      <c r="G157" s="21">
        <f t="shared" si="54"/>
        <v>6267.0948079132177</v>
      </c>
      <c r="H157" s="24">
        <f t="shared" si="65"/>
        <v>295.44875523019454</v>
      </c>
      <c r="I157" s="21">
        <f t="shared" si="72"/>
        <v>0</v>
      </c>
      <c r="J157" s="63">
        <f t="shared" si="66"/>
        <v>0</v>
      </c>
      <c r="K157" s="66">
        <f t="shared" si="71"/>
        <v>1002.7351692661149</v>
      </c>
      <c r="L157" s="17"/>
      <c r="M157" s="23">
        <f t="shared" si="67"/>
        <v>0</v>
      </c>
      <c r="N157" s="23">
        <f t="shared" si="55"/>
        <v>0</v>
      </c>
      <c r="O157" s="23">
        <f t="shared" si="56"/>
        <v>0</v>
      </c>
      <c r="P157" s="17"/>
      <c r="Q157" s="19">
        <f>IF(C157="","",'Tabla_Puntual&amp;Relacionamiento'!$E$79)</f>
        <v>0.112</v>
      </c>
      <c r="R157" s="19"/>
      <c r="S157" s="11">
        <f t="shared" si="68"/>
        <v>11458.183924496308</v>
      </c>
      <c r="T157" s="23">
        <f t="shared" si="57"/>
        <v>667581.5385129007</v>
      </c>
      <c r="U157" s="37">
        <f t="shared" si="58"/>
        <v>1</v>
      </c>
      <c r="V157" s="37">
        <f t="shared" si="70"/>
        <v>137</v>
      </c>
      <c r="X157" s="31">
        <f t="shared" si="59"/>
        <v>10753.788158919597</v>
      </c>
      <c r="Y157" s="34">
        <f t="shared" si="73"/>
        <v>1.2300309069207318</v>
      </c>
      <c r="Z157" s="31">
        <f t="shared" si="60"/>
        <v>0</v>
      </c>
      <c r="AA157" s="66">
        <f t="shared" si="61"/>
        <v>25750</v>
      </c>
      <c r="AB157" s="6">
        <f t="shared" si="62"/>
        <v>0</v>
      </c>
      <c r="AC157" s="48">
        <f t="shared" si="48"/>
        <v>0</v>
      </c>
    </row>
    <row r="158" spans="3:29" x14ac:dyDescent="0.25">
      <c r="C158" s="27">
        <f t="shared" si="63"/>
        <v>138</v>
      </c>
      <c r="D158" s="30">
        <f t="shared" si="64"/>
        <v>667581.5385129007</v>
      </c>
      <c r="E158" s="20">
        <f t="shared" si="69"/>
        <v>10160</v>
      </c>
      <c r="F158" s="20">
        <f t="shared" si="53"/>
        <v>3929.2389738795928</v>
      </c>
      <c r="G158" s="21">
        <f t="shared" si="54"/>
        <v>6230.7610261204072</v>
      </c>
      <c r="H158" s="24">
        <f t="shared" si="65"/>
        <v>293.73587694567635</v>
      </c>
      <c r="I158" s="21">
        <f t="shared" si="72"/>
        <v>0</v>
      </c>
      <c r="J158" s="63">
        <f t="shared" si="66"/>
        <v>0</v>
      </c>
      <c r="K158" s="66">
        <f t="shared" si="71"/>
        <v>996.92176417926521</v>
      </c>
      <c r="L158" s="17"/>
      <c r="M158" s="23">
        <f t="shared" si="67"/>
        <v>0</v>
      </c>
      <c r="N158" s="23">
        <f t="shared" si="55"/>
        <v>0</v>
      </c>
      <c r="O158" s="23">
        <f t="shared" si="56"/>
        <v>0</v>
      </c>
      <c r="P158" s="17"/>
      <c r="Q158" s="19">
        <f>IF(C158="","",'Tabla_Puntual&amp;Relacionamiento'!$E$79)</f>
        <v>0.112</v>
      </c>
      <c r="R158" s="19"/>
      <c r="S158" s="11">
        <f t="shared" si="68"/>
        <v>11450.657641124943</v>
      </c>
      <c r="T158" s="23">
        <f t="shared" si="57"/>
        <v>663652.2995390211</v>
      </c>
      <c r="U158" s="37">
        <f t="shared" si="58"/>
        <v>1</v>
      </c>
      <c r="V158" s="37">
        <f t="shared" si="70"/>
        <v>138</v>
      </c>
      <c r="X158" s="31">
        <f t="shared" si="59"/>
        <v>10752.075280635079</v>
      </c>
      <c r="Y158" s="34">
        <f t="shared" si="73"/>
        <v>1.2300309069207318</v>
      </c>
      <c r="Z158" s="31">
        <f t="shared" si="60"/>
        <v>0</v>
      </c>
      <c r="AA158" s="66">
        <f t="shared" si="61"/>
        <v>25750</v>
      </c>
      <c r="AB158" s="6">
        <f t="shared" si="62"/>
        <v>0</v>
      </c>
      <c r="AC158" s="48">
        <f t="shared" si="48"/>
        <v>0</v>
      </c>
    </row>
    <row r="159" spans="3:29" x14ac:dyDescent="0.25">
      <c r="C159" s="27">
        <f t="shared" si="63"/>
        <v>139</v>
      </c>
      <c r="D159" s="30">
        <f t="shared" si="64"/>
        <v>663652.2995390211</v>
      </c>
      <c r="E159" s="20">
        <f t="shared" si="69"/>
        <v>10160</v>
      </c>
      <c r="F159" s="20">
        <f t="shared" si="53"/>
        <v>3965.9118709691356</v>
      </c>
      <c r="G159" s="21">
        <f t="shared" si="54"/>
        <v>6194.0881290308644</v>
      </c>
      <c r="H159" s="24">
        <f t="shared" si="65"/>
        <v>292.0070117971693</v>
      </c>
      <c r="I159" s="21">
        <f t="shared" si="72"/>
        <v>0</v>
      </c>
      <c r="J159" s="63">
        <f t="shared" si="66"/>
        <v>0</v>
      </c>
      <c r="K159" s="66">
        <f t="shared" si="71"/>
        <v>991.05410064493833</v>
      </c>
      <c r="L159" s="17"/>
      <c r="M159" s="23">
        <f t="shared" si="67"/>
        <v>0</v>
      </c>
      <c r="N159" s="23">
        <f t="shared" si="55"/>
        <v>0</v>
      </c>
      <c r="O159" s="23">
        <f t="shared" si="56"/>
        <v>0</v>
      </c>
      <c r="P159" s="17"/>
      <c r="Q159" s="19">
        <f>IF(C159="","",'Tabla_Puntual&amp;Relacionamiento'!$E$79)</f>
        <v>0.112</v>
      </c>
      <c r="R159" s="19"/>
      <c r="S159" s="11">
        <f t="shared" si="68"/>
        <v>11443.061112442108</v>
      </c>
      <c r="T159" s="23">
        <f t="shared" si="57"/>
        <v>659686.38766805199</v>
      </c>
      <c r="U159" s="37">
        <f t="shared" si="58"/>
        <v>1</v>
      </c>
      <c r="V159" s="37">
        <f t="shared" si="70"/>
        <v>139</v>
      </c>
      <c r="X159" s="31">
        <f t="shared" si="59"/>
        <v>10750.346415486572</v>
      </c>
      <c r="Y159" s="34">
        <f t="shared" si="73"/>
        <v>1.2300309069207318</v>
      </c>
      <c r="Z159" s="31">
        <f t="shared" si="60"/>
        <v>0</v>
      </c>
      <c r="AA159" s="66">
        <f t="shared" si="61"/>
        <v>25750</v>
      </c>
      <c r="AB159" s="6">
        <f t="shared" si="62"/>
        <v>0</v>
      </c>
      <c r="AC159" s="48">
        <f t="shared" si="48"/>
        <v>0</v>
      </c>
    </row>
    <row r="160" spans="3:29" x14ac:dyDescent="0.25">
      <c r="C160" s="27">
        <f t="shared" si="63"/>
        <v>140</v>
      </c>
      <c r="D160" s="30">
        <f t="shared" si="64"/>
        <v>659686.38766805199</v>
      </c>
      <c r="E160" s="20">
        <f t="shared" si="69"/>
        <v>10160</v>
      </c>
      <c r="F160" s="20">
        <f t="shared" si="53"/>
        <v>4002.9270484315139</v>
      </c>
      <c r="G160" s="21">
        <f t="shared" si="54"/>
        <v>6157.0729515684861</v>
      </c>
      <c r="H160" s="24">
        <f t="shared" si="65"/>
        <v>290.26201057394286</v>
      </c>
      <c r="I160" s="21">
        <f t="shared" si="72"/>
        <v>0</v>
      </c>
      <c r="J160" s="63">
        <f t="shared" si="66"/>
        <v>0</v>
      </c>
      <c r="K160" s="66">
        <f t="shared" si="71"/>
        <v>985.13167225095776</v>
      </c>
      <c r="L160" s="17"/>
      <c r="M160" s="23">
        <f t="shared" si="67"/>
        <v>0</v>
      </c>
      <c r="N160" s="23">
        <f t="shared" si="55"/>
        <v>0</v>
      </c>
      <c r="O160" s="23">
        <f t="shared" si="56"/>
        <v>0</v>
      </c>
      <c r="P160" s="17"/>
      <c r="Q160" s="19">
        <f>IF(C160="","",'Tabla_Puntual&amp;Relacionamiento'!$E$79)</f>
        <v>0.112</v>
      </c>
      <c r="R160" s="19"/>
      <c r="S160" s="11">
        <f t="shared" si="68"/>
        <v>11435.393682824901</v>
      </c>
      <c r="T160" s="23">
        <f t="shared" si="57"/>
        <v>655683.46061962051</v>
      </c>
      <c r="U160" s="37">
        <f t="shared" si="58"/>
        <v>1</v>
      </c>
      <c r="V160" s="37">
        <f t="shared" si="70"/>
        <v>140</v>
      </c>
      <c r="X160" s="31">
        <f t="shared" si="59"/>
        <v>10748.601414263345</v>
      </c>
      <c r="Y160" s="34">
        <f t="shared" si="73"/>
        <v>1.2300309069207318</v>
      </c>
      <c r="Z160" s="31">
        <f t="shared" si="60"/>
        <v>0</v>
      </c>
      <c r="AA160" s="66">
        <f t="shared" si="61"/>
        <v>25750</v>
      </c>
      <c r="AB160" s="6">
        <f t="shared" si="62"/>
        <v>0</v>
      </c>
      <c r="AC160" s="48">
        <f t="shared" si="48"/>
        <v>0</v>
      </c>
    </row>
    <row r="161" spans="3:29" x14ac:dyDescent="0.25">
      <c r="C161" s="27">
        <f t="shared" si="63"/>
        <v>141</v>
      </c>
      <c r="D161" s="30">
        <f t="shared" si="64"/>
        <v>655683.46061962051</v>
      </c>
      <c r="E161" s="20">
        <f t="shared" si="69"/>
        <v>10160</v>
      </c>
      <c r="F161" s="20">
        <f t="shared" si="53"/>
        <v>4040.2877008835412</v>
      </c>
      <c r="G161" s="21">
        <f t="shared" si="54"/>
        <v>6119.7122991164588</v>
      </c>
      <c r="H161" s="24">
        <f t="shared" si="65"/>
        <v>288.500722672633</v>
      </c>
      <c r="I161" s="21">
        <f t="shared" si="72"/>
        <v>0</v>
      </c>
      <c r="J161" s="63">
        <f t="shared" si="66"/>
        <v>0</v>
      </c>
      <c r="K161" s="66">
        <f t="shared" si="71"/>
        <v>979.15396785863345</v>
      </c>
      <c r="L161" s="17"/>
      <c r="M161" s="23">
        <f t="shared" si="67"/>
        <v>0</v>
      </c>
      <c r="N161" s="23">
        <f t="shared" si="55"/>
        <v>0</v>
      </c>
      <c r="O161" s="23">
        <f t="shared" si="56"/>
        <v>0</v>
      </c>
      <c r="P161" s="17"/>
      <c r="Q161" s="19">
        <f>IF(C161="","",'Tabla_Puntual&amp;Relacionamiento'!$E$79)</f>
        <v>0.112</v>
      </c>
      <c r="R161" s="19"/>
      <c r="S161" s="11">
        <f t="shared" si="68"/>
        <v>11427.654690531268</v>
      </c>
      <c r="T161" s="23">
        <f t="shared" si="57"/>
        <v>651643.17291873693</v>
      </c>
      <c r="U161" s="37">
        <f t="shared" si="58"/>
        <v>1</v>
      </c>
      <c r="V161" s="37">
        <f t="shared" si="70"/>
        <v>141</v>
      </c>
      <c r="X161" s="31">
        <f t="shared" si="59"/>
        <v>10746.840126362036</v>
      </c>
      <c r="Y161" s="34">
        <f t="shared" si="73"/>
        <v>1.2300309069207318</v>
      </c>
      <c r="Z161" s="31">
        <f t="shared" si="60"/>
        <v>0</v>
      </c>
      <c r="AA161" s="66">
        <f t="shared" si="61"/>
        <v>25750</v>
      </c>
      <c r="AB161" s="6">
        <f t="shared" si="62"/>
        <v>0</v>
      </c>
      <c r="AC161" s="48">
        <f t="shared" si="48"/>
        <v>0</v>
      </c>
    </row>
    <row r="162" spans="3:29" x14ac:dyDescent="0.25">
      <c r="C162" s="27">
        <f t="shared" si="63"/>
        <v>142</v>
      </c>
      <c r="D162" s="30">
        <f t="shared" si="64"/>
        <v>651643.17291873693</v>
      </c>
      <c r="E162" s="20">
        <f t="shared" si="69"/>
        <v>10160</v>
      </c>
      <c r="F162" s="20">
        <f t="shared" si="53"/>
        <v>4077.9970527584546</v>
      </c>
      <c r="G162" s="21">
        <f t="shared" si="54"/>
        <v>6082.0029472415454</v>
      </c>
      <c r="H162" s="24">
        <f t="shared" si="65"/>
        <v>286.7229960842443</v>
      </c>
      <c r="I162" s="21">
        <f t="shared" si="72"/>
        <v>0</v>
      </c>
      <c r="J162" s="63">
        <f t="shared" si="66"/>
        <v>0</v>
      </c>
      <c r="K162" s="66">
        <f t="shared" si="71"/>
        <v>973.1204715586473</v>
      </c>
      <c r="L162" s="17"/>
      <c r="M162" s="23">
        <f t="shared" si="67"/>
        <v>0</v>
      </c>
      <c r="N162" s="23">
        <f t="shared" si="55"/>
        <v>0</v>
      </c>
      <c r="O162" s="23">
        <f t="shared" si="56"/>
        <v>0</v>
      </c>
      <c r="P162" s="17"/>
      <c r="Q162" s="19">
        <f>IF(C162="","",'Tabla_Puntual&amp;Relacionamiento'!$E$79)</f>
        <v>0.112</v>
      </c>
      <c r="R162" s="19"/>
      <c r="S162" s="11">
        <f t="shared" si="68"/>
        <v>11419.843467642891</v>
      </c>
      <c r="T162" s="23">
        <f t="shared" si="57"/>
        <v>647565.17586597847</v>
      </c>
      <c r="U162" s="37">
        <f t="shared" si="58"/>
        <v>1</v>
      </c>
      <c r="V162" s="37">
        <f t="shared" si="70"/>
        <v>142</v>
      </c>
      <c r="X162" s="31">
        <f t="shared" si="59"/>
        <v>10745.062399773647</v>
      </c>
      <c r="Y162" s="34">
        <f t="shared" si="73"/>
        <v>1.2300309069207318</v>
      </c>
      <c r="Z162" s="31">
        <f t="shared" si="60"/>
        <v>0</v>
      </c>
      <c r="AA162" s="66">
        <f t="shared" si="61"/>
        <v>25750</v>
      </c>
      <c r="AB162" s="6">
        <f t="shared" si="62"/>
        <v>0</v>
      </c>
      <c r="AC162" s="48">
        <f t="shared" si="48"/>
        <v>0</v>
      </c>
    </row>
    <row r="163" spans="3:29" x14ac:dyDescent="0.25">
      <c r="C163" s="27">
        <f t="shared" si="63"/>
        <v>143</v>
      </c>
      <c r="D163" s="30">
        <f t="shared" si="64"/>
        <v>647565.17586597847</v>
      </c>
      <c r="E163" s="20">
        <f t="shared" si="69"/>
        <v>10160</v>
      </c>
      <c r="F163" s="20">
        <f t="shared" si="53"/>
        <v>4116.0583585842005</v>
      </c>
      <c r="G163" s="21">
        <f t="shared" si="54"/>
        <v>6043.9416414157995</v>
      </c>
      <c r="H163" s="24">
        <f t="shared" si="65"/>
        <v>284.92867738103052</v>
      </c>
      <c r="I163" s="21">
        <f t="shared" si="72"/>
        <v>0</v>
      </c>
      <c r="J163" s="63">
        <f t="shared" si="66"/>
        <v>0</v>
      </c>
      <c r="K163" s="66">
        <f t="shared" si="71"/>
        <v>967.03066262652794</v>
      </c>
      <c r="L163" s="17"/>
      <c r="M163" s="23">
        <f t="shared" si="67"/>
        <v>0</v>
      </c>
      <c r="N163" s="23">
        <f t="shared" si="55"/>
        <v>0</v>
      </c>
      <c r="O163" s="23">
        <f t="shared" si="56"/>
        <v>0</v>
      </c>
      <c r="P163" s="17"/>
      <c r="Q163" s="19">
        <f>IF(C163="","",'Tabla_Puntual&amp;Relacionamiento'!$E$79)</f>
        <v>0.112</v>
      </c>
      <c r="R163" s="19"/>
      <c r="S163" s="11">
        <f t="shared" si="68"/>
        <v>11411.959340007559</v>
      </c>
      <c r="T163" s="23">
        <f t="shared" si="57"/>
        <v>643449.11750739429</v>
      </c>
      <c r="U163" s="37">
        <f t="shared" si="58"/>
        <v>1</v>
      </c>
      <c r="V163" s="37">
        <f t="shared" si="70"/>
        <v>143</v>
      </c>
      <c r="X163" s="31">
        <f t="shared" si="59"/>
        <v>10743.268081070433</v>
      </c>
      <c r="Y163" s="34">
        <f t="shared" si="73"/>
        <v>1.2300309069207318</v>
      </c>
      <c r="Z163" s="31">
        <f t="shared" si="60"/>
        <v>0</v>
      </c>
      <c r="AA163" s="66">
        <f t="shared" si="61"/>
        <v>25750</v>
      </c>
      <c r="AB163" s="6">
        <f t="shared" si="62"/>
        <v>0</v>
      </c>
      <c r="AC163" s="48">
        <f t="shared" ref="AC163:AC226" si="74">AC162</f>
        <v>0</v>
      </c>
    </row>
    <row r="164" spans="3:29" x14ac:dyDescent="0.25">
      <c r="C164" s="27">
        <f t="shared" si="63"/>
        <v>144</v>
      </c>
      <c r="D164" s="30">
        <f t="shared" si="64"/>
        <v>643449.11750739429</v>
      </c>
      <c r="E164" s="20">
        <f t="shared" si="69"/>
        <v>10160</v>
      </c>
      <c r="F164" s="20">
        <f t="shared" si="53"/>
        <v>4154.4749032643194</v>
      </c>
      <c r="G164" s="21">
        <f t="shared" si="54"/>
        <v>6005.5250967356806</v>
      </c>
      <c r="H164" s="24">
        <f t="shared" si="65"/>
        <v>283.11761170325349</v>
      </c>
      <c r="I164" s="21">
        <f t="shared" si="72"/>
        <v>0</v>
      </c>
      <c r="J164" s="63">
        <f t="shared" si="66"/>
        <v>0</v>
      </c>
      <c r="K164" s="66">
        <f t="shared" si="71"/>
        <v>960.88401547770889</v>
      </c>
      <c r="L164" s="17"/>
      <c r="M164" s="23">
        <f t="shared" si="67"/>
        <v>0</v>
      </c>
      <c r="N164" s="23">
        <f t="shared" si="55"/>
        <v>0</v>
      </c>
      <c r="O164" s="23">
        <f t="shared" si="56"/>
        <v>0</v>
      </c>
      <c r="P164" s="17"/>
      <c r="Q164" s="19">
        <f>IF(C164="","",'Tabla_Puntual&amp;Relacionamiento'!$E$79)</f>
        <v>0.112</v>
      </c>
      <c r="R164" s="19"/>
      <c r="S164" s="11">
        <f t="shared" si="68"/>
        <v>11404.001627180962</v>
      </c>
      <c r="T164" s="23">
        <f t="shared" si="57"/>
        <v>639294.64260412997</v>
      </c>
      <c r="U164" s="37">
        <f t="shared" si="58"/>
        <v>1</v>
      </c>
      <c r="V164" s="37">
        <f t="shared" si="70"/>
        <v>144</v>
      </c>
      <c r="X164" s="31">
        <f t="shared" si="59"/>
        <v>10741.457015392656</v>
      </c>
      <c r="Y164" s="34">
        <f t="shared" si="73"/>
        <v>1.2300309069207318</v>
      </c>
      <c r="Z164" s="31">
        <f t="shared" si="60"/>
        <v>0</v>
      </c>
      <c r="AA164" s="66">
        <f t="shared" si="61"/>
        <v>25750</v>
      </c>
      <c r="AB164" s="6">
        <f t="shared" si="62"/>
        <v>0</v>
      </c>
      <c r="AC164" s="48">
        <f t="shared" si="74"/>
        <v>0</v>
      </c>
    </row>
    <row r="165" spans="3:29" x14ac:dyDescent="0.25">
      <c r="C165" s="27">
        <f t="shared" si="63"/>
        <v>145</v>
      </c>
      <c r="D165" s="30">
        <f t="shared" si="64"/>
        <v>639294.64260412997</v>
      </c>
      <c r="E165" s="20">
        <f t="shared" si="69"/>
        <v>10160</v>
      </c>
      <c r="F165" s="20">
        <f t="shared" si="53"/>
        <v>4193.250002361453</v>
      </c>
      <c r="G165" s="21">
        <f t="shared" si="54"/>
        <v>5966.749997638547</v>
      </c>
      <c r="H165" s="24">
        <f t="shared" si="65"/>
        <v>281.28964274581722</v>
      </c>
      <c r="I165" s="21">
        <f t="shared" si="72"/>
        <v>0</v>
      </c>
      <c r="J165" s="63">
        <f t="shared" si="66"/>
        <v>0</v>
      </c>
      <c r="K165" s="66">
        <f t="shared" si="71"/>
        <v>954.67999962216754</v>
      </c>
      <c r="L165" s="17"/>
      <c r="M165" s="23">
        <f t="shared" si="67"/>
        <v>0</v>
      </c>
      <c r="N165" s="23">
        <f t="shared" si="55"/>
        <v>0</v>
      </c>
      <c r="O165" s="23">
        <f t="shared" si="56"/>
        <v>0</v>
      </c>
      <c r="P165" s="17"/>
      <c r="Q165" s="19">
        <f>IF(C165="","",'Tabla_Puntual&amp;Relacionamiento'!$E$80)</f>
        <v>0.112</v>
      </c>
      <c r="R165" s="19" t="str">
        <f>IF(C165="","",IF($E$14="Pago_Bajo_Puntual",$M$17,""))</f>
        <v/>
      </c>
      <c r="S165" s="11">
        <f t="shared" si="68"/>
        <v>11395.969642367985</v>
      </c>
      <c r="T165" s="23">
        <f t="shared" si="57"/>
        <v>635101.39260176849</v>
      </c>
      <c r="U165" s="37">
        <f t="shared" si="58"/>
        <v>1</v>
      </c>
      <c r="V165" s="37">
        <f t="shared" si="70"/>
        <v>145</v>
      </c>
      <c r="X165" s="31">
        <f t="shared" si="59"/>
        <v>10739.629046435221</v>
      </c>
      <c r="Y165" s="34">
        <f>Y164*1.019</f>
        <v>1.2534014941522256</v>
      </c>
      <c r="Z165" s="31">
        <f t="shared" si="60"/>
        <v>0</v>
      </c>
      <c r="AA165" s="66">
        <f t="shared" si="61"/>
        <v>25750</v>
      </c>
      <c r="AB165" s="6">
        <f t="shared" si="62"/>
        <v>0</v>
      </c>
      <c r="AC165" s="48">
        <f>AC164+$M$17</f>
        <v>0</v>
      </c>
    </row>
    <row r="166" spans="3:29" x14ac:dyDescent="0.25">
      <c r="C166" s="27">
        <f t="shared" si="63"/>
        <v>146</v>
      </c>
      <c r="D166" s="30">
        <f t="shared" si="64"/>
        <v>635101.39260176849</v>
      </c>
      <c r="E166" s="20">
        <f t="shared" si="69"/>
        <v>10160</v>
      </c>
      <c r="F166" s="20">
        <f t="shared" si="53"/>
        <v>4232.3870023834934</v>
      </c>
      <c r="G166" s="21">
        <f t="shared" si="54"/>
        <v>5927.6129976165066</v>
      </c>
      <c r="H166" s="24">
        <f t="shared" si="65"/>
        <v>279.44461274477817</v>
      </c>
      <c r="I166" s="21">
        <f t="shared" si="72"/>
        <v>0</v>
      </c>
      <c r="J166" s="63">
        <f t="shared" si="66"/>
        <v>0</v>
      </c>
      <c r="K166" s="66">
        <f t="shared" si="71"/>
        <v>948.41807961864106</v>
      </c>
      <c r="L166" s="17"/>
      <c r="M166" s="23">
        <f t="shared" si="67"/>
        <v>0</v>
      </c>
      <c r="N166" s="23">
        <f t="shared" si="55"/>
        <v>0</v>
      </c>
      <c r="O166" s="23">
        <f t="shared" si="56"/>
        <v>0</v>
      </c>
      <c r="P166" s="17"/>
      <c r="Q166" s="19">
        <f>IF(C166="","",'Tabla_Puntual&amp;Relacionamiento'!$E$80)</f>
        <v>0.112</v>
      </c>
      <c r="R166" s="19"/>
      <c r="S166" s="11">
        <f t="shared" si="68"/>
        <v>11387.862692363418</v>
      </c>
      <c r="T166" s="23">
        <f t="shared" si="57"/>
        <v>630869.00559938501</v>
      </c>
      <c r="U166" s="37">
        <f t="shared" si="58"/>
        <v>1</v>
      </c>
      <c r="V166" s="37">
        <f t="shared" si="70"/>
        <v>146</v>
      </c>
      <c r="X166" s="31">
        <f t="shared" si="59"/>
        <v>10737.78401643418</v>
      </c>
      <c r="Y166" s="34">
        <f t="shared" ref="Y166:Y176" si="75">Y165</f>
        <v>1.2534014941522256</v>
      </c>
      <c r="Z166" s="31">
        <f t="shared" si="60"/>
        <v>0</v>
      </c>
      <c r="AA166" s="66">
        <f t="shared" si="61"/>
        <v>25750</v>
      </c>
      <c r="AB166" s="6">
        <f t="shared" si="62"/>
        <v>0</v>
      </c>
      <c r="AC166" s="48">
        <f t="shared" si="74"/>
        <v>0</v>
      </c>
    </row>
    <row r="167" spans="3:29" x14ac:dyDescent="0.25">
      <c r="C167" s="27">
        <f t="shared" si="63"/>
        <v>147</v>
      </c>
      <c r="D167" s="30">
        <f t="shared" si="64"/>
        <v>630869.00559938501</v>
      </c>
      <c r="E167" s="20">
        <f t="shared" si="69"/>
        <v>10160</v>
      </c>
      <c r="F167" s="20">
        <f t="shared" si="53"/>
        <v>4271.8892810724064</v>
      </c>
      <c r="G167" s="21">
        <f t="shared" si="54"/>
        <v>5888.1107189275936</v>
      </c>
      <c r="H167" s="24">
        <f t="shared" si="65"/>
        <v>277.5823624637294</v>
      </c>
      <c r="I167" s="21">
        <f t="shared" si="72"/>
        <v>0</v>
      </c>
      <c r="J167" s="63">
        <f t="shared" si="66"/>
        <v>0</v>
      </c>
      <c r="K167" s="66">
        <f t="shared" si="71"/>
        <v>942.097715028415</v>
      </c>
      <c r="L167" s="17"/>
      <c r="M167" s="23">
        <f t="shared" si="67"/>
        <v>0</v>
      </c>
      <c r="N167" s="23">
        <f t="shared" si="55"/>
        <v>0</v>
      </c>
      <c r="O167" s="23">
        <f t="shared" si="56"/>
        <v>0</v>
      </c>
      <c r="P167" s="17"/>
      <c r="Q167" s="19">
        <f>IF(C167="","",'Tabla_Puntual&amp;Relacionamiento'!$E$80)</f>
        <v>0.112</v>
      </c>
      <c r="R167" s="19"/>
      <c r="S167" s="11">
        <f t="shared" si="68"/>
        <v>11379.680077492143</v>
      </c>
      <c r="T167" s="23">
        <f t="shared" si="57"/>
        <v>626597.11631831259</v>
      </c>
      <c r="U167" s="37">
        <f t="shared" si="58"/>
        <v>1</v>
      </c>
      <c r="V167" s="37">
        <f t="shared" si="70"/>
        <v>147</v>
      </c>
      <c r="X167" s="31">
        <f t="shared" si="59"/>
        <v>10735.921766153131</v>
      </c>
      <c r="Y167" s="34">
        <f t="shared" si="75"/>
        <v>1.2534014941522256</v>
      </c>
      <c r="Z167" s="31">
        <f t="shared" si="60"/>
        <v>0</v>
      </c>
      <c r="AA167" s="66">
        <f t="shared" si="61"/>
        <v>25750</v>
      </c>
      <c r="AB167" s="6">
        <f t="shared" si="62"/>
        <v>0</v>
      </c>
      <c r="AC167" s="48">
        <f t="shared" si="74"/>
        <v>0</v>
      </c>
    </row>
    <row r="168" spans="3:29" x14ac:dyDescent="0.25">
      <c r="C168" s="27">
        <f t="shared" si="63"/>
        <v>148</v>
      </c>
      <c r="D168" s="30">
        <f t="shared" si="64"/>
        <v>626597.11631831259</v>
      </c>
      <c r="E168" s="20">
        <f t="shared" si="69"/>
        <v>10160</v>
      </c>
      <c r="F168" s="20">
        <f t="shared" si="53"/>
        <v>4311.7602476957491</v>
      </c>
      <c r="G168" s="21">
        <f t="shared" si="54"/>
        <v>5848.2397523042509</v>
      </c>
      <c r="H168" s="24">
        <f t="shared" si="65"/>
        <v>275.70273118005758</v>
      </c>
      <c r="I168" s="21">
        <f t="shared" si="72"/>
        <v>0</v>
      </c>
      <c r="J168" s="63">
        <f t="shared" si="66"/>
        <v>0</v>
      </c>
      <c r="K168" s="66">
        <f t="shared" si="71"/>
        <v>935.71836036868012</v>
      </c>
      <c r="L168" s="17"/>
      <c r="M168" s="23">
        <f t="shared" si="67"/>
        <v>0</v>
      </c>
      <c r="N168" s="23">
        <f t="shared" si="55"/>
        <v>0</v>
      </c>
      <c r="O168" s="23">
        <f t="shared" si="56"/>
        <v>0</v>
      </c>
      <c r="P168" s="17"/>
      <c r="Q168" s="19">
        <f>IF(C168="","",'Tabla_Puntual&amp;Relacionamiento'!$E$80)</f>
        <v>0.112</v>
      </c>
      <c r="R168" s="19"/>
      <c r="S168" s="11">
        <f t="shared" si="68"/>
        <v>11371.421091548738</v>
      </c>
      <c r="T168" s="23">
        <f t="shared" si="57"/>
        <v>622285.35607061686</v>
      </c>
      <c r="U168" s="37">
        <f t="shared" si="58"/>
        <v>1</v>
      </c>
      <c r="V168" s="37">
        <f t="shared" si="70"/>
        <v>148</v>
      </c>
      <c r="X168" s="31">
        <f t="shared" si="59"/>
        <v>10734.04213486946</v>
      </c>
      <c r="Y168" s="34">
        <f t="shared" si="75"/>
        <v>1.2534014941522256</v>
      </c>
      <c r="Z168" s="31">
        <f t="shared" si="60"/>
        <v>0</v>
      </c>
      <c r="AA168" s="66">
        <f t="shared" si="61"/>
        <v>25750</v>
      </c>
      <c r="AB168" s="6">
        <f t="shared" si="62"/>
        <v>0</v>
      </c>
      <c r="AC168" s="48">
        <f t="shared" si="74"/>
        <v>0</v>
      </c>
    </row>
    <row r="169" spans="3:29" x14ac:dyDescent="0.25">
      <c r="C169" s="27">
        <f t="shared" si="63"/>
        <v>149</v>
      </c>
      <c r="D169" s="30">
        <f t="shared" si="64"/>
        <v>622285.35607061686</v>
      </c>
      <c r="E169" s="20">
        <f t="shared" si="69"/>
        <v>10160</v>
      </c>
      <c r="F169" s="20">
        <f t="shared" si="53"/>
        <v>4352.0033433409089</v>
      </c>
      <c r="G169" s="21">
        <f t="shared" si="54"/>
        <v>5807.9966566590911</v>
      </c>
      <c r="H169" s="24">
        <f t="shared" si="65"/>
        <v>273.80555667107143</v>
      </c>
      <c r="I169" s="21">
        <f t="shared" si="72"/>
        <v>0</v>
      </c>
      <c r="J169" s="63">
        <f t="shared" si="66"/>
        <v>0</v>
      </c>
      <c r="K169" s="66">
        <f t="shared" si="71"/>
        <v>929.27946506545459</v>
      </c>
      <c r="L169" s="17"/>
      <c r="M169" s="23">
        <f t="shared" si="67"/>
        <v>0</v>
      </c>
      <c r="N169" s="23">
        <f t="shared" si="55"/>
        <v>0</v>
      </c>
      <c r="O169" s="23">
        <f t="shared" si="56"/>
        <v>0</v>
      </c>
      <c r="P169" s="17"/>
      <c r="Q169" s="19">
        <f>IF(C169="","",'Tabla_Puntual&amp;Relacionamiento'!$E$80)</f>
        <v>0.112</v>
      </c>
      <c r="R169" s="19"/>
      <c r="S169" s="11">
        <f t="shared" si="68"/>
        <v>11363.085021736526</v>
      </c>
      <c r="T169" s="23">
        <f t="shared" si="57"/>
        <v>617933.35272727592</v>
      </c>
      <c r="U169" s="37">
        <f t="shared" si="58"/>
        <v>1</v>
      </c>
      <c r="V169" s="37">
        <f t="shared" si="70"/>
        <v>149</v>
      </c>
      <c r="X169" s="31">
        <f t="shared" si="59"/>
        <v>10732.144960360474</v>
      </c>
      <c r="Y169" s="34">
        <f t="shared" si="75"/>
        <v>1.2534014941522256</v>
      </c>
      <c r="Z169" s="31">
        <f t="shared" si="60"/>
        <v>0</v>
      </c>
      <c r="AA169" s="66">
        <f t="shared" si="61"/>
        <v>25750</v>
      </c>
      <c r="AB169" s="6">
        <f t="shared" si="62"/>
        <v>0</v>
      </c>
      <c r="AC169" s="48">
        <f t="shared" si="74"/>
        <v>0</v>
      </c>
    </row>
    <row r="170" spans="3:29" x14ac:dyDescent="0.25">
      <c r="C170" s="27">
        <f t="shared" si="63"/>
        <v>150</v>
      </c>
      <c r="D170" s="30">
        <f t="shared" si="64"/>
        <v>617933.35272727592</v>
      </c>
      <c r="E170" s="20">
        <f t="shared" si="69"/>
        <v>10160</v>
      </c>
      <c r="F170" s="20">
        <f t="shared" si="53"/>
        <v>4392.6220412120911</v>
      </c>
      <c r="G170" s="21">
        <f t="shared" si="54"/>
        <v>5767.3779587879089</v>
      </c>
      <c r="H170" s="24">
        <f t="shared" si="65"/>
        <v>271.8906752000014</v>
      </c>
      <c r="I170" s="21">
        <f t="shared" si="72"/>
        <v>0</v>
      </c>
      <c r="J170" s="63">
        <f t="shared" si="66"/>
        <v>0</v>
      </c>
      <c r="K170" s="66">
        <f t="shared" si="71"/>
        <v>922.78047340606543</v>
      </c>
      <c r="L170" s="17"/>
      <c r="M170" s="23">
        <f t="shared" si="67"/>
        <v>0</v>
      </c>
      <c r="N170" s="23">
        <f t="shared" si="55"/>
        <v>0</v>
      </c>
      <c r="O170" s="23">
        <f t="shared" si="56"/>
        <v>0</v>
      </c>
      <c r="P170" s="17"/>
      <c r="Q170" s="19">
        <f>IF(C170="","",'Tabla_Puntual&amp;Relacionamiento'!$E$80)</f>
        <v>0.112</v>
      </c>
      <c r="R170" s="19"/>
      <c r="S170" s="11">
        <f t="shared" si="68"/>
        <v>11354.671148606067</v>
      </c>
      <c r="T170" s="23">
        <f t="shared" si="57"/>
        <v>613540.73068606388</v>
      </c>
      <c r="U170" s="37">
        <f t="shared" si="58"/>
        <v>1</v>
      </c>
      <c r="V170" s="37">
        <f t="shared" si="70"/>
        <v>150</v>
      </c>
      <c r="X170" s="31">
        <f t="shared" si="59"/>
        <v>10730.230078889404</v>
      </c>
      <c r="Y170" s="34">
        <f t="shared" si="75"/>
        <v>1.2534014941522256</v>
      </c>
      <c r="Z170" s="31">
        <f t="shared" si="60"/>
        <v>0</v>
      </c>
      <c r="AA170" s="66">
        <f t="shared" si="61"/>
        <v>25750</v>
      </c>
      <c r="AB170" s="6">
        <f t="shared" si="62"/>
        <v>0</v>
      </c>
      <c r="AC170" s="48">
        <f t="shared" si="74"/>
        <v>0</v>
      </c>
    </row>
    <row r="171" spans="3:29" x14ac:dyDescent="0.25">
      <c r="C171" s="27">
        <f t="shared" si="63"/>
        <v>151</v>
      </c>
      <c r="D171" s="30">
        <f t="shared" si="64"/>
        <v>613540.73068606388</v>
      </c>
      <c r="E171" s="20">
        <f t="shared" si="69"/>
        <v>10160</v>
      </c>
      <c r="F171" s="20">
        <f t="shared" si="53"/>
        <v>4433.6198469300698</v>
      </c>
      <c r="G171" s="21">
        <f t="shared" si="54"/>
        <v>5726.3801530699302</v>
      </c>
      <c r="H171" s="24">
        <f t="shared" si="65"/>
        <v>269.9579215018681</v>
      </c>
      <c r="I171" s="21">
        <f t="shared" si="72"/>
        <v>0</v>
      </c>
      <c r="J171" s="63">
        <f t="shared" si="66"/>
        <v>0</v>
      </c>
      <c r="K171" s="66">
        <f t="shared" si="71"/>
        <v>916.22082449118886</v>
      </c>
      <c r="L171" s="17"/>
      <c r="M171" s="23">
        <f t="shared" si="67"/>
        <v>0</v>
      </c>
      <c r="N171" s="23">
        <f t="shared" si="55"/>
        <v>0</v>
      </c>
      <c r="O171" s="23">
        <f t="shared" si="56"/>
        <v>0</v>
      </c>
      <c r="P171" s="17"/>
      <c r="Q171" s="19">
        <f>IF(C171="","",'Tabla_Puntual&amp;Relacionamiento'!$E$80)</f>
        <v>0.112</v>
      </c>
      <c r="R171" s="19"/>
      <c r="S171" s="11">
        <f t="shared" si="68"/>
        <v>11346.178745993057</v>
      </c>
      <c r="T171" s="23">
        <f t="shared" si="57"/>
        <v>609107.11083913385</v>
      </c>
      <c r="U171" s="37">
        <f t="shared" si="58"/>
        <v>1</v>
      </c>
      <c r="V171" s="37">
        <f t="shared" si="70"/>
        <v>151</v>
      </c>
      <c r="X171" s="31">
        <f t="shared" si="59"/>
        <v>10728.29732519127</v>
      </c>
      <c r="Y171" s="34">
        <f t="shared" si="75"/>
        <v>1.2534014941522256</v>
      </c>
      <c r="Z171" s="31">
        <f t="shared" si="60"/>
        <v>0</v>
      </c>
      <c r="AA171" s="66">
        <f t="shared" si="61"/>
        <v>25750</v>
      </c>
      <c r="AB171" s="6">
        <f t="shared" si="62"/>
        <v>0</v>
      </c>
      <c r="AC171" s="48">
        <f t="shared" si="74"/>
        <v>0</v>
      </c>
    </row>
    <row r="172" spans="3:29" x14ac:dyDescent="0.25">
      <c r="C172" s="27">
        <f t="shared" si="63"/>
        <v>152</v>
      </c>
      <c r="D172" s="30">
        <f t="shared" si="64"/>
        <v>609107.11083913385</v>
      </c>
      <c r="E172" s="20">
        <f t="shared" si="69"/>
        <v>10160</v>
      </c>
      <c r="F172" s="20">
        <f t="shared" si="53"/>
        <v>4475.0002988347505</v>
      </c>
      <c r="G172" s="21">
        <f t="shared" si="54"/>
        <v>5684.9997011652495</v>
      </c>
      <c r="H172" s="24">
        <f t="shared" si="65"/>
        <v>268.00712876921892</v>
      </c>
      <c r="I172" s="21">
        <f t="shared" si="72"/>
        <v>0</v>
      </c>
      <c r="J172" s="63">
        <f t="shared" si="66"/>
        <v>0</v>
      </c>
      <c r="K172" s="66">
        <f t="shared" si="71"/>
        <v>909.59995218643996</v>
      </c>
      <c r="L172" s="17"/>
      <c r="M172" s="23">
        <f t="shared" si="67"/>
        <v>0</v>
      </c>
      <c r="N172" s="23">
        <f t="shared" si="55"/>
        <v>0</v>
      </c>
      <c r="O172" s="23">
        <f t="shared" si="56"/>
        <v>0</v>
      </c>
      <c r="P172" s="17"/>
      <c r="Q172" s="19">
        <f>IF(C172="","",'Tabla_Puntual&amp;Relacionamiento'!$E$80)</f>
        <v>0.112</v>
      </c>
      <c r="R172" s="19"/>
      <c r="S172" s="11">
        <f t="shared" si="68"/>
        <v>11337.607080955659</v>
      </c>
      <c r="T172" s="23">
        <f t="shared" si="57"/>
        <v>604632.11054029909</v>
      </c>
      <c r="U172" s="37">
        <f t="shared" si="58"/>
        <v>1</v>
      </c>
      <c r="V172" s="37">
        <f t="shared" si="70"/>
        <v>152</v>
      </c>
      <c r="X172" s="31">
        <f t="shared" si="59"/>
        <v>10726.346532458621</v>
      </c>
      <c r="Y172" s="34">
        <f t="shared" si="75"/>
        <v>1.2534014941522256</v>
      </c>
      <c r="Z172" s="31">
        <f t="shared" si="60"/>
        <v>0</v>
      </c>
      <c r="AA172" s="66">
        <f t="shared" si="61"/>
        <v>25750</v>
      </c>
      <c r="AB172" s="6">
        <f t="shared" si="62"/>
        <v>0</v>
      </c>
      <c r="AC172" s="48">
        <f t="shared" si="74"/>
        <v>0</v>
      </c>
    </row>
    <row r="173" spans="3:29" x14ac:dyDescent="0.25">
      <c r="C173" s="27">
        <f t="shared" si="63"/>
        <v>153</v>
      </c>
      <c r="D173" s="30">
        <f t="shared" si="64"/>
        <v>604632.11054029909</v>
      </c>
      <c r="E173" s="20">
        <f t="shared" si="69"/>
        <v>10160</v>
      </c>
      <c r="F173" s="20">
        <f t="shared" si="53"/>
        <v>4516.7669682905416</v>
      </c>
      <c r="G173" s="21">
        <f t="shared" si="54"/>
        <v>5643.2330317094584</v>
      </c>
      <c r="H173" s="24">
        <f t="shared" si="65"/>
        <v>266.03812863773157</v>
      </c>
      <c r="I173" s="21">
        <f t="shared" si="72"/>
        <v>0</v>
      </c>
      <c r="J173" s="63">
        <f t="shared" si="66"/>
        <v>0</v>
      </c>
      <c r="K173" s="66">
        <f t="shared" si="71"/>
        <v>902.91728507351331</v>
      </c>
      <c r="L173" s="17"/>
      <c r="M173" s="23">
        <f t="shared" si="67"/>
        <v>0</v>
      </c>
      <c r="N173" s="23">
        <f t="shared" si="55"/>
        <v>0</v>
      </c>
      <c r="O173" s="23">
        <f t="shared" si="56"/>
        <v>0</v>
      </c>
      <c r="P173" s="17"/>
      <c r="Q173" s="19">
        <f>IF(C173="","",'Tabla_Puntual&amp;Relacionamiento'!$E$80)</f>
        <v>0.112</v>
      </c>
      <c r="R173" s="19"/>
      <c r="S173" s="11">
        <f t="shared" si="68"/>
        <v>11328.955413711246</v>
      </c>
      <c r="T173" s="23">
        <f t="shared" si="57"/>
        <v>600115.34357200854</v>
      </c>
      <c r="U173" s="37">
        <f t="shared" si="58"/>
        <v>1</v>
      </c>
      <c r="V173" s="37">
        <f t="shared" si="70"/>
        <v>153</v>
      </c>
      <c r="X173" s="31">
        <f t="shared" si="59"/>
        <v>10724.377532327135</v>
      </c>
      <c r="Y173" s="34">
        <f t="shared" si="75"/>
        <v>1.2534014941522256</v>
      </c>
      <c r="Z173" s="31">
        <f t="shared" si="60"/>
        <v>0</v>
      </c>
      <c r="AA173" s="66">
        <f t="shared" si="61"/>
        <v>25750</v>
      </c>
      <c r="AB173" s="6">
        <f t="shared" si="62"/>
        <v>0</v>
      </c>
      <c r="AC173" s="48">
        <f t="shared" si="74"/>
        <v>0</v>
      </c>
    </row>
    <row r="174" spans="3:29" x14ac:dyDescent="0.25">
      <c r="C174" s="27">
        <f t="shared" si="63"/>
        <v>154</v>
      </c>
      <c r="D174" s="30">
        <f t="shared" si="64"/>
        <v>600115.34357200854</v>
      </c>
      <c r="E174" s="20">
        <f t="shared" si="69"/>
        <v>10160</v>
      </c>
      <c r="F174" s="20">
        <f t="shared" si="53"/>
        <v>4558.9234599945867</v>
      </c>
      <c r="G174" s="21">
        <f t="shared" si="54"/>
        <v>5601.0765400054133</v>
      </c>
      <c r="H174" s="24">
        <f t="shared" si="65"/>
        <v>264.05075117168377</v>
      </c>
      <c r="I174" s="21">
        <f t="shared" si="72"/>
        <v>0</v>
      </c>
      <c r="J174" s="63">
        <f t="shared" si="66"/>
        <v>0</v>
      </c>
      <c r="K174" s="66">
        <f t="shared" si="71"/>
        <v>896.17224640086613</v>
      </c>
      <c r="L174" s="17"/>
      <c r="M174" s="23">
        <f t="shared" si="67"/>
        <v>0</v>
      </c>
      <c r="N174" s="23">
        <f t="shared" si="55"/>
        <v>0</v>
      </c>
      <c r="O174" s="23">
        <f t="shared" si="56"/>
        <v>0</v>
      </c>
      <c r="P174" s="17"/>
      <c r="Q174" s="19">
        <f>IF(C174="","",'Tabla_Puntual&amp;Relacionamiento'!$E$80)</f>
        <v>0.112</v>
      </c>
      <c r="R174" s="19"/>
      <c r="S174" s="11">
        <f t="shared" si="68"/>
        <v>11320.22299757255</v>
      </c>
      <c r="T174" s="23">
        <f t="shared" si="57"/>
        <v>595556.42011201393</v>
      </c>
      <c r="U174" s="37">
        <f t="shared" si="58"/>
        <v>1</v>
      </c>
      <c r="V174" s="37">
        <f t="shared" si="70"/>
        <v>154</v>
      </c>
      <c r="X174" s="31">
        <f t="shared" si="59"/>
        <v>10722.390154861087</v>
      </c>
      <c r="Y174" s="34">
        <f t="shared" si="75"/>
        <v>1.2534014941522256</v>
      </c>
      <c r="Z174" s="31">
        <f t="shared" si="60"/>
        <v>0</v>
      </c>
      <c r="AA174" s="66">
        <f t="shared" si="61"/>
        <v>25750</v>
      </c>
      <c r="AB174" s="6">
        <f t="shared" si="62"/>
        <v>0</v>
      </c>
      <c r="AC174" s="48">
        <f t="shared" si="74"/>
        <v>0</v>
      </c>
    </row>
    <row r="175" spans="3:29" x14ac:dyDescent="0.25">
      <c r="C175" s="27">
        <f t="shared" si="63"/>
        <v>155</v>
      </c>
      <c r="D175" s="30">
        <f t="shared" si="64"/>
        <v>595556.42011201393</v>
      </c>
      <c r="E175" s="20">
        <f t="shared" si="69"/>
        <v>10160</v>
      </c>
      <c r="F175" s="20">
        <f t="shared" si="53"/>
        <v>4601.4734122878699</v>
      </c>
      <c r="G175" s="21">
        <f t="shared" si="54"/>
        <v>5558.5265877121301</v>
      </c>
      <c r="H175" s="24">
        <f t="shared" si="65"/>
        <v>262.04482484928616</v>
      </c>
      <c r="I175" s="21">
        <f t="shared" si="72"/>
        <v>0</v>
      </c>
      <c r="J175" s="63">
        <f t="shared" si="66"/>
        <v>0</v>
      </c>
      <c r="K175" s="66">
        <f t="shared" si="71"/>
        <v>889.36425403394082</v>
      </c>
      <c r="L175" s="17"/>
      <c r="M175" s="23">
        <f t="shared" si="67"/>
        <v>0</v>
      </c>
      <c r="N175" s="23">
        <f t="shared" si="55"/>
        <v>0</v>
      </c>
      <c r="O175" s="23">
        <f t="shared" si="56"/>
        <v>0</v>
      </c>
      <c r="P175" s="17"/>
      <c r="Q175" s="19">
        <f>IF(C175="","",'Tabla_Puntual&amp;Relacionamiento'!$E$80)</f>
        <v>0.112</v>
      </c>
      <c r="R175" s="19"/>
      <c r="S175" s="11">
        <f t="shared" si="68"/>
        <v>11311.409078883227</v>
      </c>
      <c r="T175" s="23">
        <f t="shared" si="57"/>
        <v>590954.94669972605</v>
      </c>
      <c r="U175" s="37">
        <f t="shared" si="58"/>
        <v>1</v>
      </c>
      <c r="V175" s="37">
        <f t="shared" si="70"/>
        <v>155</v>
      </c>
      <c r="X175" s="31">
        <f t="shared" si="59"/>
        <v>10720.384228538689</v>
      </c>
      <c r="Y175" s="34">
        <f t="shared" si="75"/>
        <v>1.2534014941522256</v>
      </c>
      <c r="Z175" s="31">
        <f t="shared" si="60"/>
        <v>0</v>
      </c>
      <c r="AA175" s="66">
        <f t="shared" si="61"/>
        <v>25750</v>
      </c>
      <c r="AB175" s="6">
        <f t="shared" si="62"/>
        <v>0</v>
      </c>
      <c r="AC175" s="48">
        <f t="shared" si="74"/>
        <v>0</v>
      </c>
    </row>
    <row r="176" spans="3:29" x14ac:dyDescent="0.25">
      <c r="C176" s="27">
        <f t="shared" si="63"/>
        <v>156</v>
      </c>
      <c r="D176" s="30">
        <f t="shared" si="64"/>
        <v>590954.94669972605</v>
      </c>
      <c r="E176" s="20">
        <f t="shared" si="69"/>
        <v>10160</v>
      </c>
      <c r="F176" s="20">
        <f t="shared" si="53"/>
        <v>4644.4204974692229</v>
      </c>
      <c r="G176" s="21">
        <f t="shared" si="54"/>
        <v>5515.5795025307771</v>
      </c>
      <c r="H176" s="24">
        <f t="shared" si="65"/>
        <v>260.02017654787949</v>
      </c>
      <c r="I176" s="21">
        <f t="shared" si="72"/>
        <v>0</v>
      </c>
      <c r="J176" s="63">
        <f t="shared" si="66"/>
        <v>0</v>
      </c>
      <c r="K176" s="66">
        <f t="shared" si="71"/>
        <v>882.4927204049244</v>
      </c>
      <c r="L176" s="17"/>
      <c r="M176" s="23">
        <f t="shared" si="67"/>
        <v>0</v>
      </c>
      <c r="N176" s="23">
        <f t="shared" si="55"/>
        <v>0</v>
      </c>
      <c r="O176" s="23">
        <f t="shared" si="56"/>
        <v>0</v>
      </c>
      <c r="P176" s="17"/>
      <c r="Q176" s="19">
        <f>IF(C176="","",'Tabla_Puntual&amp;Relacionamiento'!$E$80)</f>
        <v>0.112</v>
      </c>
      <c r="R176" s="19"/>
      <c r="S176" s="11">
        <f t="shared" si="68"/>
        <v>11302.512896952803</v>
      </c>
      <c r="T176" s="23">
        <f t="shared" si="57"/>
        <v>586310.52620225679</v>
      </c>
      <c r="U176" s="37">
        <f t="shared" si="58"/>
        <v>1</v>
      </c>
      <c r="V176" s="37">
        <f t="shared" si="70"/>
        <v>156</v>
      </c>
      <c r="X176" s="31">
        <f t="shared" si="59"/>
        <v>10718.359580237282</v>
      </c>
      <c r="Y176" s="34">
        <f t="shared" si="75"/>
        <v>1.2534014941522256</v>
      </c>
      <c r="Z176" s="31">
        <f t="shared" si="60"/>
        <v>0</v>
      </c>
      <c r="AA176" s="66">
        <f t="shared" si="61"/>
        <v>25750</v>
      </c>
      <c r="AB176" s="6">
        <f t="shared" si="62"/>
        <v>0</v>
      </c>
      <c r="AC176" s="48">
        <f t="shared" si="74"/>
        <v>0</v>
      </c>
    </row>
    <row r="177" spans="3:29" x14ac:dyDescent="0.25">
      <c r="C177" s="27">
        <f t="shared" si="63"/>
        <v>157</v>
      </c>
      <c r="D177" s="30">
        <f t="shared" si="64"/>
        <v>586310.52620225679</v>
      </c>
      <c r="E177" s="20">
        <f t="shared" si="69"/>
        <v>10160</v>
      </c>
      <c r="F177" s="20">
        <f t="shared" si="53"/>
        <v>4687.7684221122699</v>
      </c>
      <c r="G177" s="21">
        <f t="shared" si="54"/>
        <v>5472.2315778877301</v>
      </c>
      <c r="H177" s="24">
        <f t="shared" si="65"/>
        <v>257.97663152899298</v>
      </c>
      <c r="I177" s="21">
        <f t="shared" si="72"/>
        <v>0</v>
      </c>
      <c r="J177" s="63">
        <f t="shared" si="66"/>
        <v>0</v>
      </c>
      <c r="K177" s="66">
        <f t="shared" si="71"/>
        <v>875.55705246203684</v>
      </c>
      <c r="L177" s="17"/>
      <c r="M177" s="23">
        <f t="shared" si="67"/>
        <v>0</v>
      </c>
      <c r="N177" s="23">
        <f t="shared" si="55"/>
        <v>0</v>
      </c>
      <c r="O177" s="23">
        <f t="shared" si="56"/>
        <v>0</v>
      </c>
      <c r="P177" s="17"/>
      <c r="Q177" s="19">
        <f>IF(C177="","",'Tabla_Puntual&amp;Relacionamiento'!$E$81)</f>
        <v>0.112</v>
      </c>
      <c r="R177" s="19" t="str">
        <f>IF(C177="","",IF($E$14="Pago_Bajo_Puntual",$M$17,""))</f>
        <v/>
      </c>
      <c r="S177" s="11">
        <f t="shared" si="68"/>
        <v>11293.533683991029</v>
      </c>
      <c r="T177" s="23">
        <f t="shared" si="57"/>
        <v>581622.75778014457</v>
      </c>
      <c r="U177" s="37">
        <f t="shared" si="58"/>
        <v>1</v>
      </c>
      <c r="V177" s="37">
        <f t="shared" si="70"/>
        <v>157</v>
      </c>
      <c r="X177" s="31">
        <f t="shared" si="59"/>
        <v>10716.316035218395</v>
      </c>
      <c r="Y177" s="34">
        <f>Y176*1.019</f>
        <v>1.2772161225411178</v>
      </c>
      <c r="Z177" s="31">
        <f t="shared" si="60"/>
        <v>0</v>
      </c>
      <c r="AA177" s="66">
        <f t="shared" si="61"/>
        <v>25750</v>
      </c>
      <c r="AB177" s="6">
        <f t="shared" si="62"/>
        <v>0</v>
      </c>
      <c r="AC177" s="48">
        <f>AC176+$M$17</f>
        <v>0</v>
      </c>
    </row>
    <row r="178" spans="3:29" x14ac:dyDescent="0.25">
      <c r="C178" s="27">
        <f t="shared" si="63"/>
        <v>158</v>
      </c>
      <c r="D178" s="30">
        <f t="shared" si="64"/>
        <v>581622.75778014457</v>
      </c>
      <c r="E178" s="20">
        <f t="shared" si="69"/>
        <v>10160</v>
      </c>
      <c r="F178" s="20">
        <f t="shared" si="53"/>
        <v>4731.520927385317</v>
      </c>
      <c r="G178" s="21">
        <f t="shared" si="54"/>
        <v>5428.479072614683</v>
      </c>
      <c r="H178" s="24">
        <f t="shared" si="65"/>
        <v>255.91401342326361</v>
      </c>
      <c r="I178" s="21">
        <f t="shared" si="72"/>
        <v>0</v>
      </c>
      <c r="J178" s="63">
        <f t="shared" si="66"/>
        <v>0</v>
      </c>
      <c r="K178" s="66">
        <f t="shared" si="71"/>
        <v>868.55665161834929</v>
      </c>
      <c r="L178" s="17"/>
      <c r="M178" s="23">
        <f t="shared" si="67"/>
        <v>0</v>
      </c>
      <c r="N178" s="23">
        <f t="shared" si="55"/>
        <v>0</v>
      </c>
      <c r="O178" s="23">
        <f t="shared" si="56"/>
        <v>0</v>
      </c>
      <c r="P178" s="17"/>
      <c r="Q178" s="19">
        <f>IF(C178="","",'Tabla_Puntual&amp;Relacionamiento'!$E$81)</f>
        <v>0.112</v>
      </c>
      <c r="R178" s="19"/>
      <c r="S178" s="11">
        <f t="shared" si="68"/>
        <v>11284.470665041614</v>
      </c>
      <c r="T178" s="23">
        <f t="shared" si="57"/>
        <v>576891.23685275926</v>
      </c>
      <c r="U178" s="37">
        <f t="shared" si="58"/>
        <v>1</v>
      </c>
      <c r="V178" s="37">
        <f t="shared" si="70"/>
        <v>158</v>
      </c>
      <c r="X178" s="31">
        <f t="shared" si="59"/>
        <v>10714.253417112666</v>
      </c>
      <c r="Y178" s="34">
        <f t="shared" ref="Y178:Y188" si="76">Y177</f>
        <v>1.2772161225411178</v>
      </c>
      <c r="Z178" s="31">
        <f t="shared" si="60"/>
        <v>0</v>
      </c>
      <c r="AA178" s="66">
        <f t="shared" si="61"/>
        <v>25750</v>
      </c>
      <c r="AB178" s="6">
        <f t="shared" si="62"/>
        <v>0</v>
      </c>
      <c r="AC178" s="48">
        <f t="shared" si="74"/>
        <v>0</v>
      </c>
    </row>
    <row r="179" spans="3:29" x14ac:dyDescent="0.25">
      <c r="C179" s="27">
        <f t="shared" si="63"/>
        <v>159</v>
      </c>
      <c r="D179" s="30">
        <f t="shared" si="64"/>
        <v>576891.23685275926</v>
      </c>
      <c r="E179" s="20">
        <f t="shared" si="69"/>
        <v>10160</v>
      </c>
      <c r="F179" s="20">
        <f t="shared" si="53"/>
        <v>4775.6817893742464</v>
      </c>
      <c r="G179" s="21">
        <f t="shared" si="54"/>
        <v>5384.3182106257536</v>
      </c>
      <c r="H179" s="24">
        <f t="shared" si="65"/>
        <v>253.83214421521407</v>
      </c>
      <c r="I179" s="21">
        <f t="shared" si="72"/>
        <v>0</v>
      </c>
      <c r="J179" s="63">
        <f t="shared" si="66"/>
        <v>0</v>
      </c>
      <c r="K179" s="66">
        <f t="shared" si="71"/>
        <v>861.49091370012059</v>
      </c>
      <c r="L179" s="17"/>
      <c r="M179" s="23">
        <f t="shared" si="67"/>
        <v>0</v>
      </c>
      <c r="N179" s="23">
        <f t="shared" si="55"/>
        <v>0</v>
      </c>
      <c r="O179" s="23">
        <f t="shared" si="56"/>
        <v>0</v>
      </c>
      <c r="P179" s="17"/>
      <c r="Q179" s="19">
        <f>IF(C179="","",'Tabla_Puntual&amp;Relacionamiento'!$E$81)</f>
        <v>0.112</v>
      </c>
      <c r="R179" s="19"/>
      <c r="S179" s="11">
        <f t="shared" si="68"/>
        <v>11275.323057915335</v>
      </c>
      <c r="T179" s="23">
        <f t="shared" si="57"/>
        <v>572115.55506338505</v>
      </c>
      <c r="U179" s="37">
        <f t="shared" si="58"/>
        <v>1</v>
      </c>
      <c r="V179" s="37">
        <f t="shared" si="70"/>
        <v>159</v>
      </c>
      <c r="X179" s="31">
        <f t="shared" si="59"/>
        <v>10712.171547904616</v>
      </c>
      <c r="Y179" s="34">
        <f t="shared" si="76"/>
        <v>1.2772161225411178</v>
      </c>
      <c r="Z179" s="31">
        <f t="shared" si="60"/>
        <v>0</v>
      </c>
      <c r="AA179" s="66">
        <f t="shared" si="61"/>
        <v>25750</v>
      </c>
      <c r="AB179" s="6">
        <f t="shared" si="62"/>
        <v>0</v>
      </c>
      <c r="AC179" s="48">
        <f t="shared" si="74"/>
        <v>0</v>
      </c>
    </row>
    <row r="180" spans="3:29" x14ac:dyDescent="0.25">
      <c r="C180" s="27">
        <f t="shared" si="63"/>
        <v>160</v>
      </c>
      <c r="D180" s="30">
        <f t="shared" si="64"/>
        <v>572115.55506338505</v>
      </c>
      <c r="E180" s="20">
        <f t="shared" si="69"/>
        <v>10160</v>
      </c>
      <c r="F180" s="20">
        <f t="shared" si="53"/>
        <v>4820.2548194084056</v>
      </c>
      <c r="G180" s="21">
        <f t="shared" si="54"/>
        <v>5339.7451805915944</v>
      </c>
      <c r="H180" s="24">
        <f t="shared" si="65"/>
        <v>251.73084422788943</v>
      </c>
      <c r="I180" s="21">
        <f t="shared" si="72"/>
        <v>0</v>
      </c>
      <c r="J180" s="63">
        <f t="shared" si="66"/>
        <v>0</v>
      </c>
      <c r="K180" s="66">
        <f t="shared" si="71"/>
        <v>854.35922889465508</v>
      </c>
      <c r="L180" s="17"/>
      <c r="M180" s="23">
        <f t="shared" si="67"/>
        <v>0</v>
      </c>
      <c r="N180" s="23">
        <f t="shared" si="55"/>
        <v>0</v>
      </c>
      <c r="O180" s="23">
        <f t="shared" si="56"/>
        <v>0</v>
      </c>
      <c r="P180" s="17"/>
      <c r="Q180" s="19">
        <f>IF(C180="","",'Tabla_Puntual&amp;Relacionamiento'!$E$81)</f>
        <v>0.112</v>
      </c>
      <c r="R180" s="19"/>
      <c r="S180" s="11">
        <f t="shared" si="68"/>
        <v>11266.090073122545</v>
      </c>
      <c r="T180" s="23">
        <f t="shared" si="57"/>
        <v>567295.30024397664</v>
      </c>
      <c r="U180" s="37">
        <f t="shared" si="58"/>
        <v>1</v>
      </c>
      <c r="V180" s="37">
        <f t="shared" si="70"/>
        <v>160</v>
      </c>
      <c r="X180" s="31">
        <f t="shared" si="59"/>
        <v>10710.070247917292</v>
      </c>
      <c r="Y180" s="34">
        <f t="shared" si="76"/>
        <v>1.2772161225411178</v>
      </c>
      <c r="Z180" s="31">
        <f t="shared" si="60"/>
        <v>0</v>
      </c>
      <c r="AA180" s="66">
        <f t="shared" si="61"/>
        <v>25750</v>
      </c>
      <c r="AB180" s="6">
        <f t="shared" si="62"/>
        <v>0</v>
      </c>
      <c r="AC180" s="48">
        <f t="shared" si="74"/>
        <v>0</v>
      </c>
    </row>
    <row r="181" spans="3:29" x14ac:dyDescent="0.25">
      <c r="C181" s="27">
        <f t="shared" si="63"/>
        <v>161</v>
      </c>
      <c r="D181" s="30">
        <f t="shared" si="64"/>
        <v>567295.30024397664</v>
      </c>
      <c r="E181" s="20">
        <f t="shared" si="69"/>
        <v>10160</v>
      </c>
      <c r="F181" s="20">
        <f t="shared" si="53"/>
        <v>4865.2438643895512</v>
      </c>
      <c r="G181" s="21">
        <f t="shared" si="54"/>
        <v>5294.7561356104488</v>
      </c>
      <c r="H181" s="24">
        <f t="shared" si="65"/>
        <v>249.60993210734972</v>
      </c>
      <c r="I181" s="21">
        <f t="shared" si="72"/>
        <v>0</v>
      </c>
      <c r="J181" s="63">
        <f t="shared" si="66"/>
        <v>0</v>
      </c>
      <c r="K181" s="66">
        <f t="shared" si="71"/>
        <v>847.16098169767179</v>
      </c>
      <c r="L181" s="17"/>
      <c r="M181" s="23">
        <f t="shared" si="67"/>
        <v>0</v>
      </c>
      <c r="N181" s="23">
        <f t="shared" si="55"/>
        <v>0</v>
      </c>
      <c r="O181" s="23">
        <f t="shared" si="56"/>
        <v>0</v>
      </c>
      <c r="P181" s="17"/>
      <c r="Q181" s="19">
        <f>IF(C181="","",'Tabla_Puntual&amp;Relacionamiento'!$E$81)</f>
        <v>0.112</v>
      </c>
      <c r="R181" s="19"/>
      <c r="S181" s="11">
        <f t="shared" si="68"/>
        <v>11256.770913805021</v>
      </c>
      <c r="T181" s="23">
        <f t="shared" si="57"/>
        <v>562430.05637958704</v>
      </c>
      <c r="U181" s="37">
        <f t="shared" si="58"/>
        <v>1</v>
      </c>
      <c r="V181" s="37">
        <f t="shared" si="70"/>
        <v>161</v>
      </c>
      <c r="X181" s="31">
        <f t="shared" si="59"/>
        <v>10707.949335796751</v>
      </c>
      <c r="Y181" s="34">
        <f t="shared" si="76"/>
        <v>1.2772161225411178</v>
      </c>
      <c r="Z181" s="31">
        <f t="shared" si="60"/>
        <v>0</v>
      </c>
      <c r="AA181" s="66">
        <f t="shared" si="61"/>
        <v>25750</v>
      </c>
      <c r="AB181" s="6">
        <f t="shared" si="62"/>
        <v>0</v>
      </c>
      <c r="AC181" s="48">
        <f t="shared" si="74"/>
        <v>0</v>
      </c>
    </row>
    <row r="182" spans="3:29" x14ac:dyDescent="0.25">
      <c r="C182" s="27">
        <f t="shared" si="63"/>
        <v>162</v>
      </c>
      <c r="D182" s="30">
        <f t="shared" si="64"/>
        <v>562430.05637958704</v>
      </c>
      <c r="E182" s="20">
        <f t="shared" si="69"/>
        <v>10160</v>
      </c>
      <c r="F182" s="20">
        <f t="shared" si="53"/>
        <v>4910.6528071238536</v>
      </c>
      <c r="G182" s="21">
        <f t="shared" si="54"/>
        <v>5249.3471928761464</v>
      </c>
      <c r="H182" s="24">
        <f t="shared" si="65"/>
        <v>247.46922480701829</v>
      </c>
      <c r="I182" s="21">
        <f t="shared" si="72"/>
        <v>0</v>
      </c>
      <c r="J182" s="63">
        <f t="shared" si="66"/>
        <v>0</v>
      </c>
      <c r="K182" s="66">
        <f t="shared" si="71"/>
        <v>839.89555086018345</v>
      </c>
      <c r="L182" s="17"/>
      <c r="M182" s="23">
        <f t="shared" si="67"/>
        <v>0</v>
      </c>
      <c r="N182" s="23">
        <f t="shared" si="55"/>
        <v>0</v>
      </c>
      <c r="O182" s="23">
        <f t="shared" si="56"/>
        <v>0</v>
      </c>
      <c r="P182" s="17"/>
      <c r="Q182" s="19">
        <f>IF(C182="","",'Tabla_Puntual&amp;Relacionamiento'!$E$81)</f>
        <v>0.112</v>
      </c>
      <c r="R182" s="19"/>
      <c r="S182" s="11">
        <f t="shared" si="68"/>
        <v>11247.364775667202</v>
      </c>
      <c r="T182" s="23">
        <f t="shared" si="57"/>
        <v>557519.4035724632</v>
      </c>
      <c r="U182" s="37">
        <f t="shared" si="58"/>
        <v>1</v>
      </c>
      <c r="V182" s="37">
        <f t="shared" si="70"/>
        <v>162</v>
      </c>
      <c r="X182" s="31">
        <f t="shared" si="59"/>
        <v>10705.808628496421</v>
      </c>
      <c r="Y182" s="34">
        <f t="shared" si="76"/>
        <v>1.2772161225411178</v>
      </c>
      <c r="Z182" s="31">
        <f t="shared" si="60"/>
        <v>0</v>
      </c>
      <c r="AA182" s="66">
        <f t="shared" si="61"/>
        <v>25750</v>
      </c>
      <c r="AB182" s="6">
        <f t="shared" si="62"/>
        <v>0</v>
      </c>
      <c r="AC182" s="48">
        <f t="shared" si="74"/>
        <v>0</v>
      </c>
    </row>
    <row r="183" spans="3:29" x14ac:dyDescent="0.25">
      <c r="C183" s="27">
        <f t="shared" si="63"/>
        <v>163</v>
      </c>
      <c r="D183" s="30">
        <f t="shared" si="64"/>
        <v>557519.4035724632</v>
      </c>
      <c r="E183" s="20">
        <f t="shared" si="69"/>
        <v>10160</v>
      </c>
      <c r="F183" s="20">
        <f t="shared" si="53"/>
        <v>4956.4855666570102</v>
      </c>
      <c r="G183" s="21">
        <f t="shared" si="54"/>
        <v>5203.5144333429898</v>
      </c>
      <c r="H183" s="24">
        <f t="shared" si="65"/>
        <v>245.30853757188382</v>
      </c>
      <c r="I183" s="21">
        <f t="shared" si="72"/>
        <v>0</v>
      </c>
      <c r="J183" s="63">
        <f t="shared" si="66"/>
        <v>0</v>
      </c>
      <c r="K183" s="66">
        <f t="shared" si="71"/>
        <v>832.56230933487836</v>
      </c>
      <c r="L183" s="17"/>
      <c r="M183" s="23">
        <f t="shared" si="67"/>
        <v>0</v>
      </c>
      <c r="N183" s="23">
        <f t="shared" si="55"/>
        <v>0</v>
      </c>
      <c r="O183" s="23">
        <f t="shared" si="56"/>
        <v>0</v>
      </c>
      <c r="P183" s="17"/>
      <c r="Q183" s="19">
        <f>IF(C183="","",'Tabla_Puntual&amp;Relacionamiento'!$E$81)</f>
        <v>0.112</v>
      </c>
      <c r="R183" s="19"/>
      <c r="S183" s="11">
        <f t="shared" si="68"/>
        <v>11237.870846906762</v>
      </c>
      <c r="T183" s="23">
        <f t="shared" si="57"/>
        <v>552562.91800580616</v>
      </c>
      <c r="U183" s="37">
        <f t="shared" si="58"/>
        <v>1</v>
      </c>
      <c r="V183" s="37">
        <f t="shared" si="70"/>
        <v>163</v>
      </c>
      <c r="X183" s="31">
        <f t="shared" si="59"/>
        <v>10703.647941261286</v>
      </c>
      <c r="Y183" s="34">
        <f t="shared" si="76"/>
        <v>1.2772161225411178</v>
      </c>
      <c r="Z183" s="31">
        <f t="shared" si="60"/>
        <v>0</v>
      </c>
      <c r="AA183" s="66">
        <f t="shared" si="61"/>
        <v>25750</v>
      </c>
      <c r="AB183" s="6">
        <f t="shared" si="62"/>
        <v>0</v>
      </c>
      <c r="AC183" s="48">
        <f t="shared" si="74"/>
        <v>0</v>
      </c>
    </row>
    <row r="184" spans="3:29" x14ac:dyDescent="0.25">
      <c r="C184" s="27">
        <f t="shared" si="63"/>
        <v>164</v>
      </c>
      <c r="D184" s="30">
        <f t="shared" si="64"/>
        <v>552562.91800580616</v>
      </c>
      <c r="E184" s="20">
        <f t="shared" si="69"/>
        <v>10160</v>
      </c>
      <c r="F184" s="20">
        <f t="shared" si="53"/>
        <v>5002.7460986124752</v>
      </c>
      <c r="G184" s="21">
        <f t="shared" si="54"/>
        <v>5157.2539013875248</v>
      </c>
      <c r="H184" s="24">
        <f t="shared" si="65"/>
        <v>243.12768392255472</v>
      </c>
      <c r="I184" s="21">
        <f t="shared" si="72"/>
        <v>0</v>
      </c>
      <c r="J184" s="63">
        <f t="shared" si="66"/>
        <v>0</v>
      </c>
      <c r="K184" s="66">
        <f t="shared" si="71"/>
        <v>825.160624222004</v>
      </c>
      <c r="L184" s="17"/>
      <c r="M184" s="23">
        <f t="shared" si="67"/>
        <v>0</v>
      </c>
      <c r="N184" s="23">
        <f t="shared" si="55"/>
        <v>0</v>
      </c>
      <c r="O184" s="23">
        <f t="shared" si="56"/>
        <v>0</v>
      </c>
      <c r="P184" s="17"/>
      <c r="Q184" s="19">
        <f>IF(C184="","",'Tabla_Puntual&amp;Relacionamiento'!$E$81)</f>
        <v>0.112</v>
      </c>
      <c r="R184" s="19"/>
      <c r="S184" s="11">
        <f t="shared" si="68"/>
        <v>11228.288308144558</v>
      </c>
      <c r="T184" s="23">
        <f t="shared" si="57"/>
        <v>547560.17190719373</v>
      </c>
      <c r="U184" s="37">
        <f t="shared" si="58"/>
        <v>1</v>
      </c>
      <c r="V184" s="37">
        <f t="shared" si="70"/>
        <v>164</v>
      </c>
      <c r="X184" s="31">
        <f t="shared" si="59"/>
        <v>10701.467087611956</v>
      </c>
      <c r="Y184" s="34">
        <f t="shared" si="76"/>
        <v>1.2772161225411178</v>
      </c>
      <c r="Z184" s="31">
        <f t="shared" si="60"/>
        <v>0</v>
      </c>
      <c r="AA184" s="66">
        <f t="shared" si="61"/>
        <v>25750</v>
      </c>
      <c r="AB184" s="6">
        <f t="shared" si="62"/>
        <v>0</v>
      </c>
      <c r="AC184" s="48">
        <f t="shared" si="74"/>
        <v>0</v>
      </c>
    </row>
    <row r="185" spans="3:29" x14ac:dyDescent="0.25">
      <c r="C185" s="27">
        <f t="shared" si="63"/>
        <v>165</v>
      </c>
      <c r="D185" s="30">
        <f t="shared" si="64"/>
        <v>547560.17190719373</v>
      </c>
      <c r="E185" s="20">
        <f t="shared" si="69"/>
        <v>10160</v>
      </c>
      <c r="F185" s="20">
        <f t="shared" si="53"/>
        <v>5049.4383955328585</v>
      </c>
      <c r="G185" s="21">
        <f t="shared" si="54"/>
        <v>5110.5616044671415</v>
      </c>
      <c r="H185" s="24">
        <f t="shared" si="65"/>
        <v>240.92647563916523</v>
      </c>
      <c r="I185" s="21">
        <f t="shared" si="72"/>
        <v>0</v>
      </c>
      <c r="J185" s="63">
        <f t="shared" si="66"/>
        <v>0</v>
      </c>
      <c r="K185" s="66">
        <f t="shared" si="71"/>
        <v>817.68985671474263</v>
      </c>
      <c r="L185" s="17"/>
      <c r="M185" s="23">
        <f t="shared" si="67"/>
        <v>0</v>
      </c>
      <c r="N185" s="23">
        <f t="shared" si="55"/>
        <v>0</v>
      </c>
      <c r="O185" s="23">
        <f t="shared" si="56"/>
        <v>0</v>
      </c>
      <c r="P185" s="17"/>
      <c r="Q185" s="19">
        <f>IF(C185="","",'Tabla_Puntual&amp;Relacionamiento'!$E$81)</f>
        <v>0.112</v>
      </c>
      <c r="R185" s="19"/>
      <c r="S185" s="11">
        <f t="shared" si="68"/>
        <v>11218.616332353908</v>
      </c>
      <c r="T185" s="23">
        <f t="shared" si="57"/>
        <v>542510.73351166083</v>
      </c>
      <c r="U185" s="37">
        <f t="shared" si="58"/>
        <v>1</v>
      </c>
      <c r="V185" s="37">
        <f t="shared" si="70"/>
        <v>165</v>
      </c>
      <c r="X185" s="31">
        <f t="shared" si="59"/>
        <v>10699.265879328568</v>
      </c>
      <c r="Y185" s="34">
        <f t="shared" si="76"/>
        <v>1.2772161225411178</v>
      </c>
      <c r="Z185" s="31">
        <f t="shared" si="60"/>
        <v>0</v>
      </c>
      <c r="AA185" s="66">
        <f t="shared" si="61"/>
        <v>25750</v>
      </c>
      <c r="AB185" s="6">
        <f t="shared" si="62"/>
        <v>0</v>
      </c>
      <c r="AC185" s="48">
        <f t="shared" si="74"/>
        <v>0</v>
      </c>
    </row>
    <row r="186" spans="3:29" x14ac:dyDescent="0.25">
      <c r="C186" s="27">
        <f t="shared" si="63"/>
        <v>166</v>
      </c>
      <c r="D186" s="30">
        <f t="shared" si="64"/>
        <v>542510.73351166083</v>
      </c>
      <c r="E186" s="20">
        <f t="shared" si="69"/>
        <v>10160</v>
      </c>
      <c r="F186" s="20">
        <f t="shared" si="53"/>
        <v>5096.5664872244988</v>
      </c>
      <c r="G186" s="21">
        <f t="shared" si="54"/>
        <v>5063.4335127755012</v>
      </c>
      <c r="H186" s="24">
        <f t="shared" si="65"/>
        <v>238.70472274513077</v>
      </c>
      <c r="I186" s="21">
        <f t="shared" si="72"/>
        <v>0</v>
      </c>
      <c r="J186" s="63">
        <f t="shared" si="66"/>
        <v>0</v>
      </c>
      <c r="K186" s="66">
        <f t="shared" si="71"/>
        <v>810.14936204408025</v>
      </c>
      <c r="L186" s="17"/>
      <c r="M186" s="23">
        <f t="shared" si="67"/>
        <v>0</v>
      </c>
      <c r="N186" s="23">
        <f t="shared" si="55"/>
        <v>0</v>
      </c>
      <c r="O186" s="23">
        <f t="shared" si="56"/>
        <v>0</v>
      </c>
      <c r="P186" s="17"/>
      <c r="Q186" s="19">
        <f>IF(C186="","",'Tabla_Puntual&amp;Relacionamiento'!$E$81)</f>
        <v>0.112</v>
      </c>
      <c r="R186" s="19"/>
      <c r="S186" s="11">
        <f t="shared" si="68"/>
        <v>11208.854084789211</v>
      </c>
      <c r="T186" s="23">
        <f t="shared" si="57"/>
        <v>537414.16702443629</v>
      </c>
      <c r="U186" s="37">
        <f t="shared" si="58"/>
        <v>1</v>
      </c>
      <c r="V186" s="37">
        <f t="shared" si="70"/>
        <v>166</v>
      </c>
      <c r="X186" s="31">
        <f t="shared" si="59"/>
        <v>10697.044126434534</v>
      </c>
      <c r="Y186" s="34">
        <f t="shared" si="76"/>
        <v>1.2772161225411178</v>
      </c>
      <c r="Z186" s="31">
        <f t="shared" si="60"/>
        <v>0</v>
      </c>
      <c r="AA186" s="66">
        <f t="shared" si="61"/>
        <v>25750</v>
      </c>
      <c r="AB186" s="6">
        <f t="shared" si="62"/>
        <v>0</v>
      </c>
      <c r="AC186" s="48">
        <f t="shared" si="74"/>
        <v>0</v>
      </c>
    </row>
    <row r="187" spans="3:29" x14ac:dyDescent="0.25">
      <c r="C187" s="27">
        <f t="shared" si="63"/>
        <v>167</v>
      </c>
      <c r="D187" s="30">
        <f t="shared" si="64"/>
        <v>537414.16702443629</v>
      </c>
      <c r="E187" s="20">
        <f t="shared" si="69"/>
        <v>10160</v>
      </c>
      <c r="F187" s="20">
        <f t="shared" si="53"/>
        <v>5144.1344411052605</v>
      </c>
      <c r="G187" s="21">
        <f t="shared" si="54"/>
        <v>5015.8655588947395</v>
      </c>
      <c r="H187" s="24">
        <f t="shared" si="65"/>
        <v>236.46223349075197</v>
      </c>
      <c r="I187" s="21">
        <f t="shared" si="72"/>
        <v>0</v>
      </c>
      <c r="J187" s="63">
        <f t="shared" si="66"/>
        <v>0</v>
      </c>
      <c r="K187" s="66">
        <f t="shared" si="71"/>
        <v>802.53848942315835</v>
      </c>
      <c r="L187" s="17"/>
      <c r="M187" s="23">
        <f t="shared" si="67"/>
        <v>0</v>
      </c>
      <c r="N187" s="23">
        <f t="shared" si="55"/>
        <v>0</v>
      </c>
      <c r="O187" s="23">
        <f t="shared" si="56"/>
        <v>0</v>
      </c>
      <c r="P187" s="17"/>
      <c r="Q187" s="19">
        <f>IF(C187="","",'Tabla_Puntual&amp;Relacionamiento'!$E$81)</f>
        <v>0.112</v>
      </c>
      <c r="R187" s="19"/>
      <c r="S187" s="11">
        <f t="shared" si="68"/>
        <v>11199.000722913912</v>
      </c>
      <c r="T187" s="23">
        <f t="shared" si="57"/>
        <v>532270.03258333099</v>
      </c>
      <c r="U187" s="37">
        <f t="shared" si="58"/>
        <v>1</v>
      </c>
      <c r="V187" s="37">
        <f t="shared" si="70"/>
        <v>167</v>
      </c>
      <c r="X187" s="31">
        <f t="shared" si="59"/>
        <v>10694.801637180155</v>
      </c>
      <c r="Y187" s="34">
        <f t="shared" si="76"/>
        <v>1.2772161225411178</v>
      </c>
      <c r="Z187" s="31">
        <f t="shared" si="60"/>
        <v>0</v>
      </c>
      <c r="AA187" s="66">
        <f t="shared" si="61"/>
        <v>25750</v>
      </c>
      <c r="AB187" s="6">
        <f t="shared" si="62"/>
        <v>0</v>
      </c>
      <c r="AC187" s="48">
        <f t="shared" si="74"/>
        <v>0</v>
      </c>
    </row>
    <row r="188" spans="3:29" x14ac:dyDescent="0.25">
      <c r="C188" s="27">
        <f t="shared" si="63"/>
        <v>168</v>
      </c>
      <c r="D188" s="30">
        <f t="shared" si="64"/>
        <v>532270.03258333099</v>
      </c>
      <c r="E188" s="20">
        <f t="shared" si="69"/>
        <v>10160</v>
      </c>
      <c r="F188" s="20">
        <f t="shared" si="53"/>
        <v>5192.1463625555771</v>
      </c>
      <c r="G188" s="21">
        <f t="shared" si="54"/>
        <v>4967.8536374444229</v>
      </c>
      <c r="H188" s="24">
        <f t="shared" si="65"/>
        <v>234.19881433666563</v>
      </c>
      <c r="I188" s="21">
        <f t="shared" si="72"/>
        <v>0</v>
      </c>
      <c r="J188" s="63">
        <f t="shared" si="66"/>
        <v>0</v>
      </c>
      <c r="K188" s="66">
        <f t="shared" si="71"/>
        <v>794.85658199110765</v>
      </c>
      <c r="L188" s="17"/>
      <c r="M188" s="23">
        <f t="shared" si="67"/>
        <v>0</v>
      </c>
      <c r="N188" s="23">
        <f t="shared" si="55"/>
        <v>0</v>
      </c>
      <c r="O188" s="23">
        <f t="shared" si="56"/>
        <v>0</v>
      </c>
      <c r="P188" s="17"/>
      <c r="Q188" s="19">
        <f>IF(C188="","",'Tabla_Puntual&amp;Relacionamiento'!$E$81)</f>
        <v>0.112</v>
      </c>
      <c r="R188" s="19"/>
      <c r="S188" s="11">
        <f t="shared" si="68"/>
        <v>11189.055396327773</v>
      </c>
      <c r="T188" s="23">
        <f t="shared" si="57"/>
        <v>527077.88622077543</v>
      </c>
      <c r="U188" s="37">
        <f t="shared" si="58"/>
        <v>1</v>
      </c>
      <c r="V188" s="37">
        <f t="shared" si="70"/>
        <v>168</v>
      </c>
      <c r="X188" s="31">
        <f t="shared" si="59"/>
        <v>10692.538218026068</v>
      </c>
      <c r="Y188" s="34">
        <f t="shared" si="76"/>
        <v>1.2772161225411178</v>
      </c>
      <c r="Z188" s="31">
        <f t="shared" si="60"/>
        <v>0</v>
      </c>
      <c r="AA188" s="66">
        <f t="shared" si="61"/>
        <v>25750</v>
      </c>
      <c r="AB188" s="6">
        <f t="shared" si="62"/>
        <v>0</v>
      </c>
      <c r="AC188" s="48">
        <f t="shared" si="74"/>
        <v>0</v>
      </c>
    </row>
    <row r="189" spans="3:29" x14ac:dyDescent="0.25">
      <c r="C189" s="27">
        <f t="shared" si="63"/>
        <v>169</v>
      </c>
      <c r="D189" s="30">
        <f t="shared" si="64"/>
        <v>527077.88622077543</v>
      </c>
      <c r="E189" s="20">
        <f t="shared" si="69"/>
        <v>10160</v>
      </c>
      <c r="F189" s="20">
        <f t="shared" si="53"/>
        <v>5240.6063952727627</v>
      </c>
      <c r="G189" s="21">
        <f t="shared" si="54"/>
        <v>4919.3936047272373</v>
      </c>
      <c r="H189" s="24">
        <f t="shared" si="65"/>
        <v>231.9142699371412</v>
      </c>
      <c r="I189" s="21">
        <f t="shared" si="72"/>
        <v>0</v>
      </c>
      <c r="J189" s="63">
        <f t="shared" si="66"/>
        <v>0</v>
      </c>
      <c r="K189" s="66">
        <f t="shared" si="71"/>
        <v>787.10297675635798</v>
      </c>
      <c r="L189" s="17"/>
      <c r="M189" s="23">
        <f t="shared" si="67"/>
        <v>0</v>
      </c>
      <c r="N189" s="23">
        <f t="shared" si="55"/>
        <v>0</v>
      </c>
      <c r="O189" s="23">
        <f t="shared" si="56"/>
        <v>0</v>
      </c>
      <c r="P189" s="17"/>
      <c r="Q189" s="19">
        <f>IF(C189="","",'Tabla_Puntual&amp;Relacionamiento'!$E$82)</f>
        <v>0.112</v>
      </c>
      <c r="R189" s="19" t="str">
        <f>IF(C189="","",IF($E$14="Pago_Bajo_Puntual",$M$17,""))</f>
        <v/>
      </c>
      <c r="S189" s="11">
        <f t="shared" si="68"/>
        <v>11179.017246693498</v>
      </c>
      <c r="T189" s="23">
        <f t="shared" si="57"/>
        <v>521837.27982550266</v>
      </c>
      <c r="U189" s="37">
        <f t="shared" si="58"/>
        <v>1</v>
      </c>
      <c r="V189" s="37">
        <f t="shared" si="70"/>
        <v>169</v>
      </c>
      <c r="X189" s="31">
        <f t="shared" si="59"/>
        <v>10690.253673626543</v>
      </c>
      <c r="Y189" s="34">
        <f>Y188*1.019</f>
        <v>1.3014832288693989</v>
      </c>
      <c r="Z189" s="31">
        <f t="shared" si="60"/>
        <v>0</v>
      </c>
      <c r="AA189" s="66">
        <f t="shared" si="61"/>
        <v>25750</v>
      </c>
      <c r="AB189" s="6">
        <f t="shared" si="62"/>
        <v>0</v>
      </c>
      <c r="AC189" s="48">
        <f>AC188+$M$17</f>
        <v>0</v>
      </c>
    </row>
    <row r="190" spans="3:29" x14ac:dyDescent="0.25">
      <c r="C190" s="27">
        <f t="shared" si="63"/>
        <v>170</v>
      </c>
      <c r="D190" s="30">
        <f t="shared" si="64"/>
        <v>521837.27982550266</v>
      </c>
      <c r="E190" s="20">
        <f t="shared" si="69"/>
        <v>10160</v>
      </c>
      <c r="F190" s="20">
        <f t="shared" si="53"/>
        <v>5289.5187216286413</v>
      </c>
      <c r="G190" s="21">
        <f t="shared" si="54"/>
        <v>4870.4812783713587</v>
      </c>
      <c r="H190" s="24">
        <f t="shared" si="65"/>
        <v>229.60840312322117</v>
      </c>
      <c r="I190" s="21">
        <f t="shared" si="72"/>
        <v>0</v>
      </c>
      <c r="J190" s="63">
        <f t="shared" si="66"/>
        <v>0</v>
      </c>
      <c r="K190" s="66">
        <f t="shared" si="71"/>
        <v>779.27700453941736</v>
      </c>
      <c r="L190" s="17"/>
      <c r="M190" s="23">
        <f t="shared" si="67"/>
        <v>0</v>
      </c>
      <c r="N190" s="23">
        <f t="shared" si="55"/>
        <v>0</v>
      </c>
      <c r="O190" s="23">
        <f t="shared" si="56"/>
        <v>0</v>
      </c>
      <c r="P190" s="17"/>
      <c r="Q190" s="19">
        <f>IF(C190="","",'Tabla_Puntual&amp;Relacionamiento'!$E$82)</f>
        <v>0.112</v>
      </c>
      <c r="R190" s="19"/>
      <c r="S190" s="11">
        <f t="shared" si="68"/>
        <v>11168.885407662638</v>
      </c>
      <c r="T190" s="23">
        <f t="shared" si="57"/>
        <v>516547.76110387401</v>
      </c>
      <c r="U190" s="37">
        <f t="shared" si="58"/>
        <v>1</v>
      </c>
      <c r="V190" s="37">
        <f t="shared" si="70"/>
        <v>170</v>
      </c>
      <c r="X190" s="31">
        <f t="shared" si="59"/>
        <v>10687.947806812623</v>
      </c>
      <c r="Y190" s="34">
        <f t="shared" ref="Y190:Y200" si="77">Y189</f>
        <v>1.3014832288693989</v>
      </c>
      <c r="Z190" s="31">
        <f t="shared" si="60"/>
        <v>0</v>
      </c>
      <c r="AA190" s="66">
        <f t="shared" si="61"/>
        <v>25750</v>
      </c>
      <c r="AB190" s="6">
        <f t="shared" si="62"/>
        <v>0</v>
      </c>
      <c r="AC190" s="48">
        <f t="shared" si="74"/>
        <v>0</v>
      </c>
    </row>
    <row r="191" spans="3:29" x14ac:dyDescent="0.25">
      <c r="C191" s="27">
        <f t="shared" si="63"/>
        <v>171</v>
      </c>
      <c r="D191" s="30">
        <f t="shared" si="64"/>
        <v>516547.76110387401</v>
      </c>
      <c r="E191" s="20">
        <f t="shared" si="69"/>
        <v>10160</v>
      </c>
      <c r="F191" s="20">
        <f t="shared" si="53"/>
        <v>5338.8875630305092</v>
      </c>
      <c r="G191" s="21">
        <f t="shared" si="54"/>
        <v>4821.1124369694908</v>
      </c>
      <c r="H191" s="24">
        <f t="shared" si="65"/>
        <v>227.28101488570456</v>
      </c>
      <c r="I191" s="21">
        <f t="shared" si="72"/>
        <v>0</v>
      </c>
      <c r="J191" s="63">
        <f t="shared" si="66"/>
        <v>0</v>
      </c>
      <c r="K191" s="66">
        <f t="shared" si="71"/>
        <v>771.37798991511852</v>
      </c>
      <c r="L191" s="17"/>
      <c r="M191" s="23">
        <f t="shared" si="67"/>
        <v>0</v>
      </c>
      <c r="N191" s="23">
        <f t="shared" si="55"/>
        <v>0</v>
      </c>
      <c r="O191" s="23">
        <f t="shared" si="56"/>
        <v>0</v>
      </c>
      <c r="P191" s="17"/>
      <c r="Q191" s="19">
        <f>IF(C191="","",'Tabla_Puntual&amp;Relacionamiento'!$E$82)</f>
        <v>0.112</v>
      </c>
      <c r="R191" s="19"/>
      <c r="S191" s="11">
        <f t="shared" si="68"/>
        <v>11158.659004800822</v>
      </c>
      <c r="T191" s="23">
        <f t="shared" si="57"/>
        <v>511208.87354084349</v>
      </c>
      <c r="U191" s="37">
        <f t="shared" si="58"/>
        <v>1</v>
      </c>
      <c r="V191" s="37">
        <f t="shared" si="70"/>
        <v>171</v>
      </c>
      <c r="X191" s="31">
        <f t="shared" si="59"/>
        <v>10685.620418575107</v>
      </c>
      <c r="Y191" s="34">
        <f t="shared" si="77"/>
        <v>1.3014832288693989</v>
      </c>
      <c r="Z191" s="31">
        <f t="shared" si="60"/>
        <v>0</v>
      </c>
      <c r="AA191" s="66">
        <f t="shared" si="61"/>
        <v>25750</v>
      </c>
      <c r="AB191" s="6">
        <f t="shared" si="62"/>
        <v>0</v>
      </c>
      <c r="AC191" s="48">
        <f t="shared" si="74"/>
        <v>0</v>
      </c>
    </row>
    <row r="192" spans="3:29" x14ac:dyDescent="0.25">
      <c r="C192" s="27">
        <f t="shared" si="63"/>
        <v>172</v>
      </c>
      <c r="D192" s="30">
        <f t="shared" si="64"/>
        <v>511208.87354084349</v>
      </c>
      <c r="E192" s="20">
        <f t="shared" si="69"/>
        <v>10160</v>
      </c>
      <c r="F192" s="20">
        <f t="shared" si="53"/>
        <v>5388.71718028546</v>
      </c>
      <c r="G192" s="21">
        <f t="shared" si="54"/>
        <v>4771.28281971454</v>
      </c>
      <c r="H192" s="24">
        <f t="shared" si="65"/>
        <v>224.93190435797112</v>
      </c>
      <c r="I192" s="21">
        <f t="shared" si="72"/>
        <v>0</v>
      </c>
      <c r="J192" s="63">
        <f t="shared" si="66"/>
        <v>0</v>
      </c>
      <c r="K192" s="66">
        <f t="shared" si="71"/>
        <v>763.40525115432638</v>
      </c>
      <c r="L192" s="17"/>
      <c r="M192" s="23">
        <f t="shared" si="67"/>
        <v>0</v>
      </c>
      <c r="N192" s="23">
        <f t="shared" si="55"/>
        <v>0</v>
      </c>
      <c r="O192" s="23">
        <f t="shared" si="56"/>
        <v>0</v>
      </c>
      <c r="P192" s="17"/>
      <c r="Q192" s="19">
        <f>IF(C192="","",'Tabla_Puntual&amp;Relacionamiento'!$E$82)</f>
        <v>0.112</v>
      </c>
      <c r="R192" s="19"/>
      <c r="S192" s="11">
        <f t="shared" si="68"/>
        <v>11148.337155512298</v>
      </c>
      <c r="T192" s="23">
        <f t="shared" si="57"/>
        <v>505820.156360558</v>
      </c>
      <c r="U192" s="37">
        <f t="shared" si="58"/>
        <v>1</v>
      </c>
      <c r="V192" s="37">
        <f t="shared" si="70"/>
        <v>172</v>
      </c>
      <c r="X192" s="31">
        <f t="shared" si="59"/>
        <v>10683.271308047373</v>
      </c>
      <c r="Y192" s="34">
        <f t="shared" si="77"/>
        <v>1.3014832288693989</v>
      </c>
      <c r="Z192" s="31">
        <f t="shared" si="60"/>
        <v>0</v>
      </c>
      <c r="AA192" s="66">
        <f t="shared" si="61"/>
        <v>25750</v>
      </c>
      <c r="AB192" s="6">
        <f t="shared" si="62"/>
        <v>0</v>
      </c>
      <c r="AC192" s="48">
        <f t="shared" si="74"/>
        <v>0</v>
      </c>
    </row>
    <row r="193" spans="3:29" x14ac:dyDescent="0.25">
      <c r="C193" s="27">
        <f t="shared" si="63"/>
        <v>173</v>
      </c>
      <c r="D193" s="30">
        <f t="shared" si="64"/>
        <v>505820.156360558</v>
      </c>
      <c r="E193" s="20">
        <f t="shared" si="69"/>
        <v>10160</v>
      </c>
      <c r="F193" s="20">
        <f t="shared" si="53"/>
        <v>5439.0118739681247</v>
      </c>
      <c r="G193" s="21">
        <f t="shared" si="54"/>
        <v>4720.9881260318753</v>
      </c>
      <c r="H193" s="24">
        <f t="shared" si="65"/>
        <v>222.56086879864554</v>
      </c>
      <c r="I193" s="21">
        <f t="shared" si="72"/>
        <v>0</v>
      </c>
      <c r="J193" s="63">
        <f t="shared" si="66"/>
        <v>0</v>
      </c>
      <c r="K193" s="66">
        <f t="shared" si="71"/>
        <v>755.35810016510004</v>
      </c>
      <c r="L193" s="17"/>
      <c r="M193" s="23">
        <f t="shared" si="67"/>
        <v>0</v>
      </c>
      <c r="N193" s="23">
        <f t="shared" si="55"/>
        <v>0</v>
      </c>
      <c r="O193" s="23">
        <f t="shared" si="56"/>
        <v>0</v>
      </c>
      <c r="P193" s="17"/>
      <c r="Q193" s="19">
        <f>IF(C193="","",'Tabla_Puntual&amp;Relacionamiento'!$E$82)</f>
        <v>0.112</v>
      </c>
      <c r="R193" s="19"/>
      <c r="S193" s="11">
        <f t="shared" si="68"/>
        <v>11137.918968963746</v>
      </c>
      <c r="T193" s="23">
        <f t="shared" si="57"/>
        <v>500381.14448658988</v>
      </c>
      <c r="U193" s="37">
        <f t="shared" si="58"/>
        <v>1</v>
      </c>
      <c r="V193" s="37">
        <f t="shared" si="70"/>
        <v>173</v>
      </c>
      <c r="X193" s="31">
        <f t="shared" si="59"/>
        <v>10680.900272488048</v>
      </c>
      <c r="Y193" s="34">
        <f t="shared" si="77"/>
        <v>1.3014832288693989</v>
      </c>
      <c r="Z193" s="31">
        <f t="shared" si="60"/>
        <v>0</v>
      </c>
      <c r="AA193" s="66">
        <f t="shared" si="61"/>
        <v>25750</v>
      </c>
      <c r="AB193" s="6">
        <f t="shared" si="62"/>
        <v>0</v>
      </c>
      <c r="AC193" s="48">
        <f t="shared" si="74"/>
        <v>0</v>
      </c>
    </row>
    <row r="194" spans="3:29" x14ac:dyDescent="0.25">
      <c r="C194" s="27">
        <f t="shared" si="63"/>
        <v>174</v>
      </c>
      <c r="D194" s="30">
        <f t="shared" si="64"/>
        <v>500381.14448658988</v>
      </c>
      <c r="E194" s="20">
        <f t="shared" si="69"/>
        <v>10160</v>
      </c>
      <c r="F194" s="20">
        <f t="shared" si="53"/>
        <v>5489.7759847918278</v>
      </c>
      <c r="G194" s="21">
        <f t="shared" si="54"/>
        <v>4670.2240152081722</v>
      </c>
      <c r="H194" s="24">
        <f t="shared" si="65"/>
        <v>220.16770357409956</v>
      </c>
      <c r="I194" s="21">
        <f t="shared" si="72"/>
        <v>0</v>
      </c>
      <c r="J194" s="63">
        <f t="shared" si="66"/>
        <v>0</v>
      </c>
      <c r="K194" s="66">
        <f t="shared" si="71"/>
        <v>747.23584243330754</v>
      </c>
      <c r="L194" s="17"/>
      <c r="M194" s="23">
        <f t="shared" si="67"/>
        <v>0</v>
      </c>
      <c r="N194" s="23">
        <f t="shared" si="55"/>
        <v>0</v>
      </c>
      <c r="O194" s="23">
        <f t="shared" si="56"/>
        <v>0</v>
      </c>
      <c r="P194" s="17"/>
      <c r="Q194" s="19">
        <f>IF(C194="","",'Tabla_Puntual&amp;Relacionamiento'!$E$82)</f>
        <v>0.112</v>
      </c>
      <c r="R194" s="19"/>
      <c r="S194" s="11">
        <f t="shared" si="68"/>
        <v>11127.403546007406</v>
      </c>
      <c r="T194" s="23">
        <f t="shared" si="57"/>
        <v>494891.36850179808</v>
      </c>
      <c r="U194" s="37">
        <f t="shared" si="58"/>
        <v>1</v>
      </c>
      <c r="V194" s="37">
        <f t="shared" si="70"/>
        <v>174</v>
      </c>
      <c r="X194" s="31">
        <f t="shared" si="59"/>
        <v>10678.507107263502</v>
      </c>
      <c r="Y194" s="34">
        <f t="shared" si="77"/>
        <v>1.3014832288693989</v>
      </c>
      <c r="Z194" s="31">
        <f t="shared" si="60"/>
        <v>0</v>
      </c>
      <c r="AA194" s="66">
        <f t="shared" si="61"/>
        <v>25750</v>
      </c>
      <c r="AB194" s="6">
        <f t="shared" si="62"/>
        <v>0</v>
      </c>
      <c r="AC194" s="48">
        <f t="shared" si="74"/>
        <v>0</v>
      </c>
    </row>
    <row r="195" spans="3:29" x14ac:dyDescent="0.25">
      <c r="C195" s="27">
        <f t="shared" si="63"/>
        <v>175</v>
      </c>
      <c r="D195" s="30">
        <f t="shared" si="64"/>
        <v>494891.36850179808</v>
      </c>
      <c r="E195" s="20">
        <f t="shared" si="69"/>
        <v>10160</v>
      </c>
      <c r="F195" s="20">
        <f t="shared" si="53"/>
        <v>5541.0138939832177</v>
      </c>
      <c r="G195" s="21">
        <f t="shared" si="54"/>
        <v>4618.9861060167823</v>
      </c>
      <c r="H195" s="24">
        <f t="shared" si="65"/>
        <v>217.75220214079116</v>
      </c>
      <c r="I195" s="21">
        <f t="shared" si="72"/>
        <v>0</v>
      </c>
      <c r="J195" s="63">
        <f t="shared" si="66"/>
        <v>0</v>
      </c>
      <c r="K195" s="66">
        <f t="shared" si="71"/>
        <v>739.03777696268514</v>
      </c>
      <c r="L195" s="17"/>
      <c r="M195" s="23">
        <f t="shared" si="67"/>
        <v>0</v>
      </c>
      <c r="N195" s="23">
        <f t="shared" si="55"/>
        <v>0</v>
      </c>
      <c r="O195" s="23">
        <f t="shared" si="56"/>
        <v>0</v>
      </c>
      <c r="P195" s="17"/>
      <c r="Q195" s="19">
        <f>IF(C195="","",'Tabla_Puntual&amp;Relacionamiento'!$E$82)</f>
        <v>0.112</v>
      </c>
      <c r="R195" s="19"/>
      <c r="S195" s="11">
        <f t="shared" si="68"/>
        <v>11116.789979103476</v>
      </c>
      <c r="T195" s="23">
        <f t="shared" si="57"/>
        <v>489350.35460781486</v>
      </c>
      <c r="U195" s="37">
        <f t="shared" si="58"/>
        <v>1</v>
      </c>
      <c r="V195" s="37">
        <f t="shared" si="70"/>
        <v>175</v>
      </c>
      <c r="X195" s="31">
        <f t="shared" si="59"/>
        <v>10676.091605830194</v>
      </c>
      <c r="Y195" s="34">
        <f t="shared" si="77"/>
        <v>1.3014832288693989</v>
      </c>
      <c r="Z195" s="31">
        <f t="shared" si="60"/>
        <v>0</v>
      </c>
      <c r="AA195" s="66">
        <f t="shared" si="61"/>
        <v>25750</v>
      </c>
      <c r="AB195" s="6">
        <f t="shared" si="62"/>
        <v>0</v>
      </c>
      <c r="AC195" s="48">
        <f t="shared" si="74"/>
        <v>0</v>
      </c>
    </row>
    <row r="196" spans="3:29" x14ac:dyDescent="0.25">
      <c r="C196" s="27">
        <f t="shared" si="63"/>
        <v>176</v>
      </c>
      <c r="D196" s="30">
        <f t="shared" si="64"/>
        <v>489350.35460781486</v>
      </c>
      <c r="E196" s="20">
        <f t="shared" si="69"/>
        <v>10160</v>
      </c>
      <c r="F196" s="20">
        <f t="shared" si="53"/>
        <v>5592.7300236603942</v>
      </c>
      <c r="G196" s="21">
        <f t="shared" si="54"/>
        <v>4567.2699763396058</v>
      </c>
      <c r="H196" s="24">
        <f t="shared" si="65"/>
        <v>215.31415602743854</v>
      </c>
      <c r="I196" s="21">
        <f t="shared" si="72"/>
        <v>0</v>
      </c>
      <c r="J196" s="63">
        <f t="shared" si="66"/>
        <v>0</v>
      </c>
      <c r="K196" s="66">
        <f t="shared" si="71"/>
        <v>730.76319621433697</v>
      </c>
      <c r="L196" s="17"/>
      <c r="M196" s="23">
        <f t="shared" si="67"/>
        <v>0</v>
      </c>
      <c r="N196" s="23">
        <f t="shared" si="55"/>
        <v>0</v>
      </c>
      <c r="O196" s="23">
        <f t="shared" si="56"/>
        <v>0</v>
      </c>
      <c r="P196" s="17"/>
      <c r="Q196" s="19">
        <f>IF(C196="","",'Tabla_Puntual&amp;Relacionamiento'!$E$82)</f>
        <v>0.112</v>
      </c>
      <c r="R196" s="19"/>
      <c r="S196" s="11">
        <f t="shared" si="68"/>
        <v>11106.077352241775</v>
      </c>
      <c r="T196" s="23">
        <f t="shared" si="57"/>
        <v>483757.62458415446</v>
      </c>
      <c r="U196" s="37">
        <f t="shared" si="58"/>
        <v>1</v>
      </c>
      <c r="V196" s="37">
        <f t="shared" si="70"/>
        <v>176</v>
      </c>
      <c r="X196" s="31">
        <f t="shared" si="59"/>
        <v>10673.65355971684</v>
      </c>
      <c r="Y196" s="34">
        <f t="shared" si="77"/>
        <v>1.3014832288693989</v>
      </c>
      <c r="Z196" s="31">
        <f t="shared" si="60"/>
        <v>0</v>
      </c>
      <c r="AA196" s="66">
        <f t="shared" si="61"/>
        <v>25750</v>
      </c>
      <c r="AB196" s="6">
        <f t="shared" si="62"/>
        <v>0</v>
      </c>
      <c r="AC196" s="48">
        <f t="shared" si="74"/>
        <v>0</v>
      </c>
    </row>
    <row r="197" spans="3:29" x14ac:dyDescent="0.25">
      <c r="C197" s="27">
        <f t="shared" si="63"/>
        <v>177</v>
      </c>
      <c r="D197" s="30">
        <f t="shared" si="64"/>
        <v>483757.62458415446</v>
      </c>
      <c r="E197" s="20">
        <f t="shared" si="69"/>
        <v>10160</v>
      </c>
      <c r="F197" s="20">
        <f t="shared" si="53"/>
        <v>5644.9288372145584</v>
      </c>
      <c r="G197" s="21">
        <f t="shared" si="54"/>
        <v>4515.0711627854416</v>
      </c>
      <c r="H197" s="24">
        <f t="shared" si="65"/>
        <v>212.85335481702796</v>
      </c>
      <c r="I197" s="21">
        <f t="shared" si="72"/>
        <v>0</v>
      </c>
      <c r="J197" s="63">
        <f t="shared" si="66"/>
        <v>0</v>
      </c>
      <c r="K197" s="66">
        <f t="shared" si="71"/>
        <v>722.41138604567072</v>
      </c>
      <c r="L197" s="17"/>
      <c r="M197" s="23">
        <f t="shared" si="67"/>
        <v>0</v>
      </c>
      <c r="N197" s="23">
        <f t="shared" si="55"/>
        <v>0</v>
      </c>
      <c r="O197" s="23">
        <f t="shared" si="56"/>
        <v>0</v>
      </c>
      <c r="P197" s="17"/>
      <c r="Q197" s="19">
        <f>IF(C197="","",'Tabla_Puntual&amp;Relacionamiento'!$E$82)</f>
        <v>0.112</v>
      </c>
      <c r="R197" s="19"/>
      <c r="S197" s="11">
        <f t="shared" si="68"/>
        <v>11095.264740862698</v>
      </c>
      <c r="T197" s="23">
        <f t="shared" si="57"/>
        <v>478112.69574693992</v>
      </c>
      <c r="U197" s="37">
        <f t="shared" si="58"/>
        <v>1</v>
      </c>
      <c r="V197" s="37">
        <f t="shared" si="70"/>
        <v>177</v>
      </c>
      <c r="X197" s="31">
        <f t="shared" si="59"/>
        <v>10671.19275850643</v>
      </c>
      <c r="Y197" s="34">
        <f t="shared" si="77"/>
        <v>1.3014832288693989</v>
      </c>
      <c r="Z197" s="31">
        <f t="shared" si="60"/>
        <v>0</v>
      </c>
      <c r="AA197" s="66">
        <f t="shared" si="61"/>
        <v>25750</v>
      </c>
      <c r="AB197" s="6">
        <f t="shared" si="62"/>
        <v>0</v>
      </c>
      <c r="AC197" s="48">
        <f t="shared" si="74"/>
        <v>0</v>
      </c>
    </row>
    <row r="198" spans="3:29" x14ac:dyDescent="0.25">
      <c r="C198" s="27">
        <f t="shared" si="63"/>
        <v>178</v>
      </c>
      <c r="D198" s="30">
        <f t="shared" si="64"/>
        <v>478112.69574693992</v>
      </c>
      <c r="E198" s="20">
        <f t="shared" si="69"/>
        <v>10160</v>
      </c>
      <c r="F198" s="20">
        <f t="shared" si="53"/>
        <v>5697.6148396952267</v>
      </c>
      <c r="G198" s="21">
        <f t="shared" si="54"/>
        <v>4462.3851603047733</v>
      </c>
      <c r="H198" s="24">
        <f t="shared" si="65"/>
        <v>210.36958612865357</v>
      </c>
      <c r="I198" s="21">
        <f t="shared" si="72"/>
        <v>0</v>
      </c>
      <c r="J198" s="63">
        <f t="shared" si="66"/>
        <v>0</v>
      </c>
      <c r="K198" s="66">
        <f t="shared" si="71"/>
        <v>713.98162564876372</v>
      </c>
      <c r="L198" s="17"/>
      <c r="M198" s="23">
        <f t="shared" si="67"/>
        <v>0</v>
      </c>
      <c r="N198" s="23">
        <f t="shared" si="55"/>
        <v>0</v>
      </c>
      <c r="O198" s="23">
        <f t="shared" si="56"/>
        <v>0</v>
      </c>
      <c r="P198" s="17"/>
      <c r="Q198" s="19">
        <f>IF(C198="","",'Tabla_Puntual&amp;Relacionamiento'!$E$82)</f>
        <v>0.112</v>
      </c>
      <c r="R198" s="19"/>
      <c r="S198" s="11">
        <f t="shared" si="68"/>
        <v>11084.351211777417</v>
      </c>
      <c r="T198" s="23">
        <f t="shared" si="57"/>
        <v>472415.0809072447</v>
      </c>
      <c r="U198" s="37">
        <f t="shared" si="58"/>
        <v>1</v>
      </c>
      <c r="V198" s="37">
        <f t="shared" si="70"/>
        <v>178</v>
      </c>
      <c r="X198" s="31">
        <f t="shared" si="59"/>
        <v>10668.708989818057</v>
      </c>
      <c r="Y198" s="34">
        <f t="shared" si="77"/>
        <v>1.3014832288693989</v>
      </c>
      <c r="Z198" s="31">
        <f t="shared" si="60"/>
        <v>0</v>
      </c>
      <c r="AA198" s="66">
        <f t="shared" si="61"/>
        <v>25750</v>
      </c>
      <c r="AB198" s="6">
        <f t="shared" si="62"/>
        <v>0</v>
      </c>
      <c r="AC198" s="48">
        <f t="shared" si="74"/>
        <v>0</v>
      </c>
    </row>
    <row r="199" spans="3:29" x14ac:dyDescent="0.25">
      <c r="C199" s="27">
        <f t="shared" si="63"/>
        <v>179</v>
      </c>
      <c r="D199" s="30">
        <f t="shared" si="64"/>
        <v>472415.0809072447</v>
      </c>
      <c r="E199" s="20">
        <f t="shared" si="69"/>
        <v>10160</v>
      </c>
      <c r="F199" s="20">
        <f t="shared" si="53"/>
        <v>5750.7925781990489</v>
      </c>
      <c r="G199" s="21">
        <f t="shared" si="54"/>
        <v>4409.2074218009511</v>
      </c>
      <c r="H199" s="24">
        <f t="shared" si="65"/>
        <v>207.86263559918766</v>
      </c>
      <c r="I199" s="21">
        <f t="shared" si="72"/>
        <v>0</v>
      </c>
      <c r="J199" s="63">
        <f t="shared" si="66"/>
        <v>0</v>
      </c>
      <c r="K199" s="66">
        <f t="shared" si="71"/>
        <v>705.47318748815223</v>
      </c>
      <c r="L199" s="17"/>
      <c r="M199" s="23">
        <f t="shared" si="67"/>
        <v>0</v>
      </c>
      <c r="N199" s="23">
        <f t="shared" si="55"/>
        <v>0</v>
      </c>
      <c r="O199" s="23">
        <f t="shared" si="56"/>
        <v>0</v>
      </c>
      <c r="P199" s="17"/>
      <c r="Q199" s="19">
        <f>IF(C199="","",'Tabla_Puntual&amp;Relacionamiento'!$E$82)</f>
        <v>0.112</v>
      </c>
      <c r="R199" s="19"/>
      <c r="S199" s="11">
        <f t="shared" si="68"/>
        <v>11073.33582308734</v>
      </c>
      <c r="T199" s="23">
        <f t="shared" si="57"/>
        <v>466664.28832904564</v>
      </c>
      <c r="U199" s="37">
        <f t="shared" si="58"/>
        <v>1</v>
      </c>
      <c r="V199" s="37">
        <f t="shared" si="70"/>
        <v>179</v>
      </c>
      <c r="X199" s="31">
        <f t="shared" si="59"/>
        <v>10666.20203928859</v>
      </c>
      <c r="Y199" s="34">
        <f t="shared" si="77"/>
        <v>1.3014832288693989</v>
      </c>
      <c r="Z199" s="31">
        <f t="shared" si="60"/>
        <v>0</v>
      </c>
      <c r="AA199" s="66">
        <f t="shared" si="61"/>
        <v>25750</v>
      </c>
      <c r="AB199" s="6">
        <f t="shared" si="62"/>
        <v>0</v>
      </c>
      <c r="AC199" s="48">
        <f t="shared" si="74"/>
        <v>0</v>
      </c>
    </row>
    <row r="200" spans="3:29" x14ac:dyDescent="0.25">
      <c r="C200" s="27">
        <f t="shared" si="63"/>
        <v>180</v>
      </c>
      <c r="D200" s="30">
        <f t="shared" si="64"/>
        <v>466664.28832904564</v>
      </c>
      <c r="E200" s="20">
        <f t="shared" si="69"/>
        <v>10160</v>
      </c>
      <c r="F200" s="20">
        <f t="shared" si="53"/>
        <v>5804.4666422622404</v>
      </c>
      <c r="G200" s="21">
        <f t="shared" si="54"/>
        <v>4355.5333577377596</v>
      </c>
      <c r="H200" s="24">
        <f t="shared" si="65"/>
        <v>205.33228686478009</v>
      </c>
      <c r="I200" s="21">
        <f t="shared" si="72"/>
        <v>0</v>
      </c>
      <c r="J200" s="63">
        <f t="shared" si="66"/>
        <v>0</v>
      </c>
      <c r="K200" s="66">
        <f t="shared" si="71"/>
        <v>696.88533723804153</v>
      </c>
      <c r="L200" s="17"/>
      <c r="M200" s="23">
        <f t="shared" si="67"/>
        <v>0</v>
      </c>
      <c r="N200" s="23">
        <f t="shared" si="55"/>
        <v>0</v>
      </c>
      <c r="O200" s="23">
        <f t="shared" si="56"/>
        <v>0</v>
      </c>
      <c r="P200" s="17"/>
      <c r="Q200" s="19">
        <f>IF(C200="","",'Tabla_Puntual&amp;Relacionamiento'!$E$82)</f>
        <v>0.112</v>
      </c>
      <c r="R200" s="19"/>
      <c r="S200" s="11">
        <f t="shared" si="68"/>
        <v>11062.217624102821</v>
      </c>
      <c r="T200" s="23">
        <f t="shared" si="57"/>
        <v>460859.8216867834</v>
      </c>
      <c r="U200" s="37">
        <f t="shared" si="58"/>
        <v>1</v>
      </c>
      <c r="V200" s="37">
        <f t="shared" si="70"/>
        <v>180</v>
      </c>
      <c r="X200" s="31">
        <f t="shared" si="59"/>
        <v>10663.671690554182</v>
      </c>
      <c r="Y200" s="34">
        <f t="shared" si="77"/>
        <v>1.3014832288693989</v>
      </c>
      <c r="Z200" s="31">
        <f t="shared" si="60"/>
        <v>0</v>
      </c>
      <c r="AA200" s="66">
        <f t="shared" si="61"/>
        <v>25750</v>
      </c>
      <c r="AB200" s="6">
        <f t="shared" si="62"/>
        <v>0</v>
      </c>
      <c r="AC200" s="48">
        <f t="shared" si="74"/>
        <v>0</v>
      </c>
    </row>
    <row r="201" spans="3:29" x14ac:dyDescent="0.25">
      <c r="C201" s="27">
        <f t="shared" si="63"/>
        <v>181</v>
      </c>
      <c r="D201" s="30">
        <f t="shared" si="64"/>
        <v>460859.8216867834</v>
      </c>
      <c r="E201" s="20">
        <f t="shared" si="69"/>
        <v>10160</v>
      </c>
      <c r="F201" s="20">
        <f t="shared" si="53"/>
        <v>5858.6416642566883</v>
      </c>
      <c r="G201" s="21">
        <f t="shared" si="54"/>
        <v>4301.3583357433117</v>
      </c>
      <c r="H201" s="24">
        <f t="shared" si="65"/>
        <v>202.77832154218467</v>
      </c>
      <c r="I201" s="21">
        <f t="shared" si="72"/>
        <v>0</v>
      </c>
      <c r="J201" s="63">
        <f t="shared" si="66"/>
        <v>0</v>
      </c>
      <c r="K201" s="66">
        <f t="shared" si="71"/>
        <v>688.21733371892992</v>
      </c>
      <c r="L201" s="17"/>
      <c r="M201" s="23">
        <f t="shared" si="67"/>
        <v>0</v>
      </c>
      <c r="N201" s="23">
        <f t="shared" si="55"/>
        <v>0</v>
      </c>
      <c r="O201" s="23">
        <f t="shared" si="56"/>
        <v>0</v>
      </c>
      <c r="P201" s="17"/>
      <c r="Q201" s="19">
        <f>IF(C201="","",'Tabla_Puntual&amp;Relacionamiento'!$E$83)</f>
        <v>0.112</v>
      </c>
      <c r="R201" s="19" t="str">
        <f>IF(C201="","",IF($E$14="Pago_Bajo_Puntual",$M$17,""))</f>
        <v/>
      </c>
      <c r="S201" s="11">
        <f t="shared" si="68"/>
        <v>11050.995655261115</v>
      </c>
      <c r="T201" s="23">
        <f t="shared" si="57"/>
        <v>455001.18002252671</v>
      </c>
      <c r="U201" s="37">
        <f t="shared" si="58"/>
        <v>1</v>
      </c>
      <c r="V201" s="37">
        <f t="shared" si="70"/>
        <v>181</v>
      </c>
      <c r="X201" s="31">
        <f t="shared" si="59"/>
        <v>10661.117725231587</v>
      </c>
      <c r="Y201" s="34">
        <f>Y200*1.019</f>
        <v>1.3262114102179174</v>
      </c>
      <c r="Z201" s="31">
        <f t="shared" si="60"/>
        <v>0</v>
      </c>
      <c r="AA201" s="66">
        <f t="shared" si="61"/>
        <v>25750</v>
      </c>
      <c r="AB201" s="6">
        <f t="shared" si="62"/>
        <v>0</v>
      </c>
      <c r="AC201" s="48">
        <f>AC200+$M$17</f>
        <v>0</v>
      </c>
    </row>
    <row r="202" spans="3:29" x14ac:dyDescent="0.25">
      <c r="C202" s="27">
        <f t="shared" si="63"/>
        <v>182</v>
      </c>
      <c r="D202" s="30">
        <f t="shared" si="64"/>
        <v>455001.18002252671</v>
      </c>
      <c r="E202" s="20">
        <f t="shared" si="69"/>
        <v>10160</v>
      </c>
      <c r="F202" s="20">
        <f t="shared" si="53"/>
        <v>5913.3223197897505</v>
      </c>
      <c r="G202" s="21">
        <f t="shared" si="54"/>
        <v>4246.6776802102495</v>
      </c>
      <c r="H202" s="24">
        <f t="shared" si="65"/>
        <v>200.20051920991176</v>
      </c>
      <c r="I202" s="21">
        <f t="shared" si="72"/>
        <v>0</v>
      </c>
      <c r="J202" s="63">
        <f t="shared" si="66"/>
        <v>0</v>
      </c>
      <c r="K202" s="66">
        <f t="shared" si="71"/>
        <v>679.4684288336399</v>
      </c>
      <c r="L202" s="17"/>
      <c r="M202" s="23">
        <f t="shared" si="67"/>
        <v>0</v>
      </c>
      <c r="N202" s="23">
        <f t="shared" si="55"/>
        <v>0</v>
      </c>
      <c r="O202" s="23">
        <f t="shared" si="56"/>
        <v>0</v>
      </c>
      <c r="P202" s="17"/>
      <c r="Q202" s="19">
        <f>IF(C202="","",'Tabla_Puntual&amp;Relacionamiento'!$E$83)</f>
        <v>0.112</v>
      </c>
      <c r="R202" s="19"/>
      <c r="S202" s="11">
        <f t="shared" si="68"/>
        <v>11039.668948043551</v>
      </c>
      <c r="T202" s="23">
        <f t="shared" si="57"/>
        <v>449087.85770273698</v>
      </c>
      <c r="U202" s="37">
        <f t="shared" si="58"/>
        <v>1</v>
      </c>
      <c r="V202" s="37">
        <f t="shared" si="70"/>
        <v>182</v>
      </c>
      <c r="X202" s="31">
        <f t="shared" si="59"/>
        <v>10658.539922899314</v>
      </c>
      <c r="Y202" s="34">
        <f t="shared" ref="Y202:Y212" si="78">Y201</f>
        <v>1.3262114102179174</v>
      </c>
      <c r="Z202" s="31">
        <f t="shared" si="60"/>
        <v>0</v>
      </c>
      <c r="AA202" s="66">
        <f t="shared" si="61"/>
        <v>25750</v>
      </c>
      <c r="AB202" s="6">
        <f t="shared" si="62"/>
        <v>0</v>
      </c>
      <c r="AC202" s="48">
        <f t="shared" si="74"/>
        <v>0</v>
      </c>
    </row>
    <row r="203" spans="3:29" x14ac:dyDescent="0.25">
      <c r="C203" s="27">
        <f t="shared" si="63"/>
        <v>183</v>
      </c>
      <c r="D203" s="30">
        <f t="shared" si="64"/>
        <v>449087.85770273698</v>
      </c>
      <c r="E203" s="20">
        <f t="shared" si="69"/>
        <v>10160</v>
      </c>
      <c r="F203" s="20">
        <f t="shared" si="53"/>
        <v>5968.5133281077879</v>
      </c>
      <c r="G203" s="21">
        <f t="shared" si="54"/>
        <v>4191.4866718922121</v>
      </c>
      <c r="H203" s="24">
        <f t="shared" si="65"/>
        <v>197.59865738920428</v>
      </c>
      <c r="I203" s="21">
        <f t="shared" si="72"/>
        <v>0</v>
      </c>
      <c r="J203" s="63">
        <f t="shared" si="66"/>
        <v>0</v>
      </c>
      <c r="K203" s="66">
        <f t="shared" si="71"/>
        <v>670.63786750275392</v>
      </c>
      <c r="L203" s="17"/>
      <c r="M203" s="23">
        <f t="shared" si="67"/>
        <v>0</v>
      </c>
      <c r="N203" s="23">
        <f t="shared" si="55"/>
        <v>0</v>
      </c>
      <c r="O203" s="23">
        <f t="shared" si="56"/>
        <v>0</v>
      </c>
      <c r="P203" s="17"/>
      <c r="Q203" s="19">
        <f>IF(C203="","",'Tabla_Puntual&amp;Relacionamiento'!$E$83)</f>
        <v>0.112</v>
      </c>
      <c r="R203" s="19"/>
      <c r="S203" s="11">
        <f t="shared" si="68"/>
        <v>11028.236524891958</v>
      </c>
      <c r="T203" s="23">
        <f t="shared" si="57"/>
        <v>443119.3443746292</v>
      </c>
      <c r="U203" s="37">
        <f t="shared" si="58"/>
        <v>1</v>
      </c>
      <c r="V203" s="37">
        <f t="shared" si="70"/>
        <v>183</v>
      </c>
      <c r="X203" s="31">
        <f t="shared" si="59"/>
        <v>10655.938061078607</v>
      </c>
      <c r="Y203" s="34">
        <f t="shared" si="78"/>
        <v>1.3262114102179174</v>
      </c>
      <c r="Z203" s="31">
        <f t="shared" si="60"/>
        <v>0</v>
      </c>
      <c r="AA203" s="66">
        <f t="shared" si="61"/>
        <v>25750</v>
      </c>
      <c r="AB203" s="6">
        <f t="shared" si="62"/>
        <v>0</v>
      </c>
      <c r="AC203" s="48">
        <f t="shared" si="74"/>
        <v>0</v>
      </c>
    </row>
    <row r="204" spans="3:29" x14ac:dyDescent="0.25">
      <c r="C204" s="27">
        <f t="shared" si="63"/>
        <v>184</v>
      </c>
      <c r="D204" s="30">
        <f t="shared" si="64"/>
        <v>443119.3443746292</v>
      </c>
      <c r="E204" s="20">
        <f t="shared" si="69"/>
        <v>10160</v>
      </c>
      <c r="F204" s="20">
        <f t="shared" si="53"/>
        <v>6024.2194525034602</v>
      </c>
      <c r="G204" s="21">
        <f t="shared" si="54"/>
        <v>4135.7805474965398</v>
      </c>
      <c r="H204" s="24">
        <f t="shared" si="65"/>
        <v>194.97251152483685</v>
      </c>
      <c r="I204" s="21">
        <f t="shared" si="72"/>
        <v>0</v>
      </c>
      <c r="J204" s="63">
        <f t="shared" si="66"/>
        <v>0</v>
      </c>
      <c r="K204" s="66">
        <f t="shared" si="71"/>
        <v>661.72488759944633</v>
      </c>
      <c r="L204" s="17"/>
      <c r="M204" s="23">
        <f t="shared" si="67"/>
        <v>0</v>
      </c>
      <c r="N204" s="23">
        <f t="shared" si="55"/>
        <v>0</v>
      </c>
      <c r="O204" s="23">
        <f t="shared" si="56"/>
        <v>0</v>
      </c>
      <c r="P204" s="17"/>
      <c r="Q204" s="19">
        <f>IF(C204="","",'Tabla_Puntual&amp;Relacionamiento'!$E$83)</f>
        <v>0.112</v>
      </c>
      <c r="R204" s="19"/>
      <c r="S204" s="11">
        <f t="shared" si="68"/>
        <v>11016.697399124283</v>
      </c>
      <c r="T204" s="23">
        <f t="shared" si="57"/>
        <v>437095.12492212572</v>
      </c>
      <c r="U204" s="37">
        <f t="shared" si="58"/>
        <v>1</v>
      </c>
      <c r="V204" s="37">
        <f t="shared" si="70"/>
        <v>184</v>
      </c>
      <c r="X204" s="31">
        <f t="shared" si="59"/>
        <v>10653.311915214239</v>
      </c>
      <c r="Y204" s="34">
        <f t="shared" si="78"/>
        <v>1.3262114102179174</v>
      </c>
      <c r="Z204" s="31">
        <f t="shared" si="60"/>
        <v>0</v>
      </c>
      <c r="AA204" s="66">
        <f t="shared" si="61"/>
        <v>25750</v>
      </c>
      <c r="AB204" s="6">
        <f t="shared" si="62"/>
        <v>0</v>
      </c>
      <c r="AC204" s="48">
        <f t="shared" si="74"/>
        <v>0</v>
      </c>
    </row>
    <row r="205" spans="3:29" x14ac:dyDescent="0.25">
      <c r="C205" s="27">
        <f t="shared" si="63"/>
        <v>185</v>
      </c>
      <c r="D205" s="30">
        <f t="shared" si="64"/>
        <v>437095.12492212572</v>
      </c>
      <c r="E205" s="20">
        <f t="shared" si="69"/>
        <v>10160</v>
      </c>
      <c r="F205" s="20">
        <f t="shared" si="53"/>
        <v>6080.4455007268261</v>
      </c>
      <c r="G205" s="21">
        <f t="shared" si="54"/>
        <v>4079.5544992731739</v>
      </c>
      <c r="H205" s="24">
        <f t="shared" si="65"/>
        <v>192.32185496573533</v>
      </c>
      <c r="I205" s="21">
        <f t="shared" si="72"/>
        <v>0</v>
      </c>
      <c r="J205" s="63">
        <f t="shared" si="66"/>
        <v>0</v>
      </c>
      <c r="K205" s="66">
        <f t="shared" si="71"/>
        <v>652.72871988370787</v>
      </c>
      <c r="L205" s="17"/>
      <c r="M205" s="23">
        <f t="shared" si="67"/>
        <v>0</v>
      </c>
      <c r="N205" s="23">
        <f t="shared" si="55"/>
        <v>0</v>
      </c>
      <c r="O205" s="23">
        <f t="shared" si="56"/>
        <v>0</v>
      </c>
      <c r="P205" s="17"/>
      <c r="Q205" s="19">
        <f>IF(C205="","",'Tabla_Puntual&amp;Relacionamiento'!$E$83)</f>
        <v>0.112</v>
      </c>
      <c r="R205" s="19"/>
      <c r="S205" s="11">
        <f t="shared" si="68"/>
        <v>11005.050574849443</v>
      </c>
      <c r="T205" s="23">
        <f t="shared" si="57"/>
        <v>431014.67942139891</v>
      </c>
      <c r="U205" s="37">
        <f t="shared" si="58"/>
        <v>1</v>
      </c>
      <c r="V205" s="37">
        <f t="shared" si="70"/>
        <v>185</v>
      </c>
      <c r="X205" s="31">
        <f t="shared" si="59"/>
        <v>10650.661258655138</v>
      </c>
      <c r="Y205" s="34">
        <f t="shared" si="78"/>
        <v>1.3262114102179174</v>
      </c>
      <c r="Z205" s="31">
        <f t="shared" si="60"/>
        <v>0</v>
      </c>
      <c r="AA205" s="66">
        <f t="shared" si="61"/>
        <v>25750</v>
      </c>
      <c r="AB205" s="6">
        <f t="shared" si="62"/>
        <v>0</v>
      </c>
      <c r="AC205" s="48">
        <f t="shared" si="74"/>
        <v>0</v>
      </c>
    </row>
    <row r="206" spans="3:29" x14ac:dyDescent="0.25">
      <c r="C206" s="27">
        <f t="shared" si="63"/>
        <v>186</v>
      </c>
      <c r="D206" s="30">
        <f t="shared" si="64"/>
        <v>431014.67942139891</v>
      </c>
      <c r="E206" s="20">
        <f t="shared" si="69"/>
        <v>10160</v>
      </c>
      <c r="F206" s="20">
        <f t="shared" si="53"/>
        <v>6137.1963254002767</v>
      </c>
      <c r="G206" s="21">
        <f t="shared" si="54"/>
        <v>4022.8036745997233</v>
      </c>
      <c r="H206" s="24">
        <f t="shared" si="65"/>
        <v>189.6464589454155</v>
      </c>
      <c r="I206" s="21">
        <f t="shared" si="72"/>
        <v>0</v>
      </c>
      <c r="J206" s="63">
        <f t="shared" si="66"/>
        <v>0</v>
      </c>
      <c r="K206" s="66">
        <f t="shared" si="71"/>
        <v>643.64858793595579</v>
      </c>
      <c r="L206" s="17"/>
      <c r="M206" s="23">
        <f t="shared" si="67"/>
        <v>0</v>
      </c>
      <c r="N206" s="23">
        <f t="shared" si="55"/>
        <v>0</v>
      </c>
      <c r="O206" s="23">
        <f t="shared" si="56"/>
        <v>0</v>
      </c>
      <c r="P206" s="17"/>
      <c r="Q206" s="19">
        <f>IF(C206="","",'Tabla_Puntual&amp;Relacionamiento'!$E$83)</f>
        <v>0.112</v>
      </c>
      <c r="R206" s="19"/>
      <c r="S206" s="11">
        <f t="shared" si="68"/>
        <v>10993.295046881371</v>
      </c>
      <c r="T206" s="23">
        <f t="shared" si="57"/>
        <v>424877.48309599864</v>
      </c>
      <c r="U206" s="37">
        <f t="shared" si="58"/>
        <v>1</v>
      </c>
      <c r="V206" s="37">
        <f t="shared" si="70"/>
        <v>186</v>
      </c>
      <c r="X206" s="31">
        <f t="shared" si="59"/>
        <v>10647.985862634818</v>
      </c>
      <c r="Y206" s="34">
        <f t="shared" si="78"/>
        <v>1.3262114102179174</v>
      </c>
      <c r="Z206" s="31">
        <f t="shared" si="60"/>
        <v>0</v>
      </c>
      <c r="AA206" s="66">
        <f t="shared" si="61"/>
        <v>25750</v>
      </c>
      <c r="AB206" s="6">
        <f t="shared" si="62"/>
        <v>0</v>
      </c>
      <c r="AC206" s="48">
        <f t="shared" si="74"/>
        <v>0</v>
      </c>
    </row>
    <row r="207" spans="3:29" x14ac:dyDescent="0.25">
      <c r="C207" s="27">
        <f t="shared" si="63"/>
        <v>187</v>
      </c>
      <c r="D207" s="30">
        <f t="shared" si="64"/>
        <v>424877.48309599864</v>
      </c>
      <c r="E207" s="20">
        <f t="shared" si="69"/>
        <v>10160</v>
      </c>
      <c r="F207" s="20">
        <f t="shared" si="53"/>
        <v>6194.4768244373463</v>
      </c>
      <c r="G207" s="21">
        <f t="shared" si="54"/>
        <v>3965.5231755626542</v>
      </c>
      <c r="H207" s="24">
        <f t="shared" si="65"/>
        <v>186.94609256223941</v>
      </c>
      <c r="I207" s="21">
        <f t="shared" si="72"/>
        <v>0</v>
      </c>
      <c r="J207" s="63">
        <f t="shared" si="66"/>
        <v>0</v>
      </c>
      <c r="K207" s="66">
        <f t="shared" si="71"/>
        <v>634.48370809002472</v>
      </c>
      <c r="L207" s="17"/>
      <c r="M207" s="23">
        <f t="shared" si="67"/>
        <v>0</v>
      </c>
      <c r="N207" s="23">
        <f t="shared" si="55"/>
        <v>0</v>
      </c>
      <c r="O207" s="23">
        <f t="shared" si="56"/>
        <v>0</v>
      </c>
      <c r="P207" s="17"/>
      <c r="Q207" s="19">
        <f>IF(C207="","",'Tabla_Puntual&amp;Relacionamiento'!$E$83)</f>
        <v>0.112</v>
      </c>
      <c r="R207" s="19"/>
      <c r="S207" s="11">
        <f t="shared" si="68"/>
        <v>10981.429800652264</v>
      </c>
      <c r="T207" s="23">
        <f t="shared" si="57"/>
        <v>418683.00627156132</v>
      </c>
      <c r="U207" s="37">
        <f t="shared" si="58"/>
        <v>1</v>
      </c>
      <c r="V207" s="37">
        <f t="shared" si="70"/>
        <v>187</v>
      </c>
      <c r="X207" s="31">
        <f t="shared" si="59"/>
        <v>10645.285496251641</v>
      </c>
      <c r="Y207" s="34">
        <f t="shared" si="78"/>
        <v>1.3262114102179174</v>
      </c>
      <c r="Z207" s="31">
        <f t="shared" si="60"/>
        <v>0</v>
      </c>
      <c r="AA207" s="66">
        <f t="shared" si="61"/>
        <v>25750</v>
      </c>
      <c r="AB207" s="6">
        <f t="shared" si="62"/>
        <v>0</v>
      </c>
      <c r="AC207" s="48">
        <f t="shared" si="74"/>
        <v>0</v>
      </c>
    </row>
    <row r="208" spans="3:29" x14ac:dyDescent="0.25">
      <c r="C208" s="27">
        <f t="shared" si="63"/>
        <v>188</v>
      </c>
      <c r="D208" s="30">
        <f t="shared" si="64"/>
        <v>418683.00627156132</v>
      </c>
      <c r="E208" s="20">
        <f t="shared" si="69"/>
        <v>10160</v>
      </c>
      <c r="F208" s="20">
        <f t="shared" si="53"/>
        <v>6252.291941465428</v>
      </c>
      <c r="G208" s="21">
        <f t="shared" si="54"/>
        <v>3907.7080585345725</v>
      </c>
      <c r="H208" s="24">
        <f t="shared" si="65"/>
        <v>184.22052275948698</v>
      </c>
      <c r="I208" s="21">
        <f t="shared" si="72"/>
        <v>0</v>
      </c>
      <c r="J208" s="63">
        <f t="shared" si="66"/>
        <v>0</v>
      </c>
      <c r="K208" s="66">
        <f t="shared" si="71"/>
        <v>625.23328936553162</v>
      </c>
      <c r="L208" s="17"/>
      <c r="M208" s="23">
        <f t="shared" si="67"/>
        <v>0</v>
      </c>
      <c r="N208" s="23">
        <f t="shared" si="55"/>
        <v>0</v>
      </c>
      <c r="O208" s="23">
        <f t="shared" si="56"/>
        <v>0</v>
      </c>
      <c r="P208" s="17"/>
      <c r="Q208" s="19">
        <f>IF(C208="","",'Tabla_Puntual&amp;Relacionamiento'!$E$83)</f>
        <v>0.112</v>
      </c>
      <c r="R208" s="19"/>
      <c r="S208" s="11">
        <f t="shared" si="68"/>
        <v>10969.453812125019</v>
      </c>
      <c r="T208" s="23">
        <f t="shared" si="57"/>
        <v>412430.71433009591</v>
      </c>
      <c r="U208" s="37">
        <f t="shared" si="58"/>
        <v>1</v>
      </c>
      <c r="V208" s="37">
        <f t="shared" si="70"/>
        <v>188</v>
      </c>
      <c r="X208" s="31">
        <f t="shared" si="59"/>
        <v>10642.55992644889</v>
      </c>
      <c r="Y208" s="34">
        <f t="shared" si="78"/>
        <v>1.3262114102179174</v>
      </c>
      <c r="Z208" s="31">
        <f t="shared" si="60"/>
        <v>0</v>
      </c>
      <c r="AA208" s="66">
        <f t="shared" si="61"/>
        <v>25750</v>
      </c>
      <c r="AB208" s="6">
        <f t="shared" si="62"/>
        <v>0</v>
      </c>
      <c r="AC208" s="48">
        <f t="shared" si="74"/>
        <v>0</v>
      </c>
    </row>
    <row r="209" spans="3:29" x14ac:dyDescent="0.25">
      <c r="C209" s="27">
        <f t="shared" si="63"/>
        <v>189</v>
      </c>
      <c r="D209" s="30">
        <f t="shared" si="64"/>
        <v>412430.71433009591</v>
      </c>
      <c r="E209" s="20">
        <f t="shared" si="69"/>
        <v>10160</v>
      </c>
      <c r="F209" s="20">
        <f t="shared" si="53"/>
        <v>6310.6466662524381</v>
      </c>
      <c r="G209" s="21">
        <f t="shared" si="54"/>
        <v>3849.3533337475624</v>
      </c>
      <c r="H209" s="24">
        <f t="shared" si="65"/>
        <v>181.4695143052422</v>
      </c>
      <c r="I209" s="21">
        <f t="shared" si="72"/>
        <v>0</v>
      </c>
      <c r="J209" s="63">
        <f t="shared" si="66"/>
        <v>0</v>
      </c>
      <c r="K209" s="66">
        <f t="shared" si="71"/>
        <v>615.89653339961001</v>
      </c>
      <c r="L209" s="17"/>
      <c r="M209" s="23">
        <f t="shared" si="67"/>
        <v>0</v>
      </c>
      <c r="N209" s="23">
        <f t="shared" si="55"/>
        <v>0</v>
      </c>
      <c r="O209" s="23">
        <f t="shared" si="56"/>
        <v>0</v>
      </c>
      <c r="P209" s="17"/>
      <c r="Q209" s="19">
        <f>IF(C209="","",'Tabla_Puntual&amp;Relacionamiento'!$E$83)</f>
        <v>0.112</v>
      </c>
      <c r="R209" s="19"/>
      <c r="S209" s="11">
        <f t="shared" si="68"/>
        <v>10957.366047704851</v>
      </c>
      <c r="T209" s="23">
        <f t="shared" si="57"/>
        <v>406120.06766384345</v>
      </c>
      <c r="U209" s="37">
        <f t="shared" si="58"/>
        <v>1</v>
      </c>
      <c r="V209" s="37">
        <f t="shared" si="70"/>
        <v>189</v>
      </c>
      <c r="X209" s="31">
        <f t="shared" si="59"/>
        <v>10639.808917994644</v>
      </c>
      <c r="Y209" s="34">
        <f t="shared" si="78"/>
        <v>1.3262114102179174</v>
      </c>
      <c r="Z209" s="31">
        <f t="shared" si="60"/>
        <v>0</v>
      </c>
      <c r="AA209" s="66">
        <f t="shared" si="61"/>
        <v>25750</v>
      </c>
      <c r="AB209" s="6">
        <f t="shared" si="62"/>
        <v>0</v>
      </c>
      <c r="AC209" s="48">
        <f t="shared" si="74"/>
        <v>0</v>
      </c>
    </row>
    <row r="210" spans="3:29" x14ac:dyDescent="0.25">
      <c r="C210" s="27">
        <f t="shared" si="63"/>
        <v>190</v>
      </c>
      <c r="D210" s="30">
        <f t="shared" si="64"/>
        <v>406120.06766384345</v>
      </c>
      <c r="E210" s="20">
        <f t="shared" si="69"/>
        <v>10160</v>
      </c>
      <c r="F210" s="20">
        <f t="shared" si="53"/>
        <v>6369.5460351374604</v>
      </c>
      <c r="G210" s="21">
        <f t="shared" si="54"/>
        <v>3790.4539648625391</v>
      </c>
      <c r="H210" s="24">
        <f t="shared" si="65"/>
        <v>178.69282977209113</v>
      </c>
      <c r="I210" s="21">
        <f t="shared" si="72"/>
        <v>0</v>
      </c>
      <c r="J210" s="63">
        <f t="shared" si="66"/>
        <v>0</v>
      </c>
      <c r="K210" s="66">
        <f t="shared" si="71"/>
        <v>606.47263437800632</v>
      </c>
      <c r="L210" s="17"/>
      <c r="M210" s="23">
        <f t="shared" si="67"/>
        <v>0</v>
      </c>
      <c r="N210" s="23">
        <f t="shared" si="55"/>
        <v>0</v>
      </c>
      <c r="O210" s="23">
        <f t="shared" si="56"/>
        <v>0</v>
      </c>
      <c r="P210" s="17"/>
      <c r="Q210" s="19">
        <f>IF(C210="","",'Tabla_Puntual&amp;Relacionamiento'!$E$83)</f>
        <v>0.112</v>
      </c>
      <c r="R210" s="19"/>
      <c r="S210" s="11">
        <f t="shared" si="68"/>
        <v>10945.165464150097</v>
      </c>
      <c r="T210" s="23">
        <f t="shared" si="57"/>
        <v>399750.52162870602</v>
      </c>
      <c r="U210" s="37">
        <f t="shared" si="58"/>
        <v>1</v>
      </c>
      <c r="V210" s="37">
        <f t="shared" si="70"/>
        <v>190</v>
      </c>
      <c r="X210" s="31">
        <f t="shared" si="59"/>
        <v>10637.032233461494</v>
      </c>
      <c r="Y210" s="34">
        <f t="shared" si="78"/>
        <v>1.3262114102179174</v>
      </c>
      <c r="Z210" s="31">
        <f t="shared" si="60"/>
        <v>0</v>
      </c>
      <c r="AA210" s="66">
        <f t="shared" si="61"/>
        <v>25750</v>
      </c>
      <c r="AB210" s="6">
        <f t="shared" si="62"/>
        <v>0</v>
      </c>
      <c r="AC210" s="48">
        <f t="shared" si="74"/>
        <v>0</v>
      </c>
    </row>
    <row r="211" spans="3:29" x14ac:dyDescent="0.25">
      <c r="C211" s="27">
        <f t="shared" si="63"/>
        <v>191</v>
      </c>
      <c r="D211" s="30">
        <f t="shared" si="64"/>
        <v>399750.52162870602</v>
      </c>
      <c r="E211" s="20">
        <f t="shared" si="69"/>
        <v>10160</v>
      </c>
      <c r="F211" s="20">
        <f t="shared" si="53"/>
        <v>6428.9951314654099</v>
      </c>
      <c r="G211" s="21">
        <f t="shared" si="54"/>
        <v>3731.0048685345896</v>
      </c>
      <c r="H211" s="24">
        <f t="shared" si="65"/>
        <v>175.89022951663065</v>
      </c>
      <c r="I211" s="21">
        <f t="shared" si="72"/>
        <v>0</v>
      </c>
      <c r="J211" s="63">
        <f t="shared" si="66"/>
        <v>0</v>
      </c>
      <c r="K211" s="66">
        <f t="shared" si="71"/>
        <v>596.96077896553436</v>
      </c>
      <c r="L211" s="17"/>
      <c r="M211" s="23">
        <f t="shared" si="67"/>
        <v>0</v>
      </c>
      <c r="N211" s="23">
        <f t="shared" si="55"/>
        <v>0</v>
      </c>
      <c r="O211" s="23">
        <f t="shared" si="56"/>
        <v>0</v>
      </c>
      <c r="P211" s="17"/>
      <c r="Q211" s="19">
        <f>IF(C211="","",'Tabla_Puntual&amp;Relacionamiento'!$E$83)</f>
        <v>0.112</v>
      </c>
      <c r="R211" s="19"/>
      <c r="S211" s="11">
        <f t="shared" si="68"/>
        <v>10932.851008482165</v>
      </c>
      <c r="T211" s="23">
        <f t="shared" si="57"/>
        <v>393321.52649724059</v>
      </c>
      <c r="U211" s="37">
        <f t="shared" si="58"/>
        <v>1</v>
      </c>
      <c r="V211" s="37">
        <f t="shared" si="70"/>
        <v>191</v>
      </c>
      <c r="X211" s="31">
        <f t="shared" si="59"/>
        <v>10634.229633206032</v>
      </c>
      <c r="Y211" s="34">
        <f t="shared" si="78"/>
        <v>1.3262114102179174</v>
      </c>
      <c r="Z211" s="31">
        <f t="shared" si="60"/>
        <v>0</v>
      </c>
      <c r="AA211" s="66">
        <f t="shared" si="61"/>
        <v>25750</v>
      </c>
      <c r="AB211" s="6">
        <f t="shared" si="62"/>
        <v>0</v>
      </c>
      <c r="AC211" s="48">
        <f t="shared" si="74"/>
        <v>0</v>
      </c>
    </row>
    <row r="212" spans="3:29" x14ac:dyDescent="0.25">
      <c r="C212" s="27">
        <f t="shared" si="63"/>
        <v>192</v>
      </c>
      <c r="D212" s="30">
        <f t="shared" si="64"/>
        <v>393321.52649724059</v>
      </c>
      <c r="E212" s="20">
        <f t="shared" si="69"/>
        <v>10160</v>
      </c>
      <c r="F212" s="20">
        <f t="shared" si="53"/>
        <v>6488.9990860257549</v>
      </c>
      <c r="G212" s="21">
        <f t="shared" si="54"/>
        <v>3671.0009139742456</v>
      </c>
      <c r="H212" s="24">
        <f t="shared" si="65"/>
        <v>173.06147165878585</v>
      </c>
      <c r="I212" s="21">
        <f t="shared" si="72"/>
        <v>0</v>
      </c>
      <c r="J212" s="63">
        <f t="shared" si="66"/>
        <v>0</v>
      </c>
      <c r="K212" s="66">
        <f t="shared" si="71"/>
        <v>587.36014623587926</v>
      </c>
      <c r="L212" s="17"/>
      <c r="M212" s="23">
        <f t="shared" si="67"/>
        <v>0</v>
      </c>
      <c r="N212" s="23">
        <f t="shared" si="55"/>
        <v>0</v>
      </c>
      <c r="O212" s="23">
        <f t="shared" si="56"/>
        <v>0</v>
      </c>
      <c r="P212" s="17"/>
      <c r="Q212" s="19">
        <f>IF(C212="","",'Tabla_Puntual&amp;Relacionamiento'!$E$83)</f>
        <v>0.112</v>
      </c>
      <c r="R212" s="19"/>
      <c r="S212" s="11">
        <f t="shared" si="68"/>
        <v>10920.421617894666</v>
      </c>
      <c r="T212" s="23">
        <f t="shared" si="57"/>
        <v>386832.52741121483</v>
      </c>
      <c r="U212" s="37">
        <f t="shared" si="58"/>
        <v>1</v>
      </c>
      <c r="V212" s="37">
        <f t="shared" si="70"/>
        <v>192</v>
      </c>
      <c r="X212" s="31">
        <f t="shared" si="59"/>
        <v>10631.400875348188</v>
      </c>
      <c r="Y212" s="34">
        <f t="shared" si="78"/>
        <v>1.3262114102179174</v>
      </c>
      <c r="Z212" s="31">
        <f t="shared" si="60"/>
        <v>0</v>
      </c>
      <c r="AA212" s="66">
        <f t="shared" si="61"/>
        <v>25750</v>
      </c>
      <c r="AB212" s="6">
        <f t="shared" si="62"/>
        <v>0</v>
      </c>
      <c r="AC212" s="48">
        <f t="shared" si="74"/>
        <v>0</v>
      </c>
    </row>
    <row r="213" spans="3:29" x14ac:dyDescent="0.25">
      <c r="C213" s="27">
        <f t="shared" si="63"/>
        <v>193</v>
      </c>
      <c r="D213" s="30">
        <f t="shared" si="64"/>
        <v>386832.52741121483</v>
      </c>
      <c r="E213" s="20">
        <f t="shared" si="69"/>
        <v>10160</v>
      </c>
      <c r="F213" s="20">
        <f t="shared" ref="F213:F276" si="79">IF(C213="","",E213-G213+P213+M213)</f>
        <v>6549.5630774953279</v>
      </c>
      <c r="G213" s="21">
        <f t="shared" ref="G213:G276" si="80">IF(C213="","",IF(T212*(Q213/12)&lt;0,"",T212*(Q213/12)))</f>
        <v>3610.4369225046721</v>
      </c>
      <c r="H213" s="24">
        <f t="shared" si="65"/>
        <v>170.20631206093452</v>
      </c>
      <c r="I213" s="21">
        <f t="shared" si="72"/>
        <v>0</v>
      </c>
      <c r="J213" s="63">
        <f t="shared" si="66"/>
        <v>0</v>
      </c>
      <c r="K213" s="66">
        <f t="shared" si="71"/>
        <v>577.66990760074759</v>
      </c>
      <c r="L213" s="17"/>
      <c r="M213" s="23">
        <f t="shared" si="67"/>
        <v>0</v>
      </c>
      <c r="N213" s="23">
        <f t="shared" ref="N213:N276" si="81">IF(C213="","",(L213+P213)*$J$12)</f>
        <v>0</v>
      </c>
      <c r="O213" s="23">
        <f t="shared" ref="O213:O276" si="82">IF(C213="","",((L213+P213)*$J$12)*0.16)</f>
        <v>0</v>
      </c>
      <c r="P213" s="17"/>
      <c r="Q213" s="19">
        <f>IF(C213="","",'Tabla_Puntual&amp;Relacionamiento'!$E$84)</f>
        <v>0.112</v>
      </c>
      <c r="R213" s="19" t="str">
        <f>IF(C213="","",IF($E$14="Pago_Bajo_Puntual",$M$17,""))</f>
        <v/>
      </c>
      <c r="S213" s="11">
        <f t="shared" si="68"/>
        <v>10907.876219661683</v>
      </c>
      <c r="T213" s="23">
        <f t="shared" ref="T213:T276" si="83">IF(C213="","",T212-F213)</f>
        <v>380282.96433371952</v>
      </c>
      <c r="U213" s="37">
        <f t="shared" ref="U213:U276" si="84">IF(C213="","",1)</f>
        <v>1</v>
      </c>
      <c r="V213" s="37">
        <f t="shared" si="70"/>
        <v>193</v>
      </c>
      <c r="X213" s="31">
        <f t="shared" ref="X213:X276" si="85">IF(C213="","",IF($D$17="SI",AB213,
IF(ISNUMBER(V213),IF($E$14="Pago_Fijo_Puntual",PMT(Q213/12,$E$15*12,-$J$9),
Y213*$J$15*$J$9/1000)+H213+AB213+P213+I213/1.16+$Q$15,0)))</f>
        <v>10628.545715750337</v>
      </c>
      <c r="Y213" s="34">
        <f>Y212*1.019</f>
        <v>1.3514094270120578</v>
      </c>
      <c r="Z213" s="31">
        <f t="shared" ref="Z213:Z276" si="86">IF($AA$20=0,0,IF(M213&gt;AA212,MAX(0,M213-AA212),M213))</f>
        <v>0</v>
      </c>
      <c r="AA213" s="66">
        <f t="shared" ref="AA213:AA276" si="87">IFERROR(MAX(0,AA212-M213),0)</f>
        <v>25750</v>
      </c>
      <c r="AB213" s="6">
        <f t="shared" ref="AB213:AB276" si="88">IF($D$17="NO",M213,IF(AA213&gt;0,0,Z213))</f>
        <v>0</v>
      </c>
      <c r="AC213" s="48">
        <f>AC212+$M$17</f>
        <v>0</v>
      </c>
    </row>
    <row r="214" spans="3:29" x14ac:dyDescent="0.25">
      <c r="C214" s="27">
        <f t="shared" ref="C214:C277" si="89">IF(OR(C213="",T213&lt;=0),"",IF(C213+1&lt;=E$15*12,C213+1,""))</f>
        <v>194</v>
      </c>
      <c r="D214" s="30">
        <f t="shared" ref="D214:D277" si="90">IF(T213&lt;=0,"",T213)</f>
        <v>380282.96433371952</v>
      </c>
      <c r="E214" s="20">
        <f t="shared" si="69"/>
        <v>10160</v>
      </c>
      <c r="F214" s="20">
        <f t="shared" si="79"/>
        <v>6610.6923328852845</v>
      </c>
      <c r="G214" s="21">
        <f t="shared" si="80"/>
        <v>3549.307667114716</v>
      </c>
      <c r="H214" s="24">
        <f t="shared" ref="H214:H277" si="91">IF(C214="","",L$12*T213/1000)</f>
        <v>167.32450430683659</v>
      </c>
      <c r="I214" s="21">
        <f t="shared" si="72"/>
        <v>0</v>
      </c>
      <c r="J214" s="63">
        <f t="shared" ref="J214:J277" si="92">IF($D$17="SI",0,IF(D214="","",$Q$15))</f>
        <v>0</v>
      </c>
      <c r="K214" s="66">
        <f t="shared" si="71"/>
        <v>567.88922673835452</v>
      </c>
      <c r="L214" s="17"/>
      <c r="M214" s="23">
        <f t="shared" ref="M214:M277" si="93">IF(C214="","",IF(L214="",0,L214-N214-O214))</f>
        <v>0</v>
      </c>
      <c r="N214" s="23">
        <f t="shared" si="81"/>
        <v>0</v>
      </c>
      <c r="O214" s="23">
        <f t="shared" si="82"/>
        <v>0</v>
      </c>
      <c r="P214" s="17"/>
      <c r="Q214" s="19">
        <f>IF(C214="","",'Tabla_Puntual&amp;Relacionamiento'!$E$84)</f>
        <v>0.112</v>
      </c>
      <c r="R214" s="19"/>
      <c r="S214" s="11">
        <f t="shared" ref="S214:S277" si="94">IF(C214="","",IF($K$19="",E214+H214+I214+J214+L214+P214,E214+H214+I214+J214+K214+L214+P214))</f>
        <v>10895.213731045191</v>
      </c>
      <c r="T214" s="23">
        <f t="shared" si="83"/>
        <v>373672.27200083423</v>
      </c>
      <c r="U214" s="37">
        <f t="shared" si="84"/>
        <v>1</v>
      </c>
      <c r="V214" s="37">
        <f t="shared" si="70"/>
        <v>194</v>
      </c>
      <c r="X214" s="31">
        <f t="shared" si="85"/>
        <v>10625.663907996239</v>
      </c>
      <c r="Y214" s="34">
        <f t="shared" ref="Y214:Y224" si="95">Y213</f>
        <v>1.3514094270120578</v>
      </c>
      <c r="Z214" s="31">
        <f t="shared" si="86"/>
        <v>0</v>
      </c>
      <c r="AA214" s="66">
        <f t="shared" si="87"/>
        <v>25750</v>
      </c>
      <c r="AB214" s="6">
        <f t="shared" si="88"/>
        <v>0</v>
      </c>
      <c r="AC214" s="48">
        <f t="shared" si="74"/>
        <v>0</v>
      </c>
    </row>
    <row r="215" spans="3:29" x14ac:dyDescent="0.25">
      <c r="C215" s="27">
        <f t="shared" si="89"/>
        <v>195</v>
      </c>
      <c r="D215" s="30">
        <f t="shared" si="90"/>
        <v>373672.27200083423</v>
      </c>
      <c r="E215" s="20">
        <f t="shared" ref="E215:E278" si="96">IF(C215="","",IF(T214&lt;E214,T214+G215,IF($E$14="Pago_Fijo_Puntual",$J$9*$J$15/1000,IF($E$14="Pago_Bajo_Puntual",E214+(E214*R215)))))</f>
        <v>10160</v>
      </c>
      <c r="F215" s="20">
        <f t="shared" si="79"/>
        <v>6672.3921279922142</v>
      </c>
      <c r="G215" s="21">
        <f t="shared" si="80"/>
        <v>3487.6078720077862</v>
      </c>
      <c r="H215" s="24">
        <f t="shared" si="91"/>
        <v>164.41579968036706</v>
      </c>
      <c r="I215" s="21">
        <f t="shared" si="72"/>
        <v>0</v>
      </c>
      <c r="J215" s="63">
        <f t="shared" si="92"/>
        <v>0</v>
      </c>
      <c r="K215" s="66">
        <f t="shared" si="71"/>
        <v>558.01725952124582</v>
      </c>
      <c r="L215" s="17"/>
      <c r="M215" s="23">
        <f t="shared" si="93"/>
        <v>0</v>
      </c>
      <c r="N215" s="23">
        <f t="shared" si="81"/>
        <v>0</v>
      </c>
      <c r="O215" s="23">
        <f t="shared" si="82"/>
        <v>0</v>
      </c>
      <c r="P215" s="17"/>
      <c r="Q215" s="19">
        <f>IF(C215="","",'Tabla_Puntual&amp;Relacionamiento'!$E$84)</f>
        <v>0.112</v>
      </c>
      <c r="R215" s="19"/>
      <c r="S215" s="11">
        <f t="shared" si="94"/>
        <v>10882.433059201614</v>
      </c>
      <c r="T215" s="23">
        <f t="shared" si="83"/>
        <v>366999.87987284199</v>
      </c>
      <c r="U215" s="37">
        <f t="shared" si="84"/>
        <v>1</v>
      </c>
      <c r="V215" s="37">
        <f t="shared" ref="V215:V278" si="97">C215</f>
        <v>195</v>
      </c>
      <c r="X215" s="31">
        <f t="shared" si="85"/>
        <v>10622.75520336977</v>
      </c>
      <c r="Y215" s="34">
        <f t="shared" si="95"/>
        <v>1.3514094270120578</v>
      </c>
      <c r="Z215" s="31">
        <f t="shared" si="86"/>
        <v>0</v>
      </c>
      <c r="AA215" s="66">
        <f t="shared" si="87"/>
        <v>25750</v>
      </c>
      <c r="AB215" s="6">
        <f t="shared" si="88"/>
        <v>0</v>
      </c>
      <c r="AC215" s="48">
        <f t="shared" si="74"/>
        <v>0</v>
      </c>
    </row>
    <row r="216" spans="3:29" x14ac:dyDescent="0.25">
      <c r="C216" s="27">
        <f t="shared" si="89"/>
        <v>196</v>
      </c>
      <c r="D216" s="30">
        <f t="shared" si="90"/>
        <v>366999.87987284199</v>
      </c>
      <c r="E216" s="20">
        <f t="shared" si="96"/>
        <v>10160</v>
      </c>
      <c r="F216" s="20">
        <f t="shared" si="79"/>
        <v>6734.6677878534738</v>
      </c>
      <c r="G216" s="21">
        <f t="shared" si="80"/>
        <v>3425.3322121465258</v>
      </c>
      <c r="H216" s="24">
        <f t="shared" si="91"/>
        <v>161.47994714405047</v>
      </c>
      <c r="I216" s="21">
        <f t="shared" si="72"/>
        <v>0</v>
      </c>
      <c r="J216" s="63">
        <f t="shared" si="92"/>
        <v>0</v>
      </c>
      <c r="K216" s="66">
        <f t="shared" ref="K216:K279" si="98">IFERROR(IF($E$8="Liquidez",G216*0.16,IF(AND($E$8="Pago_Hipoteca+Liquidez",$E$16="Liquidez"),G216*0.16,"")),"")</f>
        <v>548.05315394344416</v>
      </c>
      <c r="L216" s="17"/>
      <c r="M216" s="23">
        <f t="shared" si="93"/>
        <v>0</v>
      </c>
      <c r="N216" s="23">
        <f t="shared" si="81"/>
        <v>0</v>
      </c>
      <c r="O216" s="23">
        <f t="shared" si="82"/>
        <v>0</v>
      </c>
      <c r="P216" s="17"/>
      <c r="Q216" s="19">
        <f>IF(C216="","",'Tabla_Puntual&amp;Relacionamiento'!$E$84)</f>
        <v>0.112</v>
      </c>
      <c r="R216" s="19"/>
      <c r="S216" s="11">
        <f t="shared" si="94"/>
        <v>10869.533101087494</v>
      </c>
      <c r="T216" s="23">
        <f t="shared" si="83"/>
        <v>360265.21208498854</v>
      </c>
      <c r="U216" s="37">
        <f t="shared" si="84"/>
        <v>1</v>
      </c>
      <c r="V216" s="37">
        <f t="shared" si="97"/>
        <v>196</v>
      </c>
      <c r="X216" s="31">
        <f t="shared" si="85"/>
        <v>10619.819350833453</v>
      </c>
      <c r="Y216" s="34">
        <f t="shared" si="95"/>
        <v>1.3514094270120578</v>
      </c>
      <c r="Z216" s="31">
        <f t="shared" si="86"/>
        <v>0</v>
      </c>
      <c r="AA216" s="66">
        <f t="shared" si="87"/>
        <v>25750</v>
      </c>
      <c r="AB216" s="6">
        <f t="shared" si="88"/>
        <v>0</v>
      </c>
      <c r="AC216" s="48">
        <f t="shared" si="74"/>
        <v>0</v>
      </c>
    </row>
    <row r="217" spans="3:29" x14ac:dyDescent="0.25">
      <c r="C217" s="27">
        <f t="shared" si="89"/>
        <v>197</v>
      </c>
      <c r="D217" s="30">
        <f t="shared" si="90"/>
        <v>360265.21208498854</v>
      </c>
      <c r="E217" s="20">
        <f t="shared" si="96"/>
        <v>10160</v>
      </c>
      <c r="F217" s="20">
        <f t="shared" si="79"/>
        <v>6797.5246872067728</v>
      </c>
      <c r="G217" s="21">
        <f t="shared" si="80"/>
        <v>3362.4753127932267</v>
      </c>
      <c r="H217" s="24">
        <f t="shared" si="91"/>
        <v>158.51669331739495</v>
      </c>
      <c r="I217" s="21">
        <f t="shared" ref="I217:I280" si="99">IF(C217="","",IF(AND($E$8="Pago_Hipoteca+Liquidez",$E$16="Liquidez"),0,IF((($J$8*0.8)*($N$12/1.16))&gt;T216*($N$12/1.16),($J$8*0.8)*($N$12/1.16),($N$12/1.16)*T216)/1000))</f>
        <v>0</v>
      </c>
      <c r="J217" s="63">
        <f t="shared" si="92"/>
        <v>0</v>
      </c>
      <c r="K217" s="66">
        <f t="shared" si="98"/>
        <v>537.99605004691625</v>
      </c>
      <c r="L217" s="17"/>
      <c r="M217" s="23">
        <f t="shared" si="93"/>
        <v>0</v>
      </c>
      <c r="N217" s="23">
        <f t="shared" si="81"/>
        <v>0</v>
      </c>
      <c r="O217" s="23">
        <f t="shared" si="82"/>
        <v>0</v>
      </c>
      <c r="P217" s="17"/>
      <c r="Q217" s="19">
        <f>IF(C217="","",'Tabla_Puntual&amp;Relacionamiento'!$E$84)</f>
        <v>0.112</v>
      </c>
      <c r="R217" s="19"/>
      <c r="S217" s="11">
        <f t="shared" si="94"/>
        <v>10856.512743364312</v>
      </c>
      <c r="T217" s="23">
        <f t="shared" si="83"/>
        <v>353467.68739778176</v>
      </c>
      <c r="U217" s="37">
        <f t="shared" si="84"/>
        <v>1</v>
      </c>
      <c r="V217" s="37">
        <f t="shared" si="97"/>
        <v>197</v>
      </c>
      <c r="X217" s="31">
        <f t="shared" si="85"/>
        <v>10616.856097006797</v>
      </c>
      <c r="Y217" s="34">
        <f t="shared" si="95"/>
        <v>1.3514094270120578</v>
      </c>
      <c r="Z217" s="31">
        <f t="shared" si="86"/>
        <v>0</v>
      </c>
      <c r="AA217" s="66">
        <f t="shared" si="87"/>
        <v>25750</v>
      </c>
      <c r="AB217" s="6">
        <f t="shared" si="88"/>
        <v>0</v>
      </c>
      <c r="AC217" s="48">
        <f t="shared" si="74"/>
        <v>0</v>
      </c>
    </row>
    <row r="218" spans="3:29" x14ac:dyDescent="0.25">
      <c r="C218" s="27">
        <f t="shared" si="89"/>
        <v>198</v>
      </c>
      <c r="D218" s="30">
        <f t="shared" si="90"/>
        <v>353467.68739778176</v>
      </c>
      <c r="E218" s="20">
        <f t="shared" si="96"/>
        <v>10160</v>
      </c>
      <c r="F218" s="20">
        <f t="shared" si="79"/>
        <v>6860.9682509540362</v>
      </c>
      <c r="G218" s="21">
        <f t="shared" si="80"/>
        <v>3299.0317490459634</v>
      </c>
      <c r="H218" s="24">
        <f t="shared" si="91"/>
        <v>155.525782455024</v>
      </c>
      <c r="I218" s="21">
        <f t="shared" si="99"/>
        <v>0</v>
      </c>
      <c r="J218" s="63">
        <f t="shared" si="92"/>
        <v>0</v>
      </c>
      <c r="K218" s="66">
        <f t="shared" si="98"/>
        <v>527.8450798473541</v>
      </c>
      <c r="L218" s="17"/>
      <c r="M218" s="23">
        <f t="shared" si="93"/>
        <v>0</v>
      </c>
      <c r="N218" s="23">
        <f t="shared" si="81"/>
        <v>0</v>
      </c>
      <c r="O218" s="23">
        <f t="shared" si="82"/>
        <v>0</v>
      </c>
      <c r="P218" s="17"/>
      <c r="Q218" s="19">
        <f>IF(C218="","",'Tabla_Puntual&amp;Relacionamiento'!$E$84)</f>
        <v>0.112</v>
      </c>
      <c r="R218" s="19"/>
      <c r="S218" s="11">
        <f t="shared" si="94"/>
        <v>10843.370862302378</v>
      </c>
      <c r="T218" s="23">
        <f t="shared" si="83"/>
        <v>346606.7191468277</v>
      </c>
      <c r="U218" s="37">
        <f t="shared" si="84"/>
        <v>1</v>
      </c>
      <c r="V218" s="37">
        <f t="shared" si="97"/>
        <v>198</v>
      </c>
      <c r="X218" s="31">
        <f t="shared" si="85"/>
        <v>10613.865186144427</v>
      </c>
      <c r="Y218" s="34">
        <f t="shared" si="95"/>
        <v>1.3514094270120578</v>
      </c>
      <c r="Z218" s="31">
        <f t="shared" si="86"/>
        <v>0</v>
      </c>
      <c r="AA218" s="66">
        <f t="shared" si="87"/>
        <v>25750</v>
      </c>
      <c r="AB218" s="6">
        <f t="shared" si="88"/>
        <v>0</v>
      </c>
      <c r="AC218" s="48">
        <f t="shared" si="74"/>
        <v>0</v>
      </c>
    </row>
    <row r="219" spans="3:29" x14ac:dyDescent="0.25">
      <c r="C219" s="27">
        <f t="shared" si="89"/>
        <v>199</v>
      </c>
      <c r="D219" s="30">
        <f t="shared" si="90"/>
        <v>346606.7191468277</v>
      </c>
      <c r="E219" s="20">
        <f t="shared" si="96"/>
        <v>10160</v>
      </c>
      <c r="F219" s="20">
        <f t="shared" si="79"/>
        <v>6925.0039546296084</v>
      </c>
      <c r="G219" s="21">
        <f t="shared" si="80"/>
        <v>3234.996045370392</v>
      </c>
      <c r="H219" s="24">
        <f t="shared" si="91"/>
        <v>152.5069564246042</v>
      </c>
      <c r="I219" s="21">
        <f t="shared" si="99"/>
        <v>0</v>
      </c>
      <c r="J219" s="63">
        <f t="shared" si="92"/>
        <v>0</v>
      </c>
      <c r="K219" s="66">
        <f t="shared" si="98"/>
        <v>517.59936725926275</v>
      </c>
      <c r="L219" s="17"/>
      <c r="M219" s="23">
        <f t="shared" si="93"/>
        <v>0</v>
      </c>
      <c r="N219" s="23">
        <f t="shared" si="81"/>
        <v>0</v>
      </c>
      <c r="O219" s="23">
        <f t="shared" si="82"/>
        <v>0</v>
      </c>
      <c r="P219" s="17"/>
      <c r="Q219" s="19">
        <f>IF(C219="","",'Tabla_Puntual&amp;Relacionamiento'!$E$84)</f>
        <v>0.112</v>
      </c>
      <c r="R219" s="19"/>
      <c r="S219" s="11">
        <f t="shared" si="94"/>
        <v>10830.106323683867</v>
      </c>
      <c r="T219" s="23">
        <f t="shared" si="83"/>
        <v>339681.71519219811</v>
      </c>
      <c r="U219" s="37">
        <f t="shared" si="84"/>
        <v>1</v>
      </c>
      <c r="V219" s="37">
        <f t="shared" si="97"/>
        <v>199</v>
      </c>
      <c r="X219" s="31">
        <f t="shared" si="85"/>
        <v>10610.846360114007</v>
      </c>
      <c r="Y219" s="34">
        <f t="shared" si="95"/>
        <v>1.3514094270120578</v>
      </c>
      <c r="Z219" s="31">
        <f t="shared" si="86"/>
        <v>0</v>
      </c>
      <c r="AA219" s="66">
        <f t="shared" si="87"/>
        <v>25750</v>
      </c>
      <c r="AB219" s="6">
        <f t="shared" si="88"/>
        <v>0</v>
      </c>
      <c r="AC219" s="48">
        <f t="shared" si="74"/>
        <v>0</v>
      </c>
    </row>
    <row r="220" spans="3:29" x14ac:dyDescent="0.25">
      <c r="C220" s="27">
        <f t="shared" si="89"/>
        <v>200</v>
      </c>
      <c r="D220" s="30">
        <f t="shared" si="90"/>
        <v>339681.71519219811</v>
      </c>
      <c r="E220" s="20">
        <f t="shared" si="96"/>
        <v>10160</v>
      </c>
      <c r="F220" s="20">
        <f t="shared" si="79"/>
        <v>6989.6373248728178</v>
      </c>
      <c r="G220" s="21">
        <f t="shared" si="80"/>
        <v>3170.3626751271827</v>
      </c>
      <c r="H220" s="24">
        <f t="shared" si="91"/>
        <v>149.45995468456718</v>
      </c>
      <c r="I220" s="21">
        <f t="shared" si="99"/>
        <v>0</v>
      </c>
      <c r="J220" s="63">
        <f t="shared" si="92"/>
        <v>0</v>
      </c>
      <c r="K220" s="66">
        <f t="shared" si="98"/>
        <v>507.25802802034923</v>
      </c>
      <c r="L220" s="17"/>
      <c r="M220" s="23">
        <f t="shared" si="93"/>
        <v>0</v>
      </c>
      <c r="N220" s="23">
        <f t="shared" si="81"/>
        <v>0</v>
      </c>
      <c r="O220" s="23">
        <f t="shared" si="82"/>
        <v>0</v>
      </c>
      <c r="P220" s="17"/>
      <c r="Q220" s="19">
        <f>IF(C220="","",'Tabla_Puntual&amp;Relacionamiento'!$E$84)</f>
        <v>0.112</v>
      </c>
      <c r="R220" s="19"/>
      <c r="S220" s="11">
        <f t="shared" si="94"/>
        <v>10816.717982704917</v>
      </c>
      <c r="T220" s="23">
        <f t="shared" si="83"/>
        <v>332692.07786732528</v>
      </c>
      <c r="U220" s="37">
        <f t="shared" si="84"/>
        <v>1</v>
      </c>
      <c r="V220" s="37">
        <f t="shared" si="97"/>
        <v>200</v>
      </c>
      <c r="X220" s="31">
        <f t="shared" si="85"/>
        <v>10607.79935837397</v>
      </c>
      <c r="Y220" s="34">
        <f t="shared" si="95"/>
        <v>1.3514094270120578</v>
      </c>
      <c r="Z220" s="31">
        <f t="shared" si="86"/>
        <v>0</v>
      </c>
      <c r="AA220" s="66">
        <f t="shared" si="87"/>
        <v>25750</v>
      </c>
      <c r="AB220" s="6">
        <f t="shared" si="88"/>
        <v>0</v>
      </c>
      <c r="AC220" s="48">
        <f t="shared" si="74"/>
        <v>0</v>
      </c>
    </row>
    <row r="221" spans="3:29" x14ac:dyDescent="0.25">
      <c r="C221" s="27">
        <f t="shared" si="89"/>
        <v>201</v>
      </c>
      <c r="D221" s="30">
        <f t="shared" si="90"/>
        <v>332692.07786732528</v>
      </c>
      <c r="E221" s="20">
        <f t="shared" si="96"/>
        <v>10160</v>
      </c>
      <c r="F221" s="20">
        <f t="shared" si="79"/>
        <v>7054.8739399049637</v>
      </c>
      <c r="G221" s="21">
        <f t="shared" si="80"/>
        <v>3105.1260600950363</v>
      </c>
      <c r="H221" s="24">
        <f t="shared" si="91"/>
        <v>146.38451426162311</v>
      </c>
      <c r="I221" s="21">
        <f t="shared" si="99"/>
        <v>0</v>
      </c>
      <c r="J221" s="63">
        <f t="shared" si="92"/>
        <v>0</v>
      </c>
      <c r="K221" s="66">
        <f t="shared" si="98"/>
        <v>496.82016961520583</v>
      </c>
      <c r="L221" s="17"/>
      <c r="M221" s="23">
        <f t="shared" si="93"/>
        <v>0</v>
      </c>
      <c r="N221" s="23">
        <f t="shared" si="81"/>
        <v>0</v>
      </c>
      <c r="O221" s="23">
        <f t="shared" si="82"/>
        <v>0</v>
      </c>
      <c r="P221" s="17"/>
      <c r="Q221" s="19">
        <f>IF(C221="","",'Tabla_Puntual&amp;Relacionamiento'!$E$84)</f>
        <v>0.112</v>
      </c>
      <c r="R221" s="19"/>
      <c r="S221" s="11">
        <f t="shared" si="94"/>
        <v>10803.204683876829</v>
      </c>
      <c r="T221" s="23">
        <f t="shared" si="83"/>
        <v>325637.20392742031</v>
      </c>
      <c r="U221" s="37">
        <f t="shared" si="84"/>
        <v>1</v>
      </c>
      <c r="V221" s="37">
        <f t="shared" si="97"/>
        <v>201</v>
      </c>
      <c r="X221" s="31">
        <f t="shared" si="85"/>
        <v>10604.723917951025</v>
      </c>
      <c r="Y221" s="34">
        <f t="shared" si="95"/>
        <v>1.3514094270120578</v>
      </c>
      <c r="Z221" s="31">
        <f t="shared" si="86"/>
        <v>0</v>
      </c>
      <c r="AA221" s="66">
        <f t="shared" si="87"/>
        <v>25750</v>
      </c>
      <c r="AB221" s="6">
        <f t="shared" si="88"/>
        <v>0</v>
      </c>
      <c r="AC221" s="48">
        <f t="shared" si="74"/>
        <v>0</v>
      </c>
    </row>
    <row r="222" spans="3:29" x14ac:dyDescent="0.25">
      <c r="C222" s="27">
        <f t="shared" si="89"/>
        <v>202</v>
      </c>
      <c r="D222" s="30">
        <f t="shared" si="90"/>
        <v>325637.20392742031</v>
      </c>
      <c r="E222" s="20">
        <f t="shared" si="96"/>
        <v>10160</v>
      </c>
      <c r="F222" s="20">
        <f t="shared" si="79"/>
        <v>7120.719430010744</v>
      </c>
      <c r="G222" s="21">
        <f t="shared" si="80"/>
        <v>3039.2805699892565</v>
      </c>
      <c r="H222" s="24">
        <f t="shared" si="91"/>
        <v>143.28036972806495</v>
      </c>
      <c r="I222" s="21">
        <f t="shared" si="99"/>
        <v>0</v>
      </c>
      <c r="J222" s="63">
        <f t="shared" si="92"/>
        <v>0</v>
      </c>
      <c r="K222" s="66">
        <f t="shared" si="98"/>
        <v>486.28489119828106</v>
      </c>
      <c r="L222" s="17"/>
      <c r="M222" s="23">
        <f t="shared" si="93"/>
        <v>0</v>
      </c>
      <c r="N222" s="23">
        <f t="shared" si="81"/>
        <v>0</v>
      </c>
      <c r="O222" s="23">
        <f t="shared" si="82"/>
        <v>0</v>
      </c>
      <c r="P222" s="17"/>
      <c r="Q222" s="19">
        <f>IF(C222="","",'Tabla_Puntual&amp;Relacionamiento'!$E$84)</f>
        <v>0.112</v>
      </c>
      <c r="R222" s="19"/>
      <c r="S222" s="11">
        <f t="shared" si="94"/>
        <v>10789.565260926347</v>
      </c>
      <c r="T222" s="23">
        <f t="shared" si="83"/>
        <v>318516.48449740955</v>
      </c>
      <c r="U222" s="37">
        <f t="shared" si="84"/>
        <v>1</v>
      </c>
      <c r="V222" s="37">
        <f t="shared" si="97"/>
        <v>202</v>
      </c>
      <c r="X222" s="31">
        <f t="shared" si="85"/>
        <v>10601.619773417468</v>
      </c>
      <c r="Y222" s="34">
        <f t="shared" si="95"/>
        <v>1.3514094270120578</v>
      </c>
      <c r="Z222" s="31">
        <f t="shared" si="86"/>
        <v>0</v>
      </c>
      <c r="AA222" s="66">
        <f t="shared" si="87"/>
        <v>25750</v>
      </c>
      <c r="AB222" s="6">
        <f t="shared" si="88"/>
        <v>0</v>
      </c>
      <c r="AC222" s="48">
        <f t="shared" si="74"/>
        <v>0</v>
      </c>
    </row>
    <row r="223" spans="3:29" x14ac:dyDescent="0.25">
      <c r="C223" s="27">
        <f t="shared" si="89"/>
        <v>203</v>
      </c>
      <c r="D223" s="30">
        <f t="shared" si="90"/>
        <v>318516.48449740955</v>
      </c>
      <c r="E223" s="20">
        <f t="shared" si="96"/>
        <v>10160</v>
      </c>
      <c r="F223" s="20">
        <f t="shared" si="79"/>
        <v>7187.1794780241771</v>
      </c>
      <c r="G223" s="21">
        <f t="shared" si="80"/>
        <v>2972.8205219758229</v>
      </c>
      <c r="H223" s="24">
        <f t="shared" si="91"/>
        <v>140.14725317886021</v>
      </c>
      <c r="I223" s="21">
        <f t="shared" si="99"/>
        <v>0</v>
      </c>
      <c r="J223" s="63">
        <f t="shared" si="92"/>
        <v>0</v>
      </c>
      <c r="K223" s="66">
        <f t="shared" si="98"/>
        <v>475.65128351613168</v>
      </c>
      <c r="L223" s="17"/>
      <c r="M223" s="23">
        <f t="shared" si="93"/>
        <v>0</v>
      </c>
      <c r="N223" s="23">
        <f t="shared" si="81"/>
        <v>0</v>
      </c>
      <c r="O223" s="23">
        <f t="shared" si="82"/>
        <v>0</v>
      </c>
      <c r="P223" s="17"/>
      <c r="Q223" s="19">
        <f>IF(C223="","",'Tabla_Puntual&amp;Relacionamiento'!$E$84)</f>
        <v>0.112</v>
      </c>
      <c r="R223" s="19"/>
      <c r="S223" s="11">
        <f t="shared" si="94"/>
        <v>10775.798536694992</v>
      </c>
      <c r="T223" s="23">
        <f t="shared" si="83"/>
        <v>311329.30501938536</v>
      </c>
      <c r="U223" s="37">
        <f t="shared" si="84"/>
        <v>1</v>
      </c>
      <c r="V223" s="37">
        <f t="shared" si="97"/>
        <v>203</v>
      </c>
      <c r="X223" s="31">
        <f t="shared" si="85"/>
        <v>10598.486656868263</v>
      </c>
      <c r="Y223" s="34">
        <f t="shared" si="95"/>
        <v>1.3514094270120578</v>
      </c>
      <c r="Z223" s="31">
        <f t="shared" si="86"/>
        <v>0</v>
      </c>
      <c r="AA223" s="66">
        <f t="shared" si="87"/>
        <v>25750</v>
      </c>
      <c r="AB223" s="6">
        <f t="shared" si="88"/>
        <v>0</v>
      </c>
      <c r="AC223" s="48">
        <f t="shared" si="74"/>
        <v>0</v>
      </c>
    </row>
    <row r="224" spans="3:29" x14ac:dyDescent="0.25">
      <c r="C224" s="27">
        <f t="shared" si="89"/>
        <v>204</v>
      </c>
      <c r="D224" s="30">
        <f t="shared" si="90"/>
        <v>311329.30501938536</v>
      </c>
      <c r="E224" s="20">
        <f t="shared" si="96"/>
        <v>10160</v>
      </c>
      <c r="F224" s="20">
        <f t="shared" si="79"/>
        <v>7254.2598198190699</v>
      </c>
      <c r="G224" s="21">
        <f t="shared" si="80"/>
        <v>2905.7401801809301</v>
      </c>
      <c r="H224" s="24">
        <f t="shared" si="91"/>
        <v>136.98489420852957</v>
      </c>
      <c r="I224" s="21">
        <f t="shared" si="99"/>
        <v>0</v>
      </c>
      <c r="J224" s="63">
        <f t="shared" si="92"/>
        <v>0</v>
      </c>
      <c r="K224" s="66">
        <f t="shared" si="98"/>
        <v>464.91842882894883</v>
      </c>
      <c r="L224" s="17"/>
      <c r="M224" s="23">
        <f t="shared" si="93"/>
        <v>0</v>
      </c>
      <c r="N224" s="23">
        <f t="shared" si="81"/>
        <v>0</v>
      </c>
      <c r="O224" s="23">
        <f t="shared" si="82"/>
        <v>0</v>
      </c>
      <c r="P224" s="17"/>
      <c r="Q224" s="19">
        <f>IF(C224="","",'Tabla_Puntual&amp;Relacionamiento'!$E$84)</f>
        <v>0.112</v>
      </c>
      <c r="R224" s="19"/>
      <c r="S224" s="11">
        <f t="shared" si="94"/>
        <v>10761.903323037479</v>
      </c>
      <c r="T224" s="23">
        <f t="shared" si="83"/>
        <v>304075.04519956629</v>
      </c>
      <c r="U224" s="37">
        <f t="shared" si="84"/>
        <v>1</v>
      </c>
      <c r="V224" s="37">
        <f t="shared" si="97"/>
        <v>204</v>
      </c>
      <c r="X224" s="31">
        <f t="shared" si="85"/>
        <v>10595.324297897932</v>
      </c>
      <c r="Y224" s="34">
        <f t="shared" si="95"/>
        <v>1.3514094270120578</v>
      </c>
      <c r="Z224" s="31">
        <f t="shared" si="86"/>
        <v>0</v>
      </c>
      <c r="AA224" s="66">
        <f t="shared" si="87"/>
        <v>25750</v>
      </c>
      <c r="AB224" s="6">
        <f t="shared" si="88"/>
        <v>0</v>
      </c>
      <c r="AC224" s="48">
        <f t="shared" si="74"/>
        <v>0</v>
      </c>
    </row>
    <row r="225" spans="3:29" x14ac:dyDescent="0.25">
      <c r="C225" s="27">
        <f t="shared" si="89"/>
        <v>205</v>
      </c>
      <c r="D225" s="30">
        <f t="shared" si="90"/>
        <v>304075.04519956629</v>
      </c>
      <c r="E225" s="20">
        <f t="shared" si="96"/>
        <v>10160</v>
      </c>
      <c r="F225" s="20">
        <f t="shared" si="79"/>
        <v>7321.9662448040472</v>
      </c>
      <c r="G225" s="21">
        <f t="shared" si="80"/>
        <v>2838.0337551959524</v>
      </c>
      <c r="H225" s="24">
        <f t="shared" si="91"/>
        <v>133.79301988780918</v>
      </c>
      <c r="I225" s="21">
        <f t="shared" si="99"/>
        <v>0</v>
      </c>
      <c r="J225" s="63">
        <f t="shared" si="92"/>
        <v>0</v>
      </c>
      <c r="K225" s="66">
        <f t="shared" si="98"/>
        <v>454.08540083135239</v>
      </c>
      <c r="L225" s="17"/>
      <c r="M225" s="23">
        <f t="shared" si="93"/>
        <v>0</v>
      </c>
      <c r="N225" s="23">
        <f t="shared" si="81"/>
        <v>0</v>
      </c>
      <c r="O225" s="23">
        <f t="shared" si="82"/>
        <v>0</v>
      </c>
      <c r="P225" s="17"/>
      <c r="Q225" s="19">
        <f>IF(C225="","",'Tabla_Puntual&amp;Relacionamiento'!$E$85)</f>
        <v>0.112</v>
      </c>
      <c r="R225" s="19" t="str">
        <f>IF(C225="","",IF($E$14="Pago_Bajo_Puntual",$M$17,""))</f>
        <v/>
      </c>
      <c r="S225" s="11">
        <f t="shared" si="94"/>
        <v>10747.878420719162</v>
      </c>
      <c r="T225" s="23">
        <f t="shared" si="83"/>
        <v>296753.07895476226</v>
      </c>
      <c r="U225" s="37">
        <f t="shared" si="84"/>
        <v>1</v>
      </c>
      <c r="V225" s="37">
        <f t="shared" si="97"/>
        <v>205</v>
      </c>
      <c r="X225" s="31">
        <f t="shared" si="85"/>
        <v>10592.132423577212</v>
      </c>
      <c r="Y225" s="34">
        <f>Y224*1.019</f>
        <v>1.3770862061252869</v>
      </c>
      <c r="Z225" s="31">
        <f t="shared" si="86"/>
        <v>0</v>
      </c>
      <c r="AA225" s="66">
        <f t="shared" si="87"/>
        <v>25750</v>
      </c>
      <c r="AB225" s="6">
        <f t="shared" si="88"/>
        <v>0</v>
      </c>
      <c r="AC225" s="48">
        <f>AC224+$M$17</f>
        <v>0</v>
      </c>
    </row>
    <row r="226" spans="3:29" x14ac:dyDescent="0.25">
      <c r="C226" s="27">
        <f t="shared" si="89"/>
        <v>206</v>
      </c>
      <c r="D226" s="30">
        <f t="shared" si="90"/>
        <v>296753.07895476226</v>
      </c>
      <c r="E226" s="20">
        <f t="shared" si="96"/>
        <v>10160</v>
      </c>
      <c r="F226" s="20">
        <f t="shared" si="79"/>
        <v>7390.3045964222183</v>
      </c>
      <c r="G226" s="21">
        <f t="shared" si="80"/>
        <v>2769.6954035777812</v>
      </c>
      <c r="H226" s="24">
        <f t="shared" si="91"/>
        <v>130.57135474009539</v>
      </c>
      <c r="I226" s="21">
        <f t="shared" si="99"/>
        <v>0</v>
      </c>
      <c r="J226" s="63">
        <f t="shared" si="92"/>
        <v>0</v>
      </c>
      <c r="K226" s="66">
        <f t="shared" si="98"/>
        <v>443.15126457244503</v>
      </c>
      <c r="L226" s="17"/>
      <c r="M226" s="23">
        <f t="shared" si="93"/>
        <v>0</v>
      </c>
      <c r="N226" s="23">
        <f t="shared" si="81"/>
        <v>0</v>
      </c>
      <c r="O226" s="23">
        <f t="shared" si="82"/>
        <v>0</v>
      </c>
      <c r="P226" s="17"/>
      <c r="Q226" s="19">
        <f>IF(C226="","",'Tabla_Puntual&amp;Relacionamiento'!$E$85)</f>
        <v>0.112</v>
      </c>
      <c r="R226" s="19"/>
      <c r="S226" s="11">
        <f t="shared" si="94"/>
        <v>10733.722619312541</v>
      </c>
      <c r="T226" s="23">
        <f t="shared" si="83"/>
        <v>289362.77435834002</v>
      </c>
      <c r="U226" s="37">
        <f t="shared" si="84"/>
        <v>1</v>
      </c>
      <c r="V226" s="37">
        <f t="shared" si="97"/>
        <v>206</v>
      </c>
      <c r="X226" s="31">
        <f t="shared" si="85"/>
        <v>10588.910758429498</v>
      </c>
      <c r="Y226" s="34">
        <f t="shared" ref="Y226:Y236" si="100">Y225</f>
        <v>1.3770862061252869</v>
      </c>
      <c r="Z226" s="31">
        <f t="shared" si="86"/>
        <v>0</v>
      </c>
      <c r="AA226" s="66">
        <f t="shared" si="87"/>
        <v>25750</v>
      </c>
      <c r="AB226" s="6">
        <f t="shared" si="88"/>
        <v>0</v>
      </c>
      <c r="AC226" s="48">
        <f t="shared" si="74"/>
        <v>0</v>
      </c>
    </row>
    <row r="227" spans="3:29" x14ac:dyDescent="0.25">
      <c r="C227" s="27">
        <f t="shared" si="89"/>
        <v>207</v>
      </c>
      <c r="D227" s="30">
        <f t="shared" si="90"/>
        <v>289362.77435834002</v>
      </c>
      <c r="E227" s="20">
        <f t="shared" si="96"/>
        <v>10160</v>
      </c>
      <c r="F227" s="20">
        <f t="shared" si="79"/>
        <v>7459.2807726554929</v>
      </c>
      <c r="G227" s="21">
        <f t="shared" si="80"/>
        <v>2700.7192273445071</v>
      </c>
      <c r="H227" s="24">
        <f t="shared" si="91"/>
        <v>127.31962071766961</v>
      </c>
      <c r="I227" s="21">
        <f t="shared" si="99"/>
        <v>0</v>
      </c>
      <c r="J227" s="63">
        <f t="shared" si="92"/>
        <v>0</v>
      </c>
      <c r="K227" s="66">
        <f t="shared" si="98"/>
        <v>432.11507637512113</v>
      </c>
      <c r="L227" s="17"/>
      <c r="M227" s="23">
        <f t="shared" si="93"/>
        <v>0</v>
      </c>
      <c r="N227" s="23">
        <f t="shared" si="81"/>
        <v>0</v>
      </c>
      <c r="O227" s="23">
        <f t="shared" si="82"/>
        <v>0</v>
      </c>
      <c r="P227" s="17"/>
      <c r="Q227" s="19">
        <f>IF(C227="","",'Tabla_Puntual&amp;Relacionamiento'!$E$85)</f>
        <v>0.112</v>
      </c>
      <c r="R227" s="19"/>
      <c r="S227" s="11">
        <f t="shared" si="94"/>
        <v>10719.434697092791</v>
      </c>
      <c r="T227" s="23">
        <f t="shared" si="83"/>
        <v>281903.49358568451</v>
      </c>
      <c r="U227" s="37">
        <f t="shared" si="84"/>
        <v>1</v>
      </c>
      <c r="V227" s="37">
        <f t="shared" si="97"/>
        <v>207</v>
      </c>
      <c r="X227" s="31">
        <f t="shared" si="85"/>
        <v>10585.659024407072</v>
      </c>
      <c r="Y227" s="34">
        <f t="shared" si="100"/>
        <v>1.3770862061252869</v>
      </c>
      <c r="Z227" s="31">
        <f t="shared" si="86"/>
        <v>0</v>
      </c>
      <c r="AA227" s="66">
        <f t="shared" si="87"/>
        <v>25750</v>
      </c>
      <c r="AB227" s="6">
        <f t="shared" si="88"/>
        <v>0</v>
      </c>
      <c r="AC227" s="48">
        <f t="shared" ref="AC227:AC290" si="101">AC226</f>
        <v>0</v>
      </c>
    </row>
    <row r="228" spans="3:29" x14ac:dyDescent="0.25">
      <c r="C228" s="27">
        <f t="shared" si="89"/>
        <v>208</v>
      </c>
      <c r="D228" s="30">
        <f t="shared" si="90"/>
        <v>281903.49358568451</v>
      </c>
      <c r="E228" s="20">
        <f t="shared" si="96"/>
        <v>10160</v>
      </c>
      <c r="F228" s="20">
        <f t="shared" si="79"/>
        <v>7528.9007265336113</v>
      </c>
      <c r="G228" s="21">
        <f t="shared" si="80"/>
        <v>2631.0992734663891</v>
      </c>
      <c r="H228" s="24">
        <f t="shared" si="91"/>
        <v>124.0375371777012</v>
      </c>
      <c r="I228" s="21">
        <f t="shared" si="99"/>
        <v>0</v>
      </c>
      <c r="J228" s="63">
        <f t="shared" si="92"/>
        <v>0</v>
      </c>
      <c r="K228" s="66">
        <f t="shared" si="98"/>
        <v>420.97588375462226</v>
      </c>
      <c r="L228" s="17"/>
      <c r="M228" s="23">
        <f t="shared" si="93"/>
        <v>0</v>
      </c>
      <c r="N228" s="23">
        <f t="shared" si="81"/>
        <v>0</v>
      </c>
      <c r="O228" s="23">
        <f t="shared" si="82"/>
        <v>0</v>
      </c>
      <c r="P228" s="17"/>
      <c r="Q228" s="19">
        <f>IF(C228="","",'Tabla_Puntual&amp;Relacionamiento'!$E$85)</f>
        <v>0.112</v>
      </c>
      <c r="R228" s="19"/>
      <c r="S228" s="11">
        <f t="shared" si="94"/>
        <v>10705.013420932322</v>
      </c>
      <c r="T228" s="23">
        <f t="shared" si="83"/>
        <v>274374.5928591509</v>
      </c>
      <c r="U228" s="37">
        <f t="shared" si="84"/>
        <v>1</v>
      </c>
      <c r="V228" s="37">
        <f t="shared" si="97"/>
        <v>208</v>
      </c>
      <c r="X228" s="31">
        <f t="shared" si="85"/>
        <v>10582.376940867103</v>
      </c>
      <c r="Y228" s="34">
        <f t="shared" si="100"/>
        <v>1.3770862061252869</v>
      </c>
      <c r="Z228" s="31">
        <f t="shared" si="86"/>
        <v>0</v>
      </c>
      <c r="AA228" s="66">
        <f t="shared" si="87"/>
        <v>25750</v>
      </c>
      <c r="AB228" s="6">
        <f t="shared" si="88"/>
        <v>0</v>
      </c>
      <c r="AC228" s="48">
        <f t="shared" si="101"/>
        <v>0</v>
      </c>
    </row>
    <row r="229" spans="3:29" x14ac:dyDescent="0.25">
      <c r="C229" s="27">
        <f t="shared" si="89"/>
        <v>209</v>
      </c>
      <c r="D229" s="30">
        <f t="shared" si="90"/>
        <v>274374.5928591509</v>
      </c>
      <c r="E229" s="20">
        <f t="shared" si="96"/>
        <v>10160</v>
      </c>
      <c r="F229" s="20">
        <f t="shared" si="79"/>
        <v>7599.1704666479245</v>
      </c>
      <c r="G229" s="21">
        <f t="shared" si="80"/>
        <v>2560.8295333520755</v>
      </c>
      <c r="H229" s="24">
        <f t="shared" si="91"/>
        <v>120.7248208580264</v>
      </c>
      <c r="I229" s="21">
        <f t="shared" si="99"/>
        <v>0</v>
      </c>
      <c r="J229" s="63">
        <f t="shared" si="92"/>
        <v>0</v>
      </c>
      <c r="K229" s="66">
        <f t="shared" si="98"/>
        <v>409.73272533633207</v>
      </c>
      <c r="L229" s="17"/>
      <c r="M229" s="23">
        <f t="shared" si="93"/>
        <v>0</v>
      </c>
      <c r="N229" s="23">
        <f t="shared" si="81"/>
        <v>0</v>
      </c>
      <c r="O229" s="23">
        <f t="shared" si="82"/>
        <v>0</v>
      </c>
      <c r="P229" s="17"/>
      <c r="Q229" s="19">
        <f>IF(C229="","",'Tabla_Puntual&amp;Relacionamiento'!$E$85)</f>
        <v>0.112</v>
      </c>
      <c r="R229" s="19"/>
      <c r="S229" s="11">
        <f t="shared" si="94"/>
        <v>10690.457546194359</v>
      </c>
      <c r="T229" s="23">
        <f t="shared" si="83"/>
        <v>266775.42239250295</v>
      </c>
      <c r="U229" s="37">
        <f t="shared" si="84"/>
        <v>1</v>
      </c>
      <c r="V229" s="37">
        <f t="shared" si="97"/>
        <v>209</v>
      </c>
      <c r="X229" s="31">
        <f t="shared" si="85"/>
        <v>10579.064224547428</v>
      </c>
      <c r="Y229" s="34">
        <f t="shared" si="100"/>
        <v>1.3770862061252869</v>
      </c>
      <c r="Z229" s="31">
        <f t="shared" si="86"/>
        <v>0</v>
      </c>
      <c r="AA229" s="66">
        <f t="shared" si="87"/>
        <v>25750</v>
      </c>
      <c r="AB229" s="6">
        <f t="shared" si="88"/>
        <v>0</v>
      </c>
      <c r="AC229" s="48">
        <f t="shared" si="101"/>
        <v>0</v>
      </c>
    </row>
    <row r="230" spans="3:29" x14ac:dyDescent="0.25">
      <c r="C230" s="27">
        <f t="shared" si="89"/>
        <v>210</v>
      </c>
      <c r="D230" s="30">
        <f t="shared" si="90"/>
        <v>266775.42239250295</v>
      </c>
      <c r="E230" s="20">
        <f t="shared" si="96"/>
        <v>10160</v>
      </c>
      <c r="F230" s="20">
        <f t="shared" si="79"/>
        <v>7670.0960576699727</v>
      </c>
      <c r="G230" s="21">
        <f t="shared" si="80"/>
        <v>2489.9039423300278</v>
      </c>
      <c r="H230" s="24">
        <f t="shared" si="91"/>
        <v>117.38118585270129</v>
      </c>
      <c r="I230" s="21">
        <f t="shared" si="99"/>
        <v>0</v>
      </c>
      <c r="J230" s="63">
        <f t="shared" si="92"/>
        <v>0</v>
      </c>
      <c r="K230" s="66">
        <f t="shared" si="98"/>
        <v>398.38463077280448</v>
      </c>
      <c r="L230" s="17"/>
      <c r="M230" s="23">
        <f t="shared" si="93"/>
        <v>0</v>
      </c>
      <c r="N230" s="23">
        <f t="shared" si="81"/>
        <v>0</v>
      </c>
      <c r="O230" s="23">
        <f t="shared" si="82"/>
        <v>0</v>
      </c>
      <c r="P230" s="17"/>
      <c r="Q230" s="19">
        <f>IF(C230="","",'Tabla_Puntual&amp;Relacionamiento'!$E$85)</f>
        <v>0.112</v>
      </c>
      <c r="R230" s="19"/>
      <c r="S230" s="11">
        <f t="shared" si="94"/>
        <v>10675.765816625506</v>
      </c>
      <c r="T230" s="23">
        <f t="shared" si="83"/>
        <v>259105.32633483299</v>
      </c>
      <c r="U230" s="37">
        <f t="shared" si="84"/>
        <v>1</v>
      </c>
      <c r="V230" s="37">
        <f t="shared" si="97"/>
        <v>210</v>
      </c>
      <c r="X230" s="31">
        <f t="shared" si="85"/>
        <v>10575.720589542103</v>
      </c>
      <c r="Y230" s="34">
        <f t="shared" si="100"/>
        <v>1.3770862061252869</v>
      </c>
      <c r="Z230" s="31">
        <f t="shared" si="86"/>
        <v>0</v>
      </c>
      <c r="AA230" s="66">
        <f t="shared" si="87"/>
        <v>25750</v>
      </c>
      <c r="AB230" s="6">
        <f t="shared" si="88"/>
        <v>0</v>
      </c>
      <c r="AC230" s="48">
        <f t="shared" si="101"/>
        <v>0</v>
      </c>
    </row>
    <row r="231" spans="3:29" x14ac:dyDescent="0.25">
      <c r="C231" s="27">
        <f t="shared" si="89"/>
        <v>211</v>
      </c>
      <c r="D231" s="30">
        <f t="shared" si="90"/>
        <v>259105.32633483299</v>
      </c>
      <c r="E231" s="20">
        <f t="shared" si="96"/>
        <v>10160</v>
      </c>
      <c r="F231" s="20">
        <f t="shared" si="79"/>
        <v>7741.6836208748919</v>
      </c>
      <c r="G231" s="21">
        <f t="shared" si="80"/>
        <v>2418.3163791251081</v>
      </c>
      <c r="H231" s="24">
        <f t="shared" si="91"/>
        <v>114.00634358732651</v>
      </c>
      <c r="I231" s="21">
        <f t="shared" si="99"/>
        <v>0</v>
      </c>
      <c r="J231" s="63">
        <f t="shared" si="92"/>
        <v>0</v>
      </c>
      <c r="K231" s="66">
        <f t="shared" si="98"/>
        <v>386.93062066001733</v>
      </c>
      <c r="L231" s="17"/>
      <c r="M231" s="23">
        <f t="shared" si="93"/>
        <v>0</v>
      </c>
      <c r="N231" s="23">
        <f t="shared" si="81"/>
        <v>0</v>
      </c>
      <c r="O231" s="23">
        <f t="shared" si="82"/>
        <v>0</v>
      </c>
      <c r="P231" s="17"/>
      <c r="Q231" s="19">
        <f>IF(C231="","",'Tabla_Puntual&amp;Relacionamiento'!$E$85)</f>
        <v>0.112</v>
      </c>
      <c r="R231" s="19"/>
      <c r="S231" s="11">
        <f t="shared" si="94"/>
        <v>10660.936964247345</v>
      </c>
      <c r="T231" s="23">
        <f t="shared" si="83"/>
        <v>251363.64271395811</v>
      </c>
      <c r="U231" s="37">
        <f t="shared" si="84"/>
        <v>1</v>
      </c>
      <c r="V231" s="37">
        <f t="shared" si="97"/>
        <v>211</v>
      </c>
      <c r="X231" s="31">
        <f t="shared" si="85"/>
        <v>10572.34574727673</v>
      </c>
      <c r="Y231" s="34">
        <f t="shared" si="100"/>
        <v>1.3770862061252869</v>
      </c>
      <c r="Z231" s="31">
        <f t="shared" si="86"/>
        <v>0</v>
      </c>
      <c r="AA231" s="66">
        <f t="shared" si="87"/>
        <v>25750</v>
      </c>
      <c r="AB231" s="6">
        <f t="shared" si="88"/>
        <v>0</v>
      </c>
      <c r="AC231" s="48">
        <f t="shared" si="101"/>
        <v>0</v>
      </c>
    </row>
    <row r="232" spans="3:29" x14ac:dyDescent="0.25">
      <c r="C232" s="27">
        <f t="shared" si="89"/>
        <v>212</v>
      </c>
      <c r="D232" s="30">
        <f t="shared" si="90"/>
        <v>251363.64271395811</v>
      </c>
      <c r="E232" s="20">
        <f t="shared" si="96"/>
        <v>10160</v>
      </c>
      <c r="F232" s="20">
        <f t="shared" si="79"/>
        <v>7813.9393346697243</v>
      </c>
      <c r="G232" s="21">
        <f t="shared" si="80"/>
        <v>2346.0606653302757</v>
      </c>
      <c r="H232" s="24">
        <f t="shared" si="91"/>
        <v>110.60000279414156</v>
      </c>
      <c r="I232" s="21">
        <f t="shared" si="99"/>
        <v>0</v>
      </c>
      <c r="J232" s="63">
        <f t="shared" si="92"/>
        <v>0</v>
      </c>
      <c r="K232" s="66">
        <f t="shared" si="98"/>
        <v>375.36970645284413</v>
      </c>
      <c r="L232" s="17"/>
      <c r="M232" s="23">
        <f t="shared" si="93"/>
        <v>0</v>
      </c>
      <c r="N232" s="23">
        <f t="shared" si="81"/>
        <v>0</v>
      </c>
      <c r="O232" s="23">
        <f t="shared" si="82"/>
        <v>0</v>
      </c>
      <c r="P232" s="17"/>
      <c r="Q232" s="19">
        <f>IF(C232="","",'Tabla_Puntual&amp;Relacionamiento'!$E$85)</f>
        <v>0.112</v>
      </c>
      <c r="R232" s="19"/>
      <c r="S232" s="11">
        <f t="shared" si="94"/>
        <v>10645.969709246985</v>
      </c>
      <c r="T232" s="23">
        <f t="shared" si="83"/>
        <v>243549.70337928837</v>
      </c>
      <c r="U232" s="37">
        <f t="shared" si="84"/>
        <v>1</v>
      </c>
      <c r="V232" s="37">
        <f t="shared" si="97"/>
        <v>212</v>
      </c>
      <c r="X232" s="31">
        <f t="shared" si="85"/>
        <v>10568.939406483543</v>
      </c>
      <c r="Y232" s="34">
        <f t="shared" si="100"/>
        <v>1.3770862061252869</v>
      </c>
      <c r="Z232" s="31">
        <f t="shared" si="86"/>
        <v>0</v>
      </c>
      <c r="AA232" s="66">
        <f t="shared" si="87"/>
        <v>25750</v>
      </c>
      <c r="AB232" s="6">
        <f t="shared" si="88"/>
        <v>0</v>
      </c>
      <c r="AC232" s="48">
        <f t="shared" si="101"/>
        <v>0</v>
      </c>
    </row>
    <row r="233" spans="3:29" x14ac:dyDescent="0.25">
      <c r="C233" s="27">
        <f t="shared" si="89"/>
        <v>213</v>
      </c>
      <c r="D233" s="30">
        <f t="shared" si="90"/>
        <v>243549.70337928837</v>
      </c>
      <c r="E233" s="20">
        <f t="shared" si="96"/>
        <v>10160</v>
      </c>
      <c r="F233" s="20">
        <f t="shared" si="79"/>
        <v>7886.8694351266422</v>
      </c>
      <c r="G233" s="21">
        <f t="shared" si="80"/>
        <v>2273.1305648733583</v>
      </c>
      <c r="H233" s="24">
        <f t="shared" si="91"/>
        <v>107.16186948688689</v>
      </c>
      <c r="I233" s="21">
        <f t="shared" si="99"/>
        <v>0</v>
      </c>
      <c r="J233" s="63">
        <f t="shared" si="92"/>
        <v>0</v>
      </c>
      <c r="K233" s="66">
        <f t="shared" si="98"/>
        <v>363.7008903797373</v>
      </c>
      <c r="L233" s="17"/>
      <c r="M233" s="23">
        <f t="shared" si="93"/>
        <v>0</v>
      </c>
      <c r="N233" s="23">
        <f t="shared" si="81"/>
        <v>0</v>
      </c>
      <c r="O233" s="23">
        <f t="shared" si="82"/>
        <v>0</v>
      </c>
      <c r="P233" s="17"/>
      <c r="Q233" s="19">
        <f>IF(C233="","",'Tabla_Puntual&amp;Relacionamiento'!$E$85)</f>
        <v>0.112</v>
      </c>
      <c r="R233" s="19"/>
      <c r="S233" s="11">
        <f t="shared" si="94"/>
        <v>10630.862759866624</v>
      </c>
      <c r="T233" s="23">
        <f t="shared" si="83"/>
        <v>235662.83394416174</v>
      </c>
      <c r="U233" s="37">
        <f t="shared" si="84"/>
        <v>1</v>
      </c>
      <c r="V233" s="37">
        <f t="shared" si="97"/>
        <v>213</v>
      </c>
      <c r="X233" s="31">
        <f t="shared" si="85"/>
        <v>10565.501273176289</v>
      </c>
      <c r="Y233" s="34">
        <f t="shared" si="100"/>
        <v>1.3770862061252869</v>
      </c>
      <c r="Z233" s="31">
        <f t="shared" si="86"/>
        <v>0</v>
      </c>
      <c r="AA233" s="66">
        <f t="shared" si="87"/>
        <v>25750</v>
      </c>
      <c r="AB233" s="6">
        <f t="shared" si="88"/>
        <v>0</v>
      </c>
      <c r="AC233" s="48">
        <f t="shared" si="101"/>
        <v>0</v>
      </c>
    </row>
    <row r="234" spans="3:29" x14ac:dyDescent="0.25">
      <c r="C234" s="27">
        <f t="shared" si="89"/>
        <v>214</v>
      </c>
      <c r="D234" s="30">
        <f t="shared" si="90"/>
        <v>235662.83394416174</v>
      </c>
      <c r="E234" s="20">
        <f t="shared" si="96"/>
        <v>10160</v>
      </c>
      <c r="F234" s="20">
        <f t="shared" si="79"/>
        <v>7960.4802165211568</v>
      </c>
      <c r="G234" s="21">
        <f t="shared" si="80"/>
        <v>2199.5197834788432</v>
      </c>
      <c r="H234" s="24">
        <f t="shared" si="91"/>
        <v>103.69164693543117</v>
      </c>
      <c r="I234" s="21">
        <f t="shared" si="99"/>
        <v>0</v>
      </c>
      <c r="J234" s="63">
        <f t="shared" si="92"/>
        <v>0</v>
      </c>
      <c r="K234" s="66">
        <f t="shared" si="98"/>
        <v>351.9231653566149</v>
      </c>
      <c r="L234" s="17"/>
      <c r="M234" s="23">
        <f t="shared" si="93"/>
        <v>0</v>
      </c>
      <c r="N234" s="23">
        <f t="shared" si="81"/>
        <v>0</v>
      </c>
      <c r="O234" s="23">
        <f t="shared" si="82"/>
        <v>0</v>
      </c>
      <c r="P234" s="17"/>
      <c r="Q234" s="19">
        <f>IF(C234="","",'Tabla_Puntual&amp;Relacionamiento'!$E$85)</f>
        <v>0.112</v>
      </c>
      <c r="R234" s="19"/>
      <c r="S234" s="11">
        <f t="shared" si="94"/>
        <v>10615.614812292046</v>
      </c>
      <c r="T234" s="23">
        <f t="shared" si="83"/>
        <v>227702.35372764058</v>
      </c>
      <c r="U234" s="37">
        <f t="shared" si="84"/>
        <v>1</v>
      </c>
      <c r="V234" s="37">
        <f t="shared" si="97"/>
        <v>214</v>
      </c>
      <c r="X234" s="31">
        <f t="shared" si="85"/>
        <v>10562.031050624833</v>
      </c>
      <c r="Y234" s="34">
        <f t="shared" si="100"/>
        <v>1.3770862061252869</v>
      </c>
      <c r="Z234" s="31">
        <f t="shared" si="86"/>
        <v>0</v>
      </c>
      <c r="AA234" s="66">
        <f t="shared" si="87"/>
        <v>25750</v>
      </c>
      <c r="AB234" s="6">
        <f t="shared" si="88"/>
        <v>0</v>
      </c>
      <c r="AC234" s="48">
        <f t="shared" si="101"/>
        <v>0</v>
      </c>
    </row>
    <row r="235" spans="3:29" x14ac:dyDescent="0.25">
      <c r="C235" s="27">
        <f t="shared" si="89"/>
        <v>215</v>
      </c>
      <c r="D235" s="30">
        <f t="shared" si="90"/>
        <v>227702.35372764058</v>
      </c>
      <c r="E235" s="20">
        <f t="shared" si="96"/>
        <v>10160</v>
      </c>
      <c r="F235" s="20">
        <f t="shared" si="79"/>
        <v>8034.7780318753539</v>
      </c>
      <c r="G235" s="21">
        <f t="shared" si="80"/>
        <v>2125.2219681246456</v>
      </c>
      <c r="H235" s="24">
        <f t="shared" si="91"/>
        <v>100.18903564016186</v>
      </c>
      <c r="I235" s="21">
        <f t="shared" si="99"/>
        <v>0</v>
      </c>
      <c r="J235" s="63">
        <f t="shared" si="92"/>
        <v>0</v>
      </c>
      <c r="K235" s="66">
        <f t="shared" si="98"/>
        <v>340.03551489994328</v>
      </c>
      <c r="L235" s="17"/>
      <c r="M235" s="23">
        <f t="shared" si="93"/>
        <v>0</v>
      </c>
      <c r="N235" s="23">
        <f t="shared" si="81"/>
        <v>0</v>
      </c>
      <c r="O235" s="23">
        <f t="shared" si="82"/>
        <v>0</v>
      </c>
      <c r="P235" s="17"/>
      <c r="Q235" s="19">
        <f>IF(C235="","",'Tabla_Puntual&amp;Relacionamiento'!$E$85)</f>
        <v>0.112</v>
      </c>
      <c r="R235" s="19"/>
      <c r="S235" s="11">
        <f t="shared" si="94"/>
        <v>10600.224550540104</v>
      </c>
      <c r="T235" s="23">
        <f t="shared" si="83"/>
        <v>219667.57569576523</v>
      </c>
      <c r="U235" s="37">
        <f t="shared" si="84"/>
        <v>1</v>
      </c>
      <c r="V235" s="37">
        <f t="shared" si="97"/>
        <v>215</v>
      </c>
      <c r="X235" s="31">
        <f t="shared" si="85"/>
        <v>10558.528439329564</v>
      </c>
      <c r="Y235" s="34">
        <f t="shared" si="100"/>
        <v>1.3770862061252869</v>
      </c>
      <c r="Z235" s="31">
        <f t="shared" si="86"/>
        <v>0</v>
      </c>
      <c r="AA235" s="66">
        <f t="shared" si="87"/>
        <v>25750</v>
      </c>
      <c r="AB235" s="6">
        <f t="shared" si="88"/>
        <v>0</v>
      </c>
      <c r="AC235" s="48">
        <f t="shared" si="101"/>
        <v>0</v>
      </c>
    </row>
    <row r="236" spans="3:29" x14ac:dyDescent="0.25">
      <c r="C236" s="27">
        <f t="shared" si="89"/>
        <v>216</v>
      </c>
      <c r="D236" s="30">
        <f t="shared" si="90"/>
        <v>219667.57569576523</v>
      </c>
      <c r="E236" s="20">
        <f t="shared" si="96"/>
        <v>10160</v>
      </c>
      <c r="F236" s="20">
        <f t="shared" si="79"/>
        <v>8109.7692935061914</v>
      </c>
      <c r="G236" s="21">
        <f t="shared" si="80"/>
        <v>2050.2307064938091</v>
      </c>
      <c r="H236" s="24">
        <f t="shared" si="91"/>
        <v>96.653733306136715</v>
      </c>
      <c r="I236" s="21">
        <f t="shared" si="99"/>
        <v>0</v>
      </c>
      <c r="J236" s="63">
        <f t="shared" si="92"/>
        <v>0</v>
      </c>
      <c r="K236" s="66">
        <f t="shared" si="98"/>
        <v>328.03691303900945</v>
      </c>
      <c r="L236" s="17"/>
      <c r="M236" s="23">
        <f t="shared" si="93"/>
        <v>0</v>
      </c>
      <c r="N236" s="23">
        <f t="shared" si="81"/>
        <v>0</v>
      </c>
      <c r="O236" s="23">
        <f t="shared" si="82"/>
        <v>0</v>
      </c>
      <c r="P236" s="17"/>
      <c r="Q236" s="19">
        <f>IF(C236="","",'Tabla_Puntual&amp;Relacionamiento'!$E$85)</f>
        <v>0.112</v>
      </c>
      <c r="R236" s="19"/>
      <c r="S236" s="11">
        <f t="shared" si="94"/>
        <v>10584.690646345147</v>
      </c>
      <c r="T236" s="23">
        <f t="shared" si="83"/>
        <v>211557.80640225904</v>
      </c>
      <c r="U236" s="37">
        <f t="shared" si="84"/>
        <v>1</v>
      </c>
      <c r="V236" s="37">
        <f t="shared" si="97"/>
        <v>216</v>
      </c>
      <c r="X236" s="31">
        <f t="shared" si="85"/>
        <v>10554.993136995539</v>
      </c>
      <c r="Y236" s="34">
        <f t="shared" si="100"/>
        <v>1.3770862061252869</v>
      </c>
      <c r="Z236" s="31">
        <f t="shared" si="86"/>
        <v>0</v>
      </c>
      <c r="AA236" s="66">
        <f t="shared" si="87"/>
        <v>25750</v>
      </c>
      <c r="AB236" s="6">
        <f t="shared" si="88"/>
        <v>0</v>
      </c>
      <c r="AC236" s="48">
        <f t="shared" si="101"/>
        <v>0</v>
      </c>
    </row>
    <row r="237" spans="3:29" x14ac:dyDescent="0.25">
      <c r="C237" s="27">
        <f t="shared" si="89"/>
        <v>217</v>
      </c>
      <c r="D237" s="30">
        <f t="shared" si="90"/>
        <v>211557.80640225904</v>
      </c>
      <c r="E237" s="20">
        <f t="shared" si="96"/>
        <v>10160</v>
      </c>
      <c r="F237" s="20">
        <f t="shared" si="79"/>
        <v>8185.4604735789153</v>
      </c>
      <c r="G237" s="21">
        <f t="shared" si="80"/>
        <v>1974.5395264210845</v>
      </c>
      <c r="H237" s="24">
        <f t="shared" si="91"/>
        <v>93.085434816993981</v>
      </c>
      <c r="I237" s="21">
        <f t="shared" si="99"/>
        <v>0</v>
      </c>
      <c r="J237" s="63">
        <f t="shared" si="92"/>
        <v>0</v>
      </c>
      <c r="K237" s="66">
        <f t="shared" si="98"/>
        <v>315.92632422737353</v>
      </c>
      <c r="L237" s="17"/>
      <c r="M237" s="23">
        <f t="shared" si="93"/>
        <v>0</v>
      </c>
      <c r="N237" s="23">
        <f t="shared" si="81"/>
        <v>0</v>
      </c>
      <c r="O237" s="23">
        <f t="shared" si="82"/>
        <v>0</v>
      </c>
      <c r="P237" s="17"/>
      <c r="Q237" s="19">
        <f>IF(C237="","",'Tabla_Puntual&amp;Relacionamiento'!$E$86)</f>
        <v>0.112</v>
      </c>
      <c r="R237" s="19" t="str">
        <f>IF(C237="","",IF($E$14="Pago_Bajo_Puntual",$M$17,""))</f>
        <v/>
      </c>
      <c r="S237" s="11">
        <f t="shared" si="94"/>
        <v>10569.011759044368</v>
      </c>
      <c r="T237" s="23">
        <f t="shared" si="83"/>
        <v>203372.34592868012</v>
      </c>
      <c r="U237" s="37">
        <f t="shared" si="84"/>
        <v>1</v>
      </c>
      <c r="V237" s="37">
        <f t="shared" si="97"/>
        <v>217</v>
      </c>
      <c r="X237" s="31">
        <f t="shared" si="85"/>
        <v>10551.424838506397</v>
      </c>
      <c r="Y237" s="34">
        <f>Y236*1.019</f>
        <v>1.4032508440416671</v>
      </c>
      <c r="Z237" s="31">
        <f t="shared" si="86"/>
        <v>0</v>
      </c>
      <c r="AA237" s="66">
        <f t="shared" si="87"/>
        <v>25750</v>
      </c>
      <c r="AB237" s="6">
        <f t="shared" si="88"/>
        <v>0</v>
      </c>
      <c r="AC237" s="48">
        <f>AC236+$M$17</f>
        <v>0</v>
      </c>
    </row>
    <row r="238" spans="3:29" x14ac:dyDescent="0.25">
      <c r="C238" s="27">
        <f t="shared" si="89"/>
        <v>218</v>
      </c>
      <c r="D238" s="30">
        <f t="shared" si="90"/>
        <v>203372.34592868012</v>
      </c>
      <c r="E238" s="20">
        <f t="shared" si="96"/>
        <v>10160</v>
      </c>
      <c r="F238" s="20">
        <f t="shared" si="79"/>
        <v>8261.8581046656527</v>
      </c>
      <c r="G238" s="21">
        <f t="shared" si="80"/>
        <v>1898.141895334348</v>
      </c>
      <c r="H238" s="24">
        <f t="shared" si="91"/>
        <v>89.483832208619248</v>
      </c>
      <c r="I238" s="21">
        <f t="shared" si="99"/>
        <v>0</v>
      </c>
      <c r="J238" s="63">
        <f t="shared" si="92"/>
        <v>0</v>
      </c>
      <c r="K238" s="66">
        <f t="shared" si="98"/>
        <v>303.70270325349566</v>
      </c>
      <c r="L238" s="17"/>
      <c r="M238" s="23">
        <f t="shared" si="93"/>
        <v>0</v>
      </c>
      <c r="N238" s="23">
        <f t="shared" si="81"/>
        <v>0</v>
      </c>
      <c r="O238" s="23">
        <f t="shared" si="82"/>
        <v>0</v>
      </c>
      <c r="P238" s="17"/>
      <c r="Q238" s="19">
        <f>IF(C238="","",'Tabla_Puntual&amp;Relacionamiento'!$E$86)</f>
        <v>0.112</v>
      </c>
      <c r="R238" s="19"/>
      <c r="S238" s="11">
        <f t="shared" si="94"/>
        <v>10553.186535462115</v>
      </c>
      <c r="T238" s="23">
        <f t="shared" si="83"/>
        <v>195110.48782401448</v>
      </c>
      <c r="U238" s="37">
        <f t="shared" si="84"/>
        <v>1</v>
      </c>
      <c r="V238" s="37">
        <f t="shared" si="97"/>
        <v>218</v>
      </c>
      <c r="X238" s="31">
        <f t="shared" si="85"/>
        <v>10547.823235898022</v>
      </c>
      <c r="Y238" s="34">
        <f t="shared" ref="Y238:Y248" si="102">Y237</f>
        <v>1.4032508440416671</v>
      </c>
      <c r="Z238" s="31">
        <f t="shared" si="86"/>
        <v>0</v>
      </c>
      <c r="AA238" s="66">
        <f t="shared" si="87"/>
        <v>25750</v>
      </c>
      <c r="AB238" s="6">
        <f t="shared" si="88"/>
        <v>0</v>
      </c>
      <c r="AC238" s="48">
        <f t="shared" si="101"/>
        <v>0</v>
      </c>
    </row>
    <row r="239" spans="3:29" x14ac:dyDescent="0.25">
      <c r="C239" s="27">
        <f t="shared" si="89"/>
        <v>219</v>
      </c>
      <c r="D239" s="30">
        <f t="shared" si="90"/>
        <v>195110.48782401448</v>
      </c>
      <c r="E239" s="20">
        <f t="shared" si="96"/>
        <v>10160</v>
      </c>
      <c r="F239" s="20">
        <f t="shared" si="79"/>
        <v>8338.9687803091983</v>
      </c>
      <c r="G239" s="21">
        <f t="shared" si="80"/>
        <v>1821.0312196908019</v>
      </c>
      <c r="H239" s="24">
        <f t="shared" si="91"/>
        <v>85.848614642566375</v>
      </c>
      <c r="I239" s="21">
        <f t="shared" si="99"/>
        <v>0</v>
      </c>
      <c r="J239" s="63">
        <f t="shared" si="92"/>
        <v>0</v>
      </c>
      <c r="K239" s="66">
        <f t="shared" si="98"/>
        <v>291.36499515052833</v>
      </c>
      <c r="L239" s="17"/>
      <c r="M239" s="23">
        <f t="shared" si="93"/>
        <v>0</v>
      </c>
      <c r="N239" s="23">
        <f t="shared" si="81"/>
        <v>0</v>
      </c>
      <c r="O239" s="23">
        <f t="shared" si="82"/>
        <v>0</v>
      </c>
      <c r="P239" s="17"/>
      <c r="Q239" s="19">
        <f>IF(C239="","",'Tabla_Puntual&amp;Relacionamiento'!$E$86)</f>
        <v>0.112</v>
      </c>
      <c r="R239" s="19"/>
      <c r="S239" s="11">
        <f t="shared" si="94"/>
        <v>10537.213609793094</v>
      </c>
      <c r="T239" s="23">
        <f t="shared" si="83"/>
        <v>186771.51904370528</v>
      </c>
      <c r="U239" s="37">
        <f t="shared" si="84"/>
        <v>1</v>
      </c>
      <c r="V239" s="37">
        <f t="shared" si="97"/>
        <v>219</v>
      </c>
      <c r="X239" s="31">
        <f t="shared" si="85"/>
        <v>10544.188018331968</v>
      </c>
      <c r="Y239" s="34">
        <f t="shared" si="102"/>
        <v>1.4032508440416671</v>
      </c>
      <c r="Z239" s="31">
        <f t="shared" si="86"/>
        <v>0</v>
      </c>
      <c r="AA239" s="66">
        <f t="shared" si="87"/>
        <v>25750</v>
      </c>
      <c r="AB239" s="6">
        <f t="shared" si="88"/>
        <v>0</v>
      </c>
      <c r="AC239" s="48">
        <f t="shared" si="101"/>
        <v>0</v>
      </c>
    </row>
    <row r="240" spans="3:29" x14ac:dyDescent="0.25">
      <c r="C240" s="27">
        <f t="shared" si="89"/>
        <v>220</v>
      </c>
      <c r="D240" s="30">
        <f t="shared" si="90"/>
        <v>186771.51904370528</v>
      </c>
      <c r="E240" s="20">
        <f t="shared" si="96"/>
        <v>10160</v>
      </c>
      <c r="F240" s="20">
        <f t="shared" si="79"/>
        <v>8416.7991555920835</v>
      </c>
      <c r="G240" s="21">
        <f t="shared" si="80"/>
        <v>1743.2008444079161</v>
      </c>
      <c r="H240" s="24">
        <f t="shared" si="91"/>
        <v>82.179468379230329</v>
      </c>
      <c r="I240" s="21">
        <f t="shared" si="99"/>
        <v>0</v>
      </c>
      <c r="J240" s="63">
        <f t="shared" si="92"/>
        <v>0</v>
      </c>
      <c r="K240" s="66">
        <f t="shared" si="98"/>
        <v>278.9121351052666</v>
      </c>
      <c r="L240" s="17"/>
      <c r="M240" s="23">
        <f t="shared" si="93"/>
        <v>0</v>
      </c>
      <c r="N240" s="23">
        <f t="shared" si="81"/>
        <v>0</v>
      </c>
      <c r="O240" s="23">
        <f t="shared" si="82"/>
        <v>0</v>
      </c>
      <c r="P240" s="17"/>
      <c r="Q240" s="19">
        <f>IF(C240="","",'Tabla_Puntual&amp;Relacionamiento'!$E$86)</f>
        <v>0.112</v>
      </c>
      <c r="R240" s="19"/>
      <c r="S240" s="11">
        <f t="shared" si="94"/>
        <v>10521.091603484498</v>
      </c>
      <c r="T240" s="23">
        <f t="shared" si="83"/>
        <v>178354.71988811321</v>
      </c>
      <c r="U240" s="37">
        <f t="shared" si="84"/>
        <v>1</v>
      </c>
      <c r="V240" s="37">
        <f t="shared" si="97"/>
        <v>220</v>
      </c>
      <c r="X240" s="31">
        <f t="shared" si="85"/>
        <v>10540.518872068633</v>
      </c>
      <c r="Y240" s="34">
        <f t="shared" si="102"/>
        <v>1.4032508440416671</v>
      </c>
      <c r="Z240" s="31">
        <f t="shared" si="86"/>
        <v>0</v>
      </c>
      <c r="AA240" s="66">
        <f t="shared" si="87"/>
        <v>25750</v>
      </c>
      <c r="AB240" s="6">
        <f t="shared" si="88"/>
        <v>0</v>
      </c>
      <c r="AC240" s="48">
        <f t="shared" si="101"/>
        <v>0</v>
      </c>
    </row>
    <row r="241" spans="3:29" x14ac:dyDescent="0.25">
      <c r="C241" s="27">
        <f t="shared" si="89"/>
        <v>221</v>
      </c>
      <c r="D241" s="30">
        <f t="shared" si="90"/>
        <v>178354.71988811321</v>
      </c>
      <c r="E241" s="20">
        <f t="shared" si="96"/>
        <v>10160</v>
      </c>
      <c r="F241" s="20">
        <f t="shared" si="79"/>
        <v>8495.3559477109429</v>
      </c>
      <c r="G241" s="21">
        <f t="shared" si="80"/>
        <v>1664.6440522890566</v>
      </c>
      <c r="H241" s="24">
        <f t="shared" si="91"/>
        <v>78.47607675076982</v>
      </c>
      <c r="I241" s="21">
        <f t="shared" si="99"/>
        <v>0</v>
      </c>
      <c r="J241" s="63">
        <f t="shared" si="92"/>
        <v>0</v>
      </c>
      <c r="K241" s="66">
        <f t="shared" si="98"/>
        <v>266.34304836624904</v>
      </c>
      <c r="L241" s="17"/>
      <c r="M241" s="23">
        <f t="shared" si="93"/>
        <v>0</v>
      </c>
      <c r="N241" s="23">
        <f t="shared" si="81"/>
        <v>0</v>
      </c>
      <c r="O241" s="23">
        <f t="shared" si="82"/>
        <v>0</v>
      </c>
      <c r="P241" s="17"/>
      <c r="Q241" s="19">
        <f>IF(C241="","",'Tabla_Puntual&amp;Relacionamiento'!$E$86)</f>
        <v>0.112</v>
      </c>
      <c r="R241" s="19"/>
      <c r="S241" s="11">
        <f t="shared" si="94"/>
        <v>10504.819125117019</v>
      </c>
      <c r="T241" s="23">
        <f t="shared" si="83"/>
        <v>169859.36394040225</v>
      </c>
      <c r="U241" s="37">
        <f t="shared" si="84"/>
        <v>1</v>
      </c>
      <c r="V241" s="37">
        <f t="shared" si="97"/>
        <v>221</v>
      </c>
      <c r="X241" s="31">
        <f t="shared" si="85"/>
        <v>10536.815480440173</v>
      </c>
      <c r="Y241" s="34">
        <f t="shared" si="102"/>
        <v>1.4032508440416671</v>
      </c>
      <c r="Z241" s="31">
        <f t="shared" si="86"/>
        <v>0</v>
      </c>
      <c r="AA241" s="66">
        <f t="shared" si="87"/>
        <v>25750</v>
      </c>
      <c r="AB241" s="6">
        <f t="shared" si="88"/>
        <v>0</v>
      </c>
      <c r="AC241" s="48">
        <f t="shared" si="101"/>
        <v>0</v>
      </c>
    </row>
    <row r="242" spans="3:29" x14ac:dyDescent="0.25">
      <c r="C242" s="27">
        <f t="shared" si="89"/>
        <v>222</v>
      </c>
      <c r="D242" s="30">
        <f t="shared" si="90"/>
        <v>169859.36394040225</v>
      </c>
      <c r="E242" s="20">
        <f t="shared" si="96"/>
        <v>10160</v>
      </c>
      <c r="F242" s="20">
        <f t="shared" si="79"/>
        <v>8574.6459365562459</v>
      </c>
      <c r="G242" s="21">
        <f t="shared" si="80"/>
        <v>1585.3540634437545</v>
      </c>
      <c r="H242" s="24">
        <f t="shared" si="91"/>
        <v>74.738120133776988</v>
      </c>
      <c r="I242" s="21">
        <f t="shared" si="99"/>
        <v>0</v>
      </c>
      <c r="J242" s="63">
        <f t="shared" si="92"/>
        <v>0</v>
      </c>
      <c r="K242" s="66">
        <f t="shared" si="98"/>
        <v>253.65665015100072</v>
      </c>
      <c r="L242" s="17"/>
      <c r="M242" s="23">
        <f t="shared" si="93"/>
        <v>0</v>
      </c>
      <c r="N242" s="23">
        <f t="shared" si="81"/>
        <v>0</v>
      </c>
      <c r="O242" s="23">
        <f t="shared" si="82"/>
        <v>0</v>
      </c>
      <c r="P242" s="17"/>
      <c r="Q242" s="19">
        <f>IF(C242="","",'Tabla_Puntual&amp;Relacionamiento'!$E$86)</f>
        <v>0.112</v>
      </c>
      <c r="R242" s="19"/>
      <c r="S242" s="11">
        <f t="shared" si="94"/>
        <v>10488.394770284778</v>
      </c>
      <c r="T242" s="23">
        <f t="shared" si="83"/>
        <v>161284.71800384601</v>
      </c>
      <c r="U242" s="37">
        <f t="shared" si="84"/>
        <v>1</v>
      </c>
      <c r="V242" s="37">
        <f t="shared" si="97"/>
        <v>222</v>
      </c>
      <c r="X242" s="31">
        <f t="shared" si="85"/>
        <v>10533.07752382318</v>
      </c>
      <c r="Y242" s="34">
        <f t="shared" si="102"/>
        <v>1.4032508440416671</v>
      </c>
      <c r="Z242" s="31">
        <f t="shared" si="86"/>
        <v>0</v>
      </c>
      <c r="AA242" s="66">
        <f t="shared" si="87"/>
        <v>25750</v>
      </c>
      <c r="AB242" s="6">
        <f t="shared" si="88"/>
        <v>0</v>
      </c>
      <c r="AC242" s="48">
        <f t="shared" si="101"/>
        <v>0</v>
      </c>
    </row>
    <row r="243" spans="3:29" x14ac:dyDescent="0.25">
      <c r="C243" s="27">
        <f t="shared" si="89"/>
        <v>223</v>
      </c>
      <c r="D243" s="30">
        <f t="shared" si="90"/>
        <v>161284.71800384601</v>
      </c>
      <c r="E243" s="20">
        <f t="shared" si="96"/>
        <v>10160</v>
      </c>
      <c r="F243" s="20">
        <f t="shared" si="79"/>
        <v>8654.6759652974379</v>
      </c>
      <c r="G243" s="21">
        <f t="shared" si="80"/>
        <v>1505.3240347025628</v>
      </c>
      <c r="H243" s="24">
        <f t="shared" si="91"/>
        <v>70.965275921692239</v>
      </c>
      <c r="I243" s="21">
        <f t="shared" si="99"/>
        <v>0</v>
      </c>
      <c r="J243" s="63">
        <f t="shared" si="92"/>
        <v>0</v>
      </c>
      <c r="K243" s="66">
        <f t="shared" si="98"/>
        <v>240.85184555241005</v>
      </c>
      <c r="L243" s="17"/>
      <c r="M243" s="23">
        <f t="shared" si="93"/>
        <v>0</v>
      </c>
      <c r="N243" s="23">
        <f t="shared" si="81"/>
        <v>0</v>
      </c>
      <c r="O243" s="23">
        <f t="shared" si="82"/>
        <v>0</v>
      </c>
      <c r="P243" s="17"/>
      <c r="Q243" s="19">
        <f>IF(C243="","",'Tabla_Puntual&amp;Relacionamiento'!$E$86)</f>
        <v>0.112</v>
      </c>
      <c r="R243" s="19"/>
      <c r="S243" s="11">
        <f t="shared" si="94"/>
        <v>10471.817121474101</v>
      </c>
      <c r="T243" s="23">
        <f t="shared" si="83"/>
        <v>152630.04203854856</v>
      </c>
      <c r="U243" s="37">
        <f t="shared" si="84"/>
        <v>1</v>
      </c>
      <c r="V243" s="37">
        <f t="shared" si="97"/>
        <v>223</v>
      </c>
      <c r="X243" s="31">
        <f t="shared" si="85"/>
        <v>10529.304679611094</v>
      </c>
      <c r="Y243" s="34">
        <f t="shared" si="102"/>
        <v>1.4032508440416671</v>
      </c>
      <c r="Z243" s="31">
        <f t="shared" si="86"/>
        <v>0</v>
      </c>
      <c r="AA243" s="66">
        <f t="shared" si="87"/>
        <v>25750</v>
      </c>
      <c r="AB243" s="6">
        <f t="shared" si="88"/>
        <v>0</v>
      </c>
      <c r="AC243" s="48">
        <f t="shared" si="101"/>
        <v>0</v>
      </c>
    </row>
    <row r="244" spans="3:29" x14ac:dyDescent="0.25">
      <c r="C244" s="27">
        <f t="shared" si="89"/>
        <v>224</v>
      </c>
      <c r="D244" s="30">
        <f t="shared" si="90"/>
        <v>152630.04203854856</v>
      </c>
      <c r="E244" s="20">
        <f t="shared" si="96"/>
        <v>10160</v>
      </c>
      <c r="F244" s="20">
        <f t="shared" si="79"/>
        <v>8735.452940973546</v>
      </c>
      <c r="G244" s="21">
        <f t="shared" si="80"/>
        <v>1424.5470590264533</v>
      </c>
      <c r="H244" s="24">
        <f t="shared" si="91"/>
        <v>67.157218496961377</v>
      </c>
      <c r="I244" s="21">
        <f t="shared" si="99"/>
        <v>0</v>
      </c>
      <c r="J244" s="63">
        <f t="shared" si="92"/>
        <v>0</v>
      </c>
      <c r="K244" s="66">
        <f t="shared" si="98"/>
        <v>227.92752944423253</v>
      </c>
      <c r="L244" s="17"/>
      <c r="M244" s="23">
        <f t="shared" si="93"/>
        <v>0</v>
      </c>
      <c r="N244" s="23">
        <f t="shared" si="81"/>
        <v>0</v>
      </c>
      <c r="O244" s="23">
        <f t="shared" si="82"/>
        <v>0</v>
      </c>
      <c r="P244" s="17"/>
      <c r="Q244" s="19">
        <f>IF(C244="","",'Tabla_Puntual&amp;Relacionamiento'!$E$86)</f>
        <v>0.112</v>
      </c>
      <c r="R244" s="19"/>
      <c r="S244" s="11">
        <f t="shared" si="94"/>
        <v>10455.084747941193</v>
      </c>
      <c r="T244" s="23">
        <f t="shared" si="83"/>
        <v>143894.58909757502</v>
      </c>
      <c r="U244" s="37">
        <f t="shared" si="84"/>
        <v>1</v>
      </c>
      <c r="V244" s="37">
        <f t="shared" si="97"/>
        <v>224</v>
      </c>
      <c r="X244" s="31">
        <f t="shared" si="85"/>
        <v>10525.496622186363</v>
      </c>
      <c r="Y244" s="34">
        <f t="shared" si="102"/>
        <v>1.4032508440416671</v>
      </c>
      <c r="Z244" s="31">
        <f t="shared" si="86"/>
        <v>0</v>
      </c>
      <c r="AA244" s="66">
        <f t="shared" si="87"/>
        <v>25750</v>
      </c>
      <c r="AB244" s="6">
        <f t="shared" si="88"/>
        <v>0</v>
      </c>
      <c r="AC244" s="48">
        <f t="shared" si="101"/>
        <v>0</v>
      </c>
    </row>
    <row r="245" spans="3:29" x14ac:dyDescent="0.25">
      <c r="C245" s="27">
        <f t="shared" si="89"/>
        <v>225</v>
      </c>
      <c r="D245" s="30">
        <f t="shared" si="90"/>
        <v>143894.58909757502</v>
      </c>
      <c r="E245" s="20">
        <f t="shared" si="96"/>
        <v>10160</v>
      </c>
      <c r="F245" s="20">
        <f t="shared" si="79"/>
        <v>8816.9838350893006</v>
      </c>
      <c r="G245" s="21">
        <f t="shared" si="80"/>
        <v>1343.0161649107004</v>
      </c>
      <c r="H245" s="24">
        <f t="shared" si="91"/>
        <v>63.313619202933012</v>
      </c>
      <c r="I245" s="21">
        <f t="shared" si="99"/>
        <v>0</v>
      </c>
      <c r="J245" s="63">
        <f t="shared" si="92"/>
        <v>0</v>
      </c>
      <c r="K245" s="66">
        <f t="shared" si="98"/>
        <v>214.88258638571207</v>
      </c>
      <c r="L245" s="17"/>
      <c r="M245" s="23">
        <f t="shared" si="93"/>
        <v>0</v>
      </c>
      <c r="N245" s="23">
        <f t="shared" si="81"/>
        <v>0</v>
      </c>
      <c r="O245" s="23">
        <f t="shared" si="82"/>
        <v>0</v>
      </c>
      <c r="P245" s="17"/>
      <c r="Q245" s="19">
        <f>IF(C245="","",'Tabla_Puntual&amp;Relacionamiento'!$E$86)</f>
        <v>0.112</v>
      </c>
      <c r="R245" s="19"/>
      <c r="S245" s="11">
        <f t="shared" si="94"/>
        <v>10438.196205588645</v>
      </c>
      <c r="T245" s="23">
        <f t="shared" si="83"/>
        <v>135077.60526248571</v>
      </c>
      <c r="U245" s="37">
        <f t="shared" si="84"/>
        <v>1</v>
      </c>
      <c r="V245" s="37">
        <f t="shared" si="97"/>
        <v>225</v>
      </c>
      <c r="X245" s="31">
        <f t="shared" si="85"/>
        <v>10521.653022892335</v>
      </c>
      <c r="Y245" s="34">
        <f t="shared" si="102"/>
        <v>1.4032508440416671</v>
      </c>
      <c r="Z245" s="31">
        <f t="shared" si="86"/>
        <v>0</v>
      </c>
      <c r="AA245" s="66">
        <f t="shared" si="87"/>
        <v>25750</v>
      </c>
      <c r="AB245" s="6">
        <f t="shared" si="88"/>
        <v>0</v>
      </c>
      <c r="AC245" s="48">
        <f t="shared" si="101"/>
        <v>0</v>
      </c>
    </row>
    <row r="246" spans="3:29" x14ac:dyDescent="0.25">
      <c r="C246" s="27">
        <f t="shared" si="89"/>
        <v>226</v>
      </c>
      <c r="D246" s="30">
        <f t="shared" si="90"/>
        <v>135077.60526248571</v>
      </c>
      <c r="E246" s="20">
        <f t="shared" si="96"/>
        <v>10160</v>
      </c>
      <c r="F246" s="20">
        <f t="shared" si="79"/>
        <v>8899.2756842168001</v>
      </c>
      <c r="G246" s="21">
        <f t="shared" si="80"/>
        <v>1260.7243157832002</v>
      </c>
      <c r="H246" s="24">
        <f t="shared" si="91"/>
        <v>59.434146315493713</v>
      </c>
      <c r="I246" s="21">
        <f t="shared" si="99"/>
        <v>0</v>
      </c>
      <c r="J246" s="63">
        <f t="shared" si="92"/>
        <v>0</v>
      </c>
      <c r="K246" s="66">
        <f t="shared" si="98"/>
        <v>201.71589052531203</v>
      </c>
      <c r="L246" s="17"/>
      <c r="M246" s="23">
        <f t="shared" si="93"/>
        <v>0</v>
      </c>
      <c r="N246" s="23">
        <f t="shared" si="81"/>
        <v>0</v>
      </c>
      <c r="O246" s="23">
        <f t="shared" si="82"/>
        <v>0</v>
      </c>
      <c r="P246" s="17"/>
      <c r="Q246" s="19">
        <f>IF(C246="","",'Tabla_Puntual&amp;Relacionamiento'!$E$86)</f>
        <v>0.112</v>
      </c>
      <c r="R246" s="19"/>
      <c r="S246" s="11">
        <f t="shared" si="94"/>
        <v>10421.150036840807</v>
      </c>
      <c r="T246" s="23">
        <f t="shared" si="83"/>
        <v>126178.32957826891</v>
      </c>
      <c r="U246" s="37">
        <f t="shared" si="84"/>
        <v>1</v>
      </c>
      <c r="V246" s="37">
        <f t="shared" si="97"/>
        <v>226</v>
      </c>
      <c r="X246" s="31">
        <f t="shared" si="85"/>
        <v>10517.773550004897</v>
      </c>
      <c r="Y246" s="34">
        <f t="shared" si="102"/>
        <v>1.4032508440416671</v>
      </c>
      <c r="Z246" s="31">
        <f t="shared" si="86"/>
        <v>0</v>
      </c>
      <c r="AA246" s="66">
        <f t="shared" si="87"/>
        <v>25750</v>
      </c>
      <c r="AB246" s="6">
        <f t="shared" si="88"/>
        <v>0</v>
      </c>
      <c r="AC246" s="48">
        <f t="shared" si="101"/>
        <v>0</v>
      </c>
    </row>
    <row r="247" spans="3:29" x14ac:dyDescent="0.25">
      <c r="C247" s="27">
        <f t="shared" si="89"/>
        <v>227</v>
      </c>
      <c r="D247" s="30">
        <f t="shared" si="90"/>
        <v>126178.32957826891</v>
      </c>
      <c r="E247" s="20">
        <f t="shared" si="96"/>
        <v>10160</v>
      </c>
      <c r="F247" s="20">
        <f t="shared" si="79"/>
        <v>8982.3355906028228</v>
      </c>
      <c r="G247" s="21">
        <f t="shared" si="80"/>
        <v>1177.6644093971765</v>
      </c>
      <c r="H247" s="24">
        <f t="shared" si="91"/>
        <v>55.51846501443832</v>
      </c>
      <c r="I247" s="21">
        <f t="shared" si="99"/>
        <v>0</v>
      </c>
      <c r="J247" s="63">
        <f t="shared" si="92"/>
        <v>0</v>
      </c>
      <c r="K247" s="66">
        <f t="shared" si="98"/>
        <v>188.42630550354826</v>
      </c>
      <c r="L247" s="17"/>
      <c r="M247" s="23">
        <f t="shared" si="93"/>
        <v>0</v>
      </c>
      <c r="N247" s="23">
        <f t="shared" si="81"/>
        <v>0</v>
      </c>
      <c r="O247" s="23">
        <f t="shared" si="82"/>
        <v>0</v>
      </c>
      <c r="P247" s="17"/>
      <c r="Q247" s="19">
        <f>IF(C247="","",'Tabla_Puntual&amp;Relacionamiento'!$E$86)</f>
        <v>0.112</v>
      </c>
      <c r="R247" s="19"/>
      <c r="S247" s="11">
        <f t="shared" si="94"/>
        <v>10403.944770517986</v>
      </c>
      <c r="T247" s="23">
        <f t="shared" si="83"/>
        <v>117195.99398766609</v>
      </c>
      <c r="U247" s="37">
        <f t="shared" si="84"/>
        <v>1</v>
      </c>
      <c r="V247" s="37">
        <f t="shared" si="97"/>
        <v>227</v>
      </c>
      <c r="X247" s="31">
        <f t="shared" si="85"/>
        <v>10513.857868703841</v>
      </c>
      <c r="Y247" s="34">
        <f t="shared" si="102"/>
        <v>1.4032508440416671</v>
      </c>
      <c r="Z247" s="31">
        <f t="shared" si="86"/>
        <v>0</v>
      </c>
      <c r="AA247" s="66">
        <f t="shared" si="87"/>
        <v>25750</v>
      </c>
      <c r="AB247" s="6">
        <f t="shared" si="88"/>
        <v>0</v>
      </c>
      <c r="AC247" s="48">
        <f t="shared" si="101"/>
        <v>0</v>
      </c>
    </row>
    <row r="248" spans="3:29" x14ac:dyDescent="0.25">
      <c r="C248" s="27">
        <f t="shared" si="89"/>
        <v>228</v>
      </c>
      <c r="D248" s="30">
        <f t="shared" si="90"/>
        <v>117195.99398766609</v>
      </c>
      <c r="E248" s="20">
        <f t="shared" si="96"/>
        <v>10160</v>
      </c>
      <c r="F248" s="20">
        <f t="shared" si="79"/>
        <v>9066.1707227817824</v>
      </c>
      <c r="G248" s="21">
        <f t="shared" si="80"/>
        <v>1093.8292772182169</v>
      </c>
      <c r="H248" s="24">
        <f t="shared" si="91"/>
        <v>51.566237354573083</v>
      </c>
      <c r="I248" s="21">
        <f t="shared" si="99"/>
        <v>0</v>
      </c>
      <c r="J248" s="63">
        <f t="shared" si="92"/>
        <v>0</v>
      </c>
      <c r="K248" s="66">
        <f t="shared" si="98"/>
        <v>175.01268435491471</v>
      </c>
      <c r="L248" s="17"/>
      <c r="M248" s="23">
        <f t="shared" si="93"/>
        <v>0</v>
      </c>
      <c r="N248" s="23">
        <f t="shared" si="81"/>
        <v>0</v>
      </c>
      <c r="O248" s="23">
        <f t="shared" si="82"/>
        <v>0</v>
      </c>
      <c r="P248" s="17"/>
      <c r="Q248" s="19">
        <f>IF(C248="","",'Tabla_Puntual&amp;Relacionamiento'!$E$86)</f>
        <v>0.112</v>
      </c>
      <c r="R248" s="19"/>
      <c r="S248" s="11">
        <f t="shared" si="94"/>
        <v>10386.578921709488</v>
      </c>
      <c r="T248" s="23">
        <f t="shared" si="83"/>
        <v>108129.82326488431</v>
      </c>
      <c r="U248" s="37">
        <f t="shared" si="84"/>
        <v>1</v>
      </c>
      <c r="V248" s="37">
        <f t="shared" si="97"/>
        <v>228</v>
      </c>
      <c r="X248" s="31">
        <f t="shared" si="85"/>
        <v>10509.905641043975</v>
      </c>
      <c r="Y248" s="34">
        <f t="shared" si="102"/>
        <v>1.4032508440416671</v>
      </c>
      <c r="Z248" s="31">
        <f t="shared" si="86"/>
        <v>0</v>
      </c>
      <c r="AA248" s="66">
        <f t="shared" si="87"/>
        <v>25750</v>
      </c>
      <c r="AB248" s="6">
        <f t="shared" si="88"/>
        <v>0</v>
      </c>
      <c r="AC248" s="48">
        <f t="shared" si="101"/>
        <v>0</v>
      </c>
    </row>
    <row r="249" spans="3:29" x14ac:dyDescent="0.25">
      <c r="C249" s="27">
        <f t="shared" si="89"/>
        <v>229</v>
      </c>
      <c r="D249" s="30">
        <f t="shared" si="90"/>
        <v>108129.82326488431</v>
      </c>
      <c r="E249" s="20">
        <f t="shared" si="96"/>
        <v>10160</v>
      </c>
      <c r="F249" s="20">
        <f t="shared" si="79"/>
        <v>9150.7883161944137</v>
      </c>
      <c r="G249" s="21">
        <f t="shared" si="80"/>
        <v>1009.211683805587</v>
      </c>
      <c r="H249" s="24">
        <f t="shared" si="91"/>
        <v>47.577122236549094</v>
      </c>
      <c r="I249" s="21">
        <f t="shared" si="99"/>
        <v>0</v>
      </c>
      <c r="J249" s="63">
        <f t="shared" si="92"/>
        <v>0</v>
      </c>
      <c r="K249" s="66">
        <f t="shared" si="98"/>
        <v>161.47386940889393</v>
      </c>
      <c r="L249" s="17"/>
      <c r="M249" s="23">
        <f t="shared" si="93"/>
        <v>0</v>
      </c>
      <c r="N249" s="23">
        <f t="shared" si="81"/>
        <v>0</v>
      </c>
      <c r="O249" s="23">
        <f t="shared" si="82"/>
        <v>0</v>
      </c>
      <c r="P249" s="17"/>
      <c r="Q249" s="19">
        <f>IF(C249="","",'Tabla_Puntual&amp;Relacionamiento'!$E$87)</f>
        <v>0.112</v>
      </c>
      <c r="R249" s="19" t="str">
        <f>IF(C249="","",IF($E$14="Pago_Bajo_Puntual",$M$17,""))</f>
        <v/>
      </c>
      <c r="S249" s="11">
        <f t="shared" si="94"/>
        <v>10369.050991645443</v>
      </c>
      <c r="T249" s="23">
        <f t="shared" si="83"/>
        <v>98979.034948689892</v>
      </c>
      <c r="U249" s="37">
        <f t="shared" si="84"/>
        <v>1</v>
      </c>
      <c r="V249" s="37">
        <f t="shared" si="97"/>
        <v>229</v>
      </c>
      <c r="X249" s="31">
        <f t="shared" si="85"/>
        <v>10505.916525925952</v>
      </c>
      <c r="Y249" s="34">
        <f>Y248*1.019</f>
        <v>1.4299126100784587</v>
      </c>
      <c r="Z249" s="31">
        <f t="shared" si="86"/>
        <v>0</v>
      </c>
      <c r="AA249" s="66">
        <f t="shared" si="87"/>
        <v>25750</v>
      </c>
      <c r="AB249" s="6">
        <f t="shared" si="88"/>
        <v>0</v>
      </c>
      <c r="AC249" s="48">
        <f>AC248+$M$17</f>
        <v>0</v>
      </c>
    </row>
    <row r="250" spans="3:29" x14ac:dyDescent="0.25">
      <c r="C250" s="27">
        <f t="shared" si="89"/>
        <v>230</v>
      </c>
      <c r="D250" s="30">
        <f t="shared" si="90"/>
        <v>98979.034948689892</v>
      </c>
      <c r="E250" s="20">
        <f t="shared" si="96"/>
        <v>10160</v>
      </c>
      <c r="F250" s="20">
        <f t="shared" si="79"/>
        <v>9236.1956738122281</v>
      </c>
      <c r="G250" s="21">
        <f t="shared" si="80"/>
        <v>923.8043261877724</v>
      </c>
      <c r="H250" s="24">
        <f t="shared" si="91"/>
        <v>43.550775377423555</v>
      </c>
      <c r="I250" s="21">
        <f t="shared" si="99"/>
        <v>0</v>
      </c>
      <c r="J250" s="63">
        <f t="shared" si="92"/>
        <v>0</v>
      </c>
      <c r="K250" s="66">
        <f t="shared" si="98"/>
        <v>147.80869219004359</v>
      </c>
      <c r="L250" s="17"/>
      <c r="M250" s="23">
        <f t="shared" si="93"/>
        <v>0</v>
      </c>
      <c r="N250" s="23">
        <f t="shared" si="81"/>
        <v>0</v>
      </c>
      <c r="O250" s="23">
        <f t="shared" si="82"/>
        <v>0</v>
      </c>
      <c r="P250" s="17"/>
      <c r="Q250" s="19">
        <f>IF(C250="","",'Tabla_Puntual&amp;Relacionamiento'!$E$87)</f>
        <v>0.112</v>
      </c>
      <c r="R250" s="19"/>
      <c r="S250" s="11">
        <f t="shared" si="94"/>
        <v>10351.359467567467</v>
      </c>
      <c r="T250" s="23">
        <f t="shared" si="83"/>
        <v>89742.839274877668</v>
      </c>
      <c r="U250" s="37">
        <f t="shared" si="84"/>
        <v>1</v>
      </c>
      <c r="V250" s="37">
        <f t="shared" si="97"/>
        <v>230</v>
      </c>
      <c r="X250" s="31">
        <f t="shared" si="85"/>
        <v>10501.890179066826</v>
      </c>
      <c r="Y250" s="34">
        <f t="shared" ref="Y250:Y260" si="103">Y249</f>
        <v>1.4299126100784587</v>
      </c>
      <c r="Z250" s="31">
        <f t="shared" si="86"/>
        <v>0</v>
      </c>
      <c r="AA250" s="66">
        <f t="shared" si="87"/>
        <v>25750</v>
      </c>
      <c r="AB250" s="6">
        <f t="shared" si="88"/>
        <v>0</v>
      </c>
      <c r="AC250" s="48">
        <f t="shared" si="101"/>
        <v>0</v>
      </c>
    </row>
    <row r="251" spans="3:29" x14ac:dyDescent="0.25">
      <c r="C251" s="27">
        <f t="shared" si="89"/>
        <v>231</v>
      </c>
      <c r="D251" s="30">
        <f t="shared" si="90"/>
        <v>89742.839274877668</v>
      </c>
      <c r="E251" s="20">
        <f t="shared" si="96"/>
        <v>10160</v>
      </c>
      <c r="F251" s="20">
        <f t="shared" si="79"/>
        <v>9322.4001667678076</v>
      </c>
      <c r="G251" s="21">
        <f t="shared" si="80"/>
        <v>837.5998332321916</v>
      </c>
      <c r="H251" s="24">
        <f t="shared" si="91"/>
        <v>39.486849280946174</v>
      </c>
      <c r="I251" s="21">
        <f t="shared" si="99"/>
        <v>0</v>
      </c>
      <c r="J251" s="63">
        <f t="shared" si="92"/>
        <v>0</v>
      </c>
      <c r="K251" s="66">
        <f t="shared" si="98"/>
        <v>134.01597331715067</v>
      </c>
      <c r="L251" s="17"/>
      <c r="M251" s="23">
        <f t="shared" si="93"/>
        <v>0</v>
      </c>
      <c r="N251" s="23">
        <f t="shared" si="81"/>
        <v>0</v>
      </c>
      <c r="O251" s="23">
        <f t="shared" si="82"/>
        <v>0</v>
      </c>
      <c r="P251" s="17"/>
      <c r="Q251" s="19">
        <f>IF(C251="","",'Tabla_Puntual&amp;Relacionamiento'!$E$87)</f>
        <v>0.112</v>
      </c>
      <c r="R251" s="19"/>
      <c r="S251" s="11">
        <f t="shared" si="94"/>
        <v>10333.502822598097</v>
      </c>
      <c r="T251" s="23">
        <f t="shared" si="83"/>
        <v>80420.439108109858</v>
      </c>
      <c r="U251" s="37">
        <f t="shared" si="84"/>
        <v>1</v>
      </c>
      <c r="V251" s="37">
        <f t="shared" si="97"/>
        <v>231</v>
      </c>
      <c r="X251" s="31">
        <f t="shared" si="85"/>
        <v>10497.826252970348</v>
      </c>
      <c r="Y251" s="34">
        <f t="shared" si="103"/>
        <v>1.4299126100784587</v>
      </c>
      <c r="Z251" s="31">
        <f t="shared" si="86"/>
        <v>0</v>
      </c>
      <c r="AA251" s="66">
        <f t="shared" si="87"/>
        <v>25750</v>
      </c>
      <c r="AB251" s="6">
        <f t="shared" si="88"/>
        <v>0</v>
      </c>
      <c r="AC251" s="48">
        <f t="shared" si="101"/>
        <v>0</v>
      </c>
    </row>
    <row r="252" spans="3:29" x14ac:dyDescent="0.25">
      <c r="C252" s="27">
        <f t="shared" si="89"/>
        <v>232</v>
      </c>
      <c r="D252" s="30">
        <f t="shared" si="90"/>
        <v>80420.439108109858</v>
      </c>
      <c r="E252" s="20">
        <f t="shared" si="96"/>
        <v>10160</v>
      </c>
      <c r="F252" s="20">
        <f t="shared" si="79"/>
        <v>9409.4092349909752</v>
      </c>
      <c r="G252" s="21">
        <f t="shared" si="80"/>
        <v>750.5907650090254</v>
      </c>
      <c r="H252" s="24">
        <f t="shared" si="91"/>
        <v>35.384993207568343</v>
      </c>
      <c r="I252" s="21">
        <f t="shared" si="99"/>
        <v>0</v>
      </c>
      <c r="J252" s="63">
        <f t="shared" si="92"/>
        <v>0</v>
      </c>
      <c r="K252" s="66">
        <f t="shared" si="98"/>
        <v>120.09452240144407</v>
      </c>
      <c r="L252" s="17"/>
      <c r="M252" s="23">
        <f t="shared" si="93"/>
        <v>0</v>
      </c>
      <c r="N252" s="23">
        <f t="shared" si="81"/>
        <v>0</v>
      </c>
      <c r="O252" s="23">
        <f t="shared" si="82"/>
        <v>0</v>
      </c>
      <c r="P252" s="17"/>
      <c r="Q252" s="19">
        <f>IF(C252="","",'Tabla_Puntual&amp;Relacionamiento'!$E$87)</f>
        <v>0.112</v>
      </c>
      <c r="R252" s="19"/>
      <c r="S252" s="11">
        <f t="shared" si="94"/>
        <v>10315.479515609013</v>
      </c>
      <c r="T252" s="23">
        <f t="shared" si="83"/>
        <v>71011.029873118881</v>
      </c>
      <c r="U252" s="37">
        <f t="shared" si="84"/>
        <v>1</v>
      </c>
      <c r="V252" s="37">
        <f t="shared" si="97"/>
        <v>232</v>
      </c>
      <c r="X252" s="31">
        <f t="shared" si="85"/>
        <v>10493.724396896971</v>
      </c>
      <c r="Y252" s="34">
        <f t="shared" si="103"/>
        <v>1.4299126100784587</v>
      </c>
      <c r="Z252" s="31">
        <f t="shared" si="86"/>
        <v>0</v>
      </c>
      <c r="AA252" s="66">
        <f t="shared" si="87"/>
        <v>25750</v>
      </c>
      <c r="AB252" s="6">
        <f t="shared" si="88"/>
        <v>0</v>
      </c>
      <c r="AC252" s="48">
        <f t="shared" si="101"/>
        <v>0</v>
      </c>
    </row>
    <row r="253" spans="3:29" x14ac:dyDescent="0.25">
      <c r="C253" s="27">
        <f t="shared" si="89"/>
        <v>233</v>
      </c>
      <c r="D253" s="30">
        <f t="shared" si="90"/>
        <v>71011.029873118881</v>
      </c>
      <c r="E253" s="20">
        <f t="shared" si="96"/>
        <v>10160</v>
      </c>
      <c r="F253" s="20">
        <f t="shared" si="79"/>
        <v>9497.2303878508901</v>
      </c>
      <c r="G253" s="21">
        <f t="shared" si="80"/>
        <v>662.76961214910966</v>
      </c>
      <c r="H253" s="24">
        <f t="shared" si="91"/>
        <v>31.244853144172307</v>
      </c>
      <c r="I253" s="21">
        <f t="shared" si="99"/>
        <v>0</v>
      </c>
      <c r="J253" s="63">
        <f t="shared" si="92"/>
        <v>0</v>
      </c>
      <c r="K253" s="66">
        <f t="shared" si="98"/>
        <v>106.04313794385754</v>
      </c>
      <c r="L253" s="17"/>
      <c r="M253" s="23">
        <f t="shared" si="93"/>
        <v>0</v>
      </c>
      <c r="N253" s="23">
        <f t="shared" si="81"/>
        <v>0</v>
      </c>
      <c r="O253" s="23">
        <f t="shared" si="82"/>
        <v>0</v>
      </c>
      <c r="P253" s="17"/>
      <c r="Q253" s="19">
        <f>IF(C253="","",'Tabla_Puntual&amp;Relacionamiento'!$E$87)</f>
        <v>0.112</v>
      </c>
      <c r="R253" s="19"/>
      <c r="S253" s="11">
        <f t="shared" si="94"/>
        <v>10297.287991088029</v>
      </c>
      <c r="T253" s="23">
        <f t="shared" si="83"/>
        <v>61513.799485267991</v>
      </c>
      <c r="U253" s="37">
        <f t="shared" si="84"/>
        <v>1</v>
      </c>
      <c r="V253" s="37">
        <f t="shared" si="97"/>
        <v>233</v>
      </c>
      <c r="X253" s="31">
        <f t="shared" si="85"/>
        <v>10489.584256833574</v>
      </c>
      <c r="Y253" s="34">
        <f t="shared" si="103"/>
        <v>1.4299126100784587</v>
      </c>
      <c r="Z253" s="31">
        <f t="shared" si="86"/>
        <v>0</v>
      </c>
      <c r="AA253" s="66">
        <f t="shared" si="87"/>
        <v>25750</v>
      </c>
      <c r="AB253" s="6">
        <f t="shared" si="88"/>
        <v>0</v>
      </c>
      <c r="AC253" s="48">
        <f t="shared" si="101"/>
        <v>0</v>
      </c>
    </row>
    <row r="254" spans="3:29" x14ac:dyDescent="0.25">
      <c r="C254" s="27">
        <f t="shared" si="89"/>
        <v>234</v>
      </c>
      <c r="D254" s="30">
        <f t="shared" si="90"/>
        <v>61513.799485267991</v>
      </c>
      <c r="E254" s="20">
        <f t="shared" si="96"/>
        <v>10160</v>
      </c>
      <c r="F254" s="20">
        <f t="shared" si="79"/>
        <v>9585.8712048041652</v>
      </c>
      <c r="G254" s="21">
        <f t="shared" si="80"/>
        <v>574.12879519583464</v>
      </c>
      <c r="H254" s="24">
        <f t="shared" si="91"/>
        <v>27.066071773517915</v>
      </c>
      <c r="I254" s="21">
        <f t="shared" si="99"/>
        <v>0</v>
      </c>
      <c r="J254" s="63">
        <f t="shared" si="92"/>
        <v>0</v>
      </c>
      <c r="K254" s="66">
        <f t="shared" si="98"/>
        <v>91.860607231333546</v>
      </c>
      <c r="L254" s="17"/>
      <c r="M254" s="23">
        <f t="shared" si="93"/>
        <v>0</v>
      </c>
      <c r="N254" s="23">
        <f t="shared" si="81"/>
        <v>0</v>
      </c>
      <c r="O254" s="23">
        <f t="shared" si="82"/>
        <v>0</v>
      </c>
      <c r="P254" s="17"/>
      <c r="Q254" s="19">
        <f>IF(C254="","",'Tabla_Puntual&amp;Relacionamiento'!$E$87)</f>
        <v>0.112</v>
      </c>
      <c r="R254" s="19"/>
      <c r="S254" s="11">
        <f t="shared" si="94"/>
        <v>10278.926679004851</v>
      </c>
      <c r="T254" s="23">
        <f t="shared" si="83"/>
        <v>51927.928280463828</v>
      </c>
      <c r="U254" s="37">
        <f t="shared" si="84"/>
        <v>1</v>
      </c>
      <c r="V254" s="37">
        <f t="shared" si="97"/>
        <v>234</v>
      </c>
      <c r="X254" s="31">
        <f t="shared" si="85"/>
        <v>10485.40547546292</v>
      </c>
      <c r="Y254" s="34">
        <f t="shared" si="103"/>
        <v>1.4299126100784587</v>
      </c>
      <c r="Z254" s="31">
        <f t="shared" si="86"/>
        <v>0</v>
      </c>
      <c r="AA254" s="66">
        <f t="shared" si="87"/>
        <v>25750</v>
      </c>
      <c r="AB254" s="6">
        <f t="shared" si="88"/>
        <v>0</v>
      </c>
      <c r="AC254" s="48">
        <f t="shared" si="101"/>
        <v>0</v>
      </c>
    </row>
    <row r="255" spans="3:29" x14ac:dyDescent="0.25">
      <c r="C255" s="27">
        <f t="shared" si="89"/>
        <v>235</v>
      </c>
      <c r="D255" s="30">
        <f t="shared" si="90"/>
        <v>51927.928280463828</v>
      </c>
      <c r="E255" s="20">
        <f t="shared" si="96"/>
        <v>10160</v>
      </c>
      <c r="F255" s="20">
        <f t="shared" si="79"/>
        <v>9675.3393360490045</v>
      </c>
      <c r="G255" s="21">
        <f t="shared" si="80"/>
        <v>484.66066395099574</v>
      </c>
      <c r="H255" s="24">
        <f t="shared" si="91"/>
        <v>22.848288443404087</v>
      </c>
      <c r="I255" s="21">
        <f t="shared" si="99"/>
        <v>0</v>
      </c>
      <c r="J255" s="63">
        <f t="shared" si="92"/>
        <v>0</v>
      </c>
      <c r="K255" s="66">
        <f t="shared" si="98"/>
        <v>77.545706232159318</v>
      </c>
      <c r="L255" s="17"/>
      <c r="M255" s="23">
        <f t="shared" si="93"/>
        <v>0</v>
      </c>
      <c r="N255" s="23">
        <f t="shared" si="81"/>
        <v>0</v>
      </c>
      <c r="O255" s="23">
        <f t="shared" si="82"/>
        <v>0</v>
      </c>
      <c r="P255" s="17"/>
      <c r="Q255" s="19">
        <f>IF(C255="","",'Tabla_Puntual&amp;Relacionamiento'!$E$87)</f>
        <v>0.112</v>
      </c>
      <c r="R255" s="19"/>
      <c r="S255" s="11">
        <f t="shared" si="94"/>
        <v>10260.393994675564</v>
      </c>
      <c r="T255" s="23">
        <f t="shared" si="83"/>
        <v>42252.58894441482</v>
      </c>
      <c r="U255" s="37">
        <f t="shared" si="84"/>
        <v>1</v>
      </c>
      <c r="V255" s="37">
        <f t="shared" si="97"/>
        <v>235</v>
      </c>
      <c r="X255" s="31">
        <f t="shared" si="85"/>
        <v>10481.187692132806</v>
      </c>
      <c r="Y255" s="34">
        <f t="shared" si="103"/>
        <v>1.4299126100784587</v>
      </c>
      <c r="Z255" s="31">
        <f t="shared" si="86"/>
        <v>0</v>
      </c>
      <c r="AA255" s="66">
        <f t="shared" si="87"/>
        <v>25750</v>
      </c>
      <c r="AB255" s="6">
        <f t="shared" si="88"/>
        <v>0</v>
      </c>
      <c r="AC255" s="48">
        <f t="shared" si="101"/>
        <v>0</v>
      </c>
    </row>
    <row r="256" spans="3:29" x14ac:dyDescent="0.25">
      <c r="C256" s="27">
        <f t="shared" si="89"/>
        <v>236</v>
      </c>
      <c r="D256" s="30">
        <f t="shared" si="90"/>
        <v>42252.58894441482</v>
      </c>
      <c r="E256" s="20">
        <f t="shared" si="96"/>
        <v>10160</v>
      </c>
      <c r="F256" s="20">
        <f t="shared" si="79"/>
        <v>9765.6425031854615</v>
      </c>
      <c r="G256" s="21">
        <f t="shared" si="80"/>
        <v>394.35749681453837</v>
      </c>
      <c r="H256" s="24">
        <f t="shared" si="91"/>
        <v>18.591139135542523</v>
      </c>
      <c r="I256" s="21">
        <f t="shared" si="99"/>
        <v>0</v>
      </c>
      <c r="J256" s="63">
        <f t="shared" si="92"/>
        <v>0</v>
      </c>
      <c r="K256" s="66">
        <f t="shared" si="98"/>
        <v>63.09719949032614</v>
      </c>
      <c r="L256" s="17"/>
      <c r="M256" s="23">
        <f t="shared" si="93"/>
        <v>0</v>
      </c>
      <c r="N256" s="23">
        <f t="shared" si="81"/>
        <v>0</v>
      </c>
      <c r="O256" s="23">
        <f t="shared" si="82"/>
        <v>0</v>
      </c>
      <c r="P256" s="17"/>
      <c r="Q256" s="19">
        <f>IF(C256="","",'Tabla_Puntual&amp;Relacionamiento'!$E$87)</f>
        <v>0.112</v>
      </c>
      <c r="R256" s="19"/>
      <c r="S256" s="11">
        <f t="shared" si="94"/>
        <v>10241.688338625869</v>
      </c>
      <c r="T256" s="23">
        <f t="shared" si="83"/>
        <v>32486.94644122936</v>
      </c>
      <c r="U256" s="37">
        <f t="shared" si="84"/>
        <v>1</v>
      </c>
      <c r="V256" s="37">
        <f t="shared" si="97"/>
        <v>236</v>
      </c>
      <c r="X256" s="31">
        <f t="shared" si="85"/>
        <v>10476.930542824944</v>
      </c>
      <c r="Y256" s="34">
        <f t="shared" si="103"/>
        <v>1.4299126100784587</v>
      </c>
      <c r="Z256" s="31">
        <f t="shared" si="86"/>
        <v>0</v>
      </c>
      <c r="AA256" s="66">
        <f t="shared" si="87"/>
        <v>25750</v>
      </c>
      <c r="AB256" s="6">
        <f t="shared" si="88"/>
        <v>0</v>
      </c>
      <c r="AC256" s="48">
        <f t="shared" si="101"/>
        <v>0</v>
      </c>
    </row>
    <row r="257" spans="3:29" x14ac:dyDescent="0.25">
      <c r="C257" s="27">
        <f t="shared" si="89"/>
        <v>237</v>
      </c>
      <c r="D257" s="30">
        <f t="shared" si="90"/>
        <v>32486.94644122936</v>
      </c>
      <c r="E257" s="20">
        <f t="shared" si="96"/>
        <v>10160</v>
      </c>
      <c r="F257" s="20">
        <f t="shared" si="79"/>
        <v>9856.788499881859</v>
      </c>
      <c r="G257" s="21">
        <f t="shared" si="80"/>
        <v>303.21150011814069</v>
      </c>
      <c r="H257" s="24">
        <f t="shared" si="91"/>
        <v>14.294256434140918</v>
      </c>
      <c r="I257" s="21">
        <f t="shared" si="99"/>
        <v>0</v>
      </c>
      <c r="J257" s="63">
        <f t="shared" si="92"/>
        <v>0</v>
      </c>
      <c r="K257" s="66">
        <f t="shared" si="98"/>
        <v>48.513840018902513</v>
      </c>
      <c r="L257" s="17"/>
      <c r="M257" s="23">
        <f t="shared" si="93"/>
        <v>0</v>
      </c>
      <c r="N257" s="23">
        <f t="shared" si="81"/>
        <v>0</v>
      </c>
      <c r="O257" s="23">
        <f t="shared" si="82"/>
        <v>0</v>
      </c>
      <c r="P257" s="17"/>
      <c r="Q257" s="19">
        <f>IF(C257="","",'Tabla_Puntual&amp;Relacionamiento'!$E$87)</f>
        <v>0.112</v>
      </c>
      <c r="R257" s="19"/>
      <c r="S257" s="11">
        <f t="shared" si="94"/>
        <v>10222.808096453044</v>
      </c>
      <c r="T257" s="23">
        <f t="shared" si="83"/>
        <v>22630.157941347501</v>
      </c>
      <c r="U257" s="37">
        <f t="shared" si="84"/>
        <v>1</v>
      </c>
      <c r="V257" s="37">
        <f t="shared" si="97"/>
        <v>237</v>
      </c>
      <c r="X257" s="31">
        <f t="shared" si="85"/>
        <v>10472.633660123543</v>
      </c>
      <c r="Y257" s="34">
        <f t="shared" si="103"/>
        <v>1.4299126100784587</v>
      </c>
      <c r="Z257" s="31">
        <f t="shared" si="86"/>
        <v>0</v>
      </c>
      <c r="AA257" s="66">
        <f t="shared" si="87"/>
        <v>25750</v>
      </c>
      <c r="AB257" s="6">
        <f t="shared" si="88"/>
        <v>0</v>
      </c>
      <c r="AC257" s="48">
        <f t="shared" si="101"/>
        <v>0</v>
      </c>
    </row>
    <row r="258" spans="3:29" x14ac:dyDescent="0.25">
      <c r="C258" s="27">
        <f t="shared" si="89"/>
        <v>238</v>
      </c>
      <c r="D258" s="30">
        <f t="shared" si="90"/>
        <v>22630.157941347501</v>
      </c>
      <c r="E258" s="20">
        <f t="shared" si="96"/>
        <v>10160</v>
      </c>
      <c r="F258" s="20">
        <f t="shared" si="79"/>
        <v>9948.7851925474224</v>
      </c>
      <c r="G258" s="21">
        <f t="shared" si="80"/>
        <v>211.21480745257671</v>
      </c>
      <c r="H258" s="24">
        <f t="shared" si="91"/>
        <v>9.9572694941929001</v>
      </c>
      <c r="I258" s="21">
        <f t="shared" si="99"/>
        <v>0</v>
      </c>
      <c r="J258" s="63">
        <f t="shared" si="92"/>
        <v>0</v>
      </c>
      <c r="K258" s="66">
        <f t="shared" si="98"/>
        <v>33.794369192412276</v>
      </c>
      <c r="L258" s="17"/>
      <c r="M258" s="23">
        <f t="shared" si="93"/>
        <v>0</v>
      </c>
      <c r="N258" s="23">
        <f t="shared" si="81"/>
        <v>0</v>
      </c>
      <c r="O258" s="23">
        <f t="shared" si="82"/>
        <v>0</v>
      </c>
      <c r="P258" s="17"/>
      <c r="Q258" s="19">
        <f>IF(C258="","",'Tabla_Puntual&amp;Relacionamiento'!$E$87)</f>
        <v>0.112</v>
      </c>
      <c r="R258" s="19"/>
      <c r="S258" s="11">
        <f t="shared" si="94"/>
        <v>10203.751638686605</v>
      </c>
      <c r="T258" s="23">
        <f t="shared" si="83"/>
        <v>12681.372748800079</v>
      </c>
      <c r="U258" s="37">
        <f t="shared" si="84"/>
        <v>1</v>
      </c>
      <c r="V258" s="37">
        <f t="shared" si="97"/>
        <v>238</v>
      </c>
      <c r="X258" s="31">
        <f t="shared" si="85"/>
        <v>10468.296673183595</v>
      </c>
      <c r="Y258" s="34">
        <f t="shared" si="103"/>
        <v>1.4299126100784587</v>
      </c>
      <c r="Z258" s="31">
        <f t="shared" si="86"/>
        <v>0</v>
      </c>
      <c r="AA258" s="66">
        <f t="shared" si="87"/>
        <v>25750</v>
      </c>
      <c r="AB258" s="6">
        <f t="shared" si="88"/>
        <v>0</v>
      </c>
      <c r="AC258" s="48">
        <f t="shared" si="101"/>
        <v>0</v>
      </c>
    </row>
    <row r="259" spans="3:29" x14ac:dyDescent="0.25">
      <c r="C259" s="27">
        <f t="shared" si="89"/>
        <v>239</v>
      </c>
      <c r="D259" s="30">
        <f t="shared" si="90"/>
        <v>12681.372748800079</v>
      </c>
      <c r="E259" s="20">
        <f t="shared" si="96"/>
        <v>10160</v>
      </c>
      <c r="F259" s="20">
        <f t="shared" si="79"/>
        <v>10041.640521011199</v>
      </c>
      <c r="G259" s="21">
        <f t="shared" si="80"/>
        <v>118.35947898880075</v>
      </c>
      <c r="H259" s="24">
        <f t="shared" si="91"/>
        <v>5.5798040094720349</v>
      </c>
      <c r="I259" s="21">
        <f t="shared" si="99"/>
        <v>0</v>
      </c>
      <c r="J259" s="63">
        <f t="shared" si="92"/>
        <v>0</v>
      </c>
      <c r="K259" s="66">
        <f t="shared" si="98"/>
        <v>18.93751663820812</v>
      </c>
      <c r="L259" s="17"/>
      <c r="M259" s="23">
        <f t="shared" si="93"/>
        <v>0</v>
      </c>
      <c r="N259" s="23">
        <f t="shared" si="81"/>
        <v>0</v>
      </c>
      <c r="O259" s="23">
        <f t="shared" si="82"/>
        <v>0</v>
      </c>
      <c r="P259" s="17"/>
      <c r="Q259" s="19">
        <f>IF(C259="","",'Tabla_Puntual&amp;Relacionamiento'!$E$87)</f>
        <v>0.112</v>
      </c>
      <c r="R259" s="19"/>
      <c r="S259" s="11">
        <f t="shared" si="94"/>
        <v>10184.517320647681</v>
      </c>
      <c r="T259" s="23">
        <f t="shared" si="83"/>
        <v>2639.7322277888798</v>
      </c>
      <c r="U259" s="37">
        <f t="shared" si="84"/>
        <v>1</v>
      </c>
      <c r="V259" s="37">
        <f t="shared" si="97"/>
        <v>239</v>
      </c>
      <c r="X259" s="31">
        <f t="shared" si="85"/>
        <v>10463.919207698875</v>
      </c>
      <c r="Y259" s="34">
        <f t="shared" si="103"/>
        <v>1.4299126100784587</v>
      </c>
      <c r="Z259" s="31">
        <f t="shared" si="86"/>
        <v>0</v>
      </c>
      <c r="AA259" s="66">
        <f t="shared" si="87"/>
        <v>25750</v>
      </c>
      <c r="AB259" s="6">
        <f t="shared" si="88"/>
        <v>0</v>
      </c>
      <c r="AC259" s="48">
        <f t="shared" si="101"/>
        <v>0</v>
      </c>
    </row>
    <row r="260" spans="3:29" x14ac:dyDescent="0.25">
      <c r="C260" s="27">
        <f t="shared" si="89"/>
        <v>240</v>
      </c>
      <c r="D260" s="30">
        <f t="shared" si="90"/>
        <v>2639.7322277888798</v>
      </c>
      <c r="E260" s="20">
        <f t="shared" si="96"/>
        <v>2664.3697285815761</v>
      </c>
      <c r="F260" s="20">
        <f t="shared" si="79"/>
        <v>2639.7322277888798</v>
      </c>
      <c r="G260" s="20">
        <f t="shared" si="80"/>
        <v>24.637500792696212</v>
      </c>
      <c r="H260" s="24">
        <f t="shared" si="91"/>
        <v>1.1614821802271071</v>
      </c>
      <c r="I260" s="21">
        <f t="shared" si="99"/>
        <v>0</v>
      </c>
      <c r="J260" s="63">
        <f t="shared" si="92"/>
        <v>0</v>
      </c>
      <c r="K260" s="66">
        <f t="shared" si="98"/>
        <v>3.942000126831394</v>
      </c>
      <c r="L260" s="17"/>
      <c r="M260" s="23">
        <f t="shared" si="93"/>
        <v>0</v>
      </c>
      <c r="N260" s="23">
        <f t="shared" si="81"/>
        <v>0</v>
      </c>
      <c r="O260" s="23">
        <f t="shared" si="82"/>
        <v>0</v>
      </c>
      <c r="P260" s="17"/>
      <c r="Q260" s="19">
        <f>IF(C260="","",'Tabla_Puntual&amp;Relacionamiento'!$E$87)</f>
        <v>0.112</v>
      </c>
      <c r="R260" s="19"/>
      <c r="S260" s="11">
        <f t="shared" si="94"/>
        <v>2669.4732108886346</v>
      </c>
      <c r="T260" s="23">
        <f t="shared" si="83"/>
        <v>0</v>
      </c>
      <c r="U260" s="37">
        <f t="shared" si="84"/>
        <v>1</v>
      </c>
      <c r="V260" s="37">
        <f t="shared" si="97"/>
        <v>240</v>
      </c>
      <c r="X260" s="31">
        <f t="shared" si="85"/>
        <v>10459.500885869629</v>
      </c>
      <c r="Y260" s="34">
        <f t="shared" si="103"/>
        <v>1.4299126100784587</v>
      </c>
      <c r="Z260" s="31">
        <f t="shared" si="86"/>
        <v>0</v>
      </c>
      <c r="AA260" s="66">
        <f t="shared" si="87"/>
        <v>25750</v>
      </c>
      <c r="AB260" s="6">
        <f t="shared" si="88"/>
        <v>0</v>
      </c>
      <c r="AC260" s="48">
        <f t="shared" si="101"/>
        <v>0</v>
      </c>
    </row>
    <row r="261" spans="3:29" x14ac:dyDescent="0.25">
      <c r="C261" s="27" t="str">
        <f t="shared" si="89"/>
        <v/>
      </c>
      <c r="D261" s="30" t="str">
        <f t="shared" si="90"/>
        <v/>
      </c>
      <c r="E261" s="20" t="str">
        <f t="shared" si="96"/>
        <v/>
      </c>
      <c r="F261" s="20" t="str">
        <f t="shared" si="79"/>
        <v/>
      </c>
      <c r="G261" s="21" t="str">
        <f t="shared" si="80"/>
        <v/>
      </c>
      <c r="H261" s="24" t="str">
        <f t="shared" si="91"/>
        <v/>
      </c>
      <c r="I261" s="21" t="str">
        <f t="shared" si="99"/>
        <v/>
      </c>
      <c r="J261" s="63" t="str">
        <f t="shared" si="92"/>
        <v/>
      </c>
      <c r="K261" s="66" t="str">
        <f t="shared" si="98"/>
        <v/>
      </c>
      <c r="L261" s="17"/>
      <c r="M261" s="23" t="str">
        <f t="shared" si="93"/>
        <v/>
      </c>
      <c r="N261" s="23" t="str">
        <f t="shared" si="81"/>
        <v/>
      </c>
      <c r="O261" s="23" t="str">
        <f t="shared" si="82"/>
        <v/>
      </c>
      <c r="P261" s="17"/>
      <c r="Q261" s="19" t="str">
        <f>IF(C261="","",'Tabla_Puntual&amp;Relacionamiento'!$E$88)</f>
        <v/>
      </c>
      <c r="R261" s="19" t="str">
        <f>IF(C261="","",IF($E$14="Pago_Bajo_Puntual",$M$17,""))</f>
        <v/>
      </c>
      <c r="S261" s="11" t="str">
        <f t="shared" si="94"/>
        <v/>
      </c>
      <c r="T261" s="23" t="str">
        <f t="shared" si="83"/>
        <v/>
      </c>
      <c r="U261" s="37" t="str">
        <f t="shared" si="84"/>
        <v/>
      </c>
      <c r="V261" s="37" t="str">
        <f t="shared" si="97"/>
        <v/>
      </c>
      <c r="X261" s="31" t="str">
        <f t="shared" si="85"/>
        <v/>
      </c>
      <c r="Y261" s="34">
        <f>Y260*1.019</f>
        <v>1.4570809496699493</v>
      </c>
      <c r="Z261" s="31" t="e">
        <f t="shared" si="86"/>
        <v>#VALUE!</v>
      </c>
      <c r="AA261" s="66">
        <f t="shared" si="87"/>
        <v>0</v>
      </c>
      <c r="AB261" s="6" t="e">
        <f t="shared" si="88"/>
        <v>#VALUE!</v>
      </c>
      <c r="AC261" s="48">
        <f t="shared" si="101"/>
        <v>0</v>
      </c>
    </row>
    <row r="262" spans="3:29" x14ac:dyDescent="0.25">
      <c r="C262" s="27" t="str">
        <f t="shared" si="89"/>
        <v/>
      </c>
      <c r="D262" s="30" t="str">
        <f t="shared" si="90"/>
        <v/>
      </c>
      <c r="E262" s="20" t="str">
        <f t="shared" si="96"/>
        <v/>
      </c>
      <c r="F262" s="20" t="str">
        <f t="shared" si="79"/>
        <v/>
      </c>
      <c r="G262" s="21" t="str">
        <f t="shared" si="80"/>
        <v/>
      </c>
      <c r="H262" s="24" t="str">
        <f t="shared" si="91"/>
        <v/>
      </c>
      <c r="I262" s="21" t="str">
        <f t="shared" si="99"/>
        <v/>
      </c>
      <c r="J262" s="63" t="str">
        <f t="shared" si="92"/>
        <v/>
      </c>
      <c r="K262" s="66" t="str">
        <f t="shared" si="98"/>
        <v/>
      </c>
      <c r="L262" s="17"/>
      <c r="M262" s="23" t="str">
        <f t="shared" si="93"/>
        <v/>
      </c>
      <c r="N262" s="23" t="str">
        <f t="shared" si="81"/>
        <v/>
      </c>
      <c r="O262" s="23" t="str">
        <f t="shared" si="82"/>
        <v/>
      </c>
      <c r="P262" s="17"/>
      <c r="Q262" s="19" t="str">
        <f>IF(C262="","",'Tabla_Puntual&amp;Relacionamiento'!$E$88)</f>
        <v/>
      </c>
      <c r="R262" s="19"/>
      <c r="S262" s="11" t="str">
        <f t="shared" si="94"/>
        <v/>
      </c>
      <c r="T262" s="23" t="str">
        <f t="shared" si="83"/>
        <v/>
      </c>
      <c r="U262" s="37" t="str">
        <f t="shared" si="84"/>
        <v/>
      </c>
      <c r="V262" s="37" t="str">
        <f t="shared" si="97"/>
        <v/>
      </c>
      <c r="X262" s="31" t="str">
        <f t="shared" si="85"/>
        <v/>
      </c>
      <c r="Y262" s="34">
        <f t="shared" ref="Y262:Y272" si="104">Y261</f>
        <v>1.4570809496699493</v>
      </c>
      <c r="Z262" s="31" t="e">
        <f t="shared" si="86"/>
        <v>#VALUE!</v>
      </c>
      <c r="AA262" s="66">
        <f t="shared" si="87"/>
        <v>0</v>
      </c>
      <c r="AB262" s="6" t="e">
        <f t="shared" si="88"/>
        <v>#VALUE!</v>
      </c>
      <c r="AC262" s="48">
        <f t="shared" si="101"/>
        <v>0</v>
      </c>
    </row>
    <row r="263" spans="3:29" x14ac:dyDescent="0.25">
      <c r="C263" s="27" t="str">
        <f t="shared" si="89"/>
        <v/>
      </c>
      <c r="D263" s="30" t="str">
        <f t="shared" si="90"/>
        <v/>
      </c>
      <c r="E263" s="20" t="str">
        <f t="shared" si="96"/>
        <v/>
      </c>
      <c r="F263" s="20" t="str">
        <f t="shared" si="79"/>
        <v/>
      </c>
      <c r="G263" s="21" t="str">
        <f t="shared" si="80"/>
        <v/>
      </c>
      <c r="H263" s="24" t="str">
        <f t="shared" si="91"/>
        <v/>
      </c>
      <c r="I263" s="21" t="str">
        <f t="shared" si="99"/>
        <v/>
      </c>
      <c r="J263" s="63" t="str">
        <f t="shared" si="92"/>
        <v/>
      </c>
      <c r="K263" s="66" t="str">
        <f t="shared" si="98"/>
        <v/>
      </c>
      <c r="L263" s="17"/>
      <c r="M263" s="23" t="str">
        <f t="shared" si="93"/>
        <v/>
      </c>
      <c r="N263" s="23" t="str">
        <f t="shared" si="81"/>
        <v/>
      </c>
      <c r="O263" s="23" t="str">
        <f t="shared" si="82"/>
        <v/>
      </c>
      <c r="P263" s="17"/>
      <c r="Q263" s="19" t="str">
        <f>IF(C263="","",'Tabla_Puntual&amp;Relacionamiento'!$E$88)</f>
        <v/>
      </c>
      <c r="R263" s="19"/>
      <c r="S263" s="11" t="str">
        <f t="shared" si="94"/>
        <v/>
      </c>
      <c r="T263" s="23" t="str">
        <f t="shared" si="83"/>
        <v/>
      </c>
      <c r="U263" s="37" t="str">
        <f t="shared" si="84"/>
        <v/>
      </c>
      <c r="V263" s="37" t="str">
        <f t="shared" si="97"/>
        <v/>
      </c>
      <c r="X263" s="31" t="str">
        <f t="shared" si="85"/>
        <v/>
      </c>
      <c r="Y263" s="34">
        <f t="shared" si="104"/>
        <v>1.4570809496699493</v>
      </c>
      <c r="Z263" s="31" t="e">
        <f t="shared" si="86"/>
        <v>#VALUE!</v>
      </c>
      <c r="AA263" s="66">
        <f t="shared" si="87"/>
        <v>0</v>
      </c>
      <c r="AB263" s="6" t="e">
        <f t="shared" si="88"/>
        <v>#VALUE!</v>
      </c>
      <c r="AC263" s="48">
        <f t="shared" si="101"/>
        <v>0</v>
      </c>
    </row>
    <row r="264" spans="3:29" x14ac:dyDescent="0.25">
      <c r="C264" s="27" t="str">
        <f t="shared" si="89"/>
        <v/>
      </c>
      <c r="D264" s="30" t="str">
        <f t="shared" si="90"/>
        <v/>
      </c>
      <c r="E264" s="20" t="str">
        <f t="shared" si="96"/>
        <v/>
      </c>
      <c r="F264" s="20" t="str">
        <f t="shared" si="79"/>
        <v/>
      </c>
      <c r="G264" s="21" t="str">
        <f t="shared" si="80"/>
        <v/>
      </c>
      <c r="H264" s="24" t="str">
        <f t="shared" si="91"/>
        <v/>
      </c>
      <c r="I264" s="21" t="str">
        <f t="shared" si="99"/>
        <v/>
      </c>
      <c r="J264" s="63" t="str">
        <f t="shared" si="92"/>
        <v/>
      </c>
      <c r="K264" s="66" t="str">
        <f t="shared" si="98"/>
        <v/>
      </c>
      <c r="L264" s="17"/>
      <c r="M264" s="23" t="str">
        <f t="shared" si="93"/>
        <v/>
      </c>
      <c r="N264" s="23" t="str">
        <f t="shared" si="81"/>
        <v/>
      </c>
      <c r="O264" s="23" t="str">
        <f t="shared" si="82"/>
        <v/>
      </c>
      <c r="P264" s="17"/>
      <c r="Q264" s="19" t="str">
        <f>IF(C264="","",'Tabla_Puntual&amp;Relacionamiento'!$E$88)</f>
        <v/>
      </c>
      <c r="R264" s="19"/>
      <c r="S264" s="11" t="str">
        <f t="shared" si="94"/>
        <v/>
      </c>
      <c r="T264" s="23" t="str">
        <f t="shared" si="83"/>
        <v/>
      </c>
      <c r="U264" s="37" t="str">
        <f t="shared" si="84"/>
        <v/>
      </c>
      <c r="V264" s="37" t="str">
        <f t="shared" si="97"/>
        <v/>
      </c>
      <c r="X264" s="31" t="str">
        <f t="shared" si="85"/>
        <v/>
      </c>
      <c r="Y264" s="34">
        <f t="shared" si="104"/>
        <v>1.4570809496699493</v>
      </c>
      <c r="Z264" s="31" t="e">
        <f t="shared" si="86"/>
        <v>#VALUE!</v>
      </c>
      <c r="AA264" s="66">
        <f t="shared" si="87"/>
        <v>0</v>
      </c>
      <c r="AB264" s="6" t="e">
        <f t="shared" si="88"/>
        <v>#VALUE!</v>
      </c>
      <c r="AC264" s="48">
        <f t="shared" si="101"/>
        <v>0</v>
      </c>
    </row>
    <row r="265" spans="3:29" x14ac:dyDescent="0.25">
      <c r="C265" s="27" t="str">
        <f t="shared" si="89"/>
        <v/>
      </c>
      <c r="D265" s="30" t="str">
        <f t="shared" si="90"/>
        <v/>
      </c>
      <c r="E265" s="20" t="str">
        <f t="shared" si="96"/>
        <v/>
      </c>
      <c r="F265" s="20" t="str">
        <f t="shared" si="79"/>
        <v/>
      </c>
      <c r="G265" s="21" t="str">
        <f t="shared" si="80"/>
        <v/>
      </c>
      <c r="H265" s="24" t="str">
        <f t="shared" si="91"/>
        <v/>
      </c>
      <c r="I265" s="21" t="str">
        <f t="shared" si="99"/>
        <v/>
      </c>
      <c r="J265" s="63" t="str">
        <f t="shared" si="92"/>
        <v/>
      </c>
      <c r="K265" s="66" t="str">
        <f t="shared" si="98"/>
        <v/>
      </c>
      <c r="L265" s="17"/>
      <c r="M265" s="23" t="str">
        <f t="shared" si="93"/>
        <v/>
      </c>
      <c r="N265" s="23" t="str">
        <f t="shared" si="81"/>
        <v/>
      </c>
      <c r="O265" s="23" t="str">
        <f t="shared" si="82"/>
        <v/>
      </c>
      <c r="P265" s="17"/>
      <c r="Q265" s="19" t="str">
        <f>IF(C265="","",'Tabla_Puntual&amp;Relacionamiento'!$E$88)</f>
        <v/>
      </c>
      <c r="R265" s="19"/>
      <c r="S265" s="11" t="str">
        <f t="shared" si="94"/>
        <v/>
      </c>
      <c r="T265" s="23" t="str">
        <f t="shared" si="83"/>
        <v/>
      </c>
      <c r="U265" s="37" t="str">
        <f t="shared" si="84"/>
        <v/>
      </c>
      <c r="V265" s="37" t="str">
        <f t="shared" si="97"/>
        <v/>
      </c>
      <c r="X265" s="31" t="str">
        <f t="shared" si="85"/>
        <v/>
      </c>
      <c r="Y265" s="34">
        <f t="shared" si="104"/>
        <v>1.4570809496699493</v>
      </c>
      <c r="Z265" s="31" t="e">
        <f t="shared" si="86"/>
        <v>#VALUE!</v>
      </c>
      <c r="AA265" s="66">
        <f t="shared" si="87"/>
        <v>0</v>
      </c>
      <c r="AB265" s="6" t="e">
        <f t="shared" si="88"/>
        <v>#VALUE!</v>
      </c>
      <c r="AC265" s="48">
        <f t="shared" si="101"/>
        <v>0</v>
      </c>
    </row>
    <row r="266" spans="3:29" x14ac:dyDescent="0.25">
      <c r="C266" s="27" t="str">
        <f t="shared" si="89"/>
        <v/>
      </c>
      <c r="D266" s="30" t="str">
        <f t="shared" si="90"/>
        <v/>
      </c>
      <c r="E266" s="20" t="str">
        <f t="shared" si="96"/>
        <v/>
      </c>
      <c r="F266" s="20" t="str">
        <f t="shared" si="79"/>
        <v/>
      </c>
      <c r="G266" s="21" t="str">
        <f t="shared" si="80"/>
        <v/>
      </c>
      <c r="H266" s="24" t="str">
        <f t="shared" si="91"/>
        <v/>
      </c>
      <c r="I266" s="21" t="str">
        <f t="shared" si="99"/>
        <v/>
      </c>
      <c r="J266" s="63" t="str">
        <f t="shared" si="92"/>
        <v/>
      </c>
      <c r="K266" s="66" t="str">
        <f t="shared" si="98"/>
        <v/>
      </c>
      <c r="L266" s="17"/>
      <c r="M266" s="23" t="str">
        <f t="shared" si="93"/>
        <v/>
      </c>
      <c r="N266" s="23" t="str">
        <f t="shared" si="81"/>
        <v/>
      </c>
      <c r="O266" s="23" t="str">
        <f t="shared" si="82"/>
        <v/>
      </c>
      <c r="P266" s="17"/>
      <c r="Q266" s="19" t="str">
        <f>IF(C266="","",'Tabla_Puntual&amp;Relacionamiento'!$E$88)</f>
        <v/>
      </c>
      <c r="R266" s="19"/>
      <c r="S266" s="11" t="str">
        <f t="shared" si="94"/>
        <v/>
      </c>
      <c r="T266" s="23" t="str">
        <f t="shared" si="83"/>
        <v/>
      </c>
      <c r="U266" s="37" t="str">
        <f t="shared" si="84"/>
        <v/>
      </c>
      <c r="V266" s="37" t="str">
        <f t="shared" si="97"/>
        <v/>
      </c>
      <c r="X266" s="31" t="str">
        <f t="shared" si="85"/>
        <v/>
      </c>
      <c r="Y266" s="34">
        <f t="shared" si="104"/>
        <v>1.4570809496699493</v>
      </c>
      <c r="Z266" s="31" t="e">
        <f t="shared" si="86"/>
        <v>#VALUE!</v>
      </c>
      <c r="AA266" s="66">
        <f t="shared" si="87"/>
        <v>0</v>
      </c>
      <c r="AB266" s="6" t="e">
        <f t="shared" si="88"/>
        <v>#VALUE!</v>
      </c>
      <c r="AC266" s="48">
        <f t="shared" si="101"/>
        <v>0</v>
      </c>
    </row>
    <row r="267" spans="3:29" x14ac:dyDescent="0.25">
      <c r="C267" s="27" t="str">
        <f t="shared" si="89"/>
        <v/>
      </c>
      <c r="D267" s="30" t="str">
        <f t="shared" si="90"/>
        <v/>
      </c>
      <c r="E267" s="20" t="str">
        <f t="shared" si="96"/>
        <v/>
      </c>
      <c r="F267" s="20" t="str">
        <f t="shared" si="79"/>
        <v/>
      </c>
      <c r="G267" s="21" t="str">
        <f t="shared" si="80"/>
        <v/>
      </c>
      <c r="H267" s="24" t="str">
        <f t="shared" si="91"/>
        <v/>
      </c>
      <c r="I267" s="21" t="str">
        <f t="shared" si="99"/>
        <v/>
      </c>
      <c r="J267" s="63" t="str">
        <f t="shared" si="92"/>
        <v/>
      </c>
      <c r="K267" s="66" t="str">
        <f t="shared" si="98"/>
        <v/>
      </c>
      <c r="L267" s="17"/>
      <c r="M267" s="23" t="str">
        <f t="shared" si="93"/>
        <v/>
      </c>
      <c r="N267" s="23" t="str">
        <f t="shared" si="81"/>
        <v/>
      </c>
      <c r="O267" s="23" t="str">
        <f t="shared" si="82"/>
        <v/>
      </c>
      <c r="P267" s="17"/>
      <c r="Q267" s="19" t="str">
        <f>IF(C267="","",'Tabla_Puntual&amp;Relacionamiento'!$E$88)</f>
        <v/>
      </c>
      <c r="R267" s="19"/>
      <c r="S267" s="11" t="str">
        <f t="shared" si="94"/>
        <v/>
      </c>
      <c r="T267" s="23" t="str">
        <f t="shared" si="83"/>
        <v/>
      </c>
      <c r="U267" s="37" t="str">
        <f t="shared" si="84"/>
        <v/>
      </c>
      <c r="V267" s="37" t="str">
        <f t="shared" si="97"/>
        <v/>
      </c>
      <c r="X267" s="31" t="str">
        <f t="shared" si="85"/>
        <v/>
      </c>
      <c r="Y267" s="34">
        <f t="shared" si="104"/>
        <v>1.4570809496699493</v>
      </c>
      <c r="Z267" s="31" t="e">
        <f t="shared" si="86"/>
        <v>#VALUE!</v>
      </c>
      <c r="AA267" s="66">
        <f t="shared" si="87"/>
        <v>0</v>
      </c>
      <c r="AB267" s="6" t="e">
        <f t="shared" si="88"/>
        <v>#VALUE!</v>
      </c>
      <c r="AC267" s="48">
        <f t="shared" si="101"/>
        <v>0</v>
      </c>
    </row>
    <row r="268" spans="3:29" x14ac:dyDescent="0.25">
      <c r="C268" s="27" t="str">
        <f t="shared" si="89"/>
        <v/>
      </c>
      <c r="D268" s="30" t="str">
        <f t="shared" si="90"/>
        <v/>
      </c>
      <c r="E268" s="20" t="str">
        <f t="shared" si="96"/>
        <v/>
      </c>
      <c r="F268" s="20" t="str">
        <f t="shared" si="79"/>
        <v/>
      </c>
      <c r="G268" s="21" t="str">
        <f t="shared" si="80"/>
        <v/>
      </c>
      <c r="H268" s="24" t="str">
        <f t="shared" si="91"/>
        <v/>
      </c>
      <c r="I268" s="21" t="str">
        <f t="shared" si="99"/>
        <v/>
      </c>
      <c r="J268" s="63" t="str">
        <f t="shared" si="92"/>
        <v/>
      </c>
      <c r="K268" s="66" t="str">
        <f t="shared" si="98"/>
        <v/>
      </c>
      <c r="L268" s="17"/>
      <c r="M268" s="23" t="str">
        <f t="shared" si="93"/>
        <v/>
      </c>
      <c r="N268" s="23" t="str">
        <f t="shared" si="81"/>
        <v/>
      </c>
      <c r="O268" s="23" t="str">
        <f t="shared" si="82"/>
        <v/>
      </c>
      <c r="P268" s="17"/>
      <c r="Q268" s="19" t="str">
        <f>IF(C268="","",'Tabla_Puntual&amp;Relacionamiento'!$E$88)</f>
        <v/>
      </c>
      <c r="R268" s="19"/>
      <c r="S268" s="11" t="str">
        <f t="shared" si="94"/>
        <v/>
      </c>
      <c r="T268" s="23" t="str">
        <f t="shared" si="83"/>
        <v/>
      </c>
      <c r="U268" s="37" t="str">
        <f t="shared" si="84"/>
        <v/>
      </c>
      <c r="V268" s="37" t="str">
        <f t="shared" si="97"/>
        <v/>
      </c>
      <c r="X268" s="31" t="str">
        <f t="shared" si="85"/>
        <v/>
      </c>
      <c r="Y268" s="34">
        <f t="shared" si="104"/>
        <v>1.4570809496699493</v>
      </c>
      <c r="Z268" s="31" t="e">
        <f t="shared" si="86"/>
        <v>#VALUE!</v>
      </c>
      <c r="AA268" s="66">
        <f t="shared" si="87"/>
        <v>0</v>
      </c>
      <c r="AB268" s="6" t="e">
        <f t="shared" si="88"/>
        <v>#VALUE!</v>
      </c>
      <c r="AC268" s="48">
        <f t="shared" si="101"/>
        <v>0</v>
      </c>
    </row>
    <row r="269" spans="3:29" x14ac:dyDescent="0.25">
      <c r="C269" s="27" t="str">
        <f t="shared" si="89"/>
        <v/>
      </c>
      <c r="D269" s="30" t="str">
        <f t="shared" si="90"/>
        <v/>
      </c>
      <c r="E269" s="20" t="str">
        <f t="shared" si="96"/>
        <v/>
      </c>
      <c r="F269" s="20" t="str">
        <f t="shared" si="79"/>
        <v/>
      </c>
      <c r="G269" s="21" t="str">
        <f t="shared" si="80"/>
        <v/>
      </c>
      <c r="H269" s="24" t="str">
        <f t="shared" si="91"/>
        <v/>
      </c>
      <c r="I269" s="21" t="str">
        <f t="shared" si="99"/>
        <v/>
      </c>
      <c r="J269" s="63" t="str">
        <f t="shared" si="92"/>
        <v/>
      </c>
      <c r="K269" s="66" t="str">
        <f t="shared" si="98"/>
        <v/>
      </c>
      <c r="L269" s="17"/>
      <c r="M269" s="23" t="str">
        <f t="shared" si="93"/>
        <v/>
      </c>
      <c r="N269" s="23" t="str">
        <f t="shared" si="81"/>
        <v/>
      </c>
      <c r="O269" s="23" t="str">
        <f t="shared" si="82"/>
        <v/>
      </c>
      <c r="P269" s="17"/>
      <c r="Q269" s="19" t="str">
        <f>IF(C269="","",'Tabla_Puntual&amp;Relacionamiento'!$E$88)</f>
        <v/>
      </c>
      <c r="R269" s="19"/>
      <c r="S269" s="11" t="str">
        <f t="shared" si="94"/>
        <v/>
      </c>
      <c r="T269" s="23" t="str">
        <f t="shared" si="83"/>
        <v/>
      </c>
      <c r="U269" s="37" t="str">
        <f t="shared" si="84"/>
        <v/>
      </c>
      <c r="V269" s="37" t="str">
        <f t="shared" si="97"/>
        <v/>
      </c>
      <c r="X269" s="31" t="str">
        <f t="shared" si="85"/>
        <v/>
      </c>
      <c r="Y269" s="34">
        <f t="shared" si="104"/>
        <v>1.4570809496699493</v>
      </c>
      <c r="Z269" s="31" t="e">
        <f t="shared" si="86"/>
        <v>#VALUE!</v>
      </c>
      <c r="AA269" s="66">
        <f t="shared" si="87"/>
        <v>0</v>
      </c>
      <c r="AB269" s="6" t="e">
        <f t="shared" si="88"/>
        <v>#VALUE!</v>
      </c>
      <c r="AC269" s="48">
        <f t="shared" si="101"/>
        <v>0</v>
      </c>
    </row>
    <row r="270" spans="3:29" x14ac:dyDescent="0.25">
      <c r="C270" s="27" t="str">
        <f t="shared" si="89"/>
        <v/>
      </c>
      <c r="D270" s="30" t="str">
        <f t="shared" si="90"/>
        <v/>
      </c>
      <c r="E270" s="20" t="str">
        <f t="shared" si="96"/>
        <v/>
      </c>
      <c r="F270" s="20" t="str">
        <f t="shared" si="79"/>
        <v/>
      </c>
      <c r="G270" s="21" t="str">
        <f t="shared" si="80"/>
        <v/>
      </c>
      <c r="H270" s="24" t="str">
        <f t="shared" si="91"/>
        <v/>
      </c>
      <c r="I270" s="21" t="str">
        <f t="shared" si="99"/>
        <v/>
      </c>
      <c r="J270" s="63" t="str">
        <f t="shared" si="92"/>
        <v/>
      </c>
      <c r="K270" s="66" t="str">
        <f t="shared" si="98"/>
        <v/>
      </c>
      <c r="L270" s="17"/>
      <c r="M270" s="23" t="str">
        <f t="shared" si="93"/>
        <v/>
      </c>
      <c r="N270" s="23" t="str">
        <f t="shared" si="81"/>
        <v/>
      </c>
      <c r="O270" s="23" t="str">
        <f t="shared" si="82"/>
        <v/>
      </c>
      <c r="P270" s="17"/>
      <c r="Q270" s="19" t="str">
        <f>IF(C270="","",'Tabla_Puntual&amp;Relacionamiento'!$E$88)</f>
        <v/>
      </c>
      <c r="R270" s="19"/>
      <c r="S270" s="11" t="str">
        <f t="shared" si="94"/>
        <v/>
      </c>
      <c r="T270" s="23" t="str">
        <f t="shared" si="83"/>
        <v/>
      </c>
      <c r="U270" s="37" t="str">
        <f t="shared" si="84"/>
        <v/>
      </c>
      <c r="V270" s="37" t="str">
        <f t="shared" si="97"/>
        <v/>
      </c>
      <c r="X270" s="31" t="str">
        <f t="shared" si="85"/>
        <v/>
      </c>
      <c r="Y270" s="34">
        <f t="shared" si="104"/>
        <v>1.4570809496699493</v>
      </c>
      <c r="Z270" s="31" t="e">
        <f t="shared" si="86"/>
        <v>#VALUE!</v>
      </c>
      <c r="AA270" s="66">
        <f t="shared" si="87"/>
        <v>0</v>
      </c>
      <c r="AB270" s="6" t="e">
        <f t="shared" si="88"/>
        <v>#VALUE!</v>
      </c>
      <c r="AC270" s="48">
        <f t="shared" si="101"/>
        <v>0</v>
      </c>
    </row>
    <row r="271" spans="3:29" x14ac:dyDescent="0.25">
      <c r="C271" s="27" t="str">
        <f t="shared" si="89"/>
        <v/>
      </c>
      <c r="D271" s="30" t="str">
        <f t="shared" si="90"/>
        <v/>
      </c>
      <c r="E271" s="20" t="str">
        <f t="shared" si="96"/>
        <v/>
      </c>
      <c r="F271" s="20" t="str">
        <f t="shared" si="79"/>
        <v/>
      </c>
      <c r="G271" s="21" t="str">
        <f t="shared" si="80"/>
        <v/>
      </c>
      <c r="H271" s="24" t="str">
        <f t="shared" si="91"/>
        <v/>
      </c>
      <c r="I271" s="21" t="str">
        <f t="shared" si="99"/>
        <v/>
      </c>
      <c r="J271" s="63" t="str">
        <f t="shared" si="92"/>
        <v/>
      </c>
      <c r="K271" s="66" t="str">
        <f t="shared" si="98"/>
        <v/>
      </c>
      <c r="L271" s="17"/>
      <c r="M271" s="23" t="str">
        <f t="shared" si="93"/>
        <v/>
      </c>
      <c r="N271" s="23" t="str">
        <f t="shared" si="81"/>
        <v/>
      </c>
      <c r="O271" s="23" t="str">
        <f t="shared" si="82"/>
        <v/>
      </c>
      <c r="P271" s="17"/>
      <c r="Q271" s="19" t="str">
        <f>IF(C271="","",'Tabla_Puntual&amp;Relacionamiento'!$E$88)</f>
        <v/>
      </c>
      <c r="R271" s="19"/>
      <c r="S271" s="11" t="str">
        <f t="shared" si="94"/>
        <v/>
      </c>
      <c r="T271" s="23" t="str">
        <f t="shared" si="83"/>
        <v/>
      </c>
      <c r="U271" s="37" t="str">
        <f t="shared" si="84"/>
        <v/>
      </c>
      <c r="V271" s="37" t="str">
        <f t="shared" si="97"/>
        <v/>
      </c>
      <c r="X271" s="31" t="str">
        <f t="shared" si="85"/>
        <v/>
      </c>
      <c r="Y271" s="34">
        <f t="shared" si="104"/>
        <v>1.4570809496699493</v>
      </c>
      <c r="Z271" s="31" t="e">
        <f t="shared" si="86"/>
        <v>#VALUE!</v>
      </c>
      <c r="AA271" s="66">
        <f t="shared" si="87"/>
        <v>0</v>
      </c>
      <c r="AB271" s="6" t="e">
        <f t="shared" si="88"/>
        <v>#VALUE!</v>
      </c>
      <c r="AC271" s="48">
        <f t="shared" si="101"/>
        <v>0</v>
      </c>
    </row>
    <row r="272" spans="3:29" x14ac:dyDescent="0.25">
      <c r="C272" s="27" t="str">
        <f t="shared" si="89"/>
        <v/>
      </c>
      <c r="D272" s="30" t="str">
        <f t="shared" si="90"/>
        <v/>
      </c>
      <c r="E272" s="20" t="str">
        <f t="shared" si="96"/>
        <v/>
      </c>
      <c r="F272" s="20" t="str">
        <f t="shared" si="79"/>
        <v/>
      </c>
      <c r="G272" s="21" t="str">
        <f t="shared" si="80"/>
        <v/>
      </c>
      <c r="H272" s="24" t="str">
        <f t="shared" si="91"/>
        <v/>
      </c>
      <c r="I272" s="21" t="str">
        <f t="shared" si="99"/>
        <v/>
      </c>
      <c r="J272" s="63" t="str">
        <f t="shared" si="92"/>
        <v/>
      </c>
      <c r="K272" s="66" t="str">
        <f t="shared" si="98"/>
        <v/>
      </c>
      <c r="L272" s="17"/>
      <c r="M272" s="23" t="str">
        <f t="shared" si="93"/>
        <v/>
      </c>
      <c r="N272" s="23" t="str">
        <f t="shared" si="81"/>
        <v/>
      </c>
      <c r="O272" s="23" t="str">
        <f t="shared" si="82"/>
        <v/>
      </c>
      <c r="P272" s="17"/>
      <c r="Q272" s="19" t="str">
        <f>IF(C272="","",'Tabla_Puntual&amp;Relacionamiento'!$E$88)</f>
        <v/>
      </c>
      <c r="R272" s="19"/>
      <c r="S272" s="11" t="str">
        <f t="shared" si="94"/>
        <v/>
      </c>
      <c r="T272" s="23" t="str">
        <f t="shared" si="83"/>
        <v/>
      </c>
      <c r="U272" s="37" t="str">
        <f t="shared" si="84"/>
        <v/>
      </c>
      <c r="V272" s="37" t="str">
        <f t="shared" si="97"/>
        <v/>
      </c>
      <c r="X272" s="31" t="str">
        <f t="shared" si="85"/>
        <v/>
      </c>
      <c r="Y272" s="34">
        <f t="shared" si="104"/>
        <v>1.4570809496699493</v>
      </c>
      <c r="Z272" s="31" t="e">
        <f t="shared" si="86"/>
        <v>#VALUE!</v>
      </c>
      <c r="AA272" s="66">
        <f t="shared" si="87"/>
        <v>0</v>
      </c>
      <c r="AB272" s="6" t="e">
        <f t="shared" si="88"/>
        <v>#VALUE!</v>
      </c>
      <c r="AC272" s="48">
        <f t="shared" si="101"/>
        <v>0</v>
      </c>
    </row>
    <row r="273" spans="3:29" x14ac:dyDescent="0.25">
      <c r="C273" s="27" t="str">
        <f t="shared" si="89"/>
        <v/>
      </c>
      <c r="D273" s="30" t="str">
        <f t="shared" si="90"/>
        <v/>
      </c>
      <c r="E273" s="20" t="str">
        <f t="shared" si="96"/>
        <v/>
      </c>
      <c r="F273" s="20" t="str">
        <f t="shared" si="79"/>
        <v/>
      </c>
      <c r="G273" s="21" t="str">
        <f t="shared" si="80"/>
        <v/>
      </c>
      <c r="H273" s="24" t="str">
        <f t="shared" si="91"/>
        <v/>
      </c>
      <c r="I273" s="21" t="str">
        <f t="shared" si="99"/>
        <v/>
      </c>
      <c r="J273" s="63" t="str">
        <f t="shared" si="92"/>
        <v/>
      </c>
      <c r="K273" s="66" t="str">
        <f t="shared" si="98"/>
        <v/>
      </c>
      <c r="L273" s="17"/>
      <c r="M273" s="23" t="str">
        <f t="shared" si="93"/>
        <v/>
      </c>
      <c r="N273" s="23" t="str">
        <f t="shared" si="81"/>
        <v/>
      </c>
      <c r="O273" s="23" t="str">
        <f t="shared" si="82"/>
        <v/>
      </c>
      <c r="P273" s="17"/>
      <c r="Q273" s="19" t="str">
        <f>IF(C273="","",'Tabla_Puntual&amp;Relacionamiento'!$E$89)</f>
        <v/>
      </c>
      <c r="R273" s="19" t="str">
        <f>IF(C273="","",IF($E$14="Pago_Bajo_Puntual",$M$17,""))</f>
        <v/>
      </c>
      <c r="S273" s="11" t="str">
        <f t="shared" si="94"/>
        <v/>
      </c>
      <c r="T273" s="23" t="str">
        <f t="shared" si="83"/>
        <v/>
      </c>
      <c r="U273" s="37" t="str">
        <f t="shared" si="84"/>
        <v/>
      </c>
      <c r="V273" s="37" t="str">
        <f t="shared" si="97"/>
        <v/>
      </c>
      <c r="X273" s="31" t="str">
        <f t="shared" si="85"/>
        <v/>
      </c>
      <c r="Y273" s="34">
        <f>Y272*1.019</f>
        <v>1.4847654877136782</v>
      </c>
      <c r="Z273" s="31" t="e">
        <f t="shared" si="86"/>
        <v>#VALUE!</v>
      </c>
      <c r="AA273" s="66">
        <f t="shared" si="87"/>
        <v>0</v>
      </c>
      <c r="AB273" s="6" t="e">
        <f t="shared" si="88"/>
        <v>#VALUE!</v>
      </c>
      <c r="AC273" s="48">
        <f t="shared" si="101"/>
        <v>0</v>
      </c>
    </row>
    <row r="274" spans="3:29" x14ac:dyDescent="0.25">
      <c r="C274" s="27" t="str">
        <f t="shared" si="89"/>
        <v/>
      </c>
      <c r="D274" s="30" t="str">
        <f t="shared" si="90"/>
        <v/>
      </c>
      <c r="E274" s="20" t="str">
        <f t="shared" si="96"/>
        <v/>
      </c>
      <c r="F274" s="20" t="str">
        <f t="shared" si="79"/>
        <v/>
      </c>
      <c r="G274" s="21" t="str">
        <f t="shared" si="80"/>
        <v/>
      </c>
      <c r="H274" s="24" t="str">
        <f t="shared" si="91"/>
        <v/>
      </c>
      <c r="I274" s="21" t="str">
        <f t="shared" si="99"/>
        <v/>
      </c>
      <c r="J274" s="63" t="str">
        <f t="shared" si="92"/>
        <v/>
      </c>
      <c r="K274" s="66" t="str">
        <f t="shared" si="98"/>
        <v/>
      </c>
      <c r="L274" s="17"/>
      <c r="M274" s="23" t="str">
        <f t="shared" si="93"/>
        <v/>
      </c>
      <c r="N274" s="23" t="str">
        <f t="shared" si="81"/>
        <v/>
      </c>
      <c r="O274" s="23" t="str">
        <f t="shared" si="82"/>
        <v/>
      </c>
      <c r="P274" s="17"/>
      <c r="Q274" s="19" t="str">
        <f>IF(C274="","",'Tabla_Puntual&amp;Relacionamiento'!$E$89)</f>
        <v/>
      </c>
      <c r="R274" s="19"/>
      <c r="S274" s="11" t="str">
        <f t="shared" si="94"/>
        <v/>
      </c>
      <c r="T274" s="23" t="str">
        <f t="shared" si="83"/>
        <v/>
      </c>
      <c r="U274" s="37" t="str">
        <f t="shared" si="84"/>
        <v/>
      </c>
      <c r="V274" s="37" t="str">
        <f t="shared" si="97"/>
        <v/>
      </c>
      <c r="X274" s="31" t="str">
        <f t="shared" si="85"/>
        <v/>
      </c>
      <c r="Y274" s="34">
        <f t="shared" ref="Y274:Y284" si="105">Y273</f>
        <v>1.4847654877136782</v>
      </c>
      <c r="Z274" s="31" t="e">
        <f t="shared" si="86"/>
        <v>#VALUE!</v>
      </c>
      <c r="AA274" s="66">
        <f t="shared" si="87"/>
        <v>0</v>
      </c>
      <c r="AB274" s="6" t="e">
        <f t="shared" si="88"/>
        <v>#VALUE!</v>
      </c>
      <c r="AC274" s="48">
        <f t="shared" si="101"/>
        <v>0</v>
      </c>
    </row>
    <row r="275" spans="3:29" x14ac:dyDescent="0.25">
      <c r="C275" s="27" t="str">
        <f t="shared" si="89"/>
        <v/>
      </c>
      <c r="D275" s="30" t="str">
        <f t="shared" si="90"/>
        <v/>
      </c>
      <c r="E275" s="20" t="str">
        <f t="shared" si="96"/>
        <v/>
      </c>
      <c r="F275" s="20" t="str">
        <f t="shared" si="79"/>
        <v/>
      </c>
      <c r="G275" s="21" t="str">
        <f t="shared" si="80"/>
        <v/>
      </c>
      <c r="H275" s="24" t="str">
        <f t="shared" si="91"/>
        <v/>
      </c>
      <c r="I275" s="21" t="str">
        <f t="shared" si="99"/>
        <v/>
      </c>
      <c r="J275" s="63" t="str">
        <f t="shared" si="92"/>
        <v/>
      </c>
      <c r="K275" s="66" t="str">
        <f t="shared" si="98"/>
        <v/>
      </c>
      <c r="L275" s="17"/>
      <c r="M275" s="23" t="str">
        <f t="shared" si="93"/>
        <v/>
      </c>
      <c r="N275" s="23" t="str">
        <f t="shared" si="81"/>
        <v/>
      </c>
      <c r="O275" s="23" t="str">
        <f t="shared" si="82"/>
        <v/>
      </c>
      <c r="P275" s="17"/>
      <c r="Q275" s="19" t="str">
        <f>IF(C275="","",'Tabla_Puntual&amp;Relacionamiento'!$E$89)</f>
        <v/>
      </c>
      <c r="R275" s="19"/>
      <c r="S275" s="11" t="str">
        <f t="shared" si="94"/>
        <v/>
      </c>
      <c r="T275" s="23" t="str">
        <f t="shared" si="83"/>
        <v/>
      </c>
      <c r="U275" s="37" t="str">
        <f t="shared" si="84"/>
        <v/>
      </c>
      <c r="V275" s="37" t="str">
        <f t="shared" si="97"/>
        <v/>
      </c>
      <c r="X275" s="31" t="str">
        <f t="shared" si="85"/>
        <v/>
      </c>
      <c r="Y275" s="34">
        <f t="shared" si="105"/>
        <v>1.4847654877136782</v>
      </c>
      <c r="Z275" s="31" t="e">
        <f t="shared" si="86"/>
        <v>#VALUE!</v>
      </c>
      <c r="AA275" s="66">
        <f t="shared" si="87"/>
        <v>0</v>
      </c>
      <c r="AB275" s="6" t="e">
        <f t="shared" si="88"/>
        <v>#VALUE!</v>
      </c>
      <c r="AC275" s="48">
        <f t="shared" si="101"/>
        <v>0</v>
      </c>
    </row>
    <row r="276" spans="3:29" x14ac:dyDescent="0.25">
      <c r="C276" s="27" t="str">
        <f t="shared" si="89"/>
        <v/>
      </c>
      <c r="D276" s="30" t="str">
        <f t="shared" si="90"/>
        <v/>
      </c>
      <c r="E276" s="20" t="str">
        <f t="shared" si="96"/>
        <v/>
      </c>
      <c r="F276" s="20" t="str">
        <f t="shared" si="79"/>
        <v/>
      </c>
      <c r="G276" s="21" t="str">
        <f t="shared" si="80"/>
        <v/>
      </c>
      <c r="H276" s="24" t="str">
        <f t="shared" si="91"/>
        <v/>
      </c>
      <c r="I276" s="21" t="str">
        <f t="shared" si="99"/>
        <v/>
      </c>
      <c r="J276" s="63" t="str">
        <f t="shared" si="92"/>
        <v/>
      </c>
      <c r="K276" s="66" t="str">
        <f t="shared" si="98"/>
        <v/>
      </c>
      <c r="L276" s="17"/>
      <c r="M276" s="23" t="str">
        <f t="shared" si="93"/>
        <v/>
      </c>
      <c r="N276" s="23" t="str">
        <f t="shared" si="81"/>
        <v/>
      </c>
      <c r="O276" s="23" t="str">
        <f t="shared" si="82"/>
        <v/>
      </c>
      <c r="P276" s="17"/>
      <c r="Q276" s="19" t="str">
        <f>IF(C276="","",'Tabla_Puntual&amp;Relacionamiento'!$E$89)</f>
        <v/>
      </c>
      <c r="R276" s="19"/>
      <c r="S276" s="11" t="str">
        <f t="shared" si="94"/>
        <v/>
      </c>
      <c r="T276" s="23" t="str">
        <f t="shared" si="83"/>
        <v/>
      </c>
      <c r="U276" s="37" t="str">
        <f t="shared" si="84"/>
        <v/>
      </c>
      <c r="V276" s="37" t="str">
        <f t="shared" si="97"/>
        <v/>
      </c>
      <c r="X276" s="31" t="str">
        <f t="shared" si="85"/>
        <v/>
      </c>
      <c r="Y276" s="34">
        <f t="shared" si="105"/>
        <v>1.4847654877136782</v>
      </c>
      <c r="Z276" s="31" t="e">
        <f t="shared" si="86"/>
        <v>#VALUE!</v>
      </c>
      <c r="AA276" s="66">
        <f t="shared" si="87"/>
        <v>0</v>
      </c>
      <c r="AB276" s="6" t="e">
        <f t="shared" si="88"/>
        <v>#VALUE!</v>
      </c>
      <c r="AC276" s="48">
        <f t="shared" si="101"/>
        <v>0</v>
      </c>
    </row>
    <row r="277" spans="3:29" x14ac:dyDescent="0.25">
      <c r="C277" s="27" t="str">
        <f t="shared" si="89"/>
        <v/>
      </c>
      <c r="D277" s="30" t="str">
        <f t="shared" si="90"/>
        <v/>
      </c>
      <c r="E277" s="20" t="str">
        <f t="shared" si="96"/>
        <v/>
      </c>
      <c r="F277" s="20" t="str">
        <f t="shared" ref="F277:F320" si="106">IF(C277="","",E277-G277+P277+M277)</f>
        <v/>
      </c>
      <c r="G277" s="21" t="str">
        <f t="shared" ref="G277:G320" si="107">IF(C277="","",IF(T276*(Q277/12)&lt;0,"",T276*(Q277/12)))</f>
        <v/>
      </c>
      <c r="H277" s="24" t="str">
        <f t="shared" si="91"/>
        <v/>
      </c>
      <c r="I277" s="21" t="str">
        <f t="shared" si="99"/>
        <v/>
      </c>
      <c r="J277" s="63" t="str">
        <f t="shared" si="92"/>
        <v/>
      </c>
      <c r="K277" s="66" t="str">
        <f t="shared" si="98"/>
        <v/>
      </c>
      <c r="L277" s="17"/>
      <c r="M277" s="23" t="str">
        <f t="shared" si="93"/>
        <v/>
      </c>
      <c r="N277" s="23" t="str">
        <f t="shared" ref="N277:N320" si="108">IF(C277="","",(L277+P277)*$J$12)</f>
        <v/>
      </c>
      <c r="O277" s="23" t="str">
        <f t="shared" ref="O277:O320" si="109">IF(C277="","",((L277+P277)*$J$12)*0.16)</f>
        <v/>
      </c>
      <c r="P277" s="17"/>
      <c r="Q277" s="19" t="str">
        <f>IF(C277="","",'Tabla_Puntual&amp;Relacionamiento'!$E$89)</f>
        <v/>
      </c>
      <c r="R277" s="19"/>
      <c r="S277" s="11" t="str">
        <f t="shared" si="94"/>
        <v/>
      </c>
      <c r="T277" s="23" t="str">
        <f t="shared" ref="T277:T320" si="110">IF(C277="","",T276-F277)</f>
        <v/>
      </c>
      <c r="U277" s="37" t="str">
        <f t="shared" ref="U277:U320" si="111">IF(C277="","",1)</f>
        <v/>
      </c>
      <c r="V277" s="37" t="str">
        <f t="shared" si="97"/>
        <v/>
      </c>
      <c r="X277" s="31" t="str">
        <f t="shared" ref="X277:X320" si="112">IF(C277="","",IF($D$17="SI",AB277,
IF(ISNUMBER(V277),IF($E$14="Pago_Fijo_Puntual",PMT(Q277/12,$E$15*12,-$J$9),
Y277*$J$15*$J$9/1000)+H277+AB277+P277+I277/1.16+$Q$15,0)))</f>
        <v/>
      </c>
      <c r="Y277" s="34">
        <f t="shared" si="105"/>
        <v>1.4847654877136782</v>
      </c>
      <c r="Z277" s="31" t="e">
        <f t="shared" ref="Z277:Z320" si="113">IF($AA$20=0,0,IF(M277&gt;AA276,MAX(0,M277-AA276),M277))</f>
        <v>#VALUE!</v>
      </c>
      <c r="AA277" s="66">
        <f t="shared" ref="AA277:AA320" si="114">IFERROR(MAX(0,AA276-M277),0)</f>
        <v>0</v>
      </c>
      <c r="AB277" s="6" t="e">
        <f t="shared" ref="AB277:AB320" si="115">IF($D$17="NO",M277,IF(AA277&gt;0,0,Z277))</f>
        <v>#VALUE!</v>
      </c>
      <c r="AC277" s="48">
        <f t="shared" si="101"/>
        <v>0</v>
      </c>
    </row>
    <row r="278" spans="3:29" x14ac:dyDescent="0.25">
      <c r="C278" s="27" t="str">
        <f t="shared" ref="C278:C320" si="116">IF(OR(C277="",T277&lt;=0),"",IF(C277+1&lt;=E$15*12,C277+1,""))</f>
        <v/>
      </c>
      <c r="D278" s="30" t="str">
        <f t="shared" ref="D278:D320" si="117">IF(T277&lt;=0,"",T277)</f>
        <v/>
      </c>
      <c r="E278" s="20" t="str">
        <f t="shared" si="96"/>
        <v/>
      </c>
      <c r="F278" s="20" t="str">
        <f t="shared" si="106"/>
        <v/>
      </c>
      <c r="G278" s="21" t="str">
        <f t="shared" si="107"/>
        <v/>
      </c>
      <c r="H278" s="24" t="str">
        <f t="shared" ref="H278:H320" si="118">IF(C278="","",L$12*T277/1000)</f>
        <v/>
      </c>
      <c r="I278" s="21" t="str">
        <f t="shared" si="99"/>
        <v/>
      </c>
      <c r="J278" s="63" t="str">
        <f t="shared" ref="J278:J320" si="119">IF($D$17="SI",0,IF(D278="","",$Q$15))</f>
        <v/>
      </c>
      <c r="K278" s="66" t="str">
        <f t="shared" si="98"/>
        <v/>
      </c>
      <c r="L278" s="17"/>
      <c r="M278" s="23" t="str">
        <f t="shared" ref="M278:M320" si="120">IF(C278="","",IF(L278="",0,L278-N278-O278))</f>
        <v/>
      </c>
      <c r="N278" s="23" t="str">
        <f t="shared" si="108"/>
        <v/>
      </c>
      <c r="O278" s="23" t="str">
        <f t="shared" si="109"/>
        <v/>
      </c>
      <c r="P278" s="17"/>
      <c r="Q278" s="19" t="str">
        <f>IF(C278="","",'Tabla_Puntual&amp;Relacionamiento'!$E$89)</f>
        <v/>
      </c>
      <c r="R278" s="19"/>
      <c r="S278" s="11" t="str">
        <f t="shared" ref="S278:S320" si="121">IF(C278="","",IF($K$19="",E278+H278+I278+J278+L278+P278,E278+H278+I278+J278+K278+L278+P278))</f>
        <v/>
      </c>
      <c r="T278" s="23" t="str">
        <f t="shared" si="110"/>
        <v/>
      </c>
      <c r="U278" s="37" t="str">
        <f t="shared" si="111"/>
        <v/>
      </c>
      <c r="V278" s="37" t="str">
        <f t="shared" si="97"/>
        <v/>
      </c>
      <c r="X278" s="31" t="str">
        <f t="shared" si="112"/>
        <v/>
      </c>
      <c r="Y278" s="34">
        <f t="shared" si="105"/>
        <v>1.4847654877136782</v>
      </c>
      <c r="Z278" s="31" t="e">
        <f t="shared" si="113"/>
        <v>#VALUE!</v>
      </c>
      <c r="AA278" s="66">
        <f t="shared" si="114"/>
        <v>0</v>
      </c>
      <c r="AB278" s="6" t="e">
        <f t="shared" si="115"/>
        <v>#VALUE!</v>
      </c>
      <c r="AC278" s="48">
        <f t="shared" si="101"/>
        <v>0</v>
      </c>
    </row>
    <row r="279" spans="3:29" x14ac:dyDescent="0.25">
      <c r="C279" s="27" t="str">
        <f t="shared" si="116"/>
        <v/>
      </c>
      <c r="D279" s="30" t="str">
        <f t="shared" si="117"/>
        <v/>
      </c>
      <c r="E279" s="20" t="str">
        <f t="shared" ref="E279:E320" si="122">IF(C279="","",IF(T278&lt;E278,T278+G279,IF($E$14="Pago_Fijo_Puntual",$J$9*$J$15/1000,IF($E$14="Pago_Bajo_Puntual",E278+(E278*R279)))))</f>
        <v/>
      </c>
      <c r="F279" s="20" t="str">
        <f t="shared" si="106"/>
        <v/>
      </c>
      <c r="G279" s="21" t="str">
        <f t="shared" si="107"/>
        <v/>
      </c>
      <c r="H279" s="24" t="str">
        <f t="shared" si="118"/>
        <v/>
      </c>
      <c r="I279" s="21" t="str">
        <f t="shared" si="99"/>
        <v/>
      </c>
      <c r="J279" s="63" t="str">
        <f t="shared" si="119"/>
        <v/>
      </c>
      <c r="K279" s="66" t="str">
        <f t="shared" si="98"/>
        <v/>
      </c>
      <c r="L279" s="17"/>
      <c r="M279" s="23" t="str">
        <f t="shared" si="120"/>
        <v/>
      </c>
      <c r="N279" s="23" t="str">
        <f t="shared" si="108"/>
        <v/>
      </c>
      <c r="O279" s="23" t="str">
        <f t="shared" si="109"/>
        <v/>
      </c>
      <c r="P279" s="17"/>
      <c r="Q279" s="19" t="str">
        <f>IF(C279="","",'Tabla_Puntual&amp;Relacionamiento'!$E$89)</f>
        <v/>
      </c>
      <c r="R279" s="19"/>
      <c r="S279" s="11" t="str">
        <f t="shared" si="121"/>
        <v/>
      </c>
      <c r="T279" s="23" t="str">
        <f t="shared" si="110"/>
        <v/>
      </c>
      <c r="U279" s="37" t="str">
        <f t="shared" si="111"/>
        <v/>
      </c>
      <c r="V279" s="37" t="str">
        <f t="shared" ref="V279:V320" si="123">C279</f>
        <v/>
      </c>
      <c r="X279" s="31" t="str">
        <f t="shared" si="112"/>
        <v/>
      </c>
      <c r="Y279" s="34">
        <f t="shared" si="105"/>
        <v>1.4847654877136782</v>
      </c>
      <c r="Z279" s="31" t="e">
        <f t="shared" si="113"/>
        <v>#VALUE!</v>
      </c>
      <c r="AA279" s="66">
        <f t="shared" si="114"/>
        <v>0</v>
      </c>
      <c r="AB279" s="6" t="e">
        <f t="shared" si="115"/>
        <v>#VALUE!</v>
      </c>
      <c r="AC279" s="48">
        <f t="shared" si="101"/>
        <v>0</v>
      </c>
    </row>
    <row r="280" spans="3:29" x14ac:dyDescent="0.25">
      <c r="C280" s="27" t="str">
        <f t="shared" si="116"/>
        <v/>
      </c>
      <c r="D280" s="30" t="str">
        <f t="shared" si="117"/>
        <v/>
      </c>
      <c r="E280" s="20" t="str">
        <f t="shared" si="122"/>
        <v/>
      </c>
      <c r="F280" s="20" t="str">
        <f t="shared" si="106"/>
        <v/>
      </c>
      <c r="G280" s="21" t="str">
        <f t="shared" si="107"/>
        <v/>
      </c>
      <c r="H280" s="24" t="str">
        <f t="shared" si="118"/>
        <v/>
      </c>
      <c r="I280" s="21" t="str">
        <f t="shared" si="99"/>
        <v/>
      </c>
      <c r="J280" s="63" t="str">
        <f t="shared" si="119"/>
        <v/>
      </c>
      <c r="K280" s="66" t="str">
        <f t="shared" ref="K280:K320" si="124">IFERROR(IF($E$8="Liquidez",G280*0.16,IF(AND($E$8="Pago_Hipoteca+Liquidez",$E$16="Liquidez"),G280*0.16,"")),"")</f>
        <v/>
      </c>
      <c r="L280" s="17"/>
      <c r="M280" s="23" t="str">
        <f t="shared" si="120"/>
        <v/>
      </c>
      <c r="N280" s="23" t="str">
        <f t="shared" si="108"/>
        <v/>
      </c>
      <c r="O280" s="23" t="str">
        <f t="shared" si="109"/>
        <v/>
      </c>
      <c r="P280" s="17"/>
      <c r="Q280" s="19" t="str">
        <f>IF(C280="","",'Tabla_Puntual&amp;Relacionamiento'!$E$89)</f>
        <v/>
      </c>
      <c r="R280" s="19"/>
      <c r="S280" s="11" t="str">
        <f t="shared" si="121"/>
        <v/>
      </c>
      <c r="T280" s="23" t="str">
        <f t="shared" si="110"/>
        <v/>
      </c>
      <c r="U280" s="37" t="str">
        <f t="shared" si="111"/>
        <v/>
      </c>
      <c r="V280" s="37" t="str">
        <f t="shared" si="123"/>
        <v/>
      </c>
      <c r="X280" s="31" t="str">
        <f t="shared" si="112"/>
        <v/>
      </c>
      <c r="Y280" s="34">
        <f t="shared" si="105"/>
        <v>1.4847654877136782</v>
      </c>
      <c r="Z280" s="31" t="e">
        <f t="shared" si="113"/>
        <v>#VALUE!</v>
      </c>
      <c r="AA280" s="66">
        <f t="shared" si="114"/>
        <v>0</v>
      </c>
      <c r="AB280" s="6" t="e">
        <f t="shared" si="115"/>
        <v>#VALUE!</v>
      </c>
      <c r="AC280" s="48">
        <f t="shared" si="101"/>
        <v>0</v>
      </c>
    </row>
    <row r="281" spans="3:29" x14ac:dyDescent="0.25">
      <c r="C281" s="27" t="str">
        <f t="shared" si="116"/>
        <v/>
      </c>
      <c r="D281" s="30" t="str">
        <f t="shared" si="117"/>
        <v/>
      </c>
      <c r="E281" s="20" t="str">
        <f t="shared" si="122"/>
        <v/>
      </c>
      <c r="F281" s="20" t="str">
        <f t="shared" si="106"/>
        <v/>
      </c>
      <c r="G281" s="21" t="str">
        <f t="shared" si="107"/>
        <v/>
      </c>
      <c r="H281" s="24" t="str">
        <f t="shared" si="118"/>
        <v/>
      </c>
      <c r="I281" s="21" t="str">
        <f t="shared" ref="I281:I320" si="125">IF(C281="","",IF(AND($E$8="Pago_Hipoteca+Liquidez",$E$16="Liquidez"),0,IF((($J$8*0.8)*($N$12/1.16))&gt;T280*($N$12/1.16),($J$8*0.8)*($N$12/1.16),($N$12/1.16)*T280)/1000))</f>
        <v/>
      </c>
      <c r="J281" s="63" t="str">
        <f t="shared" si="119"/>
        <v/>
      </c>
      <c r="K281" s="66" t="str">
        <f t="shared" si="124"/>
        <v/>
      </c>
      <c r="L281" s="17"/>
      <c r="M281" s="23" t="str">
        <f t="shared" si="120"/>
        <v/>
      </c>
      <c r="N281" s="23" t="str">
        <f t="shared" si="108"/>
        <v/>
      </c>
      <c r="O281" s="23" t="str">
        <f t="shared" si="109"/>
        <v/>
      </c>
      <c r="P281" s="17"/>
      <c r="Q281" s="19" t="str">
        <f>IF(C281="","",'Tabla_Puntual&amp;Relacionamiento'!$E$89)</f>
        <v/>
      </c>
      <c r="R281" s="19"/>
      <c r="S281" s="11" t="str">
        <f t="shared" si="121"/>
        <v/>
      </c>
      <c r="T281" s="23" t="str">
        <f t="shared" si="110"/>
        <v/>
      </c>
      <c r="U281" s="37" t="str">
        <f t="shared" si="111"/>
        <v/>
      </c>
      <c r="V281" s="37" t="str">
        <f t="shared" si="123"/>
        <v/>
      </c>
      <c r="X281" s="31" t="str">
        <f t="shared" si="112"/>
        <v/>
      </c>
      <c r="Y281" s="34">
        <f t="shared" si="105"/>
        <v>1.4847654877136782</v>
      </c>
      <c r="Z281" s="31" t="e">
        <f t="shared" si="113"/>
        <v>#VALUE!</v>
      </c>
      <c r="AA281" s="66">
        <f t="shared" si="114"/>
        <v>0</v>
      </c>
      <c r="AB281" s="6" t="e">
        <f t="shared" si="115"/>
        <v>#VALUE!</v>
      </c>
      <c r="AC281" s="48">
        <f t="shared" si="101"/>
        <v>0</v>
      </c>
    </row>
    <row r="282" spans="3:29" x14ac:dyDescent="0.25">
      <c r="C282" s="27" t="str">
        <f t="shared" si="116"/>
        <v/>
      </c>
      <c r="D282" s="30" t="str">
        <f t="shared" si="117"/>
        <v/>
      </c>
      <c r="E282" s="20" t="str">
        <f t="shared" si="122"/>
        <v/>
      </c>
      <c r="F282" s="20" t="str">
        <f t="shared" si="106"/>
        <v/>
      </c>
      <c r="G282" s="21" t="str">
        <f t="shared" si="107"/>
        <v/>
      </c>
      <c r="H282" s="24" t="str">
        <f t="shared" si="118"/>
        <v/>
      </c>
      <c r="I282" s="21" t="str">
        <f t="shared" si="125"/>
        <v/>
      </c>
      <c r="J282" s="63" t="str">
        <f t="shared" si="119"/>
        <v/>
      </c>
      <c r="K282" s="66" t="str">
        <f t="shared" si="124"/>
        <v/>
      </c>
      <c r="L282" s="17"/>
      <c r="M282" s="23" t="str">
        <f t="shared" si="120"/>
        <v/>
      </c>
      <c r="N282" s="23" t="str">
        <f t="shared" si="108"/>
        <v/>
      </c>
      <c r="O282" s="23" t="str">
        <f t="shared" si="109"/>
        <v/>
      </c>
      <c r="P282" s="17"/>
      <c r="Q282" s="19" t="str">
        <f>IF(C282="","",'Tabla_Puntual&amp;Relacionamiento'!$E$89)</f>
        <v/>
      </c>
      <c r="R282" s="19"/>
      <c r="S282" s="11" t="str">
        <f t="shared" si="121"/>
        <v/>
      </c>
      <c r="T282" s="23" t="str">
        <f t="shared" si="110"/>
        <v/>
      </c>
      <c r="U282" s="37" t="str">
        <f t="shared" si="111"/>
        <v/>
      </c>
      <c r="V282" s="37" t="str">
        <f t="shared" si="123"/>
        <v/>
      </c>
      <c r="X282" s="31" t="str">
        <f t="shared" si="112"/>
        <v/>
      </c>
      <c r="Y282" s="34">
        <f t="shared" si="105"/>
        <v>1.4847654877136782</v>
      </c>
      <c r="Z282" s="31" t="e">
        <f t="shared" si="113"/>
        <v>#VALUE!</v>
      </c>
      <c r="AA282" s="66">
        <f t="shared" si="114"/>
        <v>0</v>
      </c>
      <c r="AB282" s="6" t="e">
        <f t="shared" si="115"/>
        <v>#VALUE!</v>
      </c>
      <c r="AC282" s="48">
        <f t="shared" si="101"/>
        <v>0</v>
      </c>
    </row>
    <row r="283" spans="3:29" x14ac:dyDescent="0.25">
      <c r="C283" s="27" t="str">
        <f t="shared" si="116"/>
        <v/>
      </c>
      <c r="D283" s="30" t="str">
        <f t="shared" si="117"/>
        <v/>
      </c>
      <c r="E283" s="20" t="str">
        <f t="shared" si="122"/>
        <v/>
      </c>
      <c r="F283" s="20" t="str">
        <f t="shared" si="106"/>
        <v/>
      </c>
      <c r="G283" s="21" t="str">
        <f t="shared" si="107"/>
        <v/>
      </c>
      <c r="H283" s="24" t="str">
        <f t="shared" si="118"/>
        <v/>
      </c>
      <c r="I283" s="21" t="str">
        <f t="shared" si="125"/>
        <v/>
      </c>
      <c r="J283" s="63" t="str">
        <f t="shared" si="119"/>
        <v/>
      </c>
      <c r="K283" s="66" t="str">
        <f t="shared" si="124"/>
        <v/>
      </c>
      <c r="L283" s="17"/>
      <c r="M283" s="23" t="str">
        <f t="shared" si="120"/>
        <v/>
      </c>
      <c r="N283" s="23" t="str">
        <f t="shared" si="108"/>
        <v/>
      </c>
      <c r="O283" s="23" t="str">
        <f t="shared" si="109"/>
        <v/>
      </c>
      <c r="P283" s="17"/>
      <c r="Q283" s="19" t="str">
        <f>IF(C283="","",'Tabla_Puntual&amp;Relacionamiento'!$E$89)</f>
        <v/>
      </c>
      <c r="R283" s="19"/>
      <c r="S283" s="11" t="str">
        <f t="shared" si="121"/>
        <v/>
      </c>
      <c r="T283" s="23" t="str">
        <f t="shared" si="110"/>
        <v/>
      </c>
      <c r="U283" s="37" t="str">
        <f t="shared" si="111"/>
        <v/>
      </c>
      <c r="V283" s="37" t="str">
        <f t="shared" si="123"/>
        <v/>
      </c>
      <c r="X283" s="31" t="str">
        <f t="shared" si="112"/>
        <v/>
      </c>
      <c r="Y283" s="34">
        <f t="shared" si="105"/>
        <v>1.4847654877136782</v>
      </c>
      <c r="Z283" s="31" t="e">
        <f t="shared" si="113"/>
        <v>#VALUE!</v>
      </c>
      <c r="AA283" s="66">
        <f t="shared" si="114"/>
        <v>0</v>
      </c>
      <c r="AB283" s="6" t="e">
        <f t="shared" si="115"/>
        <v>#VALUE!</v>
      </c>
      <c r="AC283" s="48">
        <f t="shared" si="101"/>
        <v>0</v>
      </c>
    </row>
    <row r="284" spans="3:29" x14ac:dyDescent="0.25">
      <c r="C284" s="27" t="str">
        <f t="shared" si="116"/>
        <v/>
      </c>
      <c r="D284" s="30" t="str">
        <f t="shared" si="117"/>
        <v/>
      </c>
      <c r="E284" s="20" t="str">
        <f t="shared" si="122"/>
        <v/>
      </c>
      <c r="F284" s="20" t="str">
        <f t="shared" si="106"/>
        <v/>
      </c>
      <c r="G284" s="21" t="str">
        <f t="shared" si="107"/>
        <v/>
      </c>
      <c r="H284" s="24" t="str">
        <f t="shared" si="118"/>
        <v/>
      </c>
      <c r="I284" s="21" t="str">
        <f t="shared" si="125"/>
        <v/>
      </c>
      <c r="J284" s="63" t="str">
        <f t="shared" si="119"/>
        <v/>
      </c>
      <c r="K284" s="66" t="str">
        <f t="shared" si="124"/>
        <v/>
      </c>
      <c r="L284" s="17"/>
      <c r="M284" s="23" t="str">
        <f t="shared" si="120"/>
        <v/>
      </c>
      <c r="N284" s="23" t="str">
        <f t="shared" si="108"/>
        <v/>
      </c>
      <c r="O284" s="23" t="str">
        <f t="shared" si="109"/>
        <v/>
      </c>
      <c r="P284" s="17"/>
      <c r="Q284" s="19" t="str">
        <f>IF(C284="","",'Tabla_Puntual&amp;Relacionamiento'!$E$89)</f>
        <v/>
      </c>
      <c r="R284" s="19"/>
      <c r="S284" s="11" t="str">
        <f t="shared" si="121"/>
        <v/>
      </c>
      <c r="T284" s="23" t="str">
        <f t="shared" si="110"/>
        <v/>
      </c>
      <c r="U284" s="37" t="str">
        <f t="shared" si="111"/>
        <v/>
      </c>
      <c r="V284" s="37" t="str">
        <f t="shared" si="123"/>
        <v/>
      </c>
      <c r="X284" s="31" t="str">
        <f t="shared" si="112"/>
        <v/>
      </c>
      <c r="Y284" s="34">
        <f t="shared" si="105"/>
        <v>1.4847654877136782</v>
      </c>
      <c r="Z284" s="31" t="e">
        <f t="shared" si="113"/>
        <v>#VALUE!</v>
      </c>
      <c r="AA284" s="66">
        <f t="shared" si="114"/>
        <v>0</v>
      </c>
      <c r="AB284" s="6" t="e">
        <f t="shared" si="115"/>
        <v>#VALUE!</v>
      </c>
      <c r="AC284" s="48">
        <f t="shared" si="101"/>
        <v>0</v>
      </c>
    </row>
    <row r="285" spans="3:29" x14ac:dyDescent="0.25">
      <c r="C285" s="27" t="str">
        <f t="shared" si="116"/>
        <v/>
      </c>
      <c r="D285" s="30" t="str">
        <f t="shared" si="117"/>
        <v/>
      </c>
      <c r="E285" s="20" t="str">
        <f t="shared" si="122"/>
        <v/>
      </c>
      <c r="F285" s="20" t="str">
        <f t="shared" si="106"/>
        <v/>
      </c>
      <c r="G285" s="21" t="str">
        <f t="shared" si="107"/>
        <v/>
      </c>
      <c r="H285" s="24" t="str">
        <f t="shared" si="118"/>
        <v/>
      </c>
      <c r="I285" s="21" t="str">
        <f t="shared" si="125"/>
        <v/>
      </c>
      <c r="J285" s="63" t="str">
        <f t="shared" si="119"/>
        <v/>
      </c>
      <c r="K285" s="66" t="str">
        <f t="shared" si="124"/>
        <v/>
      </c>
      <c r="L285" s="17"/>
      <c r="M285" s="23" t="str">
        <f t="shared" si="120"/>
        <v/>
      </c>
      <c r="N285" s="23" t="str">
        <f t="shared" si="108"/>
        <v/>
      </c>
      <c r="O285" s="23" t="str">
        <f t="shared" si="109"/>
        <v/>
      </c>
      <c r="P285" s="17"/>
      <c r="Q285" s="19" t="str">
        <f>IF(C285="","",'Tabla_Puntual&amp;Relacionamiento'!$E$90)</f>
        <v/>
      </c>
      <c r="R285" s="19" t="str">
        <f>IF(C285="","",IF($E$14="Pago_Bajo_Puntual",$M$17,""))</f>
        <v/>
      </c>
      <c r="S285" s="11" t="str">
        <f t="shared" si="121"/>
        <v/>
      </c>
      <c r="T285" s="23" t="str">
        <f t="shared" si="110"/>
        <v/>
      </c>
      <c r="U285" s="37" t="str">
        <f t="shared" si="111"/>
        <v/>
      </c>
      <c r="V285" s="37" t="str">
        <f t="shared" si="123"/>
        <v/>
      </c>
      <c r="X285" s="31" t="str">
        <f t="shared" si="112"/>
        <v/>
      </c>
      <c r="Y285" s="34">
        <f>Y284*1.019</f>
        <v>1.5129760319802379</v>
      </c>
      <c r="Z285" s="31" t="e">
        <f t="shared" si="113"/>
        <v>#VALUE!</v>
      </c>
      <c r="AA285" s="66">
        <f t="shared" si="114"/>
        <v>0</v>
      </c>
      <c r="AB285" s="6" t="e">
        <f t="shared" si="115"/>
        <v>#VALUE!</v>
      </c>
      <c r="AC285" s="48">
        <f t="shared" si="101"/>
        <v>0</v>
      </c>
    </row>
    <row r="286" spans="3:29" x14ac:dyDescent="0.25">
      <c r="C286" s="27" t="str">
        <f t="shared" si="116"/>
        <v/>
      </c>
      <c r="D286" s="30" t="str">
        <f t="shared" si="117"/>
        <v/>
      </c>
      <c r="E286" s="20" t="str">
        <f t="shared" si="122"/>
        <v/>
      </c>
      <c r="F286" s="20" t="str">
        <f t="shared" si="106"/>
        <v/>
      </c>
      <c r="G286" s="21" t="str">
        <f t="shared" si="107"/>
        <v/>
      </c>
      <c r="H286" s="24" t="str">
        <f t="shared" si="118"/>
        <v/>
      </c>
      <c r="I286" s="21" t="str">
        <f t="shared" si="125"/>
        <v/>
      </c>
      <c r="J286" s="63" t="str">
        <f t="shared" si="119"/>
        <v/>
      </c>
      <c r="K286" s="66" t="str">
        <f t="shared" si="124"/>
        <v/>
      </c>
      <c r="L286" s="17"/>
      <c r="M286" s="23" t="str">
        <f t="shared" si="120"/>
        <v/>
      </c>
      <c r="N286" s="23" t="str">
        <f t="shared" si="108"/>
        <v/>
      </c>
      <c r="O286" s="23" t="str">
        <f t="shared" si="109"/>
        <v/>
      </c>
      <c r="P286" s="17"/>
      <c r="Q286" s="19" t="str">
        <f>IF(C286="","",'Tabla_Puntual&amp;Relacionamiento'!$E$90)</f>
        <v/>
      </c>
      <c r="R286" s="19"/>
      <c r="S286" s="11" t="str">
        <f t="shared" si="121"/>
        <v/>
      </c>
      <c r="T286" s="23" t="str">
        <f t="shared" si="110"/>
        <v/>
      </c>
      <c r="U286" s="37" t="str">
        <f t="shared" si="111"/>
        <v/>
      </c>
      <c r="V286" s="37" t="str">
        <f t="shared" si="123"/>
        <v/>
      </c>
      <c r="X286" s="31" t="str">
        <f t="shared" si="112"/>
        <v/>
      </c>
      <c r="Y286" s="34">
        <f t="shared" ref="Y286:Y296" si="126">Y285</f>
        <v>1.5129760319802379</v>
      </c>
      <c r="Z286" s="31" t="e">
        <f t="shared" si="113"/>
        <v>#VALUE!</v>
      </c>
      <c r="AA286" s="66">
        <f t="shared" si="114"/>
        <v>0</v>
      </c>
      <c r="AB286" s="6" t="e">
        <f t="shared" si="115"/>
        <v>#VALUE!</v>
      </c>
      <c r="AC286" s="48">
        <f t="shared" si="101"/>
        <v>0</v>
      </c>
    </row>
    <row r="287" spans="3:29" x14ac:dyDescent="0.25">
      <c r="C287" s="27" t="str">
        <f t="shared" si="116"/>
        <v/>
      </c>
      <c r="D287" s="30" t="str">
        <f t="shared" si="117"/>
        <v/>
      </c>
      <c r="E287" s="20" t="str">
        <f t="shared" si="122"/>
        <v/>
      </c>
      <c r="F287" s="20" t="str">
        <f t="shared" si="106"/>
        <v/>
      </c>
      <c r="G287" s="21" t="str">
        <f t="shared" si="107"/>
        <v/>
      </c>
      <c r="H287" s="24" t="str">
        <f t="shared" si="118"/>
        <v/>
      </c>
      <c r="I287" s="21" t="str">
        <f t="shared" si="125"/>
        <v/>
      </c>
      <c r="J287" s="63" t="str">
        <f t="shared" si="119"/>
        <v/>
      </c>
      <c r="K287" s="66" t="str">
        <f t="shared" si="124"/>
        <v/>
      </c>
      <c r="L287" s="17"/>
      <c r="M287" s="23" t="str">
        <f t="shared" si="120"/>
        <v/>
      </c>
      <c r="N287" s="23" t="str">
        <f t="shared" si="108"/>
        <v/>
      </c>
      <c r="O287" s="23" t="str">
        <f t="shared" si="109"/>
        <v/>
      </c>
      <c r="P287" s="17"/>
      <c r="Q287" s="19" t="str">
        <f>IF(C287="","",'Tabla_Puntual&amp;Relacionamiento'!$E$90)</f>
        <v/>
      </c>
      <c r="R287" s="19"/>
      <c r="S287" s="11" t="str">
        <f t="shared" si="121"/>
        <v/>
      </c>
      <c r="T287" s="23" t="str">
        <f t="shared" si="110"/>
        <v/>
      </c>
      <c r="U287" s="37" t="str">
        <f t="shared" si="111"/>
        <v/>
      </c>
      <c r="V287" s="37" t="str">
        <f t="shared" si="123"/>
        <v/>
      </c>
      <c r="X287" s="31" t="str">
        <f t="shared" si="112"/>
        <v/>
      </c>
      <c r="Y287" s="34">
        <f t="shared" si="126"/>
        <v>1.5129760319802379</v>
      </c>
      <c r="Z287" s="31" t="e">
        <f t="shared" si="113"/>
        <v>#VALUE!</v>
      </c>
      <c r="AA287" s="66">
        <f t="shared" si="114"/>
        <v>0</v>
      </c>
      <c r="AB287" s="6" t="e">
        <f t="shared" si="115"/>
        <v>#VALUE!</v>
      </c>
      <c r="AC287" s="48">
        <f t="shared" si="101"/>
        <v>0</v>
      </c>
    </row>
    <row r="288" spans="3:29" x14ac:dyDescent="0.25">
      <c r="C288" s="27" t="str">
        <f t="shared" si="116"/>
        <v/>
      </c>
      <c r="D288" s="30" t="str">
        <f t="shared" si="117"/>
        <v/>
      </c>
      <c r="E288" s="20" t="str">
        <f t="shared" si="122"/>
        <v/>
      </c>
      <c r="F288" s="20" t="str">
        <f t="shared" si="106"/>
        <v/>
      </c>
      <c r="G288" s="21" t="str">
        <f t="shared" si="107"/>
        <v/>
      </c>
      <c r="H288" s="24" t="str">
        <f t="shared" si="118"/>
        <v/>
      </c>
      <c r="I288" s="21" t="str">
        <f t="shared" si="125"/>
        <v/>
      </c>
      <c r="J288" s="63" t="str">
        <f t="shared" si="119"/>
        <v/>
      </c>
      <c r="K288" s="66" t="str">
        <f t="shared" si="124"/>
        <v/>
      </c>
      <c r="L288" s="17"/>
      <c r="M288" s="23" t="str">
        <f t="shared" si="120"/>
        <v/>
      </c>
      <c r="N288" s="23" t="str">
        <f t="shared" si="108"/>
        <v/>
      </c>
      <c r="O288" s="23" t="str">
        <f t="shared" si="109"/>
        <v/>
      </c>
      <c r="P288" s="17"/>
      <c r="Q288" s="19" t="str">
        <f>IF(C288="","",'Tabla_Puntual&amp;Relacionamiento'!$E$90)</f>
        <v/>
      </c>
      <c r="R288" s="19"/>
      <c r="S288" s="11" t="str">
        <f t="shared" si="121"/>
        <v/>
      </c>
      <c r="T288" s="23" t="str">
        <f t="shared" si="110"/>
        <v/>
      </c>
      <c r="U288" s="37" t="str">
        <f t="shared" si="111"/>
        <v/>
      </c>
      <c r="V288" s="37" t="str">
        <f t="shared" si="123"/>
        <v/>
      </c>
      <c r="X288" s="31" t="str">
        <f t="shared" si="112"/>
        <v/>
      </c>
      <c r="Y288" s="34">
        <f t="shared" si="126"/>
        <v>1.5129760319802379</v>
      </c>
      <c r="Z288" s="31" t="e">
        <f t="shared" si="113"/>
        <v>#VALUE!</v>
      </c>
      <c r="AA288" s="66">
        <f t="shared" si="114"/>
        <v>0</v>
      </c>
      <c r="AB288" s="6" t="e">
        <f t="shared" si="115"/>
        <v>#VALUE!</v>
      </c>
      <c r="AC288" s="48">
        <f t="shared" si="101"/>
        <v>0</v>
      </c>
    </row>
    <row r="289" spans="3:29" x14ac:dyDescent="0.25">
      <c r="C289" s="27" t="str">
        <f t="shared" si="116"/>
        <v/>
      </c>
      <c r="D289" s="30" t="str">
        <f t="shared" si="117"/>
        <v/>
      </c>
      <c r="E289" s="20" t="str">
        <f t="shared" si="122"/>
        <v/>
      </c>
      <c r="F289" s="20" t="str">
        <f t="shared" si="106"/>
        <v/>
      </c>
      <c r="G289" s="21" t="str">
        <f t="shared" si="107"/>
        <v/>
      </c>
      <c r="H289" s="24" t="str">
        <f t="shared" si="118"/>
        <v/>
      </c>
      <c r="I289" s="21" t="str">
        <f t="shared" si="125"/>
        <v/>
      </c>
      <c r="J289" s="63" t="str">
        <f t="shared" si="119"/>
        <v/>
      </c>
      <c r="K289" s="66" t="str">
        <f t="shared" si="124"/>
        <v/>
      </c>
      <c r="L289" s="17"/>
      <c r="M289" s="23" t="str">
        <f t="shared" si="120"/>
        <v/>
      </c>
      <c r="N289" s="23" t="str">
        <f t="shared" si="108"/>
        <v/>
      </c>
      <c r="O289" s="23" t="str">
        <f t="shared" si="109"/>
        <v/>
      </c>
      <c r="P289" s="17"/>
      <c r="Q289" s="19" t="str">
        <f>IF(C289="","",'Tabla_Puntual&amp;Relacionamiento'!$E$90)</f>
        <v/>
      </c>
      <c r="R289" s="19"/>
      <c r="S289" s="11" t="str">
        <f t="shared" si="121"/>
        <v/>
      </c>
      <c r="T289" s="23" t="str">
        <f t="shared" si="110"/>
        <v/>
      </c>
      <c r="U289" s="37" t="str">
        <f t="shared" si="111"/>
        <v/>
      </c>
      <c r="V289" s="37" t="str">
        <f t="shared" si="123"/>
        <v/>
      </c>
      <c r="X289" s="31" t="str">
        <f t="shared" si="112"/>
        <v/>
      </c>
      <c r="Y289" s="34">
        <f t="shared" si="126"/>
        <v>1.5129760319802379</v>
      </c>
      <c r="Z289" s="31" t="e">
        <f t="shared" si="113"/>
        <v>#VALUE!</v>
      </c>
      <c r="AA289" s="66">
        <f t="shared" si="114"/>
        <v>0</v>
      </c>
      <c r="AB289" s="6" t="e">
        <f t="shared" si="115"/>
        <v>#VALUE!</v>
      </c>
      <c r="AC289" s="48">
        <f t="shared" si="101"/>
        <v>0</v>
      </c>
    </row>
    <row r="290" spans="3:29" x14ac:dyDescent="0.25">
      <c r="C290" s="27" t="str">
        <f t="shared" si="116"/>
        <v/>
      </c>
      <c r="D290" s="30" t="str">
        <f t="shared" si="117"/>
        <v/>
      </c>
      <c r="E290" s="20" t="str">
        <f t="shared" si="122"/>
        <v/>
      </c>
      <c r="F290" s="20" t="str">
        <f t="shared" si="106"/>
        <v/>
      </c>
      <c r="G290" s="21" t="str">
        <f t="shared" si="107"/>
        <v/>
      </c>
      <c r="H290" s="24" t="str">
        <f t="shared" si="118"/>
        <v/>
      </c>
      <c r="I290" s="21" t="str">
        <f t="shared" si="125"/>
        <v/>
      </c>
      <c r="J290" s="63" t="str">
        <f t="shared" si="119"/>
        <v/>
      </c>
      <c r="K290" s="66" t="str">
        <f t="shared" si="124"/>
        <v/>
      </c>
      <c r="L290" s="17"/>
      <c r="M290" s="23" t="str">
        <f t="shared" si="120"/>
        <v/>
      </c>
      <c r="N290" s="23" t="str">
        <f t="shared" si="108"/>
        <v/>
      </c>
      <c r="O290" s="23" t="str">
        <f t="shared" si="109"/>
        <v/>
      </c>
      <c r="P290" s="17"/>
      <c r="Q290" s="19" t="str">
        <f>IF(C290="","",'Tabla_Puntual&amp;Relacionamiento'!$E$90)</f>
        <v/>
      </c>
      <c r="R290" s="19"/>
      <c r="S290" s="11" t="str">
        <f t="shared" si="121"/>
        <v/>
      </c>
      <c r="T290" s="23" t="str">
        <f t="shared" si="110"/>
        <v/>
      </c>
      <c r="U290" s="37" t="str">
        <f t="shared" si="111"/>
        <v/>
      </c>
      <c r="V290" s="37" t="str">
        <f t="shared" si="123"/>
        <v/>
      </c>
      <c r="X290" s="31" t="str">
        <f t="shared" si="112"/>
        <v/>
      </c>
      <c r="Y290" s="34">
        <f t="shared" si="126"/>
        <v>1.5129760319802379</v>
      </c>
      <c r="Z290" s="31" t="e">
        <f t="shared" si="113"/>
        <v>#VALUE!</v>
      </c>
      <c r="AA290" s="66">
        <f t="shared" si="114"/>
        <v>0</v>
      </c>
      <c r="AB290" s="6" t="e">
        <f t="shared" si="115"/>
        <v>#VALUE!</v>
      </c>
      <c r="AC290" s="48">
        <f t="shared" si="101"/>
        <v>0</v>
      </c>
    </row>
    <row r="291" spans="3:29" x14ac:dyDescent="0.25">
      <c r="C291" s="27" t="str">
        <f t="shared" si="116"/>
        <v/>
      </c>
      <c r="D291" s="30" t="str">
        <f t="shared" si="117"/>
        <v/>
      </c>
      <c r="E291" s="20" t="str">
        <f t="shared" si="122"/>
        <v/>
      </c>
      <c r="F291" s="20" t="str">
        <f t="shared" si="106"/>
        <v/>
      </c>
      <c r="G291" s="21" t="str">
        <f t="shared" si="107"/>
        <v/>
      </c>
      <c r="H291" s="24" t="str">
        <f t="shared" si="118"/>
        <v/>
      </c>
      <c r="I291" s="21" t="str">
        <f t="shared" si="125"/>
        <v/>
      </c>
      <c r="J291" s="63" t="str">
        <f t="shared" si="119"/>
        <v/>
      </c>
      <c r="K291" s="66" t="str">
        <f t="shared" si="124"/>
        <v/>
      </c>
      <c r="L291" s="17"/>
      <c r="M291" s="23" t="str">
        <f t="shared" si="120"/>
        <v/>
      </c>
      <c r="N291" s="23" t="str">
        <f t="shared" si="108"/>
        <v/>
      </c>
      <c r="O291" s="23" t="str">
        <f t="shared" si="109"/>
        <v/>
      </c>
      <c r="P291" s="17"/>
      <c r="Q291" s="19" t="str">
        <f>IF(C291="","",'Tabla_Puntual&amp;Relacionamiento'!$E$90)</f>
        <v/>
      </c>
      <c r="R291" s="19"/>
      <c r="S291" s="11" t="str">
        <f t="shared" si="121"/>
        <v/>
      </c>
      <c r="T291" s="23" t="str">
        <f t="shared" si="110"/>
        <v/>
      </c>
      <c r="U291" s="37" t="str">
        <f t="shared" si="111"/>
        <v/>
      </c>
      <c r="V291" s="37" t="str">
        <f t="shared" si="123"/>
        <v/>
      </c>
      <c r="X291" s="31" t="str">
        <f t="shared" si="112"/>
        <v/>
      </c>
      <c r="Y291" s="34">
        <f t="shared" si="126"/>
        <v>1.5129760319802379</v>
      </c>
      <c r="Z291" s="31" t="e">
        <f t="shared" si="113"/>
        <v>#VALUE!</v>
      </c>
      <c r="AA291" s="66">
        <f t="shared" si="114"/>
        <v>0</v>
      </c>
      <c r="AB291" s="6" t="e">
        <f t="shared" si="115"/>
        <v>#VALUE!</v>
      </c>
      <c r="AC291" s="48">
        <f t="shared" ref="AC291:AC320" si="127">AC290</f>
        <v>0</v>
      </c>
    </row>
    <row r="292" spans="3:29" x14ac:dyDescent="0.25">
      <c r="C292" s="27" t="str">
        <f t="shared" si="116"/>
        <v/>
      </c>
      <c r="D292" s="30" t="str">
        <f t="shared" si="117"/>
        <v/>
      </c>
      <c r="E292" s="20" t="str">
        <f t="shared" si="122"/>
        <v/>
      </c>
      <c r="F292" s="20" t="str">
        <f t="shared" si="106"/>
        <v/>
      </c>
      <c r="G292" s="21" t="str">
        <f t="shared" si="107"/>
        <v/>
      </c>
      <c r="H292" s="24" t="str">
        <f t="shared" si="118"/>
        <v/>
      </c>
      <c r="I292" s="21" t="str">
        <f t="shared" si="125"/>
        <v/>
      </c>
      <c r="J292" s="63" t="str">
        <f t="shared" si="119"/>
        <v/>
      </c>
      <c r="K292" s="66" t="str">
        <f t="shared" si="124"/>
        <v/>
      </c>
      <c r="L292" s="17"/>
      <c r="M292" s="23" t="str">
        <f t="shared" si="120"/>
        <v/>
      </c>
      <c r="N292" s="23" t="str">
        <f t="shared" si="108"/>
        <v/>
      </c>
      <c r="O292" s="23" t="str">
        <f t="shared" si="109"/>
        <v/>
      </c>
      <c r="P292" s="17"/>
      <c r="Q292" s="19" t="str">
        <f>IF(C292="","",'Tabla_Puntual&amp;Relacionamiento'!$E$90)</f>
        <v/>
      </c>
      <c r="R292" s="19"/>
      <c r="S292" s="11" t="str">
        <f t="shared" si="121"/>
        <v/>
      </c>
      <c r="T292" s="23" t="str">
        <f t="shared" si="110"/>
        <v/>
      </c>
      <c r="U292" s="37" t="str">
        <f t="shared" si="111"/>
        <v/>
      </c>
      <c r="V292" s="37" t="str">
        <f t="shared" si="123"/>
        <v/>
      </c>
      <c r="X292" s="31" t="str">
        <f t="shared" si="112"/>
        <v/>
      </c>
      <c r="Y292" s="34">
        <f t="shared" si="126"/>
        <v>1.5129760319802379</v>
      </c>
      <c r="Z292" s="31" t="e">
        <f t="shared" si="113"/>
        <v>#VALUE!</v>
      </c>
      <c r="AA292" s="66">
        <f t="shared" si="114"/>
        <v>0</v>
      </c>
      <c r="AB292" s="6" t="e">
        <f t="shared" si="115"/>
        <v>#VALUE!</v>
      </c>
      <c r="AC292" s="48">
        <f t="shared" si="127"/>
        <v>0</v>
      </c>
    </row>
    <row r="293" spans="3:29" x14ac:dyDescent="0.25">
      <c r="C293" s="27" t="str">
        <f t="shared" si="116"/>
        <v/>
      </c>
      <c r="D293" s="30" t="str">
        <f t="shared" si="117"/>
        <v/>
      </c>
      <c r="E293" s="20" t="str">
        <f t="shared" si="122"/>
        <v/>
      </c>
      <c r="F293" s="20" t="str">
        <f t="shared" si="106"/>
        <v/>
      </c>
      <c r="G293" s="21" t="str">
        <f t="shared" si="107"/>
        <v/>
      </c>
      <c r="H293" s="24" t="str">
        <f t="shared" si="118"/>
        <v/>
      </c>
      <c r="I293" s="21" t="str">
        <f t="shared" si="125"/>
        <v/>
      </c>
      <c r="J293" s="63" t="str">
        <f t="shared" si="119"/>
        <v/>
      </c>
      <c r="K293" s="66" t="str">
        <f t="shared" si="124"/>
        <v/>
      </c>
      <c r="L293" s="17"/>
      <c r="M293" s="23" t="str">
        <f t="shared" si="120"/>
        <v/>
      </c>
      <c r="N293" s="23" t="str">
        <f t="shared" si="108"/>
        <v/>
      </c>
      <c r="O293" s="23" t="str">
        <f t="shared" si="109"/>
        <v/>
      </c>
      <c r="P293" s="17"/>
      <c r="Q293" s="19" t="str">
        <f>IF(C293="","",'Tabla_Puntual&amp;Relacionamiento'!$E$90)</f>
        <v/>
      </c>
      <c r="R293" s="19"/>
      <c r="S293" s="11" t="str">
        <f t="shared" si="121"/>
        <v/>
      </c>
      <c r="T293" s="23" t="str">
        <f t="shared" si="110"/>
        <v/>
      </c>
      <c r="U293" s="37" t="str">
        <f t="shared" si="111"/>
        <v/>
      </c>
      <c r="V293" s="37" t="str">
        <f t="shared" si="123"/>
        <v/>
      </c>
      <c r="X293" s="31" t="str">
        <f t="shared" si="112"/>
        <v/>
      </c>
      <c r="Y293" s="34">
        <f t="shared" si="126"/>
        <v>1.5129760319802379</v>
      </c>
      <c r="Z293" s="31" t="e">
        <f t="shared" si="113"/>
        <v>#VALUE!</v>
      </c>
      <c r="AA293" s="66">
        <f t="shared" si="114"/>
        <v>0</v>
      </c>
      <c r="AB293" s="6" t="e">
        <f t="shared" si="115"/>
        <v>#VALUE!</v>
      </c>
      <c r="AC293" s="48">
        <f t="shared" si="127"/>
        <v>0</v>
      </c>
    </row>
    <row r="294" spans="3:29" x14ac:dyDescent="0.25">
      <c r="C294" s="27" t="str">
        <f t="shared" si="116"/>
        <v/>
      </c>
      <c r="D294" s="30" t="str">
        <f t="shared" si="117"/>
        <v/>
      </c>
      <c r="E294" s="20" t="str">
        <f t="shared" si="122"/>
        <v/>
      </c>
      <c r="F294" s="20" t="str">
        <f t="shared" si="106"/>
        <v/>
      </c>
      <c r="G294" s="21" t="str">
        <f t="shared" si="107"/>
        <v/>
      </c>
      <c r="H294" s="24" t="str">
        <f t="shared" si="118"/>
        <v/>
      </c>
      <c r="I294" s="21" t="str">
        <f t="shared" si="125"/>
        <v/>
      </c>
      <c r="J294" s="63" t="str">
        <f t="shared" si="119"/>
        <v/>
      </c>
      <c r="K294" s="66" t="str">
        <f t="shared" si="124"/>
        <v/>
      </c>
      <c r="L294" s="17"/>
      <c r="M294" s="23" t="str">
        <f t="shared" si="120"/>
        <v/>
      </c>
      <c r="N294" s="23" t="str">
        <f t="shared" si="108"/>
        <v/>
      </c>
      <c r="O294" s="23" t="str">
        <f t="shared" si="109"/>
        <v/>
      </c>
      <c r="P294" s="17"/>
      <c r="Q294" s="19" t="str">
        <f>IF(C294="","",'Tabla_Puntual&amp;Relacionamiento'!$E$90)</f>
        <v/>
      </c>
      <c r="R294" s="19"/>
      <c r="S294" s="11" t="str">
        <f t="shared" si="121"/>
        <v/>
      </c>
      <c r="T294" s="23" t="str">
        <f t="shared" si="110"/>
        <v/>
      </c>
      <c r="U294" s="37" t="str">
        <f t="shared" si="111"/>
        <v/>
      </c>
      <c r="V294" s="37" t="str">
        <f t="shared" si="123"/>
        <v/>
      </c>
      <c r="X294" s="31" t="str">
        <f t="shared" si="112"/>
        <v/>
      </c>
      <c r="Y294" s="34">
        <f t="shared" si="126"/>
        <v>1.5129760319802379</v>
      </c>
      <c r="Z294" s="31" t="e">
        <f t="shared" si="113"/>
        <v>#VALUE!</v>
      </c>
      <c r="AA294" s="66">
        <f t="shared" si="114"/>
        <v>0</v>
      </c>
      <c r="AB294" s="6" t="e">
        <f t="shared" si="115"/>
        <v>#VALUE!</v>
      </c>
      <c r="AC294" s="48">
        <f t="shared" si="127"/>
        <v>0</v>
      </c>
    </row>
    <row r="295" spans="3:29" x14ac:dyDescent="0.25">
      <c r="C295" s="27" t="str">
        <f t="shared" si="116"/>
        <v/>
      </c>
      <c r="D295" s="30" t="str">
        <f t="shared" si="117"/>
        <v/>
      </c>
      <c r="E295" s="20" t="str">
        <f t="shared" si="122"/>
        <v/>
      </c>
      <c r="F295" s="20" t="str">
        <f t="shared" si="106"/>
        <v/>
      </c>
      <c r="G295" s="21" t="str">
        <f t="shared" si="107"/>
        <v/>
      </c>
      <c r="H295" s="24" t="str">
        <f t="shared" si="118"/>
        <v/>
      </c>
      <c r="I295" s="21" t="str">
        <f t="shared" si="125"/>
        <v/>
      </c>
      <c r="J295" s="63" t="str">
        <f t="shared" si="119"/>
        <v/>
      </c>
      <c r="K295" s="66" t="str">
        <f t="shared" si="124"/>
        <v/>
      </c>
      <c r="L295" s="17"/>
      <c r="M295" s="23" t="str">
        <f t="shared" si="120"/>
        <v/>
      </c>
      <c r="N295" s="23" t="str">
        <f t="shared" si="108"/>
        <v/>
      </c>
      <c r="O295" s="23" t="str">
        <f t="shared" si="109"/>
        <v/>
      </c>
      <c r="P295" s="17"/>
      <c r="Q295" s="19" t="str">
        <f>IF(C295="","",'Tabla_Puntual&amp;Relacionamiento'!$E$90)</f>
        <v/>
      </c>
      <c r="R295" s="19"/>
      <c r="S295" s="11" t="str">
        <f t="shared" si="121"/>
        <v/>
      </c>
      <c r="T295" s="23" t="str">
        <f t="shared" si="110"/>
        <v/>
      </c>
      <c r="U295" s="37" t="str">
        <f t="shared" si="111"/>
        <v/>
      </c>
      <c r="V295" s="37" t="str">
        <f t="shared" si="123"/>
        <v/>
      </c>
      <c r="X295" s="31" t="str">
        <f t="shared" si="112"/>
        <v/>
      </c>
      <c r="Y295" s="34">
        <f t="shared" si="126"/>
        <v>1.5129760319802379</v>
      </c>
      <c r="Z295" s="31" t="e">
        <f t="shared" si="113"/>
        <v>#VALUE!</v>
      </c>
      <c r="AA295" s="66">
        <f t="shared" si="114"/>
        <v>0</v>
      </c>
      <c r="AB295" s="6" t="e">
        <f t="shared" si="115"/>
        <v>#VALUE!</v>
      </c>
      <c r="AC295" s="48">
        <f t="shared" si="127"/>
        <v>0</v>
      </c>
    </row>
    <row r="296" spans="3:29" x14ac:dyDescent="0.25">
      <c r="C296" s="27" t="str">
        <f t="shared" si="116"/>
        <v/>
      </c>
      <c r="D296" s="30" t="str">
        <f t="shared" si="117"/>
        <v/>
      </c>
      <c r="E296" s="20" t="str">
        <f t="shared" si="122"/>
        <v/>
      </c>
      <c r="F296" s="20" t="str">
        <f t="shared" si="106"/>
        <v/>
      </c>
      <c r="G296" s="21" t="str">
        <f t="shared" si="107"/>
        <v/>
      </c>
      <c r="H296" s="24" t="str">
        <f t="shared" si="118"/>
        <v/>
      </c>
      <c r="I296" s="21" t="str">
        <f t="shared" si="125"/>
        <v/>
      </c>
      <c r="J296" s="63" t="str">
        <f t="shared" si="119"/>
        <v/>
      </c>
      <c r="K296" s="66" t="str">
        <f t="shared" si="124"/>
        <v/>
      </c>
      <c r="L296" s="17"/>
      <c r="M296" s="23" t="str">
        <f t="shared" si="120"/>
        <v/>
      </c>
      <c r="N296" s="23" t="str">
        <f t="shared" si="108"/>
        <v/>
      </c>
      <c r="O296" s="23" t="str">
        <f t="shared" si="109"/>
        <v/>
      </c>
      <c r="P296" s="17"/>
      <c r="Q296" s="19" t="str">
        <f>IF(C296="","",'Tabla_Puntual&amp;Relacionamiento'!$E$90)</f>
        <v/>
      </c>
      <c r="R296" s="19"/>
      <c r="S296" s="11" t="str">
        <f t="shared" si="121"/>
        <v/>
      </c>
      <c r="T296" s="23" t="str">
        <f t="shared" si="110"/>
        <v/>
      </c>
      <c r="U296" s="37" t="str">
        <f t="shared" si="111"/>
        <v/>
      </c>
      <c r="V296" s="37" t="str">
        <f t="shared" si="123"/>
        <v/>
      </c>
      <c r="X296" s="31" t="str">
        <f t="shared" si="112"/>
        <v/>
      </c>
      <c r="Y296" s="34">
        <f t="shared" si="126"/>
        <v>1.5129760319802379</v>
      </c>
      <c r="Z296" s="31" t="e">
        <f t="shared" si="113"/>
        <v>#VALUE!</v>
      </c>
      <c r="AA296" s="66">
        <f t="shared" si="114"/>
        <v>0</v>
      </c>
      <c r="AB296" s="6" t="e">
        <f t="shared" si="115"/>
        <v>#VALUE!</v>
      </c>
      <c r="AC296" s="48">
        <f t="shared" si="127"/>
        <v>0</v>
      </c>
    </row>
    <row r="297" spans="3:29" x14ac:dyDescent="0.25">
      <c r="C297" s="27" t="str">
        <f t="shared" si="116"/>
        <v/>
      </c>
      <c r="D297" s="30" t="str">
        <f t="shared" si="117"/>
        <v/>
      </c>
      <c r="E297" s="20" t="str">
        <f t="shared" si="122"/>
        <v/>
      </c>
      <c r="F297" s="20" t="str">
        <f t="shared" si="106"/>
        <v/>
      </c>
      <c r="G297" s="21" t="str">
        <f t="shared" si="107"/>
        <v/>
      </c>
      <c r="H297" s="24" t="str">
        <f t="shared" si="118"/>
        <v/>
      </c>
      <c r="I297" s="21" t="str">
        <f t="shared" si="125"/>
        <v/>
      </c>
      <c r="J297" s="63" t="str">
        <f t="shared" si="119"/>
        <v/>
      </c>
      <c r="K297" s="66" t="str">
        <f t="shared" si="124"/>
        <v/>
      </c>
      <c r="L297" s="17"/>
      <c r="M297" s="23" t="str">
        <f t="shared" si="120"/>
        <v/>
      </c>
      <c r="N297" s="23" t="str">
        <f t="shared" si="108"/>
        <v/>
      </c>
      <c r="O297" s="23" t="str">
        <f t="shared" si="109"/>
        <v/>
      </c>
      <c r="P297" s="17"/>
      <c r="Q297" s="19" t="str">
        <f>IF(C297="","",'Tabla_Puntual&amp;Relacionamiento'!$E$91)</f>
        <v/>
      </c>
      <c r="R297" s="19" t="str">
        <f>IF(C297="","",IF($E$14="Pago_Bajo_Puntual",$M$17,""))</f>
        <v/>
      </c>
      <c r="S297" s="11" t="str">
        <f t="shared" si="121"/>
        <v/>
      </c>
      <c r="T297" s="23" t="str">
        <f t="shared" si="110"/>
        <v/>
      </c>
      <c r="U297" s="37" t="str">
        <f t="shared" si="111"/>
        <v/>
      </c>
      <c r="V297" s="37" t="str">
        <f t="shared" si="123"/>
        <v/>
      </c>
      <c r="X297" s="31" t="str">
        <f t="shared" si="112"/>
        <v/>
      </c>
      <c r="Y297" s="34">
        <f>Y296*1.019</f>
        <v>1.5417225765878622</v>
      </c>
      <c r="Z297" s="31" t="e">
        <f t="shared" si="113"/>
        <v>#VALUE!</v>
      </c>
      <c r="AA297" s="66">
        <f t="shared" si="114"/>
        <v>0</v>
      </c>
      <c r="AB297" s="6" t="e">
        <f t="shared" si="115"/>
        <v>#VALUE!</v>
      </c>
      <c r="AC297" s="48">
        <f t="shared" si="127"/>
        <v>0</v>
      </c>
    </row>
    <row r="298" spans="3:29" x14ac:dyDescent="0.25">
      <c r="C298" s="27" t="str">
        <f t="shared" si="116"/>
        <v/>
      </c>
      <c r="D298" s="30" t="str">
        <f t="shared" si="117"/>
        <v/>
      </c>
      <c r="E298" s="20" t="str">
        <f t="shared" si="122"/>
        <v/>
      </c>
      <c r="F298" s="20" t="str">
        <f t="shared" si="106"/>
        <v/>
      </c>
      <c r="G298" s="21" t="str">
        <f t="shared" si="107"/>
        <v/>
      </c>
      <c r="H298" s="24" t="str">
        <f t="shared" si="118"/>
        <v/>
      </c>
      <c r="I298" s="21" t="str">
        <f t="shared" si="125"/>
        <v/>
      </c>
      <c r="J298" s="63" t="str">
        <f t="shared" si="119"/>
        <v/>
      </c>
      <c r="K298" s="66" t="str">
        <f t="shared" si="124"/>
        <v/>
      </c>
      <c r="L298" s="17"/>
      <c r="M298" s="23" t="str">
        <f t="shared" si="120"/>
        <v/>
      </c>
      <c r="N298" s="23" t="str">
        <f t="shared" si="108"/>
        <v/>
      </c>
      <c r="O298" s="23" t="str">
        <f t="shared" si="109"/>
        <v/>
      </c>
      <c r="P298" s="17"/>
      <c r="Q298" s="19" t="str">
        <f>IF(C298="","",'Tabla_Puntual&amp;Relacionamiento'!$E$91)</f>
        <v/>
      </c>
      <c r="R298" s="19"/>
      <c r="S298" s="11" t="str">
        <f t="shared" si="121"/>
        <v/>
      </c>
      <c r="T298" s="23" t="str">
        <f t="shared" si="110"/>
        <v/>
      </c>
      <c r="U298" s="37" t="str">
        <f t="shared" si="111"/>
        <v/>
      </c>
      <c r="V298" s="37" t="str">
        <f t="shared" si="123"/>
        <v/>
      </c>
      <c r="X298" s="31" t="str">
        <f t="shared" si="112"/>
        <v/>
      </c>
      <c r="Y298" s="34">
        <f t="shared" ref="Y298:Y308" si="128">Y297</f>
        <v>1.5417225765878622</v>
      </c>
      <c r="Z298" s="31" t="e">
        <f t="shared" si="113"/>
        <v>#VALUE!</v>
      </c>
      <c r="AA298" s="66">
        <f t="shared" si="114"/>
        <v>0</v>
      </c>
      <c r="AB298" s="6" t="e">
        <f t="shared" si="115"/>
        <v>#VALUE!</v>
      </c>
      <c r="AC298" s="48">
        <f t="shared" si="127"/>
        <v>0</v>
      </c>
    </row>
    <row r="299" spans="3:29" x14ac:dyDescent="0.25">
      <c r="C299" s="27" t="str">
        <f t="shared" si="116"/>
        <v/>
      </c>
      <c r="D299" s="30" t="str">
        <f t="shared" si="117"/>
        <v/>
      </c>
      <c r="E299" s="20" t="str">
        <f t="shared" si="122"/>
        <v/>
      </c>
      <c r="F299" s="20" t="str">
        <f t="shared" si="106"/>
        <v/>
      </c>
      <c r="G299" s="21" t="str">
        <f t="shared" si="107"/>
        <v/>
      </c>
      <c r="H299" s="24" t="str">
        <f t="shared" si="118"/>
        <v/>
      </c>
      <c r="I299" s="21" t="str">
        <f t="shared" si="125"/>
        <v/>
      </c>
      <c r="J299" s="63" t="str">
        <f t="shared" si="119"/>
        <v/>
      </c>
      <c r="K299" s="66" t="str">
        <f t="shared" si="124"/>
        <v/>
      </c>
      <c r="L299" s="17"/>
      <c r="M299" s="23" t="str">
        <f t="shared" si="120"/>
        <v/>
      </c>
      <c r="N299" s="23" t="str">
        <f t="shared" si="108"/>
        <v/>
      </c>
      <c r="O299" s="23" t="str">
        <f t="shared" si="109"/>
        <v/>
      </c>
      <c r="P299" s="17"/>
      <c r="Q299" s="19" t="str">
        <f>IF(C299="","",'Tabla_Puntual&amp;Relacionamiento'!$E$91)</f>
        <v/>
      </c>
      <c r="R299" s="19"/>
      <c r="S299" s="11" t="str">
        <f t="shared" si="121"/>
        <v/>
      </c>
      <c r="T299" s="23" t="str">
        <f t="shared" si="110"/>
        <v/>
      </c>
      <c r="U299" s="37" t="str">
        <f t="shared" si="111"/>
        <v/>
      </c>
      <c r="V299" s="37" t="str">
        <f t="shared" si="123"/>
        <v/>
      </c>
      <c r="X299" s="31" t="str">
        <f t="shared" si="112"/>
        <v/>
      </c>
      <c r="Y299" s="34">
        <f t="shared" si="128"/>
        <v>1.5417225765878622</v>
      </c>
      <c r="Z299" s="31" t="e">
        <f t="shared" si="113"/>
        <v>#VALUE!</v>
      </c>
      <c r="AA299" s="66">
        <f t="shared" si="114"/>
        <v>0</v>
      </c>
      <c r="AB299" s="6" t="e">
        <f t="shared" si="115"/>
        <v>#VALUE!</v>
      </c>
      <c r="AC299" s="48">
        <f t="shared" si="127"/>
        <v>0</v>
      </c>
    </row>
    <row r="300" spans="3:29" x14ac:dyDescent="0.25">
      <c r="C300" s="27" t="str">
        <f t="shared" si="116"/>
        <v/>
      </c>
      <c r="D300" s="30" t="str">
        <f t="shared" si="117"/>
        <v/>
      </c>
      <c r="E300" s="20" t="str">
        <f t="shared" si="122"/>
        <v/>
      </c>
      <c r="F300" s="20" t="str">
        <f t="shared" si="106"/>
        <v/>
      </c>
      <c r="G300" s="21" t="str">
        <f t="shared" si="107"/>
        <v/>
      </c>
      <c r="H300" s="24" t="str">
        <f t="shared" si="118"/>
        <v/>
      </c>
      <c r="I300" s="21" t="str">
        <f t="shared" si="125"/>
        <v/>
      </c>
      <c r="J300" s="63" t="str">
        <f t="shared" si="119"/>
        <v/>
      </c>
      <c r="K300" s="66" t="str">
        <f t="shared" si="124"/>
        <v/>
      </c>
      <c r="L300" s="17"/>
      <c r="M300" s="23" t="str">
        <f t="shared" si="120"/>
        <v/>
      </c>
      <c r="N300" s="23" t="str">
        <f t="shared" si="108"/>
        <v/>
      </c>
      <c r="O300" s="23" t="str">
        <f t="shared" si="109"/>
        <v/>
      </c>
      <c r="P300" s="17"/>
      <c r="Q300" s="19" t="str">
        <f>IF(C300="","",'Tabla_Puntual&amp;Relacionamiento'!$E$91)</f>
        <v/>
      </c>
      <c r="R300" s="19"/>
      <c r="S300" s="11" t="str">
        <f t="shared" si="121"/>
        <v/>
      </c>
      <c r="T300" s="23" t="str">
        <f t="shared" si="110"/>
        <v/>
      </c>
      <c r="U300" s="37" t="str">
        <f t="shared" si="111"/>
        <v/>
      </c>
      <c r="V300" s="37" t="str">
        <f t="shared" si="123"/>
        <v/>
      </c>
      <c r="X300" s="31" t="str">
        <f t="shared" si="112"/>
        <v/>
      </c>
      <c r="Y300" s="34">
        <f t="shared" si="128"/>
        <v>1.5417225765878622</v>
      </c>
      <c r="Z300" s="31" t="e">
        <f t="shared" si="113"/>
        <v>#VALUE!</v>
      </c>
      <c r="AA300" s="66">
        <f t="shared" si="114"/>
        <v>0</v>
      </c>
      <c r="AB300" s="6" t="e">
        <f t="shared" si="115"/>
        <v>#VALUE!</v>
      </c>
      <c r="AC300" s="48">
        <f t="shared" si="127"/>
        <v>0</v>
      </c>
    </row>
    <row r="301" spans="3:29" x14ac:dyDescent="0.25">
      <c r="C301" s="27" t="str">
        <f t="shared" si="116"/>
        <v/>
      </c>
      <c r="D301" s="30" t="str">
        <f t="shared" si="117"/>
        <v/>
      </c>
      <c r="E301" s="20" t="str">
        <f t="shared" si="122"/>
        <v/>
      </c>
      <c r="F301" s="20" t="str">
        <f t="shared" si="106"/>
        <v/>
      </c>
      <c r="G301" s="21" t="str">
        <f t="shared" si="107"/>
        <v/>
      </c>
      <c r="H301" s="24" t="str">
        <f t="shared" si="118"/>
        <v/>
      </c>
      <c r="I301" s="21" t="str">
        <f t="shared" si="125"/>
        <v/>
      </c>
      <c r="J301" s="63" t="str">
        <f t="shared" si="119"/>
        <v/>
      </c>
      <c r="K301" s="66" t="str">
        <f t="shared" si="124"/>
        <v/>
      </c>
      <c r="L301" s="17"/>
      <c r="M301" s="23" t="str">
        <f t="shared" si="120"/>
        <v/>
      </c>
      <c r="N301" s="23" t="str">
        <f t="shared" si="108"/>
        <v/>
      </c>
      <c r="O301" s="23" t="str">
        <f t="shared" si="109"/>
        <v/>
      </c>
      <c r="P301" s="17"/>
      <c r="Q301" s="19" t="str">
        <f>IF(C301="","",'Tabla_Puntual&amp;Relacionamiento'!$E$91)</f>
        <v/>
      </c>
      <c r="R301" s="19"/>
      <c r="S301" s="11" t="str">
        <f t="shared" si="121"/>
        <v/>
      </c>
      <c r="T301" s="23" t="str">
        <f t="shared" si="110"/>
        <v/>
      </c>
      <c r="U301" s="37" t="str">
        <f t="shared" si="111"/>
        <v/>
      </c>
      <c r="V301" s="37" t="str">
        <f t="shared" si="123"/>
        <v/>
      </c>
      <c r="X301" s="31" t="str">
        <f t="shared" si="112"/>
        <v/>
      </c>
      <c r="Y301" s="34">
        <f t="shared" si="128"/>
        <v>1.5417225765878622</v>
      </c>
      <c r="Z301" s="31" t="e">
        <f t="shared" si="113"/>
        <v>#VALUE!</v>
      </c>
      <c r="AA301" s="66">
        <f t="shared" si="114"/>
        <v>0</v>
      </c>
      <c r="AB301" s="6" t="e">
        <f t="shared" si="115"/>
        <v>#VALUE!</v>
      </c>
      <c r="AC301" s="48">
        <f t="shared" si="127"/>
        <v>0</v>
      </c>
    </row>
    <row r="302" spans="3:29" x14ac:dyDescent="0.25">
      <c r="C302" s="27" t="str">
        <f t="shared" si="116"/>
        <v/>
      </c>
      <c r="D302" s="30" t="str">
        <f t="shared" si="117"/>
        <v/>
      </c>
      <c r="E302" s="20" t="str">
        <f t="shared" si="122"/>
        <v/>
      </c>
      <c r="F302" s="20" t="str">
        <f t="shared" si="106"/>
        <v/>
      </c>
      <c r="G302" s="21" t="str">
        <f t="shared" si="107"/>
        <v/>
      </c>
      <c r="H302" s="24" t="str">
        <f t="shared" si="118"/>
        <v/>
      </c>
      <c r="I302" s="21" t="str">
        <f t="shared" si="125"/>
        <v/>
      </c>
      <c r="J302" s="63" t="str">
        <f t="shared" si="119"/>
        <v/>
      </c>
      <c r="K302" s="66" t="str">
        <f t="shared" si="124"/>
        <v/>
      </c>
      <c r="L302" s="17"/>
      <c r="M302" s="23" t="str">
        <f t="shared" si="120"/>
        <v/>
      </c>
      <c r="N302" s="23" t="str">
        <f t="shared" si="108"/>
        <v/>
      </c>
      <c r="O302" s="23" t="str">
        <f t="shared" si="109"/>
        <v/>
      </c>
      <c r="P302" s="17"/>
      <c r="Q302" s="19" t="str">
        <f>IF(C302="","",'Tabla_Puntual&amp;Relacionamiento'!$E$91)</f>
        <v/>
      </c>
      <c r="R302" s="19"/>
      <c r="S302" s="11" t="str">
        <f t="shared" si="121"/>
        <v/>
      </c>
      <c r="T302" s="23" t="str">
        <f t="shared" si="110"/>
        <v/>
      </c>
      <c r="U302" s="37" t="str">
        <f t="shared" si="111"/>
        <v/>
      </c>
      <c r="V302" s="37" t="str">
        <f t="shared" si="123"/>
        <v/>
      </c>
      <c r="X302" s="31" t="str">
        <f t="shared" si="112"/>
        <v/>
      </c>
      <c r="Y302" s="34">
        <f t="shared" si="128"/>
        <v>1.5417225765878622</v>
      </c>
      <c r="Z302" s="31" t="e">
        <f t="shared" si="113"/>
        <v>#VALUE!</v>
      </c>
      <c r="AA302" s="66">
        <f t="shared" si="114"/>
        <v>0</v>
      </c>
      <c r="AB302" s="6" t="e">
        <f t="shared" si="115"/>
        <v>#VALUE!</v>
      </c>
      <c r="AC302" s="48">
        <f t="shared" si="127"/>
        <v>0</v>
      </c>
    </row>
    <row r="303" spans="3:29" x14ac:dyDescent="0.25">
      <c r="C303" s="27" t="str">
        <f t="shared" si="116"/>
        <v/>
      </c>
      <c r="D303" s="30" t="str">
        <f t="shared" si="117"/>
        <v/>
      </c>
      <c r="E303" s="20" t="str">
        <f t="shared" si="122"/>
        <v/>
      </c>
      <c r="F303" s="20" t="str">
        <f t="shared" si="106"/>
        <v/>
      </c>
      <c r="G303" s="21" t="str">
        <f t="shared" si="107"/>
        <v/>
      </c>
      <c r="H303" s="24" t="str">
        <f t="shared" si="118"/>
        <v/>
      </c>
      <c r="I303" s="21" t="str">
        <f t="shared" si="125"/>
        <v/>
      </c>
      <c r="J303" s="63" t="str">
        <f t="shared" si="119"/>
        <v/>
      </c>
      <c r="K303" s="66" t="str">
        <f t="shared" si="124"/>
        <v/>
      </c>
      <c r="L303" s="17"/>
      <c r="M303" s="23" t="str">
        <f t="shared" si="120"/>
        <v/>
      </c>
      <c r="N303" s="23" t="str">
        <f t="shared" si="108"/>
        <v/>
      </c>
      <c r="O303" s="23" t="str">
        <f t="shared" si="109"/>
        <v/>
      </c>
      <c r="P303" s="17"/>
      <c r="Q303" s="19" t="str">
        <f>IF(C303="","",'Tabla_Puntual&amp;Relacionamiento'!$E$91)</f>
        <v/>
      </c>
      <c r="R303" s="19"/>
      <c r="S303" s="11" t="str">
        <f t="shared" si="121"/>
        <v/>
      </c>
      <c r="T303" s="23" t="str">
        <f t="shared" si="110"/>
        <v/>
      </c>
      <c r="U303" s="37" t="str">
        <f t="shared" si="111"/>
        <v/>
      </c>
      <c r="V303" s="37" t="str">
        <f t="shared" si="123"/>
        <v/>
      </c>
      <c r="X303" s="31" t="str">
        <f t="shared" si="112"/>
        <v/>
      </c>
      <c r="Y303" s="34">
        <f t="shared" si="128"/>
        <v>1.5417225765878622</v>
      </c>
      <c r="Z303" s="31" t="e">
        <f t="shared" si="113"/>
        <v>#VALUE!</v>
      </c>
      <c r="AA303" s="66">
        <f t="shared" si="114"/>
        <v>0</v>
      </c>
      <c r="AB303" s="6" t="e">
        <f t="shared" si="115"/>
        <v>#VALUE!</v>
      </c>
      <c r="AC303" s="48">
        <f t="shared" si="127"/>
        <v>0</v>
      </c>
    </row>
    <row r="304" spans="3:29" x14ac:dyDescent="0.25">
      <c r="C304" s="27" t="str">
        <f t="shared" si="116"/>
        <v/>
      </c>
      <c r="D304" s="30" t="str">
        <f t="shared" si="117"/>
        <v/>
      </c>
      <c r="E304" s="20" t="str">
        <f t="shared" si="122"/>
        <v/>
      </c>
      <c r="F304" s="20" t="str">
        <f t="shared" si="106"/>
        <v/>
      </c>
      <c r="G304" s="21" t="str">
        <f t="shared" si="107"/>
        <v/>
      </c>
      <c r="H304" s="24" t="str">
        <f t="shared" si="118"/>
        <v/>
      </c>
      <c r="I304" s="21" t="str">
        <f t="shared" si="125"/>
        <v/>
      </c>
      <c r="J304" s="63" t="str">
        <f t="shared" si="119"/>
        <v/>
      </c>
      <c r="K304" s="66" t="str">
        <f t="shared" si="124"/>
        <v/>
      </c>
      <c r="L304" s="17"/>
      <c r="M304" s="23" t="str">
        <f t="shared" si="120"/>
        <v/>
      </c>
      <c r="N304" s="23" t="str">
        <f t="shared" si="108"/>
        <v/>
      </c>
      <c r="O304" s="23" t="str">
        <f t="shared" si="109"/>
        <v/>
      </c>
      <c r="P304" s="17"/>
      <c r="Q304" s="19" t="str">
        <f>IF(C304="","",'Tabla_Puntual&amp;Relacionamiento'!$E$91)</f>
        <v/>
      </c>
      <c r="R304" s="19"/>
      <c r="S304" s="11" t="str">
        <f t="shared" si="121"/>
        <v/>
      </c>
      <c r="T304" s="23" t="str">
        <f t="shared" si="110"/>
        <v/>
      </c>
      <c r="U304" s="37" t="str">
        <f t="shared" si="111"/>
        <v/>
      </c>
      <c r="V304" s="37" t="str">
        <f t="shared" si="123"/>
        <v/>
      </c>
      <c r="X304" s="31" t="str">
        <f t="shared" si="112"/>
        <v/>
      </c>
      <c r="Y304" s="34">
        <f t="shared" si="128"/>
        <v>1.5417225765878622</v>
      </c>
      <c r="Z304" s="31" t="e">
        <f t="shared" si="113"/>
        <v>#VALUE!</v>
      </c>
      <c r="AA304" s="66">
        <f t="shared" si="114"/>
        <v>0</v>
      </c>
      <c r="AB304" s="6" t="e">
        <f t="shared" si="115"/>
        <v>#VALUE!</v>
      </c>
      <c r="AC304" s="48">
        <f t="shared" si="127"/>
        <v>0</v>
      </c>
    </row>
    <row r="305" spans="3:29" x14ac:dyDescent="0.25">
      <c r="C305" s="27" t="str">
        <f t="shared" si="116"/>
        <v/>
      </c>
      <c r="D305" s="30" t="str">
        <f t="shared" si="117"/>
        <v/>
      </c>
      <c r="E305" s="20" t="str">
        <f t="shared" si="122"/>
        <v/>
      </c>
      <c r="F305" s="20" t="str">
        <f t="shared" si="106"/>
        <v/>
      </c>
      <c r="G305" s="21" t="str">
        <f t="shared" si="107"/>
        <v/>
      </c>
      <c r="H305" s="24" t="str">
        <f t="shared" si="118"/>
        <v/>
      </c>
      <c r="I305" s="21" t="str">
        <f t="shared" si="125"/>
        <v/>
      </c>
      <c r="J305" s="63" t="str">
        <f t="shared" si="119"/>
        <v/>
      </c>
      <c r="K305" s="66" t="str">
        <f t="shared" si="124"/>
        <v/>
      </c>
      <c r="L305" s="17"/>
      <c r="M305" s="23" t="str">
        <f t="shared" si="120"/>
        <v/>
      </c>
      <c r="N305" s="23" t="str">
        <f t="shared" si="108"/>
        <v/>
      </c>
      <c r="O305" s="23" t="str">
        <f t="shared" si="109"/>
        <v/>
      </c>
      <c r="P305" s="17"/>
      <c r="Q305" s="19" t="str">
        <f>IF(C305="","",'Tabla_Puntual&amp;Relacionamiento'!$E$91)</f>
        <v/>
      </c>
      <c r="R305" s="19"/>
      <c r="S305" s="11" t="str">
        <f t="shared" si="121"/>
        <v/>
      </c>
      <c r="T305" s="23" t="str">
        <f t="shared" si="110"/>
        <v/>
      </c>
      <c r="U305" s="37" t="str">
        <f t="shared" si="111"/>
        <v/>
      </c>
      <c r="V305" s="37" t="str">
        <f t="shared" si="123"/>
        <v/>
      </c>
      <c r="X305" s="31" t="str">
        <f t="shared" si="112"/>
        <v/>
      </c>
      <c r="Y305" s="34">
        <f t="shared" si="128"/>
        <v>1.5417225765878622</v>
      </c>
      <c r="Z305" s="31" t="e">
        <f t="shared" si="113"/>
        <v>#VALUE!</v>
      </c>
      <c r="AA305" s="66">
        <f t="shared" si="114"/>
        <v>0</v>
      </c>
      <c r="AB305" s="6" t="e">
        <f t="shared" si="115"/>
        <v>#VALUE!</v>
      </c>
      <c r="AC305" s="48">
        <f t="shared" si="127"/>
        <v>0</v>
      </c>
    </row>
    <row r="306" spans="3:29" x14ac:dyDescent="0.25">
      <c r="C306" s="27" t="str">
        <f t="shared" si="116"/>
        <v/>
      </c>
      <c r="D306" s="30" t="str">
        <f t="shared" si="117"/>
        <v/>
      </c>
      <c r="E306" s="20" t="str">
        <f t="shared" si="122"/>
        <v/>
      </c>
      <c r="F306" s="20" t="str">
        <f t="shared" si="106"/>
        <v/>
      </c>
      <c r="G306" s="21" t="str">
        <f t="shared" si="107"/>
        <v/>
      </c>
      <c r="H306" s="24" t="str">
        <f t="shared" si="118"/>
        <v/>
      </c>
      <c r="I306" s="21" t="str">
        <f t="shared" si="125"/>
        <v/>
      </c>
      <c r="J306" s="63" t="str">
        <f t="shared" si="119"/>
        <v/>
      </c>
      <c r="K306" s="66" t="str">
        <f t="shared" si="124"/>
        <v/>
      </c>
      <c r="L306" s="17"/>
      <c r="M306" s="23" t="str">
        <f t="shared" si="120"/>
        <v/>
      </c>
      <c r="N306" s="23" t="str">
        <f t="shared" si="108"/>
        <v/>
      </c>
      <c r="O306" s="23" t="str">
        <f t="shared" si="109"/>
        <v/>
      </c>
      <c r="P306" s="17"/>
      <c r="Q306" s="19" t="str">
        <f>IF(C306="","",'Tabla_Puntual&amp;Relacionamiento'!$E$91)</f>
        <v/>
      </c>
      <c r="R306" s="19"/>
      <c r="S306" s="11" t="str">
        <f t="shared" si="121"/>
        <v/>
      </c>
      <c r="T306" s="23" t="str">
        <f t="shared" si="110"/>
        <v/>
      </c>
      <c r="U306" s="37" t="str">
        <f t="shared" si="111"/>
        <v/>
      </c>
      <c r="V306" s="37" t="str">
        <f t="shared" si="123"/>
        <v/>
      </c>
      <c r="X306" s="31" t="str">
        <f t="shared" si="112"/>
        <v/>
      </c>
      <c r="Y306" s="34">
        <f t="shared" si="128"/>
        <v>1.5417225765878622</v>
      </c>
      <c r="Z306" s="31" t="e">
        <f t="shared" si="113"/>
        <v>#VALUE!</v>
      </c>
      <c r="AA306" s="66">
        <f t="shared" si="114"/>
        <v>0</v>
      </c>
      <c r="AB306" s="6" t="e">
        <f t="shared" si="115"/>
        <v>#VALUE!</v>
      </c>
      <c r="AC306" s="48">
        <f t="shared" si="127"/>
        <v>0</v>
      </c>
    </row>
    <row r="307" spans="3:29" x14ac:dyDescent="0.25">
      <c r="C307" s="27" t="str">
        <f t="shared" si="116"/>
        <v/>
      </c>
      <c r="D307" s="30" t="str">
        <f t="shared" si="117"/>
        <v/>
      </c>
      <c r="E307" s="20" t="str">
        <f t="shared" si="122"/>
        <v/>
      </c>
      <c r="F307" s="20" t="str">
        <f t="shared" si="106"/>
        <v/>
      </c>
      <c r="G307" s="21" t="str">
        <f t="shared" si="107"/>
        <v/>
      </c>
      <c r="H307" s="24" t="str">
        <f t="shared" si="118"/>
        <v/>
      </c>
      <c r="I307" s="21" t="str">
        <f t="shared" si="125"/>
        <v/>
      </c>
      <c r="J307" s="63" t="str">
        <f t="shared" si="119"/>
        <v/>
      </c>
      <c r="K307" s="66" t="str">
        <f t="shared" si="124"/>
        <v/>
      </c>
      <c r="L307" s="17"/>
      <c r="M307" s="23" t="str">
        <f t="shared" si="120"/>
        <v/>
      </c>
      <c r="N307" s="23" t="str">
        <f t="shared" si="108"/>
        <v/>
      </c>
      <c r="O307" s="23" t="str">
        <f t="shared" si="109"/>
        <v/>
      </c>
      <c r="P307" s="17"/>
      <c r="Q307" s="19" t="str">
        <f>IF(C307="","",'Tabla_Puntual&amp;Relacionamiento'!$E$91)</f>
        <v/>
      </c>
      <c r="R307" s="19"/>
      <c r="S307" s="11" t="str">
        <f t="shared" si="121"/>
        <v/>
      </c>
      <c r="T307" s="23" t="str">
        <f t="shared" si="110"/>
        <v/>
      </c>
      <c r="U307" s="37" t="str">
        <f t="shared" si="111"/>
        <v/>
      </c>
      <c r="V307" s="37" t="str">
        <f t="shared" si="123"/>
        <v/>
      </c>
      <c r="X307" s="31" t="str">
        <f t="shared" si="112"/>
        <v/>
      </c>
      <c r="Y307" s="34">
        <f t="shared" si="128"/>
        <v>1.5417225765878622</v>
      </c>
      <c r="Z307" s="31" t="e">
        <f t="shared" si="113"/>
        <v>#VALUE!</v>
      </c>
      <c r="AA307" s="66">
        <f t="shared" si="114"/>
        <v>0</v>
      </c>
      <c r="AB307" s="6" t="e">
        <f t="shared" si="115"/>
        <v>#VALUE!</v>
      </c>
      <c r="AC307" s="48">
        <f t="shared" si="127"/>
        <v>0</v>
      </c>
    </row>
    <row r="308" spans="3:29" x14ac:dyDescent="0.25">
      <c r="C308" s="27" t="str">
        <f t="shared" si="116"/>
        <v/>
      </c>
      <c r="D308" s="30" t="str">
        <f t="shared" si="117"/>
        <v/>
      </c>
      <c r="E308" s="20" t="str">
        <f t="shared" si="122"/>
        <v/>
      </c>
      <c r="F308" s="20" t="str">
        <f t="shared" si="106"/>
        <v/>
      </c>
      <c r="G308" s="21" t="str">
        <f t="shared" si="107"/>
        <v/>
      </c>
      <c r="H308" s="24" t="str">
        <f t="shared" si="118"/>
        <v/>
      </c>
      <c r="I308" s="21" t="str">
        <f t="shared" si="125"/>
        <v/>
      </c>
      <c r="J308" s="63" t="str">
        <f t="shared" si="119"/>
        <v/>
      </c>
      <c r="K308" s="66" t="str">
        <f t="shared" si="124"/>
        <v/>
      </c>
      <c r="L308" s="17"/>
      <c r="M308" s="23" t="str">
        <f t="shared" si="120"/>
        <v/>
      </c>
      <c r="N308" s="23" t="str">
        <f t="shared" si="108"/>
        <v/>
      </c>
      <c r="O308" s="23" t="str">
        <f t="shared" si="109"/>
        <v/>
      </c>
      <c r="P308" s="17"/>
      <c r="Q308" s="19" t="str">
        <f>IF(C308="","",'Tabla_Puntual&amp;Relacionamiento'!$E$91)</f>
        <v/>
      </c>
      <c r="R308" s="19"/>
      <c r="S308" s="11" t="str">
        <f t="shared" si="121"/>
        <v/>
      </c>
      <c r="T308" s="23" t="str">
        <f t="shared" si="110"/>
        <v/>
      </c>
      <c r="U308" s="37" t="str">
        <f t="shared" si="111"/>
        <v/>
      </c>
      <c r="V308" s="37" t="str">
        <f t="shared" si="123"/>
        <v/>
      </c>
      <c r="X308" s="31" t="str">
        <f t="shared" si="112"/>
        <v/>
      </c>
      <c r="Y308" s="34">
        <f t="shared" si="128"/>
        <v>1.5417225765878622</v>
      </c>
      <c r="Z308" s="31" t="e">
        <f t="shared" si="113"/>
        <v>#VALUE!</v>
      </c>
      <c r="AA308" s="66">
        <f t="shared" si="114"/>
        <v>0</v>
      </c>
      <c r="AB308" s="6" t="e">
        <f t="shared" si="115"/>
        <v>#VALUE!</v>
      </c>
      <c r="AC308" s="48">
        <f t="shared" si="127"/>
        <v>0</v>
      </c>
    </row>
    <row r="309" spans="3:29" x14ac:dyDescent="0.25">
      <c r="C309" s="27" t="str">
        <f t="shared" si="116"/>
        <v/>
      </c>
      <c r="D309" s="30" t="str">
        <f t="shared" si="117"/>
        <v/>
      </c>
      <c r="E309" s="20" t="str">
        <f t="shared" si="122"/>
        <v/>
      </c>
      <c r="F309" s="20" t="str">
        <f t="shared" si="106"/>
        <v/>
      </c>
      <c r="G309" s="21" t="str">
        <f t="shared" si="107"/>
        <v/>
      </c>
      <c r="H309" s="24" t="str">
        <f t="shared" si="118"/>
        <v/>
      </c>
      <c r="I309" s="21" t="str">
        <f t="shared" si="125"/>
        <v/>
      </c>
      <c r="J309" s="63" t="str">
        <f t="shared" si="119"/>
        <v/>
      </c>
      <c r="K309" s="66" t="str">
        <f t="shared" si="124"/>
        <v/>
      </c>
      <c r="L309" s="17"/>
      <c r="M309" s="23" t="str">
        <f t="shared" si="120"/>
        <v/>
      </c>
      <c r="N309" s="23" t="str">
        <f t="shared" si="108"/>
        <v/>
      </c>
      <c r="O309" s="23" t="str">
        <f t="shared" si="109"/>
        <v/>
      </c>
      <c r="P309" s="17"/>
      <c r="Q309" s="19" t="str">
        <f>IF(C309="","",'Tabla_Puntual&amp;Relacionamiento'!$E$92)</f>
        <v/>
      </c>
      <c r="R309" s="19" t="str">
        <f>IF(C309="","",IF($E$14="Pago_Bajo_Puntual",$M$17,""))</f>
        <v/>
      </c>
      <c r="S309" s="11" t="str">
        <f t="shared" si="121"/>
        <v/>
      </c>
      <c r="T309" s="23" t="str">
        <f t="shared" si="110"/>
        <v/>
      </c>
      <c r="U309" s="37" t="str">
        <f t="shared" si="111"/>
        <v/>
      </c>
      <c r="V309" s="37" t="str">
        <f t="shared" si="123"/>
        <v/>
      </c>
      <c r="X309" s="31" t="str">
        <f t="shared" si="112"/>
        <v/>
      </c>
      <c r="Y309" s="34">
        <f>Y308*1.019</f>
        <v>1.5710153055430314</v>
      </c>
      <c r="Z309" s="31" t="e">
        <f t="shared" si="113"/>
        <v>#VALUE!</v>
      </c>
      <c r="AA309" s="66">
        <f t="shared" si="114"/>
        <v>0</v>
      </c>
      <c r="AB309" s="6" t="e">
        <f t="shared" si="115"/>
        <v>#VALUE!</v>
      </c>
      <c r="AC309" s="48">
        <f t="shared" si="127"/>
        <v>0</v>
      </c>
    </row>
    <row r="310" spans="3:29" x14ac:dyDescent="0.25">
      <c r="C310" s="27" t="str">
        <f t="shared" si="116"/>
        <v/>
      </c>
      <c r="D310" s="30" t="str">
        <f t="shared" si="117"/>
        <v/>
      </c>
      <c r="E310" s="20" t="str">
        <f t="shared" si="122"/>
        <v/>
      </c>
      <c r="F310" s="20" t="str">
        <f t="shared" si="106"/>
        <v/>
      </c>
      <c r="G310" s="21" t="str">
        <f t="shared" si="107"/>
        <v/>
      </c>
      <c r="H310" s="24" t="str">
        <f t="shared" si="118"/>
        <v/>
      </c>
      <c r="I310" s="21" t="str">
        <f t="shared" si="125"/>
        <v/>
      </c>
      <c r="J310" s="63" t="str">
        <f t="shared" si="119"/>
        <v/>
      </c>
      <c r="K310" s="66" t="str">
        <f t="shared" si="124"/>
        <v/>
      </c>
      <c r="L310" s="17"/>
      <c r="M310" s="23" t="str">
        <f t="shared" si="120"/>
        <v/>
      </c>
      <c r="N310" s="23" t="str">
        <f t="shared" si="108"/>
        <v/>
      </c>
      <c r="O310" s="23" t="str">
        <f t="shared" si="109"/>
        <v/>
      </c>
      <c r="P310" s="17"/>
      <c r="Q310" s="19" t="str">
        <f>IF(C310="","",'Tabla_Puntual&amp;Relacionamiento'!$E$92)</f>
        <v/>
      </c>
      <c r="R310" s="19"/>
      <c r="S310" s="11" t="str">
        <f t="shared" si="121"/>
        <v/>
      </c>
      <c r="T310" s="23" t="str">
        <f t="shared" si="110"/>
        <v/>
      </c>
      <c r="U310" s="37" t="str">
        <f t="shared" si="111"/>
        <v/>
      </c>
      <c r="V310" s="37" t="str">
        <f t="shared" si="123"/>
        <v/>
      </c>
      <c r="X310" s="31" t="str">
        <f t="shared" si="112"/>
        <v/>
      </c>
      <c r="Y310" s="34">
        <f t="shared" ref="Y310:Y320" si="129">Y309</f>
        <v>1.5710153055430314</v>
      </c>
      <c r="Z310" s="31" t="e">
        <f t="shared" si="113"/>
        <v>#VALUE!</v>
      </c>
      <c r="AA310" s="66">
        <f t="shared" si="114"/>
        <v>0</v>
      </c>
      <c r="AB310" s="6" t="e">
        <f t="shared" si="115"/>
        <v>#VALUE!</v>
      </c>
      <c r="AC310" s="48">
        <f t="shared" si="127"/>
        <v>0</v>
      </c>
    </row>
    <row r="311" spans="3:29" x14ac:dyDescent="0.25">
      <c r="C311" s="27" t="str">
        <f t="shared" si="116"/>
        <v/>
      </c>
      <c r="D311" s="30" t="str">
        <f t="shared" si="117"/>
        <v/>
      </c>
      <c r="E311" s="20" t="str">
        <f t="shared" si="122"/>
        <v/>
      </c>
      <c r="F311" s="20" t="str">
        <f t="shared" si="106"/>
        <v/>
      </c>
      <c r="G311" s="21" t="str">
        <f t="shared" si="107"/>
        <v/>
      </c>
      <c r="H311" s="24" t="str">
        <f t="shared" si="118"/>
        <v/>
      </c>
      <c r="I311" s="21" t="str">
        <f t="shared" si="125"/>
        <v/>
      </c>
      <c r="J311" s="63" t="str">
        <f t="shared" si="119"/>
        <v/>
      </c>
      <c r="K311" s="66" t="str">
        <f t="shared" si="124"/>
        <v/>
      </c>
      <c r="L311" s="17"/>
      <c r="M311" s="23" t="str">
        <f t="shared" si="120"/>
        <v/>
      </c>
      <c r="N311" s="23" t="str">
        <f t="shared" si="108"/>
        <v/>
      </c>
      <c r="O311" s="23" t="str">
        <f t="shared" si="109"/>
        <v/>
      </c>
      <c r="P311" s="17"/>
      <c r="Q311" s="19" t="str">
        <f>IF(C311="","",'Tabla_Puntual&amp;Relacionamiento'!$E$92)</f>
        <v/>
      </c>
      <c r="R311" s="19"/>
      <c r="S311" s="11" t="str">
        <f t="shared" si="121"/>
        <v/>
      </c>
      <c r="T311" s="23" t="str">
        <f t="shared" si="110"/>
        <v/>
      </c>
      <c r="U311" s="37" t="str">
        <f t="shared" si="111"/>
        <v/>
      </c>
      <c r="V311" s="37" t="str">
        <f t="shared" si="123"/>
        <v/>
      </c>
      <c r="X311" s="31" t="str">
        <f t="shared" si="112"/>
        <v/>
      </c>
      <c r="Y311" s="34">
        <f t="shared" si="129"/>
        <v>1.5710153055430314</v>
      </c>
      <c r="Z311" s="31" t="e">
        <f t="shared" si="113"/>
        <v>#VALUE!</v>
      </c>
      <c r="AA311" s="66">
        <f t="shared" si="114"/>
        <v>0</v>
      </c>
      <c r="AB311" s="6" t="e">
        <f t="shared" si="115"/>
        <v>#VALUE!</v>
      </c>
      <c r="AC311" s="48">
        <f t="shared" si="127"/>
        <v>0</v>
      </c>
    </row>
    <row r="312" spans="3:29" x14ac:dyDescent="0.25">
      <c r="C312" s="27" t="str">
        <f t="shared" si="116"/>
        <v/>
      </c>
      <c r="D312" s="30" t="str">
        <f t="shared" si="117"/>
        <v/>
      </c>
      <c r="E312" s="20" t="str">
        <f t="shared" si="122"/>
        <v/>
      </c>
      <c r="F312" s="20" t="str">
        <f t="shared" si="106"/>
        <v/>
      </c>
      <c r="G312" s="21" t="str">
        <f t="shared" si="107"/>
        <v/>
      </c>
      <c r="H312" s="24" t="str">
        <f t="shared" si="118"/>
        <v/>
      </c>
      <c r="I312" s="21" t="str">
        <f t="shared" si="125"/>
        <v/>
      </c>
      <c r="J312" s="63" t="str">
        <f t="shared" si="119"/>
        <v/>
      </c>
      <c r="K312" s="66" t="str">
        <f t="shared" si="124"/>
        <v/>
      </c>
      <c r="L312" s="17"/>
      <c r="M312" s="23" t="str">
        <f t="shared" si="120"/>
        <v/>
      </c>
      <c r="N312" s="23" t="str">
        <f t="shared" si="108"/>
        <v/>
      </c>
      <c r="O312" s="23" t="str">
        <f t="shared" si="109"/>
        <v/>
      </c>
      <c r="P312" s="17"/>
      <c r="Q312" s="19" t="str">
        <f>IF(C312="","",'Tabla_Puntual&amp;Relacionamiento'!$E$92)</f>
        <v/>
      </c>
      <c r="R312" s="19"/>
      <c r="S312" s="11" t="str">
        <f t="shared" si="121"/>
        <v/>
      </c>
      <c r="T312" s="23" t="str">
        <f t="shared" si="110"/>
        <v/>
      </c>
      <c r="U312" s="37" t="str">
        <f t="shared" si="111"/>
        <v/>
      </c>
      <c r="V312" s="37" t="str">
        <f t="shared" si="123"/>
        <v/>
      </c>
      <c r="X312" s="31" t="str">
        <f t="shared" si="112"/>
        <v/>
      </c>
      <c r="Y312" s="34">
        <f t="shared" si="129"/>
        <v>1.5710153055430314</v>
      </c>
      <c r="Z312" s="31" t="e">
        <f t="shared" si="113"/>
        <v>#VALUE!</v>
      </c>
      <c r="AA312" s="66">
        <f t="shared" si="114"/>
        <v>0</v>
      </c>
      <c r="AB312" s="6" t="e">
        <f t="shared" si="115"/>
        <v>#VALUE!</v>
      </c>
      <c r="AC312" s="48">
        <f t="shared" si="127"/>
        <v>0</v>
      </c>
    </row>
    <row r="313" spans="3:29" x14ac:dyDescent="0.25">
      <c r="C313" s="27" t="str">
        <f t="shared" si="116"/>
        <v/>
      </c>
      <c r="D313" s="30" t="str">
        <f t="shared" si="117"/>
        <v/>
      </c>
      <c r="E313" s="20" t="str">
        <f t="shared" si="122"/>
        <v/>
      </c>
      <c r="F313" s="20" t="str">
        <f t="shared" si="106"/>
        <v/>
      </c>
      <c r="G313" s="21" t="str">
        <f t="shared" si="107"/>
        <v/>
      </c>
      <c r="H313" s="24" t="str">
        <f t="shared" si="118"/>
        <v/>
      </c>
      <c r="I313" s="21" t="str">
        <f t="shared" si="125"/>
        <v/>
      </c>
      <c r="J313" s="63" t="str">
        <f t="shared" si="119"/>
        <v/>
      </c>
      <c r="K313" s="66" t="str">
        <f t="shared" si="124"/>
        <v/>
      </c>
      <c r="L313" s="17"/>
      <c r="M313" s="23" t="str">
        <f t="shared" si="120"/>
        <v/>
      </c>
      <c r="N313" s="23" t="str">
        <f t="shared" si="108"/>
        <v/>
      </c>
      <c r="O313" s="23" t="str">
        <f t="shared" si="109"/>
        <v/>
      </c>
      <c r="P313" s="17"/>
      <c r="Q313" s="19" t="str">
        <f>IF(C313="","",'Tabla_Puntual&amp;Relacionamiento'!$E$92)</f>
        <v/>
      </c>
      <c r="R313" s="19"/>
      <c r="S313" s="11" t="str">
        <f t="shared" si="121"/>
        <v/>
      </c>
      <c r="T313" s="23" t="str">
        <f t="shared" si="110"/>
        <v/>
      </c>
      <c r="U313" s="37" t="str">
        <f t="shared" si="111"/>
        <v/>
      </c>
      <c r="V313" s="37" t="str">
        <f t="shared" si="123"/>
        <v/>
      </c>
      <c r="X313" s="31" t="str">
        <f t="shared" si="112"/>
        <v/>
      </c>
      <c r="Y313" s="34">
        <f t="shared" si="129"/>
        <v>1.5710153055430314</v>
      </c>
      <c r="Z313" s="31" t="e">
        <f t="shared" si="113"/>
        <v>#VALUE!</v>
      </c>
      <c r="AA313" s="66">
        <f t="shared" si="114"/>
        <v>0</v>
      </c>
      <c r="AB313" s="6" t="e">
        <f t="shared" si="115"/>
        <v>#VALUE!</v>
      </c>
      <c r="AC313" s="48">
        <f t="shared" si="127"/>
        <v>0</v>
      </c>
    </row>
    <row r="314" spans="3:29" x14ac:dyDescent="0.25">
      <c r="C314" s="27" t="str">
        <f t="shared" si="116"/>
        <v/>
      </c>
      <c r="D314" s="30" t="str">
        <f t="shared" si="117"/>
        <v/>
      </c>
      <c r="E314" s="20" t="str">
        <f t="shared" si="122"/>
        <v/>
      </c>
      <c r="F314" s="20" t="str">
        <f t="shared" si="106"/>
        <v/>
      </c>
      <c r="G314" s="21" t="str">
        <f t="shared" si="107"/>
        <v/>
      </c>
      <c r="H314" s="24" t="str">
        <f t="shared" si="118"/>
        <v/>
      </c>
      <c r="I314" s="21" t="str">
        <f t="shared" si="125"/>
        <v/>
      </c>
      <c r="J314" s="63" t="str">
        <f t="shared" si="119"/>
        <v/>
      </c>
      <c r="K314" s="66" t="str">
        <f t="shared" si="124"/>
        <v/>
      </c>
      <c r="L314" s="17"/>
      <c r="M314" s="23" t="str">
        <f t="shared" si="120"/>
        <v/>
      </c>
      <c r="N314" s="23" t="str">
        <f t="shared" si="108"/>
        <v/>
      </c>
      <c r="O314" s="23" t="str">
        <f t="shared" si="109"/>
        <v/>
      </c>
      <c r="P314" s="17"/>
      <c r="Q314" s="19" t="str">
        <f>IF(C314="","",'Tabla_Puntual&amp;Relacionamiento'!$E$92)</f>
        <v/>
      </c>
      <c r="R314" s="19"/>
      <c r="S314" s="11" t="str">
        <f t="shared" si="121"/>
        <v/>
      </c>
      <c r="T314" s="23" t="str">
        <f t="shared" si="110"/>
        <v/>
      </c>
      <c r="U314" s="37" t="str">
        <f t="shared" si="111"/>
        <v/>
      </c>
      <c r="V314" s="37" t="str">
        <f t="shared" si="123"/>
        <v/>
      </c>
      <c r="X314" s="31" t="str">
        <f t="shared" si="112"/>
        <v/>
      </c>
      <c r="Y314" s="34">
        <f t="shared" si="129"/>
        <v>1.5710153055430314</v>
      </c>
      <c r="Z314" s="31" t="e">
        <f t="shared" si="113"/>
        <v>#VALUE!</v>
      </c>
      <c r="AA314" s="66">
        <f t="shared" si="114"/>
        <v>0</v>
      </c>
      <c r="AB314" s="6" t="e">
        <f t="shared" si="115"/>
        <v>#VALUE!</v>
      </c>
      <c r="AC314" s="48">
        <f t="shared" si="127"/>
        <v>0</v>
      </c>
    </row>
    <row r="315" spans="3:29" x14ac:dyDescent="0.25">
      <c r="C315" s="27" t="str">
        <f t="shared" si="116"/>
        <v/>
      </c>
      <c r="D315" s="30" t="str">
        <f t="shared" si="117"/>
        <v/>
      </c>
      <c r="E315" s="20" t="str">
        <f t="shared" si="122"/>
        <v/>
      </c>
      <c r="F315" s="20" t="str">
        <f t="shared" si="106"/>
        <v/>
      </c>
      <c r="G315" s="21" t="str">
        <f t="shared" si="107"/>
        <v/>
      </c>
      <c r="H315" s="24" t="str">
        <f t="shared" si="118"/>
        <v/>
      </c>
      <c r="I315" s="21" t="str">
        <f t="shared" si="125"/>
        <v/>
      </c>
      <c r="J315" s="63" t="str">
        <f t="shared" si="119"/>
        <v/>
      </c>
      <c r="K315" s="66" t="str">
        <f t="shared" si="124"/>
        <v/>
      </c>
      <c r="L315" s="17"/>
      <c r="M315" s="23" t="str">
        <f t="shared" si="120"/>
        <v/>
      </c>
      <c r="N315" s="23" t="str">
        <f t="shared" si="108"/>
        <v/>
      </c>
      <c r="O315" s="23" t="str">
        <f t="shared" si="109"/>
        <v/>
      </c>
      <c r="P315" s="17"/>
      <c r="Q315" s="19" t="str">
        <f>IF(C315="","",'Tabla_Puntual&amp;Relacionamiento'!$E$92)</f>
        <v/>
      </c>
      <c r="R315" s="19"/>
      <c r="S315" s="11" t="str">
        <f t="shared" si="121"/>
        <v/>
      </c>
      <c r="T315" s="23" t="str">
        <f t="shared" si="110"/>
        <v/>
      </c>
      <c r="U315" s="37" t="str">
        <f t="shared" si="111"/>
        <v/>
      </c>
      <c r="V315" s="37" t="str">
        <f t="shared" si="123"/>
        <v/>
      </c>
      <c r="X315" s="31" t="str">
        <f t="shared" si="112"/>
        <v/>
      </c>
      <c r="Y315" s="34">
        <f t="shared" si="129"/>
        <v>1.5710153055430314</v>
      </c>
      <c r="Z315" s="31" t="e">
        <f t="shared" si="113"/>
        <v>#VALUE!</v>
      </c>
      <c r="AA315" s="66">
        <f t="shared" si="114"/>
        <v>0</v>
      </c>
      <c r="AB315" s="6" t="e">
        <f t="shared" si="115"/>
        <v>#VALUE!</v>
      </c>
      <c r="AC315" s="48">
        <f t="shared" si="127"/>
        <v>0</v>
      </c>
    </row>
    <row r="316" spans="3:29" x14ac:dyDescent="0.25">
      <c r="C316" s="27" t="str">
        <f t="shared" si="116"/>
        <v/>
      </c>
      <c r="D316" s="30" t="str">
        <f t="shared" si="117"/>
        <v/>
      </c>
      <c r="E316" s="20" t="str">
        <f t="shared" si="122"/>
        <v/>
      </c>
      <c r="F316" s="20" t="str">
        <f t="shared" si="106"/>
        <v/>
      </c>
      <c r="G316" s="21" t="str">
        <f t="shared" si="107"/>
        <v/>
      </c>
      <c r="H316" s="24" t="str">
        <f t="shared" si="118"/>
        <v/>
      </c>
      <c r="I316" s="21" t="str">
        <f t="shared" si="125"/>
        <v/>
      </c>
      <c r="J316" s="63" t="str">
        <f t="shared" si="119"/>
        <v/>
      </c>
      <c r="K316" s="66" t="str">
        <f t="shared" si="124"/>
        <v/>
      </c>
      <c r="L316" s="17"/>
      <c r="M316" s="23" t="str">
        <f t="shared" si="120"/>
        <v/>
      </c>
      <c r="N316" s="23" t="str">
        <f t="shared" si="108"/>
        <v/>
      </c>
      <c r="O316" s="23" t="str">
        <f t="shared" si="109"/>
        <v/>
      </c>
      <c r="P316" s="17"/>
      <c r="Q316" s="19" t="str">
        <f>IF(C316="","",'Tabla_Puntual&amp;Relacionamiento'!$E$92)</f>
        <v/>
      </c>
      <c r="R316" s="19"/>
      <c r="S316" s="11" t="str">
        <f t="shared" si="121"/>
        <v/>
      </c>
      <c r="T316" s="23" t="str">
        <f t="shared" si="110"/>
        <v/>
      </c>
      <c r="U316" s="37" t="str">
        <f t="shared" si="111"/>
        <v/>
      </c>
      <c r="V316" s="37" t="str">
        <f t="shared" si="123"/>
        <v/>
      </c>
      <c r="X316" s="31" t="str">
        <f t="shared" si="112"/>
        <v/>
      </c>
      <c r="Y316" s="34">
        <f t="shared" si="129"/>
        <v>1.5710153055430314</v>
      </c>
      <c r="Z316" s="31" t="e">
        <f t="shared" si="113"/>
        <v>#VALUE!</v>
      </c>
      <c r="AA316" s="66">
        <f t="shared" si="114"/>
        <v>0</v>
      </c>
      <c r="AB316" s="6" t="e">
        <f t="shared" si="115"/>
        <v>#VALUE!</v>
      </c>
      <c r="AC316" s="48">
        <f t="shared" si="127"/>
        <v>0</v>
      </c>
    </row>
    <row r="317" spans="3:29" x14ac:dyDescent="0.25">
      <c r="C317" s="27" t="str">
        <f t="shared" si="116"/>
        <v/>
      </c>
      <c r="D317" s="30" t="str">
        <f t="shared" si="117"/>
        <v/>
      </c>
      <c r="E317" s="20" t="str">
        <f t="shared" si="122"/>
        <v/>
      </c>
      <c r="F317" s="20" t="str">
        <f t="shared" si="106"/>
        <v/>
      </c>
      <c r="G317" s="21" t="str">
        <f t="shared" si="107"/>
        <v/>
      </c>
      <c r="H317" s="24" t="str">
        <f t="shared" si="118"/>
        <v/>
      </c>
      <c r="I317" s="21" t="str">
        <f t="shared" si="125"/>
        <v/>
      </c>
      <c r="J317" s="63" t="str">
        <f t="shared" si="119"/>
        <v/>
      </c>
      <c r="K317" s="66" t="str">
        <f t="shared" si="124"/>
        <v/>
      </c>
      <c r="L317" s="17"/>
      <c r="M317" s="23" t="str">
        <f t="shared" si="120"/>
        <v/>
      </c>
      <c r="N317" s="23" t="str">
        <f t="shared" si="108"/>
        <v/>
      </c>
      <c r="O317" s="23" t="str">
        <f t="shared" si="109"/>
        <v/>
      </c>
      <c r="P317" s="17"/>
      <c r="Q317" s="19" t="str">
        <f>IF(C317="","",'Tabla_Puntual&amp;Relacionamiento'!$E$92)</f>
        <v/>
      </c>
      <c r="R317" s="19"/>
      <c r="S317" s="11" t="str">
        <f t="shared" si="121"/>
        <v/>
      </c>
      <c r="T317" s="23" t="str">
        <f t="shared" si="110"/>
        <v/>
      </c>
      <c r="U317" s="37" t="str">
        <f t="shared" si="111"/>
        <v/>
      </c>
      <c r="V317" s="37" t="str">
        <f t="shared" si="123"/>
        <v/>
      </c>
      <c r="X317" s="31" t="str">
        <f t="shared" si="112"/>
        <v/>
      </c>
      <c r="Y317" s="34">
        <f t="shared" si="129"/>
        <v>1.5710153055430314</v>
      </c>
      <c r="Z317" s="31" t="e">
        <f t="shared" si="113"/>
        <v>#VALUE!</v>
      </c>
      <c r="AA317" s="66">
        <f t="shared" si="114"/>
        <v>0</v>
      </c>
      <c r="AB317" s="6" t="e">
        <f t="shared" si="115"/>
        <v>#VALUE!</v>
      </c>
      <c r="AC317" s="48">
        <f t="shared" si="127"/>
        <v>0</v>
      </c>
    </row>
    <row r="318" spans="3:29" x14ac:dyDescent="0.25">
      <c r="C318" s="27" t="str">
        <f t="shared" si="116"/>
        <v/>
      </c>
      <c r="D318" s="30" t="str">
        <f t="shared" si="117"/>
        <v/>
      </c>
      <c r="E318" s="20" t="str">
        <f t="shared" si="122"/>
        <v/>
      </c>
      <c r="F318" s="20" t="str">
        <f t="shared" si="106"/>
        <v/>
      </c>
      <c r="G318" s="21" t="str">
        <f t="shared" si="107"/>
        <v/>
      </c>
      <c r="H318" s="24" t="str">
        <f t="shared" si="118"/>
        <v/>
      </c>
      <c r="I318" s="21" t="str">
        <f t="shared" si="125"/>
        <v/>
      </c>
      <c r="J318" s="63" t="str">
        <f t="shared" si="119"/>
        <v/>
      </c>
      <c r="K318" s="66" t="str">
        <f t="shared" si="124"/>
        <v/>
      </c>
      <c r="L318" s="17"/>
      <c r="M318" s="23" t="str">
        <f t="shared" si="120"/>
        <v/>
      </c>
      <c r="N318" s="23" t="str">
        <f t="shared" si="108"/>
        <v/>
      </c>
      <c r="O318" s="23" t="str">
        <f t="shared" si="109"/>
        <v/>
      </c>
      <c r="P318" s="17"/>
      <c r="Q318" s="19" t="str">
        <f>IF(C318="","",'Tabla_Puntual&amp;Relacionamiento'!$E$92)</f>
        <v/>
      </c>
      <c r="R318" s="19"/>
      <c r="S318" s="11" t="str">
        <f t="shared" si="121"/>
        <v/>
      </c>
      <c r="T318" s="23" t="str">
        <f t="shared" si="110"/>
        <v/>
      </c>
      <c r="U318" s="37" t="str">
        <f t="shared" si="111"/>
        <v/>
      </c>
      <c r="V318" s="37" t="str">
        <f t="shared" si="123"/>
        <v/>
      </c>
      <c r="X318" s="31" t="str">
        <f t="shared" si="112"/>
        <v/>
      </c>
      <c r="Y318" s="34">
        <f t="shared" si="129"/>
        <v>1.5710153055430314</v>
      </c>
      <c r="Z318" s="31" t="e">
        <f t="shared" si="113"/>
        <v>#VALUE!</v>
      </c>
      <c r="AA318" s="66">
        <f t="shared" si="114"/>
        <v>0</v>
      </c>
      <c r="AB318" s="6" t="e">
        <f t="shared" si="115"/>
        <v>#VALUE!</v>
      </c>
      <c r="AC318" s="48">
        <f t="shared" si="127"/>
        <v>0</v>
      </c>
    </row>
    <row r="319" spans="3:29" x14ac:dyDescent="0.25">
      <c r="C319" s="27" t="str">
        <f t="shared" si="116"/>
        <v/>
      </c>
      <c r="D319" s="30" t="str">
        <f t="shared" si="117"/>
        <v/>
      </c>
      <c r="E319" s="20" t="str">
        <f t="shared" si="122"/>
        <v/>
      </c>
      <c r="F319" s="20" t="str">
        <f t="shared" si="106"/>
        <v/>
      </c>
      <c r="G319" s="21" t="str">
        <f t="shared" si="107"/>
        <v/>
      </c>
      <c r="H319" s="24" t="str">
        <f t="shared" si="118"/>
        <v/>
      </c>
      <c r="I319" s="21" t="str">
        <f t="shared" si="125"/>
        <v/>
      </c>
      <c r="J319" s="63" t="str">
        <f t="shared" si="119"/>
        <v/>
      </c>
      <c r="K319" s="66" t="str">
        <f t="shared" si="124"/>
        <v/>
      </c>
      <c r="L319" s="17"/>
      <c r="M319" s="23" t="str">
        <f t="shared" si="120"/>
        <v/>
      </c>
      <c r="N319" s="23" t="str">
        <f t="shared" si="108"/>
        <v/>
      </c>
      <c r="O319" s="23" t="str">
        <f t="shared" si="109"/>
        <v/>
      </c>
      <c r="P319" s="17"/>
      <c r="Q319" s="19" t="str">
        <f>IF(C319="","",'Tabla_Puntual&amp;Relacionamiento'!$E$92)</f>
        <v/>
      </c>
      <c r="R319" s="19"/>
      <c r="S319" s="11" t="str">
        <f t="shared" si="121"/>
        <v/>
      </c>
      <c r="T319" s="23" t="str">
        <f t="shared" si="110"/>
        <v/>
      </c>
      <c r="U319" s="37" t="str">
        <f t="shared" si="111"/>
        <v/>
      </c>
      <c r="V319" s="37" t="str">
        <f t="shared" si="123"/>
        <v/>
      </c>
      <c r="X319" s="31" t="str">
        <f t="shared" si="112"/>
        <v/>
      </c>
      <c r="Y319" s="34">
        <f t="shared" si="129"/>
        <v>1.5710153055430314</v>
      </c>
      <c r="Z319" s="31" t="e">
        <f t="shared" si="113"/>
        <v>#VALUE!</v>
      </c>
      <c r="AA319" s="66">
        <f t="shared" si="114"/>
        <v>0</v>
      </c>
      <c r="AB319" s="6" t="e">
        <f t="shared" si="115"/>
        <v>#VALUE!</v>
      </c>
      <c r="AC319" s="48">
        <f t="shared" si="127"/>
        <v>0</v>
      </c>
    </row>
    <row r="320" spans="3:29" x14ac:dyDescent="0.25">
      <c r="C320" s="27" t="str">
        <f t="shared" si="116"/>
        <v/>
      </c>
      <c r="D320" s="30" t="str">
        <f t="shared" si="117"/>
        <v/>
      </c>
      <c r="E320" s="20" t="str">
        <f t="shared" si="122"/>
        <v/>
      </c>
      <c r="F320" s="20" t="str">
        <f t="shared" si="106"/>
        <v/>
      </c>
      <c r="G320" s="21" t="str">
        <f t="shared" si="107"/>
        <v/>
      </c>
      <c r="H320" s="24" t="str">
        <f t="shared" si="118"/>
        <v/>
      </c>
      <c r="I320" s="21" t="str">
        <f t="shared" si="125"/>
        <v/>
      </c>
      <c r="J320" s="63" t="str">
        <f t="shared" si="119"/>
        <v/>
      </c>
      <c r="K320" s="66" t="str">
        <f t="shared" si="124"/>
        <v/>
      </c>
      <c r="L320" s="17"/>
      <c r="M320" s="23" t="str">
        <f t="shared" si="120"/>
        <v/>
      </c>
      <c r="N320" s="23" t="str">
        <f t="shared" si="108"/>
        <v/>
      </c>
      <c r="O320" s="23" t="str">
        <f t="shared" si="109"/>
        <v/>
      </c>
      <c r="P320" s="17"/>
      <c r="Q320" s="19" t="str">
        <f>IF(C320="","",'Tabla_Puntual&amp;Relacionamiento'!$E$92)</f>
        <v/>
      </c>
      <c r="R320" s="19"/>
      <c r="S320" s="11" t="str">
        <f t="shared" si="121"/>
        <v/>
      </c>
      <c r="T320" s="23" t="str">
        <f t="shared" si="110"/>
        <v/>
      </c>
      <c r="U320" s="37" t="str">
        <f t="shared" si="111"/>
        <v/>
      </c>
      <c r="V320" s="37" t="str">
        <f t="shared" si="123"/>
        <v/>
      </c>
      <c r="X320" s="31" t="str">
        <f t="shared" si="112"/>
        <v/>
      </c>
      <c r="Y320" s="34">
        <f t="shared" si="129"/>
        <v>1.5710153055430314</v>
      </c>
      <c r="Z320" s="31" t="e">
        <f t="shared" si="113"/>
        <v>#VALUE!</v>
      </c>
      <c r="AA320" s="66">
        <f t="shared" si="114"/>
        <v>0</v>
      </c>
      <c r="AB320" s="6" t="e">
        <f t="shared" si="115"/>
        <v>#VALUE!</v>
      </c>
      <c r="AC320" s="48">
        <f t="shared" si="127"/>
        <v>0</v>
      </c>
    </row>
    <row r="321" spans="3:25" x14ac:dyDescent="0.25">
      <c r="C321" s="18"/>
      <c r="D321" s="18"/>
      <c r="E321" s="20"/>
      <c r="F321" s="20"/>
      <c r="G321" s="20"/>
      <c r="H321" s="24"/>
      <c r="I321" s="20"/>
      <c r="J321" s="6"/>
      <c r="K321" s="6"/>
      <c r="L321" s="17"/>
      <c r="M321" s="17"/>
      <c r="N321" s="23"/>
      <c r="O321" s="23"/>
      <c r="P321" s="17"/>
      <c r="Q321" s="19"/>
      <c r="R321" s="19"/>
      <c r="S321" s="11"/>
      <c r="T321" s="23"/>
      <c r="U321" s="37"/>
      <c r="V321" s="37"/>
      <c r="Y321" s="34"/>
    </row>
    <row r="322" spans="3:25" x14ac:dyDescent="0.25">
      <c r="C322" s="25"/>
      <c r="D322" s="25"/>
      <c r="E322" s="26">
        <f t="shared" ref="E322:O322" si="130">SUM(E21:E320)</f>
        <v>2430904.3697285815</v>
      </c>
      <c r="F322" s="26">
        <f t="shared" si="130"/>
        <v>1000000.0000000003</v>
      </c>
      <c r="G322" s="26">
        <f t="shared" si="130"/>
        <v>1430904.3697285817</v>
      </c>
      <c r="H322" s="26">
        <f t="shared" si="130"/>
        <v>69260.240782106426</v>
      </c>
      <c r="I322" s="26">
        <f t="shared" si="130"/>
        <v>0</v>
      </c>
      <c r="J322" s="26">
        <f t="shared" si="130"/>
        <v>0</v>
      </c>
      <c r="K322" s="26">
        <f t="shared" si="130"/>
        <v>228944.69915657304</v>
      </c>
      <c r="L322" s="26">
        <f t="shared" si="130"/>
        <v>0</v>
      </c>
      <c r="M322" s="26">
        <f t="shared" si="130"/>
        <v>0</v>
      </c>
      <c r="N322" s="26">
        <f t="shared" si="130"/>
        <v>0</v>
      </c>
      <c r="O322" s="26">
        <f t="shared" si="130"/>
        <v>0</v>
      </c>
      <c r="P322" s="26">
        <f>SUM(P21:P320)</f>
        <v>0</v>
      </c>
      <c r="Q322" s="25"/>
      <c r="R322" s="25"/>
      <c r="S322" s="26">
        <f>SUM(S21:S320)</f>
        <v>2729109.3096672613</v>
      </c>
      <c r="T322" s="26"/>
      <c r="U322" s="29">
        <f>SUM(U21:U320)</f>
        <v>240</v>
      </c>
      <c r="V322" s="29"/>
    </row>
    <row r="323" spans="3:25" x14ac:dyDescent="0.25">
      <c r="J323" s="6"/>
      <c r="K323" s="6"/>
    </row>
    <row r="324" spans="3:25" x14ac:dyDescent="0.25">
      <c r="J324" s="6"/>
      <c r="K324" s="6"/>
    </row>
    <row r="325" spans="3:25" x14ac:dyDescent="0.25">
      <c r="J325" s="6"/>
      <c r="K325" s="6"/>
    </row>
    <row r="326" spans="3:25" x14ac:dyDescent="0.25">
      <c r="J326" s="6"/>
      <c r="K326" s="6"/>
    </row>
    <row r="327" spans="3:25" x14ac:dyDescent="0.25">
      <c r="J327" s="6"/>
      <c r="K327" s="6"/>
    </row>
    <row r="328" spans="3:25" x14ac:dyDescent="0.25">
      <c r="J328" s="6"/>
      <c r="K328" s="6"/>
    </row>
    <row r="329" spans="3:25" x14ac:dyDescent="0.25">
      <c r="J329" s="6"/>
      <c r="K329" s="6"/>
    </row>
    <row r="330" spans="3:25" x14ac:dyDescent="0.25">
      <c r="J330" s="6"/>
      <c r="K330" s="6"/>
    </row>
    <row r="331" spans="3:25" x14ac:dyDescent="0.25">
      <c r="J331" s="6"/>
      <c r="K331" s="6"/>
    </row>
    <row r="332" spans="3:25" x14ac:dyDescent="0.25">
      <c r="J332" s="6"/>
      <c r="K332" s="6"/>
    </row>
    <row r="333" spans="3:25" x14ac:dyDescent="0.25">
      <c r="J333" s="6"/>
      <c r="K333" s="6"/>
    </row>
    <row r="334" spans="3:25" x14ac:dyDescent="0.25">
      <c r="J334" s="6"/>
      <c r="K334" s="6"/>
    </row>
    <row r="335" spans="3:25" x14ac:dyDescent="0.25">
      <c r="J335" s="6"/>
      <c r="K335" s="6"/>
    </row>
    <row r="336" spans="3:25" x14ac:dyDescent="0.25">
      <c r="J336" s="6"/>
      <c r="K336" s="6"/>
    </row>
    <row r="337" spans="9:9" s="6" customFormat="1" x14ac:dyDescent="0.25">
      <c r="I337" s="63"/>
    </row>
    <row r="338" spans="9:9" s="6" customFormat="1" x14ac:dyDescent="0.25">
      <c r="I338" s="63"/>
    </row>
    <row r="339" spans="9:9" s="6" customFormat="1" x14ac:dyDescent="0.25">
      <c r="I339" s="63"/>
    </row>
    <row r="340" spans="9:9" s="6" customFormat="1" x14ac:dyDescent="0.25">
      <c r="I340" s="63"/>
    </row>
    <row r="341" spans="9:9" s="6" customFormat="1" x14ac:dyDescent="0.25">
      <c r="I341" s="63"/>
    </row>
    <row r="342" spans="9:9" s="6" customFormat="1" x14ac:dyDescent="0.25">
      <c r="I342" s="63"/>
    </row>
    <row r="343" spans="9:9" s="6" customFormat="1" x14ac:dyDescent="0.25">
      <c r="I343" s="63"/>
    </row>
    <row r="344" spans="9:9" s="6" customFormat="1" x14ac:dyDescent="0.25">
      <c r="I344" s="63"/>
    </row>
    <row r="345" spans="9:9" s="6" customFormat="1" x14ac:dyDescent="0.25">
      <c r="I345" s="63"/>
    </row>
    <row r="346" spans="9:9" s="6" customFormat="1" x14ac:dyDescent="0.25">
      <c r="I346" s="63"/>
    </row>
    <row r="347" spans="9:9" s="6" customFormat="1" x14ac:dyDescent="0.25">
      <c r="I347" s="63"/>
    </row>
    <row r="348" spans="9:9" s="6" customFormat="1" x14ac:dyDescent="0.25">
      <c r="I348" s="63"/>
    </row>
    <row r="349" spans="9:9" s="6" customFormat="1" x14ac:dyDescent="0.25">
      <c r="I349" s="63"/>
    </row>
    <row r="350" spans="9:9" s="6" customFormat="1" x14ac:dyDescent="0.25">
      <c r="I350" s="63"/>
    </row>
    <row r="351" spans="9:9" s="6" customFormat="1" x14ac:dyDescent="0.25">
      <c r="I351" s="63"/>
    </row>
    <row r="352" spans="9:9" s="6" customFormat="1" x14ac:dyDescent="0.25">
      <c r="I352" s="63"/>
    </row>
    <row r="353" spans="9:9" s="6" customFormat="1" x14ac:dyDescent="0.25">
      <c r="I353" s="63"/>
    </row>
    <row r="354" spans="9:9" s="6" customFormat="1" x14ac:dyDescent="0.25">
      <c r="I354" s="63"/>
    </row>
    <row r="355" spans="9:9" s="6" customFormat="1" x14ac:dyDescent="0.25">
      <c r="I355" s="63"/>
    </row>
    <row r="356" spans="9:9" s="6" customFormat="1" x14ac:dyDescent="0.25">
      <c r="I356" s="63"/>
    </row>
    <row r="357" spans="9:9" s="6" customFormat="1" x14ac:dyDescent="0.25">
      <c r="I357" s="63"/>
    </row>
    <row r="358" spans="9:9" s="6" customFormat="1" x14ac:dyDescent="0.25">
      <c r="I358" s="63"/>
    </row>
    <row r="359" spans="9:9" s="6" customFormat="1" x14ac:dyDescent="0.25">
      <c r="I359" s="63"/>
    </row>
    <row r="360" spans="9:9" s="6" customFormat="1" x14ac:dyDescent="0.25">
      <c r="I360" s="63"/>
    </row>
    <row r="361" spans="9:9" s="6" customFormat="1" x14ac:dyDescent="0.25">
      <c r="I361" s="63"/>
    </row>
    <row r="362" spans="9:9" s="6" customFormat="1" x14ac:dyDescent="0.25">
      <c r="I362" s="63"/>
    </row>
    <row r="363" spans="9:9" s="6" customFormat="1" x14ac:dyDescent="0.25">
      <c r="I363" s="63"/>
    </row>
    <row r="364" spans="9:9" s="6" customFormat="1" x14ac:dyDescent="0.25">
      <c r="I364" s="63"/>
    </row>
    <row r="365" spans="9:9" s="6" customFormat="1" x14ac:dyDescent="0.25">
      <c r="I365" s="63"/>
    </row>
    <row r="366" spans="9:9" s="6" customFormat="1" x14ac:dyDescent="0.25">
      <c r="I366" s="63"/>
    </row>
    <row r="367" spans="9:9" s="6" customFormat="1" x14ac:dyDescent="0.25">
      <c r="I367" s="63"/>
    </row>
    <row r="368" spans="9:9" s="6" customFormat="1" x14ac:dyDescent="0.25">
      <c r="I368" s="63"/>
    </row>
    <row r="369" spans="9:9" s="6" customFormat="1" x14ac:dyDescent="0.25">
      <c r="I369" s="63"/>
    </row>
    <row r="370" spans="9:9" s="6" customFormat="1" x14ac:dyDescent="0.25">
      <c r="I370" s="63"/>
    </row>
    <row r="371" spans="9:9" s="6" customFormat="1" x14ac:dyDescent="0.25">
      <c r="I371" s="63"/>
    </row>
    <row r="372" spans="9:9" s="6" customFormat="1" x14ac:dyDescent="0.25">
      <c r="I372" s="63"/>
    </row>
    <row r="373" spans="9:9" s="6" customFormat="1" x14ac:dyDescent="0.25">
      <c r="I373" s="63"/>
    </row>
    <row r="374" spans="9:9" s="6" customFormat="1" x14ac:dyDescent="0.25">
      <c r="I374" s="63"/>
    </row>
    <row r="375" spans="9:9" s="6" customFormat="1" x14ac:dyDescent="0.25">
      <c r="I375" s="63"/>
    </row>
    <row r="376" spans="9:9" s="6" customFormat="1" x14ac:dyDescent="0.25">
      <c r="I376" s="63"/>
    </row>
    <row r="377" spans="9:9" s="6" customFormat="1" x14ac:dyDescent="0.25">
      <c r="I377" s="63"/>
    </row>
    <row r="378" spans="9:9" s="6" customFormat="1" x14ac:dyDescent="0.25">
      <c r="I378" s="63"/>
    </row>
    <row r="379" spans="9:9" s="6" customFormat="1" x14ac:dyDescent="0.25">
      <c r="I379" s="63"/>
    </row>
    <row r="380" spans="9:9" s="6" customFormat="1" x14ac:dyDescent="0.25">
      <c r="I380" s="63"/>
    </row>
    <row r="381" spans="9:9" s="6" customFormat="1" x14ac:dyDescent="0.25">
      <c r="I381" s="63"/>
    </row>
    <row r="382" spans="9:9" s="6" customFormat="1" x14ac:dyDescent="0.25">
      <c r="I382" s="63"/>
    </row>
    <row r="383" spans="9:9" s="6" customFormat="1" x14ac:dyDescent="0.25">
      <c r="I383" s="63"/>
    </row>
    <row r="384" spans="9:9" s="6" customFormat="1" x14ac:dyDescent="0.25">
      <c r="I384" s="63"/>
    </row>
    <row r="385" spans="9:9" s="6" customFormat="1" x14ac:dyDescent="0.25">
      <c r="I385" s="63"/>
    </row>
    <row r="386" spans="9:9" s="6" customFormat="1" x14ac:dyDescent="0.25">
      <c r="I386" s="63"/>
    </row>
    <row r="387" spans="9:9" s="6" customFormat="1" x14ac:dyDescent="0.25">
      <c r="I387" s="63"/>
    </row>
    <row r="388" spans="9:9" s="6" customFormat="1" x14ac:dyDescent="0.25">
      <c r="I388" s="63"/>
    </row>
    <row r="389" spans="9:9" s="6" customFormat="1" x14ac:dyDescent="0.25">
      <c r="I389" s="63"/>
    </row>
    <row r="390" spans="9:9" s="6" customFormat="1" x14ac:dyDescent="0.25">
      <c r="I390" s="63"/>
    </row>
    <row r="391" spans="9:9" s="6" customFormat="1" x14ac:dyDescent="0.25">
      <c r="I391" s="63"/>
    </row>
    <row r="392" spans="9:9" s="6" customFormat="1" x14ac:dyDescent="0.25">
      <c r="I392" s="63"/>
    </row>
    <row r="393" spans="9:9" s="6" customFormat="1" x14ac:dyDescent="0.25">
      <c r="I393" s="63"/>
    </row>
    <row r="394" spans="9:9" s="6" customFormat="1" x14ac:dyDescent="0.25">
      <c r="I394" s="63"/>
    </row>
    <row r="395" spans="9:9" s="6" customFormat="1" x14ac:dyDescent="0.25">
      <c r="I395" s="63"/>
    </row>
    <row r="396" spans="9:9" s="6" customFormat="1" x14ac:dyDescent="0.25">
      <c r="I396" s="63"/>
    </row>
    <row r="397" spans="9:9" s="6" customFormat="1" x14ac:dyDescent="0.25">
      <c r="I397" s="63"/>
    </row>
    <row r="398" spans="9:9" s="6" customFormat="1" x14ac:dyDescent="0.25">
      <c r="I398" s="63"/>
    </row>
    <row r="399" spans="9:9" s="6" customFormat="1" x14ac:dyDescent="0.25">
      <c r="I399" s="63"/>
    </row>
    <row r="400" spans="9:9" s="6" customFormat="1" x14ac:dyDescent="0.25">
      <c r="I400" s="63"/>
    </row>
    <row r="401" spans="9:9" s="6" customFormat="1" x14ac:dyDescent="0.25">
      <c r="I401" s="63"/>
    </row>
    <row r="402" spans="9:9" s="6" customFormat="1" x14ac:dyDescent="0.25">
      <c r="I402" s="63"/>
    </row>
    <row r="403" spans="9:9" s="6" customFormat="1" x14ac:dyDescent="0.25">
      <c r="I403" s="63"/>
    </row>
    <row r="404" spans="9:9" s="6" customFormat="1" x14ac:dyDescent="0.25">
      <c r="I404" s="63"/>
    </row>
    <row r="405" spans="9:9" s="6" customFormat="1" x14ac:dyDescent="0.25">
      <c r="I405" s="63"/>
    </row>
    <row r="406" spans="9:9" s="6" customFormat="1" x14ac:dyDescent="0.25">
      <c r="I406" s="63"/>
    </row>
    <row r="407" spans="9:9" s="6" customFormat="1" x14ac:dyDescent="0.25">
      <c r="I407" s="63"/>
    </row>
    <row r="408" spans="9:9" s="6" customFormat="1" x14ac:dyDescent="0.25">
      <c r="I408" s="63"/>
    </row>
    <row r="409" spans="9:9" s="6" customFormat="1" x14ac:dyDescent="0.25">
      <c r="I409" s="63"/>
    </row>
    <row r="410" spans="9:9" s="6" customFormat="1" x14ac:dyDescent="0.25">
      <c r="I410" s="63"/>
    </row>
    <row r="411" spans="9:9" s="6" customFormat="1" x14ac:dyDescent="0.25">
      <c r="I411" s="63"/>
    </row>
    <row r="412" spans="9:9" s="6" customFormat="1" x14ac:dyDescent="0.25">
      <c r="I412" s="63"/>
    </row>
    <row r="413" spans="9:9" s="6" customFormat="1" x14ac:dyDescent="0.25">
      <c r="I413" s="63"/>
    </row>
    <row r="414" spans="9:9" s="6" customFormat="1" x14ac:dyDescent="0.25">
      <c r="I414" s="63"/>
    </row>
    <row r="415" spans="9:9" s="6" customFormat="1" x14ac:dyDescent="0.25">
      <c r="I415" s="63"/>
    </row>
    <row r="416" spans="9:9" s="6" customFormat="1" x14ac:dyDescent="0.25">
      <c r="I416" s="63"/>
    </row>
    <row r="417" spans="9:9" s="6" customFormat="1" x14ac:dyDescent="0.25">
      <c r="I417" s="63"/>
    </row>
    <row r="418" spans="9:9" s="6" customFormat="1" x14ac:dyDescent="0.25">
      <c r="I418" s="63"/>
    </row>
    <row r="419" spans="9:9" s="6" customFormat="1" x14ac:dyDescent="0.25">
      <c r="I419" s="63"/>
    </row>
    <row r="420" spans="9:9" s="6" customFormat="1" x14ac:dyDescent="0.25">
      <c r="I420" s="63"/>
    </row>
    <row r="421" spans="9:9" s="6" customFormat="1" x14ac:dyDescent="0.25">
      <c r="I421" s="63"/>
    </row>
    <row r="422" spans="9:9" s="6" customFormat="1" x14ac:dyDescent="0.25">
      <c r="I422" s="63"/>
    </row>
    <row r="423" spans="9:9" s="6" customFormat="1" x14ac:dyDescent="0.25">
      <c r="I423" s="63"/>
    </row>
    <row r="424" spans="9:9" s="6" customFormat="1" x14ac:dyDescent="0.25">
      <c r="I424" s="63"/>
    </row>
    <row r="425" spans="9:9" s="6" customFormat="1" x14ac:dyDescent="0.25">
      <c r="I425" s="63"/>
    </row>
    <row r="426" spans="9:9" s="6" customFormat="1" x14ac:dyDescent="0.25">
      <c r="I426" s="63"/>
    </row>
    <row r="427" spans="9:9" s="6" customFormat="1" x14ac:dyDescent="0.25">
      <c r="I427" s="63"/>
    </row>
    <row r="428" spans="9:9" s="6" customFormat="1" x14ac:dyDescent="0.25">
      <c r="I428" s="63"/>
    </row>
    <row r="429" spans="9:9" s="6" customFormat="1" x14ac:dyDescent="0.25">
      <c r="I429" s="63"/>
    </row>
    <row r="430" spans="9:9" s="6" customFormat="1" x14ac:dyDescent="0.25">
      <c r="I430" s="63"/>
    </row>
    <row r="431" spans="9:9" s="6" customFormat="1" x14ac:dyDescent="0.25">
      <c r="I431" s="63"/>
    </row>
    <row r="432" spans="9:9" s="6" customFormat="1" x14ac:dyDescent="0.25">
      <c r="I432" s="63"/>
    </row>
    <row r="433" spans="9:9" s="6" customFormat="1" x14ac:dyDescent="0.25">
      <c r="I433" s="63"/>
    </row>
    <row r="434" spans="9:9" s="6" customFormat="1" x14ac:dyDescent="0.25">
      <c r="I434" s="63"/>
    </row>
    <row r="435" spans="9:9" s="6" customFormat="1" x14ac:dyDescent="0.25">
      <c r="I435" s="63"/>
    </row>
    <row r="436" spans="9:9" s="6" customFormat="1" x14ac:dyDescent="0.25">
      <c r="I436" s="63"/>
    </row>
    <row r="437" spans="9:9" s="6" customFormat="1" x14ac:dyDescent="0.25">
      <c r="I437" s="63"/>
    </row>
    <row r="438" spans="9:9" s="6" customFormat="1" x14ac:dyDescent="0.25">
      <c r="I438" s="63"/>
    </row>
    <row r="439" spans="9:9" s="6" customFormat="1" x14ac:dyDescent="0.25">
      <c r="I439" s="63"/>
    </row>
    <row r="440" spans="9:9" s="6" customFormat="1" x14ac:dyDescent="0.25">
      <c r="I440" s="63"/>
    </row>
    <row r="441" spans="9:9" s="6" customFormat="1" x14ac:dyDescent="0.25">
      <c r="I441" s="63"/>
    </row>
    <row r="442" spans="9:9" s="6" customFormat="1" x14ac:dyDescent="0.25">
      <c r="I442" s="63"/>
    </row>
    <row r="443" spans="9:9" s="6" customFormat="1" x14ac:dyDescent="0.25">
      <c r="I443" s="63"/>
    </row>
    <row r="444" spans="9:9" s="6" customFormat="1" x14ac:dyDescent="0.25">
      <c r="I444" s="63"/>
    </row>
    <row r="445" spans="9:9" s="6" customFormat="1" x14ac:dyDescent="0.25">
      <c r="I445" s="63"/>
    </row>
    <row r="446" spans="9:9" s="6" customFormat="1" x14ac:dyDescent="0.25">
      <c r="I446" s="63"/>
    </row>
    <row r="447" spans="9:9" s="6" customFormat="1" x14ac:dyDescent="0.25">
      <c r="I447" s="63"/>
    </row>
    <row r="448" spans="9:9" s="6" customFormat="1" x14ac:dyDescent="0.25">
      <c r="I448" s="63"/>
    </row>
    <row r="449" spans="9:9" s="6" customFormat="1" x14ac:dyDescent="0.25">
      <c r="I449" s="63"/>
    </row>
    <row r="450" spans="9:9" s="6" customFormat="1" x14ac:dyDescent="0.25">
      <c r="I450" s="63"/>
    </row>
    <row r="451" spans="9:9" s="6" customFormat="1" x14ac:dyDescent="0.25">
      <c r="I451" s="63"/>
    </row>
    <row r="452" spans="9:9" s="6" customFormat="1" x14ac:dyDescent="0.25">
      <c r="I452" s="63"/>
    </row>
    <row r="453" spans="9:9" s="6" customFormat="1" x14ac:dyDescent="0.25">
      <c r="I453" s="63"/>
    </row>
    <row r="454" spans="9:9" s="6" customFormat="1" x14ac:dyDescent="0.25">
      <c r="I454" s="63"/>
    </row>
    <row r="455" spans="9:9" s="6" customFormat="1" x14ac:dyDescent="0.25">
      <c r="I455" s="63"/>
    </row>
    <row r="456" spans="9:9" s="6" customFormat="1" x14ac:dyDescent="0.25">
      <c r="I456" s="63"/>
    </row>
    <row r="457" spans="9:9" s="6" customFormat="1" x14ac:dyDescent="0.25">
      <c r="I457" s="63"/>
    </row>
    <row r="458" spans="9:9" s="6" customFormat="1" x14ac:dyDescent="0.25">
      <c r="I458" s="63"/>
    </row>
    <row r="459" spans="9:9" s="6" customFormat="1" x14ac:dyDescent="0.25">
      <c r="I459" s="63"/>
    </row>
    <row r="460" spans="9:9" s="6" customFormat="1" x14ac:dyDescent="0.25">
      <c r="I460" s="63"/>
    </row>
    <row r="461" spans="9:9" s="6" customFormat="1" x14ac:dyDescent="0.25">
      <c r="I461" s="63"/>
    </row>
    <row r="462" spans="9:9" s="6" customFormat="1" x14ac:dyDescent="0.25">
      <c r="I462" s="63"/>
    </row>
    <row r="463" spans="9:9" s="6" customFormat="1" x14ac:dyDescent="0.25">
      <c r="I463" s="63"/>
    </row>
    <row r="464" spans="9:9" s="6" customFormat="1" x14ac:dyDescent="0.25">
      <c r="I464" s="63"/>
    </row>
    <row r="465" spans="9:9" s="6" customFormat="1" x14ac:dyDescent="0.25">
      <c r="I465" s="63"/>
    </row>
    <row r="466" spans="9:9" s="6" customFormat="1" x14ac:dyDescent="0.25">
      <c r="I466" s="63"/>
    </row>
    <row r="467" spans="9:9" s="6" customFormat="1" x14ac:dyDescent="0.25">
      <c r="I467" s="63"/>
    </row>
  </sheetData>
  <sheetProtection algorithmName="SHA-512" hashValue="omL381ZgBnhnyH8dOMIoWkIMxTH76psgDljCddDNTtboKLjZpwYPBWX0pdi9+A4LfuOqSoh35DN/vfaRYfjpkA==" saltValue="w3cBmTE2QYxIHyHHsTT+Bw==" spinCount="100000" sheet="1" formatRows="0"/>
  <protectedRanges>
    <protectedRange password="E9DF" sqref="E14" name="Rango1"/>
  </protectedRanges>
  <mergeCells count="1">
    <mergeCell ref="I3:L3"/>
  </mergeCells>
  <conditionalFormatting sqref="Y21:Y321">
    <cfRule type="expression" dxfId="13" priority="3">
      <formula>OR($U$16&lt;&gt;$U$18,$E$11&lt;&gt;$U$11)</formula>
    </cfRule>
  </conditionalFormatting>
  <conditionalFormatting sqref="L17">
    <cfRule type="expression" dxfId="12" priority="2">
      <formula>$E$14="Pago Bajo Puntual"</formula>
    </cfRule>
  </conditionalFormatting>
  <conditionalFormatting sqref="M17">
    <cfRule type="expression" dxfId="11" priority="1">
      <formula>$E$14="Pago Bajo Puntual"</formula>
    </cfRule>
  </conditionalFormatting>
  <pageMargins left="0.7" right="0.7" top="0.75" bottom="0.75" header="0.3" footer="0.3"/>
  <pageSetup orientation="portrait" r:id="rId1"/>
  <headerFooter>
    <oddFooter>&amp;C&amp;1#&amp;"Calibri"&amp;10&amp;K000000PUBLIC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E776C-1758-4B26-8F54-FC293F95EB37}">
  <sheetPr codeName="Hoja18">
    <tabColor rgb="FF7030A0"/>
  </sheetPr>
  <dimension ref="A1:AC348"/>
  <sheetViews>
    <sheetView showGridLines="0" zoomScale="67" zoomScaleNormal="67" zoomScaleSheetLayoutView="80" workbookViewId="0">
      <selection activeCell="K28" sqref="K28"/>
    </sheetView>
  </sheetViews>
  <sheetFormatPr baseColWidth="10" defaultColWidth="0" defaultRowHeight="15" customHeight="1" zeroHeight="1" x14ac:dyDescent="0.25"/>
  <cols>
    <col min="1" max="2" width="2.140625" style="6" customWidth="1"/>
    <col min="3" max="4" width="15.42578125" style="6" customWidth="1"/>
    <col min="5" max="5" width="20.85546875" style="6" customWidth="1"/>
    <col min="6" max="6" width="20" style="6" customWidth="1"/>
    <col min="7" max="7" width="16.42578125" style="6" customWidth="1"/>
    <col min="8" max="8" width="15.42578125" style="6" customWidth="1"/>
    <col min="9" max="9" width="21.42578125" style="63" customWidth="1"/>
    <col min="10" max="10" width="20.140625" style="63" customWidth="1"/>
    <col min="11" max="11" width="19.5703125" style="63" customWidth="1"/>
    <col min="12" max="12" width="22.140625" style="6" bestFit="1" customWidth="1"/>
    <col min="13" max="13" width="17.140625" style="6" customWidth="1"/>
    <col min="14" max="15" width="18.5703125" style="6" customWidth="1"/>
    <col min="16" max="16" width="21.5703125" style="6" customWidth="1"/>
    <col min="17" max="17" width="18.5703125" style="6" customWidth="1"/>
    <col min="18" max="18" width="22.85546875" style="6" hidden="1" customWidth="1"/>
    <col min="19" max="21" width="18.5703125" style="6" hidden="1" customWidth="1"/>
    <col min="22" max="22" width="11.42578125" style="6" hidden="1" customWidth="1"/>
    <col min="23" max="23" width="13.28515625" style="6" hidden="1" customWidth="1"/>
    <col min="24" max="24" width="14" style="6" hidden="1" customWidth="1"/>
    <col min="25" max="25" width="15.42578125" style="6" hidden="1" customWidth="1"/>
    <col min="26" max="26" width="11.42578125" style="6" hidden="1" customWidth="1"/>
    <col min="27" max="27" width="29.85546875" style="6" hidden="1" customWidth="1"/>
    <col min="28" max="16384" width="11.42578125" style="6" hidden="1"/>
  </cols>
  <sheetData>
    <row r="1" spans="3:24" x14ac:dyDescent="0.25">
      <c r="F1" s="7"/>
      <c r="L1" s="7"/>
      <c r="M1" s="7"/>
      <c r="N1" s="7"/>
      <c r="O1" s="7"/>
      <c r="P1" s="7"/>
    </row>
    <row r="2" spans="3:24" x14ac:dyDescent="0.25">
      <c r="N2" s="11"/>
      <c r="O2" s="11"/>
    </row>
    <row r="3" spans="3:24" ht="26.25" x14ac:dyDescent="0.25">
      <c r="I3" s="726" t="s">
        <v>3</v>
      </c>
      <c r="J3" s="726"/>
      <c r="K3" s="726"/>
      <c r="L3" s="726"/>
      <c r="P3" s="6" t="str">
        <f>Caratula!Q10</f>
        <v>Versión M111 V3</v>
      </c>
      <c r="R3" s="64"/>
      <c r="S3" s="64"/>
      <c r="T3" s="64"/>
    </row>
    <row r="4" spans="3:24" ht="23.25" x14ac:dyDescent="0.25">
      <c r="C4" s="1" t="s">
        <v>2</v>
      </c>
      <c r="D4" s="1"/>
      <c r="E4" s="1"/>
      <c r="F4" s="1"/>
      <c r="G4" s="1"/>
      <c r="H4" s="1"/>
      <c r="L4" s="1"/>
      <c r="M4" s="1"/>
      <c r="N4" s="5"/>
      <c r="O4" s="5"/>
      <c r="P4" s="1"/>
      <c r="Q4" s="1"/>
      <c r="R4" s="1"/>
      <c r="S4" s="1"/>
      <c r="T4" s="1"/>
      <c r="U4" s="1"/>
      <c r="V4" s="6">
        <v>522916.34063930903</v>
      </c>
      <c r="W4" s="6">
        <v>453950.82339792972</v>
      </c>
      <c r="X4" s="6">
        <f>V4-W4</f>
        <v>68965.517241379304</v>
      </c>
    </row>
    <row r="5" spans="3:24" ht="13.5" customHeight="1" x14ac:dyDescent="0.25">
      <c r="C5" s="1"/>
      <c r="D5" s="1"/>
      <c r="E5" s="1"/>
      <c r="F5" s="1"/>
      <c r="G5" s="1"/>
      <c r="H5" s="1"/>
      <c r="L5" s="5"/>
      <c r="M5" s="5"/>
      <c r="N5" s="5"/>
      <c r="O5" s="5"/>
      <c r="P5" s="5"/>
      <c r="Q5" s="1"/>
      <c r="R5" s="1"/>
      <c r="S5" s="1"/>
      <c r="T5" s="1"/>
      <c r="U5" s="1"/>
    </row>
    <row r="6" spans="3:24" ht="3" customHeight="1" x14ac:dyDescent="0.25">
      <c r="C6" s="2"/>
      <c r="D6" s="2"/>
      <c r="E6" s="2"/>
      <c r="F6" s="2"/>
      <c r="G6" s="2"/>
      <c r="H6" s="2"/>
      <c r="I6" s="65"/>
      <c r="J6" s="65"/>
      <c r="K6" s="65"/>
      <c r="L6" s="2"/>
      <c r="M6" s="2"/>
      <c r="N6" s="8"/>
      <c r="O6" s="8"/>
      <c r="P6" s="8"/>
      <c r="Q6" s="8"/>
    </row>
    <row r="7" spans="3:24" ht="18.75" x14ac:dyDescent="0.25">
      <c r="C7" s="9" t="s">
        <v>4</v>
      </c>
      <c r="D7" s="9"/>
      <c r="E7" s="9"/>
      <c r="G7" s="9"/>
      <c r="H7" s="9"/>
      <c r="I7" s="10" t="s">
        <v>6</v>
      </c>
      <c r="J7" s="6"/>
      <c r="K7" s="6"/>
    </row>
    <row r="8" spans="3:24" x14ac:dyDescent="0.25">
      <c r="C8" s="3" t="s">
        <v>5</v>
      </c>
      <c r="D8" s="3"/>
      <c r="E8" s="58" t="s">
        <v>115</v>
      </c>
      <c r="G8" s="3"/>
      <c r="H8" s="3"/>
      <c r="I8" s="3"/>
      <c r="J8" s="60"/>
      <c r="K8" s="52"/>
      <c r="L8" s="52"/>
      <c r="M8" s="52"/>
    </row>
    <row r="9" spans="3:24" x14ac:dyDescent="0.25">
      <c r="C9" s="3" t="s">
        <v>192</v>
      </c>
      <c r="D9" s="3"/>
      <c r="E9" s="57" t="str">
        <f>Caratula_Patrimonial!F18</f>
        <v>Wealth &amp; Premier Executive</v>
      </c>
      <c r="G9" s="3"/>
      <c r="H9" s="3"/>
      <c r="I9" s="3" t="s">
        <v>20</v>
      </c>
      <c r="J9" s="450">
        <f>Caratula_Patrimonial!O43</f>
        <v>0</v>
      </c>
      <c r="K9" s="52"/>
      <c r="L9" s="52"/>
      <c r="M9" s="52"/>
      <c r="O9" s="12"/>
      <c r="P9" s="43"/>
    </row>
    <row r="10" spans="3:24" x14ac:dyDescent="0.25">
      <c r="C10" s="3" t="s">
        <v>24</v>
      </c>
      <c r="D10" s="3"/>
      <c r="E10" s="57" t="str">
        <f>IF(Caratula_Patrimonial!F21="","",Caratula_Patrimonial!F21)</f>
        <v/>
      </c>
      <c r="G10" s="3"/>
      <c r="H10" s="3"/>
      <c r="I10" s="3" t="s">
        <v>162</v>
      </c>
      <c r="J10" s="61" t="e">
        <f>VLOOKUP(CONCATENATE(E8," ",E15),Catalogo_Financier_Redisponible!A:V,13,0)</f>
        <v>#N/A</v>
      </c>
      <c r="K10" s="28"/>
      <c r="L10" s="13"/>
      <c r="M10" s="28"/>
      <c r="N10" s="13"/>
      <c r="P10" s="60"/>
    </row>
    <row r="11" spans="3:24" ht="15" customHeight="1" x14ac:dyDescent="0.25">
      <c r="C11" s="6" t="s">
        <v>157</v>
      </c>
      <c r="E11" s="61">
        <f>Caratula_Patrimonial!F24</f>
        <v>0.10299999999999999</v>
      </c>
      <c r="I11" s="6"/>
      <c r="J11" s="6"/>
      <c r="K11" s="6"/>
      <c r="N11" s="37"/>
    </row>
    <row r="12" spans="3:24" ht="20.25" customHeight="1" x14ac:dyDescent="0.25">
      <c r="C12" s="6" t="str">
        <f>IF(Caratula_Patrimonial!F22="","","Tipo de Cliente")</f>
        <v/>
      </c>
      <c r="E12" s="6" t="str">
        <f>IF(Caratula_Patrimonial!F22="","",Caratula_Patrimonial!F22)</f>
        <v/>
      </c>
      <c r="G12" s="11"/>
      <c r="I12" s="3" t="str">
        <f>Caratula_Patrimonial!N18</f>
        <v>Comisión por apertura</v>
      </c>
      <c r="J12" s="61" t="e">
        <f>VLOOKUP(CONCATENATE(E8," ",E15),Catalogo_Financier_Redisponible!A:V,19,0)</f>
        <v>#N/A</v>
      </c>
      <c r="K12" s="28" t="s">
        <v>34</v>
      </c>
      <c r="L12" s="62" t="e">
        <f>VLOOKUP(CONCATENATE(E8," ",E15),Catalogo_Financier_Redisponible!A:V,16,0)</f>
        <v>#N/A</v>
      </c>
      <c r="M12" s="28" t="s">
        <v>35</v>
      </c>
      <c r="N12" s="62" t="e">
        <f>VLOOKUP(CONCATENATE(E8," ",E15),Catalogo_Financier_Redisponible!A:V,17,0)</f>
        <v>#N/A</v>
      </c>
    </row>
    <row r="13" spans="3:24" ht="18.75" x14ac:dyDescent="0.25">
      <c r="C13" s="9" t="s">
        <v>19</v>
      </c>
      <c r="D13" s="9"/>
      <c r="G13" s="9"/>
      <c r="H13" s="9"/>
      <c r="I13" s="6" t="s">
        <v>30</v>
      </c>
      <c r="J13" s="60">
        <v>0</v>
      </c>
      <c r="K13" s="52"/>
      <c r="L13" s="52"/>
      <c r="M13" s="52"/>
      <c r="O13" s="14"/>
    </row>
    <row r="14" spans="3:24" ht="15.75" customHeight="1" x14ac:dyDescent="0.25">
      <c r="C14" s="3" t="s">
        <v>25</v>
      </c>
      <c r="D14" s="3"/>
      <c r="E14" s="58" t="s">
        <v>171</v>
      </c>
      <c r="G14" s="3"/>
      <c r="H14" s="3"/>
      <c r="I14" s="6"/>
      <c r="J14" s="6"/>
      <c r="K14" s="6"/>
      <c r="P14" s="43"/>
    </row>
    <row r="15" spans="3:24" x14ac:dyDescent="0.25">
      <c r="C15" s="6" t="s">
        <v>0</v>
      </c>
      <c r="E15" s="449">
        <f>Caratula_Patrimonial!N43</f>
        <v>0</v>
      </c>
      <c r="I15" s="6" t="s">
        <v>22</v>
      </c>
      <c r="J15" s="59" t="e">
        <f>VLOOKUP(CONCATENATE(E8," ",E15),Catalogo_Financier_Redisponible!A:V,11,0)</f>
        <v>#N/A</v>
      </c>
      <c r="K15" s="37"/>
      <c r="L15" s="6" t="s">
        <v>136</v>
      </c>
      <c r="M15" s="37"/>
      <c r="N15" s="57" t="e">
        <f>VLOOKUP(CONCATENATE(E8," ",E15),Catalogo_Financier_Redisponible!A:V,22,0)</f>
        <v>#N/A</v>
      </c>
      <c r="P15" s="60"/>
    </row>
    <row r="16" spans="3:24" x14ac:dyDescent="0.25">
      <c r="C16" s="6" t="s">
        <v>164</v>
      </c>
      <c r="E16" s="43" t="s">
        <v>0</v>
      </c>
      <c r="I16" s="6"/>
      <c r="J16" s="6"/>
      <c r="K16" s="6"/>
    </row>
    <row r="17" spans="3:29" ht="18.75" x14ac:dyDescent="0.25">
      <c r="C17" s="140" t="str">
        <f>IF(E14="Pago_Bajo_Puntual","","Skip Payment")</f>
        <v>Skip Payment</v>
      </c>
      <c r="D17" s="140" t="s">
        <v>191</v>
      </c>
      <c r="E17" s="141"/>
      <c r="F17" s="12"/>
      <c r="I17" s="6" t="s">
        <v>9</v>
      </c>
      <c r="J17" s="42" t="str">
        <f>IF(ISERROR(((1+IRR(X20:X200))^(12))-1),"-",(((1+IRR(X20:X200))^(12))-1))</f>
        <v>-</v>
      </c>
      <c r="K17" s="6"/>
      <c r="L17" s="38" t="s">
        <v>154</v>
      </c>
      <c r="M17" s="39">
        <f>IF(E14="Pago_Bajo_Puntual",1.9%,0)</f>
        <v>0</v>
      </c>
    </row>
    <row r="18" spans="3:29" ht="15.75" thickBot="1" x14ac:dyDescent="0.3"/>
    <row r="19" spans="3:29" ht="39.75" customHeight="1" thickBot="1" x14ac:dyDescent="0.3">
      <c r="C19" s="4" t="s">
        <v>189</v>
      </c>
      <c r="D19" s="4" t="s">
        <v>10</v>
      </c>
      <c r="E19" s="4" t="s">
        <v>11</v>
      </c>
      <c r="F19" s="4" t="s">
        <v>12</v>
      </c>
      <c r="G19" s="4" t="s">
        <v>13</v>
      </c>
      <c r="H19" s="4" t="s">
        <v>14</v>
      </c>
      <c r="I19" s="4" t="s">
        <v>161</v>
      </c>
      <c r="J19" s="4" t="str">
        <f>IF(E8="Liquidez","IVA Intereses","")</f>
        <v>IVA Intereses</v>
      </c>
      <c r="K19" s="4" t="s">
        <v>159</v>
      </c>
      <c r="L19" s="4" t="s">
        <v>15</v>
      </c>
      <c r="M19" s="4" t="s">
        <v>163</v>
      </c>
      <c r="N19" s="4" t="s">
        <v>190</v>
      </c>
      <c r="O19" s="4" t="s">
        <v>16</v>
      </c>
      <c r="P19" s="4" t="s">
        <v>17</v>
      </c>
      <c r="Q19" s="4" t="s">
        <v>162</v>
      </c>
      <c r="R19" s="88"/>
      <c r="T19" s="4" t="s">
        <v>133</v>
      </c>
      <c r="U19" s="4"/>
      <c r="V19" s="4"/>
      <c r="W19" s="32" t="s">
        <v>165</v>
      </c>
      <c r="X19" s="32" t="s">
        <v>134</v>
      </c>
      <c r="Y19" s="32" t="s">
        <v>135</v>
      </c>
      <c r="Z19" s="37" t="s">
        <v>140</v>
      </c>
      <c r="AA19" s="37" t="s">
        <v>138</v>
      </c>
      <c r="AB19" s="37" t="s">
        <v>139</v>
      </c>
      <c r="AC19" s="6" t="s">
        <v>156</v>
      </c>
    </row>
    <row r="20" spans="3:29" hidden="1" x14ac:dyDescent="0.25">
      <c r="C20" s="27">
        <v>0</v>
      </c>
      <c r="E20" s="15"/>
      <c r="F20" s="15"/>
      <c r="G20" s="16"/>
      <c r="H20" s="16"/>
      <c r="K20" s="6"/>
      <c r="L20" s="22">
        <f>IF(J9="","",J9)</f>
        <v>0</v>
      </c>
      <c r="T20" s="6" t="str">
        <f>IF(C20&gt;0,1,"")</f>
        <v/>
      </c>
      <c r="U20" s="37">
        <v>0</v>
      </c>
      <c r="W20" s="33">
        <f>IF(ISNUMBER(J9),-J9,0)</f>
        <v>0</v>
      </c>
      <c r="X20" s="33">
        <f>IF(ISNUMBER(J9),-J9,0)</f>
        <v>0</v>
      </c>
      <c r="Z20" s="35">
        <f>SUM(N21:N201)</f>
        <v>0</v>
      </c>
      <c r="AA20" s="66">
        <f>IF(D17="NO",0,J9*J10*3/12)</f>
        <v>0</v>
      </c>
    </row>
    <row r="21" spans="3:29" x14ac:dyDescent="0.25">
      <c r="C21" s="27">
        <v>1</v>
      </c>
      <c r="D21" s="30">
        <f>L20</f>
        <v>0</v>
      </c>
      <c r="E21" s="20" t="e">
        <f t="shared" ref="E21:E84" si="0">IF(C21="","",MIN(IF($E$16="Mensualidad",-PMT(Q21/12,$E$15*12-C20,D21)-F21,-PMT(Q21/12,$E$15*12,$J$9)-F21),D21))</f>
        <v>#N/A</v>
      </c>
      <c r="F21" s="20" t="e">
        <f t="shared" ref="F21:F84" si="1">IF(C21="","",D21*(Q21/12))</f>
        <v>#N/A</v>
      </c>
      <c r="G21" s="24" t="e">
        <f>IF(C21="","",L$12*L$20/1000)</f>
        <v>#N/A</v>
      </c>
      <c r="H21" s="20" t="e">
        <f t="shared" ref="H21:H84" si="2">IF(C21="","",IF((($J$8*0.8)*($N$12/1.16))&gt;L20*($N$12/1.16),($J$8*0.8)*($N$12/1.16),($N$12/1.16)*L20)/1000)</f>
        <v>#N/A</v>
      </c>
      <c r="I21" s="66" t="e">
        <f t="shared" ref="I21:I84" si="3">IF($D$17="SI",0,IF(D21="","",$N$15))</f>
        <v>#N/A</v>
      </c>
      <c r="J21" s="66" t="str">
        <f t="shared" ref="J21:J84" si="4">IFERROR(IF($E$8="Liquidez",F21*0.16,""),"")</f>
        <v/>
      </c>
      <c r="K21" s="11">
        <f t="shared" ref="K21:K84" si="5">IFERROR(IF(C21="","",E21+F21+G21+H21+I21+J21),0)</f>
        <v>0</v>
      </c>
      <c r="L21" s="23">
        <f>IFERROR(IF(C21="","",IF((D21-E21-AB21)&lt;1,0,D21-E21-AB21)),0)</f>
        <v>0</v>
      </c>
      <c r="M21" s="100"/>
      <c r="N21" s="23">
        <f t="shared" ref="N21:N84" si="6">IF(C21="","",IF(M21="",0,M21-O21-P21))</f>
        <v>0</v>
      </c>
      <c r="O21" s="23" t="e">
        <f>IF(C21="","",M21*$J$12)</f>
        <v>#N/A</v>
      </c>
      <c r="P21" s="23" t="e">
        <f>IF(C21="","",(M21*$J$12)*0.16)</f>
        <v>#N/A</v>
      </c>
      <c r="Q21" s="19" t="e">
        <f t="shared" ref="Q21:Q84" si="7">IF(C21="","",$J$10)</f>
        <v>#N/A</v>
      </c>
      <c r="R21" s="19"/>
      <c r="T21" s="37">
        <f t="shared" ref="T21:T84" si="8">IF(C21="","",1)</f>
        <v>1</v>
      </c>
      <c r="U21" s="37" t="str">
        <f>IF(ISNUMBER(U20),IF($E$15*12&gt;=U20+1,U20+1,""),"")</f>
        <v/>
      </c>
      <c r="W21" s="31">
        <f>IF(C21="","",IF(ISNUMBER(U21),PMT(Q21/12,$E$15*12,-$J$9)+G21+AB21+H21/1.16+$N$15,0))</f>
        <v>0</v>
      </c>
      <c r="X21" s="31">
        <f>IF(C21="","",IF(ISNUMBER(U21),PMT(Q21/12,($E$15*12),-$J$9)+G21+H21+AB21/1.16+$N$15,0))</f>
        <v>0</v>
      </c>
      <c r="Y21" s="34">
        <v>1</v>
      </c>
      <c r="Z21" s="31">
        <f t="shared" ref="Z21:Z84" si="9">IF($AA$20=0,0,IF(N21&gt;AA20,MAX(0,N21-AA20),N21))</f>
        <v>0</v>
      </c>
      <c r="AA21" s="66">
        <f t="shared" ref="AA21:AA84" si="10">IFERROR(MAX(0,AA20-N21),0)</f>
        <v>0</v>
      </c>
      <c r="AB21" s="6">
        <f t="shared" ref="AB21:AB84" si="11">IF($D$17="NO",N21,IF(AA21&gt;0,0,Z21))</f>
        <v>0</v>
      </c>
    </row>
    <row r="22" spans="3:29" x14ac:dyDescent="0.25">
      <c r="C22" s="27" t="str">
        <f t="shared" ref="C22:C85" si="12">IF(OR(C21="",L21&lt;=0),"",IF(C21+1&lt;=E$15*12,C21+1,""))</f>
        <v/>
      </c>
      <c r="D22" s="30" t="str">
        <f t="shared" ref="D22:D85" si="13">IF(L21&lt;=0,"",L21)</f>
        <v/>
      </c>
      <c r="E22" s="20" t="str">
        <f t="shared" si="0"/>
        <v/>
      </c>
      <c r="F22" s="20" t="str">
        <f t="shared" si="1"/>
        <v/>
      </c>
      <c r="G22" s="24" t="str">
        <f t="shared" ref="G22:G85" si="14">IF(C22="","",L$12*L21/1000)</f>
        <v/>
      </c>
      <c r="H22" s="21" t="str">
        <f t="shared" si="2"/>
        <v/>
      </c>
      <c r="I22" s="66" t="str">
        <f t="shared" si="3"/>
        <v/>
      </c>
      <c r="J22" s="66" t="str">
        <f t="shared" si="4"/>
        <v/>
      </c>
      <c r="K22" s="11" t="str">
        <f t="shared" si="5"/>
        <v/>
      </c>
      <c r="L22" s="23" t="str">
        <f>IFERROR(IF(C22="","",IF((D22-E22-AB22)&lt;1,0,D22-E22-AB22)),0)</f>
        <v/>
      </c>
      <c r="M22" s="100"/>
      <c r="N22" s="23" t="str">
        <f t="shared" si="6"/>
        <v/>
      </c>
      <c r="O22" s="23" t="str">
        <f t="shared" ref="O22:O85" si="15">IF(C22="","",M22*$J$12)</f>
        <v/>
      </c>
      <c r="P22" s="23" t="str">
        <f t="shared" ref="P22:P85" si="16">IF(C22="","",(M22*$J$12)*0.16)</f>
        <v/>
      </c>
      <c r="Q22" s="19" t="str">
        <f t="shared" si="7"/>
        <v/>
      </c>
      <c r="R22" s="19"/>
      <c r="T22" s="37" t="str">
        <f t="shared" si="8"/>
        <v/>
      </c>
      <c r="U22" s="37" t="str">
        <f t="shared" ref="U22:U85" si="17">C22</f>
        <v/>
      </c>
      <c r="W22" s="31" t="str">
        <f>IF(C22="","",IF(ISNUMBER(U22),PMT(Q22/12,$E$15*12,-$J$9)+G22+AB22+H22/1.16+$N$15,0))</f>
        <v/>
      </c>
      <c r="X22" s="31" t="str">
        <f>IF(C22="","",IF(ISNUMBER(U22),PMT(Q22/12,($E$15*12),-$J$9)+G22+H22+AB22/1.16+$N$15,0))</f>
        <v/>
      </c>
      <c r="Y22" s="34">
        <f t="shared" ref="Y22:Y85" si="18">Y21</f>
        <v>1</v>
      </c>
      <c r="Z22" s="31">
        <f t="shared" si="9"/>
        <v>0</v>
      </c>
      <c r="AA22" s="66">
        <f t="shared" si="10"/>
        <v>0</v>
      </c>
      <c r="AB22" s="6" t="str">
        <f t="shared" si="11"/>
        <v/>
      </c>
    </row>
    <row r="23" spans="3:29" x14ac:dyDescent="0.25">
      <c r="C23" s="27" t="str">
        <f t="shared" si="12"/>
        <v/>
      </c>
      <c r="D23" s="30" t="str">
        <f t="shared" si="13"/>
        <v/>
      </c>
      <c r="E23" s="20" t="str">
        <f t="shared" si="0"/>
        <v/>
      </c>
      <c r="F23" s="20" t="str">
        <f t="shared" si="1"/>
        <v/>
      </c>
      <c r="G23" s="24" t="str">
        <f t="shared" si="14"/>
        <v/>
      </c>
      <c r="H23" s="21" t="str">
        <f t="shared" si="2"/>
        <v/>
      </c>
      <c r="I23" s="66" t="str">
        <f t="shared" si="3"/>
        <v/>
      </c>
      <c r="J23" s="66" t="str">
        <f t="shared" si="4"/>
        <v/>
      </c>
      <c r="K23" s="11" t="str">
        <f t="shared" si="5"/>
        <v/>
      </c>
      <c r="L23" s="23" t="str">
        <f t="shared" ref="L23:L86" si="19">IFERROR(IF(C23="","",IF((D23-E23-AB23)&lt;1,0,D23-E23-AB23)),0)</f>
        <v/>
      </c>
      <c r="M23" s="100"/>
      <c r="N23" s="23" t="str">
        <f t="shared" si="6"/>
        <v/>
      </c>
      <c r="O23" s="23" t="str">
        <f t="shared" si="15"/>
        <v/>
      </c>
      <c r="P23" s="23" t="str">
        <f t="shared" si="16"/>
        <v/>
      </c>
      <c r="Q23" s="19" t="str">
        <f t="shared" si="7"/>
        <v/>
      </c>
      <c r="R23" s="19"/>
      <c r="T23" s="37" t="str">
        <f t="shared" si="8"/>
        <v/>
      </c>
      <c r="U23" s="37" t="str">
        <f t="shared" si="17"/>
        <v/>
      </c>
      <c r="W23" s="31" t="str">
        <f>IF(C23="","",IF(ISNUMBER(U23),PMT(Q23/12,$E$15*12,-$J$9)+G23+AB23+H23/1.16+$N$15,0))</f>
        <v/>
      </c>
      <c r="X23" s="31" t="str">
        <f>IF(C23="","",IF(ISNUMBER(U23),PMT(Q23/12,($E$15*12),-$J$9)+G23+H23+AB23/1.16+$N$15,0))</f>
        <v/>
      </c>
      <c r="Y23" s="34">
        <f t="shared" si="18"/>
        <v>1</v>
      </c>
      <c r="Z23" s="31">
        <f t="shared" si="9"/>
        <v>0</v>
      </c>
      <c r="AA23" s="66">
        <f t="shared" si="10"/>
        <v>0</v>
      </c>
      <c r="AB23" s="6" t="str">
        <f t="shared" si="11"/>
        <v/>
      </c>
    </row>
    <row r="24" spans="3:29" x14ac:dyDescent="0.25">
      <c r="C24" s="27" t="str">
        <f t="shared" si="12"/>
        <v/>
      </c>
      <c r="D24" s="30" t="str">
        <f t="shared" si="13"/>
        <v/>
      </c>
      <c r="E24" s="20" t="str">
        <f t="shared" si="0"/>
        <v/>
      </c>
      <c r="F24" s="20" t="str">
        <f t="shared" si="1"/>
        <v/>
      </c>
      <c r="G24" s="24" t="str">
        <f t="shared" si="14"/>
        <v/>
      </c>
      <c r="H24" s="21" t="str">
        <f t="shared" si="2"/>
        <v/>
      </c>
      <c r="I24" s="66" t="str">
        <f t="shared" si="3"/>
        <v/>
      </c>
      <c r="J24" s="66" t="str">
        <f t="shared" si="4"/>
        <v/>
      </c>
      <c r="K24" s="11" t="str">
        <f t="shared" si="5"/>
        <v/>
      </c>
      <c r="L24" s="23" t="str">
        <f t="shared" si="19"/>
        <v/>
      </c>
      <c r="M24" s="100"/>
      <c r="N24" s="23" t="str">
        <f t="shared" si="6"/>
        <v/>
      </c>
      <c r="O24" s="23" t="str">
        <f t="shared" si="15"/>
        <v/>
      </c>
      <c r="P24" s="23" t="str">
        <f t="shared" si="16"/>
        <v/>
      </c>
      <c r="Q24" s="19" t="str">
        <f t="shared" si="7"/>
        <v/>
      </c>
      <c r="R24" s="19"/>
      <c r="T24" s="37" t="str">
        <f t="shared" si="8"/>
        <v/>
      </c>
      <c r="U24" s="37" t="str">
        <f t="shared" si="17"/>
        <v/>
      </c>
      <c r="W24" s="31" t="str">
        <f>IF(C24="","",IF(ISNUMBER(U24),PMT(Q24/12,$E$15*12,-$J$9)+G24+AB24+H24/1.16+$N$15,0))</f>
        <v/>
      </c>
      <c r="X24" s="31" t="str">
        <f>IF(C24="","",IF(ISNUMBER(U24),PMT(Q24/12,($E$15*12),-$J$9)+G24+H24+AB24/1.16+$N$15,0))</f>
        <v/>
      </c>
      <c r="Y24" s="34">
        <f t="shared" si="18"/>
        <v>1</v>
      </c>
      <c r="Z24" s="31">
        <f t="shared" si="9"/>
        <v>0</v>
      </c>
      <c r="AA24" s="66">
        <f t="shared" si="10"/>
        <v>0</v>
      </c>
      <c r="AB24" s="6" t="str">
        <f t="shared" si="11"/>
        <v/>
      </c>
    </row>
    <row r="25" spans="3:29" x14ac:dyDescent="0.25">
      <c r="C25" s="27" t="str">
        <f t="shared" si="12"/>
        <v/>
      </c>
      <c r="D25" s="30" t="str">
        <f t="shared" si="13"/>
        <v/>
      </c>
      <c r="E25" s="20" t="str">
        <f t="shared" si="0"/>
        <v/>
      </c>
      <c r="F25" s="20" t="str">
        <f t="shared" si="1"/>
        <v/>
      </c>
      <c r="G25" s="24" t="str">
        <f t="shared" si="14"/>
        <v/>
      </c>
      <c r="H25" s="21" t="str">
        <f t="shared" si="2"/>
        <v/>
      </c>
      <c r="I25" s="66" t="str">
        <f t="shared" si="3"/>
        <v/>
      </c>
      <c r="J25" s="66" t="str">
        <f t="shared" si="4"/>
        <v/>
      </c>
      <c r="K25" s="11" t="str">
        <f t="shared" si="5"/>
        <v/>
      </c>
      <c r="L25" s="23" t="str">
        <f t="shared" si="19"/>
        <v/>
      </c>
      <c r="M25" s="100"/>
      <c r="N25" s="23" t="str">
        <f t="shared" si="6"/>
        <v/>
      </c>
      <c r="O25" s="23" t="str">
        <f t="shared" si="15"/>
        <v/>
      </c>
      <c r="P25" s="23" t="str">
        <f t="shared" si="16"/>
        <v/>
      </c>
      <c r="Q25" s="19" t="str">
        <f t="shared" si="7"/>
        <v/>
      </c>
      <c r="R25" s="19"/>
      <c r="T25" s="37" t="str">
        <f t="shared" si="8"/>
        <v/>
      </c>
      <c r="U25" s="37" t="str">
        <f t="shared" si="17"/>
        <v/>
      </c>
      <c r="W25" s="31" t="str">
        <f>IF(C25="","",IF(ISNUMBER(U25),PMT(Q25/12,$E$15*12,-$J$9)+G25+AB25+H25/1.16+$N$15,0))</f>
        <v/>
      </c>
      <c r="X25" s="31" t="str">
        <f>IF(C25="","",IF(ISNUMBER(U25),PMT(Q25/12,$E$15*12,-$J$9)+G25+AB25+H25/1.16+$N$15,0))</f>
        <v/>
      </c>
      <c r="Y25" s="34">
        <f t="shared" si="18"/>
        <v>1</v>
      </c>
      <c r="Z25" s="31">
        <f t="shared" si="9"/>
        <v>0</v>
      </c>
      <c r="AA25" s="66">
        <f t="shared" si="10"/>
        <v>0</v>
      </c>
      <c r="AB25" s="6" t="str">
        <f t="shared" si="11"/>
        <v/>
      </c>
    </row>
    <row r="26" spans="3:29" x14ac:dyDescent="0.25">
      <c r="C26" s="27" t="str">
        <f t="shared" si="12"/>
        <v/>
      </c>
      <c r="D26" s="30" t="str">
        <f t="shared" si="13"/>
        <v/>
      </c>
      <c r="E26" s="20" t="str">
        <f t="shared" si="0"/>
        <v/>
      </c>
      <c r="F26" s="20" t="str">
        <f t="shared" si="1"/>
        <v/>
      </c>
      <c r="G26" s="24" t="str">
        <f t="shared" si="14"/>
        <v/>
      </c>
      <c r="H26" s="21" t="str">
        <f t="shared" si="2"/>
        <v/>
      </c>
      <c r="I26" s="66" t="str">
        <f t="shared" si="3"/>
        <v/>
      </c>
      <c r="J26" s="66" t="str">
        <f t="shared" si="4"/>
        <v/>
      </c>
      <c r="K26" s="11" t="str">
        <f t="shared" si="5"/>
        <v/>
      </c>
      <c r="L26" s="23" t="str">
        <f t="shared" si="19"/>
        <v/>
      </c>
      <c r="M26" s="100"/>
      <c r="N26" s="23" t="str">
        <f t="shared" si="6"/>
        <v/>
      </c>
      <c r="O26" s="23" t="str">
        <f t="shared" si="15"/>
        <v/>
      </c>
      <c r="P26" s="23" t="str">
        <f t="shared" si="16"/>
        <v/>
      </c>
      <c r="Q26" s="19" t="str">
        <f t="shared" si="7"/>
        <v/>
      </c>
      <c r="R26" s="19"/>
      <c r="T26" s="37" t="str">
        <f t="shared" si="8"/>
        <v/>
      </c>
      <c r="U26" s="37" t="str">
        <f t="shared" si="17"/>
        <v/>
      </c>
      <c r="W26" s="31" t="str">
        <f t="shared" ref="W26:W89" si="20">IF(C26="","",IF(ISNUMBER(U26),PMT(Q26/12,($E$15*12),-$J$9)+G26+H26+AB26/1.16+$N$15,0))</f>
        <v/>
      </c>
      <c r="X26" s="31" t="str">
        <f t="shared" ref="X26:X89" si="21">IF(C26="","",IF(ISNUMBER(U26),PMT(Q26/12,$E$15*12,-$J$9)+G26+AB26+H26/1.16+$N$15,0))</f>
        <v/>
      </c>
      <c r="Y26" s="34">
        <f t="shared" si="18"/>
        <v>1</v>
      </c>
      <c r="Z26" s="31">
        <f t="shared" si="9"/>
        <v>0</v>
      </c>
      <c r="AA26" s="66">
        <f t="shared" si="10"/>
        <v>0</v>
      </c>
      <c r="AB26" s="6" t="str">
        <f t="shared" si="11"/>
        <v/>
      </c>
    </row>
    <row r="27" spans="3:29" x14ac:dyDescent="0.25">
      <c r="C27" s="27" t="str">
        <f t="shared" si="12"/>
        <v/>
      </c>
      <c r="D27" s="30" t="str">
        <f t="shared" si="13"/>
        <v/>
      </c>
      <c r="E27" s="20" t="str">
        <f t="shared" si="0"/>
        <v/>
      </c>
      <c r="F27" s="20" t="str">
        <f t="shared" si="1"/>
        <v/>
      </c>
      <c r="G27" s="24" t="str">
        <f t="shared" si="14"/>
        <v/>
      </c>
      <c r="H27" s="21" t="str">
        <f t="shared" si="2"/>
        <v/>
      </c>
      <c r="I27" s="66" t="str">
        <f t="shared" si="3"/>
        <v/>
      </c>
      <c r="J27" s="66" t="str">
        <f t="shared" si="4"/>
        <v/>
      </c>
      <c r="K27" s="11" t="str">
        <f t="shared" si="5"/>
        <v/>
      </c>
      <c r="L27" s="23" t="str">
        <f t="shared" si="19"/>
        <v/>
      </c>
      <c r="M27" s="100"/>
      <c r="N27" s="23" t="str">
        <f t="shared" si="6"/>
        <v/>
      </c>
      <c r="O27" s="23" t="str">
        <f t="shared" si="15"/>
        <v/>
      </c>
      <c r="P27" s="23" t="str">
        <f t="shared" si="16"/>
        <v/>
      </c>
      <c r="Q27" s="19" t="str">
        <f t="shared" si="7"/>
        <v/>
      </c>
      <c r="R27" s="19"/>
      <c r="T27" s="37" t="str">
        <f t="shared" si="8"/>
        <v/>
      </c>
      <c r="U27" s="37" t="str">
        <f t="shared" si="17"/>
        <v/>
      </c>
      <c r="W27" s="31" t="str">
        <f t="shared" si="20"/>
        <v/>
      </c>
      <c r="X27" s="31" t="str">
        <f t="shared" si="21"/>
        <v/>
      </c>
      <c r="Y27" s="34">
        <f t="shared" si="18"/>
        <v>1</v>
      </c>
      <c r="Z27" s="31">
        <f t="shared" si="9"/>
        <v>0</v>
      </c>
      <c r="AA27" s="66">
        <f t="shared" si="10"/>
        <v>0</v>
      </c>
      <c r="AB27" s="6" t="str">
        <f t="shared" si="11"/>
        <v/>
      </c>
    </row>
    <row r="28" spans="3:29" x14ac:dyDescent="0.25">
      <c r="C28" s="27" t="str">
        <f t="shared" si="12"/>
        <v/>
      </c>
      <c r="D28" s="30" t="str">
        <f t="shared" si="13"/>
        <v/>
      </c>
      <c r="E28" s="20" t="str">
        <f t="shared" si="0"/>
        <v/>
      </c>
      <c r="F28" s="20" t="str">
        <f t="shared" si="1"/>
        <v/>
      </c>
      <c r="G28" s="24" t="str">
        <f t="shared" si="14"/>
        <v/>
      </c>
      <c r="H28" s="21" t="str">
        <f t="shared" si="2"/>
        <v/>
      </c>
      <c r="I28" s="66" t="str">
        <f t="shared" si="3"/>
        <v/>
      </c>
      <c r="J28" s="66" t="str">
        <f t="shared" si="4"/>
        <v/>
      </c>
      <c r="K28" s="11" t="str">
        <f t="shared" si="5"/>
        <v/>
      </c>
      <c r="L28" s="23" t="str">
        <f t="shared" si="19"/>
        <v/>
      </c>
      <c r="M28" s="100"/>
      <c r="N28" s="23" t="str">
        <f t="shared" si="6"/>
        <v/>
      </c>
      <c r="O28" s="23" t="str">
        <f t="shared" si="15"/>
        <v/>
      </c>
      <c r="P28" s="23" t="str">
        <f t="shared" si="16"/>
        <v/>
      </c>
      <c r="Q28" s="19" t="str">
        <f t="shared" si="7"/>
        <v/>
      </c>
      <c r="R28" s="19"/>
      <c r="T28" s="37" t="str">
        <f t="shared" si="8"/>
        <v/>
      </c>
      <c r="U28" s="37" t="str">
        <f t="shared" si="17"/>
        <v/>
      </c>
      <c r="W28" s="31" t="str">
        <f t="shared" si="20"/>
        <v/>
      </c>
      <c r="X28" s="31" t="str">
        <f t="shared" si="21"/>
        <v/>
      </c>
      <c r="Y28" s="34">
        <f t="shared" si="18"/>
        <v>1</v>
      </c>
      <c r="Z28" s="31">
        <f t="shared" si="9"/>
        <v>0</v>
      </c>
      <c r="AA28" s="66">
        <f t="shared" si="10"/>
        <v>0</v>
      </c>
      <c r="AB28" s="6" t="str">
        <f t="shared" si="11"/>
        <v/>
      </c>
    </row>
    <row r="29" spans="3:29" x14ac:dyDescent="0.25">
      <c r="C29" s="27" t="str">
        <f t="shared" si="12"/>
        <v/>
      </c>
      <c r="D29" s="30" t="str">
        <f t="shared" si="13"/>
        <v/>
      </c>
      <c r="E29" s="20" t="str">
        <f t="shared" si="0"/>
        <v/>
      </c>
      <c r="F29" s="20" t="str">
        <f t="shared" si="1"/>
        <v/>
      </c>
      <c r="G29" s="24" t="str">
        <f t="shared" si="14"/>
        <v/>
      </c>
      <c r="H29" s="21" t="str">
        <f t="shared" si="2"/>
        <v/>
      </c>
      <c r="I29" s="66" t="str">
        <f t="shared" si="3"/>
        <v/>
      </c>
      <c r="J29" s="66" t="str">
        <f t="shared" si="4"/>
        <v/>
      </c>
      <c r="K29" s="11" t="str">
        <f t="shared" si="5"/>
        <v/>
      </c>
      <c r="L29" s="23" t="str">
        <f t="shared" si="19"/>
        <v/>
      </c>
      <c r="M29" s="100"/>
      <c r="N29" s="23" t="str">
        <f t="shared" si="6"/>
        <v/>
      </c>
      <c r="O29" s="23" t="str">
        <f t="shared" si="15"/>
        <v/>
      </c>
      <c r="P29" s="23" t="str">
        <f t="shared" si="16"/>
        <v/>
      </c>
      <c r="Q29" s="19" t="str">
        <f t="shared" si="7"/>
        <v/>
      </c>
      <c r="R29" s="19"/>
      <c r="T29" s="37" t="str">
        <f t="shared" si="8"/>
        <v/>
      </c>
      <c r="U29" s="37" t="str">
        <f t="shared" si="17"/>
        <v/>
      </c>
      <c r="W29" s="31" t="str">
        <f t="shared" si="20"/>
        <v/>
      </c>
      <c r="X29" s="31" t="str">
        <f t="shared" si="21"/>
        <v/>
      </c>
      <c r="Y29" s="34">
        <f t="shared" si="18"/>
        <v>1</v>
      </c>
      <c r="Z29" s="31">
        <f t="shared" si="9"/>
        <v>0</v>
      </c>
      <c r="AA29" s="66">
        <f t="shared" si="10"/>
        <v>0</v>
      </c>
      <c r="AB29" s="6" t="str">
        <f t="shared" si="11"/>
        <v/>
      </c>
    </row>
    <row r="30" spans="3:29" x14ac:dyDescent="0.25">
      <c r="C30" s="27" t="str">
        <f t="shared" si="12"/>
        <v/>
      </c>
      <c r="D30" s="30" t="str">
        <f t="shared" si="13"/>
        <v/>
      </c>
      <c r="E30" s="20" t="str">
        <f t="shared" si="0"/>
        <v/>
      </c>
      <c r="F30" s="20" t="str">
        <f t="shared" si="1"/>
        <v/>
      </c>
      <c r="G30" s="24" t="str">
        <f t="shared" si="14"/>
        <v/>
      </c>
      <c r="H30" s="21" t="str">
        <f t="shared" si="2"/>
        <v/>
      </c>
      <c r="I30" s="66" t="str">
        <f t="shared" si="3"/>
        <v/>
      </c>
      <c r="J30" s="66" t="str">
        <f t="shared" si="4"/>
        <v/>
      </c>
      <c r="K30" s="11" t="str">
        <f t="shared" si="5"/>
        <v/>
      </c>
      <c r="L30" s="23" t="str">
        <f t="shared" si="19"/>
        <v/>
      </c>
      <c r="M30" s="100"/>
      <c r="N30" s="23" t="str">
        <f t="shared" si="6"/>
        <v/>
      </c>
      <c r="O30" s="23" t="str">
        <f t="shared" si="15"/>
        <v/>
      </c>
      <c r="P30" s="23" t="str">
        <f t="shared" si="16"/>
        <v/>
      </c>
      <c r="Q30" s="19" t="str">
        <f t="shared" si="7"/>
        <v/>
      </c>
      <c r="R30" s="19"/>
      <c r="T30" s="37" t="str">
        <f t="shared" si="8"/>
        <v/>
      </c>
      <c r="U30" s="37" t="str">
        <f t="shared" si="17"/>
        <v/>
      </c>
      <c r="W30" s="31" t="str">
        <f t="shared" si="20"/>
        <v/>
      </c>
      <c r="X30" s="31" t="str">
        <f t="shared" si="21"/>
        <v/>
      </c>
      <c r="Y30" s="34">
        <f t="shared" si="18"/>
        <v>1</v>
      </c>
      <c r="Z30" s="31">
        <f t="shared" si="9"/>
        <v>0</v>
      </c>
      <c r="AA30" s="66">
        <f t="shared" si="10"/>
        <v>0</v>
      </c>
      <c r="AB30" s="6" t="str">
        <f t="shared" si="11"/>
        <v/>
      </c>
    </row>
    <row r="31" spans="3:29" x14ac:dyDescent="0.25">
      <c r="C31" s="27" t="str">
        <f t="shared" si="12"/>
        <v/>
      </c>
      <c r="D31" s="30" t="str">
        <f t="shared" si="13"/>
        <v/>
      </c>
      <c r="E31" s="20" t="str">
        <f t="shared" si="0"/>
        <v/>
      </c>
      <c r="F31" s="20" t="str">
        <f t="shared" si="1"/>
        <v/>
      </c>
      <c r="G31" s="24" t="str">
        <f t="shared" si="14"/>
        <v/>
      </c>
      <c r="H31" s="21" t="str">
        <f t="shared" si="2"/>
        <v/>
      </c>
      <c r="I31" s="66" t="str">
        <f t="shared" si="3"/>
        <v/>
      </c>
      <c r="J31" s="66" t="str">
        <f t="shared" si="4"/>
        <v/>
      </c>
      <c r="K31" s="11" t="str">
        <f t="shared" si="5"/>
        <v/>
      </c>
      <c r="L31" s="23" t="str">
        <f t="shared" si="19"/>
        <v/>
      </c>
      <c r="M31" s="100"/>
      <c r="N31" s="23" t="str">
        <f t="shared" si="6"/>
        <v/>
      </c>
      <c r="O31" s="23" t="str">
        <f t="shared" si="15"/>
        <v/>
      </c>
      <c r="P31" s="23" t="str">
        <f t="shared" si="16"/>
        <v/>
      </c>
      <c r="Q31" s="19" t="str">
        <f t="shared" si="7"/>
        <v/>
      </c>
      <c r="R31" s="19"/>
      <c r="T31" s="37" t="str">
        <f t="shared" si="8"/>
        <v/>
      </c>
      <c r="U31" s="37" t="str">
        <f t="shared" si="17"/>
        <v/>
      </c>
      <c r="W31" s="31" t="str">
        <f t="shared" si="20"/>
        <v/>
      </c>
      <c r="X31" s="31" t="str">
        <f t="shared" si="21"/>
        <v/>
      </c>
      <c r="Y31" s="34">
        <f t="shared" si="18"/>
        <v>1</v>
      </c>
      <c r="Z31" s="31">
        <f t="shared" si="9"/>
        <v>0</v>
      </c>
      <c r="AA31" s="66">
        <f t="shared" si="10"/>
        <v>0</v>
      </c>
      <c r="AB31" s="6" t="str">
        <f t="shared" si="11"/>
        <v/>
      </c>
    </row>
    <row r="32" spans="3:29" x14ac:dyDescent="0.25">
      <c r="C32" s="27" t="str">
        <f t="shared" si="12"/>
        <v/>
      </c>
      <c r="D32" s="30" t="str">
        <f t="shared" si="13"/>
        <v/>
      </c>
      <c r="E32" s="20" t="str">
        <f t="shared" si="0"/>
        <v/>
      </c>
      <c r="F32" s="20" t="str">
        <f t="shared" si="1"/>
        <v/>
      </c>
      <c r="G32" s="24" t="str">
        <f t="shared" si="14"/>
        <v/>
      </c>
      <c r="H32" s="21" t="str">
        <f t="shared" si="2"/>
        <v/>
      </c>
      <c r="I32" s="66" t="str">
        <f t="shared" si="3"/>
        <v/>
      </c>
      <c r="J32" s="66" t="str">
        <f t="shared" si="4"/>
        <v/>
      </c>
      <c r="K32" s="11" t="str">
        <f t="shared" si="5"/>
        <v/>
      </c>
      <c r="L32" s="23" t="str">
        <f t="shared" si="19"/>
        <v/>
      </c>
      <c r="M32" s="100"/>
      <c r="N32" s="23" t="str">
        <f t="shared" si="6"/>
        <v/>
      </c>
      <c r="O32" s="23" t="str">
        <f t="shared" si="15"/>
        <v/>
      </c>
      <c r="P32" s="23" t="str">
        <f t="shared" si="16"/>
        <v/>
      </c>
      <c r="Q32" s="19" t="str">
        <f t="shared" si="7"/>
        <v/>
      </c>
      <c r="R32" s="19"/>
      <c r="T32" s="37" t="str">
        <f t="shared" si="8"/>
        <v/>
      </c>
      <c r="U32" s="37" t="str">
        <f t="shared" si="17"/>
        <v/>
      </c>
      <c r="W32" s="31" t="str">
        <f t="shared" si="20"/>
        <v/>
      </c>
      <c r="X32" s="31" t="str">
        <f t="shared" si="21"/>
        <v/>
      </c>
      <c r="Y32" s="34">
        <f t="shared" si="18"/>
        <v>1</v>
      </c>
      <c r="Z32" s="31">
        <f t="shared" si="9"/>
        <v>0</v>
      </c>
      <c r="AA32" s="66">
        <f t="shared" si="10"/>
        <v>0</v>
      </c>
      <c r="AB32" s="6" t="str">
        <f t="shared" si="11"/>
        <v/>
      </c>
    </row>
    <row r="33" spans="3:29" x14ac:dyDescent="0.25">
      <c r="C33" s="27" t="str">
        <f t="shared" si="12"/>
        <v/>
      </c>
      <c r="D33" s="30" t="str">
        <f t="shared" si="13"/>
        <v/>
      </c>
      <c r="E33" s="20" t="str">
        <f t="shared" si="0"/>
        <v/>
      </c>
      <c r="F33" s="20" t="str">
        <f t="shared" si="1"/>
        <v/>
      </c>
      <c r="G33" s="24" t="str">
        <f t="shared" si="14"/>
        <v/>
      </c>
      <c r="H33" s="21" t="str">
        <f t="shared" si="2"/>
        <v/>
      </c>
      <c r="I33" s="66" t="str">
        <f t="shared" si="3"/>
        <v/>
      </c>
      <c r="J33" s="66" t="str">
        <f t="shared" si="4"/>
        <v/>
      </c>
      <c r="K33" s="11" t="str">
        <f t="shared" si="5"/>
        <v/>
      </c>
      <c r="L33" s="23" t="str">
        <f t="shared" si="19"/>
        <v/>
      </c>
      <c r="M33" s="100"/>
      <c r="N33" s="23" t="str">
        <f t="shared" si="6"/>
        <v/>
      </c>
      <c r="O33" s="23" t="str">
        <f t="shared" si="15"/>
        <v/>
      </c>
      <c r="P33" s="23" t="str">
        <f t="shared" si="16"/>
        <v/>
      </c>
      <c r="Q33" s="19" t="str">
        <f t="shared" si="7"/>
        <v/>
      </c>
      <c r="R33" s="19"/>
      <c r="T33" s="37" t="str">
        <f t="shared" si="8"/>
        <v/>
      </c>
      <c r="U33" s="37" t="str">
        <f t="shared" si="17"/>
        <v/>
      </c>
      <c r="W33" s="31" t="str">
        <f t="shared" si="20"/>
        <v/>
      </c>
      <c r="X33" s="31" t="str">
        <f t="shared" si="21"/>
        <v/>
      </c>
      <c r="Y33" s="34">
        <f t="shared" si="18"/>
        <v>1</v>
      </c>
      <c r="Z33" s="31">
        <f t="shared" si="9"/>
        <v>0</v>
      </c>
      <c r="AA33" s="66">
        <f t="shared" si="10"/>
        <v>0</v>
      </c>
      <c r="AB33" s="6" t="str">
        <f t="shared" si="11"/>
        <v/>
      </c>
      <c r="AC33" s="48">
        <f>M17</f>
        <v>0</v>
      </c>
    </row>
    <row r="34" spans="3:29" x14ac:dyDescent="0.25">
      <c r="C34" s="27" t="str">
        <f t="shared" si="12"/>
        <v/>
      </c>
      <c r="D34" s="30" t="str">
        <f t="shared" si="13"/>
        <v/>
      </c>
      <c r="E34" s="20" t="str">
        <f t="shared" si="0"/>
        <v/>
      </c>
      <c r="F34" s="20" t="str">
        <f t="shared" si="1"/>
        <v/>
      </c>
      <c r="G34" s="24" t="str">
        <f t="shared" si="14"/>
        <v/>
      </c>
      <c r="H34" s="21" t="str">
        <f t="shared" si="2"/>
        <v/>
      </c>
      <c r="I34" s="66" t="str">
        <f t="shared" si="3"/>
        <v/>
      </c>
      <c r="J34" s="66" t="str">
        <f t="shared" si="4"/>
        <v/>
      </c>
      <c r="K34" s="11" t="str">
        <f t="shared" si="5"/>
        <v/>
      </c>
      <c r="L34" s="23" t="str">
        <f t="shared" si="19"/>
        <v/>
      </c>
      <c r="M34" s="100"/>
      <c r="N34" s="23" t="str">
        <f t="shared" si="6"/>
        <v/>
      </c>
      <c r="O34" s="23" t="str">
        <f t="shared" si="15"/>
        <v/>
      </c>
      <c r="P34" s="23" t="str">
        <f t="shared" si="16"/>
        <v/>
      </c>
      <c r="Q34" s="19" t="str">
        <f t="shared" si="7"/>
        <v/>
      </c>
      <c r="R34" s="19"/>
      <c r="T34" s="37" t="str">
        <f t="shared" si="8"/>
        <v/>
      </c>
      <c r="U34" s="37" t="str">
        <f t="shared" si="17"/>
        <v/>
      </c>
      <c r="W34" s="31" t="str">
        <f t="shared" si="20"/>
        <v/>
      </c>
      <c r="X34" s="31" t="str">
        <f t="shared" si="21"/>
        <v/>
      </c>
      <c r="Y34" s="34">
        <f t="shared" si="18"/>
        <v>1</v>
      </c>
      <c r="Z34" s="31">
        <f t="shared" si="9"/>
        <v>0</v>
      </c>
      <c r="AA34" s="66">
        <f t="shared" si="10"/>
        <v>0</v>
      </c>
      <c r="AB34" s="6" t="str">
        <f t="shared" si="11"/>
        <v/>
      </c>
      <c r="AC34" s="48">
        <f>AC33</f>
        <v>0</v>
      </c>
    </row>
    <row r="35" spans="3:29" x14ac:dyDescent="0.25">
      <c r="C35" s="27" t="str">
        <f t="shared" si="12"/>
        <v/>
      </c>
      <c r="D35" s="30" t="str">
        <f t="shared" si="13"/>
        <v/>
      </c>
      <c r="E35" s="20" t="str">
        <f t="shared" si="0"/>
        <v/>
      </c>
      <c r="F35" s="20" t="str">
        <f t="shared" si="1"/>
        <v/>
      </c>
      <c r="G35" s="24" t="str">
        <f t="shared" si="14"/>
        <v/>
      </c>
      <c r="H35" s="21" t="str">
        <f t="shared" si="2"/>
        <v/>
      </c>
      <c r="I35" s="66" t="str">
        <f t="shared" si="3"/>
        <v/>
      </c>
      <c r="J35" s="66" t="str">
        <f t="shared" si="4"/>
        <v/>
      </c>
      <c r="K35" s="11" t="str">
        <f t="shared" si="5"/>
        <v/>
      </c>
      <c r="L35" s="23" t="str">
        <f t="shared" si="19"/>
        <v/>
      </c>
      <c r="M35" s="100"/>
      <c r="N35" s="23" t="str">
        <f t="shared" si="6"/>
        <v/>
      </c>
      <c r="O35" s="23" t="str">
        <f t="shared" si="15"/>
        <v/>
      </c>
      <c r="P35" s="23" t="str">
        <f t="shared" si="16"/>
        <v/>
      </c>
      <c r="Q35" s="19" t="str">
        <f t="shared" si="7"/>
        <v/>
      </c>
      <c r="R35" s="19"/>
      <c r="T35" s="37" t="str">
        <f t="shared" si="8"/>
        <v/>
      </c>
      <c r="U35" s="37" t="str">
        <f t="shared" si="17"/>
        <v/>
      </c>
      <c r="W35" s="31" t="str">
        <f t="shared" si="20"/>
        <v/>
      </c>
      <c r="X35" s="31" t="str">
        <f t="shared" si="21"/>
        <v/>
      </c>
      <c r="Y35" s="34">
        <f t="shared" si="18"/>
        <v>1</v>
      </c>
      <c r="Z35" s="31">
        <f t="shared" si="9"/>
        <v>0</v>
      </c>
      <c r="AA35" s="66">
        <f t="shared" si="10"/>
        <v>0</v>
      </c>
      <c r="AB35" s="6" t="str">
        <f t="shared" si="11"/>
        <v/>
      </c>
      <c r="AC35" s="48">
        <f t="shared" ref="AC35:AC98" si="22">AC34</f>
        <v>0</v>
      </c>
    </row>
    <row r="36" spans="3:29" x14ac:dyDescent="0.25">
      <c r="C36" s="27" t="str">
        <f t="shared" si="12"/>
        <v/>
      </c>
      <c r="D36" s="30" t="str">
        <f t="shared" si="13"/>
        <v/>
      </c>
      <c r="E36" s="20" t="str">
        <f t="shared" si="0"/>
        <v/>
      </c>
      <c r="F36" s="20" t="str">
        <f t="shared" si="1"/>
        <v/>
      </c>
      <c r="G36" s="24" t="str">
        <f t="shared" si="14"/>
        <v/>
      </c>
      <c r="H36" s="21" t="str">
        <f t="shared" si="2"/>
        <v/>
      </c>
      <c r="I36" s="66" t="str">
        <f t="shared" si="3"/>
        <v/>
      </c>
      <c r="J36" s="66" t="str">
        <f t="shared" si="4"/>
        <v/>
      </c>
      <c r="K36" s="11" t="str">
        <f t="shared" si="5"/>
        <v/>
      </c>
      <c r="L36" s="23" t="str">
        <f t="shared" si="19"/>
        <v/>
      </c>
      <c r="M36" s="100"/>
      <c r="N36" s="23" t="str">
        <f t="shared" si="6"/>
        <v/>
      </c>
      <c r="O36" s="23" t="str">
        <f t="shared" si="15"/>
        <v/>
      </c>
      <c r="P36" s="23" t="str">
        <f t="shared" si="16"/>
        <v/>
      </c>
      <c r="Q36" s="19" t="str">
        <f t="shared" si="7"/>
        <v/>
      </c>
      <c r="R36" s="19"/>
      <c r="T36" s="37" t="str">
        <f t="shared" si="8"/>
        <v/>
      </c>
      <c r="U36" s="37" t="str">
        <f t="shared" si="17"/>
        <v/>
      </c>
      <c r="W36" s="31" t="str">
        <f t="shared" si="20"/>
        <v/>
      </c>
      <c r="X36" s="31" t="str">
        <f t="shared" si="21"/>
        <v/>
      </c>
      <c r="Y36" s="34">
        <f t="shared" si="18"/>
        <v>1</v>
      </c>
      <c r="Z36" s="31">
        <f t="shared" si="9"/>
        <v>0</v>
      </c>
      <c r="AA36" s="66">
        <f t="shared" si="10"/>
        <v>0</v>
      </c>
      <c r="AB36" s="6" t="str">
        <f t="shared" si="11"/>
        <v/>
      </c>
      <c r="AC36" s="48">
        <f t="shared" si="22"/>
        <v>0</v>
      </c>
    </row>
    <row r="37" spans="3:29" x14ac:dyDescent="0.25">
      <c r="C37" s="27" t="str">
        <f t="shared" si="12"/>
        <v/>
      </c>
      <c r="D37" s="30" t="str">
        <f t="shared" si="13"/>
        <v/>
      </c>
      <c r="E37" s="20" t="str">
        <f t="shared" si="0"/>
        <v/>
      </c>
      <c r="F37" s="20" t="str">
        <f t="shared" si="1"/>
        <v/>
      </c>
      <c r="G37" s="24" t="str">
        <f t="shared" si="14"/>
        <v/>
      </c>
      <c r="H37" s="21" t="str">
        <f t="shared" si="2"/>
        <v/>
      </c>
      <c r="I37" s="66" t="str">
        <f t="shared" si="3"/>
        <v/>
      </c>
      <c r="J37" s="66" t="str">
        <f t="shared" si="4"/>
        <v/>
      </c>
      <c r="K37" s="11" t="str">
        <f t="shared" si="5"/>
        <v/>
      </c>
      <c r="L37" s="23" t="str">
        <f t="shared" si="19"/>
        <v/>
      </c>
      <c r="M37" s="100"/>
      <c r="N37" s="23" t="str">
        <f t="shared" si="6"/>
        <v/>
      </c>
      <c r="O37" s="23" t="str">
        <f t="shared" si="15"/>
        <v/>
      </c>
      <c r="P37" s="23" t="str">
        <f t="shared" si="16"/>
        <v/>
      </c>
      <c r="Q37" s="19" t="str">
        <f t="shared" si="7"/>
        <v/>
      </c>
      <c r="R37" s="19"/>
      <c r="T37" s="37" t="str">
        <f t="shared" si="8"/>
        <v/>
      </c>
      <c r="U37" s="37" t="str">
        <f t="shared" si="17"/>
        <v/>
      </c>
      <c r="W37" s="31" t="str">
        <f t="shared" si="20"/>
        <v/>
      </c>
      <c r="X37" s="31" t="str">
        <f t="shared" si="21"/>
        <v/>
      </c>
      <c r="Y37" s="34">
        <f t="shared" si="18"/>
        <v>1</v>
      </c>
      <c r="Z37" s="31">
        <f t="shared" si="9"/>
        <v>0</v>
      </c>
      <c r="AA37" s="66">
        <f t="shared" si="10"/>
        <v>0</v>
      </c>
      <c r="AB37" s="6" t="str">
        <f t="shared" si="11"/>
        <v/>
      </c>
      <c r="AC37" s="48">
        <f t="shared" si="22"/>
        <v>0</v>
      </c>
    </row>
    <row r="38" spans="3:29" x14ac:dyDescent="0.25">
      <c r="C38" s="27" t="str">
        <f t="shared" si="12"/>
        <v/>
      </c>
      <c r="D38" s="30" t="str">
        <f t="shared" si="13"/>
        <v/>
      </c>
      <c r="E38" s="20" t="str">
        <f t="shared" si="0"/>
        <v/>
      </c>
      <c r="F38" s="20" t="str">
        <f t="shared" si="1"/>
        <v/>
      </c>
      <c r="G38" s="24" t="str">
        <f t="shared" si="14"/>
        <v/>
      </c>
      <c r="H38" s="21" t="str">
        <f t="shared" si="2"/>
        <v/>
      </c>
      <c r="I38" s="66" t="str">
        <f t="shared" si="3"/>
        <v/>
      </c>
      <c r="J38" s="66" t="str">
        <f t="shared" si="4"/>
        <v/>
      </c>
      <c r="K38" s="11" t="str">
        <f t="shared" si="5"/>
        <v/>
      </c>
      <c r="L38" s="23" t="str">
        <f t="shared" si="19"/>
        <v/>
      </c>
      <c r="M38" s="100"/>
      <c r="N38" s="23" t="str">
        <f t="shared" si="6"/>
        <v/>
      </c>
      <c r="O38" s="23" t="str">
        <f t="shared" si="15"/>
        <v/>
      </c>
      <c r="P38" s="23" t="str">
        <f t="shared" si="16"/>
        <v/>
      </c>
      <c r="Q38" s="19" t="str">
        <f t="shared" si="7"/>
        <v/>
      </c>
      <c r="R38" s="19"/>
      <c r="T38" s="37" t="str">
        <f t="shared" si="8"/>
        <v/>
      </c>
      <c r="U38" s="37" t="str">
        <f t="shared" si="17"/>
        <v/>
      </c>
      <c r="W38" s="31" t="str">
        <f t="shared" si="20"/>
        <v/>
      </c>
      <c r="X38" s="31" t="str">
        <f t="shared" si="21"/>
        <v/>
      </c>
      <c r="Y38" s="34">
        <f t="shared" si="18"/>
        <v>1</v>
      </c>
      <c r="Z38" s="31">
        <f t="shared" si="9"/>
        <v>0</v>
      </c>
      <c r="AA38" s="66">
        <f t="shared" si="10"/>
        <v>0</v>
      </c>
      <c r="AB38" s="6" t="str">
        <f t="shared" si="11"/>
        <v/>
      </c>
      <c r="AC38" s="48">
        <f t="shared" si="22"/>
        <v>0</v>
      </c>
    </row>
    <row r="39" spans="3:29" x14ac:dyDescent="0.25">
      <c r="C39" s="27" t="str">
        <f t="shared" si="12"/>
        <v/>
      </c>
      <c r="D39" s="30" t="str">
        <f t="shared" si="13"/>
        <v/>
      </c>
      <c r="E39" s="20" t="str">
        <f t="shared" si="0"/>
        <v/>
      </c>
      <c r="F39" s="20" t="str">
        <f t="shared" si="1"/>
        <v/>
      </c>
      <c r="G39" s="24" t="str">
        <f t="shared" si="14"/>
        <v/>
      </c>
      <c r="H39" s="21" t="str">
        <f t="shared" si="2"/>
        <v/>
      </c>
      <c r="I39" s="66" t="str">
        <f t="shared" si="3"/>
        <v/>
      </c>
      <c r="J39" s="66" t="str">
        <f t="shared" si="4"/>
        <v/>
      </c>
      <c r="K39" s="11" t="str">
        <f t="shared" si="5"/>
        <v/>
      </c>
      <c r="L39" s="23" t="str">
        <f t="shared" si="19"/>
        <v/>
      </c>
      <c r="M39" s="100"/>
      <c r="N39" s="23" t="str">
        <f t="shared" si="6"/>
        <v/>
      </c>
      <c r="O39" s="23" t="str">
        <f t="shared" si="15"/>
        <v/>
      </c>
      <c r="P39" s="23" t="str">
        <f t="shared" si="16"/>
        <v/>
      </c>
      <c r="Q39" s="19" t="str">
        <f t="shared" si="7"/>
        <v/>
      </c>
      <c r="R39" s="19"/>
      <c r="T39" s="37" t="str">
        <f t="shared" si="8"/>
        <v/>
      </c>
      <c r="U39" s="37" t="str">
        <f t="shared" si="17"/>
        <v/>
      </c>
      <c r="W39" s="31" t="str">
        <f t="shared" si="20"/>
        <v/>
      </c>
      <c r="X39" s="31" t="str">
        <f t="shared" si="21"/>
        <v/>
      </c>
      <c r="Y39" s="34">
        <f t="shared" si="18"/>
        <v>1</v>
      </c>
      <c r="Z39" s="31">
        <f t="shared" si="9"/>
        <v>0</v>
      </c>
      <c r="AA39" s="66">
        <f t="shared" si="10"/>
        <v>0</v>
      </c>
      <c r="AB39" s="6" t="str">
        <f t="shared" si="11"/>
        <v/>
      </c>
      <c r="AC39" s="48">
        <f t="shared" si="22"/>
        <v>0</v>
      </c>
    </row>
    <row r="40" spans="3:29" x14ac:dyDescent="0.25">
      <c r="C40" s="27" t="str">
        <f t="shared" si="12"/>
        <v/>
      </c>
      <c r="D40" s="30" t="str">
        <f t="shared" si="13"/>
        <v/>
      </c>
      <c r="E40" s="20" t="str">
        <f t="shared" si="0"/>
        <v/>
      </c>
      <c r="F40" s="20" t="str">
        <f t="shared" si="1"/>
        <v/>
      </c>
      <c r="G40" s="24" t="str">
        <f t="shared" si="14"/>
        <v/>
      </c>
      <c r="H40" s="21" t="str">
        <f t="shared" si="2"/>
        <v/>
      </c>
      <c r="I40" s="66" t="str">
        <f t="shared" si="3"/>
        <v/>
      </c>
      <c r="J40" s="66" t="str">
        <f t="shared" si="4"/>
        <v/>
      </c>
      <c r="K40" s="11" t="str">
        <f t="shared" si="5"/>
        <v/>
      </c>
      <c r="L40" s="23" t="str">
        <f t="shared" si="19"/>
        <v/>
      </c>
      <c r="M40" s="100"/>
      <c r="N40" s="23" t="str">
        <f t="shared" si="6"/>
        <v/>
      </c>
      <c r="O40" s="23" t="str">
        <f t="shared" si="15"/>
        <v/>
      </c>
      <c r="P40" s="23" t="str">
        <f t="shared" si="16"/>
        <v/>
      </c>
      <c r="Q40" s="19" t="str">
        <f t="shared" si="7"/>
        <v/>
      </c>
      <c r="R40" s="19"/>
      <c r="T40" s="37" t="str">
        <f t="shared" si="8"/>
        <v/>
      </c>
      <c r="U40" s="37" t="str">
        <f t="shared" si="17"/>
        <v/>
      </c>
      <c r="W40" s="31" t="str">
        <f t="shared" si="20"/>
        <v/>
      </c>
      <c r="X40" s="31" t="str">
        <f t="shared" si="21"/>
        <v/>
      </c>
      <c r="Y40" s="34">
        <f t="shared" si="18"/>
        <v>1</v>
      </c>
      <c r="Z40" s="31">
        <f t="shared" si="9"/>
        <v>0</v>
      </c>
      <c r="AA40" s="66">
        <f t="shared" si="10"/>
        <v>0</v>
      </c>
      <c r="AB40" s="6" t="str">
        <f t="shared" si="11"/>
        <v/>
      </c>
      <c r="AC40" s="48">
        <f t="shared" si="22"/>
        <v>0</v>
      </c>
    </row>
    <row r="41" spans="3:29" x14ac:dyDescent="0.25">
      <c r="C41" s="27" t="str">
        <f t="shared" si="12"/>
        <v/>
      </c>
      <c r="D41" s="30" t="str">
        <f t="shared" si="13"/>
        <v/>
      </c>
      <c r="E41" s="20" t="str">
        <f t="shared" si="0"/>
        <v/>
      </c>
      <c r="F41" s="20" t="str">
        <f t="shared" si="1"/>
        <v/>
      </c>
      <c r="G41" s="24" t="str">
        <f t="shared" si="14"/>
        <v/>
      </c>
      <c r="H41" s="21" t="str">
        <f t="shared" si="2"/>
        <v/>
      </c>
      <c r="I41" s="66" t="str">
        <f t="shared" si="3"/>
        <v/>
      </c>
      <c r="J41" s="66" t="str">
        <f t="shared" si="4"/>
        <v/>
      </c>
      <c r="K41" s="11" t="str">
        <f t="shared" si="5"/>
        <v/>
      </c>
      <c r="L41" s="23" t="str">
        <f t="shared" si="19"/>
        <v/>
      </c>
      <c r="M41" s="100"/>
      <c r="N41" s="23" t="str">
        <f t="shared" si="6"/>
        <v/>
      </c>
      <c r="O41" s="23" t="str">
        <f t="shared" si="15"/>
        <v/>
      </c>
      <c r="P41" s="23" t="str">
        <f t="shared" si="16"/>
        <v/>
      </c>
      <c r="Q41" s="19" t="str">
        <f t="shared" si="7"/>
        <v/>
      </c>
      <c r="R41" s="19"/>
      <c r="T41" s="37" t="str">
        <f t="shared" si="8"/>
        <v/>
      </c>
      <c r="U41" s="37" t="str">
        <f t="shared" si="17"/>
        <v/>
      </c>
      <c r="W41" s="31" t="str">
        <f t="shared" si="20"/>
        <v/>
      </c>
      <c r="X41" s="31" t="str">
        <f t="shared" si="21"/>
        <v/>
      </c>
      <c r="Y41" s="34">
        <f t="shared" si="18"/>
        <v>1</v>
      </c>
      <c r="Z41" s="31">
        <f t="shared" si="9"/>
        <v>0</v>
      </c>
      <c r="AA41" s="66">
        <f t="shared" si="10"/>
        <v>0</v>
      </c>
      <c r="AB41" s="6" t="str">
        <f t="shared" si="11"/>
        <v/>
      </c>
      <c r="AC41" s="48">
        <f t="shared" si="22"/>
        <v>0</v>
      </c>
    </row>
    <row r="42" spans="3:29" x14ac:dyDescent="0.25">
      <c r="C42" s="27" t="str">
        <f t="shared" si="12"/>
        <v/>
      </c>
      <c r="D42" s="30" t="str">
        <f t="shared" si="13"/>
        <v/>
      </c>
      <c r="E42" s="20" t="str">
        <f t="shared" si="0"/>
        <v/>
      </c>
      <c r="F42" s="20" t="str">
        <f t="shared" si="1"/>
        <v/>
      </c>
      <c r="G42" s="24" t="str">
        <f t="shared" si="14"/>
        <v/>
      </c>
      <c r="H42" s="21" t="str">
        <f t="shared" si="2"/>
        <v/>
      </c>
      <c r="I42" s="66" t="str">
        <f t="shared" si="3"/>
        <v/>
      </c>
      <c r="J42" s="66" t="str">
        <f t="shared" si="4"/>
        <v/>
      </c>
      <c r="K42" s="11" t="str">
        <f t="shared" si="5"/>
        <v/>
      </c>
      <c r="L42" s="23" t="str">
        <f t="shared" si="19"/>
        <v/>
      </c>
      <c r="M42" s="100"/>
      <c r="N42" s="23" t="str">
        <f t="shared" si="6"/>
        <v/>
      </c>
      <c r="O42" s="23" t="str">
        <f t="shared" si="15"/>
        <v/>
      </c>
      <c r="P42" s="23" t="str">
        <f t="shared" si="16"/>
        <v/>
      </c>
      <c r="Q42" s="19" t="str">
        <f t="shared" si="7"/>
        <v/>
      </c>
      <c r="R42" s="19"/>
      <c r="T42" s="37" t="str">
        <f t="shared" si="8"/>
        <v/>
      </c>
      <c r="U42" s="37" t="str">
        <f t="shared" si="17"/>
        <v/>
      </c>
      <c r="W42" s="31" t="str">
        <f t="shared" si="20"/>
        <v/>
      </c>
      <c r="X42" s="31" t="str">
        <f t="shared" si="21"/>
        <v/>
      </c>
      <c r="Y42" s="34">
        <f t="shared" si="18"/>
        <v>1</v>
      </c>
      <c r="Z42" s="31">
        <f t="shared" si="9"/>
        <v>0</v>
      </c>
      <c r="AA42" s="66">
        <f t="shared" si="10"/>
        <v>0</v>
      </c>
      <c r="AB42" s="6" t="str">
        <f t="shared" si="11"/>
        <v/>
      </c>
      <c r="AC42" s="48">
        <f t="shared" si="22"/>
        <v>0</v>
      </c>
    </row>
    <row r="43" spans="3:29" x14ac:dyDescent="0.25">
      <c r="C43" s="27" t="str">
        <f t="shared" si="12"/>
        <v/>
      </c>
      <c r="D43" s="30" t="str">
        <f t="shared" si="13"/>
        <v/>
      </c>
      <c r="E43" s="20" t="str">
        <f t="shared" si="0"/>
        <v/>
      </c>
      <c r="F43" s="20" t="str">
        <f t="shared" si="1"/>
        <v/>
      </c>
      <c r="G43" s="24" t="str">
        <f t="shared" si="14"/>
        <v/>
      </c>
      <c r="H43" s="21" t="str">
        <f t="shared" si="2"/>
        <v/>
      </c>
      <c r="I43" s="66" t="str">
        <f t="shared" si="3"/>
        <v/>
      </c>
      <c r="J43" s="66" t="str">
        <f t="shared" si="4"/>
        <v/>
      </c>
      <c r="K43" s="11" t="str">
        <f t="shared" si="5"/>
        <v/>
      </c>
      <c r="L43" s="23" t="str">
        <f t="shared" si="19"/>
        <v/>
      </c>
      <c r="M43" s="100"/>
      <c r="N43" s="23" t="str">
        <f t="shared" si="6"/>
        <v/>
      </c>
      <c r="O43" s="23" t="str">
        <f t="shared" si="15"/>
        <v/>
      </c>
      <c r="P43" s="23" t="str">
        <f t="shared" si="16"/>
        <v/>
      </c>
      <c r="Q43" s="19" t="str">
        <f t="shared" si="7"/>
        <v/>
      </c>
      <c r="R43" s="19"/>
      <c r="T43" s="37" t="str">
        <f t="shared" si="8"/>
        <v/>
      </c>
      <c r="U43" s="37" t="str">
        <f t="shared" si="17"/>
        <v/>
      </c>
      <c r="W43" s="31" t="str">
        <f t="shared" si="20"/>
        <v/>
      </c>
      <c r="X43" s="31" t="str">
        <f t="shared" si="21"/>
        <v/>
      </c>
      <c r="Y43" s="34">
        <f t="shared" si="18"/>
        <v>1</v>
      </c>
      <c r="Z43" s="31">
        <f t="shared" si="9"/>
        <v>0</v>
      </c>
      <c r="AA43" s="66">
        <f t="shared" si="10"/>
        <v>0</v>
      </c>
      <c r="AB43" s="6" t="str">
        <f t="shared" si="11"/>
        <v/>
      </c>
      <c r="AC43" s="48">
        <f t="shared" si="22"/>
        <v>0</v>
      </c>
    </row>
    <row r="44" spans="3:29" x14ac:dyDescent="0.25">
      <c r="C44" s="27" t="str">
        <f t="shared" si="12"/>
        <v/>
      </c>
      <c r="D44" s="30" t="str">
        <f t="shared" si="13"/>
        <v/>
      </c>
      <c r="E44" s="20" t="str">
        <f t="shared" si="0"/>
        <v/>
      </c>
      <c r="F44" s="20" t="str">
        <f t="shared" si="1"/>
        <v/>
      </c>
      <c r="G44" s="24" t="str">
        <f t="shared" si="14"/>
        <v/>
      </c>
      <c r="H44" s="21" t="str">
        <f t="shared" si="2"/>
        <v/>
      </c>
      <c r="I44" s="66" t="str">
        <f t="shared" si="3"/>
        <v/>
      </c>
      <c r="J44" s="66" t="str">
        <f t="shared" si="4"/>
        <v/>
      </c>
      <c r="K44" s="11" t="str">
        <f t="shared" si="5"/>
        <v/>
      </c>
      <c r="L44" s="23" t="str">
        <f t="shared" si="19"/>
        <v/>
      </c>
      <c r="M44" s="100"/>
      <c r="N44" s="23" t="str">
        <f t="shared" si="6"/>
        <v/>
      </c>
      <c r="O44" s="23" t="str">
        <f t="shared" si="15"/>
        <v/>
      </c>
      <c r="P44" s="23" t="str">
        <f t="shared" si="16"/>
        <v/>
      </c>
      <c r="Q44" s="19" t="str">
        <f t="shared" si="7"/>
        <v/>
      </c>
      <c r="R44" s="19"/>
      <c r="T44" s="37" t="str">
        <f t="shared" si="8"/>
        <v/>
      </c>
      <c r="U44" s="37" t="str">
        <f t="shared" si="17"/>
        <v/>
      </c>
      <c r="W44" s="31" t="str">
        <f t="shared" si="20"/>
        <v/>
      </c>
      <c r="X44" s="31" t="str">
        <f t="shared" si="21"/>
        <v/>
      </c>
      <c r="Y44" s="34">
        <f t="shared" si="18"/>
        <v>1</v>
      </c>
      <c r="Z44" s="31">
        <f t="shared" si="9"/>
        <v>0</v>
      </c>
      <c r="AA44" s="66">
        <f t="shared" si="10"/>
        <v>0</v>
      </c>
      <c r="AB44" s="6" t="str">
        <f t="shared" si="11"/>
        <v/>
      </c>
      <c r="AC44" s="48">
        <f t="shared" si="22"/>
        <v>0</v>
      </c>
    </row>
    <row r="45" spans="3:29" x14ac:dyDescent="0.25">
      <c r="C45" s="27" t="str">
        <f t="shared" si="12"/>
        <v/>
      </c>
      <c r="D45" s="30" t="str">
        <f t="shared" si="13"/>
        <v/>
      </c>
      <c r="E45" s="20" t="str">
        <f t="shared" si="0"/>
        <v/>
      </c>
      <c r="F45" s="20" t="str">
        <f t="shared" si="1"/>
        <v/>
      </c>
      <c r="G45" s="24" t="str">
        <f t="shared" si="14"/>
        <v/>
      </c>
      <c r="H45" s="21" t="str">
        <f t="shared" si="2"/>
        <v/>
      </c>
      <c r="I45" s="66" t="str">
        <f t="shared" si="3"/>
        <v/>
      </c>
      <c r="J45" s="66" t="str">
        <f t="shared" si="4"/>
        <v/>
      </c>
      <c r="K45" s="11" t="str">
        <f t="shared" si="5"/>
        <v/>
      </c>
      <c r="L45" s="23" t="str">
        <f t="shared" si="19"/>
        <v/>
      </c>
      <c r="M45" s="100"/>
      <c r="N45" s="23" t="str">
        <f t="shared" si="6"/>
        <v/>
      </c>
      <c r="O45" s="23" t="str">
        <f t="shared" si="15"/>
        <v/>
      </c>
      <c r="P45" s="23" t="str">
        <f t="shared" si="16"/>
        <v/>
      </c>
      <c r="Q45" s="19" t="str">
        <f t="shared" si="7"/>
        <v/>
      </c>
      <c r="R45" s="19"/>
      <c r="T45" s="37" t="str">
        <f t="shared" si="8"/>
        <v/>
      </c>
      <c r="U45" s="37" t="str">
        <f t="shared" si="17"/>
        <v/>
      </c>
      <c r="W45" s="31" t="str">
        <f t="shared" si="20"/>
        <v/>
      </c>
      <c r="X45" s="31" t="str">
        <f t="shared" si="21"/>
        <v/>
      </c>
      <c r="Y45" s="34">
        <f t="shared" si="18"/>
        <v>1</v>
      </c>
      <c r="Z45" s="31">
        <f t="shared" si="9"/>
        <v>0</v>
      </c>
      <c r="AA45" s="66">
        <f t="shared" si="10"/>
        <v>0</v>
      </c>
      <c r="AB45" s="6" t="str">
        <f t="shared" si="11"/>
        <v/>
      </c>
      <c r="AC45" s="48">
        <f>AC44+$M$17</f>
        <v>0</v>
      </c>
    </row>
    <row r="46" spans="3:29" x14ac:dyDescent="0.25">
      <c r="C46" s="27" t="str">
        <f t="shared" si="12"/>
        <v/>
      </c>
      <c r="D46" s="30" t="str">
        <f t="shared" si="13"/>
        <v/>
      </c>
      <c r="E46" s="20" t="str">
        <f t="shared" si="0"/>
        <v/>
      </c>
      <c r="F46" s="20" t="str">
        <f t="shared" si="1"/>
        <v/>
      </c>
      <c r="G46" s="24" t="str">
        <f t="shared" si="14"/>
        <v/>
      </c>
      <c r="H46" s="21" t="str">
        <f t="shared" si="2"/>
        <v/>
      </c>
      <c r="I46" s="66" t="str">
        <f t="shared" si="3"/>
        <v/>
      </c>
      <c r="J46" s="66" t="str">
        <f t="shared" si="4"/>
        <v/>
      </c>
      <c r="K46" s="11" t="str">
        <f t="shared" si="5"/>
        <v/>
      </c>
      <c r="L46" s="23" t="str">
        <f t="shared" si="19"/>
        <v/>
      </c>
      <c r="M46" s="100"/>
      <c r="N46" s="23" t="str">
        <f t="shared" si="6"/>
        <v/>
      </c>
      <c r="O46" s="23" t="str">
        <f t="shared" si="15"/>
        <v/>
      </c>
      <c r="P46" s="23" t="str">
        <f t="shared" si="16"/>
        <v/>
      </c>
      <c r="Q46" s="19" t="str">
        <f t="shared" si="7"/>
        <v/>
      </c>
      <c r="R46" s="19"/>
      <c r="T46" s="37" t="str">
        <f t="shared" si="8"/>
        <v/>
      </c>
      <c r="U46" s="37" t="str">
        <f t="shared" si="17"/>
        <v/>
      </c>
      <c r="W46" s="31" t="str">
        <f t="shared" si="20"/>
        <v/>
      </c>
      <c r="X46" s="31" t="str">
        <f t="shared" si="21"/>
        <v/>
      </c>
      <c r="Y46" s="34">
        <f t="shared" si="18"/>
        <v>1</v>
      </c>
      <c r="Z46" s="31">
        <f t="shared" si="9"/>
        <v>0</v>
      </c>
      <c r="AA46" s="66">
        <f t="shared" si="10"/>
        <v>0</v>
      </c>
      <c r="AB46" s="6" t="str">
        <f t="shared" si="11"/>
        <v/>
      </c>
      <c r="AC46" s="48">
        <f t="shared" si="22"/>
        <v>0</v>
      </c>
    </row>
    <row r="47" spans="3:29" x14ac:dyDescent="0.25">
      <c r="C47" s="27" t="str">
        <f t="shared" si="12"/>
        <v/>
      </c>
      <c r="D47" s="30" t="str">
        <f t="shared" si="13"/>
        <v/>
      </c>
      <c r="E47" s="20" t="str">
        <f t="shared" si="0"/>
        <v/>
      </c>
      <c r="F47" s="20" t="str">
        <f t="shared" si="1"/>
        <v/>
      </c>
      <c r="G47" s="24" t="str">
        <f t="shared" si="14"/>
        <v/>
      </c>
      <c r="H47" s="21" t="str">
        <f t="shared" si="2"/>
        <v/>
      </c>
      <c r="I47" s="66" t="str">
        <f t="shared" si="3"/>
        <v/>
      </c>
      <c r="J47" s="66" t="str">
        <f t="shared" si="4"/>
        <v/>
      </c>
      <c r="K47" s="11" t="str">
        <f t="shared" si="5"/>
        <v/>
      </c>
      <c r="L47" s="23" t="str">
        <f t="shared" si="19"/>
        <v/>
      </c>
      <c r="M47" s="100"/>
      <c r="N47" s="23" t="str">
        <f t="shared" si="6"/>
        <v/>
      </c>
      <c r="O47" s="23" t="str">
        <f t="shared" si="15"/>
        <v/>
      </c>
      <c r="P47" s="23" t="str">
        <f t="shared" si="16"/>
        <v/>
      </c>
      <c r="Q47" s="19" t="str">
        <f t="shared" si="7"/>
        <v/>
      </c>
      <c r="R47" s="19"/>
      <c r="T47" s="37" t="str">
        <f t="shared" si="8"/>
        <v/>
      </c>
      <c r="U47" s="37" t="str">
        <f t="shared" si="17"/>
        <v/>
      </c>
      <c r="W47" s="31" t="str">
        <f t="shared" si="20"/>
        <v/>
      </c>
      <c r="X47" s="31" t="str">
        <f t="shared" si="21"/>
        <v/>
      </c>
      <c r="Y47" s="34">
        <f t="shared" si="18"/>
        <v>1</v>
      </c>
      <c r="Z47" s="31">
        <f t="shared" si="9"/>
        <v>0</v>
      </c>
      <c r="AA47" s="66">
        <f t="shared" si="10"/>
        <v>0</v>
      </c>
      <c r="AB47" s="6" t="str">
        <f t="shared" si="11"/>
        <v/>
      </c>
      <c r="AC47" s="48">
        <f t="shared" si="22"/>
        <v>0</v>
      </c>
    </row>
    <row r="48" spans="3:29" x14ac:dyDescent="0.25">
      <c r="C48" s="27" t="str">
        <f t="shared" si="12"/>
        <v/>
      </c>
      <c r="D48" s="30" t="str">
        <f t="shared" si="13"/>
        <v/>
      </c>
      <c r="E48" s="20" t="str">
        <f t="shared" si="0"/>
        <v/>
      </c>
      <c r="F48" s="20" t="str">
        <f t="shared" si="1"/>
        <v/>
      </c>
      <c r="G48" s="24" t="str">
        <f t="shared" si="14"/>
        <v/>
      </c>
      <c r="H48" s="21" t="str">
        <f t="shared" si="2"/>
        <v/>
      </c>
      <c r="I48" s="66" t="str">
        <f t="shared" si="3"/>
        <v/>
      </c>
      <c r="J48" s="66" t="str">
        <f t="shared" si="4"/>
        <v/>
      </c>
      <c r="K48" s="11" t="str">
        <f t="shared" si="5"/>
        <v/>
      </c>
      <c r="L48" s="23" t="str">
        <f t="shared" si="19"/>
        <v/>
      </c>
      <c r="M48" s="100"/>
      <c r="N48" s="23" t="str">
        <f t="shared" si="6"/>
        <v/>
      </c>
      <c r="O48" s="23" t="str">
        <f t="shared" si="15"/>
        <v/>
      </c>
      <c r="P48" s="23" t="str">
        <f t="shared" si="16"/>
        <v/>
      </c>
      <c r="Q48" s="19" t="str">
        <f t="shared" si="7"/>
        <v/>
      </c>
      <c r="R48" s="19"/>
      <c r="T48" s="37" t="str">
        <f t="shared" si="8"/>
        <v/>
      </c>
      <c r="U48" s="37" t="str">
        <f t="shared" si="17"/>
        <v/>
      </c>
      <c r="W48" s="31" t="str">
        <f t="shared" si="20"/>
        <v/>
      </c>
      <c r="X48" s="31" t="str">
        <f t="shared" si="21"/>
        <v/>
      </c>
      <c r="Y48" s="34">
        <f t="shared" si="18"/>
        <v>1</v>
      </c>
      <c r="Z48" s="31">
        <f t="shared" si="9"/>
        <v>0</v>
      </c>
      <c r="AA48" s="66">
        <f t="shared" si="10"/>
        <v>0</v>
      </c>
      <c r="AB48" s="6" t="str">
        <f t="shared" si="11"/>
        <v/>
      </c>
      <c r="AC48" s="48">
        <f t="shared" si="22"/>
        <v>0</v>
      </c>
    </row>
    <row r="49" spans="3:29" x14ac:dyDescent="0.25">
      <c r="C49" s="27" t="str">
        <f t="shared" si="12"/>
        <v/>
      </c>
      <c r="D49" s="30" t="str">
        <f t="shared" si="13"/>
        <v/>
      </c>
      <c r="E49" s="20" t="str">
        <f t="shared" si="0"/>
        <v/>
      </c>
      <c r="F49" s="20" t="str">
        <f t="shared" si="1"/>
        <v/>
      </c>
      <c r="G49" s="24" t="str">
        <f t="shared" si="14"/>
        <v/>
      </c>
      <c r="H49" s="21" t="str">
        <f t="shared" si="2"/>
        <v/>
      </c>
      <c r="I49" s="66" t="str">
        <f t="shared" si="3"/>
        <v/>
      </c>
      <c r="J49" s="66" t="str">
        <f t="shared" si="4"/>
        <v/>
      </c>
      <c r="K49" s="11" t="str">
        <f t="shared" si="5"/>
        <v/>
      </c>
      <c r="L49" s="23" t="str">
        <f t="shared" si="19"/>
        <v/>
      </c>
      <c r="M49" s="100"/>
      <c r="N49" s="23" t="str">
        <f t="shared" si="6"/>
        <v/>
      </c>
      <c r="O49" s="23" t="str">
        <f t="shared" si="15"/>
        <v/>
      </c>
      <c r="P49" s="23" t="str">
        <f t="shared" si="16"/>
        <v/>
      </c>
      <c r="Q49" s="19" t="str">
        <f t="shared" si="7"/>
        <v/>
      </c>
      <c r="R49" s="19"/>
      <c r="T49" s="37" t="str">
        <f t="shared" si="8"/>
        <v/>
      </c>
      <c r="U49" s="37" t="str">
        <f t="shared" si="17"/>
        <v/>
      </c>
      <c r="W49" s="31" t="str">
        <f t="shared" si="20"/>
        <v/>
      </c>
      <c r="X49" s="31" t="str">
        <f t="shared" si="21"/>
        <v/>
      </c>
      <c r="Y49" s="34">
        <f t="shared" si="18"/>
        <v>1</v>
      </c>
      <c r="Z49" s="31">
        <f t="shared" si="9"/>
        <v>0</v>
      </c>
      <c r="AA49" s="66">
        <f t="shared" si="10"/>
        <v>0</v>
      </c>
      <c r="AB49" s="6" t="str">
        <f t="shared" si="11"/>
        <v/>
      </c>
      <c r="AC49" s="48">
        <f t="shared" si="22"/>
        <v>0</v>
      </c>
    </row>
    <row r="50" spans="3:29" x14ac:dyDescent="0.25">
      <c r="C50" s="27" t="str">
        <f t="shared" si="12"/>
        <v/>
      </c>
      <c r="D50" s="30" t="str">
        <f t="shared" si="13"/>
        <v/>
      </c>
      <c r="E50" s="20" t="str">
        <f t="shared" si="0"/>
        <v/>
      </c>
      <c r="F50" s="20" t="str">
        <f t="shared" si="1"/>
        <v/>
      </c>
      <c r="G50" s="24" t="str">
        <f t="shared" si="14"/>
        <v/>
      </c>
      <c r="H50" s="21" t="str">
        <f t="shared" si="2"/>
        <v/>
      </c>
      <c r="I50" s="66" t="str">
        <f t="shared" si="3"/>
        <v/>
      </c>
      <c r="J50" s="66" t="str">
        <f t="shared" si="4"/>
        <v/>
      </c>
      <c r="K50" s="11" t="str">
        <f t="shared" si="5"/>
        <v/>
      </c>
      <c r="L50" s="23" t="str">
        <f t="shared" si="19"/>
        <v/>
      </c>
      <c r="M50" s="100"/>
      <c r="N50" s="23" t="str">
        <f t="shared" si="6"/>
        <v/>
      </c>
      <c r="O50" s="23" t="str">
        <f t="shared" si="15"/>
        <v/>
      </c>
      <c r="P50" s="23" t="str">
        <f t="shared" si="16"/>
        <v/>
      </c>
      <c r="Q50" s="19" t="str">
        <f t="shared" si="7"/>
        <v/>
      </c>
      <c r="R50" s="19"/>
      <c r="T50" s="37" t="str">
        <f t="shared" si="8"/>
        <v/>
      </c>
      <c r="U50" s="37" t="str">
        <f t="shared" si="17"/>
        <v/>
      </c>
      <c r="W50" s="31" t="str">
        <f t="shared" si="20"/>
        <v/>
      </c>
      <c r="X50" s="31" t="str">
        <f t="shared" si="21"/>
        <v/>
      </c>
      <c r="Y50" s="34">
        <f t="shared" si="18"/>
        <v>1</v>
      </c>
      <c r="Z50" s="31">
        <f t="shared" si="9"/>
        <v>0</v>
      </c>
      <c r="AA50" s="66">
        <f t="shared" si="10"/>
        <v>0</v>
      </c>
      <c r="AB50" s="6" t="str">
        <f t="shared" si="11"/>
        <v/>
      </c>
      <c r="AC50" s="48">
        <f t="shared" si="22"/>
        <v>0</v>
      </c>
    </row>
    <row r="51" spans="3:29" x14ac:dyDescent="0.25">
      <c r="C51" s="27" t="str">
        <f t="shared" si="12"/>
        <v/>
      </c>
      <c r="D51" s="30" t="str">
        <f t="shared" si="13"/>
        <v/>
      </c>
      <c r="E51" s="20" t="str">
        <f t="shared" si="0"/>
        <v/>
      </c>
      <c r="F51" s="20" t="str">
        <f t="shared" si="1"/>
        <v/>
      </c>
      <c r="G51" s="24" t="str">
        <f t="shared" si="14"/>
        <v/>
      </c>
      <c r="H51" s="21" t="str">
        <f t="shared" si="2"/>
        <v/>
      </c>
      <c r="I51" s="66" t="str">
        <f t="shared" si="3"/>
        <v/>
      </c>
      <c r="J51" s="66" t="str">
        <f t="shared" si="4"/>
        <v/>
      </c>
      <c r="K51" s="11" t="str">
        <f t="shared" si="5"/>
        <v/>
      </c>
      <c r="L51" s="23" t="str">
        <f t="shared" si="19"/>
        <v/>
      </c>
      <c r="M51" s="100"/>
      <c r="N51" s="23" t="str">
        <f t="shared" si="6"/>
        <v/>
      </c>
      <c r="O51" s="23" t="str">
        <f t="shared" si="15"/>
        <v/>
      </c>
      <c r="P51" s="23" t="str">
        <f t="shared" si="16"/>
        <v/>
      </c>
      <c r="Q51" s="19" t="str">
        <f t="shared" si="7"/>
        <v/>
      </c>
      <c r="R51" s="19"/>
      <c r="T51" s="37" t="str">
        <f t="shared" si="8"/>
        <v/>
      </c>
      <c r="U51" s="37" t="str">
        <f t="shared" si="17"/>
        <v/>
      </c>
      <c r="W51" s="31" t="str">
        <f t="shared" si="20"/>
        <v/>
      </c>
      <c r="X51" s="31" t="str">
        <f t="shared" si="21"/>
        <v/>
      </c>
      <c r="Y51" s="34">
        <f t="shared" si="18"/>
        <v>1</v>
      </c>
      <c r="Z51" s="31">
        <f t="shared" si="9"/>
        <v>0</v>
      </c>
      <c r="AA51" s="66">
        <f t="shared" si="10"/>
        <v>0</v>
      </c>
      <c r="AB51" s="6" t="str">
        <f t="shared" si="11"/>
        <v/>
      </c>
      <c r="AC51" s="48">
        <f t="shared" si="22"/>
        <v>0</v>
      </c>
    </row>
    <row r="52" spans="3:29" x14ac:dyDescent="0.25">
      <c r="C52" s="27" t="str">
        <f t="shared" si="12"/>
        <v/>
      </c>
      <c r="D52" s="30" t="str">
        <f t="shared" si="13"/>
        <v/>
      </c>
      <c r="E52" s="20" t="str">
        <f t="shared" si="0"/>
        <v/>
      </c>
      <c r="F52" s="20" t="str">
        <f t="shared" si="1"/>
        <v/>
      </c>
      <c r="G52" s="24" t="str">
        <f t="shared" si="14"/>
        <v/>
      </c>
      <c r="H52" s="21" t="str">
        <f t="shared" si="2"/>
        <v/>
      </c>
      <c r="I52" s="66" t="str">
        <f t="shared" si="3"/>
        <v/>
      </c>
      <c r="J52" s="66" t="str">
        <f t="shared" si="4"/>
        <v/>
      </c>
      <c r="K52" s="11" t="str">
        <f t="shared" si="5"/>
        <v/>
      </c>
      <c r="L52" s="23" t="str">
        <f t="shared" si="19"/>
        <v/>
      </c>
      <c r="M52" s="100"/>
      <c r="N52" s="23" t="str">
        <f t="shared" si="6"/>
        <v/>
      </c>
      <c r="O52" s="23" t="str">
        <f t="shared" si="15"/>
        <v/>
      </c>
      <c r="P52" s="23" t="str">
        <f t="shared" si="16"/>
        <v/>
      </c>
      <c r="Q52" s="19" t="str">
        <f t="shared" si="7"/>
        <v/>
      </c>
      <c r="R52" s="19"/>
      <c r="T52" s="37" t="str">
        <f t="shared" si="8"/>
        <v/>
      </c>
      <c r="U52" s="37" t="str">
        <f t="shared" si="17"/>
        <v/>
      </c>
      <c r="W52" s="31" t="str">
        <f t="shared" si="20"/>
        <v/>
      </c>
      <c r="X52" s="31" t="str">
        <f t="shared" si="21"/>
        <v/>
      </c>
      <c r="Y52" s="34">
        <f t="shared" si="18"/>
        <v>1</v>
      </c>
      <c r="Z52" s="31">
        <f t="shared" si="9"/>
        <v>0</v>
      </c>
      <c r="AA52" s="66">
        <f t="shared" si="10"/>
        <v>0</v>
      </c>
      <c r="AB52" s="6" t="str">
        <f t="shared" si="11"/>
        <v/>
      </c>
      <c r="AC52" s="48">
        <f t="shared" si="22"/>
        <v>0</v>
      </c>
    </row>
    <row r="53" spans="3:29" x14ac:dyDescent="0.25">
      <c r="C53" s="27" t="str">
        <f t="shared" si="12"/>
        <v/>
      </c>
      <c r="D53" s="30" t="str">
        <f t="shared" si="13"/>
        <v/>
      </c>
      <c r="E53" s="20" t="str">
        <f t="shared" si="0"/>
        <v/>
      </c>
      <c r="F53" s="20" t="str">
        <f t="shared" si="1"/>
        <v/>
      </c>
      <c r="G53" s="24" t="str">
        <f t="shared" si="14"/>
        <v/>
      </c>
      <c r="H53" s="21" t="str">
        <f t="shared" si="2"/>
        <v/>
      </c>
      <c r="I53" s="66" t="str">
        <f t="shared" si="3"/>
        <v/>
      </c>
      <c r="J53" s="66" t="str">
        <f t="shared" si="4"/>
        <v/>
      </c>
      <c r="K53" s="11" t="str">
        <f t="shared" si="5"/>
        <v/>
      </c>
      <c r="L53" s="23" t="str">
        <f t="shared" si="19"/>
        <v/>
      </c>
      <c r="M53" s="100"/>
      <c r="N53" s="23" t="str">
        <f t="shared" si="6"/>
        <v/>
      </c>
      <c r="O53" s="23" t="str">
        <f t="shared" si="15"/>
        <v/>
      </c>
      <c r="P53" s="23" t="str">
        <f t="shared" si="16"/>
        <v/>
      </c>
      <c r="Q53" s="19" t="str">
        <f t="shared" si="7"/>
        <v/>
      </c>
      <c r="R53" s="19"/>
      <c r="T53" s="37" t="str">
        <f t="shared" si="8"/>
        <v/>
      </c>
      <c r="U53" s="37" t="str">
        <f t="shared" si="17"/>
        <v/>
      </c>
      <c r="W53" s="31" t="str">
        <f t="shared" si="20"/>
        <v/>
      </c>
      <c r="X53" s="31" t="str">
        <f t="shared" si="21"/>
        <v/>
      </c>
      <c r="Y53" s="34">
        <f t="shared" si="18"/>
        <v>1</v>
      </c>
      <c r="Z53" s="31">
        <f t="shared" si="9"/>
        <v>0</v>
      </c>
      <c r="AA53" s="66">
        <f t="shared" si="10"/>
        <v>0</v>
      </c>
      <c r="AB53" s="6" t="str">
        <f t="shared" si="11"/>
        <v/>
      </c>
      <c r="AC53" s="48">
        <f t="shared" si="22"/>
        <v>0</v>
      </c>
    </row>
    <row r="54" spans="3:29" x14ac:dyDescent="0.25">
      <c r="C54" s="27" t="str">
        <f t="shared" si="12"/>
        <v/>
      </c>
      <c r="D54" s="30" t="str">
        <f t="shared" si="13"/>
        <v/>
      </c>
      <c r="E54" s="20" t="str">
        <f t="shared" si="0"/>
        <v/>
      </c>
      <c r="F54" s="20" t="str">
        <f t="shared" si="1"/>
        <v/>
      </c>
      <c r="G54" s="24" t="str">
        <f t="shared" si="14"/>
        <v/>
      </c>
      <c r="H54" s="21" t="str">
        <f t="shared" si="2"/>
        <v/>
      </c>
      <c r="I54" s="66" t="str">
        <f t="shared" si="3"/>
        <v/>
      </c>
      <c r="J54" s="66" t="str">
        <f t="shared" si="4"/>
        <v/>
      </c>
      <c r="K54" s="11" t="str">
        <f t="shared" si="5"/>
        <v/>
      </c>
      <c r="L54" s="23" t="str">
        <f t="shared" si="19"/>
        <v/>
      </c>
      <c r="M54" s="100"/>
      <c r="N54" s="23" t="str">
        <f t="shared" si="6"/>
        <v/>
      </c>
      <c r="O54" s="23" t="str">
        <f t="shared" si="15"/>
        <v/>
      </c>
      <c r="P54" s="23" t="str">
        <f t="shared" si="16"/>
        <v/>
      </c>
      <c r="Q54" s="19" t="str">
        <f t="shared" si="7"/>
        <v/>
      </c>
      <c r="R54" s="19"/>
      <c r="T54" s="37" t="str">
        <f t="shared" si="8"/>
        <v/>
      </c>
      <c r="U54" s="37" t="str">
        <f t="shared" si="17"/>
        <v/>
      </c>
      <c r="W54" s="31" t="str">
        <f t="shared" si="20"/>
        <v/>
      </c>
      <c r="X54" s="31" t="str">
        <f t="shared" si="21"/>
        <v/>
      </c>
      <c r="Y54" s="34">
        <f t="shared" si="18"/>
        <v>1</v>
      </c>
      <c r="Z54" s="31">
        <f t="shared" si="9"/>
        <v>0</v>
      </c>
      <c r="AA54" s="66">
        <f t="shared" si="10"/>
        <v>0</v>
      </c>
      <c r="AB54" s="6" t="str">
        <f t="shared" si="11"/>
        <v/>
      </c>
      <c r="AC54" s="48">
        <f t="shared" si="22"/>
        <v>0</v>
      </c>
    </row>
    <row r="55" spans="3:29" x14ac:dyDescent="0.25">
      <c r="C55" s="27" t="str">
        <f t="shared" si="12"/>
        <v/>
      </c>
      <c r="D55" s="30" t="str">
        <f t="shared" si="13"/>
        <v/>
      </c>
      <c r="E55" s="20" t="str">
        <f t="shared" si="0"/>
        <v/>
      </c>
      <c r="F55" s="20" t="str">
        <f t="shared" si="1"/>
        <v/>
      </c>
      <c r="G55" s="24" t="str">
        <f t="shared" si="14"/>
        <v/>
      </c>
      <c r="H55" s="21" t="str">
        <f t="shared" si="2"/>
        <v/>
      </c>
      <c r="I55" s="66" t="str">
        <f t="shared" si="3"/>
        <v/>
      </c>
      <c r="J55" s="66" t="str">
        <f t="shared" si="4"/>
        <v/>
      </c>
      <c r="K55" s="11" t="str">
        <f t="shared" si="5"/>
        <v/>
      </c>
      <c r="L55" s="23" t="str">
        <f t="shared" si="19"/>
        <v/>
      </c>
      <c r="M55" s="100"/>
      <c r="N55" s="23" t="str">
        <f t="shared" si="6"/>
        <v/>
      </c>
      <c r="O55" s="23" t="str">
        <f t="shared" si="15"/>
        <v/>
      </c>
      <c r="P55" s="23" t="str">
        <f t="shared" si="16"/>
        <v/>
      </c>
      <c r="Q55" s="19" t="str">
        <f t="shared" si="7"/>
        <v/>
      </c>
      <c r="R55" s="19"/>
      <c r="T55" s="37" t="str">
        <f t="shared" si="8"/>
        <v/>
      </c>
      <c r="U55" s="37" t="str">
        <f t="shared" si="17"/>
        <v/>
      </c>
      <c r="W55" s="31" t="str">
        <f t="shared" si="20"/>
        <v/>
      </c>
      <c r="X55" s="31" t="str">
        <f t="shared" si="21"/>
        <v/>
      </c>
      <c r="Y55" s="34">
        <f t="shared" si="18"/>
        <v>1</v>
      </c>
      <c r="Z55" s="31">
        <f t="shared" si="9"/>
        <v>0</v>
      </c>
      <c r="AA55" s="66">
        <f t="shared" si="10"/>
        <v>0</v>
      </c>
      <c r="AB55" s="6" t="str">
        <f t="shared" si="11"/>
        <v/>
      </c>
      <c r="AC55" s="48">
        <f t="shared" si="22"/>
        <v>0</v>
      </c>
    </row>
    <row r="56" spans="3:29" x14ac:dyDescent="0.25">
      <c r="C56" s="27" t="str">
        <f t="shared" si="12"/>
        <v/>
      </c>
      <c r="D56" s="30" t="str">
        <f t="shared" si="13"/>
        <v/>
      </c>
      <c r="E56" s="20" t="str">
        <f t="shared" si="0"/>
        <v/>
      </c>
      <c r="F56" s="20" t="str">
        <f t="shared" si="1"/>
        <v/>
      </c>
      <c r="G56" s="24" t="str">
        <f t="shared" si="14"/>
        <v/>
      </c>
      <c r="H56" s="21" t="str">
        <f t="shared" si="2"/>
        <v/>
      </c>
      <c r="I56" s="66" t="str">
        <f t="shared" si="3"/>
        <v/>
      </c>
      <c r="J56" s="66" t="str">
        <f t="shared" si="4"/>
        <v/>
      </c>
      <c r="K56" s="11" t="str">
        <f t="shared" si="5"/>
        <v/>
      </c>
      <c r="L56" s="23" t="str">
        <f t="shared" si="19"/>
        <v/>
      </c>
      <c r="M56" s="100"/>
      <c r="N56" s="23" t="str">
        <f t="shared" si="6"/>
        <v/>
      </c>
      <c r="O56" s="23" t="str">
        <f t="shared" si="15"/>
        <v/>
      </c>
      <c r="P56" s="23" t="str">
        <f t="shared" si="16"/>
        <v/>
      </c>
      <c r="Q56" s="19" t="str">
        <f t="shared" si="7"/>
        <v/>
      </c>
      <c r="R56" s="19"/>
      <c r="T56" s="37" t="str">
        <f t="shared" si="8"/>
        <v/>
      </c>
      <c r="U56" s="37" t="str">
        <f t="shared" si="17"/>
        <v/>
      </c>
      <c r="W56" s="31" t="str">
        <f t="shared" si="20"/>
        <v/>
      </c>
      <c r="X56" s="31" t="str">
        <f t="shared" si="21"/>
        <v/>
      </c>
      <c r="Y56" s="34">
        <f t="shared" si="18"/>
        <v>1</v>
      </c>
      <c r="Z56" s="31">
        <f t="shared" si="9"/>
        <v>0</v>
      </c>
      <c r="AA56" s="66">
        <f t="shared" si="10"/>
        <v>0</v>
      </c>
      <c r="AB56" s="6" t="str">
        <f t="shared" si="11"/>
        <v/>
      </c>
      <c r="AC56" s="48">
        <f t="shared" si="22"/>
        <v>0</v>
      </c>
    </row>
    <row r="57" spans="3:29" x14ac:dyDescent="0.25">
      <c r="C57" s="27" t="str">
        <f t="shared" si="12"/>
        <v/>
      </c>
      <c r="D57" s="30" t="str">
        <f t="shared" si="13"/>
        <v/>
      </c>
      <c r="E57" s="20" t="str">
        <f t="shared" si="0"/>
        <v/>
      </c>
      <c r="F57" s="20" t="str">
        <f t="shared" si="1"/>
        <v/>
      </c>
      <c r="G57" s="24" t="str">
        <f t="shared" si="14"/>
        <v/>
      </c>
      <c r="H57" s="21" t="str">
        <f t="shared" si="2"/>
        <v/>
      </c>
      <c r="I57" s="66" t="str">
        <f t="shared" si="3"/>
        <v/>
      </c>
      <c r="J57" s="66" t="str">
        <f t="shared" si="4"/>
        <v/>
      </c>
      <c r="K57" s="11" t="str">
        <f t="shared" si="5"/>
        <v/>
      </c>
      <c r="L57" s="23" t="str">
        <f t="shared" si="19"/>
        <v/>
      </c>
      <c r="M57" s="100"/>
      <c r="N57" s="23" t="str">
        <f t="shared" si="6"/>
        <v/>
      </c>
      <c r="O57" s="23" t="str">
        <f t="shared" si="15"/>
        <v/>
      </c>
      <c r="P57" s="23" t="str">
        <f t="shared" si="16"/>
        <v/>
      </c>
      <c r="Q57" s="19" t="str">
        <f t="shared" si="7"/>
        <v/>
      </c>
      <c r="R57" s="19"/>
      <c r="T57" s="37" t="str">
        <f t="shared" si="8"/>
        <v/>
      </c>
      <c r="U57" s="37" t="str">
        <f t="shared" si="17"/>
        <v/>
      </c>
      <c r="W57" s="31" t="str">
        <f t="shared" si="20"/>
        <v/>
      </c>
      <c r="X57" s="31" t="str">
        <f t="shared" si="21"/>
        <v/>
      </c>
      <c r="Y57" s="34">
        <f t="shared" si="18"/>
        <v>1</v>
      </c>
      <c r="Z57" s="31">
        <f t="shared" si="9"/>
        <v>0</v>
      </c>
      <c r="AA57" s="66">
        <f t="shared" si="10"/>
        <v>0</v>
      </c>
      <c r="AB57" s="6" t="str">
        <f t="shared" si="11"/>
        <v/>
      </c>
      <c r="AC57" s="48">
        <f>AC56+$M$17</f>
        <v>0</v>
      </c>
    </row>
    <row r="58" spans="3:29" x14ac:dyDescent="0.25">
      <c r="C58" s="27" t="str">
        <f t="shared" si="12"/>
        <v/>
      </c>
      <c r="D58" s="30" t="str">
        <f t="shared" si="13"/>
        <v/>
      </c>
      <c r="E58" s="20" t="str">
        <f t="shared" si="0"/>
        <v/>
      </c>
      <c r="F58" s="20" t="str">
        <f t="shared" si="1"/>
        <v/>
      </c>
      <c r="G58" s="24" t="str">
        <f t="shared" si="14"/>
        <v/>
      </c>
      <c r="H58" s="21" t="str">
        <f t="shared" si="2"/>
        <v/>
      </c>
      <c r="I58" s="66" t="str">
        <f t="shared" si="3"/>
        <v/>
      </c>
      <c r="J58" s="66" t="str">
        <f t="shared" si="4"/>
        <v/>
      </c>
      <c r="K58" s="11" t="str">
        <f t="shared" si="5"/>
        <v/>
      </c>
      <c r="L58" s="23" t="str">
        <f t="shared" si="19"/>
        <v/>
      </c>
      <c r="M58" s="100"/>
      <c r="N58" s="23" t="str">
        <f t="shared" si="6"/>
        <v/>
      </c>
      <c r="O58" s="23" t="str">
        <f t="shared" si="15"/>
        <v/>
      </c>
      <c r="P58" s="23" t="str">
        <f t="shared" si="16"/>
        <v/>
      </c>
      <c r="Q58" s="19" t="str">
        <f t="shared" si="7"/>
        <v/>
      </c>
      <c r="R58" s="19"/>
      <c r="T58" s="37" t="str">
        <f t="shared" si="8"/>
        <v/>
      </c>
      <c r="U58" s="37" t="str">
        <f t="shared" si="17"/>
        <v/>
      </c>
      <c r="W58" s="31" t="str">
        <f t="shared" si="20"/>
        <v/>
      </c>
      <c r="X58" s="31" t="str">
        <f t="shared" si="21"/>
        <v/>
      </c>
      <c r="Y58" s="34">
        <f t="shared" si="18"/>
        <v>1</v>
      </c>
      <c r="Z58" s="31">
        <f t="shared" si="9"/>
        <v>0</v>
      </c>
      <c r="AA58" s="66">
        <f t="shared" si="10"/>
        <v>0</v>
      </c>
      <c r="AB58" s="6" t="str">
        <f t="shared" si="11"/>
        <v/>
      </c>
      <c r="AC58" s="48">
        <f t="shared" si="22"/>
        <v>0</v>
      </c>
    </row>
    <row r="59" spans="3:29" x14ac:dyDescent="0.25">
      <c r="C59" s="27" t="str">
        <f t="shared" si="12"/>
        <v/>
      </c>
      <c r="D59" s="30" t="str">
        <f t="shared" si="13"/>
        <v/>
      </c>
      <c r="E59" s="20" t="str">
        <f t="shared" si="0"/>
        <v/>
      </c>
      <c r="F59" s="20" t="str">
        <f t="shared" si="1"/>
        <v/>
      </c>
      <c r="G59" s="24" t="str">
        <f t="shared" si="14"/>
        <v/>
      </c>
      <c r="H59" s="21" t="str">
        <f t="shared" si="2"/>
        <v/>
      </c>
      <c r="I59" s="66" t="str">
        <f t="shared" si="3"/>
        <v/>
      </c>
      <c r="J59" s="66" t="str">
        <f t="shared" si="4"/>
        <v/>
      </c>
      <c r="K59" s="11" t="str">
        <f t="shared" si="5"/>
        <v/>
      </c>
      <c r="L59" s="23" t="str">
        <f t="shared" si="19"/>
        <v/>
      </c>
      <c r="M59" s="100"/>
      <c r="N59" s="23" t="str">
        <f t="shared" si="6"/>
        <v/>
      </c>
      <c r="O59" s="23" t="str">
        <f t="shared" si="15"/>
        <v/>
      </c>
      <c r="P59" s="23" t="str">
        <f t="shared" si="16"/>
        <v/>
      </c>
      <c r="Q59" s="19" t="str">
        <f t="shared" si="7"/>
        <v/>
      </c>
      <c r="R59" s="19"/>
      <c r="T59" s="37" t="str">
        <f t="shared" si="8"/>
        <v/>
      </c>
      <c r="U59" s="37" t="str">
        <f t="shared" si="17"/>
        <v/>
      </c>
      <c r="W59" s="31" t="str">
        <f t="shared" si="20"/>
        <v/>
      </c>
      <c r="X59" s="31" t="str">
        <f t="shared" si="21"/>
        <v/>
      </c>
      <c r="Y59" s="34">
        <f t="shared" si="18"/>
        <v>1</v>
      </c>
      <c r="Z59" s="31">
        <f t="shared" si="9"/>
        <v>0</v>
      </c>
      <c r="AA59" s="66">
        <f t="shared" si="10"/>
        <v>0</v>
      </c>
      <c r="AB59" s="6" t="str">
        <f t="shared" si="11"/>
        <v/>
      </c>
      <c r="AC59" s="48">
        <f t="shared" si="22"/>
        <v>0</v>
      </c>
    </row>
    <row r="60" spans="3:29" x14ac:dyDescent="0.25">
      <c r="C60" s="27" t="str">
        <f t="shared" si="12"/>
        <v/>
      </c>
      <c r="D60" s="30" t="str">
        <f t="shared" si="13"/>
        <v/>
      </c>
      <c r="E60" s="20" t="str">
        <f t="shared" si="0"/>
        <v/>
      </c>
      <c r="F60" s="20" t="str">
        <f t="shared" si="1"/>
        <v/>
      </c>
      <c r="G60" s="24" t="str">
        <f t="shared" si="14"/>
        <v/>
      </c>
      <c r="H60" s="21" t="str">
        <f t="shared" si="2"/>
        <v/>
      </c>
      <c r="I60" s="66" t="str">
        <f t="shared" si="3"/>
        <v/>
      </c>
      <c r="J60" s="66" t="str">
        <f t="shared" si="4"/>
        <v/>
      </c>
      <c r="K60" s="11" t="str">
        <f t="shared" si="5"/>
        <v/>
      </c>
      <c r="L60" s="23" t="str">
        <f t="shared" si="19"/>
        <v/>
      </c>
      <c r="M60" s="100"/>
      <c r="N60" s="23" t="str">
        <f t="shared" si="6"/>
        <v/>
      </c>
      <c r="O60" s="23" t="str">
        <f t="shared" si="15"/>
        <v/>
      </c>
      <c r="P60" s="23" t="str">
        <f t="shared" si="16"/>
        <v/>
      </c>
      <c r="Q60" s="19" t="str">
        <f t="shared" si="7"/>
        <v/>
      </c>
      <c r="R60" s="19"/>
      <c r="T60" s="37" t="str">
        <f t="shared" si="8"/>
        <v/>
      </c>
      <c r="U60" s="37" t="str">
        <f t="shared" si="17"/>
        <v/>
      </c>
      <c r="W60" s="31" t="str">
        <f t="shared" si="20"/>
        <v/>
      </c>
      <c r="X60" s="31" t="str">
        <f t="shared" si="21"/>
        <v/>
      </c>
      <c r="Y60" s="34">
        <f t="shared" si="18"/>
        <v>1</v>
      </c>
      <c r="Z60" s="31">
        <f t="shared" si="9"/>
        <v>0</v>
      </c>
      <c r="AA60" s="66">
        <f t="shared" si="10"/>
        <v>0</v>
      </c>
      <c r="AB60" s="6" t="str">
        <f t="shared" si="11"/>
        <v/>
      </c>
      <c r="AC60" s="48">
        <f t="shared" si="22"/>
        <v>0</v>
      </c>
    </row>
    <row r="61" spans="3:29" x14ac:dyDescent="0.25">
      <c r="C61" s="27" t="str">
        <f t="shared" si="12"/>
        <v/>
      </c>
      <c r="D61" s="30" t="str">
        <f t="shared" si="13"/>
        <v/>
      </c>
      <c r="E61" s="20" t="str">
        <f t="shared" si="0"/>
        <v/>
      </c>
      <c r="F61" s="20" t="str">
        <f t="shared" si="1"/>
        <v/>
      </c>
      <c r="G61" s="24" t="str">
        <f t="shared" si="14"/>
        <v/>
      </c>
      <c r="H61" s="21" t="str">
        <f t="shared" si="2"/>
        <v/>
      </c>
      <c r="I61" s="66" t="str">
        <f t="shared" si="3"/>
        <v/>
      </c>
      <c r="J61" s="66" t="str">
        <f t="shared" si="4"/>
        <v/>
      </c>
      <c r="K61" s="11" t="str">
        <f t="shared" si="5"/>
        <v/>
      </c>
      <c r="L61" s="23" t="str">
        <f t="shared" si="19"/>
        <v/>
      </c>
      <c r="M61" s="100"/>
      <c r="N61" s="23" t="str">
        <f t="shared" si="6"/>
        <v/>
      </c>
      <c r="O61" s="23" t="str">
        <f t="shared" si="15"/>
        <v/>
      </c>
      <c r="P61" s="23" t="str">
        <f t="shared" si="16"/>
        <v/>
      </c>
      <c r="Q61" s="19" t="str">
        <f t="shared" si="7"/>
        <v/>
      </c>
      <c r="R61" s="19"/>
      <c r="T61" s="37" t="str">
        <f t="shared" si="8"/>
        <v/>
      </c>
      <c r="U61" s="37" t="str">
        <f t="shared" si="17"/>
        <v/>
      </c>
      <c r="W61" s="31" t="str">
        <f t="shared" si="20"/>
        <v/>
      </c>
      <c r="X61" s="31" t="str">
        <f t="shared" si="21"/>
        <v/>
      </c>
      <c r="Y61" s="34">
        <f t="shared" si="18"/>
        <v>1</v>
      </c>
      <c r="Z61" s="31">
        <f t="shared" si="9"/>
        <v>0</v>
      </c>
      <c r="AA61" s="66">
        <f t="shared" si="10"/>
        <v>0</v>
      </c>
      <c r="AB61" s="6" t="str">
        <f t="shared" si="11"/>
        <v/>
      </c>
      <c r="AC61" s="48">
        <f t="shared" si="22"/>
        <v>0</v>
      </c>
    </row>
    <row r="62" spans="3:29" x14ac:dyDescent="0.25">
      <c r="C62" s="27" t="str">
        <f t="shared" si="12"/>
        <v/>
      </c>
      <c r="D62" s="30" t="str">
        <f t="shared" si="13"/>
        <v/>
      </c>
      <c r="E62" s="20" t="str">
        <f t="shared" si="0"/>
        <v/>
      </c>
      <c r="F62" s="20" t="str">
        <f t="shared" si="1"/>
        <v/>
      </c>
      <c r="G62" s="24" t="str">
        <f t="shared" si="14"/>
        <v/>
      </c>
      <c r="H62" s="21" t="str">
        <f t="shared" si="2"/>
        <v/>
      </c>
      <c r="I62" s="66" t="str">
        <f t="shared" si="3"/>
        <v/>
      </c>
      <c r="J62" s="66" t="str">
        <f t="shared" si="4"/>
        <v/>
      </c>
      <c r="K62" s="11" t="str">
        <f t="shared" si="5"/>
        <v/>
      </c>
      <c r="L62" s="23" t="str">
        <f t="shared" si="19"/>
        <v/>
      </c>
      <c r="M62" s="100"/>
      <c r="N62" s="23" t="str">
        <f t="shared" si="6"/>
        <v/>
      </c>
      <c r="O62" s="23" t="str">
        <f t="shared" si="15"/>
        <v/>
      </c>
      <c r="P62" s="23" t="str">
        <f t="shared" si="16"/>
        <v/>
      </c>
      <c r="Q62" s="19" t="str">
        <f t="shared" si="7"/>
        <v/>
      </c>
      <c r="R62" s="19"/>
      <c r="T62" s="37" t="str">
        <f t="shared" si="8"/>
        <v/>
      </c>
      <c r="U62" s="37" t="str">
        <f t="shared" si="17"/>
        <v/>
      </c>
      <c r="W62" s="31" t="str">
        <f t="shared" si="20"/>
        <v/>
      </c>
      <c r="X62" s="31" t="str">
        <f t="shared" si="21"/>
        <v/>
      </c>
      <c r="Y62" s="34">
        <f t="shared" si="18"/>
        <v>1</v>
      </c>
      <c r="Z62" s="31">
        <f t="shared" si="9"/>
        <v>0</v>
      </c>
      <c r="AA62" s="66">
        <f t="shared" si="10"/>
        <v>0</v>
      </c>
      <c r="AB62" s="6" t="str">
        <f t="shared" si="11"/>
        <v/>
      </c>
      <c r="AC62" s="48">
        <f t="shared" si="22"/>
        <v>0</v>
      </c>
    </row>
    <row r="63" spans="3:29" x14ac:dyDescent="0.25">
      <c r="C63" s="27" t="str">
        <f t="shared" si="12"/>
        <v/>
      </c>
      <c r="D63" s="30" t="str">
        <f t="shared" si="13"/>
        <v/>
      </c>
      <c r="E63" s="20" t="str">
        <f t="shared" si="0"/>
        <v/>
      </c>
      <c r="F63" s="20" t="str">
        <f t="shared" si="1"/>
        <v/>
      </c>
      <c r="G63" s="24" t="str">
        <f t="shared" si="14"/>
        <v/>
      </c>
      <c r="H63" s="21" t="str">
        <f t="shared" si="2"/>
        <v/>
      </c>
      <c r="I63" s="66" t="str">
        <f t="shared" si="3"/>
        <v/>
      </c>
      <c r="J63" s="66" t="str">
        <f t="shared" si="4"/>
        <v/>
      </c>
      <c r="K63" s="11" t="str">
        <f t="shared" si="5"/>
        <v/>
      </c>
      <c r="L63" s="23" t="str">
        <f t="shared" si="19"/>
        <v/>
      </c>
      <c r="M63" s="100"/>
      <c r="N63" s="23" t="str">
        <f t="shared" si="6"/>
        <v/>
      </c>
      <c r="O63" s="23" t="str">
        <f t="shared" si="15"/>
        <v/>
      </c>
      <c r="P63" s="23" t="str">
        <f t="shared" si="16"/>
        <v/>
      </c>
      <c r="Q63" s="19" t="str">
        <f t="shared" si="7"/>
        <v/>
      </c>
      <c r="R63" s="19"/>
      <c r="T63" s="37" t="str">
        <f t="shared" si="8"/>
        <v/>
      </c>
      <c r="U63" s="37" t="str">
        <f t="shared" si="17"/>
        <v/>
      </c>
      <c r="W63" s="31" t="str">
        <f t="shared" si="20"/>
        <v/>
      </c>
      <c r="X63" s="31" t="str">
        <f t="shared" si="21"/>
        <v/>
      </c>
      <c r="Y63" s="34">
        <f t="shared" si="18"/>
        <v>1</v>
      </c>
      <c r="Z63" s="31">
        <f t="shared" si="9"/>
        <v>0</v>
      </c>
      <c r="AA63" s="66">
        <f t="shared" si="10"/>
        <v>0</v>
      </c>
      <c r="AB63" s="6" t="str">
        <f t="shared" si="11"/>
        <v/>
      </c>
      <c r="AC63" s="48">
        <f t="shared" si="22"/>
        <v>0</v>
      </c>
    </row>
    <row r="64" spans="3:29" x14ac:dyDescent="0.25">
      <c r="C64" s="27" t="str">
        <f t="shared" si="12"/>
        <v/>
      </c>
      <c r="D64" s="30" t="str">
        <f t="shared" si="13"/>
        <v/>
      </c>
      <c r="E64" s="20" t="str">
        <f t="shared" si="0"/>
        <v/>
      </c>
      <c r="F64" s="20" t="str">
        <f t="shared" si="1"/>
        <v/>
      </c>
      <c r="G64" s="24" t="str">
        <f t="shared" si="14"/>
        <v/>
      </c>
      <c r="H64" s="21" t="str">
        <f t="shared" si="2"/>
        <v/>
      </c>
      <c r="I64" s="66" t="str">
        <f t="shared" si="3"/>
        <v/>
      </c>
      <c r="J64" s="66" t="str">
        <f t="shared" si="4"/>
        <v/>
      </c>
      <c r="K64" s="11" t="str">
        <f t="shared" si="5"/>
        <v/>
      </c>
      <c r="L64" s="23" t="str">
        <f t="shared" si="19"/>
        <v/>
      </c>
      <c r="M64" s="100"/>
      <c r="N64" s="23" t="str">
        <f t="shared" si="6"/>
        <v/>
      </c>
      <c r="O64" s="23" t="str">
        <f t="shared" si="15"/>
        <v/>
      </c>
      <c r="P64" s="23" t="str">
        <f t="shared" si="16"/>
        <v/>
      </c>
      <c r="Q64" s="19" t="str">
        <f t="shared" si="7"/>
        <v/>
      </c>
      <c r="R64" s="19"/>
      <c r="T64" s="37" t="str">
        <f t="shared" si="8"/>
        <v/>
      </c>
      <c r="U64" s="37" t="str">
        <f t="shared" si="17"/>
        <v/>
      </c>
      <c r="W64" s="31" t="str">
        <f t="shared" si="20"/>
        <v/>
      </c>
      <c r="X64" s="31" t="str">
        <f t="shared" si="21"/>
        <v/>
      </c>
      <c r="Y64" s="34">
        <f t="shared" si="18"/>
        <v>1</v>
      </c>
      <c r="Z64" s="31">
        <f t="shared" si="9"/>
        <v>0</v>
      </c>
      <c r="AA64" s="66">
        <f t="shared" si="10"/>
        <v>0</v>
      </c>
      <c r="AB64" s="6" t="str">
        <f t="shared" si="11"/>
        <v/>
      </c>
      <c r="AC64" s="48">
        <f t="shared" si="22"/>
        <v>0</v>
      </c>
    </row>
    <row r="65" spans="3:29" x14ac:dyDescent="0.25">
      <c r="C65" s="27" t="str">
        <f t="shared" si="12"/>
        <v/>
      </c>
      <c r="D65" s="30" t="str">
        <f t="shared" si="13"/>
        <v/>
      </c>
      <c r="E65" s="20" t="str">
        <f t="shared" si="0"/>
        <v/>
      </c>
      <c r="F65" s="20" t="str">
        <f t="shared" si="1"/>
        <v/>
      </c>
      <c r="G65" s="24" t="str">
        <f t="shared" si="14"/>
        <v/>
      </c>
      <c r="H65" s="21" t="str">
        <f t="shared" si="2"/>
        <v/>
      </c>
      <c r="I65" s="66" t="str">
        <f t="shared" si="3"/>
        <v/>
      </c>
      <c r="J65" s="66" t="str">
        <f t="shared" si="4"/>
        <v/>
      </c>
      <c r="K65" s="11" t="str">
        <f t="shared" si="5"/>
        <v/>
      </c>
      <c r="L65" s="23" t="str">
        <f t="shared" si="19"/>
        <v/>
      </c>
      <c r="M65" s="100"/>
      <c r="N65" s="23" t="str">
        <f t="shared" si="6"/>
        <v/>
      </c>
      <c r="O65" s="23" t="str">
        <f t="shared" si="15"/>
        <v/>
      </c>
      <c r="P65" s="23" t="str">
        <f t="shared" si="16"/>
        <v/>
      </c>
      <c r="Q65" s="19" t="str">
        <f t="shared" si="7"/>
        <v/>
      </c>
      <c r="R65" s="19"/>
      <c r="T65" s="37" t="str">
        <f t="shared" si="8"/>
        <v/>
      </c>
      <c r="U65" s="37" t="str">
        <f t="shared" si="17"/>
        <v/>
      </c>
      <c r="W65" s="31" t="str">
        <f t="shared" si="20"/>
        <v/>
      </c>
      <c r="X65" s="31" t="str">
        <f t="shared" si="21"/>
        <v/>
      </c>
      <c r="Y65" s="34">
        <f t="shared" si="18"/>
        <v>1</v>
      </c>
      <c r="Z65" s="31">
        <f t="shared" si="9"/>
        <v>0</v>
      </c>
      <c r="AA65" s="66">
        <f t="shared" si="10"/>
        <v>0</v>
      </c>
      <c r="AB65" s="6" t="str">
        <f t="shared" si="11"/>
        <v/>
      </c>
      <c r="AC65" s="48">
        <f t="shared" si="22"/>
        <v>0</v>
      </c>
    </row>
    <row r="66" spans="3:29" x14ac:dyDescent="0.25">
      <c r="C66" s="27" t="str">
        <f t="shared" si="12"/>
        <v/>
      </c>
      <c r="D66" s="30" t="str">
        <f t="shared" si="13"/>
        <v/>
      </c>
      <c r="E66" s="20" t="str">
        <f t="shared" si="0"/>
        <v/>
      </c>
      <c r="F66" s="20" t="str">
        <f t="shared" si="1"/>
        <v/>
      </c>
      <c r="G66" s="24" t="str">
        <f t="shared" si="14"/>
        <v/>
      </c>
      <c r="H66" s="21" t="str">
        <f t="shared" si="2"/>
        <v/>
      </c>
      <c r="I66" s="66" t="str">
        <f t="shared" si="3"/>
        <v/>
      </c>
      <c r="J66" s="66" t="str">
        <f t="shared" si="4"/>
        <v/>
      </c>
      <c r="K66" s="11" t="str">
        <f t="shared" si="5"/>
        <v/>
      </c>
      <c r="L66" s="23" t="str">
        <f t="shared" si="19"/>
        <v/>
      </c>
      <c r="M66" s="100"/>
      <c r="N66" s="23" t="str">
        <f t="shared" si="6"/>
        <v/>
      </c>
      <c r="O66" s="23" t="str">
        <f t="shared" si="15"/>
        <v/>
      </c>
      <c r="P66" s="23" t="str">
        <f t="shared" si="16"/>
        <v/>
      </c>
      <c r="Q66" s="19" t="str">
        <f t="shared" si="7"/>
        <v/>
      </c>
      <c r="R66" s="19"/>
      <c r="T66" s="37" t="str">
        <f t="shared" si="8"/>
        <v/>
      </c>
      <c r="U66" s="37" t="str">
        <f t="shared" si="17"/>
        <v/>
      </c>
      <c r="W66" s="31" t="str">
        <f t="shared" si="20"/>
        <v/>
      </c>
      <c r="X66" s="31" t="str">
        <f t="shared" si="21"/>
        <v/>
      </c>
      <c r="Y66" s="34">
        <f t="shared" si="18"/>
        <v>1</v>
      </c>
      <c r="Z66" s="31">
        <f t="shared" si="9"/>
        <v>0</v>
      </c>
      <c r="AA66" s="66">
        <f t="shared" si="10"/>
        <v>0</v>
      </c>
      <c r="AB66" s="6" t="str">
        <f t="shared" si="11"/>
        <v/>
      </c>
      <c r="AC66" s="48">
        <f t="shared" si="22"/>
        <v>0</v>
      </c>
    </row>
    <row r="67" spans="3:29" x14ac:dyDescent="0.25">
      <c r="C67" s="27" t="str">
        <f t="shared" si="12"/>
        <v/>
      </c>
      <c r="D67" s="30" t="str">
        <f t="shared" si="13"/>
        <v/>
      </c>
      <c r="E67" s="20" t="str">
        <f t="shared" si="0"/>
        <v/>
      </c>
      <c r="F67" s="20" t="str">
        <f t="shared" si="1"/>
        <v/>
      </c>
      <c r="G67" s="24" t="str">
        <f t="shared" si="14"/>
        <v/>
      </c>
      <c r="H67" s="21" t="str">
        <f t="shared" si="2"/>
        <v/>
      </c>
      <c r="I67" s="66" t="str">
        <f t="shared" si="3"/>
        <v/>
      </c>
      <c r="J67" s="66" t="str">
        <f t="shared" si="4"/>
        <v/>
      </c>
      <c r="K67" s="11" t="str">
        <f t="shared" si="5"/>
        <v/>
      </c>
      <c r="L67" s="23" t="str">
        <f t="shared" si="19"/>
        <v/>
      </c>
      <c r="M67" s="100"/>
      <c r="N67" s="23" t="str">
        <f t="shared" si="6"/>
        <v/>
      </c>
      <c r="O67" s="23" t="str">
        <f t="shared" si="15"/>
        <v/>
      </c>
      <c r="P67" s="23" t="str">
        <f t="shared" si="16"/>
        <v/>
      </c>
      <c r="Q67" s="19" t="str">
        <f t="shared" si="7"/>
        <v/>
      </c>
      <c r="R67" s="19"/>
      <c r="T67" s="37" t="str">
        <f t="shared" si="8"/>
        <v/>
      </c>
      <c r="U67" s="37" t="str">
        <f t="shared" si="17"/>
        <v/>
      </c>
      <c r="W67" s="31" t="str">
        <f t="shared" si="20"/>
        <v/>
      </c>
      <c r="X67" s="31" t="str">
        <f t="shared" si="21"/>
        <v/>
      </c>
      <c r="Y67" s="34">
        <f t="shared" si="18"/>
        <v>1</v>
      </c>
      <c r="Z67" s="31">
        <f t="shared" si="9"/>
        <v>0</v>
      </c>
      <c r="AA67" s="66">
        <f t="shared" si="10"/>
        <v>0</v>
      </c>
      <c r="AB67" s="6" t="str">
        <f t="shared" si="11"/>
        <v/>
      </c>
      <c r="AC67" s="48">
        <f t="shared" si="22"/>
        <v>0</v>
      </c>
    </row>
    <row r="68" spans="3:29" x14ac:dyDescent="0.25">
      <c r="C68" s="27" t="str">
        <f t="shared" si="12"/>
        <v/>
      </c>
      <c r="D68" s="30" t="str">
        <f t="shared" si="13"/>
        <v/>
      </c>
      <c r="E68" s="20" t="str">
        <f t="shared" si="0"/>
        <v/>
      </c>
      <c r="F68" s="20" t="str">
        <f t="shared" si="1"/>
        <v/>
      </c>
      <c r="G68" s="24" t="str">
        <f t="shared" si="14"/>
        <v/>
      </c>
      <c r="H68" s="21" t="str">
        <f t="shared" si="2"/>
        <v/>
      </c>
      <c r="I68" s="66" t="str">
        <f t="shared" si="3"/>
        <v/>
      </c>
      <c r="J68" s="66" t="str">
        <f t="shared" si="4"/>
        <v/>
      </c>
      <c r="K68" s="11" t="str">
        <f t="shared" si="5"/>
        <v/>
      </c>
      <c r="L68" s="23" t="str">
        <f t="shared" si="19"/>
        <v/>
      </c>
      <c r="M68" s="100"/>
      <c r="N68" s="23" t="str">
        <f t="shared" si="6"/>
        <v/>
      </c>
      <c r="O68" s="23" t="str">
        <f t="shared" si="15"/>
        <v/>
      </c>
      <c r="P68" s="23" t="str">
        <f t="shared" si="16"/>
        <v/>
      </c>
      <c r="Q68" s="19" t="str">
        <f t="shared" si="7"/>
        <v/>
      </c>
      <c r="R68" s="19"/>
      <c r="T68" s="37" t="str">
        <f t="shared" si="8"/>
        <v/>
      </c>
      <c r="U68" s="37" t="str">
        <f t="shared" si="17"/>
        <v/>
      </c>
      <c r="W68" s="31" t="str">
        <f t="shared" si="20"/>
        <v/>
      </c>
      <c r="X68" s="31" t="str">
        <f t="shared" si="21"/>
        <v/>
      </c>
      <c r="Y68" s="34">
        <f t="shared" si="18"/>
        <v>1</v>
      </c>
      <c r="Z68" s="31">
        <f t="shared" si="9"/>
        <v>0</v>
      </c>
      <c r="AA68" s="66">
        <f t="shared" si="10"/>
        <v>0</v>
      </c>
      <c r="AB68" s="6" t="str">
        <f t="shared" si="11"/>
        <v/>
      </c>
      <c r="AC68" s="48">
        <f t="shared" si="22"/>
        <v>0</v>
      </c>
    </row>
    <row r="69" spans="3:29" x14ac:dyDescent="0.25">
      <c r="C69" s="27" t="str">
        <f t="shared" si="12"/>
        <v/>
      </c>
      <c r="D69" s="30" t="str">
        <f t="shared" si="13"/>
        <v/>
      </c>
      <c r="E69" s="20" t="str">
        <f t="shared" si="0"/>
        <v/>
      </c>
      <c r="F69" s="20" t="str">
        <f t="shared" si="1"/>
        <v/>
      </c>
      <c r="G69" s="24" t="str">
        <f t="shared" si="14"/>
        <v/>
      </c>
      <c r="H69" s="21" t="str">
        <f t="shared" si="2"/>
        <v/>
      </c>
      <c r="I69" s="66" t="str">
        <f t="shared" si="3"/>
        <v/>
      </c>
      <c r="J69" s="66" t="str">
        <f t="shared" si="4"/>
        <v/>
      </c>
      <c r="K69" s="11" t="str">
        <f t="shared" si="5"/>
        <v/>
      </c>
      <c r="L69" s="23" t="str">
        <f t="shared" si="19"/>
        <v/>
      </c>
      <c r="M69" s="100"/>
      <c r="N69" s="23" t="str">
        <f t="shared" si="6"/>
        <v/>
      </c>
      <c r="O69" s="23" t="str">
        <f t="shared" si="15"/>
        <v/>
      </c>
      <c r="P69" s="23" t="str">
        <f t="shared" si="16"/>
        <v/>
      </c>
      <c r="Q69" s="19" t="str">
        <f t="shared" si="7"/>
        <v/>
      </c>
      <c r="R69" s="19"/>
      <c r="T69" s="37" t="str">
        <f t="shared" si="8"/>
        <v/>
      </c>
      <c r="U69" s="37" t="str">
        <f t="shared" si="17"/>
        <v/>
      </c>
      <c r="W69" s="31" t="str">
        <f t="shared" si="20"/>
        <v/>
      </c>
      <c r="X69" s="31" t="str">
        <f t="shared" si="21"/>
        <v/>
      </c>
      <c r="Y69" s="34">
        <f t="shared" si="18"/>
        <v>1</v>
      </c>
      <c r="Z69" s="31">
        <f t="shared" si="9"/>
        <v>0</v>
      </c>
      <c r="AA69" s="66">
        <f t="shared" si="10"/>
        <v>0</v>
      </c>
      <c r="AB69" s="6" t="str">
        <f t="shared" si="11"/>
        <v/>
      </c>
      <c r="AC69" s="48">
        <f>AC68+$M$17</f>
        <v>0</v>
      </c>
    </row>
    <row r="70" spans="3:29" x14ac:dyDescent="0.25">
      <c r="C70" s="27" t="str">
        <f t="shared" si="12"/>
        <v/>
      </c>
      <c r="D70" s="30" t="str">
        <f t="shared" si="13"/>
        <v/>
      </c>
      <c r="E70" s="20" t="str">
        <f t="shared" si="0"/>
        <v/>
      </c>
      <c r="F70" s="20" t="str">
        <f t="shared" si="1"/>
        <v/>
      </c>
      <c r="G70" s="24" t="str">
        <f t="shared" si="14"/>
        <v/>
      </c>
      <c r="H70" s="21" t="str">
        <f t="shared" si="2"/>
        <v/>
      </c>
      <c r="I70" s="66" t="str">
        <f t="shared" si="3"/>
        <v/>
      </c>
      <c r="J70" s="66" t="str">
        <f t="shared" si="4"/>
        <v/>
      </c>
      <c r="K70" s="11" t="str">
        <f t="shared" si="5"/>
        <v/>
      </c>
      <c r="L70" s="23" t="str">
        <f t="shared" si="19"/>
        <v/>
      </c>
      <c r="M70" s="100"/>
      <c r="N70" s="23" t="str">
        <f t="shared" si="6"/>
        <v/>
      </c>
      <c r="O70" s="23" t="str">
        <f t="shared" si="15"/>
        <v/>
      </c>
      <c r="P70" s="23" t="str">
        <f t="shared" si="16"/>
        <v/>
      </c>
      <c r="Q70" s="19" t="str">
        <f t="shared" si="7"/>
        <v/>
      </c>
      <c r="R70" s="19"/>
      <c r="T70" s="37" t="str">
        <f t="shared" si="8"/>
        <v/>
      </c>
      <c r="U70" s="37" t="str">
        <f t="shared" si="17"/>
        <v/>
      </c>
      <c r="W70" s="31" t="str">
        <f t="shared" si="20"/>
        <v/>
      </c>
      <c r="X70" s="31" t="str">
        <f t="shared" si="21"/>
        <v/>
      </c>
      <c r="Y70" s="34">
        <f t="shared" si="18"/>
        <v>1</v>
      </c>
      <c r="Z70" s="31">
        <f t="shared" si="9"/>
        <v>0</v>
      </c>
      <c r="AA70" s="66">
        <f t="shared" si="10"/>
        <v>0</v>
      </c>
      <c r="AB70" s="6" t="str">
        <f t="shared" si="11"/>
        <v/>
      </c>
      <c r="AC70" s="48">
        <f t="shared" si="22"/>
        <v>0</v>
      </c>
    </row>
    <row r="71" spans="3:29" x14ac:dyDescent="0.25">
      <c r="C71" s="27" t="str">
        <f t="shared" si="12"/>
        <v/>
      </c>
      <c r="D71" s="30" t="str">
        <f t="shared" si="13"/>
        <v/>
      </c>
      <c r="E71" s="20" t="str">
        <f t="shared" si="0"/>
        <v/>
      </c>
      <c r="F71" s="20" t="str">
        <f t="shared" si="1"/>
        <v/>
      </c>
      <c r="G71" s="24" t="str">
        <f t="shared" si="14"/>
        <v/>
      </c>
      <c r="H71" s="21" t="str">
        <f t="shared" si="2"/>
        <v/>
      </c>
      <c r="I71" s="66" t="str">
        <f t="shared" si="3"/>
        <v/>
      </c>
      <c r="J71" s="66" t="str">
        <f t="shared" si="4"/>
        <v/>
      </c>
      <c r="K71" s="11" t="str">
        <f t="shared" si="5"/>
        <v/>
      </c>
      <c r="L71" s="23" t="str">
        <f t="shared" si="19"/>
        <v/>
      </c>
      <c r="M71" s="100"/>
      <c r="N71" s="23" t="str">
        <f t="shared" si="6"/>
        <v/>
      </c>
      <c r="O71" s="23" t="str">
        <f t="shared" si="15"/>
        <v/>
      </c>
      <c r="P71" s="23" t="str">
        <f t="shared" si="16"/>
        <v/>
      </c>
      <c r="Q71" s="19" t="str">
        <f t="shared" si="7"/>
        <v/>
      </c>
      <c r="R71" s="19"/>
      <c r="T71" s="37" t="str">
        <f t="shared" si="8"/>
        <v/>
      </c>
      <c r="U71" s="37" t="str">
        <f t="shared" si="17"/>
        <v/>
      </c>
      <c r="W71" s="31" t="str">
        <f t="shared" si="20"/>
        <v/>
      </c>
      <c r="X71" s="31" t="str">
        <f t="shared" si="21"/>
        <v/>
      </c>
      <c r="Y71" s="34">
        <f t="shared" si="18"/>
        <v>1</v>
      </c>
      <c r="Z71" s="31">
        <f t="shared" si="9"/>
        <v>0</v>
      </c>
      <c r="AA71" s="66">
        <f t="shared" si="10"/>
        <v>0</v>
      </c>
      <c r="AB71" s="6" t="str">
        <f t="shared" si="11"/>
        <v/>
      </c>
      <c r="AC71" s="48">
        <f t="shared" si="22"/>
        <v>0</v>
      </c>
    </row>
    <row r="72" spans="3:29" x14ac:dyDescent="0.25">
      <c r="C72" s="27" t="str">
        <f t="shared" si="12"/>
        <v/>
      </c>
      <c r="D72" s="30" t="str">
        <f t="shared" si="13"/>
        <v/>
      </c>
      <c r="E72" s="20" t="str">
        <f t="shared" si="0"/>
        <v/>
      </c>
      <c r="F72" s="20" t="str">
        <f t="shared" si="1"/>
        <v/>
      </c>
      <c r="G72" s="24" t="str">
        <f t="shared" si="14"/>
        <v/>
      </c>
      <c r="H72" s="21" t="str">
        <f t="shared" si="2"/>
        <v/>
      </c>
      <c r="I72" s="66" t="str">
        <f t="shared" si="3"/>
        <v/>
      </c>
      <c r="J72" s="66" t="str">
        <f t="shared" si="4"/>
        <v/>
      </c>
      <c r="K72" s="11" t="str">
        <f t="shared" si="5"/>
        <v/>
      </c>
      <c r="L72" s="23" t="str">
        <f t="shared" si="19"/>
        <v/>
      </c>
      <c r="M72" s="100"/>
      <c r="N72" s="23" t="str">
        <f t="shared" si="6"/>
        <v/>
      </c>
      <c r="O72" s="23" t="str">
        <f t="shared" si="15"/>
        <v/>
      </c>
      <c r="P72" s="23" t="str">
        <f t="shared" si="16"/>
        <v/>
      </c>
      <c r="Q72" s="19" t="str">
        <f t="shared" si="7"/>
        <v/>
      </c>
      <c r="R72" s="19"/>
      <c r="T72" s="37" t="str">
        <f t="shared" si="8"/>
        <v/>
      </c>
      <c r="U72" s="37" t="str">
        <f t="shared" si="17"/>
        <v/>
      </c>
      <c r="W72" s="31" t="str">
        <f t="shared" si="20"/>
        <v/>
      </c>
      <c r="X72" s="31" t="str">
        <f t="shared" si="21"/>
        <v/>
      </c>
      <c r="Y72" s="34">
        <f t="shared" si="18"/>
        <v>1</v>
      </c>
      <c r="Z72" s="31">
        <f t="shared" si="9"/>
        <v>0</v>
      </c>
      <c r="AA72" s="66">
        <f t="shared" si="10"/>
        <v>0</v>
      </c>
      <c r="AB72" s="6" t="str">
        <f t="shared" si="11"/>
        <v/>
      </c>
      <c r="AC72" s="48">
        <f t="shared" si="22"/>
        <v>0</v>
      </c>
    </row>
    <row r="73" spans="3:29" x14ac:dyDescent="0.25">
      <c r="C73" s="27" t="str">
        <f t="shared" si="12"/>
        <v/>
      </c>
      <c r="D73" s="30" t="str">
        <f t="shared" si="13"/>
        <v/>
      </c>
      <c r="E73" s="20" t="str">
        <f t="shared" si="0"/>
        <v/>
      </c>
      <c r="F73" s="20" t="str">
        <f t="shared" si="1"/>
        <v/>
      </c>
      <c r="G73" s="24" t="str">
        <f t="shared" si="14"/>
        <v/>
      </c>
      <c r="H73" s="21" t="str">
        <f t="shared" si="2"/>
        <v/>
      </c>
      <c r="I73" s="66" t="str">
        <f t="shared" si="3"/>
        <v/>
      </c>
      <c r="J73" s="66" t="str">
        <f t="shared" si="4"/>
        <v/>
      </c>
      <c r="K73" s="11" t="str">
        <f t="shared" si="5"/>
        <v/>
      </c>
      <c r="L73" s="23" t="str">
        <f t="shared" si="19"/>
        <v/>
      </c>
      <c r="M73" s="100"/>
      <c r="N73" s="23" t="str">
        <f t="shared" si="6"/>
        <v/>
      </c>
      <c r="O73" s="23" t="str">
        <f t="shared" si="15"/>
        <v/>
      </c>
      <c r="P73" s="23" t="str">
        <f t="shared" si="16"/>
        <v/>
      </c>
      <c r="Q73" s="19" t="str">
        <f t="shared" si="7"/>
        <v/>
      </c>
      <c r="R73" s="19"/>
      <c r="T73" s="37" t="str">
        <f t="shared" si="8"/>
        <v/>
      </c>
      <c r="U73" s="37" t="str">
        <f t="shared" si="17"/>
        <v/>
      </c>
      <c r="W73" s="31" t="str">
        <f t="shared" si="20"/>
        <v/>
      </c>
      <c r="X73" s="31" t="str">
        <f t="shared" si="21"/>
        <v/>
      </c>
      <c r="Y73" s="34">
        <f t="shared" si="18"/>
        <v>1</v>
      </c>
      <c r="Z73" s="31">
        <f t="shared" si="9"/>
        <v>0</v>
      </c>
      <c r="AA73" s="66">
        <f t="shared" si="10"/>
        <v>0</v>
      </c>
      <c r="AB73" s="6" t="str">
        <f t="shared" si="11"/>
        <v/>
      </c>
      <c r="AC73" s="48">
        <f t="shared" si="22"/>
        <v>0</v>
      </c>
    </row>
    <row r="74" spans="3:29" x14ac:dyDescent="0.25">
      <c r="C74" s="27" t="str">
        <f t="shared" si="12"/>
        <v/>
      </c>
      <c r="D74" s="30" t="str">
        <f t="shared" si="13"/>
        <v/>
      </c>
      <c r="E74" s="20" t="str">
        <f t="shared" si="0"/>
        <v/>
      </c>
      <c r="F74" s="20" t="str">
        <f t="shared" si="1"/>
        <v/>
      </c>
      <c r="G74" s="24" t="str">
        <f t="shared" si="14"/>
        <v/>
      </c>
      <c r="H74" s="21" t="str">
        <f t="shared" si="2"/>
        <v/>
      </c>
      <c r="I74" s="66" t="str">
        <f t="shared" si="3"/>
        <v/>
      </c>
      <c r="J74" s="66" t="str">
        <f t="shared" si="4"/>
        <v/>
      </c>
      <c r="K74" s="11" t="str">
        <f t="shared" si="5"/>
        <v/>
      </c>
      <c r="L74" s="23" t="str">
        <f t="shared" si="19"/>
        <v/>
      </c>
      <c r="M74" s="100"/>
      <c r="N74" s="23" t="str">
        <f t="shared" si="6"/>
        <v/>
      </c>
      <c r="O74" s="23" t="str">
        <f t="shared" si="15"/>
        <v/>
      </c>
      <c r="P74" s="23" t="str">
        <f t="shared" si="16"/>
        <v/>
      </c>
      <c r="Q74" s="19" t="str">
        <f t="shared" si="7"/>
        <v/>
      </c>
      <c r="R74" s="19"/>
      <c r="T74" s="37" t="str">
        <f t="shared" si="8"/>
        <v/>
      </c>
      <c r="U74" s="37" t="str">
        <f t="shared" si="17"/>
        <v/>
      </c>
      <c r="W74" s="31" t="str">
        <f t="shared" si="20"/>
        <v/>
      </c>
      <c r="X74" s="31" t="str">
        <f t="shared" si="21"/>
        <v/>
      </c>
      <c r="Y74" s="34">
        <f t="shared" si="18"/>
        <v>1</v>
      </c>
      <c r="Z74" s="31">
        <f t="shared" si="9"/>
        <v>0</v>
      </c>
      <c r="AA74" s="66">
        <f t="shared" si="10"/>
        <v>0</v>
      </c>
      <c r="AB74" s="6" t="str">
        <f t="shared" si="11"/>
        <v/>
      </c>
      <c r="AC74" s="48">
        <f t="shared" si="22"/>
        <v>0</v>
      </c>
    </row>
    <row r="75" spans="3:29" x14ac:dyDescent="0.25">
      <c r="C75" s="27" t="str">
        <f t="shared" si="12"/>
        <v/>
      </c>
      <c r="D75" s="30" t="str">
        <f t="shared" si="13"/>
        <v/>
      </c>
      <c r="E75" s="20" t="str">
        <f t="shared" si="0"/>
        <v/>
      </c>
      <c r="F75" s="20" t="str">
        <f t="shared" si="1"/>
        <v/>
      </c>
      <c r="G75" s="24" t="str">
        <f t="shared" si="14"/>
        <v/>
      </c>
      <c r="H75" s="21" t="str">
        <f t="shared" si="2"/>
        <v/>
      </c>
      <c r="I75" s="66" t="str">
        <f t="shared" si="3"/>
        <v/>
      </c>
      <c r="J75" s="66" t="str">
        <f t="shared" si="4"/>
        <v/>
      </c>
      <c r="K75" s="11" t="str">
        <f t="shared" si="5"/>
        <v/>
      </c>
      <c r="L75" s="23" t="str">
        <f t="shared" si="19"/>
        <v/>
      </c>
      <c r="M75" s="100"/>
      <c r="N75" s="23" t="str">
        <f t="shared" si="6"/>
        <v/>
      </c>
      <c r="O75" s="23" t="str">
        <f t="shared" si="15"/>
        <v/>
      </c>
      <c r="P75" s="23" t="str">
        <f t="shared" si="16"/>
        <v/>
      </c>
      <c r="Q75" s="19" t="str">
        <f t="shared" si="7"/>
        <v/>
      </c>
      <c r="R75" s="19"/>
      <c r="T75" s="37" t="str">
        <f t="shared" si="8"/>
        <v/>
      </c>
      <c r="U75" s="37" t="str">
        <f t="shared" si="17"/>
        <v/>
      </c>
      <c r="W75" s="31" t="str">
        <f t="shared" si="20"/>
        <v/>
      </c>
      <c r="X75" s="31" t="str">
        <f t="shared" si="21"/>
        <v/>
      </c>
      <c r="Y75" s="34">
        <f t="shared" si="18"/>
        <v>1</v>
      </c>
      <c r="Z75" s="31">
        <f t="shared" si="9"/>
        <v>0</v>
      </c>
      <c r="AA75" s="66">
        <f t="shared" si="10"/>
        <v>0</v>
      </c>
      <c r="AB75" s="6" t="str">
        <f t="shared" si="11"/>
        <v/>
      </c>
      <c r="AC75" s="48">
        <f t="shared" si="22"/>
        <v>0</v>
      </c>
    </row>
    <row r="76" spans="3:29" x14ac:dyDescent="0.25">
      <c r="C76" s="27" t="str">
        <f t="shared" si="12"/>
        <v/>
      </c>
      <c r="D76" s="30" t="str">
        <f t="shared" si="13"/>
        <v/>
      </c>
      <c r="E76" s="20" t="str">
        <f t="shared" si="0"/>
        <v/>
      </c>
      <c r="F76" s="20" t="str">
        <f t="shared" si="1"/>
        <v/>
      </c>
      <c r="G76" s="24" t="str">
        <f t="shared" si="14"/>
        <v/>
      </c>
      <c r="H76" s="21" t="str">
        <f t="shared" si="2"/>
        <v/>
      </c>
      <c r="I76" s="66" t="str">
        <f t="shared" si="3"/>
        <v/>
      </c>
      <c r="J76" s="66" t="str">
        <f t="shared" si="4"/>
        <v/>
      </c>
      <c r="K76" s="11" t="str">
        <f t="shared" si="5"/>
        <v/>
      </c>
      <c r="L76" s="23" t="str">
        <f t="shared" si="19"/>
        <v/>
      </c>
      <c r="M76" s="100"/>
      <c r="N76" s="23" t="str">
        <f t="shared" si="6"/>
        <v/>
      </c>
      <c r="O76" s="23" t="str">
        <f t="shared" si="15"/>
        <v/>
      </c>
      <c r="P76" s="23" t="str">
        <f t="shared" si="16"/>
        <v/>
      </c>
      <c r="Q76" s="19" t="str">
        <f t="shared" si="7"/>
        <v/>
      </c>
      <c r="R76" s="19"/>
      <c r="T76" s="37" t="str">
        <f t="shared" si="8"/>
        <v/>
      </c>
      <c r="U76" s="37" t="str">
        <f t="shared" si="17"/>
        <v/>
      </c>
      <c r="W76" s="31" t="str">
        <f t="shared" si="20"/>
        <v/>
      </c>
      <c r="X76" s="31" t="str">
        <f t="shared" si="21"/>
        <v/>
      </c>
      <c r="Y76" s="34">
        <f t="shared" si="18"/>
        <v>1</v>
      </c>
      <c r="Z76" s="31">
        <f t="shared" si="9"/>
        <v>0</v>
      </c>
      <c r="AA76" s="66">
        <f t="shared" si="10"/>
        <v>0</v>
      </c>
      <c r="AB76" s="6" t="str">
        <f t="shared" si="11"/>
        <v/>
      </c>
      <c r="AC76" s="48">
        <f t="shared" si="22"/>
        <v>0</v>
      </c>
    </row>
    <row r="77" spans="3:29" x14ac:dyDescent="0.25">
      <c r="C77" s="27" t="str">
        <f t="shared" si="12"/>
        <v/>
      </c>
      <c r="D77" s="30" t="str">
        <f t="shared" si="13"/>
        <v/>
      </c>
      <c r="E77" s="20" t="str">
        <f t="shared" si="0"/>
        <v/>
      </c>
      <c r="F77" s="20" t="str">
        <f t="shared" si="1"/>
        <v/>
      </c>
      <c r="G77" s="24" t="str">
        <f t="shared" si="14"/>
        <v/>
      </c>
      <c r="H77" s="21" t="str">
        <f t="shared" si="2"/>
        <v/>
      </c>
      <c r="I77" s="66" t="str">
        <f t="shared" si="3"/>
        <v/>
      </c>
      <c r="J77" s="66" t="str">
        <f t="shared" si="4"/>
        <v/>
      </c>
      <c r="K77" s="11" t="str">
        <f t="shared" si="5"/>
        <v/>
      </c>
      <c r="L77" s="23" t="str">
        <f t="shared" si="19"/>
        <v/>
      </c>
      <c r="M77" s="100"/>
      <c r="N77" s="23" t="str">
        <f t="shared" si="6"/>
        <v/>
      </c>
      <c r="O77" s="23" t="str">
        <f t="shared" si="15"/>
        <v/>
      </c>
      <c r="P77" s="23" t="str">
        <f t="shared" si="16"/>
        <v/>
      </c>
      <c r="Q77" s="19" t="str">
        <f t="shared" si="7"/>
        <v/>
      </c>
      <c r="R77" s="19"/>
      <c r="T77" s="37" t="str">
        <f t="shared" si="8"/>
        <v/>
      </c>
      <c r="U77" s="37" t="str">
        <f t="shared" si="17"/>
        <v/>
      </c>
      <c r="W77" s="31" t="str">
        <f t="shared" si="20"/>
        <v/>
      </c>
      <c r="X77" s="31" t="str">
        <f t="shared" si="21"/>
        <v/>
      </c>
      <c r="Y77" s="34">
        <f t="shared" si="18"/>
        <v>1</v>
      </c>
      <c r="Z77" s="31">
        <f t="shared" si="9"/>
        <v>0</v>
      </c>
      <c r="AA77" s="66">
        <f t="shared" si="10"/>
        <v>0</v>
      </c>
      <c r="AB77" s="6" t="str">
        <f t="shared" si="11"/>
        <v/>
      </c>
      <c r="AC77" s="48">
        <f t="shared" si="22"/>
        <v>0</v>
      </c>
    </row>
    <row r="78" spans="3:29" x14ac:dyDescent="0.25">
      <c r="C78" s="27" t="str">
        <f t="shared" si="12"/>
        <v/>
      </c>
      <c r="D78" s="30" t="str">
        <f t="shared" si="13"/>
        <v/>
      </c>
      <c r="E78" s="20" t="str">
        <f t="shared" si="0"/>
        <v/>
      </c>
      <c r="F78" s="20" t="str">
        <f t="shared" si="1"/>
        <v/>
      </c>
      <c r="G78" s="24" t="str">
        <f t="shared" si="14"/>
        <v/>
      </c>
      <c r="H78" s="21" t="str">
        <f t="shared" si="2"/>
        <v/>
      </c>
      <c r="I78" s="66" t="str">
        <f t="shared" si="3"/>
        <v/>
      </c>
      <c r="J78" s="66" t="str">
        <f t="shared" si="4"/>
        <v/>
      </c>
      <c r="K78" s="11" t="str">
        <f t="shared" si="5"/>
        <v/>
      </c>
      <c r="L78" s="23" t="str">
        <f t="shared" si="19"/>
        <v/>
      </c>
      <c r="M78" s="100"/>
      <c r="N78" s="23" t="str">
        <f t="shared" si="6"/>
        <v/>
      </c>
      <c r="O78" s="23" t="str">
        <f t="shared" si="15"/>
        <v/>
      </c>
      <c r="P78" s="23" t="str">
        <f t="shared" si="16"/>
        <v/>
      </c>
      <c r="Q78" s="19" t="str">
        <f t="shared" si="7"/>
        <v/>
      </c>
      <c r="R78" s="19"/>
      <c r="T78" s="37" t="str">
        <f t="shared" si="8"/>
        <v/>
      </c>
      <c r="U78" s="37" t="str">
        <f t="shared" si="17"/>
        <v/>
      </c>
      <c r="W78" s="31" t="str">
        <f t="shared" si="20"/>
        <v/>
      </c>
      <c r="X78" s="31" t="str">
        <f t="shared" si="21"/>
        <v/>
      </c>
      <c r="Y78" s="34">
        <f t="shared" si="18"/>
        <v>1</v>
      </c>
      <c r="Z78" s="31">
        <f t="shared" si="9"/>
        <v>0</v>
      </c>
      <c r="AA78" s="66">
        <f t="shared" si="10"/>
        <v>0</v>
      </c>
      <c r="AB78" s="6" t="str">
        <f t="shared" si="11"/>
        <v/>
      </c>
      <c r="AC78" s="48">
        <f t="shared" si="22"/>
        <v>0</v>
      </c>
    </row>
    <row r="79" spans="3:29" x14ac:dyDescent="0.25">
      <c r="C79" s="27" t="str">
        <f t="shared" si="12"/>
        <v/>
      </c>
      <c r="D79" s="30" t="str">
        <f t="shared" si="13"/>
        <v/>
      </c>
      <c r="E79" s="20" t="str">
        <f t="shared" si="0"/>
        <v/>
      </c>
      <c r="F79" s="20" t="str">
        <f t="shared" si="1"/>
        <v/>
      </c>
      <c r="G79" s="24" t="str">
        <f t="shared" si="14"/>
        <v/>
      </c>
      <c r="H79" s="21" t="str">
        <f t="shared" si="2"/>
        <v/>
      </c>
      <c r="I79" s="66" t="str">
        <f t="shared" si="3"/>
        <v/>
      </c>
      <c r="J79" s="66" t="str">
        <f t="shared" si="4"/>
        <v/>
      </c>
      <c r="K79" s="11" t="str">
        <f t="shared" si="5"/>
        <v/>
      </c>
      <c r="L79" s="23" t="str">
        <f t="shared" si="19"/>
        <v/>
      </c>
      <c r="M79" s="100"/>
      <c r="N79" s="23" t="str">
        <f t="shared" si="6"/>
        <v/>
      </c>
      <c r="O79" s="23" t="str">
        <f t="shared" si="15"/>
        <v/>
      </c>
      <c r="P79" s="23" t="str">
        <f t="shared" si="16"/>
        <v/>
      </c>
      <c r="Q79" s="19" t="str">
        <f t="shared" si="7"/>
        <v/>
      </c>
      <c r="R79" s="19"/>
      <c r="T79" s="37" t="str">
        <f t="shared" si="8"/>
        <v/>
      </c>
      <c r="U79" s="37" t="str">
        <f t="shared" si="17"/>
        <v/>
      </c>
      <c r="W79" s="31" t="str">
        <f t="shared" si="20"/>
        <v/>
      </c>
      <c r="X79" s="31" t="str">
        <f t="shared" si="21"/>
        <v/>
      </c>
      <c r="Y79" s="34">
        <f t="shared" si="18"/>
        <v>1</v>
      </c>
      <c r="Z79" s="31">
        <f t="shared" si="9"/>
        <v>0</v>
      </c>
      <c r="AA79" s="66">
        <f t="shared" si="10"/>
        <v>0</v>
      </c>
      <c r="AB79" s="6" t="str">
        <f t="shared" si="11"/>
        <v/>
      </c>
      <c r="AC79" s="48">
        <f t="shared" si="22"/>
        <v>0</v>
      </c>
    </row>
    <row r="80" spans="3:29" x14ac:dyDescent="0.25">
      <c r="C80" s="27" t="str">
        <f t="shared" si="12"/>
        <v/>
      </c>
      <c r="D80" s="30" t="str">
        <f t="shared" si="13"/>
        <v/>
      </c>
      <c r="E80" s="20" t="str">
        <f t="shared" si="0"/>
        <v/>
      </c>
      <c r="F80" s="20" t="str">
        <f t="shared" si="1"/>
        <v/>
      </c>
      <c r="G80" s="24" t="str">
        <f t="shared" si="14"/>
        <v/>
      </c>
      <c r="H80" s="21" t="str">
        <f t="shared" si="2"/>
        <v/>
      </c>
      <c r="I80" s="66" t="str">
        <f t="shared" si="3"/>
        <v/>
      </c>
      <c r="J80" s="66" t="str">
        <f t="shared" si="4"/>
        <v/>
      </c>
      <c r="K80" s="11" t="str">
        <f t="shared" si="5"/>
        <v/>
      </c>
      <c r="L80" s="23" t="str">
        <f t="shared" si="19"/>
        <v/>
      </c>
      <c r="M80" s="100"/>
      <c r="N80" s="23" t="str">
        <f t="shared" si="6"/>
        <v/>
      </c>
      <c r="O80" s="23" t="str">
        <f t="shared" si="15"/>
        <v/>
      </c>
      <c r="P80" s="23" t="str">
        <f t="shared" si="16"/>
        <v/>
      </c>
      <c r="Q80" s="19" t="str">
        <f t="shared" si="7"/>
        <v/>
      </c>
      <c r="R80" s="19"/>
      <c r="T80" s="37" t="str">
        <f t="shared" si="8"/>
        <v/>
      </c>
      <c r="U80" s="37" t="str">
        <f t="shared" si="17"/>
        <v/>
      </c>
      <c r="W80" s="31" t="str">
        <f t="shared" si="20"/>
        <v/>
      </c>
      <c r="X80" s="31" t="str">
        <f t="shared" si="21"/>
        <v/>
      </c>
      <c r="Y80" s="34">
        <f t="shared" si="18"/>
        <v>1</v>
      </c>
      <c r="Z80" s="31">
        <f t="shared" si="9"/>
        <v>0</v>
      </c>
      <c r="AA80" s="66">
        <f t="shared" si="10"/>
        <v>0</v>
      </c>
      <c r="AB80" s="6" t="str">
        <f t="shared" si="11"/>
        <v/>
      </c>
      <c r="AC80" s="48">
        <f t="shared" si="22"/>
        <v>0</v>
      </c>
    </row>
    <row r="81" spans="3:29" x14ac:dyDescent="0.25">
      <c r="C81" s="27" t="str">
        <f t="shared" si="12"/>
        <v/>
      </c>
      <c r="D81" s="30" t="str">
        <f t="shared" si="13"/>
        <v/>
      </c>
      <c r="E81" s="20" t="str">
        <f t="shared" si="0"/>
        <v/>
      </c>
      <c r="F81" s="20" t="str">
        <f t="shared" si="1"/>
        <v/>
      </c>
      <c r="G81" s="24" t="str">
        <f t="shared" si="14"/>
        <v/>
      </c>
      <c r="H81" s="21" t="str">
        <f t="shared" si="2"/>
        <v/>
      </c>
      <c r="I81" s="66" t="str">
        <f t="shared" si="3"/>
        <v/>
      </c>
      <c r="J81" s="66" t="str">
        <f t="shared" si="4"/>
        <v/>
      </c>
      <c r="K81" s="11" t="str">
        <f t="shared" si="5"/>
        <v/>
      </c>
      <c r="L81" s="23" t="str">
        <f t="shared" si="19"/>
        <v/>
      </c>
      <c r="M81" s="100"/>
      <c r="N81" s="23" t="str">
        <f t="shared" si="6"/>
        <v/>
      </c>
      <c r="O81" s="23" t="str">
        <f t="shared" si="15"/>
        <v/>
      </c>
      <c r="P81" s="23" t="str">
        <f t="shared" si="16"/>
        <v/>
      </c>
      <c r="Q81" s="19" t="str">
        <f t="shared" si="7"/>
        <v/>
      </c>
      <c r="R81" s="19"/>
      <c r="T81" s="37" t="str">
        <f t="shared" si="8"/>
        <v/>
      </c>
      <c r="U81" s="37" t="str">
        <f t="shared" si="17"/>
        <v/>
      </c>
      <c r="W81" s="31" t="str">
        <f t="shared" si="20"/>
        <v/>
      </c>
      <c r="X81" s="31" t="str">
        <f t="shared" si="21"/>
        <v/>
      </c>
      <c r="Y81" s="34">
        <f t="shared" si="18"/>
        <v>1</v>
      </c>
      <c r="Z81" s="31">
        <f t="shared" si="9"/>
        <v>0</v>
      </c>
      <c r="AA81" s="66">
        <f t="shared" si="10"/>
        <v>0</v>
      </c>
      <c r="AB81" s="6" t="str">
        <f t="shared" si="11"/>
        <v/>
      </c>
      <c r="AC81" s="48">
        <f>AC80+$M$17</f>
        <v>0</v>
      </c>
    </row>
    <row r="82" spans="3:29" x14ac:dyDescent="0.25">
      <c r="C82" s="27" t="str">
        <f t="shared" si="12"/>
        <v/>
      </c>
      <c r="D82" s="30" t="str">
        <f t="shared" si="13"/>
        <v/>
      </c>
      <c r="E82" s="20" t="str">
        <f t="shared" si="0"/>
        <v/>
      </c>
      <c r="F82" s="20" t="str">
        <f t="shared" si="1"/>
        <v/>
      </c>
      <c r="G82" s="24" t="str">
        <f t="shared" si="14"/>
        <v/>
      </c>
      <c r="H82" s="21" t="str">
        <f t="shared" si="2"/>
        <v/>
      </c>
      <c r="I82" s="66" t="str">
        <f t="shared" si="3"/>
        <v/>
      </c>
      <c r="J82" s="66" t="str">
        <f t="shared" si="4"/>
        <v/>
      </c>
      <c r="K82" s="11" t="str">
        <f t="shared" si="5"/>
        <v/>
      </c>
      <c r="L82" s="23" t="str">
        <f t="shared" si="19"/>
        <v/>
      </c>
      <c r="M82" s="100"/>
      <c r="N82" s="23" t="str">
        <f t="shared" si="6"/>
        <v/>
      </c>
      <c r="O82" s="23" t="str">
        <f t="shared" si="15"/>
        <v/>
      </c>
      <c r="P82" s="23" t="str">
        <f t="shared" si="16"/>
        <v/>
      </c>
      <c r="Q82" s="19" t="str">
        <f t="shared" si="7"/>
        <v/>
      </c>
      <c r="R82" s="19"/>
      <c r="T82" s="37" t="str">
        <f t="shared" si="8"/>
        <v/>
      </c>
      <c r="U82" s="37" t="str">
        <f t="shared" si="17"/>
        <v/>
      </c>
      <c r="W82" s="31" t="str">
        <f t="shared" si="20"/>
        <v/>
      </c>
      <c r="X82" s="31" t="str">
        <f t="shared" si="21"/>
        <v/>
      </c>
      <c r="Y82" s="34">
        <f t="shared" si="18"/>
        <v>1</v>
      </c>
      <c r="Z82" s="31">
        <f t="shared" si="9"/>
        <v>0</v>
      </c>
      <c r="AA82" s="66">
        <f t="shared" si="10"/>
        <v>0</v>
      </c>
      <c r="AB82" s="6" t="str">
        <f t="shared" si="11"/>
        <v/>
      </c>
      <c r="AC82" s="48">
        <f t="shared" si="22"/>
        <v>0</v>
      </c>
    </row>
    <row r="83" spans="3:29" x14ac:dyDescent="0.25">
      <c r="C83" s="27" t="str">
        <f t="shared" si="12"/>
        <v/>
      </c>
      <c r="D83" s="30" t="str">
        <f t="shared" si="13"/>
        <v/>
      </c>
      <c r="E83" s="20" t="str">
        <f t="shared" si="0"/>
        <v/>
      </c>
      <c r="F83" s="20" t="str">
        <f t="shared" si="1"/>
        <v/>
      </c>
      <c r="G83" s="24" t="str">
        <f t="shared" si="14"/>
        <v/>
      </c>
      <c r="H83" s="21" t="str">
        <f t="shared" si="2"/>
        <v/>
      </c>
      <c r="I83" s="66" t="str">
        <f t="shared" si="3"/>
        <v/>
      </c>
      <c r="J83" s="66" t="str">
        <f t="shared" si="4"/>
        <v/>
      </c>
      <c r="K83" s="11" t="str">
        <f t="shared" si="5"/>
        <v/>
      </c>
      <c r="L83" s="23" t="str">
        <f t="shared" si="19"/>
        <v/>
      </c>
      <c r="M83" s="100"/>
      <c r="N83" s="23" t="str">
        <f t="shared" si="6"/>
        <v/>
      </c>
      <c r="O83" s="23" t="str">
        <f t="shared" si="15"/>
        <v/>
      </c>
      <c r="P83" s="23" t="str">
        <f t="shared" si="16"/>
        <v/>
      </c>
      <c r="Q83" s="19" t="str">
        <f t="shared" si="7"/>
        <v/>
      </c>
      <c r="R83" s="19"/>
      <c r="T83" s="37" t="str">
        <f t="shared" si="8"/>
        <v/>
      </c>
      <c r="U83" s="37" t="str">
        <f t="shared" si="17"/>
        <v/>
      </c>
      <c r="W83" s="31" t="str">
        <f t="shared" si="20"/>
        <v/>
      </c>
      <c r="X83" s="31" t="str">
        <f t="shared" si="21"/>
        <v/>
      </c>
      <c r="Y83" s="34">
        <f t="shared" si="18"/>
        <v>1</v>
      </c>
      <c r="Z83" s="31">
        <f t="shared" si="9"/>
        <v>0</v>
      </c>
      <c r="AA83" s="66">
        <f t="shared" si="10"/>
        <v>0</v>
      </c>
      <c r="AB83" s="6" t="str">
        <f t="shared" si="11"/>
        <v/>
      </c>
      <c r="AC83" s="48">
        <f t="shared" si="22"/>
        <v>0</v>
      </c>
    </row>
    <row r="84" spans="3:29" x14ac:dyDescent="0.25">
      <c r="C84" s="27" t="str">
        <f t="shared" si="12"/>
        <v/>
      </c>
      <c r="D84" s="30" t="str">
        <f t="shared" si="13"/>
        <v/>
      </c>
      <c r="E84" s="20" t="str">
        <f t="shared" si="0"/>
        <v/>
      </c>
      <c r="F84" s="20" t="str">
        <f t="shared" si="1"/>
        <v/>
      </c>
      <c r="G84" s="24" t="str">
        <f t="shared" si="14"/>
        <v/>
      </c>
      <c r="H84" s="21" t="str">
        <f t="shared" si="2"/>
        <v/>
      </c>
      <c r="I84" s="66" t="str">
        <f t="shared" si="3"/>
        <v/>
      </c>
      <c r="J84" s="66" t="str">
        <f t="shared" si="4"/>
        <v/>
      </c>
      <c r="K84" s="11" t="str">
        <f t="shared" si="5"/>
        <v/>
      </c>
      <c r="L84" s="23" t="str">
        <f t="shared" si="19"/>
        <v/>
      </c>
      <c r="M84" s="100"/>
      <c r="N84" s="23" t="str">
        <f t="shared" si="6"/>
        <v/>
      </c>
      <c r="O84" s="23" t="str">
        <f t="shared" si="15"/>
        <v/>
      </c>
      <c r="P84" s="23" t="str">
        <f t="shared" si="16"/>
        <v/>
      </c>
      <c r="Q84" s="19" t="str">
        <f t="shared" si="7"/>
        <v/>
      </c>
      <c r="R84" s="19"/>
      <c r="T84" s="37" t="str">
        <f t="shared" si="8"/>
        <v/>
      </c>
      <c r="U84" s="37" t="str">
        <f t="shared" si="17"/>
        <v/>
      </c>
      <c r="W84" s="31" t="str">
        <f t="shared" si="20"/>
        <v/>
      </c>
      <c r="X84" s="31" t="str">
        <f t="shared" si="21"/>
        <v/>
      </c>
      <c r="Y84" s="34">
        <f t="shared" si="18"/>
        <v>1</v>
      </c>
      <c r="Z84" s="31">
        <f t="shared" si="9"/>
        <v>0</v>
      </c>
      <c r="AA84" s="66">
        <f t="shared" si="10"/>
        <v>0</v>
      </c>
      <c r="AB84" s="6" t="str">
        <f t="shared" si="11"/>
        <v/>
      </c>
      <c r="AC84" s="48">
        <f t="shared" si="22"/>
        <v>0</v>
      </c>
    </row>
    <row r="85" spans="3:29" x14ac:dyDescent="0.25">
      <c r="C85" s="27" t="str">
        <f t="shared" si="12"/>
        <v/>
      </c>
      <c r="D85" s="30" t="str">
        <f t="shared" si="13"/>
        <v/>
      </c>
      <c r="E85" s="20" t="str">
        <f t="shared" ref="E85:E148" si="23">IF(C85="","",MIN(IF($E$16="Mensualidad",-PMT(Q85/12,$E$15*12-C84,D85)-F85,-PMT(Q85/12,$E$15*12,$J$9)-F85),D85))</f>
        <v/>
      </c>
      <c r="F85" s="20" t="str">
        <f t="shared" ref="F85:F148" si="24">IF(C85="","",D85*(Q85/12))</f>
        <v/>
      </c>
      <c r="G85" s="24" t="str">
        <f t="shared" si="14"/>
        <v/>
      </c>
      <c r="H85" s="21" t="str">
        <f t="shared" ref="H85:H148" si="25">IF(C85="","",IF((($J$8*0.8)*($N$12/1.16))&gt;L84*($N$12/1.16),($J$8*0.8)*($N$12/1.16),($N$12/1.16)*L84)/1000)</f>
        <v/>
      </c>
      <c r="I85" s="66" t="str">
        <f t="shared" ref="I85:I148" si="26">IF($D$17="SI",0,IF(D85="","",$N$15))</f>
        <v/>
      </c>
      <c r="J85" s="66" t="str">
        <f t="shared" ref="J85:J148" si="27">IFERROR(IF($E$8="Liquidez",F85*0.16,""),"")</f>
        <v/>
      </c>
      <c r="K85" s="11" t="str">
        <f t="shared" ref="K85:K148" si="28">IFERROR(IF(C85="","",E85+F85+G85+H85+I85+J85),0)</f>
        <v/>
      </c>
      <c r="L85" s="23" t="str">
        <f t="shared" si="19"/>
        <v/>
      </c>
      <c r="M85" s="100"/>
      <c r="N85" s="23" t="str">
        <f t="shared" ref="N85:N148" si="29">IF(C85="","",IF(M85="",0,M85-O85-P85))</f>
        <v/>
      </c>
      <c r="O85" s="23" t="str">
        <f t="shared" si="15"/>
        <v/>
      </c>
      <c r="P85" s="23" t="str">
        <f t="shared" si="16"/>
        <v/>
      </c>
      <c r="Q85" s="19" t="str">
        <f t="shared" ref="Q85:Q148" si="30">IF(C85="","",$J$10)</f>
        <v/>
      </c>
      <c r="R85" s="19"/>
      <c r="T85" s="37" t="str">
        <f t="shared" ref="T85:T148" si="31">IF(C85="","",1)</f>
        <v/>
      </c>
      <c r="U85" s="37" t="str">
        <f t="shared" si="17"/>
        <v/>
      </c>
      <c r="W85" s="31" t="str">
        <f t="shared" si="20"/>
        <v/>
      </c>
      <c r="X85" s="31" t="str">
        <f t="shared" si="21"/>
        <v/>
      </c>
      <c r="Y85" s="34">
        <f t="shared" si="18"/>
        <v>1</v>
      </c>
      <c r="Z85" s="31">
        <f t="shared" ref="Z85:Z148" si="32">IF($AA$20=0,0,IF(N85&gt;AA84,MAX(0,N85-AA84),N85))</f>
        <v>0</v>
      </c>
      <c r="AA85" s="66">
        <f t="shared" ref="AA85:AA148" si="33">IFERROR(MAX(0,AA84-N85),0)</f>
        <v>0</v>
      </c>
      <c r="AB85" s="6" t="str">
        <f t="shared" ref="AB85:AB148" si="34">IF($D$17="NO",N85,IF(AA85&gt;0,0,Z85))</f>
        <v/>
      </c>
      <c r="AC85" s="48">
        <f t="shared" si="22"/>
        <v>0</v>
      </c>
    </row>
    <row r="86" spans="3:29" x14ac:dyDescent="0.25">
      <c r="C86" s="27" t="str">
        <f t="shared" ref="C86:C149" si="35">IF(OR(C85="",L85&lt;=0),"",IF(C85+1&lt;=E$15*12,C85+1,""))</f>
        <v/>
      </c>
      <c r="D86" s="30" t="str">
        <f t="shared" ref="D86:D149" si="36">IF(L85&lt;=0,"",L85)</f>
        <v/>
      </c>
      <c r="E86" s="20" t="str">
        <f t="shared" si="23"/>
        <v/>
      </c>
      <c r="F86" s="20" t="str">
        <f t="shared" si="24"/>
        <v/>
      </c>
      <c r="G86" s="24" t="str">
        <f t="shared" ref="G86:G149" si="37">IF(C86="","",L$12*L85/1000)</f>
        <v/>
      </c>
      <c r="H86" s="21" t="str">
        <f t="shared" si="25"/>
        <v/>
      </c>
      <c r="I86" s="66" t="str">
        <f t="shared" si="26"/>
        <v/>
      </c>
      <c r="J86" s="66" t="str">
        <f t="shared" si="27"/>
        <v/>
      </c>
      <c r="K86" s="11" t="str">
        <f t="shared" si="28"/>
        <v/>
      </c>
      <c r="L86" s="23" t="str">
        <f t="shared" si="19"/>
        <v/>
      </c>
      <c r="M86" s="100"/>
      <c r="N86" s="23" t="str">
        <f t="shared" si="29"/>
        <v/>
      </c>
      <c r="O86" s="23" t="str">
        <f t="shared" ref="O86:O149" si="38">IF(C86="","",M86*$J$12)</f>
        <v/>
      </c>
      <c r="P86" s="23" t="str">
        <f t="shared" ref="P86:P149" si="39">IF(C86="","",(M86*$J$12)*0.16)</f>
        <v/>
      </c>
      <c r="Q86" s="19" t="str">
        <f t="shared" si="30"/>
        <v/>
      </c>
      <c r="R86" s="19"/>
      <c r="T86" s="37" t="str">
        <f t="shared" si="31"/>
        <v/>
      </c>
      <c r="U86" s="37" t="str">
        <f t="shared" ref="U86:U149" si="40">C86</f>
        <v/>
      </c>
      <c r="W86" s="31" t="str">
        <f t="shared" si="20"/>
        <v/>
      </c>
      <c r="X86" s="31" t="str">
        <f t="shared" si="21"/>
        <v/>
      </c>
      <c r="Y86" s="34">
        <f t="shared" ref="Y86:Y149" si="41">Y85</f>
        <v>1</v>
      </c>
      <c r="Z86" s="31">
        <f t="shared" si="32"/>
        <v>0</v>
      </c>
      <c r="AA86" s="66">
        <f t="shared" si="33"/>
        <v>0</v>
      </c>
      <c r="AB86" s="6" t="str">
        <f t="shared" si="34"/>
        <v/>
      </c>
      <c r="AC86" s="48">
        <f t="shared" si="22"/>
        <v>0</v>
      </c>
    </row>
    <row r="87" spans="3:29" x14ac:dyDescent="0.25">
      <c r="C87" s="27" t="str">
        <f t="shared" si="35"/>
        <v/>
      </c>
      <c r="D87" s="30" t="str">
        <f t="shared" si="36"/>
        <v/>
      </c>
      <c r="E87" s="20" t="str">
        <f t="shared" si="23"/>
        <v/>
      </c>
      <c r="F87" s="20" t="str">
        <f t="shared" si="24"/>
        <v/>
      </c>
      <c r="G87" s="24" t="str">
        <f t="shared" si="37"/>
        <v/>
      </c>
      <c r="H87" s="21" t="str">
        <f t="shared" si="25"/>
        <v/>
      </c>
      <c r="I87" s="66" t="str">
        <f t="shared" si="26"/>
        <v/>
      </c>
      <c r="J87" s="66" t="str">
        <f t="shared" si="27"/>
        <v/>
      </c>
      <c r="K87" s="11" t="str">
        <f t="shared" si="28"/>
        <v/>
      </c>
      <c r="L87" s="23" t="str">
        <f t="shared" ref="L87:L150" si="42">IFERROR(IF(C87="","",IF((D87-E87-AB87)&lt;1,0,D87-E87-AB87)),0)</f>
        <v/>
      </c>
      <c r="M87" s="100"/>
      <c r="N87" s="23" t="str">
        <f t="shared" si="29"/>
        <v/>
      </c>
      <c r="O87" s="23" t="str">
        <f t="shared" si="38"/>
        <v/>
      </c>
      <c r="P87" s="23" t="str">
        <f t="shared" si="39"/>
        <v/>
      </c>
      <c r="Q87" s="19" t="str">
        <f t="shared" si="30"/>
        <v/>
      </c>
      <c r="R87" s="19"/>
      <c r="T87" s="37" t="str">
        <f t="shared" si="31"/>
        <v/>
      </c>
      <c r="U87" s="37" t="str">
        <f t="shared" si="40"/>
        <v/>
      </c>
      <c r="W87" s="31" t="str">
        <f t="shared" si="20"/>
        <v/>
      </c>
      <c r="X87" s="31" t="str">
        <f t="shared" si="21"/>
        <v/>
      </c>
      <c r="Y87" s="34">
        <f t="shared" si="41"/>
        <v>1</v>
      </c>
      <c r="Z87" s="31">
        <f t="shared" si="32"/>
        <v>0</v>
      </c>
      <c r="AA87" s="66">
        <f t="shared" si="33"/>
        <v>0</v>
      </c>
      <c r="AB87" s="6" t="str">
        <f t="shared" si="34"/>
        <v/>
      </c>
      <c r="AC87" s="48">
        <f t="shared" si="22"/>
        <v>0</v>
      </c>
    </row>
    <row r="88" spans="3:29" x14ac:dyDescent="0.25">
      <c r="C88" s="27" t="str">
        <f t="shared" si="35"/>
        <v/>
      </c>
      <c r="D88" s="30" t="str">
        <f t="shared" si="36"/>
        <v/>
      </c>
      <c r="E88" s="20" t="str">
        <f t="shared" si="23"/>
        <v/>
      </c>
      <c r="F88" s="20" t="str">
        <f t="shared" si="24"/>
        <v/>
      </c>
      <c r="G88" s="24" t="str">
        <f t="shared" si="37"/>
        <v/>
      </c>
      <c r="H88" s="21" t="str">
        <f t="shared" si="25"/>
        <v/>
      </c>
      <c r="I88" s="66" t="str">
        <f t="shared" si="26"/>
        <v/>
      </c>
      <c r="J88" s="66" t="str">
        <f t="shared" si="27"/>
        <v/>
      </c>
      <c r="K88" s="11" t="str">
        <f t="shared" si="28"/>
        <v/>
      </c>
      <c r="L88" s="23" t="str">
        <f t="shared" si="42"/>
        <v/>
      </c>
      <c r="M88" s="100"/>
      <c r="N88" s="23" t="str">
        <f t="shared" si="29"/>
        <v/>
      </c>
      <c r="O88" s="23" t="str">
        <f t="shared" si="38"/>
        <v/>
      </c>
      <c r="P88" s="23" t="str">
        <f t="shared" si="39"/>
        <v/>
      </c>
      <c r="Q88" s="19" t="str">
        <f t="shared" si="30"/>
        <v/>
      </c>
      <c r="R88" s="19"/>
      <c r="T88" s="37" t="str">
        <f t="shared" si="31"/>
        <v/>
      </c>
      <c r="U88" s="37" t="str">
        <f t="shared" si="40"/>
        <v/>
      </c>
      <c r="W88" s="31" t="str">
        <f t="shared" si="20"/>
        <v/>
      </c>
      <c r="X88" s="31" t="str">
        <f t="shared" si="21"/>
        <v/>
      </c>
      <c r="Y88" s="34">
        <f t="shared" si="41"/>
        <v>1</v>
      </c>
      <c r="Z88" s="31">
        <f t="shared" si="32"/>
        <v>0</v>
      </c>
      <c r="AA88" s="66">
        <f t="shared" si="33"/>
        <v>0</v>
      </c>
      <c r="AB88" s="6" t="str">
        <f t="shared" si="34"/>
        <v/>
      </c>
      <c r="AC88" s="48">
        <f t="shared" si="22"/>
        <v>0</v>
      </c>
    </row>
    <row r="89" spans="3:29" x14ac:dyDescent="0.25">
      <c r="C89" s="27" t="str">
        <f t="shared" si="35"/>
        <v/>
      </c>
      <c r="D89" s="30" t="str">
        <f t="shared" si="36"/>
        <v/>
      </c>
      <c r="E89" s="20" t="str">
        <f t="shared" si="23"/>
        <v/>
      </c>
      <c r="F89" s="20" t="str">
        <f t="shared" si="24"/>
        <v/>
      </c>
      <c r="G89" s="24" t="str">
        <f t="shared" si="37"/>
        <v/>
      </c>
      <c r="H89" s="21" t="str">
        <f t="shared" si="25"/>
        <v/>
      </c>
      <c r="I89" s="66" t="str">
        <f t="shared" si="26"/>
        <v/>
      </c>
      <c r="J89" s="66" t="str">
        <f t="shared" si="27"/>
        <v/>
      </c>
      <c r="K89" s="11" t="str">
        <f t="shared" si="28"/>
        <v/>
      </c>
      <c r="L89" s="23" t="str">
        <f t="shared" si="42"/>
        <v/>
      </c>
      <c r="M89" s="100"/>
      <c r="N89" s="23" t="str">
        <f t="shared" si="29"/>
        <v/>
      </c>
      <c r="O89" s="23" t="str">
        <f t="shared" si="38"/>
        <v/>
      </c>
      <c r="P89" s="23" t="str">
        <f t="shared" si="39"/>
        <v/>
      </c>
      <c r="Q89" s="19" t="str">
        <f t="shared" si="30"/>
        <v/>
      </c>
      <c r="R89" s="19"/>
      <c r="T89" s="37" t="str">
        <f t="shared" si="31"/>
        <v/>
      </c>
      <c r="U89" s="37" t="str">
        <f t="shared" si="40"/>
        <v/>
      </c>
      <c r="W89" s="31" t="str">
        <f t="shared" si="20"/>
        <v/>
      </c>
      <c r="X89" s="31" t="str">
        <f t="shared" si="21"/>
        <v/>
      </c>
      <c r="Y89" s="34">
        <f t="shared" si="41"/>
        <v>1</v>
      </c>
      <c r="Z89" s="31">
        <f t="shared" si="32"/>
        <v>0</v>
      </c>
      <c r="AA89" s="66">
        <f t="shared" si="33"/>
        <v>0</v>
      </c>
      <c r="AB89" s="6" t="str">
        <f t="shared" si="34"/>
        <v/>
      </c>
      <c r="AC89" s="48">
        <f t="shared" si="22"/>
        <v>0</v>
      </c>
    </row>
    <row r="90" spans="3:29" x14ac:dyDescent="0.25">
      <c r="C90" s="27" t="str">
        <f t="shared" si="35"/>
        <v/>
      </c>
      <c r="D90" s="30" t="str">
        <f t="shared" si="36"/>
        <v/>
      </c>
      <c r="E90" s="20" t="str">
        <f t="shared" si="23"/>
        <v/>
      </c>
      <c r="F90" s="20" t="str">
        <f t="shared" si="24"/>
        <v/>
      </c>
      <c r="G90" s="24" t="str">
        <f t="shared" si="37"/>
        <v/>
      </c>
      <c r="H90" s="21" t="str">
        <f t="shared" si="25"/>
        <v/>
      </c>
      <c r="I90" s="66" t="str">
        <f t="shared" si="26"/>
        <v/>
      </c>
      <c r="J90" s="66" t="str">
        <f t="shared" si="27"/>
        <v/>
      </c>
      <c r="K90" s="11" t="str">
        <f t="shared" si="28"/>
        <v/>
      </c>
      <c r="L90" s="23" t="str">
        <f t="shared" si="42"/>
        <v/>
      </c>
      <c r="M90" s="100"/>
      <c r="N90" s="23" t="str">
        <f t="shared" si="29"/>
        <v/>
      </c>
      <c r="O90" s="23" t="str">
        <f t="shared" si="38"/>
        <v/>
      </c>
      <c r="P90" s="23" t="str">
        <f t="shared" si="39"/>
        <v/>
      </c>
      <c r="Q90" s="19" t="str">
        <f t="shared" si="30"/>
        <v/>
      </c>
      <c r="R90" s="19"/>
      <c r="T90" s="37" t="str">
        <f t="shared" si="31"/>
        <v/>
      </c>
      <c r="U90" s="37" t="str">
        <f t="shared" si="40"/>
        <v/>
      </c>
      <c r="W90" s="31" t="str">
        <f t="shared" ref="W90:W153" si="43">IF(C90="","",IF(ISNUMBER(U90),PMT(Q90/12,($E$15*12),-$J$9)+G90+H90+AB90/1.16+$N$15,0))</f>
        <v/>
      </c>
      <c r="X90" s="31" t="str">
        <f t="shared" ref="X90:X153" si="44">IF(C90="","",IF(ISNUMBER(U90),PMT(Q90/12,$E$15*12,-$J$9)+G90+AB90+H90/1.16+$N$15,0))</f>
        <v/>
      </c>
      <c r="Y90" s="34">
        <f t="shared" si="41"/>
        <v>1</v>
      </c>
      <c r="Z90" s="31">
        <f t="shared" si="32"/>
        <v>0</v>
      </c>
      <c r="AA90" s="66">
        <f t="shared" si="33"/>
        <v>0</v>
      </c>
      <c r="AB90" s="6" t="str">
        <f t="shared" si="34"/>
        <v/>
      </c>
      <c r="AC90" s="48">
        <f t="shared" si="22"/>
        <v>0</v>
      </c>
    </row>
    <row r="91" spans="3:29" x14ac:dyDescent="0.25">
      <c r="C91" s="27" t="str">
        <f t="shared" si="35"/>
        <v/>
      </c>
      <c r="D91" s="30" t="str">
        <f t="shared" si="36"/>
        <v/>
      </c>
      <c r="E91" s="20" t="str">
        <f t="shared" si="23"/>
        <v/>
      </c>
      <c r="F91" s="20" t="str">
        <f t="shared" si="24"/>
        <v/>
      </c>
      <c r="G91" s="24" t="str">
        <f t="shared" si="37"/>
        <v/>
      </c>
      <c r="H91" s="21" t="str">
        <f t="shared" si="25"/>
        <v/>
      </c>
      <c r="I91" s="66" t="str">
        <f t="shared" si="26"/>
        <v/>
      </c>
      <c r="J91" s="66" t="str">
        <f t="shared" si="27"/>
        <v/>
      </c>
      <c r="K91" s="11" t="str">
        <f t="shared" si="28"/>
        <v/>
      </c>
      <c r="L91" s="23" t="str">
        <f t="shared" si="42"/>
        <v/>
      </c>
      <c r="M91" s="100"/>
      <c r="N91" s="23" t="str">
        <f t="shared" si="29"/>
        <v/>
      </c>
      <c r="O91" s="23" t="str">
        <f t="shared" si="38"/>
        <v/>
      </c>
      <c r="P91" s="23" t="str">
        <f t="shared" si="39"/>
        <v/>
      </c>
      <c r="Q91" s="19" t="str">
        <f t="shared" si="30"/>
        <v/>
      </c>
      <c r="R91" s="19"/>
      <c r="T91" s="37" t="str">
        <f t="shared" si="31"/>
        <v/>
      </c>
      <c r="U91" s="37" t="str">
        <f t="shared" si="40"/>
        <v/>
      </c>
      <c r="W91" s="31" t="str">
        <f t="shared" si="43"/>
        <v/>
      </c>
      <c r="X91" s="31" t="str">
        <f t="shared" si="44"/>
        <v/>
      </c>
      <c r="Y91" s="34">
        <f t="shared" si="41"/>
        <v>1</v>
      </c>
      <c r="Z91" s="31">
        <f t="shared" si="32"/>
        <v>0</v>
      </c>
      <c r="AA91" s="66">
        <f t="shared" si="33"/>
        <v>0</v>
      </c>
      <c r="AB91" s="6" t="str">
        <f t="shared" si="34"/>
        <v/>
      </c>
      <c r="AC91" s="48">
        <f t="shared" si="22"/>
        <v>0</v>
      </c>
    </row>
    <row r="92" spans="3:29" x14ac:dyDescent="0.25">
      <c r="C92" s="27" t="str">
        <f t="shared" si="35"/>
        <v/>
      </c>
      <c r="D92" s="30" t="str">
        <f t="shared" si="36"/>
        <v/>
      </c>
      <c r="E92" s="20" t="str">
        <f t="shared" si="23"/>
        <v/>
      </c>
      <c r="F92" s="20" t="str">
        <f t="shared" si="24"/>
        <v/>
      </c>
      <c r="G92" s="24" t="str">
        <f t="shared" si="37"/>
        <v/>
      </c>
      <c r="H92" s="21" t="str">
        <f t="shared" si="25"/>
        <v/>
      </c>
      <c r="I92" s="66" t="str">
        <f t="shared" si="26"/>
        <v/>
      </c>
      <c r="J92" s="66" t="str">
        <f t="shared" si="27"/>
        <v/>
      </c>
      <c r="K92" s="11" t="str">
        <f t="shared" si="28"/>
        <v/>
      </c>
      <c r="L92" s="23" t="str">
        <f t="shared" si="42"/>
        <v/>
      </c>
      <c r="M92" s="100"/>
      <c r="N92" s="23" t="str">
        <f t="shared" si="29"/>
        <v/>
      </c>
      <c r="O92" s="23" t="str">
        <f t="shared" si="38"/>
        <v/>
      </c>
      <c r="P92" s="23" t="str">
        <f t="shared" si="39"/>
        <v/>
      </c>
      <c r="Q92" s="19" t="str">
        <f t="shared" si="30"/>
        <v/>
      </c>
      <c r="R92" s="19"/>
      <c r="T92" s="37" t="str">
        <f t="shared" si="31"/>
        <v/>
      </c>
      <c r="U92" s="37" t="str">
        <f t="shared" si="40"/>
        <v/>
      </c>
      <c r="W92" s="31" t="str">
        <f t="shared" si="43"/>
        <v/>
      </c>
      <c r="X92" s="31" t="str">
        <f t="shared" si="44"/>
        <v/>
      </c>
      <c r="Y92" s="34">
        <f t="shared" si="41"/>
        <v>1</v>
      </c>
      <c r="Z92" s="31">
        <f t="shared" si="32"/>
        <v>0</v>
      </c>
      <c r="AA92" s="66">
        <f t="shared" si="33"/>
        <v>0</v>
      </c>
      <c r="AB92" s="6" t="str">
        <f t="shared" si="34"/>
        <v/>
      </c>
      <c r="AC92" s="48">
        <f t="shared" si="22"/>
        <v>0</v>
      </c>
    </row>
    <row r="93" spans="3:29" x14ac:dyDescent="0.25">
      <c r="C93" s="27" t="str">
        <f t="shared" si="35"/>
        <v/>
      </c>
      <c r="D93" s="30" t="str">
        <f t="shared" si="36"/>
        <v/>
      </c>
      <c r="E93" s="20" t="str">
        <f t="shared" si="23"/>
        <v/>
      </c>
      <c r="F93" s="20" t="str">
        <f t="shared" si="24"/>
        <v/>
      </c>
      <c r="G93" s="24" t="str">
        <f t="shared" si="37"/>
        <v/>
      </c>
      <c r="H93" s="21" t="str">
        <f t="shared" si="25"/>
        <v/>
      </c>
      <c r="I93" s="66" t="str">
        <f t="shared" si="26"/>
        <v/>
      </c>
      <c r="J93" s="66" t="str">
        <f t="shared" si="27"/>
        <v/>
      </c>
      <c r="K93" s="11" t="str">
        <f t="shared" si="28"/>
        <v/>
      </c>
      <c r="L93" s="23" t="str">
        <f t="shared" si="42"/>
        <v/>
      </c>
      <c r="M93" s="100"/>
      <c r="N93" s="23" t="str">
        <f t="shared" si="29"/>
        <v/>
      </c>
      <c r="O93" s="23" t="str">
        <f t="shared" si="38"/>
        <v/>
      </c>
      <c r="P93" s="23" t="str">
        <f t="shared" si="39"/>
        <v/>
      </c>
      <c r="Q93" s="19" t="str">
        <f t="shared" si="30"/>
        <v/>
      </c>
      <c r="R93" s="19"/>
      <c r="T93" s="37" t="str">
        <f t="shared" si="31"/>
        <v/>
      </c>
      <c r="U93" s="37" t="str">
        <f t="shared" si="40"/>
        <v/>
      </c>
      <c r="W93" s="31" t="str">
        <f t="shared" si="43"/>
        <v/>
      </c>
      <c r="X93" s="31" t="str">
        <f t="shared" si="44"/>
        <v/>
      </c>
      <c r="Y93" s="34">
        <f t="shared" si="41"/>
        <v>1</v>
      </c>
      <c r="Z93" s="31">
        <f t="shared" si="32"/>
        <v>0</v>
      </c>
      <c r="AA93" s="66">
        <f t="shared" si="33"/>
        <v>0</v>
      </c>
      <c r="AB93" s="6" t="str">
        <f t="shared" si="34"/>
        <v/>
      </c>
      <c r="AC93" s="48">
        <f>AC92+$M$17</f>
        <v>0</v>
      </c>
    </row>
    <row r="94" spans="3:29" x14ac:dyDescent="0.25">
      <c r="C94" s="27" t="str">
        <f t="shared" si="35"/>
        <v/>
      </c>
      <c r="D94" s="30" t="str">
        <f t="shared" si="36"/>
        <v/>
      </c>
      <c r="E94" s="20" t="str">
        <f t="shared" si="23"/>
        <v/>
      </c>
      <c r="F94" s="20" t="str">
        <f t="shared" si="24"/>
        <v/>
      </c>
      <c r="G94" s="24" t="str">
        <f t="shared" si="37"/>
        <v/>
      </c>
      <c r="H94" s="21" t="str">
        <f t="shared" si="25"/>
        <v/>
      </c>
      <c r="I94" s="66" t="str">
        <f t="shared" si="26"/>
        <v/>
      </c>
      <c r="J94" s="66" t="str">
        <f t="shared" si="27"/>
        <v/>
      </c>
      <c r="K94" s="11" t="str">
        <f t="shared" si="28"/>
        <v/>
      </c>
      <c r="L94" s="23" t="str">
        <f t="shared" si="42"/>
        <v/>
      </c>
      <c r="M94" s="100"/>
      <c r="N94" s="23" t="str">
        <f t="shared" si="29"/>
        <v/>
      </c>
      <c r="O94" s="23" t="str">
        <f t="shared" si="38"/>
        <v/>
      </c>
      <c r="P94" s="23" t="str">
        <f t="shared" si="39"/>
        <v/>
      </c>
      <c r="Q94" s="19" t="str">
        <f t="shared" si="30"/>
        <v/>
      </c>
      <c r="R94" s="19"/>
      <c r="T94" s="37" t="str">
        <f t="shared" si="31"/>
        <v/>
      </c>
      <c r="U94" s="37" t="str">
        <f t="shared" si="40"/>
        <v/>
      </c>
      <c r="W94" s="31" t="str">
        <f t="shared" si="43"/>
        <v/>
      </c>
      <c r="X94" s="31" t="str">
        <f t="shared" si="44"/>
        <v/>
      </c>
      <c r="Y94" s="34">
        <f t="shared" si="41"/>
        <v>1</v>
      </c>
      <c r="Z94" s="31">
        <f t="shared" si="32"/>
        <v>0</v>
      </c>
      <c r="AA94" s="66">
        <f t="shared" si="33"/>
        <v>0</v>
      </c>
      <c r="AB94" s="6" t="str">
        <f t="shared" si="34"/>
        <v/>
      </c>
      <c r="AC94" s="48">
        <f t="shared" si="22"/>
        <v>0</v>
      </c>
    </row>
    <row r="95" spans="3:29" x14ac:dyDescent="0.25">
      <c r="C95" s="27" t="str">
        <f t="shared" si="35"/>
        <v/>
      </c>
      <c r="D95" s="30" t="str">
        <f t="shared" si="36"/>
        <v/>
      </c>
      <c r="E95" s="20" t="str">
        <f t="shared" si="23"/>
        <v/>
      </c>
      <c r="F95" s="20" t="str">
        <f t="shared" si="24"/>
        <v/>
      </c>
      <c r="G95" s="24" t="str">
        <f t="shared" si="37"/>
        <v/>
      </c>
      <c r="H95" s="21" t="str">
        <f t="shared" si="25"/>
        <v/>
      </c>
      <c r="I95" s="66" t="str">
        <f t="shared" si="26"/>
        <v/>
      </c>
      <c r="J95" s="66" t="str">
        <f t="shared" si="27"/>
        <v/>
      </c>
      <c r="K95" s="11" t="str">
        <f t="shared" si="28"/>
        <v/>
      </c>
      <c r="L95" s="23" t="str">
        <f t="shared" si="42"/>
        <v/>
      </c>
      <c r="M95" s="100"/>
      <c r="N95" s="23" t="str">
        <f t="shared" si="29"/>
        <v/>
      </c>
      <c r="O95" s="23" t="str">
        <f t="shared" si="38"/>
        <v/>
      </c>
      <c r="P95" s="23" t="str">
        <f t="shared" si="39"/>
        <v/>
      </c>
      <c r="Q95" s="19" t="str">
        <f t="shared" si="30"/>
        <v/>
      </c>
      <c r="R95" s="19"/>
      <c r="T95" s="37" t="str">
        <f t="shared" si="31"/>
        <v/>
      </c>
      <c r="U95" s="37" t="str">
        <f t="shared" si="40"/>
        <v/>
      </c>
      <c r="W95" s="31" t="str">
        <f t="shared" si="43"/>
        <v/>
      </c>
      <c r="X95" s="31" t="str">
        <f t="shared" si="44"/>
        <v/>
      </c>
      <c r="Y95" s="34">
        <f t="shared" si="41"/>
        <v>1</v>
      </c>
      <c r="Z95" s="31">
        <f t="shared" si="32"/>
        <v>0</v>
      </c>
      <c r="AA95" s="66">
        <f t="shared" si="33"/>
        <v>0</v>
      </c>
      <c r="AB95" s="6" t="str">
        <f t="shared" si="34"/>
        <v/>
      </c>
      <c r="AC95" s="48">
        <f t="shared" si="22"/>
        <v>0</v>
      </c>
    </row>
    <row r="96" spans="3:29" x14ac:dyDescent="0.25">
      <c r="C96" s="27" t="str">
        <f t="shared" si="35"/>
        <v/>
      </c>
      <c r="D96" s="30" t="str">
        <f t="shared" si="36"/>
        <v/>
      </c>
      <c r="E96" s="20" t="str">
        <f t="shared" si="23"/>
        <v/>
      </c>
      <c r="F96" s="20" t="str">
        <f t="shared" si="24"/>
        <v/>
      </c>
      <c r="G96" s="24" t="str">
        <f t="shared" si="37"/>
        <v/>
      </c>
      <c r="H96" s="21" t="str">
        <f t="shared" si="25"/>
        <v/>
      </c>
      <c r="I96" s="66" t="str">
        <f t="shared" si="26"/>
        <v/>
      </c>
      <c r="J96" s="66" t="str">
        <f t="shared" si="27"/>
        <v/>
      </c>
      <c r="K96" s="11" t="str">
        <f t="shared" si="28"/>
        <v/>
      </c>
      <c r="L96" s="23" t="str">
        <f t="shared" si="42"/>
        <v/>
      </c>
      <c r="M96" s="100"/>
      <c r="N96" s="23" t="str">
        <f t="shared" si="29"/>
        <v/>
      </c>
      <c r="O96" s="23" t="str">
        <f t="shared" si="38"/>
        <v/>
      </c>
      <c r="P96" s="23" t="str">
        <f t="shared" si="39"/>
        <v/>
      </c>
      <c r="Q96" s="19" t="str">
        <f t="shared" si="30"/>
        <v/>
      </c>
      <c r="R96" s="19"/>
      <c r="T96" s="37" t="str">
        <f t="shared" si="31"/>
        <v/>
      </c>
      <c r="U96" s="37" t="str">
        <f t="shared" si="40"/>
        <v/>
      </c>
      <c r="W96" s="31" t="str">
        <f t="shared" si="43"/>
        <v/>
      </c>
      <c r="X96" s="31" t="str">
        <f t="shared" si="44"/>
        <v/>
      </c>
      <c r="Y96" s="34">
        <f t="shared" si="41"/>
        <v>1</v>
      </c>
      <c r="Z96" s="31">
        <f t="shared" si="32"/>
        <v>0</v>
      </c>
      <c r="AA96" s="66">
        <f t="shared" si="33"/>
        <v>0</v>
      </c>
      <c r="AB96" s="6" t="str">
        <f t="shared" si="34"/>
        <v/>
      </c>
      <c r="AC96" s="48">
        <f t="shared" si="22"/>
        <v>0</v>
      </c>
    </row>
    <row r="97" spans="3:29" x14ac:dyDescent="0.25">
      <c r="C97" s="27" t="str">
        <f t="shared" si="35"/>
        <v/>
      </c>
      <c r="D97" s="30" t="str">
        <f t="shared" si="36"/>
        <v/>
      </c>
      <c r="E97" s="20" t="str">
        <f t="shared" si="23"/>
        <v/>
      </c>
      <c r="F97" s="20" t="str">
        <f t="shared" si="24"/>
        <v/>
      </c>
      <c r="G97" s="24" t="str">
        <f t="shared" si="37"/>
        <v/>
      </c>
      <c r="H97" s="21" t="str">
        <f t="shared" si="25"/>
        <v/>
      </c>
      <c r="I97" s="66" t="str">
        <f t="shared" si="26"/>
        <v/>
      </c>
      <c r="J97" s="66" t="str">
        <f t="shared" si="27"/>
        <v/>
      </c>
      <c r="K97" s="11" t="str">
        <f t="shared" si="28"/>
        <v/>
      </c>
      <c r="L97" s="23" t="str">
        <f t="shared" si="42"/>
        <v/>
      </c>
      <c r="M97" s="100"/>
      <c r="N97" s="23" t="str">
        <f t="shared" si="29"/>
        <v/>
      </c>
      <c r="O97" s="23" t="str">
        <f t="shared" si="38"/>
        <v/>
      </c>
      <c r="P97" s="23" t="str">
        <f t="shared" si="39"/>
        <v/>
      </c>
      <c r="Q97" s="19" t="str">
        <f t="shared" si="30"/>
        <v/>
      </c>
      <c r="R97" s="19"/>
      <c r="T97" s="37" t="str">
        <f t="shared" si="31"/>
        <v/>
      </c>
      <c r="U97" s="37" t="str">
        <f t="shared" si="40"/>
        <v/>
      </c>
      <c r="W97" s="31" t="str">
        <f t="shared" si="43"/>
        <v/>
      </c>
      <c r="X97" s="31" t="str">
        <f t="shared" si="44"/>
        <v/>
      </c>
      <c r="Y97" s="34">
        <f t="shared" si="41"/>
        <v>1</v>
      </c>
      <c r="Z97" s="31">
        <f t="shared" si="32"/>
        <v>0</v>
      </c>
      <c r="AA97" s="66">
        <f t="shared" si="33"/>
        <v>0</v>
      </c>
      <c r="AB97" s="6" t="str">
        <f t="shared" si="34"/>
        <v/>
      </c>
      <c r="AC97" s="48">
        <f t="shared" si="22"/>
        <v>0</v>
      </c>
    </row>
    <row r="98" spans="3:29" x14ac:dyDescent="0.25">
      <c r="C98" s="27" t="str">
        <f t="shared" si="35"/>
        <v/>
      </c>
      <c r="D98" s="30" t="str">
        <f t="shared" si="36"/>
        <v/>
      </c>
      <c r="E98" s="20" t="str">
        <f t="shared" si="23"/>
        <v/>
      </c>
      <c r="F98" s="20" t="str">
        <f t="shared" si="24"/>
        <v/>
      </c>
      <c r="G98" s="24" t="str">
        <f t="shared" si="37"/>
        <v/>
      </c>
      <c r="H98" s="21" t="str">
        <f t="shared" si="25"/>
        <v/>
      </c>
      <c r="I98" s="66" t="str">
        <f t="shared" si="26"/>
        <v/>
      </c>
      <c r="J98" s="66" t="str">
        <f t="shared" si="27"/>
        <v/>
      </c>
      <c r="K98" s="11" t="str">
        <f t="shared" si="28"/>
        <v/>
      </c>
      <c r="L98" s="23" t="str">
        <f t="shared" si="42"/>
        <v/>
      </c>
      <c r="M98" s="100"/>
      <c r="N98" s="23" t="str">
        <f t="shared" si="29"/>
        <v/>
      </c>
      <c r="O98" s="23" t="str">
        <f t="shared" si="38"/>
        <v/>
      </c>
      <c r="P98" s="23" t="str">
        <f t="shared" si="39"/>
        <v/>
      </c>
      <c r="Q98" s="19" t="str">
        <f t="shared" si="30"/>
        <v/>
      </c>
      <c r="R98" s="19"/>
      <c r="T98" s="37" t="str">
        <f t="shared" si="31"/>
        <v/>
      </c>
      <c r="U98" s="37" t="str">
        <f t="shared" si="40"/>
        <v/>
      </c>
      <c r="W98" s="31" t="str">
        <f t="shared" si="43"/>
        <v/>
      </c>
      <c r="X98" s="31" t="str">
        <f t="shared" si="44"/>
        <v/>
      </c>
      <c r="Y98" s="34">
        <f t="shared" si="41"/>
        <v>1</v>
      </c>
      <c r="Z98" s="31">
        <f t="shared" si="32"/>
        <v>0</v>
      </c>
      <c r="AA98" s="66">
        <f t="shared" si="33"/>
        <v>0</v>
      </c>
      <c r="AB98" s="6" t="str">
        <f t="shared" si="34"/>
        <v/>
      </c>
      <c r="AC98" s="48">
        <f t="shared" si="22"/>
        <v>0</v>
      </c>
    </row>
    <row r="99" spans="3:29" x14ac:dyDescent="0.25">
      <c r="C99" s="27" t="str">
        <f t="shared" si="35"/>
        <v/>
      </c>
      <c r="D99" s="30" t="str">
        <f t="shared" si="36"/>
        <v/>
      </c>
      <c r="E99" s="20" t="str">
        <f t="shared" si="23"/>
        <v/>
      </c>
      <c r="F99" s="20" t="str">
        <f t="shared" si="24"/>
        <v/>
      </c>
      <c r="G99" s="24" t="str">
        <f t="shared" si="37"/>
        <v/>
      </c>
      <c r="H99" s="21" t="str">
        <f t="shared" si="25"/>
        <v/>
      </c>
      <c r="I99" s="66" t="str">
        <f t="shared" si="26"/>
        <v/>
      </c>
      <c r="J99" s="66" t="str">
        <f t="shared" si="27"/>
        <v/>
      </c>
      <c r="K99" s="11" t="str">
        <f t="shared" si="28"/>
        <v/>
      </c>
      <c r="L99" s="23" t="str">
        <f t="shared" si="42"/>
        <v/>
      </c>
      <c r="M99" s="100"/>
      <c r="N99" s="23" t="str">
        <f t="shared" si="29"/>
        <v/>
      </c>
      <c r="O99" s="23" t="str">
        <f t="shared" si="38"/>
        <v/>
      </c>
      <c r="P99" s="23" t="str">
        <f t="shared" si="39"/>
        <v/>
      </c>
      <c r="Q99" s="19" t="str">
        <f t="shared" si="30"/>
        <v/>
      </c>
      <c r="R99" s="19"/>
      <c r="T99" s="37" t="str">
        <f t="shared" si="31"/>
        <v/>
      </c>
      <c r="U99" s="37" t="str">
        <f t="shared" si="40"/>
        <v/>
      </c>
      <c r="W99" s="31" t="str">
        <f t="shared" si="43"/>
        <v/>
      </c>
      <c r="X99" s="31" t="str">
        <f t="shared" si="44"/>
        <v/>
      </c>
      <c r="Y99" s="34">
        <f t="shared" si="41"/>
        <v>1</v>
      </c>
      <c r="Z99" s="31">
        <f t="shared" si="32"/>
        <v>0</v>
      </c>
      <c r="AA99" s="66">
        <f t="shared" si="33"/>
        <v>0</v>
      </c>
      <c r="AB99" s="6" t="str">
        <f t="shared" si="34"/>
        <v/>
      </c>
      <c r="AC99" s="48">
        <f t="shared" ref="AC99:AC162" si="45">AC98</f>
        <v>0</v>
      </c>
    </row>
    <row r="100" spans="3:29" x14ac:dyDescent="0.25">
      <c r="C100" s="27" t="str">
        <f t="shared" si="35"/>
        <v/>
      </c>
      <c r="D100" s="30" t="str">
        <f t="shared" si="36"/>
        <v/>
      </c>
      <c r="E100" s="20" t="str">
        <f t="shared" si="23"/>
        <v/>
      </c>
      <c r="F100" s="20" t="str">
        <f t="shared" si="24"/>
        <v/>
      </c>
      <c r="G100" s="24" t="str">
        <f t="shared" si="37"/>
        <v/>
      </c>
      <c r="H100" s="21" t="str">
        <f t="shared" si="25"/>
        <v/>
      </c>
      <c r="I100" s="66" t="str">
        <f t="shared" si="26"/>
        <v/>
      </c>
      <c r="J100" s="66" t="str">
        <f t="shared" si="27"/>
        <v/>
      </c>
      <c r="K100" s="11" t="str">
        <f t="shared" si="28"/>
        <v/>
      </c>
      <c r="L100" s="23" t="str">
        <f t="shared" si="42"/>
        <v/>
      </c>
      <c r="M100" s="100"/>
      <c r="N100" s="23" t="str">
        <f t="shared" si="29"/>
        <v/>
      </c>
      <c r="O100" s="23" t="str">
        <f t="shared" si="38"/>
        <v/>
      </c>
      <c r="P100" s="23" t="str">
        <f t="shared" si="39"/>
        <v/>
      </c>
      <c r="Q100" s="19" t="str">
        <f t="shared" si="30"/>
        <v/>
      </c>
      <c r="R100" s="19"/>
      <c r="T100" s="37" t="str">
        <f t="shared" si="31"/>
        <v/>
      </c>
      <c r="U100" s="37" t="str">
        <f t="shared" si="40"/>
        <v/>
      </c>
      <c r="W100" s="31" t="str">
        <f t="shared" si="43"/>
        <v/>
      </c>
      <c r="X100" s="31" t="str">
        <f t="shared" si="44"/>
        <v/>
      </c>
      <c r="Y100" s="34">
        <f t="shared" si="41"/>
        <v>1</v>
      </c>
      <c r="Z100" s="31">
        <f t="shared" si="32"/>
        <v>0</v>
      </c>
      <c r="AA100" s="66">
        <f t="shared" si="33"/>
        <v>0</v>
      </c>
      <c r="AB100" s="6" t="str">
        <f t="shared" si="34"/>
        <v/>
      </c>
      <c r="AC100" s="48">
        <f t="shared" si="45"/>
        <v>0</v>
      </c>
    </row>
    <row r="101" spans="3:29" x14ac:dyDescent="0.25">
      <c r="C101" s="27" t="str">
        <f t="shared" si="35"/>
        <v/>
      </c>
      <c r="D101" s="30" t="str">
        <f t="shared" si="36"/>
        <v/>
      </c>
      <c r="E101" s="20" t="str">
        <f t="shared" si="23"/>
        <v/>
      </c>
      <c r="F101" s="20" t="str">
        <f t="shared" si="24"/>
        <v/>
      </c>
      <c r="G101" s="24" t="str">
        <f t="shared" si="37"/>
        <v/>
      </c>
      <c r="H101" s="21" t="str">
        <f t="shared" si="25"/>
        <v/>
      </c>
      <c r="I101" s="66" t="str">
        <f t="shared" si="26"/>
        <v/>
      </c>
      <c r="J101" s="66" t="str">
        <f t="shared" si="27"/>
        <v/>
      </c>
      <c r="K101" s="11" t="str">
        <f t="shared" si="28"/>
        <v/>
      </c>
      <c r="L101" s="23" t="str">
        <f t="shared" si="42"/>
        <v/>
      </c>
      <c r="M101" s="100"/>
      <c r="N101" s="23" t="str">
        <f t="shared" si="29"/>
        <v/>
      </c>
      <c r="O101" s="23" t="str">
        <f t="shared" si="38"/>
        <v/>
      </c>
      <c r="P101" s="23" t="str">
        <f t="shared" si="39"/>
        <v/>
      </c>
      <c r="Q101" s="19" t="str">
        <f t="shared" si="30"/>
        <v/>
      </c>
      <c r="R101" s="19"/>
      <c r="T101" s="37" t="str">
        <f t="shared" si="31"/>
        <v/>
      </c>
      <c r="U101" s="37" t="str">
        <f t="shared" si="40"/>
        <v/>
      </c>
      <c r="W101" s="31" t="str">
        <f t="shared" si="43"/>
        <v/>
      </c>
      <c r="X101" s="31" t="str">
        <f t="shared" si="44"/>
        <v/>
      </c>
      <c r="Y101" s="34">
        <f t="shared" si="41"/>
        <v>1</v>
      </c>
      <c r="Z101" s="31">
        <f t="shared" si="32"/>
        <v>0</v>
      </c>
      <c r="AA101" s="66">
        <f t="shared" si="33"/>
        <v>0</v>
      </c>
      <c r="AB101" s="6" t="str">
        <f t="shared" si="34"/>
        <v/>
      </c>
      <c r="AC101" s="48">
        <f t="shared" si="45"/>
        <v>0</v>
      </c>
    </row>
    <row r="102" spans="3:29" x14ac:dyDescent="0.25">
      <c r="C102" s="27" t="str">
        <f t="shared" si="35"/>
        <v/>
      </c>
      <c r="D102" s="30" t="str">
        <f t="shared" si="36"/>
        <v/>
      </c>
      <c r="E102" s="20" t="str">
        <f t="shared" si="23"/>
        <v/>
      </c>
      <c r="F102" s="20" t="str">
        <f t="shared" si="24"/>
        <v/>
      </c>
      <c r="G102" s="24" t="str">
        <f t="shared" si="37"/>
        <v/>
      </c>
      <c r="H102" s="21" t="str">
        <f t="shared" si="25"/>
        <v/>
      </c>
      <c r="I102" s="66" t="str">
        <f t="shared" si="26"/>
        <v/>
      </c>
      <c r="J102" s="66" t="str">
        <f t="shared" si="27"/>
        <v/>
      </c>
      <c r="K102" s="11" t="str">
        <f t="shared" si="28"/>
        <v/>
      </c>
      <c r="L102" s="23" t="str">
        <f t="shared" si="42"/>
        <v/>
      </c>
      <c r="M102" s="100"/>
      <c r="N102" s="23" t="str">
        <f t="shared" si="29"/>
        <v/>
      </c>
      <c r="O102" s="23" t="str">
        <f t="shared" si="38"/>
        <v/>
      </c>
      <c r="P102" s="23" t="str">
        <f t="shared" si="39"/>
        <v/>
      </c>
      <c r="Q102" s="19" t="str">
        <f t="shared" si="30"/>
        <v/>
      </c>
      <c r="R102" s="19"/>
      <c r="T102" s="37" t="str">
        <f t="shared" si="31"/>
        <v/>
      </c>
      <c r="U102" s="37" t="str">
        <f t="shared" si="40"/>
        <v/>
      </c>
      <c r="W102" s="31" t="str">
        <f t="shared" si="43"/>
        <v/>
      </c>
      <c r="X102" s="31" t="str">
        <f t="shared" si="44"/>
        <v/>
      </c>
      <c r="Y102" s="34">
        <f t="shared" si="41"/>
        <v>1</v>
      </c>
      <c r="Z102" s="31">
        <f t="shared" si="32"/>
        <v>0</v>
      </c>
      <c r="AA102" s="66">
        <f t="shared" si="33"/>
        <v>0</v>
      </c>
      <c r="AB102" s="6" t="str">
        <f t="shared" si="34"/>
        <v/>
      </c>
      <c r="AC102" s="48">
        <f t="shared" si="45"/>
        <v>0</v>
      </c>
    </row>
    <row r="103" spans="3:29" x14ac:dyDescent="0.25">
      <c r="C103" s="27" t="str">
        <f t="shared" si="35"/>
        <v/>
      </c>
      <c r="D103" s="30" t="str">
        <f t="shared" si="36"/>
        <v/>
      </c>
      <c r="E103" s="20" t="str">
        <f t="shared" si="23"/>
        <v/>
      </c>
      <c r="F103" s="20" t="str">
        <f t="shared" si="24"/>
        <v/>
      </c>
      <c r="G103" s="24" t="str">
        <f t="shared" si="37"/>
        <v/>
      </c>
      <c r="H103" s="21" t="str">
        <f t="shared" si="25"/>
        <v/>
      </c>
      <c r="I103" s="66" t="str">
        <f t="shared" si="26"/>
        <v/>
      </c>
      <c r="J103" s="66" t="str">
        <f t="shared" si="27"/>
        <v/>
      </c>
      <c r="K103" s="11" t="str">
        <f t="shared" si="28"/>
        <v/>
      </c>
      <c r="L103" s="23" t="str">
        <f t="shared" si="42"/>
        <v/>
      </c>
      <c r="M103" s="100"/>
      <c r="N103" s="23" t="str">
        <f t="shared" si="29"/>
        <v/>
      </c>
      <c r="O103" s="23" t="str">
        <f t="shared" si="38"/>
        <v/>
      </c>
      <c r="P103" s="23" t="str">
        <f t="shared" si="39"/>
        <v/>
      </c>
      <c r="Q103" s="19" t="str">
        <f t="shared" si="30"/>
        <v/>
      </c>
      <c r="R103" s="19"/>
      <c r="T103" s="37" t="str">
        <f t="shared" si="31"/>
        <v/>
      </c>
      <c r="U103" s="37" t="str">
        <f t="shared" si="40"/>
        <v/>
      </c>
      <c r="W103" s="31" t="str">
        <f t="shared" si="43"/>
        <v/>
      </c>
      <c r="X103" s="31" t="str">
        <f t="shared" si="44"/>
        <v/>
      </c>
      <c r="Y103" s="34">
        <f t="shared" si="41"/>
        <v>1</v>
      </c>
      <c r="Z103" s="31">
        <f t="shared" si="32"/>
        <v>0</v>
      </c>
      <c r="AA103" s="66">
        <f t="shared" si="33"/>
        <v>0</v>
      </c>
      <c r="AB103" s="6" t="str">
        <f t="shared" si="34"/>
        <v/>
      </c>
      <c r="AC103" s="48">
        <f t="shared" si="45"/>
        <v>0</v>
      </c>
    </row>
    <row r="104" spans="3:29" x14ac:dyDescent="0.25">
      <c r="C104" s="27" t="str">
        <f t="shared" si="35"/>
        <v/>
      </c>
      <c r="D104" s="30" t="str">
        <f t="shared" si="36"/>
        <v/>
      </c>
      <c r="E104" s="20" t="str">
        <f t="shared" si="23"/>
        <v/>
      </c>
      <c r="F104" s="20" t="str">
        <f t="shared" si="24"/>
        <v/>
      </c>
      <c r="G104" s="24" t="str">
        <f t="shared" si="37"/>
        <v/>
      </c>
      <c r="H104" s="21" t="str">
        <f t="shared" si="25"/>
        <v/>
      </c>
      <c r="I104" s="66" t="str">
        <f t="shared" si="26"/>
        <v/>
      </c>
      <c r="J104" s="66" t="str">
        <f t="shared" si="27"/>
        <v/>
      </c>
      <c r="K104" s="11" t="str">
        <f t="shared" si="28"/>
        <v/>
      </c>
      <c r="L104" s="23" t="str">
        <f t="shared" si="42"/>
        <v/>
      </c>
      <c r="M104" s="100"/>
      <c r="N104" s="23" t="str">
        <f t="shared" si="29"/>
        <v/>
      </c>
      <c r="O104" s="23" t="str">
        <f t="shared" si="38"/>
        <v/>
      </c>
      <c r="P104" s="23" t="str">
        <f t="shared" si="39"/>
        <v/>
      </c>
      <c r="Q104" s="19" t="str">
        <f t="shared" si="30"/>
        <v/>
      </c>
      <c r="R104" s="19"/>
      <c r="T104" s="37" t="str">
        <f t="shared" si="31"/>
        <v/>
      </c>
      <c r="U104" s="37" t="str">
        <f t="shared" si="40"/>
        <v/>
      </c>
      <c r="W104" s="31" t="str">
        <f t="shared" si="43"/>
        <v/>
      </c>
      <c r="X104" s="31" t="str">
        <f t="shared" si="44"/>
        <v/>
      </c>
      <c r="Y104" s="34">
        <f t="shared" si="41"/>
        <v>1</v>
      </c>
      <c r="Z104" s="31">
        <f t="shared" si="32"/>
        <v>0</v>
      </c>
      <c r="AA104" s="66">
        <f t="shared" si="33"/>
        <v>0</v>
      </c>
      <c r="AB104" s="6" t="str">
        <f t="shared" si="34"/>
        <v/>
      </c>
      <c r="AC104" s="48">
        <f t="shared" si="45"/>
        <v>0</v>
      </c>
    </row>
    <row r="105" spans="3:29" x14ac:dyDescent="0.25">
      <c r="C105" s="27" t="str">
        <f t="shared" si="35"/>
        <v/>
      </c>
      <c r="D105" s="30" t="str">
        <f t="shared" si="36"/>
        <v/>
      </c>
      <c r="E105" s="20" t="str">
        <f t="shared" si="23"/>
        <v/>
      </c>
      <c r="F105" s="20" t="str">
        <f t="shared" si="24"/>
        <v/>
      </c>
      <c r="G105" s="24" t="str">
        <f t="shared" si="37"/>
        <v/>
      </c>
      <c r="H105" s="21" t="str">
        <f t="shared" si="25"/>
        <v/>
      </c>
      <c r="I105" s="66" t="str">
        <f t="shared" si="26"/>
        <v/>
      </c>
      <c r="J105" s="66" t="str">
        <f t="shared" si="27"/>
        <v/>
      </c>
      <c r="K105" s="11" t="str">
        <f t="shared" si="28"/>
        <v/>
      </c>
      <c r="L105" s="23" t="str">
        <f t="shared" si="42"/>
        <v/>
      </c>
      <c r="M105" s="100"/>
      <c r="N105" s="23" t="str">
        <f t="shared" si="29"/>
        <v/>
      </c>
      <c r="O105" s="23" t="str">
        <f t="shared" si="38"/>
        <v/>
      </c>
      <c r="P105" s="23" t="str">
        <f t="shared" si="39"/>
        <v/>
      </c>
      <c r="Q105" s="19" t="str">
        <f t="shared" si="30"/>
        <v/>
      </c>
      <c r="R105" s="19"/>
      <c r="T105" s="37" t="str">
        <f t="shared" si="31"/>
        <v/>
      </c>
      <c r="U105" s="37" t="str">
        <f t="shared" si="40"/>
        <v/>
      </c>
      <c r="W105" s="31" t="str">
        <f t="shared" si="43"/>
        <v/>
      </c>
      <c r="X105" s="31" t="str">
        <f t="shared" si="44"/>
        <v/>
      </c>
      <c r="Y105" s="34">
        <f t="shared" si="41"/>
        <v>1</v>
      </c>
      <c r="Z105" s="31">
        <f t="shared" si="32"/>
        <v>0</v>
      </c>
      <c r="AA105" s="66">
        <f t="shared" si="33"/>
        <v>0</v>
      </c>
      <c r="AB105" s="6" t="str">
        <f t="shared" si="34"/>
        <v/>
      </c>
      <c r="AC105" s="48">
        <f>AC104+$M$17</f>
        <v>0</v>
      </c>
    </row>
    <row r="106" spans="3:29" x14ac:dyDescent="0.25">
      <c r="C106" s="27" t="str">
        <f t="shared" si="35"/>
        <v/>
      </c>
      <c r="D106" s="30" t="str">
        <f t="shared" si="36"/>
        <v/>
      </c>
      <c r="E106" s="20" t="str">
        <f t="shared" si="23"/>
        <v/>
      </c>
      <c r="F106" s="20" t="str">
        <f t="shared" si="24"/>
        <v/>
      </c>
      <c r="G106" s="24" t="str">
        <f t="shared" si="37"/>
        <v/>
      </c>
      <c r="H106" s="21" t="str">
        <f t="shared" si="25"/>
        <v/>
      </c>
      <c r="I106" s="66" t="str">
        <f t="shared" si="26"/>
        <v/>
      </c>
      <c r="J106" s="66" t="str">
        <f t="shared" si="27"/>
        <v/>
      </c>
      <c r="K106" s="11" t="str">
        <f t="shared" si="28"/>
        <v/>
      </c>
      <c r="L106" s="23" t="str">
        <f t="shared" si="42"/>
        <v/>
      </c>
      <c r="M106" s="100"/>
      <c r="N106" s="23" t="str">
        <f t="shared" si="29"/>
        <v/>
      </c>
      <c r="O106" s="23" t="str">
        <f t="shared" si="38"/>
        <v/>
      </c>
      <c r="P106" s="23" t="str">
        <f t="shared" si="39"/>
        <v/>
      </c>
      <c r="Q106" s="19" t="str">
        <f t="shared" si="30"/>
        <v/>
      </c>
      <c r="R106" s="19"/>
      <c r="T106" s="37" t="str">
        <f t="shared" si="31"/>
        <v/>
      </c>
      <c r="U106" s="37" t="str">
        <f t="shared" si="40"/>
        <v/>
      </c>
      <c r="W106" s="31" t="str">
        <f t="shared" si="43"/>
        <v/>
      </c>
      <c r="X106" s="31" t="str">
        <f t="shared" si="44"/>
        <v/>
      </c>
      <c r="Y106" s="34">
        <f t="shared" si="41"/>
        <v>1</v>
      </c>
      <c r="Z106" s="31">
        <f t="shared" si="32"/>
        <v>0</v>
      </c>
      <c r="AA106" s="66">
        <f t="shared" si="33"/>
        <v>0</v>
      </c>
      <c r="AB106" s="6" t="str">
        <f t="shared" si="34"/>
        <v/>
      </c>
      <c r="AC106" s="48">
        <f t="shared" si="45"/>
        <v>0</v>
      </c>
    </row>
    <row r="107" spans="3:29" x14ac:dyDescent="0.25">
      <c r="C107" s="27" t="str">
        <f t="shared" si="35"/>
        <v/>
      </c>
      <c r="D107" s="30" t="str">
        <f t="shared" si="36"/>
        <v/>
      </c>
      <c r="E107" s="20" t="str">
        <f t="shared" si="23"/>
        <v/>
      </c>
      <c r="F107" s="20" t="str">
        <f t="shared" si="24"/>
        <v/>
      </c>
      <c r="G107" s="24" t="str">
        <f t="shared" si="37"/>
        <v/>
      </c>
      <c r="H107" s="21" t="str">
        <f t="shared" si="25"/>
        <v/>
      </c>
      <c r="I107" s="66" t="str">
        <f t="shared" si="26"/>
        <v/>
      </c>
      <c r="J107" s="66" t="str">
        <f t="shared" si="27"/>
        <v/>
      </c>
      <c r="K107" s="11" t="str">
        <f t="shared" si="28"/>
        <v/>
      </c>
      <c r="L107" s="23" t="str">
        <f t="shared" si="42"/>
        <v/>
      </c>
      <c r="M107" s="100"/>
      <c r="N107" s="23" t="str">
        <f t="shared" si="29"/>
        <v/>
      </c>
      <c r="O107" s="23" t="str">
        <f t="shared" si="38"/>
        <v/>
      </c>
      <c r="P107" s="23" t="str">
        <f t="shared" si="39"/>
        <v/>
      </c>
      <c r="Q107" s="19" t="str">
        <f t="shared" si="30"/>
        <v/>
      </c>
      <c r="R107" s="19"/>
      <c r="T107" s="37" t="str">
        <f t="shared" si="31"/>
        <v/>
      </c>
      <c r="U107" s="37" t="str">
        <f t="shared" si="40"/>
        <v/>
      </c>
      <c r="W107" s="31" t="str">
        <f t="shared" si="43"/>
        <v/>
      </c>
      <c r="X107" s="31" t="str">
        <f t="shared" si="44"/>
        <v/>
      </c>
      <c r="Y107" s="34">
        <f t="shared" si="41"/>
        <v>1</v>
      </c>
      <c r="Z107" s="31">
        <f t="shared" si="32"/>
        <v>0</v>
      </c>
      <c r="AA107" s="66">
        <f t="shared" si="33"/>
        <v>0</v>
      </c>
      <c r="AB107" s="6" t="str">
        <f t="shared" si="34"/>
        <v/>
      </c>
      <c r="AC107" s="48">
        <f t="shared" si="45"/>
        <v>0</v>
      </c>
    </row>
    <row r="108" spans="3:29" x14ac:dyDescent="0.25">
      <c r="C108" s="27" t="str">
        <f t="shared" si="35"/>
        <v/>
      </c>
      <c r="D108" s="30" t="str">
        <f t="shared" si="36"/>
        <v/>
      </c>
      <c r="E108" s="20" t="str">
        <f t="shared" si="23"/>
        <v/>
      </c>
      <c r="F108" s="20" t="str">
        <f t="shared" si="24"/>
        <v/>
      </c>
      <c r="G108" s="24" t="str">
        <f t="shared" si="37"/>
        <v/>
      </c>
      <c r="H108" s="21" t="str">
        <f t="shared" si="25"/>
        <v/>
      </c>
      <c r="I108" s="66" t="str">
        <f t="shared" si="26"/>
        <v/>
      </c>
      <c r="J108" s="66" t="str">
        <f t="shared" si="27"/>
        <v/>
      </c>
      <c r="K108" s="11" t="str">
        <f t="shared" si="28"/>
        <v/>
      </c>
      <c r="L108" s="23" t="str">
        <f t="shared" si="42"/>
        <v/>
      </c>
      <c r="M108" s="100"/>
      <c r="N108" s="23" t="str">
        <f t="shared" si="29"/>
        <v/>
      </c>
      <c r="O108" s="23" t="str">
        <f t="shared" si="38"/>
        <v/>
      </c>
      <c r="P108" s="23" t="str">
        <f t="shared" si="39"/>
        <v/>
      </c>
      <c r="Q108" s="19" t="str">
        <f t="shared" si="30"/>
        <v/>
      </c>
      <c r="R108" s="19"/>
      <c r="T108" s="37" t="str">
        <f t="shared" si="31"/>
        <v/>
      </c>
      <c r="U108" s="37" t="str">
        <f t="shared" si="40"/>
        <v/>
      </c>
      <c r="W108" s="31" t="str">
        <f t="shared" si="43"/>
        <v/>
      </c>
      <c r="X108" s="31" t="str">
        <f t="shared" si="44"/>
        <v/>
      </c>
      <c r="Y108" s="34">
        <f t="shared" si="41"/>
        <v>1</v>
      </c>
      <c r="Z108" s="31">
        <f t="shared" si="32"/>
        <v>0</v>
      </c>
      <c r="AA108" s="66">
        <f t="shared" si="33"/>
        <v>0</v>
      </c>
      <c r="AB108" s="6" t="str">
        <f t="shared" si="34"/>
        <v/>
      </c>
      <c r="AC108" s="48">
        <f t="shared" si="45"/>
        <v>0</v>
      </c>
    </row>
    <row r="109" spans="3:29" x14ac:dyDescent="0.25">
      <c r="C109" s="27" t="str">
        <f t="shared" si="35"/>
        <v/>
      </c>
      <c r="D109" s="30" t="str">
        <f t="shared" si="36"/>
        <v/>
      </c>
      <c r="E109" s="20" t="str">
        <f t="shared" si="23"/>
        <v/>
      </c>
      <c r="F109" s="20" t="str">
        <f t="shared" si="24"/>
        <v/>
      </c>
      <c r="G109" s="24" t="str">
        <f t="shared" si="37"/>
        <v/>
      </c>
      <c r="H109" s="21" t="str">
        <f t="shared" si="25"/>
        <v/>
      </c>
      <c r="I109" s="66" t="str">
        <f t="shared" si="26"/>
        <v/>
      </c>
      <c r="J109" s="66" t="str">
        <f t="shared" si="27"/>
        <v/>
      </c>
      <c r="K109" s="11" t="str">
        <f t="shared" si="28"/>
        <v/>
      </c>
      <c r="L109" s="23" t="str">
        <f t="shared" si="42"/>
        <v/>
      </c>
      <c r="M109" s="100"/>
      <c r="N109" s="23" t="str">
        <f t="shared" si="29"/>
        <v/>
      </c>
      <c r="O109" s="23" t="str">
        <f t="shared" si="38"/>
        <v/>
      </c>
      <c r="P109" s="23" t="str">
        <f t="shared" si="39"/>
        <v/>
      </c>
      <c r="Q109" s="19" t="str">
        <f t="shared" si="30"/>
        <v/>
      </c>
      <c r="R109" s="19"/>
      <c r="T109" s="37" t="str">
        <f t="shared" si="31"/>
        <v/>
      </c>
      <c r="U109" s="37" t="str">
        <f t="shared" si="40"/>
        <v/>
      </c>
      <c r="W109" s="31" t="str">
        <f t="shared" si="43"/>
        <v/>
      </c>
      <c r="X109" s="31" t="str">
        <f t="shared" si="44"/>
        <v/>
      </c>
      <c r="Y109" s="34">
        <f t="shared" si="41"/>
        <v>1</v>
      </c>
      <c r="Z109" s="31">
        <f t="shared" si="32"/>
        <v>0</v>
      </c>
      <c r="AA109" s="66">
        <f t="shared" si="33"/>
        <v>0</v>
      </c>
      <c r="AB109" s="6" t="str">
        <f t="shared" si="34"/>
        <v/>
      </c>
      <c r="AC109" s="48">
        <f t="shared" si="45"/>
        <v>0</v>
      </c>
    </row>
    <row r="110" spans="3:29" x14ac:dyDescent="0.25">
      <c r="C110" s="27" t="str">
        <f t="shared" si="35"/>
        <v/>
      </c>
      <c r="D110" s="30" t="str">
        <f t="shared" si="36"/>
        <v/>
      </c>
      <c r="E110" s="20" t="str">
        <f t="shared" si="23"/>
        <v/>
      </c>
      <c r="F110" s="20" t="str">
        <f t="shared" si="24"/>
        <v/>
      </c>
      <c r="G110" s="24" t="str">
        <f t="shared" si="37"/>
        <v/>
      </c>
      <c r="H110" s="21" t="str">
        <f t="shared" si="25"/>
        <v/>
      </c>
      <c r="I110" s="66" t="str">
        <f t="shared" si="26"/>
        <v/>
      </c>
      <c r="J110" s="66" t="str">
        <f t="shared" si="27"/>
        <v/>
      </c>
      <c r="K110" s="11" t="str">
        <f t="shared" si="28"/>
        <v/>
      </c>
      <c r="L110" s="23" t="str">
        <f t="shared" si="42"/>
        <v/>
      </c>
      <c r="M110" s="100"/>
      <c r="N110" s="23" t="str">
        <f t="shared" si="29"/>
        <v/>
      </c>
      <c r="O110" s="23" t="str">
        <f t="shared" si="38"/>
        <v/>
      </c>
      <c r="P110" s="23" t="str">
        <f t="shared" si="39"/>
        <v/>
      </c>
      <c r="Q110" s="19" t="str">
        <f t="shared" si="30"/>
        <v/>
      </c>
      <c r="R110" s="19"/>
      <c r="T110" s="37" t="str">
        <f t="shared" si="31"/>
        <v/>
      </c>
      <c r="U110" s="37" t="str">
        <f t="shared" si="40"/>
        <v/>
      </c>
      <c r="W110" s="31" t="str">
        <f t="shared" si="43"/>
        <v/>
      </c>
      <c r="X110" s="31" t="str">
        <f t="shared" si="44"/>
        <v/>
      </c>
      <c r="Y110" s="34">
        <f t="shared" si="41"/>
        <v>1</v>
      </c>
      <c r="Z110" s="31">
        <f t="shared" si="32"/>
        <v>0</v>
      </c>
      <c r="AA110" s="66">
        <f t="shared" si="33"/>
        <v>0</v>
      </c>
      <c r="AB110" s="6" t="str">
        <f t="shared" si="34"/>
        <v/>
      </c>
      <c r="AC110" s="48">
        <f t="shared" si="45"/>
        <v>0</v>
      </c>
    </row>
    <row r="111" spans="3:29" x14ac:dyDescent="0.25">
      <c r="C111" s="27" t="str">
        <f t="shared" si="35"/>
        <v/>
      </c>
      <c r="D111" s="30" t="str">
        <f t="shared" si="36"/>
        <v/>
      </c>
      <c r="E111" s="20" t="str">
        <f t="shared" si="23"/>
        <v/>
      </c>
      <c r="F111" s="20" t="str">
        <f t="shared" si="24"/>
        <v/>
      </c>
      <c r="G111" s="24" t="str">
        <f t="shared" si="37"/>
        <v/>
      </c>
      <c r="H111" s="21" t="str">
        <f t="shared" si="25"/>
        <v/>
      </c>
      <c r="I111" s="66" t="str">
        <f t="shared" si="26"/>
        <v/>
      </c>
      <c r="J111" s="66" t="str">
        <f t="shared" si="27"/>
        <v/>
      </c>
      <c r="K111" s="11" t="str">
        <f t="shared" si="28"/>
        <v/>
      </c>
      <c r="L111" s="23" t="str">
        <f t="shared" si="42"/>
        <v/>
      </c>
      <c r="M111" s="100"/>
      <c r="N111" s="23" t="str">
        <f t="shared" si="29"/>
        <v/>
      </c>
      <c r="O111" s="23" t="str">
        <f t="shared" si="38"/>
        <v/>
      </c>
      <c r="P111" s="23" t="str">
        <f t="shared" si="39"/>
        <v/>
      </c>
      <c r="Q111" s="19" t="str">
        <f t="shared" si="30"/>
        <v/>
      </c>
      <c r="R111" s="19"/>
      <c r="T111" s="37" t="str">
        <f t="shared" si="31"/>
        <v/>
      </c>
      <c r="U111" s="37" t="str">
        <f t="shared" si="40"/>
        <v/>
      </c>
      <c r="W111" s="31" t="str">
        <f t="shared" si="43"/>
        <v/>
      </c>
      <c r="X111" s="31" t="str">
        <f t="shared" si="44"/>
        <v/>
      </c>
      <c r="Y111" s="34">
        <f t="shared" si="41"/>
        <v>1</v>
      </c>
      <c r="Z111" s="31">
        <f t="shared" si="32"/>
        <v>0</v>
      </c>
      <c r="AA111" s="66">
        <f t="shared" si="33"/>
        <v>0</v>
      </c>
      <c r="AB111" s="6" t="str">
        <f t="shared" si="34"/>
        <v/>
      </c>
      <c r="AC111" s="48">
        <f t="shared" si="45"/>
        <v>0</v>
      </c>
    </row>
    <row r="112" spans="3:29" x14ac:dyDescent="0.25">
      <c r="C112" s="27" t="str">
        <f t="shared" si="35"/>
        <v/>
      </c>
      <c r="D112" s="30" t="str">
        <f t="shared" si="36"/>
        <v/>
      </c>
      <c r="E112" s="20" t="str">
        <f t="shared" si="23"/>
        <v/>
      </c>
      <c r="F112" s="20" t="str">
        <f t="shared" si="24"/>
        <v/>
      </c>
      <c r="G112" s="24" t="str">
        <f t="shared" si="37"/>
        <v/>
      </c>
      <c r="H112" s="21" t="str">
        <f t="shared" si="25"/>
        <v/>
      </c>
      <c r="I112" s="66" t="str">
        <f t="shared" si="26"/>
        <v/>
      </c>
      <c r="J112" s="66" t="str">
        <f t="shared" si="27"/>
        <v/>
      </c>
      <c r="K112" s="11" t="str">
        <f t="shared" si="28"/>
        <v/>
      </c>
      <c r="L112" s="23" t="str">
        <f t="shared" si="42"/>
        <v/>
      </c>
      <c r="M112" s="100"/>
      <c r="N112" s="23" t="str">
        <f t="shared" si="29"/>
        <v/>
      </c>
      <c r="O112" s="23" t="str">
        <f t="shared" si="38"/>
        <v/>
      </c>
      <c r="P112" s="23" t="str">
        <f t="shared" si="39"/>
        <v/>
      </c>
      <c r="Q112" s="19" t="str">
        <f t="shared" si="30"/>
        <v/>
      </c>
      <c r="R112" s="19"/>
      <c r="T112" s="37" t="str">
        <f t="shared" si="31"/>
        <v/>
      </c>
      <c r="U112" s="37" t="str">
        <f t="shared" si="40"/>
        <v/>
      </c>
      <c r="W112" s="31" t="str">
        <f t="shared" si="43"/>
        <v/>
      </c>
      <c r="X112" s="31" t="str">
        <f t="shared" si="44"/>
        <v/>
      </c>
      <c r="Y112" s="34">
        <f t="shared" si="41"/>
        <v>1</v>
      </c>
      <c r="Z112" s="31">
        <f t="shared" si="32"/>
        <v>0</v>
      </c>
      <c r="AA112" s="66">
        <f t="shared" si="33"/>
        <v>0</v>
      </c>
      <c r="AB112" s="6" t="str">
        <f t="shared" si="34"/>
        <v/>
      </c>
      <c r="AC112" s="48">
        <f t="shared" si="45"/>
        <v>0</v>
      </c>
    </row>
    <row r="113" spans="3:29" x14ac:dyDescent="0.25">
      <c r="C113" s="27" t="str">
        <f t="shared" si="35"/>
        <v/>
      </c>
      <c r="D113" s="30" t="str">
        <f t="shared" si="36"/>
        <v/>
      </c>
      <c r="E113" s="20" t="str">
        <f t="shared" si="23"/>
        <v/>
      </c>
      <c r="F113" s="20" t="str">
        <f t="shared" si="24"/>
        <v/>
      </c>
      <c r="G113" s="24" t="str">
        <f t="shared" si="37"/>
        <v/>
      </c>
      <c r="H113" s="21" t="str">
        <f t="shared" si="25"/>
        <v/>
      </c>
      <c r="I113" s="66" t="str">
        <f t="shared" si="26"/>
        <v/>
      </c>
      <c r="J113" s="66" t="str">
        <f t="shared" si="27"/>
        <v/>
      </c>
      <c r="K113" s="11" t="str">
        <f t="shared" si="28"/>
        <v/>
      </c>
      <c r="L113" s="23" t="str">
        <f t="shared" si="42"/>
        <v/>
      </c>
      <c r="M113" s="100"/>
      <c r="N113" s="23" t="str">
        <f t="shared" si="29"/>
        <v/>
      </c>
      <c r="O113" s="23" t="str">
        <f t="shared" si="38"/>
        <v/>
      </c>
      <c r="P113" s="23" t="str">
        <f t="shared" si="39"/>
        <v/>
      </c>
      <c r="Q113" s="19" t="str">
        <f t="shared" si="30"/>
        <v/>
      </c>
      <c r="R113" s="19"/>
      <c r="T113" s="37" t="str">
        <f t="shared" si="31"/>
        <v/>
      </c>
      <c r="U113" s="37" t="str">
        <f t="shared" si="40"/>
        <v/>
      </c>
      <c r="W113" s="31" t="str">
        <f t="shared" si="43"/>
        <v/>
      </c>
      <c r="X113" s="31" t="str">
        <f t="shared" si="44"/>
        <v/>
      </c>
      <c r="Y113" s="34">
        <f t="shared" si="41"/>
        <v>1</v>
      </c>
      <c r="Z113" s="31">
        <f t="shared" si="32"/>
        <v>0</v>
      </c>
      <c r="AA113" s="66">
        <f t="shared" si="33"/>
        <v>0</v>
      </c>
      <c r="AB113" s="6" t="str">
        <f t="shared" si="34"/>
        <v/>
      </c>
      <c r="AC113" s="48">
        <f t="shared" si="45"/>
        <v>0</v>
      </c>
    </row>
    <row r="114" spans="3:29" x14ac:dyDescent="0.25">
      <c r="C114" s="27" t="str">
        <f t="shared" si="35"/>
        <v/>
      </c>
      <c r="D114" s="30" t="str">
        <f t="shared" si="36"/>
        <v/>
      </c>
      <c r="E114" s="20" t="str">
        <f t="shared" si="23"/>
        <v/>
      </c>
      <c r="F114" s="20" t="str">
        <f t="shared" si="24"/>
        <v/>
      </c>
      <c r="G114" s="24" t="str">
        <f t="shared" si="37"/>
        <v/>
      </c>
      <c r="H114" s="21" t="str">
        <f t="shared" si="25"/>
        <v/>
      </c>
      <c r="I114" s="66" t="str">
        <f t="shared" si="26"/>
        <v/>
      </c>
      <c r="J114" s="66" t="str">
        <f t="shared" si="27"/>
        <v/>
      </c>
      <c r="K114" s="11" t="str">
        <f t="shared" si="28"/>
        <v/>
      </c>
      <c r="L114" s="23" t="str">
        <f t="shared" si="42"/>
        <v/>
      </c>
      <c r="M114" s="100"/>
      <c r="N114" s="23" t="str">
        <f t="shared" si="29"/>
        <v/>
      </c>
      <c r="O114" s="23" t="str">
        <f t="shared" si="38"/>
        <v/>
      </c>
      <c r="P114" s="23" t="str">
        <f t="shared" si="39"/>
        <v/>
      </c>
      <c r="Q114" s="19" t="str">
        <f t="shared" si="30"/>
        <v/>
      </c>
      <c r="R114" s="19"/>
      <c r="T114" s="37" t="str">
        <f t="shared" si="31"/>
        <v/>
      </c>
      <c r="U114" s="37" t="str">
        <f t="shared" si="40"/>
        <v/>
      </c>
      <c r="W114" s="31" t="str">
        <f t="shared" si="43"/>
        <v/>
      </c>
      <c r="X114" s="31" t="str">
        <f t="shared" si="44"/>
        <v/>
      </c>
      <c r="Y114" s="34">
        <f t="shared" si="41"/>
        <v>1</v>
      </c>
      <c r="Z114" s="31">
        <f t="shared" si="32"/>
        <v>0</v>
      </c>
      <c r="AA114" s="66">
        <f t="shared" si="33"/>
        <v>0</v>
      </c>
      <c r="AB114" s="6" t="str">
        <f t="shared" si="34"/>
        <v/>
      </c>
      <c r="AC114" s="48">
        <f t="shared" si="45"/>
        <v>0</v>
      </c>
    </row>
    <row r="115" spans="3:29" x14ac:dyDescent="0.25">
      <c r="C115" s="27" t="str">
        <f t="shared" si="35"/>
        <v/>
      </c>
      <c r="D115" s="30" t="str">
        <f t="shared" si="36"/>
        <v/>
      </c>
      <c r="E115" s="20" t="str">
        <f t="shared" si="23"/>
        <v/>
      </c>
      <c r="F115" s="20" t="str">
        <f t="shared" si="24"/>
        <v/>
      </c>
      <c r="G115" s="24" t="str">
        <f t="shared" si="37"/>
        <v/>
      </c>
      <c r="H115" s="21" t="str">
        <f t="shared" si="25"/>
        <v/>
      </c>
      <c r="I115" s="66" t="str">
        <f t="shared" si="26"/>
        <v/>
      </c>
      <c r="J115" s="66" t="str">
        <f t="shared" si="27"/>
        <v/>
      </c>
      <c r="K115" s="11" t="str">
        <f t="shared" si="28"/>
        <v/>
      </c>
      <c r="L115" s="23" t="str">
        <f t="shared" si="42"/>
        <v/>
      </c>
      <c r="M115" s="100"/>
      <c r="N115" s="23" t="str">
        <f t="shared" si="29"/>
        <v/>
      </c>
      <c r="O115" s="23" t="str">
        <f t="shared" si="38"/>
        <v/>
      </c>
      <c r="P115" s="23" t="str">
        <f t="shared" si="39"/>
        <v/>
      </c>
      <c r="Q115" s="19" t="str">
        <f t="shared" si="30"/>
        <v/>
      </c>
      <c r="R115" s="19"/>
      <c r="T115" s="37" t="str">
        <f t="shared" si="31"/>
        <v/>
      </c>
      <c r="U115" s="37" t="str">
        <f t="shared" si="40"/>
        <v/>
      </c>
      <c r="W115" s="31" t="str">
        <f t="shared" si="43"/>
        <v/>
      </c>
      <c r="X115" s="31" t="str">
        <f t="shared" si="44"/>
        <v/>
      </c>
      <c r="Y115" s="34">
        <f t="shared" si="41"/>
        <v>1</v>
      </c>
      <c r="Z115" s="31">
        <f t="shared" si="32"/>
        <v>0</v>
      </c>
      <c r="AA115" s="66">
        <f t="shared" si="33"/>
        <v>0</v>
      </c>
      <c r="AB115" s="6" t="str">
        <f t="shared" si="34"/>
        <v/>
      </c>
      <c r="AC115" s="48">
        <f t="shared" si="45"/>
        <v>0</v>
      </c>
    </row>
    <row r="116" spans="3:29" x14ac:dyDescent="0.25">
      <c r="C116" s="27" t="str">
        <f t="shared" si="35"/>
        <v/>
      </c>
      <c r="D116" s="30" t="str">
        <f t="shared" si="36"/>
        <v/>
      </c>
      <c r="E116" s="20" t="str">
        <f t="shared" si="23"/>
        <v/>
      </c>
      <c r="F116" s="20" t="str">
        <f t="shared" si="24"/>
        <v/>
      </c>
      <c r="G116" s="24" t="str">
        <f t="shared" si="37"/>
        <v/>
      </c>
      <c r="H116" s="21" t="str">
        <f t="shared" si="25"/>
        <v/>
      </c>
      <c r="I116" s="66" t="str">
        <f t="shared" si="26"/>
        <v/>
      </c>
      <c r="J116" s="66" t="str">
        <f t="shared" si="27"/>
        <v/>
      </c>
      <c r="K116" s="11" t="str">
        <f t="shared" si="28"/>
        <v/>
      </c>
      <c r="L116" s="23" t="str">
        <f t="shared" si="42"/>
        <v/>
      </c>
      <c r="M116" s="100"/>
      <c r="N116" s="23" t="str">
        <f t="shared" si="29"/>
        <v/>
      </c>
      <c r="O116" s="23" t="str">
        <f t="shared" si="38"/>
        <v/>
      </c>
      <c r="P116" s="23" t="str">
        <f t="shared" si="39"/>
        <v/>
      </c>
      <c r="Q116" s="19" t="str">
        <f t="shared" si="30"/>
        <v/>
      </c>
      <c r="R116" s="19"/>
      <c r="T116" s="37" t="str">
        <f t="shared" si="31"/>
        <v/>
      </c>
      <c r="U116" s="37" t="str">
        <f t="shared" si="40"/>
        <v/>
      </c>
      <c r="W116" s="31" t="str">
        <f t="shared" si="43"/>
        <v/>
      </c>
      <c r="X116" s="31" t="str">
        <f t="shared" si="44"/>
        <v/>
      </c>
      <c r="Y116" s="34">
        <f t="shared" si="41"/>
        <v>1</v>
      </c>
      <c r="Z116" s="31">
        <f t="shared" si="32"/>
        <v>0</v>
      </c>
      <c r="AA116" s="66">
        <f t="shared" si="33"/>
        <v>0</v>
      </c>
      <c r="AB116" s="6" t="str">
        <f t="shared" si="34"/>
        <v/>
      </c>
      <c r="AC116" s="48">
        <f t="shared" si="45"/>
        <v>0</v>
      </c>
    </row>
    <row r="117" spans="3:29" x14ac:dyDescent="0.25">
      <c r="C117" s="27" t="str">
        <f t="shared" si="35"/>
        <v/>
      </c>
      <c r="D117" s="30" t="str">
        <f t="shared" si="36"/>
        <v/>
      </c>
      <c r="E117" s="20" t="str">
        <f t="shared" si="23"/>
        <v/>
      </c>
      <c r="F117" s="20" t="str">
        <f t="shared" si="24"/>
        <v/>
      </c>
      <c r="G117" s="24" t="str">
        <f t="shared" si="37"/>
        <v/>
      </c>
      <c r="H117" s="21" t="str">
        <f t="shared" si="25"/>
        <v/>
      </c>
      <c r="I117" s="66" t="str">
        <f t="shared" si="26"/>
        <v/>
      </c>
      <c r="J117" s="66" t="str">
        <f t="shared" si="27"/>
        <v/>
      </c>
      <c r="K117" s="11" t="str">
        <f t="shared" si="28"/>
        <v/>
      </c>
      <c r="L117" s="23" t="str">
        <f t="shared" si="42"/>
        <v/>
      </c>
      <c r="M117" s="100"/>
      <c r="N117" s="23" t="str">
        <f t="shared" si="29"/>
        <v/>
      </c>
      <c r="O117" s="23" t="str">
        <f t="shared" si="38"/>
        <v/>
      </c>
      <c r="P117" s="23" t="str">
        <f t="shared" si="39"/>
        <v/>
      </c>
      <c r="Q117" s="19" t="str">
        <f t="shared" si="30"/>
        <v/>
      </c>
      <c r="R117" s="19"/>
      <c r="T117" s="37" t="str">
        <f t="shared" si="31"/>
        <v/>
      </c>
      <c r="U117" s="37" t="str">
        <f t="shared" si="40"/>
        <v/>
      </c>
      <c r="W117" s="31" t="str">
        <f t="shared" si="43"/>
        <v/>
      </c>
      <c r="X117" s="31" t="str">
        <f t="shared" si="44"/>
        <v/>
      </c>
      <c r="Y117" s="34">
        <f t="shared" si="41"/>
        <v>1</v>
      </c>
      <c r="Z117" s="31">
        <f t="shared" si="32"/>
        <v>0</v>
      </c>
      <c r="AA117" s="66">
        <f t="shared" si="33"/>
        <v>0</v>
      </c>
      <c r="AB117" s="6" t="str">
        <f t="shared" si="34"/>
        <v/>
      </c>
      <c r="AC117" s="48">
        <f>AC116+$M$17</f>
        <v>0</v>
      </c>
    </row>
    <row r="118" spans="3:29" x14ac:dyDescent="0.25">
      <c r="C118" s="27" t="str">
        <f t="shared" si="35"/>
        <v/>
      </c>
      <c r="D118" s="30" t="str">
        <f t="shared" si="36"/>
        <v/>
      </c>
      <c r="E118" s="20" t="str">
        <f t="shared" si="23"/>
        <v/>
      </c>
      <c r="F118" s="20" t="str">
        <f t="shared" si="24"/>
        <v/>
      </c>
      <c r="G118" s="24" t="str">
        <f t="shared" si="37"/>
        <v/>
      </c>
      <c r="H118" s="21" t="str">
        <f t="shared" si="25"/>
        <v/>
      </c>
      <c r="I118" s="66" t="str">
        <f t="shared" si="26"/>
        <v/>
      </c>
      <c r="J118" s="66" t="str">
        <f t="shared" si="27"/>
        <v/>
      </c>
      <c r="K118" s="11" t="str">
        <f t="shared" si="28"/>
        <v/>
      </c>
      <c r="L118" s="23" t="str">
        <f t="shared" si="42"/>
        <v/>
      </c>
      <c r="M118" s="100"/>
      <c r="N118" s="23" t="str">
        <f t="shared" si="29"/>
        <v/>
      </c>
      <c r="O118" s="23" t="str">
        <f t="shared" si="38"/>
        <v/>
      </c>
      <c r="P118" s="23" t="str">
        <f t="shared" si="39"/>
        <v/>
      </c>
      <c r="Q118" s="19" t="str">
        <f t="shared" si="30"/>
        <v/>
      </c>
      <c r="R118" s="19"/>
      <c r="T118" s="37" t="str">
        <f t="shared" si="31"/>
        <v/>
      </c>
      <c r="U118" s="37" t="str">
        <f t="shared" si="40"/>
        <v/>
      </c>
      <c r="W118" s="31" t="str">
        <f t="shared" si="43"/>
        <v/>
      </c>
      <c r="X118" s="31" t="str">
        <f t="shared" si="44"/>
        <v/>
      </c>
      <c r="Y118" s="34">
        <f t="shared" si="41"/>
        <v>1</v>
      </c>
      <c r="Z118" s="31">
        <f t="shared" si="32"/>
        <v>0</v>
      </c>
      <c r="AA118" s="66">
        <f t="shared" si="33"/>
        <v>0</v>
      </c>
      <c r="AB118" s="6" t="str">
        <f t="shared" si="34"/>
        <v/>
      </c>
      <c r="AC118" s="48">
        <f t="shared" si="45"/>
        <v>0</v>
      </c>
    </row>
    <row r="119" spans="3:29" x14ac:dyDescent="0.25">
      <c r="C119" s="27" t="str">
        <f t="shared" si="35"/>
        <v/>
      </c>
      <c r="D119" s="30" t="str">
        <f t="shared" si="36"/>
        <v/>
      </c>
      <c r="E119" s="20" t="str">
        <f t="shared" si="23"/>
        <v/>
      </c>
      <c r="F119" s="20" t="str">
        <f t="shared" si="24"/>
        <v/>
      </c>
      <c r="G119" s="24" t="str">
        <f t="shared" si="37"/>
        <v/>
      </c>
      <c r="H119" s="21" t="str">
        <f t="shared" si="25"/>
        <v/>
      </c>
      <c r="I119" s="66" t="str">
        <f t="shared" si="26"/>
        <v/>
      </c>
      <c r="J119" s="66" t="str">
        <f t="shared" si="27"/>
        <v/>
      </c>
      <c r="K119" s="11" t="str">
        <f t="shared" si="28"/>
        <v/>
      </c>
      <c r="L119" s="23" t="str">
        <f t="shared" si="42"/>
        <v/>
      </c>
      <c r="M119" s="100"/>
      <c r="N119" s="23" t="str">
        <f t="shared" si="29"/>
        <v/>
      </c>
      <c r="O119" s="23" t="str">
        <f t="shared" si="38"/>
        <v/>
      </c>
      <c r="P119" s="23" t="str">
        <f t="shared" si="39"/>
        <v/>
      </c>
      <c r="Q119" s="19" t="str">
        <f t="shared" si="30"/>
        <v/>
      </c>
      <c r="R119" s="19"/>
      <c r="T119" s="37" t="str">
        <f t="shared" si="31"/>
        <v/>
      </c>
      <c r="U119" s="37" t="str">
        <f t="shared" si="40"/>
        <v/>
      </c>
      <c r="W119" s="31" t="str">
        <f t="shared" si="43"/>
        <v/>
      </c>
      <c r="X119" s="31" t="str">
        <f t="shared" si="44"/>
        <v/>
      </c>
      <c r="Y119" s="34">
        <f t="shared" si="41"/>
        <v>1</v>
      </c>
      <c r="Z119" s="31">
        <f t="shared" si="32"/>
        <v>0</v>
      </c>
      <c r="AA119" s="66">
        <f t="shared" si="33"/>
        <v>0</v>
      </c>
      <c r="AB119" s="6" t="str">
        <f t="shared" si="34"/>
        <v/>
      </c>
      <c r="AC119" s="48">
        <f t="shared" si="45"/>
        <v>0</v>
      </c>
    </row>
    <row r="120" spans="3:29" x14ac:dyDescent="0.25">
      <c r="C120" s="27" t="str">
        <f t="shared" si="35"/>
        <v/>
      </c>
      <c r="D120" s="30" t="str">
        <f t="shared" si="36"/>
        <v/>
      </c>
      <c r="E120" s="20" t="str">
        <f t="shared" si="23"/>
        <v/>
      </c>
      <c r="F120" s="20" t="str">
        <f t="shared" si="24"/>
        <v/>
      </c>
      <c r="G120" s="24" t="str">
        <f t="shared" si="37"/>
        <v/>
      </c>
      <c r="H120" s="21" t="str">
        <f t="shared" si="25"/>
        <v/>
      </c>
      <c r="I120" s="66" t="str">
        <f t="shared" si="26"/>
        <v/>
      </c>
      <c r="J120" s="66" t="str">
        <f t="shared" si="27"/>
        <v/>
      </c>
      <c r="K120" s="11" t="str">
        <f t="shared" si="28"/>
        <v/>
      </c>
      <c r="L120" s="23" t="str">
        <f t="shared" si="42"/>
        <v/>
      </c>
      <c r="M120" s="100"/>
      <c r="N120" s="23" t="str">
        <f t="shared" si="29"/>
        <v/>
      </c>
      <c r="O120" s="23" t="str">
        <f t="shared" si="38"/>
        <v/>
      </c>
      <c r="P120" s="23" t="str">
        <f t="shared" si="39"/>
        <v/>
      </c>
      <c r="Q120" s="19" t="str">
        <f t="shared" si="30"/>
        <v/>
      </c>
      <c r="R120" s="19"/>
      <c r="T120" s="37" t="str">
        <f t="shared" si="31"/>
        <v/>
      </c>
      <c r="U120" s="37" t="str">
        <f t="shared" si="40"/>
        <v/>
      </c>
      <c r="W120" s="31" t="str">
        <f t="shared" si="43"/>
        <v/>
      </c>
      <c r="X120" s="31" t="str">
        <f t="shared" si="44"/>
        <v/>
      </c>
      <c r="Y120" s="34">
        <f t="shared" si="41"/>
        <v>1</v>
      </c>
      <c r="Z120" s="31">
        <f t="shared" si="32"/>
        <v>0</v>
      </c>
      <c r="AA120" s="66">
        <f t="shared" si="33"/>
        <v>0</v>
      </c>
      <c r="AB120" s="6" t="str">
        <f t="shared" si="34"/>
        <v/>
      </c>
      <c r="AC120" s="48">
        <f t="shared" si="45"/>
        <v>0</v>
      </c>
    </row>
    <row r="121" spans="3:29" x14ac:dyDescent="0.25">
      <c r="C121" s="27" t="str">
        <f t="shared" si="35"/>
        <v/>
      </c>
      <c r="D121" s="30" t="str">
        <f t="shared" si="36"/>
        <v/>
      </c>
      <c r="E121" s="20" t="str">
        <f t="shared" si="23"/>
        <v/>
      </c>
      <c r="F121" s="20" t="str">
        <f t="shared" si="24"/>
        <v/>
      </c>
      <c r="G121" s="24" t="str">
        <f t="shared" si="37"/>
        <v/>
      </c>
      <c r="H121" s="21" t="str">
        <f t="shared" si="25"/>
        <v/>
      </c>
      <c r="I121" s="66" t="str">
        <f t="shared" si="26"/>
        <v/>
      </c>
      <c r="J121" s="66" t="str">
        <f t="shared" si="27"/>
        <v/>
      </c>
      <c r="K121" s="11" t="str">
        <f t="shared" si="28"/>
        <v/>
      </c>
      <c r="L121" s="23" t="str">
        <f t="shared" si="42"/>
        <v/>
      </c>
      <c r="M121" s="100"/>
      <c r="N121" s="23" t="str">
        <f t="shared" si="29"/>
        <v/>
      </c>
      <c r="O121" s="23" t="str">
        <f t="shared" si="38"/>
        <v/>
      </c>
      <c r="P121" s="23" t="str">
        <f t="shared" si="39"/>
        <v/>
      </c>
      <c r="Q121" s="19" t="str">
        <f t="shared" si="30"/>
        <v/>
      </c>
      <c r="R121" s="19"/>
      <c r="T121" s="37" t="str">
        <f t="shared" si="31"/>
        <v/>
      </c>
      <c r="U121" s="37" t="str">
        <f t="shared" si="40"/>
        <v/>
      </c>
      <c r="W121" s="31" t="str">
        <f t="shared" si="43"/>
        <v/>
      </c>
      <c r="X121" s="31" t="str">
        <f t="shared" si="44"/>
        <v/>
      </c>
      <c r="Y121" s="34">
        <f t="shared" si="41"/>
        <v>1</v>
      </c>
      <c r="Z121" s="31">
        <f t="shared" si="32"/>
        <v>0</v>
      </c>
      <c r="AA121" s="66">
        <f t="shared" si="33"/>
        <v>0</v>
      </c>
      <c r="AB121" s="6" t="str">
        <f t="shared" si="34"/>
        <v/>
      </c>
      <c r="AC121" s="48">
        <f t="shared" si="45"/>
        <v>0</v>
      </c>
    </row>
    <row r="122" spans="3:29" x14ac:dyDescent="0.25">
      <c r="C122" s="27" t="str">
        <f t="shared" si="35"/>
        <v/>
      </c>
      <c r="D122" s="30" t="str">
        <f t="shared" si="36"/>
        <v/>
      </c>
      <c r="E122" s="20" t="str">
        <f t="shared" si="23"/>
        <v/>
      </c>
      <c r="F122" s="20" t="str">
        <f t="shared" si="24"/>
        <v/>
      </c>
      <c r="G122" s="24" t="str">
        <f t="shared" si="37"/>
        <v/>
      </c>
      <c r="H122" s="21" t="str">
        <f t="shared" si="25"/>
        <v/>
      </c>
      <c r="I122" s="66" t="str">
        <f t="shared" si="26"/>
        <v/>
      </c>
      <c r="J122" s="66" t="str">
        <f t="shared" si="27"/>
        <v/>
      </c>
      <c r="K122" s="11" t="str">
        <f t="shared" si="28"/>
        <v/>
      </c>
      <c r="L122" s="23" t="str">
        <f t="shared" si="42"/>
        <v/>
      </c>
      <c r="M122" s="100"/>
      <c r="N122" s="23" t="str">
        <f t="shared" si="29"/>
        <v/>
      </c>
      <c r="O122" s="23" t="str">
        <f t="shared" si="38"/>
        <v/>
      </c>
      <c r="P122" s="23" t="str">
        <f t="shared" si="39"/>
        <v/>
      </c>
      <c r="Q122" s="19" t="str">
        <f t="shared" si="30"/>
        <v/>
      </c>
      <c r="R122" s="19"/>
      <c r="T122" s="37" t="str">
        <f t="shared" si="31"/>
        <v/>
      </c>
      <c r="U122" s="37" t="str">
        <f t="shared" si="40"/>
        <v/>
      </c>
      <c r="W122" s="31" t="str">
        <f t="shared" si="43"/>
        <v/>
      </c>
      <c r="X122" s="31" t="str">
        <f t="shared" si="44"/>
        <v/>
      </c>
      <c r="Y122" s="34">
        <f t="shared" si="41"/>
        <v>1</v>
      </c>
      <c r="Z122" s="31">
        <f t="shared" si="32"/>
        <v>0</v>
      </c>
      <c r="AA122" s="66">
        <f t="shared" si="33"/>
        <v>0</v>
      </c>
      <c r="AB122" s="6" t="str">
        <f t="shared" si="34"/>
        <v/>
      </c>
      <c r="AC122" s="48">
        <f t="shared" si="45"/>
        <v>0</v>
      </c>
    </row>
    <row r="123" spans="3:29" x14ac:dyDescent="0.25">
      <c r="C123" s="27" t="str">
        <f t="shared" si="35"/>
        <v/>
      </c>
      <c r="D123" s="30" t="str">
        <f t="shared" si="36"/>
        <v/>
      </c>
      <c r="E123" s="20" t="str">
        <f t="shared" si="23"/>
        <v/>
      </c>
      <c r="F123" s="20" t="str">
        <f t="shared" si="24"/>
        <v/>
      </c>
      <c r="G123" s="24" t="str">
        <f t="shared" si="37"/>
        <v/>
      </c>
      <c r="H123" s="21" t="str">
        <f t="shared" si="25"/>
        <v/>
      </c>
      <c r="I123" s="66" t="str">
        <f t="shared" si="26"/>
        <v/>
      </c>
      <c r="J123" s="66" t="str">
        <f t="shared" si="27"/>
        <v/>
      </c>
      <c r="K123" s="11" t="str">
        <f t="shared" si="28"/>
        <v/>
      </c>
      <c r="L123" s="23" t="str">
        <f t="shared" si="42"/>
        <v/>
      </c>
      <c r="M123" s="100"/>
      <c r="N123" s="23" t="str">
        <f t="shared" si="29"/>
        <v/>
      </c>
      <c r="O123" s="23" t="str">
        <f t="shared" si="38"/>
        <v/>
      </c>
      <c r="P123" s="23" t="str">
        <f t="shared" si="39"/>
        <v/>
      </c>
      <c r="Q123" s="19" t="str">
        <f t="shared" si="30"/>
        <v/>
      </c>
      <c r="R123" s="19"/>
      <c r="T123" s="37" t="str">
        <f t="shared" si="31"/>
        <v/>
      </c>
      <c r="U123" s="37" t="str">
        <f t="shared" si="40"/>
        <v/>
      </c>
      <c r="W123" s="31" t="str">
        <f t="shared" si="43"/>
        <v/>
      </c>
      <c r="X123" s="31" t="str">
        <f t="shared" si="44"/>
        <v/>
      </c>
      <c r="Y123" s="34">
        <f t="shared" si="41"/>
        <v>1</v>
      </c>
      <c r="Z123" s="31">
        <f t="shared" si="32"/>
        <v>0</v>
      </c>
      <c r="AA123" s="66">
        <f t="shared" si="33"/>
        <v>0</v>
      </c>
      <c r="AB123" s="6" t="str">
        <f t="shared" si="34"/>
        <v/>
      </c>
      <c r="AC123" s="48">
        <f t="shared" si="45"/>
        <v>0</v>
      </c>
    </row>
    <row r="124" spans="3:29" x14ac:dyDescent="0.25">
      <c r="C124" s="27" t="str">
        <f t="shared" si="35"/>
        <v/>
      </c>
      <c r="D124" s="30" t="str">
        <f t="shared" si="36"/>
        <v/>
      </c>
      <c r="E124" s="20" t="str">
        <f t="shared" si="23"/>
        <v/>
      </c>
      <c r="F124" s="20" t="str">
        <f t="shared" si="24"/>
        <v/>
      </c>
      <c r="G124" s="24" t="str">
        <f t="shared" si="37"/>
        <v/>
      </c>
      <c r="H124" s="21" t="str">
        <f t="shared" si="25"/>
        <v/>
      </c>
      <c r="I124" s="66" t="str">
        <f t="shared" si="26"/>
        <v/>
      </c>
      <c r="J124" s="66" t="str">
        <f t="shared" si="27"/>
        <v/>
      </c>
      <c r="K124" s="11" t="str">
        <f t="shared" si="28"/>
        <v/>
      </c>
      <c r="L124" s="23" t="str">
        <f t="shared" si="42"/>
        <v/>
      </c>
      <c r="M124" s="100"/>
      <c r="N124" s="23" t="str">
        <f t="shared" si="29"/>
        <v/>
      </c>
      <c r="O124" s="23" t="str">
        <f t="shared" si="38"/>
        <v/>
      </c>
      <c r="P124" s="23" t="str">
        <f t="shared" si="39"/>
        <v/>
      </c>
      <c r="Q124" s="19" t="str">
        <f t="shared" si="30"/>
        <v/>
      </c>
      <c r="R124" s="19"/>
      <c r="T124" s="37" t="str">
        <f t="shared" si="31"/>
        <v/>
      </c>
      <c r="U124" s="37" t="str">
        <f t="shared" si="40"/>
        <v/>
      </c>
      <c r="W124" s="31" t="str">
        <f t="shared" si="43"/>
        <v/>
      </c>
      <c r="X124" s="31" t="str">
        <f t="shared" si="44"/>
        <v/>
      </c>
      <c r="Y124" s="34">
        <f t="shared" si="41"/>
        <v>1</v>
      </c>
      <c r="Z124" s="31">
        <f t="shared" si="32"/>
        <v>0</v>
      </c>
      <c r="AA124" s="66">
        <f t="shared" si="33"/>
        <v>0</v>
      </c>
      <c r="AB124" s="6" t="str">
        <f t="shared" si="34"/>
        <v/>
      </c>
      <c r="AC124" s="48">
        <f t="shared" si="45"/>
        <v>0</v>
      </c>
    </row>
    <row r="125" spans="3:29" x14ac:dyDescent="0.25">
      <c r="C125" s="27" t="str">
        <f t="shared" si="35"/>
        <v/>
      </c>
      <c r="D125" s="30" t="str">
        <f t="shared" si="36"/>
        <v/>
      </c>
      <c r="E125" s="20" t="str">
        <f t="shared" si="23"/>
        <v/>
      </c>
      <c r="F125" s="20" t="str">
        <f t="shared" si="24"/>
        <v/>
      </c>
      <c r="G125" s="24" t="str">
        <f t="shared" si="37"/>
        <v/>
      </c>
      <c r="H125" s="21" t="str">
        <f t="shared" si="25"/>
        <v/>
      </c>
      <c r="I125" s="66" t="str">
        <f t="shared" si="26"/>
        <v/>
      </c>
      <c r="J125" s="66" t="str">
        <f t="shared" si="27"/>
        <v/>
      </c>
      <c r="K125" s="11" t="str">
        <f t="shared" si="28"/>
        <v/>
      </c>
      <c r="L125" s="23" t="str">
        <f t="shared" si="42"/>
        <v/>
      </c>
      <c r="M125" s="100"/>
      <c r="N125" s="23" t="str">
        <f t="shared" si="29"/>
        <v/>
      </c>
      <c r="O125" s="23" t="str">
        <f t="shared" si="38"/>
        <v/>
      </c>
      <c r="P125" s="23" t="str">
        <f t="shared" si="39"/>
        <v/>
      </c>
      <c r="Q125" s="19" t="str">
        <f t="shared" si="30"/>
        <v/>
      </c>
      <c r="R125" s="19"/>
      <c r="T125" s="37" t="str">
        <f t="shared" si="31"/>
        <v/>
      </c>
      <c r="U125" s="37" t="str">
        <f t="shared" si="40"/>
        <v/>
      </c>
      <c r="W125" s="31" t="str">
        <f t="shared" si="43"/>
        <v/>
      </c>
      <c r="X125" s="31" t="str">
        <f t="shared" si="44"/>
        <v/>
      </c>
      <c r="Y125" s="34">
        <f t="shared" si="41"/>
        <v>1</v>
      </c>
      <c r="Z125" s="31">
        <f t="shared" si="32"/>
        <v>0</v>
      </c>
      <c r="AA125" s="66">
        <f t="shared" si="33"/>
        <v>0</v>
      </c>
      <c r="AB125" s="6" t="str">
        <f t="shared" si="34"/>
        <v/>
      </c>
      <c r="AC125" s="48">
        <f t="shared" si="45"/>
        <v>0</v>
      </c>
    </row>
    <row r="126" spans="3:29" x14ac:dyDescent="0.25">
      <c r="C126" s="27" t="str">
        <f t="shared" si="35"/>
        <v/>
      </c>
      <c r="D126" s="30" t="str">
        <f t="shared" si="36"/>
        <v/>
      </c>
      <c r="E126" s="20" t="str">
        <f t="shared" si="23"/>
        <v/>
      </c>
      <c r="F126" s="20" t="str">
        <f t="shared" si="24"/>
        <v/>
      </c>
      <c r="G126" s="24" t="str">
        <f t="shared" si="37"/>
        <v/>
      </c>
      <c r="H126" s="21" t="str">
        <f t="shared" si="25"/>
        <v/>
      </c>
      <c r="I126" s="66" t="str">
        <f t="shared" si="26"/>
        <v/>
      </c>
      <c r="J126" s="66" t="str">
        <f t="shared" si="27"/>
        <v/>
      </c>
      <c r="K126" s="11" t="str">
        <f t="shared" si="28"/>
        <v/>
      </c>
      <c r="L126" s="23" t="str">
        <f t="shared" si="42"/>
        <v/>
      </c>
      <c r="M126" s="100"/>
      <c r="N126" s="23" t="str">
        <f t="shared" si="29"/>
        <v/>
      </c>
      <c r="O126" s="23" t="str">
        <f t="shared" si="38"/>
        <v/>
      </c>
      <c r="P126" s="23" t="str">
        <f t="shared" si="39"/>
        <v/>
      </c>
      <c r="Q126" s="19" t="str">
        <f t="shared" si="30"/>
        <v/>
      </c>
      <c r="R126" s="19"/>
      <c r="T126" s="37" t="str">
        <f t="shared" si="31"/>
        <v/>
      </c>
      <c r="U126" s="37" t="str">
        <f t="shared" si="40"/>
        <v/>
      </c>
      <c r="W126" s="31" t="str">
        <f t="shared" si="43"/>
        <v/>
      </c>
      <c r="X126" s="31" t="str">
        <f t="shared" si="44"/>
        <v/>
      </c>
      <c r="Y126" s="34">
        <f t="shared" si="41"/>
        <v>1</v>
      </c>
      <c r="Z126" s="31">
        <f t="shared" si="32"/>
        <v>0</v>
      </c>
      <c r="AA126" s="66">
        <f t="shared" si="33"/>
        <v>0</v>
      </c>
      <c r="AB126" s="6" t="str">
        <f t="shared" si="34"/>
        <v/>
      </c>
      <c r="AC126" s="48">
        <f t="shared" si="45"/>
        <v>0</v>
      </c>
    </row>
    <row r="127" spans="3:29" x14ac:dyDescent="0.25">
      <c r="C127" s="27" t="str">
        <f t="shared" si="35"/>
        <v/>
      </c>
      <c r="D127" s="30" t="str">
        <f t="shared" si="36"/>
        <v/>
      </c>
      <c r="E127" s="20" t="str">
        <f t="shared" si="23"/>
        <v/>
      </c>
      <c r="F127" s="20" t="str">
        <f t="shared" si="24"/>
        <v/>
      </c>
      <c r="G127" s="24" t="str">
        <f t="shared" si="37"/>
        <v/>
      </c>
      <c r="H127" s="21" t="str">
        <f t="shared" si="25"/>
        <v/>
      </c>
      <c r="I127" s="66" t="str">
        <f t="shared" si="26"/>
        <v/>
      </c>
      <c r="J127" s="66" t="str">
        <f t="shared" si="27"/>
        <v/>
      </c>
      <c r="K127" s="11" t="str">
        <f t="shared" si="28"/>
        <v/>
      </c>
      <c r="L127" s="23" t="str">
        <f t="shared" si="42"/>
        <v/>
      </c>
      <c r="M127" s="100"/>
      <c r="N127" s="23" t="str">
        <f t="shared" si="29"/>
        <v/>
      </c>
      <c r="O127" s="23" t="str">
        <f t="shared" si="38"/>
        <v/>
      </c>
      <c r="P127" s="23" t="str">
        <f t="shared" si="39"/>
        <v/>
      </c>
      <c r="Q127" s="19" t="str">
        <f t="shared" si="30"/>
        <v/>
      </c>
      <c r="R127" s="19"/>
      <c r="T127" s="37" t="str">
        <f t="shared" si="31"/>
        <v/>
      </c>
      <c r="U127" s="37" t="str">
        <f t="shared" si="40"/>
        <v/>
      </c>
      <c r="W127" s="31" t="str">
        <f t="shared" si="43"/>
        <v/>
      </c>
      <c r="X127" s="31" t="str">
        <f t="shared" si="44"/>
        <v/>
      </c>
      <c r="Y127" s="34">
        <f t="shared" si="41"/>
        <v>1</v>
      </c>
      <c r="Z127" s="31">
        <f t="shared" si="32"/>
        <v>0</v>
      </c>
      <c r="AA127" s="66">
        <f t="shared" si="33"/>
        <v>0</v>
      </c>
      <c r="AB127" s="6" t="str">
        <f t="shared" si="34"/>
        <v/>
      </c>
      <c r="AC127" s="48">
        <f t="shared" si="45"/>
        <v>0</v>
      </c>
    </row>
    <row r="128" spans="3:29" x14ac:dyDescent="0.25">
      <c r="C128" s="27" t="str">
        <f t="shared" si="35"/>
        <v/>
      </c>
      <c r="D128" s="30" t="str">
        <f t="shared" si="36"/>
        <v/>
      </c>
      <c r="E128" s="20" t="str">
        <f t="shared" si="23"/>
        <v/>
      </c>
      <c r="F128" s="20" t="str">
        <f t="shared" si="24"/>
        <v/>
      </c>
      <c r="G128" s="24" t="str">
        <f t="shared" si="37"/>
        <v/>
      </c>
      <c r="H128" s="21" t="str">
        <f t="shared" si="25"/>
        <v/>
      </c>
      <c r="I128" s="66" t="str">
        <f t="shared" si="26"/>
        <v/>
      </c>
      <c r="J128" s="66" t="str">
        <f t="shared" si="27"/>
        <v/>
      </c>
      <c r="K128" s="11" t="str">
        <f t="shared" si="28"/>
        <v/>
      </c>
      <c r="L128" s="23" t="str">
        <f t="shared" si="42"/>
        <v/>
      </c>
      <c r="M128" s="100"/>
      <c r="N128" s="23" t="str">
        <f t="shared" si="29"/>
        <v/>
      </c>
      <c r="O128" s="23" t="str">
        <f t="shared" si="38"/>
        <v/>
      </c>
      <c r="P128" s="23" t="str">
        <f t="shared" si="39"/>
        <v/>
      </c>
      <c r="Q128" s="19" t="str">
        <f t="shared" si="30"/>
        <v/>
      </c>
      <c r="R128" s="19"/>
      <c r="T128" s="37" t="str">
        <f t="shared" si="31"/>
        <v/>
      </c>
      <c r="U128" s="37" t="str">
        <f t="shared" si="40"/>
        <v/>
      </c>
      <c r="W128" s="31" t="str">
        <f t="shared" si="43"/>
        <v/>
      </c>
      <c r="X128" s="31" t="str">
        <f t="shared" si="44"/>
        <v/>
      </c>
      <c r="Y128" s="34">
        <f t="shared" si="41"/>
        <v>1</v>
      </c>
      <c r="Z128" s="31">
        <f t="shared" si="32"/>
        <v>0</v>
      </c>
      <c r="AA128" s="66">
        <f t="shared" si="33"/>
        <v>0</v>
      </c>
      <c r="AB128" s="6" t="str">
        <f t="shared" si="34"/>
        <v/>
      </c>
      <c r="AC128" s="48">
        <f t="shared" si="45"/>
        <v>0</v>
      </c>
    </row>
    <row r="129" spans="3:29" x14ac:dyDescent="0.25">
      <c r="C129" s="27" t="str">
        <f t="shared" si="35"/>
        <v/>
      </c>
      <c r="D129" s="30" t="str">
        <f t="shared" si="36"/>
        <v/>
      </c>
      <c r="E129" s="20" t="str">
        <f t="shared" si="23"/>
        <v/>
      </c>
      <c r="F129" s="20" t="str">
        <f t="shared" si="24"/>
        <v/>
      </c>
      <c r="G129" s="24" t="str">
        <f t="shared" si="37"/>
        <v/>
      </c>
      <c r="H129" s="21" t="str">
        <f t="shared" si="25"/>
        <v/>
      </c>
      <c r="I129" s="66" t="str">
        <f t="shared" si="26"/>
        <v/>
      </c>
      <c r="J129" s="66" t="str">
        <f t="shared" si="27"/>
        <v/>
      </c>
      <c r="K129" s="11" t="str">
        <f t="shared" si="28"/>
        <v/>
      </c>
      <c r="L129" s="23" t="str">
        <f t="shared" si="42"/>
        <v/>
      </c>
      <c r="M129" s="100"/>
      <c r="N129" s="23" t="str">
        <f t="shared" si="29"/>
        <v/>
      </c>
      <c r="O129" s="23" t="str">
        <f t="shared" si="38"/>
        <v/>
      </c>
      <c r="P129" s="23" t="str">
        <f t="shared" si="39"/>
        <v/>
      </c>
      <c r="Q129" s="19" t="str">
        <f t="shared" si="30"/>
        <v/>
      </c>
      <c r="R129" s="19"/>
      <c r="T129" s="37" t="str">
        <f t="shared" si="31"/>
        <v/>
      </c>
      <c r="U129" s="37" t="str">
        <f t="shared" si="40"/>
        <v/>
      </c>
      <c r="W129" s="31" t="str">
        <f t="shared" si="43"/>
        <v/>
      </c>
      <c r="X129" s="31" t="str">
        <f t="shared" si="44"/>
        <v/>
      </c>
      <c r="Y129" s="34">
        <f t="shared" si="41"/>
        <v>1</v>
      </c>
      <c r="Z129" s="31">
        <f t="shared" si="32"/>
        <v>0</v>
      </c>
      <c r="AA129" s="66">
        <f t="shared" si="33"/>
        <v>0</v>
      </c>
      <c r="AB129" s="6" t="str">
        <f t="shared" si="34"/>
        <v/>
      </c>
      <c r="AC129" s="48">
        <f>AC128+$M$17</f>
        <v>0</v>
      </c>
    </row>
    <row r="130" spans="3:29" x14ac:dyDescent="0.25">
      <c r="C130" s="27" t="str">
        <f t="shared" si="35"/>
        <v/>
      </c>
      <c r="D130" s="30" t="str">
        <f t="shared" si="36"/>
        <v/>
      </c>
      <c r="E130" s="20" t="str">
        <f t="shared" si="23"/>
        <v/>
      </c>
      <c r="F130" s="20" t="str">
        <f t="shared" si="24"/>
        <v/>
      </c>
      <c r="G130" s="24" t="str">
        <f t="shared" si="37"/>
        <v/>
      </c>
      <c r="H130" s="21" t="str">
        <f t="shared" si="25"/>
        <v/>
      </c>
      <c r="I130" s="66" t="str">
        <f t="shared" si="26"/>
        <v/>
      </c>
      <c r="J130" s="66" t="str">
        <f t="shared" si="27"/>
        <v/>
      </c>
      <c r="K130" s="11" t="str">
        <f t="shared" si="28"/>
        <v/>
      </c>
      <c r="L130" s="23" t="str">
        <f t="shared" si="42"/>
        <v/>
      </c>
      <c r="M130" s="100"/>
      <c r="N130" s="23" t="str">
        <f t="shared" si="29"/>
        <v/>
      </c>
      <c r="O130" s="23" t="str">
        <f t="shared" si="38"/>
        <v/>
      </c>
      <c r="P130" s="23" t="str">
        <f t="shared" si="39"/>
        <v/>
      </c>
      <c r="Q130" s="19" t="str">
        <f t="shared" si="30"/>
        <v/>
      </c>
      <c r="R130" s="19"/>
      <c r="T130" s="37" t="str">
        <f t="shared" si="31"/>
        <v/>
      </c>
      <c r="U130" s="37" t="str">
        <f t="shared" si="40"/>
        <v/>
      </c>
      <c r="W130" s="31" t="str">
        <f t="shared" si="43"/>
        <v/>
      </c>
      <c r="X130" s="31" t="str">
        <f t="shared" si="44"/>
        <v/>
      </c>
      <c r="Y130" s="34">
        <f t="shared" si="41"/>
        <v>1</v>
      </c>
      <c r="Z130" s="31">
        <f t="shared" si="32"/>
        <v>0</v>
      </c>
      <c r="AA130" s="66">
        <f t="shared" si="33"/>
        <v>0</v>
      </c>
      <c r="AB130" s="6" t="str">
        <f t="shared" si="34"/>
        <v/>
      </c>
      <c r="AC130" s="48">
        <f t="shared" si="45"/>
        <v>0</v>
      </c>
    </row>
    <row r="131" spans="3:29" x14ac:dyDescent="0.25">
      <c r="C131" s="27" t="str">
        <f t="shared" si="35"/>
        <v/>
      </c>
      <c r="D131" s="30" t="str">
        <f t="shared" si="36"/>
        <v/>
      </c>
      <c r="E131" s="20" t="str">
        <f t="shared" si="23"/>
        <v/>
      </c>
      <c r="F131" s="20" t="str">
        <f t="shared" si="24"/>
        <v/>
      </c>
      <c r="G131" s="24" t="str">
        <f t="shared" si="37"/>
        <v/>
      </c>
      <c r="H131" s="21" t="str">
        <f t="shared" si="25"/>
        <v/>
      </c>
      <c r="I131" s="66" t="str">
        <f t="shared" si="26"/>
        <v/>
      </c>
      <c r="J131" s="66" t="str">
        <f t="shared" si="27"/>
        <v/>
      </c>
      <c r="K131" s="11" t="str">
        <f t="shared" si="28"/>
        <v/>
      </c>
      <c r="L131" s="23" t="str">
        <f t="shared" si="42"/>
        <v/>
      </c>
      <c r="M131" s="100"/>
      <c r="N131" s="23" t="str">
        <f t="shared" si="29"/>
        <v/>
      </c>
      <c r="O131" s="23" t="str">
        <f t="shared" si="38"/>
        <v/>
      </c>
      <c r="P131" s="23" t="str">
        <f t="shared" si="39"/>
        <v/>
      </c>
      <c r="Q131" s="19" t="str">
        <f t="shared" si="30"/>
        <v/>
      </c>
      <c r="R131" s="19"/>
      <c r="T131" s="37" t="str">
        <f t="shared" si="31"/>
        <v/>
      </c>
      <c r="U131" s="37" t="str">
        <f t="shared" si="40"/>
        <v/>
      </c>
      <c r="W131" s="31" t="str">
        <f t="shared" si="43"/>
        <v/>
      </c>
      <c r="X131" s="31" t="str">
        <f t="shared" si="44"/>
        <v/>
      </c>
      <c r="Y131" s="34">
        <f t="shared" si="41"/>
        <v>1</v>
      </c>
      <c r="Z131" s="31">
        <f t="shared" si="32"/>
        <v>0</v>
      </c>
      <c r="AA131" s="66">
        <f t="shared" si="33"/>
        <v>0</v>
      </c>
      <c r="AB131" s="6" t="str">
        <f t="shared" si="34"/>
        <v/>
      </c>
      <c r="AC131" s="48">
        <f t="shared" si="45"/>
        <v>0</v>
      </c>
    </row>
    <row r="132" spans="3:29" x14ac:dyDescent="0.25">
      <c r="C132" s="27" t="str">
        <f t="shared" si="35"/>
        <v/>
      </c>
      <c r="D132" s="30" t="str">
        <f t="shared" si="36"/>
        <v/>
      </c>
      <c r="E132" s="20" t="str">
        <f t="shared" si="23"/>
        <v/>
      </c>
      <c r="F132" s="20" t="str">
        <f t="shared" si="24"/>
        <v/>
      </c>
      <c r="G132" s="24" t="str">
        <f t="shared" si="37"/>
        <v/>
      </c>
      <c r="H132" s="21" t="str">
        <f t="shared" si="25"/>
        <v/>
      </c>
      <c r="I132" s="66" t="str">
        <f t="shared" si="26"/>
        <v/>
      </c>
      <c r="J132" s="66" t="str">
        <f t="shared" si="27"/>
        <v/>
      </c>
      <c r="K132" s="11" t="str">
        <f t="shared" si="28"/>
        <v/>
      </c>
      <c r="L132" s="23" t="str">
        <f t="shared" si="42"/>
        <v/>
      </c>
      <c r="M132" s="100"/>
      <c r="N132" s="23" t="str">
        <f t="shared" si="29"/>
        <v/>
      </c>
      <c r="O132" s="23" t="str">
        <f t="shared" si="38"/>
        <v/>
      </c>
      <c r="P132" s="23" t="str">
        <f t="shared" si="39"/>
        <v/>
      </c>
      <c r="Q132" s="19" t="str">
        <f t="shared" si="30"/>
        <v/>
      </c>
      <c r="R132" s="19"/>
      <c r="T132" s="37" t="str">
        <f t="shared" si="31"/>
        <v/>
      </c>
      <c r="U132" s="37" t="str">
        <f t="shared" si="40"/>
        <v/>
      </c>
      <c r="W132" s="31" t="str">
        <f t="shared" si="43"/>
        <v/>
      </c>
      <c r="X132" s="31" t="str">
        <f t="shared" si="44"/>
        <v/>
      </c>
      <c r="Y132" s="34">
        <f t="shared" si="41"/>
        <v>1</v>
      </c>
      <c r="Z132" s="31">
        <f t="shared" si="32"/>
        <v>0</v>
      </c>
      <c r="AA132" s="66">
        <f t="shared" si="33"/>
        <v>0</v>
      </c>
      <c r="AB132" s="6" t="str">
        <f t="shared" si="34"/>
        <v/>
      </c>
      <c r="AC132" s="48">
        <f t="shared" si="45"/>
        <v>0</v>
      </c>
    </row>
    <row r="133" spans="3:29" x14ac:dyDescent="0.25">
      <c r="C133" s="27" t="str">
        <f t="shared" si="35"/>
        <v/>
      </c>
      <c r="D133" s="30" t="str">
        <f t="shared" si="36"/>
        <v/>
      </c>
      <c r="E133" s="20" t="str">
        <f t="shared" si="23"/>
        <v/>
      </c>
      <c r="F133" s="20" t="str">
        <f t="shared" si="24"/>
        <v/>
      </c>
      <c r="G133" s="24" t="str">
        <f t="shared" si="37"/>
        <v/>
      </c>
      <c r="H133" s="21" t="str">
        <f t="shared" si="25"/>
        <v/>
      </c>
      <c r="I133" s="66" t="str">
        <f t="shared" si="26"/>
        <v/>
      </c>
      <c r="J133" s="66" t="str">
        <f t="shared" si="27"/>
        <v/>
      </c>
      <c r="K133" s="11" t="str">
        <f t="shared" si="28"/>
        <v/>
      </c>
      <c r="L133" s="23" t="str">
        <f t="shared" si="42"/>
        <v/>
      </c>
      <c r="M133" s="100"/>
      <c r="N133" s="23" t="str">
        <f t="shared" si="29"/>
        <v/>
      </c>
      <c r="O133" s="23" t="str">
        <f t="shared" si="38"/>
        <v/>
      </c>
      <c r="P133" s="23" t="str">
        <f t="shared" si="39"/>
        <v/>
      </c>
      <c r="Q133" s="19" t="str">
        <f t="shared" si="30"/>
        <v/>
      </c>
      <c r="R133" s="19"/>
      <c r="T133" s="37" t="str">
        <f t="shared" si="31"/>
        <v/>
      </c>
      <c r="U133" s="37" t="str">
        <f t="shared" si="40"/>
        <v/>
      </c>
      <c r="W133" s="31" t="str">
        <f t="shared" si="43"/>
        <v/>
      </c>
      <c r="X133" s="31" t="str">
        <f t="shared" si="44"/>
        <v/>
      </c>
      <c r="Y133" s="34">
        <f t="shared" si="41"/>
        <v>1</v>
      </c>
      <c r="Z133" s="31">
        <f t="shared" si="32"/>
        <v>0</v>
      </c>
      <c r="AA133" s="66">
        <f t="shared" si="33"/>
        <v>0</v>
      </c>
      <c r="AB133" s="6" t="str">
        <f t="shared" si="34"/>
        <v/>
      </c>
      <c r="AC133" s="48">
        <f t="shared" si="45"/>
        <v>0</v>
      </c>
    </row>
    <row r="134" spans="3:29" x14ac:dyDescent="0.25">
      <c r="C134" s="27" t="str">
        <f t="shared" si="35"/>
        <v/>
      </c>
      <c r="D134" s="30" t="str">
        <f t="shared" si="36"/>
        <v/>
      </c>
      <c r="E134" s="20" t="str">
        <f t="shared" si="23"/>
        <v/>
      </c>
      <c r="F134" s="20" t="str">
        <f t="shared" si="24"/>
        <v/>
      </c>
      <c r="G134" s="24" t="str">
        <f t="shared" si="37"/>
        <v/>
      </c>
      <c r="H134" s="21" t="str">
        <f t="shared" si="25"/>
        <v/>
      </c>
      <c r="I134" s="66" t="str">
        <f t="shared" si="26"/>
        <v/>
      </c>
      <c r="J134" s="66" t="str">
        <f t="shared" si="27"/>
        <v/>
      </c>
      <c r="K134" s="11" t="str">
        <f t="shared" si="28"/>
        <v/>
      </c>
      <c r="L134" s="23" t="str">
        <f t="shared" si="42"/>
        <v/>
      </c>
      <c r="M134" s="100"/>
      <c r="N134" s="23" t="str">
        <f t="shared" si="29"/>
        <v/>
      </c>
      <c r="O134" s="23" t="str">
        <f t="shared" si="38"/>
        <v/>
      </c>
      <c r="P134" s="23" t="str">
        <f t="shared" si="39"/>
        <v/>
      </c>
      <c r="Q134" s="19" t="str">
        <f t="shared" si="30"/>
        <v/>
      </c>
      <c r="R134" s="19"/>
      <c r="T134" s="37" t="str">
        <f t="shared" si="31"/>
        <v/>
      </c>
      <c r="U134" s="37" t="str">
        <f t="shared" si="40"/>
        <v/>
      </c>
      <c r="W134" s="31" t="str">
        <f t="shared" si="43"/>
        <v/>
      </c>
      <c r="X134" s="31" t="str">
        <f t="shared" si="44"/>
        <v/>
      </c>
      <c r="Y134" s="34">
        <f t="shared" si="41"/>
        <v>1</v>
      </c>
      <c r="Z134" s="31">
        <f t="shared" si="32"/>
        <v>0</v>
      </c>
      <c r="AA134" s="66">
        <f t="shared" si="33"/>
        <v>0</v>
      </c>
      <c r="AB134" s="6" t="str">
        <f t="shared" si="34"/>
        <v/>
      </c>
      <c r="AC134" s="48">
        <f t="shared" si="45"/>
        <v>0</v>
      </c>
    </row>
    <row r="135" spans="3:29" x14ac:dyDescent="0.25">
      <c r="C135" s="27" t="str">
        <f t="shared" si="35"/>
        <v/>
      </c>
      <c r="D135" s="30" t="str">
        <f t="shared" si="36"/>
        <v/>
      </c>
      <c r="E135" s="20" t="str">
        <f t="shared" si="23"/>
        <v/>
      </c>
      <c r="F135" s="20" t="str">
        <f t="shared" si="24"/>
        <v/>
      </c>
      <c r="G135" s="24" t="str">
        <f t="shared" si="37"/>
        <v/>
      </c>
      <c r="H135" s="21" t="str">
        <f t="shared" si="25"/>
        <v/>
      </c>
      <c r="I135" s="66" t="str">
        <f t="shared" si="26"/>
        <v/>
      </c>
      <c r="J135" s="66" t="str">
        <f t="shared" si="27"/>
        <v/>
      </c>
      <c r="K135" s="11" t="str">
        <f t="shared" si="28"/>
        <v/>
      </c>
      <c r="L135" s="23" t="str">
        <f t="shared" si="42"/>
        <v/>
      </c>
      <c r="M135" s="100"/>
      <c r="N135" s="23" t="str">
        <f t="shared" si="29"/>
        <v/>
      </c>
      <c r="O135" s="23" t="str">
        <f t="shared" si="38"/>
        <v/>
      </c>
      <c r="P135" s="23" t="str">
        <f t="shared" si="39"/>
        <v/>
      </c>
      <c r="Q135" s="19" t="str">
        <f t="shared" si="30"/>
        <v/>
      </c>
      <c r="R135" s="19"/>
      <c r="T135" s="37" t="str">
        <f t="shared" si="31"/>
        <v/>
      </c>
      <c r="U135" s="37" t="str">
        <f t="shared" si="40"/>
        <v/>
      </c>
      <c r="W135" s="31" t="str">
        <f t="shared" si="43"/>
        <v/>
      </c>
      <c r="X135" s="31" t="str">
        <f t="shared" si="44"/>
        <v/>
      </c>
      <c r="Y135" s="34">
        <f t="shared" si="41"/>
        <v>1</v>
      </c>
      <c r="Z135" s="31">
        <f t="shared" si="32"/>
        <v>0</v>
      </c>
      <c r="AA135" s="66">
        <f t="shared" si="33"/>
        <v>0</v>
      </c>
      <c r="AB135" s="6" t="str">
        <f t="shared" si="34"/>
        <v/>
      </c>
      <c r="AC135" s="48">
        <f t="shared" si="45"/>
        <v>0</v>
      </c>
    </row>
    <row r="136" spans="3:29" x14ac:dyDescent="0.25">
      <c r="C136" s="27" t="str">
        <f t="shared" si="35"/>
        <v/>
      </c>
      <c r="D136" s="30" t="str">
        <f t="shared" si="36"/>
        <v/>
      </c>
      <c r="E136" s="20" t="str">
        <f t="shared" si="23"/>
        <v/>
      </c>
      <c r="F136" s="20" t="str">
        <f t="shared" si="24"/>
        <v/>
      </c>
      <c r="G136" s="24" t="str">
        <f t="shared" si="37"/>
        <v/>
      </c>
      <c r="H136" s="21" t="str">
        <f t="shared" si="25"/>
        <v/>
      </c>
      <c r="I136" s="66" t="str">
        <f t="shared" si="26"/>
        <v/>
      </c>
      <c r="J136" s="66" t="str">
        <f t="shared" si="27"/>
        <v/>
      </c>
      <c r="K136" s="11" t="str">
        <f t="shared" si="28"/>
        <v/>
      </c>
      <c r="L136" s="23" t="str">
        <f t="shared" si="42"/>
        <v/>
      </c>
      <c r="M136" s="100"/>
      <c r="N136" s="23" t="str">
        <f t="shared" si="29"/>
        <v/>
      </c>
      <c r="O136" s="23" t="str">
        <f t="shared" si="38"/>
        <v/>
      </c>
      <c r="P136" s="23" t="str">
        <f t="shared" si="39"/>
        <v/>
      </c>
      <c r="Q136" s="19" t="str">
        <f t="shared" si="30"/>
        <v/>
      </c>
      <c r="R136" s="19"/>
      <c r="T136" s="37" t="str">
        <f t="shared" si="31"/>
        <v/>
      </c>
      <c r="U136" s="37" t="str">
        <f t="shared" si="40"/>
        <v/>
      </c>
      <c r="W136" s="31" t="str">
        <f t="shared" si="43"/>
        <v/>
      </c>
      <c r="X136" s="31" t="str">
        <f t="shared" si="44"/>
        <v/>
      </c>
      <c r="Y136" s="34">
        <f t="shared" si="41"/>
        <v>1</v>
      </c>
      <c r="Z136" s="31">
        <f t="shared" si="32"/>
        <v>0</v>
      </c>
      <c r="AA136" s="66">
        <f t="shared" si="33"/>
        <v>0</v>
      </c>
      <c r="AB136" s="6" t="str">
        <f t="shared" si="34"/>
        <v/>
      </c>
      <c r="AC136" s="48">
        <f t="shared" si="45"/>
        <v>0</v>
      </c>
    </row>
    <row r="137" spans="3:29" x14ac:dyDescent="0.25">
      <c r="C137" s="27" t="str">
        <f t="shared" si="35"/>
        <v/>
      </c>
      <c r="D137" s="30" t="str">
        <f t="shared" si="36"/>
        <v/>
      </c>
      <c r="E137" s="20" t="str">
        <f t="shared" si="23"/>
        <v/>
      </c>
      <c r="F137" s="20" t="str">
        <f t="shared" si="24"/>
        <v/>
      </c>
      <c r="G137" s="24" t="str">
        <f t="shared" si="37"/>
        <v/>
      </c>
      <c r="H137" s="21" t="str">
        <f t="shared" si="25"/>
        <v/>
      </c>
      <c r="I137" s="66" t="str">
        <f t="shared" si="26"/>
        <v/>
      </c>
      <c r="J137" s="66" t="str">
        <f t="shared" si="27"/>
        <v/>
      </c>
      <c r="K137" s="11" t="str">
        <f t="shared" si="28"/>
        <v/>
      </c>
      <c r="L137" s="23" t="str">
        <f t="shared" si="42"/>
        <v/>
      </c>
      <c r="M137" s="100"/>
      <c r="N137" s="23" t="str">
        <f t="shared" si="29"/>
        <v/>
      </c>
      <c r="O137" s="23" t="str">
        <f t="shared" si="38"/>
        <v/>
      </c>
      <c r="P137" s="23" t="str">
        <f t="shared" si="39"/>
        <v/>
      </c>
      <c r="Q137" s="19" t="str">
        <f t="shared" si="30"/>
        <v/>
      </c>
      <c r="R137" s="19"/>
      <c r="T137" s="37" t="str">
        <f t="shared" si="31"/>
        <v/>
      </c>
      <c r="U137" s="37" t="str">
        <f t="shared" si="40"/>
        <v/>
      </c>
      <c r="W137" s="31" t="str">
        <f t="shared" si="43"/>
        <v/>
      </c>
      <c r="X137" s="31" t="str">
        <f t="shared" si="44"/>
        <v/>
      </c>
      <c r="Y137" s="34">
        <f t="shared" si="41"/>
        <v>1</v>
      </c>
      <c r="Z137" s="31">
        <f t="shared" si="32"/>
        <v>0</v>
      </c>
      <c r="AA137" s="66">
        <f t="shared" si="33"/>
        <v>0</v>
      </c>
      <c r="AB137" s="6" t="str">
        <f t="shared" si="34"/>
        <v/>
      </c>
      <c r="AC137" s="48">
        <f t="shared" si="45"/>
        <v>0</v>
      </c>
    </row>
    <row r="138" spans="3:29" x14ac:dyDescent="0.25">
      <c r="C138" s="27" t="str">
        <f t="shared" si="35"/>
        <v/>
      </c>
      <c r="D138" s="30" t="str">
        <f t="shared" si="36"/>
        <v/>
      </c>
      <c r="E138" s="20" t="str">
        <f t="shared" si="23"/>
        <v/>
      </c>
      <c r="F138" s="20" t="str">
        <f t="shared" si="24"/>
        <v/>
      </c>
      <c r="G138" s="24" t="str">
        <f t="shared" si="37"/>
        <v/>
      </c>
      <c r="H138" s="21" t="str">
        <f t="shared" si="25"/>
        <v/>
      </c>
      <c r="I138" s="66" t="str">
        <f t="shared" si="26"/>
        <v/>
      </c>
      <c r="J138" s="66" t="str">
        <f t="shared" si="27"/>
        <v/>
      </c>
      <c r="K138" s="11" t="str">
        <f t="shared" si="28"/>
        <v/>
      </c>
      <c r="L138" s="23" t="str">
        <f t="shared" si="42"/>
        <v/>
      </c>
      <c r="M138" s="100"/>
      <c r="N138" s="23" t="str">
        <f t="shared" si="29"/>
        <v/>
      </c>
      <c r="O138" s="23" t="str">
        <f t="shared" si="38"/>
        <v/>
      </c>
      <c r="P138" s="23" t="str">
        <f t="shared" si="39"/>
        <v/>
      </c>
      <c r="Q138" s="19" t="str">
        <f t="shared" si="30"/>
        <v/>
      </c>
      <c r="R138" s="19"/>
      <c r="T138" s="37" t="str">
        <f t="shared" si="31"/>
        <v/>
      </c>
      <c r="U138" s="37" t="str">
        <f t="shared" si="40"/>
        <v/>
      </c>
      <c r="W138" s="31" t="str">
        <f t="shared" si="43"/>
        <v/>
      </c>
      <c r="X138" s="31" t="str">
        <f t="shared" si="44"/>
        <v/>
      </c>
      <c r="Y138" s="34">
        <f t="shared" si="41"/>
        <v>1</v>
      </c>
      <c r="Z138" s="31">
        <f t="shared" si="32"/>
        <v>0</v>
      </c>
      <c r="AA138" s="66">
        <f t="shared" si="33"/>
        <v>0</v>
      </c>
      <c r="AB138" s="6" t="str">
        <f t="shared" si="34"/>
        <v/>
      </c>
      <c r="AC138" s="48">
        <f t="shared" si="45"/>
        <v>0</v>
      </c>
    </row>
    <row r="139" spans="3:29" x14ac:dyDescent="0.25">
      <c r="C139" s="27" t="str">
        <f t="shared" si="35"/>
        <v/>
      </c>
      <c r="D139" s="30" t="str">
        <f t="shared" si="36"/>
        <v/>
      </c>
      <c r="E139" s="20" t="str">
        <f t="shared" si="23"/>
        <v/>
      </c>
      <c r="F139" s="20" t="str">
        <f t="shared" si="24"/>
        <v/>
      </c>
      <c r="G139" s="24" t="str">
        <f t="shared" si="37"/>
        <v/>
      </c>
      <c r="H139" s="21" t="str">
        <f t="shared" si="25"/>
        <v/>
      </c>
      <c r="I139" s="66" t="str">
        <f t="shared" si="26"/>
        <v/>
      </c>
      <c r="J139" s="66" t="str">
        <f t="shared" si="27"/>
        <v/>
      </c>
      <c r="K139" s="11" t="str">
        <f t="shared" si="28"/>
        <v/>
      </c>
      <c r="L139" s="23" t="str">
        <f t="shared" si="42"/>
        <v/>
      </c>
      <c r="M139" s="100"/>
      <c r="N139" s="23" t="str">
        <f t="shared" si="29"/>
        <v/>
      </c>
      <c r="O139" s="23" t="str">
        <f t="shared" si="38"/>
        <v/>
      </c>
      <c r="P139" s="23" t="str">
        <f t="shared" si="39"/>
        <v/>
      </c>
      <c r="Q139" s="19" t="str">
        <f t="shared" si="30"/>
        <v/>
      </c>
      <c r="R139" s="19"/>
      <c r="T139" s="37" t="str">
        <f t="shared" si="31"/>
        <v/>
      </c>
      <c r="U139" s="37" t="str">
        <f t="shared" si="40"/>
        <v/>
      </c>
      <c r="W139" s="31" t="str">
        <f t="shared" si="43"/>
        <v/>
      </c>
      <c r="X139" s="31" t="str">
        <f t="shared" si="44"/>
        <v/>
      </c>
      <c r="Y139" s="34">
        <f t="shared" si="41"/>
        <v>1</v>
      </c>
      <c r="Z139" s="31">
        <f t="shared" si="32"/>
        <v>0</v>
      </c>
      <c r="AA139" s="66">
        <f t="shared" si="33"/>
        <v>0</v>
      </c>
      <c r="AB139" s="6" t="str">
        <f t="shared" si="34"/>
        <v/>
      </c>
      <c r="AC139" s="48">
        <f t="shared" si="45"/>
        <v>0</v>
      </c>
    </row>
    <row r="140" spans="3:29" x14ac:dyDescent="0.25">
      <c r="C140" s="27" t="str">
        <f t="shared" si="35"/>
        <v/>
      </c>
      <c r="D140" s="30" t="str">
        <f t="shared" si="36"/>
        <v/>
      </c>
      <c r="E140" s="20" t="str">
        <f t="shared" si="23"/>
        <v/>
      </c>
      <c r="F140" s="20" t="str">
        <f t="shared" si="24"/>
        <v/>
      </c>
      <c r="G140" s="24" t="str">
        <f t="shared" si="37"/>
        <v/>
      </c>
      <c r="H140" s="21" t="str">
        <f t="shared" si="25"/>
        <v/>
      </c>
      <c r="I140" s="66" t="str">
        <f t="shared" si="26"/>
        <v/>
      </c>
      <c r="J140" s="66" t="str">
        <f t="shared" si="27"/>
        <v/>
      </c>
      <c r="K140" s="11" t="str">
        <f t="shared" si="28"/>
        <v/>
      </c>
      <c r="L140" s="23" t="str">
        <f t="shared" si="42"/>
        <v/>
      </c>
      <c r="M140" s="100"/>
      <c r="N140" s="23" t="str">
        <f t="shared" si="29"/>
        <v/>
      </c>
      <c r="O140" s="23" t="str">
        <f t="shared" si="38"/>
        <v/>
      </c>
      <c r="P140" s="23" t="str">
        <f t="shared" si="39"/>
        <v/>
      </c>
      <c r="Q140" s="19" t="str">
        <f t="shared" si="30"/>
        <v/>
      </c>
      <c r="R140" s="19"/>
      <c r="T140" s="37" t="str">
        <f t="shared" si="31"/>
        <v/>
      </c>
      <c r="U140" s="37" t="str">
        <f t="shared" si="40"/>
        <v/>
      </c>
      <c r="W140" s="31" t="str">
        <f t="shared" si="43"/>
        <v/>
      </c>
      <c r="X140" s="31" t="str">
        <f t="shared" si="44"/>
        <v/>
      </c>
      <c r="Y140" s="34">
        <f t="shared" si="41"/>
        <v>1</v>
      </c>
      <c r="Z140" s="31">
        <f t="shared" si="32"/>
        <v>0</v>
      </c>
      <c r="AA140" s="66">
        <f t="shared" si="33"/>
        <v>0</v>
      </c>
      <c r="AB140" s="6" t="str">
        <f t="shared" si="34"/>
        <v/>
      </c>
      <c r="AC140" s="48">
        <f t="shared" si="45"/>
        <v>0</v>
      </c>
    </row>
    <row r="141" spans="3:29" x14ac:dyDescent="0.25">
      <c r="C141" s="27" t="str">
        <f t="shared" si="35"/>
        <v/>
      </c>
      <c r="D141" s="30" t="str">
        <f t="shared" si="36"/>
        <v/>
      </c>
      <c r="E141" s="20" t="str">
        <f t="shared" si="23"/>
        <v/>
      </c>
      <c r="F141" s="20" t="str">
        <f t="shared" si="24"/>
        <v/>
      </c>
      <c r="G141" s="24" t="str">
        <f t="shared" si="37"/>
        <v/>
      </c>
      <c r="H141" s="21" t="str">
        <f t="shared" si="25"/>
        <v/>
      </c>
      <c r="I141" s="66" t="str">
        <f t="shared" si="26"/>
        <v/>
      </c>
      <c r="J141" s="66" t="str">
        <f t="shared" si="27"/>
        <v/>
      </c>
      <c r="K141" s="11" t="str">
        <f t="shared" si="28"/>
        <v/>
      </c>
      <c r="L141" s="23" t="str">
        <f t="shared" si="42"/>
        <v/>
      </c>
      <c r="M141" s="100"/>
      <c r="N141" s="23" t="str">
        <f t="shared" si="29"/>
        <v/>
      </c>
      <c r="O141" s="23" t="str">
        <f t="shared" si="38"/>
        <v/>
      </c>
      <c r="P141" s="23" t="str">
        <f t="shared" si="39"/>
        <v/>
      </c>
      <c r="Q141" s="19" t="str">
        <f t="shared" si="30"/>
        <v/>
      </c>
      <c r="R141" s="19"/>
      <c r="T141" s="37" t="str">
        <f t="shared" si="31"/>
        <v/>
      </c>
      <c r="U141" s="37" t="str">
        <f t="shared" si="40"/>
        <v/>
      </c>
      <c r="W141" s="31" t="str">
        <f t="shared" si="43"/>
        <v/>
      </c>
      <c r="X141" s="31" t="str">
        <f t="shared" si="44"/>
        <v/>
      </c>
      <c r="Y141" s="34">
        <f t="shared" si="41"/>
        <v>1</v>
      </c>
      <c r="Z141" s="31">
        <f t="shared" si="32"/>
        <v>0</v>
      </c>
      <c r="AA141" s="66">
        <f t="shared" si="33"/>
        <v>0</v>
      </c>
      <c r="AB141" s="6" t="str">
        <f t="shared" si="34"/>
        <v/>
      </c>
      <c r="AC141" s="48">
        <f>AC140+$M$17</f>
        <v>0</v>
      </c>
    </row>
    <row r="142" spans="3:29" x14ac:dyDescent="0.25">
      <c r="C142" s="27" t="str">
        <f t="shared" si="35"/>
        <v/>
      </c>
      <c r="D142" s="30" t="str">
        <f t="shared" si="36"/>
        <v/>
      </c>
      <c r="E142" s="20" t="str">
        <f t="shared" si="23"/>
        <v/>
      </c>
      <c r="F142" s="20" t="str">
        <f t="shared" si="24"/>
        <v/>
      </c>
      <c r="G142" s="24" t="str">
        <f t="shared" si="37"/>
        <v/>
      </c>
      <c r="H142" s="21" t="str">
        <f t="shared" si="25"/>
        <v/>
      </c>
      <c r="I142" s="66" t="str">
        <f t="shared" si="26"/>
        <v/>
      </c>
      <c r="J142" s="66" t="str">
        <f t="shared" si="27"/>
        <v/>
      </c>
      <c r="K142" s="11" t="str">
        <f t="shared" si="28"/>
        <v/>
      </c>
      <c r="L142" s="23" t="str">
        <f t="shared" si="42"/>
        <v/>
      </c>
      <c r="M142" s="100"/>
      <c r="N142" s="23" t="str">
        <f t="shared" si="29"/>
        <v/>
      </c>
      <c r="O142" s="23" t="str">
        <f t="shared" si="38"/>
        <v/>
      </c>
      <c r="P142" s="23" t="str">
        <f t="shared" si="39"/>
        <v/>
      </c>
      <c r="Q142" s="19" t="str">
        <f t="shared" si="30"/>
        <v/>
      </c>
      <c r="R142" s="19"/>
      <c r="T142" s="37" t="str">
        <f t="shared" si="31"/>
        <v/>
      </c>
      <c r="U142" s="37" t="str">
        <f t="shared" si="40"/>
        <v/>
      </c>
      <c r="W142" s="31" t="str">
        <f t="shared" si="43"/>
        <v/>
      </c>
      <c r="X142" s="31" t="str">
        <f t="shared" si="44"/>
        <v/>
      </c>
      <c r="Y142" s="34">
        <f t="shared" si="41"/>
        <v>1</v>
      </c>
      <c r="Z142" s="31">
        <f t="shared" si="32"/>
        <v>0</v>
      </c>
      <c r="AA142" s="66">
        <f t="shared" si="33"/>
        <v>0</v>
      </c>
      <c r="AB142" s="6" t="str">
        <f t="shared" si="34"/>
        <v/>
      </c>
      <c r="AC142" s="48">
        <f t="shared" si="45"/>
        <v>0</v>
      </c>
    </row>
    <row r="143" spans="3:29" x14ac:dyDescent="0.25">
      <c r="C143" s="27" t="str">
        <f t="shared" si="35"/>
        <v/>
      </c>
      <c r="D143" s="30" t="str">
        <f t="shared" si="36"/>
        <v/>
      </c>
      <c r="E143" s="20" t="str">
        <f t="shared" si="23"/>
        <v/>
      </c>
      <c r="F143" s="20" t="str">
        <f t="shared" si="24"/>
        <v/>
      </c>
      <c r="G143" s="24" t="str">
        <f t="shared" si="37"/>
        <v/>
      </c>
      <c r="H143" s="21" t="str">
        <f t="shared" si="25"/>
        <v/>
      </c>
      <c r="I143" s="66" t="str">
        <f t="shared" si="26"/>
        <v/>
      </c>
      <c r="J143" s="66" t="str">
        <f t="shared" si="27"/>
        <v/>
      </c>
      <c r="K143" s="11" t="str">
        <f t="shared" si="28"/>
        <v/>
      </c>
      <c r="L143" s="23" t="str">
        <f t="shared" si="42"/>
        <v/>
      </c>
      <c r="M143" s="100"/>
      <c r="N143" s="23" t="str">
        <f t="shared" si="29"/>
        <v/>
      </c>
      <c r="O143" s="23" t="str">
        <f t="shared" si="38"/>
        <v/>
      </c>
      <c r="P143" s="23" t="str">
        <f t="shared" si="39"/>
        <v/>
      </c>
      <c r="Q143" s="19" t="str">
        <f t="shared" si="30"/>
        <v/>
      </c>
      <c r="R143" s="19"/>
      <c r="T143" s="37" t="str">
        <f t="shared" si="31"/>
        <v/>
      </c>
      <c r="U143" s="37" t="str">
        <f t="shared" si="40"/>
        <v/>
      </c>
      <c r="W143" s="31" t="str">
        <f t="shared" si="43"/>
        <v/>
      </c>
      <c r="X143" s="31" t="str">
        <f t="shared" si="44"/>
        <v/>
      </c>
      <c r="Y143" s="34">
        <f t="shared" si="41"/>
        <v>1</v>
      </c>
      <c r="Z143" s="31">
        <f t="shared" si="32"/>
        <v>0</v>
      </c>
      <c r="AA143" s="66">
        <f t="shared" si="33"/>
        <v>0</v>
      </c>
      <c r="AB143" s="6" t="str">
        <f t="shared" si="34"/>
        <v/>
      </c>
      <c r="AC143" s="48">
        <f t="shared" si="45"/>
        <v>0</v>
      </c>
    </row>
    <row r="144" spans="3:29" x14ac:dyDescent="0.25">
      <c r="C144" s="27" t="str">
        <f t="shared" si="35"/>
        <v/>
      </c>
      <c r="D144" s="30" t="str">
        <f t="shared" si="36"/>
        <v/>
      </c>
      <c r="E144" s="20" t="str">
        <f t="shared" si="23"/>
        <v/>
      </c>
      <c r="F144" s="20" t="str">
        <f t="shared" si="24"/>
        <v/>
      </c>
      <c r="G144" s="24" t="str">
        <f t="shared" si="37"/>
        <v/>
      </c>
      <c r="H144" s="21" t="str">
        <f t="shared" si="25"/>
        <v/>
      </c>
      <c r="I144" s="66" t="str">
        <f t="shared" si="26"/>
        <v/>
      </c>
      <c r="J144" s="66" t="str">
        <f t="shared" si="27"/>
        <v/>
      </c>
      <c r="K144" s="11" t="str">
        <f t="shared" si="28"/>
        <v/>
      </c>
      <c r="L144" s="23" t="str">
        <f t="shared" si="42"/>
        <v/>
      </c>
      <c r="M144" s="100"/>
      <c r="N144" s="23" t="str">
        <f t="shared" si="29"/>
        <v/>
      </c>
      <c r="O144" s="23" t="str">
        <f t="shared" si="38"/>
        <v/>
      </c>
      <c r="P144" s="23" t="str">
        <f t="shared" si="39"/>
        <v/>
      </c>
      <c r="Q144" s="19" t="str">
        <f t="shared" si="30"/>
        <v/>
      </c>
      <c r="R144" s="19"/>
      <c r="T144" s="37" t="str">
        <f t="shared" si="31"/>
        <v/>
      </c>
      <c r="U144" s="37" t="str">
        <f t="shared" si="40"/>
        <v/>
      </c>
      <c r="W144" s="31" t="str">
        <f t="shared" si="43"/>
        <v/>
      </c>
      <c r="X144" s="31" t="str">
        <f t="shared" si="44"/>
        <v/>
      </c>
      <c r="Y144" s="34">
        <f t="shared" si="41"/>
        <v>1</v>
      </c>
      <c r="Z144" s="31">
        <f t="shared" si="32"/>
        <v>0</v>
      </c>
      <c r="AA144" s="66">
        <f t="shared" si="33"/>
        <v>0</v>
      </c>
      <c r="AB144" s="6" t="str">
        <f t="shared" si="34"/>
        <v/>
      </c>
      <c r="AC144" s="48">
        <f t="shared" si="45"/>
        <v>0</v>
      </c>
    </row>
    <row r="145" spans="3:29" x14ac:dyDescent="0.25">
      <c r="C145" s="27" t="str">
        <f t="shared" si="35"/>
        <v/>
      </c>
      <c r="D145" s="30" t="str">
        <f t="shared" si="36"/>
        <v/>
      </c>
      <c r="E145" s="20" t="str">
        <f t="shared" si="23"/>
        <v/>
      </c>
      <c r="F145" s="20" t="str">
        <f t="shared" si="24"/>
        <v/>
      </c>
      <c r="G145" s="24" t="str">
        <f t="shared" si="37"/>
        <v/>
      </c>
      <c r="H145" s="21" t="str">
        <f t="shared" si="25"/>
        <v/>
      </c>
      <c r="I145" s="66" t="str">
        <f t="shared" si="26"/>
        <v/>
      </c>
      <c r="J145" s="66" t="str">
        <f t="shared" si="27"/>
        <v/>
      </c>
      <c r="K145" s="11" t="str">
        <f t="shared" si="28"/>
        <v/>
      </c>
      <c r="L145" s="23" t="str">
        <f t="shared" si="42"/>
        <v/>
      </c>
      <c r="M145" s="100"/>
      <c r="N145" s="23" t="str">
        <f t="shared" si="29"/>
        <v/>
      </c>
      <c r="O145" s="23" t="str">
        <f t="shared" si="38"/>
        <v/>
      </c>
      <c r="P145" s="23" t="str">
        <f t="shared" si="39"/>
        <v/>
      </c>
      <c r="Q145" s="19" t="str">
        <f t="shared" si="30"/>
        <v/>
      </c>
      <c r="R145" s="19"/>
      <c r="T145" s="37" t="str">
        <f t="shared" si="31"/>
        <v/>
      </c>
      <c r="U145" s="37" t="str">
        <f t="shared" si="40"/>
        <v/>
      </c>
      <c r="W145" s="31" t="str">
        <f t="shared" si="43"/>
        <v/>
      </c>
      <c r="X145" s="31" t="str">
        <f t="shared" si="44"/>
        <v/>
      </c>
      <c r="Y145" s="34">
        <f t="shared" si="41"/>
        <v>1</v>
      </c>
      <c r="Z145" s="31">
        <f t="shared" si="32"/>
        <v>0</v>
      </c>
      <c r="AA145" s="66">
        <f t="shared" si="33"/>
        <v>0</v>
      </c>
      <c r="AB145" s="6" t="str">
        <f t="shared" si="34"/>
        <v/>
      </c>
      <c r="AC145" s="48">
        <f t="shared" si="45"/>
        <v>0</v>
      </c>
    </row>
    <row r="146" spans="3:29" x14ac:dyDescent="0.25">
      <c r="C146" s="27" t="str">
        <f t="shared" si="35"/>
        <v/>
      </c>
      <c r="D146" s="30" t="str">
        <f t="shared" si="36"/>
        <v/>
      </c>
      <c r="E146" s="20" t="str">
        <f t="shared" si="23"/>
        <v/>
      </c>
      <c r="F146" s="20" t="str">
        <f t="shared" si="24"/>
        <v/>
      </c>
      <c r="G146" s="24" t="str">
        <f t="shared" si="37"/>
        <v/>
      </c>
      <c r="H146" s="21" t="str">
        <f t="shared" si="25"/>
        <v/>
      </c>
      <c r="I146" s="66" t="str">
        <f t="shared" si="26"/>
        <v/>
      </c>
      <c r="J146" s="66" t="str">
        <f t="shared" si="27"/>
        <v/>
      </c>
      <c r="K146" s="11" t="str">
        <f t="shared" si="28"/>
        <v/>
      </c>
      <c r="L146" s="23" t="str">
        <f t="shared" si="42"/>
        <v/>
      </c>
      <c r="M146" s="100"/>
      <c r="N146" s="23" t="str">
        <f t="shared" si="29"/>
        <v/>
      </c>
      <c r="O146" s="23" t="str">
        <f t="shared" si="38"/>
        <v/>
      </c>
      <c r="P146" s="23" t="str">
        <f t="shared" si="39"/>
        <v/>
      </c>
      <c r="Q146" s="19" t="str">
        <f t="shared" si="30"/>
        <v/>
      </c>
      <c r="R146" s="19"/>
      <c r="T146" s="37" t="str">
        <f t="shared" si="31"/>
        <v/>
      </c>
      <c r="U146" s="37" t="str">
        <f t="shared" si="40"/>
        <v/>
      </c>
      <c r="W146" s="31" t="str">
        <f t="shared" si="43"/>
        <v/>
      </c>
      <c r="X146" s="31" t="str">
        <f t="shared" si="44"/>
        <v/>
      </c>
      <c r="Y146" s="34">
        <f t="shared" si="41"/>
        <v>1</v>
      </c>
      <c r="Z146" s="31">
        <f t="shared" si="32"/>
        <v>0</v>
      </c>
      <c r="AA146" s="66">
        <f t="shared" si="33"/>
        <v>0</v>
      </c>
      <c r="AB146" s="6" t="str">
        <f t="shared" si="34"/>
        <v/>
      </c>
      <c r="AC146" s="48">
        <f t="shared" si="45"/>
        <v>0</v>
      </c>
    </row>
    <row r="147" spans="3:29" x14ac:dyDescent="0.25">
      <c r="C147" s="27" t="str">
        <f t="shared" si="35"/>
        <v/>
      </c>
      <c r="D147" s="30" t="str">
        <f t="shared" si="36"/>
        <v/>
      </c>
      <c r="E147" s="20" t="str">
        <f t="shared" si="23"/>
        <v/>
      </c>
      <c r="F147" s="20" t="str">
        <f t="shared" si="24"/>
        <v/>
      </c>
      <c r="G147" s="24" t="str">
        <f t="shared" si="37"/>
        <v/>
      </c>
      <c r="H147" s="21" t="str">
        <f t="shared" si="25"/>
        <v/>
      </c>
      <c r="I147" s="66" t="str">
        <f t="shared" si="26"/>
        <v/>
      </c>
      <c r="J147" s="66" t="str">
        <f t="shared" si="27"/>
        <v/>
      </c>
      <c r="K147" s="11" t="str">
        <f t="shared" si="28"/>
        <v/>
      </c>
      <c r="L147" s="23" t="str">
        <f t="shared" si="42"/>
        <v/>
      </c>
      <c r="M147" s="100"/>
      <c r="N147" s="23" t="str">
        <f t="shared" si="29"/>
        <v/>
      </c>
      <c r="O147" s="23" t="str">
        <f t="shared" si="38"/>
        <v/>
      </c>
      <c r="P147" s="23" t="str">
        <f t="shared" si="39"/>
        <v/>
      </c>
      <c r="Q147" s="19" t="str">
        <f t="shared" si="30"/>
        <v/>
      </c>
      <c r="R147" s="19"/>
      <c r="T147" s="37" t="str">
        <f t="shared" si="31"/>
        <v/>
      </c>
      <c r="U147" s="37" t="str">
        <f t="shared" si="40"/>
        <v/>
      </c>
      <c r="W147" s="31" t="str">
        <f t="shared" si="43"/>
        <v/>
      </c>
      <c r="X147" s="31" t="str">
        <f t="shared" si="44"/>
        <v/>
      </c>
      <c r="Y147" s="34">
        <f t="shared" si="41"/>
        <v>1</v>
      </c>
      <c r="Z147" s="31">
        <f t="shared" si="32"/>
        <v>0</v>
      </c>
      <c r="AA147" s="66">
        <f t="shared" si="33"/>
        <v>0</v>
      </c>
      <c r="AB147" s="6" t="str">
        <f t="shared" si="34"/>
        <v/>
      </c>
      <c r="AC147" s="48">
        <f t="shared" si="45"/>
        <v>0</v>
      </c>
    </row>
    <row r="148" spans="3:29" x14ac:dyDescent="0.25">
      <c r="C148" s="27" t="str">
        <f t="shared" si="35"/>
        <v/>
      </c>
      <c r="D148" s="30" t="str">
        <f t="shared" si="36"/>
        <v/>
      </c>
      <c r="E148" s="20" t="str">
        <f t="shared" si="23"/>
        <v/>
      </c>
      <c r="F148" s="20" t="str">
        <f t="shared" si="24"/>
        <v/>
      </c>
      <c r="G148" s="24" t="str">
        <f t="shared" si="37"/>
        <v/>
      </c>
      <c r="H148" s="21" t="str">
        <f t="shared" si="25"/>
        <v/>
      </c>
      <c r="I148" s="66" t="str">
        <f t="shared" si="26"/>
        <v/>
      </c>
      <c r="J148" s="66" t="str">
        <f t="shared" si="27"/>
        <v/>
      </c>
      <c r="K148" s="11" t="str">
        <f t="shared" si="28"/>
        <v/>
      </c>
      <c r="L148" s="23" t="str">
        <f t="shared" si="42"/>
        <v/>
      </c>
      <c r="M148" s="100"/>
      <c r="N148" s="23" t="str">
        <f t="shared" si="29"/>
        <v/>
      </c>
      <c r="O148" s="23" t="str">
        <f t="shared" si="38"/>
        <v/>
      </c>
      <c r="P148" s="23" t="str">
        <f t="shared" si="39"/>
        <v/>
      </c>
      <c r="Q148" s="19" t="str">
        <f t="shared" si="30"/>
        <v/>
      </c>
      <c r="R148" s="19"/>
      <c r="T148" s="37" t="str">
        <f t="shared" si="31"/>
        <v/>
      </c>
      <c r="U148" s="37" t="str">
        <f t="shared" si="40"/>
        <v/>
      </c>
      <c r="W148" s="31" t="str">
        <f t="shared" si="43"/>
        <v/>
      </c>
      <c r="X148" s="31" t="str">
        <f t="shared" si="44"/>
        <v/>
      </c>
      <c r="Y148" s="34">
        <f t="shared" si="41"/>
        <v>1</v>
      </c>
      <c r="Z148" s="31">
        <f t="shared" si="32"/>
        <v>0</v>
      </c>
      <c r="AA148" s="66">
        <f t="shared" si="33"/>
        <v>0</v>
      </c>
      <c r="AB148" s="6" t="str">
        <f t="shared" si="34"/>
        <v/>
      </c>
      <c r="AC148" s="48">
        <f t="shared" si="45"/>
        <v>0</v>
      </c>
    </row>
    <row r="149" spans="3:29" x14ac:dyDescent="0.25">
      <c r="C149" s="27" t="str">
        <f t="shared" si="35"/>
        <v/>
      </c>
      <c r="D149" s="30" t="str">
        <f t="shared" si="36"/>
        <v/>
      </c>
      <c r="E149" s="20" t="str">
        <f t="shared" ref="E149:E200" si="46">IF(C149="","",MIN(IF($E$16="Mensualidad",-PMT(Q149/12,$E$15*12-C148,D149)-F149,-PMT(Q149/12,$E$15*12,$J$9)-F149),D149))</f>
        <v/>
      </c>
      <c r="F149" s="20" t="str">
        <f t="shared" ref="F149:F200" si="47">IF(C149="","",D149*(Q149/12))</f>
        <v/>
      </c>
      <c r="G149" s="24" t="str">
        <f t="shared" si="37"/>
        <v/>
      </c>
      <c r="H149" s="21" t="str">
        <f t="shared" ref="H149:H200" si="48">IF(C149="","",IF((($J$8*0.8)*($N$12/1.16))&gt;L148*($N$12/1.16),($J$8*0.8)*($N$12/1.16),($N$12/1.16)*L148)/1000)</f>
        <v/>
      </c>
      <c r="I149" s="66" t="str">
        <f t="shared" ref="I149:I200" si="49">IF($D$17="SI",0,IF(D149="","",$N$15))</f>
        <v/>
      </c>
      <c r="J149" s="66" t="str">
        <f t="shared" ref="J149:J200" si="50">IFERROR(IF($E$8="Liquidez",F149*0.16,""),"")</f>
        <v/>
      </c>
      <c r="K149" s="11" t="str">
        <f t="shared" ref="K149:K200" si="51">IFERROR(IF(C149="","",E149+F149+G149+H149+I149+J149),0)</f>
        <v/>
      </c>
      <c r="L149" s="23" t="str">
        <f t="shared" si="42"/>
        <v/>
      </c>
      <c r="M149" s="100"/>
      <c r="N149" s="23" t="str">
        <f t="shared" ref="N149:N200" si="52">IF(C149="","",IF(M149="",0,M149-O149-P149))</f>
        <v/>
      </c>
      <c r="O149" s="23" t="str">
        <f t="shared" si="38"/>
        <v/>
      </c>
      <c r="P149" s="23" t="str">
        <f t="shared" si="39"/>
        <v/>
      </c>
      <c r="Q149" s="19" t="str">
        <f t="shared" ref="Q149:Q200" si="53">IF(C149="","",$J$10)</f>
        <v/>
      </c>
      <c r="R149" s="19"/>
      <c r="T149" s="37" t="str">
        <f t="shared" ref="T149:T200" si="54">IF(C149="","",1)</f>
        <v/>
      </c>
      <c r="U149" s="37" t="str">
        <f t="shared" si="40"/>
        <v/>
      </c>
      <c r="W149" s="31" t="str">
        <f t="shared" si="43"/>
        <v/>
      </c>
      <c r="X149" s="31" t="str">
        <f t="shared" si="44"/>
        <v/>
      </c>
      <c r="Y149" s="34">
        <f t="shared" si="41"/>
        <v>1</v>
      </c>
      <c r="Z149" s="31">
        <f t="shared" ref="Z149:Z200" si="55">IF($AA$20=0,0,IF(N149&gt;AA148,MAX(0,N149-AA148),N149))</f>
        <v>0</v>
      </c>
      <c r="AA149" s="66">
        <f t="shared" ref="AA149:AA200" si="56">IFERROR(MAX(0,AA148-N149),0)</f>
        <v>0</v>
      </c>
      <c r="AB149" s="6" t="str">
        <f t="shared" ref="AB149:AB200" si="57">IF($D$17="NO",N149,IF(AA149&gt;0,0,Z149))</f>
        <v/>
      </c>
      <c r="AC149" s="48">
        <f t="shared" si="45"/>
        <v>0</v>
      </c>
    </row>
    <row r="150" spans="3:29" x14ac:dyDescent="0.25">
      <c r="C150" s="27" t="str">
        <f t="shared" ref="C150:C200" si="58">IF(OR(C149="",L149&lt;=0),"",IF(C149+1&lt;=E$15*12,C149+1,""))</f>
        <v/>
      </c>
      <c r="D150" s="30" t="str">
        <f t="shared" ref="D150:D200" si="59">IF(L149&lt;=0,"",L149)</f>
        <v/>
      </c>
      <c r="E150" s="20" t="str">
        <f t="shared" si="46"/>
        <v/>
      </c>
      <c r="F150" s="20" t="str">
        <f t="shared" si="47"/>
        <v/>
      </c>
      <c r="G150" s="24" t="str">
        <f t="shared" ref="G150:G200" si="60">IF(C150="","",L$12*L149/1000)</f>
        <v/>
      </c>
      <c r="H150" s="21" t="str">
        <f t="shared" si="48"/>
        <v/>
      </c>
      <c r="I150" s="66" t="str">
        <f t="shared" si="49"/>
        <v/>
      </c>
      <c r="J150" s="66" t="str">
        <f t="shared" si="50"/>
        <v/>
      </c>
      <c r="K150" s="11" t="str">
        <f t="shared" si="51"/>
        <v/>
      </c>
      <c r="L150" s="23" t="str">
        <f t="shared" si="42"/>
        <v/>
      </c>
      <c r="M150" s="100"/>
      <c r="N150" s="23" t="str">
        <f t="shared" si="52"/>
        <v/>
      </c>
      <c r="O150" s="23" t="str">
        <f t="shared" ref="O150:O200" si="61">IF(C150="","",M150*$J$12)</f>
        <v/>
      </c>
      <c r="P150" s="23" t="str">
        <f t="shared" ref="P150:P200" si="62">IF(C150="","",(M150*$J$12)*0.16)</f>
        <v/>
      </c>
      <c r="Q150" s="19" t="str">
        <f t="shared" si="53"/>
        <v/>
      </c>
      <c r="R150" s="19"/>
      <c r="T150" s="37" t="str">
        <f t="shared" si="54"/>
        <v/>
      </c>
      <c r="U150" s="37" t="str">
        <f t="shared" ref="U150:U200" si="63">C150</f>
        <v/>
      </c>
      <c r="W150" s="31" t="str">
        <f t="shared" si="43"/>
        <v/>
      </c>
      <c r="X150" s="31" t="str">
        <f t="shared" si="44"/>
        <v/>
      </c>
      <c r="Y150" s="34">
        <f t="shared" ref="Y150:Y200" si="64">Y149</f>
        <v>1</v>
      </c>
      <c r="Z150" s="31">
        <f t="shared" si="55"/>
        <v>0</v>
      </c>
      <c r="AA150" s="66">
        <f t="shared" si="56"/>
        <v>0</v>
      </c>
      <c r="AB150" s="6" t="str">
        <f t="shared" si="57"/>
        <v/>
      </c>
      <c r="AC150" s="48">
        <f t="shared" si="45"/>
        <v>0</v>
      </c>
    </row>
    <row r="151" spans="3:29" x14ac:dyDescent="0.25">
      <c r="C151" s="27" t="str">
        <f t="shared" si="58"/>
        <v/>
      </c>
      <c r="D151" s="30" t="str">
        <f t="shared" si="59"/>
        <v/>
      </c>
      <c r="E151" s="20" t="str">
        <f t="shared" si="46"/>
        <v/>
      </c>
      <c r="F151" s="20" t="str">
        <f t="shared" si="47"/>
        <v/>
      </c>
      <c r="G151" s="24" t="str">
        <f t="shared" si="60"/>
        <v/>
      </c>
      <c r="H151" s="21" t="str">
        <f t="shared" si="48"/>
        <v/>
      </c>
      <c r="I151" s="66" t="str">
        <f t="shared" si="49"/>
        <v/>
      </c>
      <c r="J151" s="66" t="str">
        <f t="shared" si="50"/>
        <v/>
      </c>
      <c r="K151" s="11" t="str">
        <f t="shared" si="51"/>
        <v/>
      </c>
      <c r="L151" s="23" t="str">
        <f t="shared" ref="L151:L200" si="65">IFERROR(IF(C151="","",IF((D151-E151-AB151)&lt;1,0,D151-E151-AB151)),0)</f>
        <v/>
      </c>
      <c r="M151" s="100"/>
      <c r="N151" s="23" t="str">
        <f t="shared" si="52"/>
        <v/>
      </c>
      <c r="O151" s="23" t="str">
        <f t="shared" si="61"/>
        <v/>
      </c>
      <c r="P151" s="23" t="str">
        <f t="shared" si="62"/>
        <v/>
      </c>
      <c r="Q151" s="19" t="str">
        <f t="shared" si="53"/>
        <v/>
      </c>
      <c r="R151" s="19"/>
      <c r="T151" s="37" t="str">
        <f t="shared" si="54"/>
        <v/>
      </c>
      <c r="U151" s="37" t="str">
        <f t="shared" si="63"/>
        <v/>
      </c>
      <c r="W151" s="31" t="str">
        <f t="shared" si="43"/>
        <v/>
      </c>
      <c r="X151" s="31" t="str">
        <f t="shared" si="44"/>
        <v/>
      </c>
      <c r="Y151" s="34">
        <f t="shared" si="64"/>
        <v>1</v>
      </c>
      <c r="Z151" s="31">
        <f t="shared" si="55"/>
        <v>0</v>
      </c>
      <c r="AA151" s="66">
        <f t="shared" si="56"/>
        <v>0</v>
      </c>
      <c r="AB151" s="6" t="str">
        <f t="shared" si="57"/>
        <v/>
      </c>
      <c r="AC151" s="48">
        <f t="shared" si="45"/>
        <v>0</v>
      </c>
    </row>
    <row r="152" spans="3:29" x14ac:dyDescent="0.25">
      <c r="C152" s="27" t="str">
        <f t="shared" si="58"/>
        <v/>
      </c>
      <c r="D152" s="30" t="str">
        <f t="shared" si="59"/>
        <v/>
      </c>
      <c r="E152" s="20" t="str">
        <f t="shared" si="46"/>
        <v/>
      </c>
      <c r="F152" s="20" t="str">
        <f t="shared" si="47"/>
        <v/>
      </c>
      <c r="G152" s="24" t="str">
        <f t="shared" si="60"/>
        <v/>
      </c>
      <c r="H152" s="21" t="str">
        <f t="shared" si="48"/>
        <v/>
      </c>
      <c r="I152" s="66" t="str">
        <f t="shared" si="49"/>
        <v/>
      </c>
      <c r="J152" s="66" t="str">
        <f t="shared" si="50"/>
        <v/>
      </c>
      <c r="K152" s="11" t="str">
        <f t="shared" si="51"/>
        <v/>
      </c>
      <c r="L152" s="23" t="str">
        <f t="shared" si="65"/>
        <v/>
      </c>
      <c r="M152" s="100"/>
      <c r="N152" s="23" t="str">
        <f t="shared" si="52"/>
        <v/>
      </c>
      <c r="O152" s="23" t="str">
        <f t="shared" si="61"/>
        <v/>
      </c>
      <c r="P152" s="23" t="str">
        <f t="shared" si="62"/>
        <v/>
      </c>
      <c r="Q152" s="19" t="str">
        <f t="shared" si="53"/>
        <v/>
      </c>
      <c r="R152" s="19"/>
      <c r="T152" s="37" t="str">
        <f t="shared" si="54"/>
        <v/>
      </c>
      <c r="U152" s="37" t="str">
        <f t="shared" si="63"/>
        <v/>
      </c>
      <c r="W152" s="31" t="str">
        <f t="shared" si="43"/>
        <v/>
      </c>
      <c r="X152" s="31" t="str">
        <f t="shared" si="44"/>
        <v/>
      </c>
      <c r="Y152" s="34">
        <f t="shared" si="64"/>
        <v>1</v>
      </c>
      <c r="Z152" s="31">
        <f t="shared" si="55"/>
        <v>0</v>
      </c>
      <c r="AA152" s="66">
        <f t="shared" si="56"/>
        <v>0</v>
      </c>
      <c r="AB152" s="6" t="str">
        <f t="shared" si="57"/>
        <v/>
      </c>
      <c r="AC152" s="48">
        <f t="shared" si="45"/>
        <v>0</v>
      </c>
    </row>
    <row r="153" spans="3:29" x14ac:dyDescent="0.25">
      <c r="C153" s="27" t="str">
        <f t="shared" si="58"/>
        <v/>
      </c>
      <c r="D153" s="30" t="str">
        <f t="shared" si="59"/>
        <v/>
      </c>
      <c r="E153" s="20" t="str">
        <f t="shared" si="46"/>
        <v/>
      </c>
      <c r="F153" s="20" t="str">
        <f t="shared" si="47"/>
        <v/>
      </c>
      <c r="G153" s="24" t="str">
        <f t="shared" si="60"/>
        <v/>
      </c>
      <c r="H153" s="21" t="str">
        <f t="shared" si="48"/>
        <v/>
      </c>
      <c r="I153" s="66" t="str">
        <f t="shared" si="49"/>
        <v/>
      </c>
      <c r="J153" s="66" t="str">
        <f t="shared" si="50"/>
        <v/>
      </c>
      <c r="K153" s="11" t="str">
        <f t="shared" si="51"/>
        <v/>
      </c>
      <c r="L153" s="23" t="str">
        <f t="shared" si="65"/>
        <v/>
      </c>
      <c r="M153" s="100"/>
      <c r="N153" s="23" t="str">
        <f t="shared" si="52"/>
        <v/>
      </c>
      <c r="O153" s="23" t="str">
        <f t="shared" si="61"/>
        <v/>
      </c>
      <c r="P153" s="23" t="str">
        <f t="shared" si="62"/>
        <v/>
      </c>
      <c r="Q153" s="19" t="str">
        <f t="shared" si="53"/>
        <v/>
      </c>
      <c r="R153" s="19"/>
      <c r="T153" s="37" t="str">
        <f t="shared" si="54"/>
        <v/>
      </c>
      <c r="U153" s="37" t="str">
        <f t="shared" si="63"/>
        <v/>
      </c>
      <c r="W153" s="31" t="str">
        <f t="shared" si="43"/>
        <v/>
      </c>
      <c r="X153" s="31" t="str">
        <f t="shared" si="44"/>
        <v/>
      </c>
      <c r="Y153" s="34">
        <f t="shared" si="64"/>
        <v>1</v>
      </c>
      <c r="Z153" s="31">
        <f t="shared" si="55"/>
        <v>0</v>
      </c>
      <c r="AA153" s="66">
        <f t="shared" si="56"/>
        <v>0</v>
      </c>
      <c r="AB153" s="6" t="str">
        <f t="shared" si="57"/>
        <v/>
      </c>
      <c r="AC153" s="48">
        <f>AC152+$M$17</f>
        <v>0</v>
      </c>
    </row>
    <row r="154" spans="3:29" x14ac:dyDescent="0.25">
      <c r="C154" s="27" t="str">
        <f t="shared" si="58"/>
        <v/>
      </c>
      <c r="D154" s="30" t="str">
        <f t="shared" si="59"/>
        <v/>
      </c>
      <c r="E154" s="20" t="str">
        <f t="shared" si="46"/>
        <v/>
      </c>
      <c r="F154" s="20" t="str">
        <f t="shared" si="47"/>
        <v/>
      </c>
      <c r="G154" s="24" t="str">
        <f t="shared" si="60"/>
        <v/>
      </c>
      <c r="H154" s="21" t="str">
        <f t="shared" si="48"/>
        <v/>
      </c>
      <c r="I154" s="66" t="str">
        <f t="shared" si="49"/>
        <v/>
      </c>
      <c r="J154" s="66" t="str">
        <f t="shared" si="50"/>
        <v/>
      </c>
      <c r="K154" s="11" t="str">
        <f t="shared" si="51"/>
        <v/>
      </c>
      <c r="L154" s="23" t="str">
        <f t="shared" si="65"/>
        <v/>
      </c>
      <c r="M154" s="100"/>
      <c r="N154" s="23" t="str">
        <f t="shared" si="52"/>
        <v/>
      </c>
      <c r="O154" s="23" t="str">
        <f t="shared" si="61"/>
        <v/>
      </c>
      <c r="P154" s="23" t="str">
        <f t="shared" si="62"/>
        <v/>
      </c>
      <c r="Q154" s="19" t="str">
        <f t="shared" si="53"/>
        <v/>
      </c>
      <c r="R154" s="19"/>
      <c r="T154" s="37" t="str">
        <f t="shared" si="54"/>
        <v/>
      </c>
      <c r="U154" s="37" t="str">
        <f t="shared" si="63"/>
        <v/>
      </c>
      <c r="W154" s="31" t="str">
        <f t="shared" ref="W154:W200" si="66">IF(C154="","",IF(ISNUMBER(U154),PMT(Q154/12,($E$15*12),-$J$9)+G154+H154+AB154/1.16+$N$15,0))</f>
        <v/>
      </c>
      <c r="X154" s="31" t="str">
        <f t="shared" ref="X154:X200" si="67">IF(C154="","",IF(ISNUMBER(U154),PMT(Q154/12,$E$15*12,-$J$9)+G154+AB154+H154/1.16+$N$15,0))</f>
        <v/>
      </c>
      <c r="Y154" s="34">
        <f t="shared" si="64"/>
        <v>1</v>
      </c>
      <c r="Z154" s="31">
        <f t="shared" si="55"/>
        <v>0</v>
      </c>
      <c r="AA154" s="66">
        <f t="shared" si="56"/>
        <v>0</v>
      </c>
      <c r="AB154" s="6" t="str">
        <f t="shared" si="57"/>
        <v/>
      </c>
      <c r="AC154" s="48">
        <f t="shared" si="45"/>
        <v>0</v>
      </c>
    </row>
    <row r="155" spans="3:29" x14ac:dyDescent="0.25">
      <c r="C155" s="27" t="str">
        <f t="shared" si="58"/>
        <v/>
      </c>
      <c r="D155" s="30" t="str">
        <f t="shared" si="59"/>
        <v/>
      </c>
      <c r="E155" s="20" t="str">
        <f t="shared" si="46"/>
        <v/>
      </c>
      <c r="F155" s="20" t="str">
        <f t="shared" si="47"/>
        <v/>
      </c>
      <c r="G155" s="24" t="str">
        <f t="shared" si="60"/>
        <v/>
      </c>
      <c r="H155" s="21" t="str">
        <f t="shared" si="48"/>
        <v/>
      </c>
      <c r="I155" s="66" t="str">
        <f t="shared" si="49"/>
        <v/>
      </c>
      <c r="J155" s="66" t="str">
        <f t="shared" si="50"/>
        <v/>
      </c>
      <c r="K155" s="11" t="str">
        <f t="shared" si="51"/>
        <v/>
      </c>
      <c r="L155" s="23" t="str">
        <f t="shared" si="65"/>
        <v/>
      </c>
      <c r="M155" s="100"/>
      <c r="N155" s="23" t="str">
        <f t="shared" si="52"/>
        <v/>
      </c>
      <c r="O155" s="23" t="str">
        <f t="shared" si="61"/>
        <v/>
      </c>
      <c r="P155" s="23" t="str">
        <f t="shared" si="62"/>
        <v/>
      </c>
      <c r="Q155" s="19" t="str">
        <f t="shared" si="53"/>
        <v/>
      </c>
      <c r="R155" s="19"/>
      <c r="T155" s="37" t="str">
        <f t="shared" si="54"/>
        <v/>
      </c>
      <c r="U155" s="37" t="str">
        <f t="shared" si="63"/>
        <v/>
      </c>
      <c r="W155" s="31" t="str">
        <f t="shared" si="66"/>
        <v/>
      </c>
      <c r="X155" s="31" t="str">
        <f t="shared" si="67"/>
        <v/>
      </c>
      <c r="Y155" s="34">
        <f t="shared" si="64"/>
        <v>1</v>
      </c>
      <c r="Z155" s="31">
        <f t="shared" si="55"/>
        <v>0</v>
      </c>
      <c r="AA155" s="66">
        <f t="shared" si="56"/>
        <v>0</v>
      </c>
      <c r="AB155" s="6" t="str">
        <f t="shared" si="57"/>
        <v/>
      </c>
      <c r="AC155" s="48">
        <f t="shared" si="45"/>
        <v>0</v>
      </c>
    </row>
    <row r="156" spans="3:29" x14ac:dyDescent="0.25">
      <c r="C156" s="27" t="str">
        <f t="shared" si="58"/>
        <v/>
      </c>
      <c r="D156" s="30" t="str">
        <f t="shared" si="59"/>
        <v/>
      </c>
      <c r="E156" s="20" t="str">
        <f t="shared" si="46"/>
        <v/>
      </c>
      <c r="F156" s="20" t="str">
        <f t="shared" si="47"/>
        <v/>
      </c>
      <c r="G156" s="24" t="str">
        <f t="shared" si="60"/>
        <v/>
      </c>
      <c r="H156" s="21" t="str">
        <f t="shared" si="48"/>
        <v/>
      </c>
      <c r="I156" s="66" t="str">
        <f t="shared" si="49"/>
        <v/>
      </c>
      <c r="J156" s="66" t="str">
        <f t="shared" si="50"/>
        <v/>
      </c>
      <c r="K156" s="11" t="str">
        <f t="shared" si="51"/>
        <v/>
      </c>
      <c r="L156" s="23" t="str">
        <f t="shared" si="65"/>
        <v/>
      </c>
      <c r="M156" s="100"/>
      <c r="N156" s="23" t="str">
        <f t="shared" si="52"/>
        <v/>
      </c>
      <c r="O156" s="23" t="str">
        <f t="shared" si="61"/>
        <v/>
      </c>
      <c r="P156" s="23" t="str">
        <f t="shared" si="62"/>
        <v/>
      </c>
      <c r="Q156" s="19" t="str">
        <f t="shared" si="53"/>
        <v/>
      </c>
      <c r="R156" s="19"/>
      <c r="T156" s="37" t="str">
        <f t="shared" si="54"/>
        <v/>
      </c>
      <c r="U156" s="37" t="str">
        <f t="shared" si="63"/>
        <v/>
      </c>
      <c r="W156" s="31" t="str">
        <f t="shared" si="66"/>
        <v/>
      </c>
      <c r="X156" s="31" t="str">
        <f t="shared" si="67"/>
        <v/>
      </c>
      <c r="Y156" s="34">
        <f t="shared" si="64"/>
        <v>1</v>
      </c>
      <c r="Z156" s="31">
        <f t="shared" si="55"/>
        <v>0</v>
      </c>
      <c r="AA156" s="66">
        <f t="shared" si="56"/>
        <v>0</v>
      </c>
      <c r="AB156" s="6" t="str">
        <f t="shared" si="57"/>
        <v/>
      </c>
      <c r="AC156" s="48">
        <f t="shared" si="45"/>
        <v>0</v>
      </c>
    </row>
    <row r="157" spans="3:29" x14ac:dyDescent="0.25">
      <c r="C157" s="27" t="str">
        <f t="shared" si="58"/>
        <v/>
      </c>
      <c r="D157" s="30" t="str">
        <f t="shared" si="59"/>
        <v/>
      </c>
      <c r="E157" s="20" t="str">
        <f t="shared" si="46"/>
        <v/>
      </c>
      <c r="F157" s="20" t="str">
        <f t="shared" si="47"/>
        <v/>
      </c>
      <c r="G157" s="24" t="str">
        <f t="shared" si="60"/>
        <v/>
      </c>
      <c r="H157" s="21" t="str">
        <f t="shared" si="48"/>
        <v/>
      </c>
      <c r="I157" s="66" t="str">
        <f t="shared" si="49"/>
        <v/>
      </c>
      <c r="J157" s="66" t="str">
        <f t="shared" si="50"/>
        <v/>
      </c>
      <c r="K157" s="11" t="str">
        <f t="shared" si="51"/>
        <v/>
      </c>
      <c r="L157" s="23" t="str">
        <f t="shared" si="65"/>
        <v/>
      </c>
      <c r="M157" s="100"/>
      <c r="N157" s="23" t="str">
        <f t="shared" si="52"/>
        <v/>
      </c>
      <c r="O157" s="23" t="str">
        <f t="shared" si="61"/>
        <v/>
      </c>
      <c r="P157" s="23" t="str">
        <f t="shared" si="62"/>
        <v/>
      </c>
      <c r="Q157" s="19" t="str">
        <f t="shared" si="53"/>
        <v/>
      </c>
      <c r="R157" s="19"/>
      <c r="T157" s="37" t="str">
        <f t="shared" si="54"/>
        <v/>
      </c>
      <c r="U157" s="37" t="str">
        <f t="shared" si="63"/>
        <v/>
      </c>
      <c r="W157" s="31" t="str">
        <f t="shared" si="66"/>
        <v/>
      </c>
      <c r="X157" s="31" t="str">
        <f t="shared" si="67"/>
        <v/>
      </c>
      <c r="Y157" s="34">
        <f t="shared" si="64"/>
        <v>1</v>
      </c>
      <c r="Z157" s="31">
        <f t="shared" si="55"/>
        <v>0</v>
      </c>
      <c r="AA157" s="66">
        <f t="shared" si="56"/>
        <v>0</v>
      </c>
      <c r="AB157" s="6" t="str">
        <f t="shared" si="57"/>
        <v/>
      </c>
      <c r="AC157" s="48">
        <f t="shared" si="45"/>
        <v>0</v>
      </c>
    </row>
    <row r="158" spans="3:29" x14ac:dyDescent="0.25">
      <c r="C158" s="27" t="str">
        <f t="shared" si="58"/>
        <v/>
      </c>
      <c r="D158" s="30" t="str">
        <f t="shared" si="59"/>
        <v/>
      </c>
      <c r="E158" s="20" t="str">
        <f t="shared" si="46"/>
        <v/>
      </c>
      <c r="F158" s="20" t="str">
        <f t="shared" si="47"/>
        <v/>
      </c>
      <c r="G158" s="24" t="str">
        <f t="shared" si="60"/>
        <v/>
      </c>
      <c r="H158" s="21" t="str">
        <f t="shared" si="48"/>
        <v/>
      </c>
      <c r="I158" s="66" t="str">
        <f t="shared" si="49"/>
        <v/>
      </c>
      <c r="J158" s="66" t="str">
        <f t="shared" si="50"/>
        <v/>
      </c>
      <c r="K158" s="11" t="str">
        <f t="shared" si="51"/>
        <v/>
      </c>
      <c r="L158" s="23" t="str">
        <f t="shared" si="65"/>
        <v/>
      </c>
      <c r="M158" s="100"/>
      <c r="N158" s="23" t="str">
        <f t="shared" si="52"/>
        <v/>
      </c>
      <c r="O158" s="23" t="str">
        <f t="shared" si="61"/>
        <v/>
      </c>
      <c r="P158" s="23" t="str">
        <f t="shared" si="62"/>
        <v/>
      </c>
      <c r="Q158" s="19" t="str">
        <f t="shared" si="53"/>
        <v/>
      </c>
      <c r="R158" s="19"/>
      <c r="T158" s="37" t="str">
        <f t="shared" si="54"/>
        <v/>
      </c>
      <c r="U158" s="37" t="str">
        <f t="shared" si="63"/>
        <v/>
      </c>
      <c r="W158" s="31" t="str">
        <f t="shared" si="66"/>
        <v/>
      </c>
      <c r="X158" s="31" t="str">
        <f t="shared" si="67"/>
        <v/>
      </c>
      <c r="Y158" s="34">
        <f t="shared" si="64"/>
        <v>1</v>
      </c>
      <c r="Z158" s="31">
        <f t="shared" si="55"/>
        <v>0</v>
      </c>
      <c r="AA158" s="66">
        <f t="shared" si="56"/>
        <v>0</v>
      </c>
      <c r="AB158" s="6" t="str">
        <f t="shared" si="57"/>
        <v/>
      </c>
      <c r="AC158" s="48">
        <f t="shared" si="45"/>
        <v>0</v>
      </c>
    </row>
    <row r="159" spans="3:29" x14ac:dyDescent="0.25">
      <c r="C159" s="27" t="str">
        <f t="shared" si="58"/>
        <v/>
      </c>
      <c r="D159" s="30" t="str">
        <f t="shared" si="59"/>
        <v/>
      </c>
      <c r="E159" s="20" t="str">
        <f t="shared" si="46"/>
        <v/>
      </c>
      <c r="F159" s="20" t="str">
        <f t="shared" si="47"/>
        <v/>
      </c>
      <c r="G159" s="24" t="str">
        <f t="shared" si="60"/>
        <v/>
      </c>
      <c r="H159" s="21" t="str">
        <f t="shared" si="48"/>
        <v/>
      </c>
      <c r="I159" s="66" t="str">
        <f t="shared" si="49"/>
        <v/>
      </c>
      <c r="J159" s="66" t="str">
        <f t="shared" si="50"/>
        <v/>
      </c>
      <c r="K159" s="11" t="str">
        <f t="shared" si="51"/>
        <v/>
      </c>
      <c r="L159" s="23" t="str">
        <f t="shared" si="65"/>
        <v/>
      </c>
      <c r="M159" s="100"/>
      <c r="N159" s="23" t="str">
        <f t="shared" si="52"/>
        <v/>
      </c>
      <c r="O159" s="23" t="str">
        <f t="shared" si="61"/>
        <v/>
      </c>
      <c r="P159" s="23" t="str">
        <f t="shared" si="62"/>
        <v/>
      </c>
      <c r="Q159" s="19" t="str">
        <f t="shared" si="53"/>
        <v/>
      </c>
      <c r="R159" s="19"/>
      <c r="T159" s="37" t="str">
        <f t="shared" si="54"/>
        <v/>
      </c>
      <c r="U159" s="37" t="str">
        <f t="shared" si="63"/>
        <v/>
      </c>
      <c r="W159" s="31" t="str">
        <f t="shared" si="66"/>
        <v/>
      </c>
      <c r="X159" s="31" t="str">
        <f t="shared" si="67"/>
        <v/>
      </c>
      <c r="Y159" s="34">
        <f t="shared" si="64"/>
        <v>1</v>
      </c>
      <c r="Z159" s="31">
        <f t="shared" si="55"/>
        <v>0</v>
      </c>
      <c r="AA159" s="66">
        <f t="shared" si="56"/>
        <v>0</v>
      </c>
      <c r="AB159" s="6" t="str">
        <f t="shared" si="57"/>
        <v/>
      </c>
      <c r="AC159" s="48">
        <f t="shared" si="45"/>
        <v>0</v>
      </c>
    </row>
    <row r="160" spans="3:29" x14ac:dyDescent="0.25">
      <c r="C160" s="27" t="str">
        <f t="shared" si="58"/>
        <v/>
      </c>
      <c r="D160" s="30" t="str">
        <f t="shared" si="59"/>
        <v/>
      </c>
      <c r="E160" s="20" t="str">
        <f t="shared" si="46"/>
        <v/>
      </c>
      <c r="F160" s="20" t="str">
        <f t="shared" si="47"/>
        <v/>
      </c>
      <c r="G160" s="24" t="str">
        <f t="shared" si="60"/>
        <v/>
      </c>
      <c r="H160" s="21" t="str">
        <f t="shared" si="48"/>
        <v/>
      </c>
      <c r="I160" s="66" t="str">
        <f t="shared" si="49"/>
        <v/>
      </c>
      <c r="J160" s="66" t="str">
        <f t="shared" si="50"/>
        <v/>
      </c>
      <c r="K160" s="11" t="str">
        <f t="shared" si="51"/>
        <v/>
      </c>
      <c r="L160" s="23" t="str">
        <f t="shared" si="65"/>
        <v/>
      </c>
      <c r="M160" s="100"/>
      <c r="N160" s="23" t="str">
        <f t="shared" si="52"/>
        <v/>
      </c>
      <c r="O160" s="23" t="str">
        <f t="shared" si="61"/>
        <v/>
      </c>
      <c r="P160" s="23" t="str">
        <f t="shared" si="62"/>
        <v/>
      </c>
      <c r="Q160" s="19" t="str">
        <f t="shared" si="53"/>
        <v/>
      </c>
      <c r="R160" s="19"/>
      <c r="T160" s="37" t="str">
        <f t="shared" si="54"/>
        <v/>
      </c>
      <c r="U160" s="37" t="str">
        <f t="shared" si="63"/>
        <v/>
      </c>
      <c r="W160" s="31" t="str">
        <f t="shared" si="66"/>
        <v/>
      </c>
      <c r="X160" s="31" t="str">
        <f t="shared" si="67"/>
        <v/>
      </c>
      <c r="Y160" s="34">
        <f t="shared" si="64"/>
        <v>1</v>
      </c>
      <c r="Z160" s="31">
        <f t="shared" si="55"/>
        <v>0</v>
      </c>
      <c r="AA160" s="66">
        <f t="shared" si="56"/>
        <v>0</v>
      </c>
      <c r="AB160" s="6" t="str">
        <f t="shared" si="57"/>
        <v/>
      </c>
      <c r="AC160" s="48">
        <f t="shared" si="45"/>
        <v>0</v>
      </c>
    </row>
    <row r="161" spans="3:29" x14ac:dyDescent="0.25">
      <c r="C161" s="27" t="str">
        <f t="shared" si="58"/>
        <v/>
      </c>
      <c r="D161" s="30" t="str">
        <f t="shared" si="59"/>
        <v/>
      </c>
      <c r="E161" s="20" t="str">
        <f t="shared" si="46"/>
        <v/>
      </c>
      <c r="F161" s="20" t="str">
        <f t="shared" si="47"/>
        <v/>
      </c>
      <c r="G161" s="24" t="str">
        <f t="shared" si="60"/>
        <v/>
      </c>
      <c r="H161" s="21" t="str">
        <f t="shared" si="48"/>
        <v/>
      </c>
      <c r="I161" s="66" t="str">
        <f t="shared" si="49"/>
        <v/>
      </c>
      <c r="J161" s="66" t="str">
        <f t="shared" si="50"/>
        <v/>
      </c>
      <c r="K161" s="11" t="str">
        <f t="shared" si="51"/>
        <v/>
      </c>
      <c r="L161" s="23" t="str">
        <f t="shared" si="65"/>
        <v/>
      </c>
      <c r="M161" s="100"/>
      <c r="N161" s="23" t="str">
        <f t="shared" si="52"/>
        <v/>
      </c>
      <c r="O161" s="23" t="str">
        <f t="shared" si="61"/>
        <v/>
      </c>
      <c r="P161" s="23" t="str">
        <f t="shared" si="62"/>
        <v/>
      </c>
      <c r="Q161" s="19" t="str">
        <f t="shared" si="53"/>
        <v/>
      </c>
      <c r="R161" s="19"/>
      <c r="T161" s="37" t="str">
        <f t="shared" si="54"/>
        <v/>
      </c>
      <c r="U161" s="37" t="str">
        <f t="shared" si="63"/>
        <v/>
      </c>
      <c r="W161" s="31" t="str">
        <f t="shared" si="66"/>
        <v/>
      </c>
      <c r="X161" s="31" t="str">
        <f t="shared" si="67"/>
        <v/>
      </c>
      <c r="Y161" s="34">
        <f t="shared" si="64"/>
        <v>1</v>
      </c>
      <c r="Z161" s="31">
        <f t="shared" si="55"/>
        <v>0</v>
      </c>
      <c r="AA161" s="66">
        <f t="shared" si="56"/>
        <v>0</v>
      </c>
      <c r="AB161" s="6" t="str">
        <f t="shared" si="57"/>
        <v/>
      </c>
      <c r="AC161" s="48">
        <f t="shared" si="45"/>
        <v>0</v>
      </c>
    </row>
    <row r="162" spans="3:29" x14ac:dyDescent="0.25">
      <c r="C162" s="27" t="str">
        <f t="shared" si="58"/>
        <v/>
      </c>
      <c r="D162" s="30" t="str">
        <f t="shared" si="59"/>
        <v/>
      </c>
      <c r="E162" s="20" t="str">
        <f t="shared" si="46"/>
        <v/>
      </c>
      <c r="F162" s="20" t="str">
        <f t="shared" si="47"/>
        <v/>
      </c>
      <c r="G162" s="24" t="str">
        <f t="shared" si="60"/>
        <v/>
      </c>
      <c r="H162" s="21" t="str">
        <f t="shared" si="48"/>
        <v/>
      </c>
      <c r="I162" s="66" t="str">
        <f t="shared" si="49"/>
        <v/>
      </c>
      <c r="J162" s="66" t="str">
        <f t="shared" si="50"/>
        <v/>
      </c>
      <c r="K162" s="11" t="str">
        <f t="shared" si="51"/>
        <v/>
      </c>
      <c r="L162" s="23" t="str">
        <f t="shared" si="65"/>
        <v/>
      </c>
      <c r="M162" s="100"/>
      <c r="N162" s="23" t="str">
        <f t="shared" si="52"/>
        <v/>
      </c>
      <c r="O162" s="23" t="str">
        <f t="shared" si="61"/>
        <v/>
      </c>
      <c r="P162" s="23" t="str">
        <f t="shared" si="62"/>
        <v/>
      </c>
      <c r="Q162" s="19" t="str">
        <f t="shared" si="53"/>
        <v/>
      </c>
      <c r="R162" s="19"/>
      <c r="T162" s="37" t="str">
        <f t="shared" si="54"/>
        <v/>
      </c>
      <c r="U162" s="37" t="str">
        <f t="shared" si="63"/>
        <v/>
      </c>
      <c r="W162" s="31" t="str">
        <f t="shared" si="66"/>
        <v/>
      </c>
      <c r="X162" s="31" t="str">
        <f t="shared" si="67"/>
        <v/>
      </c>
      <c r="Y162" s="34">
        <f t="shared" si="64"/>
        <v>1</v>
      </c>
      <c r="Z162" s="31">
        <f t="shared" si="55"/>
        <v>0</v>
      </c>
      <c r="AA162" s="66">
        <f t="shared" si="56"/>
        <v>0</v>
      </c>
      <c r="AB162" s="6" t="str">
        <f t="shared" si="57"/>
        <v/>
      </c>
      <c r="AC162" s="48">
        <f t="shared" si="45"/>
        <v>0</v>
      </c>
    </row>
    <row r="163" spans="3:29" x14ac:dyDescent="0.25">
      <c r="C163" s="27" t="str">
        <f t="shared" si="58"/>
        <v/>
      </c>
      <c r="D163" s="30" t="str">
        <f t="shared" si="59"/>
        <v/>
      </c>
      <c r="E163" s="20" t="str">
        <f t="shared" si="46"/>
        <v/>
      </c>
      <c r="F163" s="20" t="str">
        <f t="shared" si="47"/>
        <v/>
      </c>
      <c r="G163" s="24" t="str">
        <f t="shared" si="60"/>
        <v/>
      </c>
      <c r="H163" s="21" t="str">
        <f t="shared" si="48"/>
        <v/>
      </c>
      <c r="I163" s="66" t="str">
        <f t="shared" si="49"/>
        <v/>
      </c>
      <c r="J163" s="66" t="str">
        <f t="shared" si="50"/>
        <v/>
      </c>
      <c r="K163" s="11" t="str">
        <f t="shared" si="51"/>
        <v/>
      </c>
      <c r="L163" s="23" t="str">
        <f t="shared" si="65"/>
        <v/>
      </c>
      <c r="M163" s="100"/>
      <c r="N163" s="23" t="str">
        <f t="shared" si="52"/>
        <v/>
      </c>
      <c r="O163" s="23" t="str">
        <f t="shared" si="61"/>
        <v/>
      </c>
      <c r="P163" s="23" t="str">
        <f t="shared" si="62"/>
        <v/>
      </c>
      <c r="Q163" s="19" t="str">
        <f t="shared" si="53"/>
        <v/>
      </c>
      <c r="R163" s="19"/>
      <c r="T163" s="37" t="str">
        <f t="shared" si="54"/>
        <v/>
      </c>
      <c r="U163" s="37" t="str">
        <f t="shared" si="63"/>
        <v/>
      </c>
      <c r="W163" s="31" t="str">
        <f t="shared" si="66"/>
        <v/>
      </c>
      <c r="X163" s="31" t="str">
        <f t="shared" si="67"/>
        <v/>
      </c>
      <c r="Y163" s="34">
        <f t="shared" si="64"/>
        <v>1</v>
      </c>
      <c r="Z163" s="31">
        <f t="shared" si="55"/>
        <v>0</v>
      </c>
      <c r="AA163" s="66">
        <f t="shared" si="56"/>
        <v>0</v>
      </c>
      <c r="AB163" s="6" t="str">
        <f t="shared" si="57"/>
        <v/>
      </c>
      <c r="AC163" s="48">
        <f t="shared" ref="AC163:AC200" si="68">AC162</f>
        <v>0</v>
      </c>
    </row>
    <row r="164" spans="3:29" x14ac:dyDescent="0.25">
      <c r="C164" s="27" t="str">
        <f t="shared" si="58"/>
        <v/>
      </c>
      <c r="D164" s="30" t="str">
        <f t="shared" si="59"/>
        <v/>
      </c>
      <c r="E164" s="20" t="str">
        <f t="shared" si="46"/>
        <v/>
      </c>
      <c r="F164" s="20" t="str">
        <f t="shared" si="47"/>
        <v/>
      </c>
      <c r="G164" s="24" t="str">
        <f t="shared" si="60"/>
        <v/>
      </c>
      <c r="H164" s="21" t="str">
        <f t="shared" si="48"/>
        <v/>
      </c>
      <c r="I164" s="66" t="str">
        <f t="shared" si="49"/>
        <v/>
      </c>
      <c r="J164" s="66" t="str">
        <f t="shared" si="50"/>
        <v/>
      </c>
      <c r="K164" s="11" t="str">
        <f t="shared" si="51"/>
        <v/>
      </c>
      <c r="L164" s="23" t="str">
        <f t="shared" si="65"/>
        <v/>
      </c>
      <c r="M164" s="100"/>
      <c r="N164" s="23" t="str">
        <f t="shared" si="52"/>
        <v/>
      </c>
      <c r="O164" s="23" t="str">
        <f t="shared" si="61"/>
        <v/>
      </c>
      <c r="P164" s="23" t="str">
        <f t="shared" si="62"/>
        <v/>
      </c>
      <c r="Q164" s="19" t="str">
        <f t="shared" si="53"/>
        <v/>
      </c>
      <c r="R164" s="19"/>
      <c r="T164" s="37" t="str">
        <f t="shared" si="54"/>
        <v/>
      </c>
      <c r="U164" s="37" t="str">
        <f t="shared" si="63"/>
        <v/>
      </c>
      <c r="W164" s="31" t="str">
        <f t="shared" si="66"/>
        <v/>
      </c>
      <c r="X164" s="31" t="str">
        <f t="shared" si="67"/>
        <v/>
      </c>
      <c r="Y164" s="34">
        <f t="shared" si="64"/>
        <v>1</v>
      </c>
      <c r="Z164" s="31">
        <f t="shared" si="55"/>
        <v>0</v>
      </c>
      <c r="AA164" s="66">
        <f t="shared" si="56"/>
        <v>0</v>
      </c>
      <c r="AB164" s="6" t="str">
        <f t="shared" si="57"/>
        <v/>
      </c>
      <c r="AC164" s="48">
        <f t="shared" si="68"/>
        <v>0</v>
      </c>
    </row>
    <row r="165" spans="3:29" x14ac:dyDescent="0.25">
      <c r="C165" s="27" t="str">
        <f t="shared" si="58"/>
        <v/>
      </c>
      <c r="D165" s="30" t="str">
        <f t="shared" si="59"/>
        <v/>
      </c>
      <c r="E165" s="20" t="str">
        <f t="shared" si="46"/>
        <v/>
      </c>
      <c r="F165" s="20" t="str">
        <f t="shared" si="47"/>
        <v/>
      </c>
      <c r="G165" s="24" t="str">
        <f t="shared" si="60"/>
        <v/>
      </c>
      <c r="H165" s="21" t="str">
        <f t="shared" si="48"/>
        <v/>
      </c>
      <c r="I165" s="66" t="str">
        <f t="shared" si="49"/>
        <v/>
      </c>
      <c r="J165" s="66" t="str">
        <f t="shared" si="50"/>
        <v/>
      </c>
      <c r="K165" s="11" t="str">
        <f t="shared" si="51"/>
        <v/>
      </c>
      <c r="L165" s="23" t="str">
        <f t="shared" si="65"/>
        <v/>
      </c>
      <c r="M165" s="100"/>
      <c r="N165" s="23" t="str">
        <f t="shared" si="52"/>
        <v/>
      </c>
      <c r="O165" s="23" t="str">
        <f t="shared" si="61"/>
        <v/>
      </c>
      <c r="P165" s="23" t="str">
        <f t="shared" si="62"/>
        <v/>
      </c>
      <c r="Q165" s="19" t="str">
        <f t="shared" si="53"/>
        <v/>
      </c>
      <c r="R165" s="19"/>
      <c r="T165" s="37" t="str">
        <f t="shared" si="54"/>
        <v/>
      </c>
      <c r="U165" s="37" t="str">
        <f t="shared" si="63"/>
        <v/>
      </c>
      <c r="W165" s="31" t="str">
        <f t="shared" si="66"/>
        <v/>
      </c>
      <c r="X165" s="31" t="str">
        <f t="shared" si="67"/>
        <v/>
      </c>
      <c r="Y165" s="34">
        <f t="shared" si="64"/>
        <v>1</v>
      </c>
      <c r="Z165" s="31">
        <f t="shared" si="55"/>
        <v>0</v>
      </c>
      <c r="AA165" s="66">
        <f t="shared" si="56"/>
        <v>0</v>
      </c>
      <c r="AB165" s="6" t="str">
        <f t="shared" si="57"/>
        <v/>
      </c>
      <c r="AC165" s="48">
        <f>AC164+$M$17</f>
        <v>0</v>
      </c>
    </row>
    <row r="166" spans="3:29" x14ac:dyDescent="0.25">
      <c r="C166" s="27" t="str">
        <f t="shared" si="58"/>
        <v/>
      </c>
      <c r="D166" s="30" t="str">
        <f t="shared" si="59"/>
        <v/>
      </c>
      <c r="E166" s="20" t="str">
        <f t="shared" si="46"/>
        <v/>
      </c>
      <c r="F166" s="20" t="str">
        <f t="shared" si="47"/>
        <v/>
      </c>
      <c r="G166" s="24" t="str">
        <f t="shared" si="60"/>
        <v/>
      </c>
      <c r="H166" s="21" t="str">
        <f t="shared" si="48"/>
        <v/>
      </c>
      <c r="I166" s="66" t="str">
        <f t="shared" si="49"/>
        <v/>
      </c>
      <c r="J166" s="66" t="str">
        <f t="shared" si="50"/>
        <v/>
      </c>
      <c r="K166" s="11" t="str">
        <f t="shared" si="51"/>
        <v/>
      </c>
      <c r="L166" s="23" t="str">
        <f t="shared" si="65"/>
        <v/>
      </c>
      <c r="M166" s="100"/>
      <c r="N166" s="23" t="str">
        <f t="shared" si="52"/>
        <v/>
      </c>
      <c r="O166" s="23" t="str">
        <f t="shared" si="61"/>
        <v/>
      </c>
      <c r="P166" s="23" t="str">
        <f t="shared" si="62"/>
        <v/>
      </c>
      <c r="Q166" s="19" t="str">
        <f t="shared" si="53"/>
        <v/>
      </c>
      <c r="R166" s="19"/>
      <c r="T166" s="37" t="str">
        <f t="shared" si="54"/>
        <v/>
      </c>
      <c r="U166" s="37" t="str">
        <f t="shared" si="63"/>
        <v/>
      </c>
      <c r="W166" s="31" t="str">
        <f t="shared" si="66"/>
        <v/>
      </c>
      <c r="X166" s="31" t="str">
        <f t="shared" si="67"/>
        <v/>
      </c>
      <c r="Y166" s="34">
        <f t="shared" si="64"/>
        <v>1</v>
      </c>
      <c r="Z166" s="31">
        <f t="shared" si="55"/>
        <v>0</v>
      </c>
      <c r="AA166" s="66">
        <f t="shared" si="56"/>
        <v>0</v>
      </c>
      <c r="AB166" s="6" t="str">
        <f t="shared" si="57"/>
        <v/>
      </c>
      <c r="AC166" s="48">
        <f t="shared" si="68"/>
        <v>0</v>
      </c>
    </row>
    <row r="167" spans="3:29" x14ac:dyDescent="0.25">
      <c r="C167" s="27" t="str">
        <f t="shared" si="58"/>
        <v/>
      </c>
      <c r="D167" s="30" t="str">
        <f t="shared" si="59"/>
        <v/>
      </c>
      <c r="E167" s="20" t="str">
        <f t="shared" si="46"/>
        <v/>
      </c>
      <c r="F167" s="20" t="str">
        <f t="shared" si="47"/>
        <v/>
      </c>
      <c r="G167" s="24" t="str">
        <f t="shared" si="60"/>
        <v/>
      </c>
      <c r="H167" s="21" t="str">
        <f t="shared" si="48"/>
        <v/>
      </c>
      <c r="I167" s="66" t="str">
        <f t="shared" si="49"/>
        <v/>
      </c>
      <c r="J167" s="66" t="str">
        <f t="shared" si="50"/>
        <v/>
      </c>
      <c r="K167" s="11" t="str">
        <f t="shared" si="51"/>
        <v/>
      </c>
      <c r="L167" s="23" t="str">
        <f t="shared" si="65"/>
        <v/>
      </c>
      <c r="M167" s="100"/>
      <c r="N167" s="23" t="str">
        <f t="shared" si="52"/>
        <v/>
      </c>
      <c r="O167" s="23" t="str">
        <f t="shared" si="61"/>
        <v/>
      </c>
      <c r="P167" s="23" t="str">
        <f t="shared" si="62"/>
        <v/>
      </c>
      <c r="Q167" s="19" t="str">
        <f t="shared" si="53"/>
        <v/>
      </c>
      <c r="R167" s="19"/>
      <c r="T167" s="37" t="str">
        <f t="shared" si="54"/>
        <v/>
      </c>
      <c r="U167" s="37" t="str">
        <f t="shared" si="63"/>
        <v/>
      </c>
      <c r="W167" s="31" t="str">
        <f t="shared" si="66"/>
        <v/>
      </c>
      <c r="X167" s="31" t="str">
        <f t="shared" si="67"/>
        <v/>
      </c>
      <c r="Y167" s="34">
        <f t="shared" si="64"/>
        <v>1</v>
      </c>
      <c r="Z167" s="31">
        <f t="shared" si="55"/>
        <v>0</v>
      </c>
      <c r="AA167" s="66">
        <f t="shared" si="56"/>
        <v>0</v>
      </c>
      <c r="AB167" s="6" t="str">
        <f t="shared" si="57"/>
        <v/>
      </c>
      <c r="AC167" s="48">
        <f t="shared" si="68"/>
        <v>0</v>
      </c>
    </row>
    <row r="168" spans="3:29" x14ac:dyDescent="0.25">
      <c r="C168" s="27" t="str">
        <f t="shared" si="58"/>
        <v/>
      </c>
      <c r="D168" s="30" t="str">
        <f t="shared" si="59"/>
        <v/>
      </c>
      <c r="E168" s="20" t="str">
        <f t="shared" si="46"/>
        <v/>
      </c>
      <c r="F168" s="20" t="str">
        <f t="shared" si="47"/>
        <v/>
      </c>
      <c r="G168" s="24" t="str">
        <f t="shared" si="60"/>
        <v/>
      </c>
      <c r="H168" s="21" t="str">
        <f t="shared" si="48"/>
        <v/>
      </c>
      <c r="I168" s="66" t="str">
        <f t="shared" si="49"/>
        <v/>
      </c>
      <c r="J168" s="66" t="str">
        <f t="shared" si="50"/>
        <v/>
      </c>
      <c r="K168" s="11" t="str">
        <f t="shared" si="51"/>
        <v/>
      </c>
      <c r="L168" s="23" t="str">
        <f t="shared" si="65"/>
        <v/>
      </c>
      <c r="M168" s="100"/>
      <c r="N168" s="23" t="str">
        <f t="shared" si="52"/>
        <v/>
      </c>
      <c r="O168" s="23" t="str">
        <f t="shared" si="61"/>
        <v/>
      </c>
      <c r="P168" s="23" t="str">
        <f t="shared" si="62"/>
        <v/>
      </c>
      <c r="Q168" s="19" t="str">
        <f t="shared" si="53"/>
        <v/>
      </c>
      <c r="R168" s="19"/>
      <c r="T168" s="37" t="str">
        <f t="shared" si="54"/>
        <v/>
      </c>
      <c r="U168" s="37" t="str">
        <f t="shared" si="63"/>
        <v/>
      </c>
      <c r="W168" s="31" t="str">
        <f t="shared" si="66"/>
        <v/>
      </c>
      <c r="X168" s="31" t="str">
        <f t="shared" si="67"/>
        <v/>
      </c>
      <c r="Y168" s="34">
        <f t="shared" si="64"/>
        <v>1</v>
      </c>
      <c r="Z168" s="31">
        <f t="shared" si="55"/>
        <v>0</v>
      </c>
      <c r="AA168" s="66">
        <f t="shared" si="56"/>
        <v>0</v>
      </c>
      <c r="AB168" s="6" t="str">
        <f t="shared" si="57"/>
        <v/>
      </c>
      <c r="AC168" s="48">
        <f t="shared" si="68"/>
        <v>0</v>
      </c>
    </row>
    <row r="169" spans="3:29" x14ac:dyDescent="0.25">
      <c r="C169" s="27" t="str">
        <f t="shared" si="58"/>
        <v/>
      </c>
      <c r="D169" s="30" t="str">
        <f t="shared" si="59"/>
        <v/>
      </c>
      <c r="E169" s="20" t="str">
        <f t="shared" si="46"/>
        <v/>
      </c>
      <c r="F169" s="20" t="str">
        <f t="shared" si="47"/>
        <v/>
      </c>
      <c r="G169" s="24" t="str">
        <f t="shared" si="60"/>
        <v/>
      </c>
      <c r="H169" s="21" t="str">
        <f t="shared" si="48"/>
        <v/>
      </c>
      <c r="I169" s="66" t="str">
        <f t="shared" si="49"/>
        <v/>
      </c>
      <c r="J169" s="66" t="str">
        <f t="shared" si="50"/>
        <v/>
      </c>
      <c r="K169" s="11" t="str">
        <f t="shared" si="51"/>
        <v/>
      </c>
      <c r="L169" s="23" t="str">
        <f t="shared" si="65"/>
        <v/>
      </c>
      <c r="M169" s="100"/>
      <c r="N169" s="23" t="str">
        <f t="shared" si="52"/>
        <v/>
      </c>
      <c r="O169" s="23" t="str">
        <f t="shared" si="61"/>
        <v/>
      </c>
      <c r="P169" s="23" t="str">
        <f t="shared" si="62"/>
        <v/>
      </c>
      <c r="Q169" s="19" t="str">
        <f t="shared" si="53"/>
        <v/>
      </c>
      <c r="R169" s="19"/>
      <c r="T169" s="37" t="str">
        <f t="shared" si="54"/>
        <v/>
      </c>
      <c r="U169" s="37" t="str">
        <f t="shared" si="63"/>
        <v/>
      </c>
      <c r="W169" s="31" t="str">
        <f t="shared" si="66"/>
        <v/>
      </c>
      <c r="X169" s="31" t="str">
        <f t="shared" si="67"/>
        <v/>
      </c>
      <c r="Y169" s="34">
        <f t="shared" si="64"/>
        <v>1</v>
      </c>
      <c r="Z169" s="31">
        <f t="shared" si="55"/>
        <v>0</v>
      </c>
      <c r="AA169" s="66">
        <f t="shared" si="56"/>
        <v>0</v>
      </c>
      <c r="AB169" s="6" t="str">
        <f t="shared" si="57"/>
        <v/>
      </c>
      <c r="AC169" s="48">
        <f t="shared" si="68"/>
        <v>0</v>
      </c>
    </row>
    <row r="170" spans="3:29" x14ac:dyDescent="0.25">
      <c r="C170" s="27" t="str">
        <f t="shared" si="58"/>
        <v/>
      </c>
      <c r="D170" s="30" t="str">
        <f t="shared" si="59"/>
        <v/>
      </c>
      <c r="E170" s="20" t="str">
        <f t="shared" si="46"/>
        <v/>
      </c>
      <c r="F170" s="20" t="str">
        <f t="shared" si="47"/>
        <v/>
      </c>
      <c r="G170" s="24" t="str">
        <f t="shared" si="60"/>
        <v/>
      </c>
      <c r="H170" s="21" t="str">
        <f t="shared" si="48"/>
        <v/>
      </c>
      <c r="I170" s="66" t="str">
        <f t="shared" si="49"/>
        <v/>
      </c>
      <c r="J170" s="66" t="str">
        <f t="shared" si="50"/>
        <v/>
      </c>
      <c r="K170" s="11" t="str">
        <f t="shared" si="51"/>
        <v/>
      </c>
      <c r="L170" s="23" t="str">
        <f t="shared" si="65"/>
        <v/>
      </c>
      <c r="M170" s="100"/>
      <c r="N170" s="23" t="str">
        <f t="shared" si="52"/>
        <v/>
      </c>
      <c r="O170" s="23" t="str">
        <f t="shared" si="61"/>
        <v/>
      </c>
      <c r="P170" s="23" t="str">
        <f t="shared" si="62"/>
        <v/>
      </c>
      <c r="Q170" s="19" t="str">
        <f t="shared" si="53"/>
        <v/>
      </c>
      <c r="R170" s="19"/>
      <c r="T170" s="37" t="str">
        <f t="shared" si="54"/>
        <v/>
      </c>
      <c r="U170" s="37" t="str">
        <f t="shared" si="63"/>
        <v/>
      </c>
      <c r="W170" s="31" t="str">
        <f t="shared" si="66"/>
        <v/>
      </c>
      <c r="X170" s="31" t="str">
        <f t="shared" si="67"/>
        <v/>
      </c>
      <c r="Y170" s="34">
        <f t="shared" si="64"/>
        <v>1</v>
      </c>
      <c r="Z170" s="31">
        <f t="shared" si="55"/>
        <v>0</v>
      </c>
      <c r="AA170" s="66">
        <f t="shared" si="56"/>
        <v>0</v>
      </c>
      <c r="AB170" s="6" t="str">
        <f t="shared" si="57"/>
        <v/>
      </c>
      <c r="AC170" s="48">
        <f t="shared" si="68"/>
        <v>0</v>
      </c>
    </row>
    <row r="171" spans="3:29" x14ac:dyDescent="0.25">
      <c r="C171" s="27" t="str">
        <f t="shared" si="58"/>
        <v/>
      </c>
      <c r="D171" s="30" t="str">
        <f t="shared" si="59"/>
        <v/>
      </c>
      <c r="E171" s="20" t="str">
        <f t="shared" si="46"/>
        <v/>
      </c>
      <c r="F171" s="20" t="str">
        <f t="shared" si="47"/>
        <v/>
      </c>
      <c r="G171" s="24" t="str">
        <f t="shared" si="60"/>
        <v/>
      </c>
      <c r="H171" s="21" t="str">
        <f t="shared" si="48"/>
        <v/>
      </c>
      <c r="I171" s="66" t="str">
        <f t="shared" si="49"/>
        <v/>
      </c>
      <c r="J171" s="66" t="str">
        <f t="shared" si="50"/>
        <v/>
      </c>
      <c r="K171" s="11" t="str">
        <f t="shared" si="51"/>
        <v/>
      </c>
      <c r="L171" s="23" t="str">
        <f t="shared" si="65"/>
        <v/>
      </c>
      <c r="M171" s="100"/>
      <c r="N171" s="23" t="str">
        <f t="shared" si="52"/>
        <v/>
      </c>
      <c r="O171" s="23" t="str">
        <f t="shared" si="61"/>
        <v/>
      </c>
      <c r="P171" s="23" t="str">
        <f t="shared" si="62"/>
        <v/>
      </c>
      <c r="Q171" s="19" t="str">
        <f t="shared" si="53"/>
        <v/>
      </c>
      <c r="R171" s="19"/>
      <c r="T171" s="37" t="str">
        <f t="shared" si="54"/>
        <v/>
      </c>
      <c r="U171" s="37" t="str">
        <f t="shared" si="63"/>
        <v/>
      </c>
      <c r="W171" s="31" t="str">
        <f t="shared" si="66"/>
        <v/>
      </c>
      <c r="X171" s="31" t="str">
        <f t="shared" si="67"/>
        <v/>
      </c>
      <c r="Y171" s="34">
        <f t="shared" si="64"/>
        <v>1</v>
      </c>
      <c r="Z171" s="31">
        <f t="shared" si="55"/>
        <v>0</v>
      </c>
      <c r="AA171" s="66">
        <f t="shared" si="56"/>
        <v>0</v>
      </c>
      <c r="AB171" s="6" t="str">
        <f t="shared" si="57"/>
        <v/>
      </c>
      <c r="AC171" s="48">
        <f t="shared" si="68"/>
        <v>0</v>
      </c>
    </row>
    <row r="172" spans="3:29" x14ac:dyDescent="0.25">
      <c r="C172" s="27" t="str">
        <f t="shared" si="58"/>
        <v/>
      </c>
      <c r="D172" s="30" t="str">
        <f t="shared" si="59"/>
        <v/>
      </c>
      <c r="E172" s="20" t="str">
        <f t="shared" si="46"/>
        <v/>
      </c>
      <c r="F172" s="20" t="str">
        <f t="shared" si="47"/>
        <v/>
      </c>
      <c r="G172" s="24" t="str">
        <f t="shared" si="60"/>
        <v/>
      </c>
      <c r="H172" s="21" t="str">
        <f t="shared" si="48"/>
        <v/>
      </c>
      <c r="I172" s="66" t="str">
        <f t="shared" si="49"/>
        <v/>
      </c>
      <c r="J172" s="66" t="str">
        <f t="shared" si="50"/>
        <v/>
      </c>
      <c r="K172" s="11" t="str">
        <f t="shared" si="51"/>
        <v/>
      </c>
      <c r="L172" s="23" t="str">
        <f t="shared" si="65"/>
        <v/>
      </c>
      <c r="M172" s="100"/>
      <c r="N172" s="23" t="str">
        <f t="shared" si="52"/>
        <v/>
      </c>
      <c r="O172" s="23" t="str">
        <f t="shared" si="61"/>
        <v/>
      </c>
      <c r="P172" s="23" t="str">
        <f t="shared" si="62"/>
        <v/>
      </c>
      <c r="Q172" s="19" t="str">
        <f t="shared" si="53"/>
        <v/>
      </c>
      <c r="R172" s="19"/>
      <c r="T172" s="37" t="str">
        <f t="shared" si="54"/>
        <v/>
      </c>
      <c r="U172" s="37" t="str">
        <f t="shared" si="63"/>
        <v/>
      </c>
      <c r="W172" s="31" t="str">
        <f t="shared" si="66"/>
        <v/>
      </c>
      <c r="X172" s="31" t="str">
        <f t="shared" si="67"/>
        <v/>
      </c>
      <c r="Y172" s="34">
        <f t="shared" si="64"/>
        <v>1</v>
      </c>
      <c r="Z172" s="31">
        <f t="shared" si="55"/>
        <v>0</v>
      </c>
      <c r="AA172" s="66">
        <f t="shared" si="56"/>
        <v>0</v>
      </c>
      <c r="AB172" s="6" t="str">
        <f t="shared" si="57"/>
        <v/>
      </c>
      <c r="AC172" s="48">
        <f t="shared" si="68"/>
        <v>0</v>
      </c>
    </row>
    <row r="173" spans="3:29" x14ac:dyDescent="0.25">
      <c r="C173" s="27" t="str">
        <f t="shared" si="58"/>
        <v/>
      </c>
      <c r="D173" s="30" t="str">
        <f t="shared" si="59"/>
        <v/>
      </c>
      <c r="E173" s="20" t="str">
        <f t="shared" si="46"/>
        <v/>
      </c>
      <c r="F173" s="20" t="str">
        <f t="shared" si="47"/>
        <v/>
      </c>
      <c r="G173" s="24" t="str">
        <f t="shared" si="60"/>
        <v/>
      </c>
      <c r="H173" s="21" t="str">
        <f t="shared" si="48"/>
        <v/>
      </c>
      <c r="I173" s="66" t="str">
        <f t="shared" si="49"/>
        <v/>
      </c>
      <c r="J173" s="66" t="str">
        <f t="shared" si="50"/>
        <v/>
      </c>
      <c r="K173" s="11" t="str">
        <f t="shared" si="51"/>
        <v/>
      </c>
      <c r="L173" s="23" t="str">
        <f t="shared" si="65"/>
        <v/>
      </c>
      <c r="M173" s="100"/>
      <c r="N173" s="23" t="str">
        <f t="shared" si="52"/>
        <v/>
      </c>
      <c r="O173" s="23" t="str">
        <f t="shared" si="61"/>
        <v/>
      </c>
      <c r="P173" s="23" t="str">
        <f t="shared" si="62"/>
        <v/>
      </c>
      <c r="Q173" s="19" t="str">
        <f t="shared" si="53"/>
        <v/>
      </c>
      <c r="R173" s="19"/>
      <c r="T173" s="37" t="str">
        <f t="shared" si="54"/>
        <v/>
      </c>
      <c r="U173" s="37" t="str">
        <f t="shared" si="63"/>
        <v/>
      </c>
      <c r="W173" s="31" t="str">
        <f t="shared" si="66"/>
        <v/>
      </c>
      <c r="X173" s="31" t="str">
        <f t="shared" si="67"/>
        <v/>
      </c>
      <c r="Y173" s="34">
        <f t="shared" si="64"/>
        <v>1</v>
      </c>
      <c r="Z173" s="31">
        <f t="shared" si="55"/>
        <v>0</v>
      </c>
      <c r="AA173" s="66">
        <f t="shared" si="56"/>
        <v>0</v>
      </c>
      <c r="AB173" s="6" t="str">
        <f t="shared" si="57"/>
        <v/>
      </c>
      <c r="AC173" s="48">
        <f t="shared" si="68"/>
        <v>0</v>
      </c>
    </row>
    <row r="174" spans="3:29" x14ac:dyDescent="0.25">
      <c r="C174" s="27" t="str">
        <f t="shared" si="58"/>
        <v/>
      </c>
      <c r="D174" s="30" t="str">
        <f t="shared" si="59"/>
        <v/>
      </c>
      <c r="E174" s="20" t="str">
        <f t="shared" si="46"/>
        <v/>
      </c>
      <c r="F174" s="20" t="str">
        <f t="shared" si="47"/>
        <v/>
      </c>
      <c r="G174" s="24" t="str">
        <f t="shared" si="60"/>
        <v/>
      </c>
      <c r="H174" s="21" t="str">
        <f t="shared" si="48"/>
        <v/>
      </c>
      <c r="I174" s="66" t="str">
        <f t="shared" si="49"/>
        <v/>
      </c>
      <c r="J174" s="66" t="str">
        <f t="shared" si="50"/>
        <v/>
      </c>
      <c r="K174" s="11" t="str">
        <f t="shared" si="51"/>
        <v/>
      </c>
      <c r="L174" s="23" t="str">
        <f t="shared" si="65"/>
        <v/>
      </c>
      <c r="M174" s="100"/>
      <c r="N174" s="23" t="str">
        <f t="shared" si="52"/>
        <v/>
      </c>
      <c r="O174" s="23" t="str">
        <f t="shared" si="61"/>
        <v/>
      </c>
      <c r="P174" s="23" t="str">
        <f t="shared" si="62"/>
        <v/>
      </c>
      <c r="Q174" s="19" t="str">
        <f t="shared" si="53"/>
        <v/>
      </c>
      <c r="R174" s="19"/>
      <c r="T174" s="37" t="str">
        <f t="shared" si="54"/>
        <v/>
      </c>
      <c r="U174" s="37" t="str">
        <f t="shared" si="63"/>
        <v/>
      </c>
      <c r="W174" s="31" t="str">
        <f t="shared" si="66"/>
        <v/>
      </c>
      <c r="X174" s="31" t="str">
        <f t="shared" si="67"/>
        <v/>
      </c>
      <c r="Y174" s="34">
        <f t="shared" si="64"/>
        <v>1</v>
      </c>
      <c r="Z174" s="31">
        <f t="shared" si="55"/>
        <v>0</v>
      </c>
      <c r="AA174" s="66">
        <f t="shared" si="56"/>
        <v>0</v>
      </c>
      <c r="AB174" s="6" t="str">
        <f t="shared" si="57"/>
        <v/>
      </c>
      <c r="AC174" s="48">
        <f t="shared" si="68"/>
        <v>0</v>
      </c>
    </row>
    <row r="175" spans="3:29" x14ac:dyDescent="0.25">
      <c r="C175" s="27" t="str">
        <f t="shared" si="58"/>
        <v/>
      </c>
      <c r="D175" s="30" t="str">
        <f t="shared" si="59"/>
        <v/>
      </c>
      <c r="E175" s="20" t="str">
        <f t="shared" si="46"/>
        <v/>
      </c>
      <c r="F175" s="20" t="str">
        <f t="shared" si="47"/>
        <v/>
      </c>
      <c r="G175" s="24" t="str">
        <f t="shared" si="60"/>
        <v/>
      </c>
      <c r="H175" s="21" t="str">
        <f t="shared" si="48"/>
        <v/>
      </c>
      <c r="I175" s="66" t="str">
        <f t="shared" si="49"/>
        <v/>
      </c>
      <c r="J175" s="66" t="str">
        <f t="shared" si="50"/>
        <v/>
      </c>
      <c r="K175" s="11" t="str">
        <f t="shared" si="51"/>
        <v/>
      </c>
      <c r="L175" s="23" t="str">
        <f t="shared" si="65"/>
        <v/>
      </c>
      <c r="M175" s="100"/>
      <c r="N175" s="23" t="str">
        <f t="shared" si="52"/>
        <v/>
      </c>
      <c r="O175" s="23" t="str">
        <f t="shared" si="61"/>
        <v/>
      </c>
      <c r="P175" s="23" t="str">
        <f t="shared" si="62"/>
        <v/>
      </c>
      <c r="Q175" s="19" t="str">
        <f t="shared" si="53"/>
        <v/>
      </c>
      <c r="R175" s="19"/>
      <c r="T175" s="37" t="str">
        <f t="shared" si="54"/>
        <v/>
      </c>
      <c r="U175" s="37" t="str">
        <f t="shared" si="63"/>
        <v/>
      </c>
      <c r="W175" s="31" t="str">
        <f t="shared" si="66"/>
        <v/>
      </c>
      <c r="X175" s="31" t="str">
        <f t="shared" si="67"/>
        <v/>
      </c>
      <c r="Y175" s="34">
        <f t="shared" si="64"/>
        <v>1</v>
      </c>
      <c r="Z175" s="31">
        <f t="shared" si="55"/>
        <v>0</v>
      </c>
      <c r="AA175" s="66">
        <f t="shared" si="56"/>
        <v>0</v>
      </c>
      <c r="AB175" s="6" t="str">
        <f t="shared" si="57"/>
        <v/>
      </c>
      <c r="AC175" s="48">
        <f t="shared" si="68"/>
        <v>0</v>
      </c>
    </row>
    <row r="176" spans="3:29" x14ac:dyDescent="0.25">
      <c r="C176" s="27" t="str">
        <f t="shared" si="58"/>
        <v/>
      </c>
      <c r="D176" s="30" t="str">
        <f t="shared" si="59"/>
        <v/>
      </c>
      <c r="E176" s="20" t="str">
        <f t="shared" si="46"/>
        <v/>
      </c>
      <c r="F176" s="20" t="str">
        <f t="shared" si="47"/>
        <v/>
      </c>
      <c r="G176" s="24" t="str">
        <f t="shared" si="60"/>
        <v/>
      </c>
      <c r="H176" s="21" t="str">
        <f t="shared" si="48"/>
        <v/>
      </c>
      <c r="I176" s="66" t="str">
        <f t="shared" si="49"/>
        <v/>
      </c>
      <c r="J176" s="66" t="str">
        <f t="shared" si="50"/>
        <v/>
      </c>
      <c r="K176" s="11" t="str">
        <f t="shared" si="51"/>
        <v/>
      </c>
      <c r="L176" s="23" t="str">
        <f t="shared" si="65"/>
        <v/>
      </c>
      <c r="M176" s="100"/>
      <c r="N176" s="23" t="str">
        <f t="shared" si="52"/>
        <v/>
      </c>
      <c r="O176" s="23" t="str">
        <f t="shared" si="61"/>
        <v/>
      </c>
      <c r="P176" s="23" t="str">
        <f t="shared" si="62"/>
        <v/>
      </c>
      <c r="Q176" s="19" t="str">
        <f t="shared" si="53"/>
        <v/>
      </c>
      <c r="R176" s="19"/>
      <c r="T176" s="37" t="str">
        <f t="shared" si="54"/>
        <v/>
      </c>
      <c r="U176" s="37" t="str">
        <f t="shared" si="63"/>
        <v/>
      </c>
      <c r="W176" s="31" t="str">
        <f t="shared" si="66"/>
        <v/>
      </c>
      <c r="X176" s="31" t="str">
        <f t="shared" si="67"/>
        <v/>
      </c>
      <c r="Y176" s="34">
        <f t="shared" si="64"/>
        <v>1</v>
      </c>
      <c r="Z176" s="31">
        <f t="shared" si="55"/>
        <v>0</v>
      </c>
      <c r="AA176" s="66">
        <f t="shared" si="56"/>
        <v>0</v>
      </c>
      <c r="AB176" s="6" t="str">
        <f t="shared" si="57"/>
        <v/>
      </c>
      <c r="AC176" s="48">
        <f t="shared" si="68"/>
        <v>0</v>
      </c>
    </row>
    <row r="177" spans="3:29" x14ac:dyDescent="0.25">
      <c r="C177" s="27" t="str">
        <f t="shared" si="58"/>
        <v/>
      </c>
      <c r="D177" s="30" t="str">
        <f t="shared" si="59"/>
        <v/>
      </c>
      <c r="E177" s="20" t="str">
        <f t="shared" si="46"/>
        <v/>
      </c>
      <c r="F177" s="20" t="str">
        <f t="shared" si="47"/>
        <v/>
      </c>
      <c r="G177" s="24" t="str">
        <f t="shared" si="60"/>
        <v/>
      </c>
      <c r="H177" s="21" t="str">
        <f t="shared" si="48"/>
        <v/>
      </c>
      <c r="I177" s="66" t="str">
        <f t="shared" si="49"/>
        <v/>
      </c>
      <c r="J177" s="66" t="str">
        <f t="shared" si="50"/>
        <v/>
      </c>
      <c r="K177" s="11" t="str">
        <f t="shared" si="51"/>
        <v/>
      </c>
      <c r="L177" s="23" t="str">
        <f t="shared" si="65"/>
        <v/>
      </c>
      <c r="M177" s="100"/>
      <c r="N177" s="23" t="str">
        <f t="shared" si="52"/>
        <v/>
      </c>
      <c r="O177" s="23" t="str">
        <f t="shared" si="61"/>
        <v/>
      </c>
      <c r="P177" s="23" t="str">
        <f t="shared" si="62"/>
        <v/>
      </c>
      <c r="Q177" s="19" t="str">
        <f t="shared" si="53"/>
        <v/>
      </c>
      <c r="R177" s="19"/>
      <c r="T177" s="37" t="str">
        <f t="shared" si="54"/>
        <v/>
      </c>
      <c r="U177" s="37" t="str">
        <f t="shared" si="63"/>
        <v/>
      </c>
      <c r="W177" s="31" t="str">
        <f t="shared" si="66"/>
        <v/>
      </c>
      <c r="X177" s="31" t="str">
        <f t="shared" si="67"/>
        <v/>
      </c>
      <c r="Y177" s="34">
        <f t="shared" si="64"/>
        <v>1</v>
      </c>
      <c r="Z177" s="31">
        <f t="shared" si="55"/>
        <v>0</v>
      </c>
      <c r="AA177" s="66">
        <f t="shared" si="56"/>
        <v>0</v>
      </c>
      <c r="AB177" s="6" t="str">
        <f t="shared" si="57"/>
        <v/>
      </c>
      <c r="AC177" s="48">
        <f>AC176+$M$17</f>
        <v>0</v>
      </c>
    </row>
    <row r="178" spans="3:29" x14ac:dyDescent="0.25">
      <c r="C178" s="27" t="str">
        <f t="shared" si="58"/>
        <v/>
      </c>
      <c r="D178" s="30" t="str">
        <f t="shared" si="59"/>
        <v/>
      </c>
      <c r="E178" s="20" t="str">
        <f t="shared" si="46"/>
        <v/>
      </c>
      <c r="F178" s="20" t="str">
        <f t="shared" si="47"/>
        <v/>
      </c>
      <c r="G178" s="24" t="str">
        <f t="shared" si="60"/>
        <v/>
      </c>
      <c r="H178" s="21" t="str">
        <f t="shared" si="48"/>
        <v/>
      </c>
      <c r="I178" s="66" t="str">
        <f t="shared" si="49"/>
        <v/>
      </c>
      <c r="J178" s="66" t="str">
        <f t="shared" si="50"/>
        <v/>
      </c>
      <c r="K178" s="11" t="str">
        <f t="shared" si="51"/>
        <v/>
      </c>
      <c r="L178" s="23" t="str">
        <f t="shared" si="65"/>
        <v/>
      </c>
      <c r="M178" s="100"/>
      <c r="N178" s="23" t="str">
        <f t="shared" si="52"/>
        <v/>
      </c>
      <c r="O178" s="23" t="str">
        <f t="shared" si="61"/>
        <v/>
      </c>
      <c r="P178" s="23" t="str">
        <f t="shared" si="62"/>
        <v/>
      </c>
      <c r="Q178" s="19" t="str">
        <f t="shared" si="53"/>
        <v/>
      </c>
      <c r="R178" s="19"/>
      <c r="T178" s="37" t="str">
        <f t="shared" si="54"/>
        <v/>
      </c>
      <c r="U178" s="37" t="str">
        <f t="shared" si="63"/>
        <v/>
      </c>
      <c r="W178" s="31" t="str">
        <f t="shared" si="66"/>
        <v/>
      </c>
      <c r="X178" s="31" t="str">
        <f t="shared" si="67"/>
        <v/>
      </c>
      <c r="Y178" s="34">
        <f t="shared" si="64"/>
        <v>1</v>
      </c>
      <c r="Z178" s="31">
        <f t="shared" si="55"/>
        <v>0</v>
      </c>
      <c r="AA178" s="66">
        <f t="shared" si="56"/>
        <v>0</v>
      </c>
      <c r="AB178" s="6" t="str">
        <f t="shared" si="57"/>
        <v/>
      </c>
      <c r="AC178" s="48">
        <f t="shared" si="68"/>
        <v>0</v>
      </c>
    </row>
    <row r="179" spans="3:29" x14ac:dyDescent="0.25">
      <c r="C179" s="27" t="str">
        <f t="shared" si="58"/>
        <v/>
      </c>
      <c r="D179" s="30" t="str">
        <f t="shared" si="59"/>
        <v/>
      </c>
      <c r="E179" s="20" t="str">
        <f t="shared" si="46"/>
        <v/>
      </c>
      <c r="F179" s="20" t="str">
        <f t="shared" si="47"/>
        <v/>
      </c>
      <c r="G179" s="24" t="str">
        <f t="shared" si="60"/>
        <v/>
      </c>
      <c r="H179" s="21" t="str">
        <f t="shared" si="48"/>
        <v/>
      </c>
      <c r="I179" s="66" t="str">
        <f t="shared" si="49"/>
        <v/>
      </c>
      <c r="J179" s="66" t="str">
        <f t="shared" si="50"/>
        <v/>
      </c>
      <c r="K179" s="11" t="str">
        <f t="shared" si="51"/>
        <v/>
      </c>
      <c r="L179" s="23" t="str">
        <f t="shared" si="65"/>
        <v/>
      </c>
      <c r="M179" s="100"/>
      <c r="N179" s="23" t="str">
        <f t="shared" si="52"/>
        <v/>
      </c>
      <c r="O179" s="23" t="str">
        <f t="shared" si="61"/>
        <v/>
      </c>
      <c r="P179" s="23" t="str">
        <f t="shared" si="62"/>
        <v/>
      </c>
      <c r="Q179" s="19" t="str">
        <f t="shared" si="53"/>
        <v/>
      </c>
      <c r="R179" s="19"/>
      <c r="T179" s="37" t="str">
        <f t="shared" si="54"/>
        <v/>
      </c>
      <c r="U179" s="37" t="str">
        <f t="shared" si="63"/>
        <v/>
      </c>
      <c r="W179" s="31" t="str">
        <f t="shared" si="66"/>
        <v/>
      </c>
      <c r="X179" s="31" t="str">
        <f t="shared" si="67"/>
        <v/>
      </c>
      <c r="Y179" s="34">
        <f t="shared" si="64"/>
        <v>1</v>
      </c>
      <c r="Z179" s="31">
        <f t="shared" si="55"/>
        <v>0</v>
      </c>
      <c r="AA179" s="66">
        <f t="shared" si="56"/>
        <v>0</v>
      </c>
      <c r="AB179" s="6" t="str">
        <f t="shared" si="57"/>
        <v/>
      </c>
      <c r="AC179" s="48">
        <f t="shared" si="68"/>
        <v>0</v>
      </c>
    </row>
    <row r="180" spans="3:29" x14ac:dyDescent="0.25">
      <c r="C180" s="27" t="str">
        <f t="shared" si="58"/>
        <v/>
      </c>
      <c r="D180" s="30" t="str">
        <f t="shared" si="59"/>
        <v/>
      </c>
      <c r="E180" s="20" t="str">
        <f t="shared" si="46"/>
        <v/>
      </c>
      <c r="F180" s="20" t="str">
        <f t="shared" si="47"/>
        <v/>
      </c>
      <c r="G180" s="24" t="str">
        <f t="shared" si="60"/>
        <v/>
      </c>
      <c r="H180" s="21" t="str">
        <f t="shared" si="48"/>
        <v/>
      </c>
      <c r="I180" s="66" t="str">
        <f t="shared" si="49"/>
        <v/>
      </c>
      <c r="J180" s="66" t="str">
        <f t="shared" si="50"/>
        <v/>
      </c>
      <c r="K180" s="11" t="str">
        <f t="shared" si="51"/>
        <v/>
      </c>
      <c r="L180" s="23" t="str">
        <f t="shared" si="65"/>
        <v/>
      </c>
      <c r="M180" s="100"/>
      <c r="N180" s="23" t="str">
        <f t="shared" si="52"/>
        <v/>
      </c>
      <c r="O180" s="23" t="str">
        <f t="shared" si="61"/>
        <v/>
      </c>
      <c r="P180" s="23" t="str">
        <f t="shared" si="62"/>
        <v/>
      </c>
      <c r="Q180" s="19" t="str">
        <f t="shared" si="53"/>
        <v/>
      </c>
      <c r="R180" s="19"/>
      <c r="T180" s="37" t="str">
        <f t="shared" si="54"/>
        <v/>
      </c>
      <c r="U180" s="37" t="str">
        <f t="shared" si="63"/>
        <v/>
      </c>
      <c r="W180" s="31" t="str">
        <f t="shared" si="66"/>
        <v/>
      </c>
      <c r="X180" s="31" t="str">
        <f t="shared" si="67"/>
        <v/>
      </c>
      <c r="Y180" s="34">
        <f t="shared" si="64"/>
        <v>1</v>
      </c>
      <c r="Z180" s="31">
        <f t="shared" si="55"/>
        <v>0</v>
      </c>
      <c r="AA180" s="66">
        <f t="shared" si="56"/>
        <v>0</v>
      </c>
      <c r="AB180" s="6" t="str">
        <f t="shared" si="57"/>
        <v/>
      </c>
      <c r="AC180" s="48">
        <f t="shared" si="68"/>
        <v>0</v>
      </c>
    </row>
    <row r="181" spans="3:29" x14ac:dyDescent="0.25">
      <c r="C181" s="27" t="str">
        <f t="shared" si="58"/>
        <v/>
      </c>
      <c r="D181" s="30" t="str">
        <f t="shared" si="59"/>
        <v/>
      </c>
      <c r="E181" s="20" t="str">
        <f t="shared" si="46"/>
        <v/>
      </c>
      <c r="F181" s="20" t="str">
        <f t="shared" si="47"/>
        <v/>
      </c>
      <c r="G181" s="24" t="str">
        <f t="shared" si="60"/>
        <v/>
      </c>
      <c r="H181" s="21" t="str">
        <f t="shared" si="48"/>
        <v/>
      </c>
      <c r="I181" s="66" t="str">
        <f t="shared" si="49"/>
        <v/>
      </c>
      <c r="J181" s="66" t="str">
        <f t="shared" si="50"/>
        <v/>
      </c>
      <c r="K181" s="11" t="str">
        <f t="shared" si="51"/>
        <v/>
      </c>
      <c r="L181" s="23" t="str">
        <f t="shared" si="65"/>
        <v/>
      </c>
      <c r="M181" s="100"/>
      <c r="N181" s="23" t="str">
        <f t="shared" si="52"/>
        <v/>
      </c>
      <c r="O181" s="23" t="str">
        <f t="shared" si="61"/>
        <v/>
      </c>
      <c r="P181" s="23" t="str">
        <f t="shared" si="62"/>
        <v/>
      </c>
      <c r="Q181" s="19" t="str">
        <f t="shared" si="53"/>
        <v/>
      </c>
      <c r="R181" s="19"/>
      <c r="T181" s="37" t="str">
        <f t="shared" si="54"/>
        <v/>
      </c>
      <c r="U181" s="37" t="str">
        <f t="shared" si="63"/>
        <v/>
      </c>
      <c r="W181" s="31" t="str">
        <f t="shared" si="66"/>
        <v/>
      </c>
      <c r="X181" s="31" t="str">
        <f t="shared" si="67"/>
        <v/>
      </c>
      <c r="Y181" s="34">
        <f t="shared" si="64"/>
        <v>1</v>
      </c>
      <c r="Z181" s="31">
        <f t="shared" si="55"/>
        <v>0</v>
      </c>
      <c r="AA181" s="66">
        <f t="shared" si="56"/>
        <v>0</v>
      </c>
      <c r="AB181" s="6" t="str">
        <f t="shared" si="57"/>
        <v/>
      </c>
      <c r="AC181" s="48">
        <f t="shared" si="68"/>
        <v>0</v>
      </c>
    </row>
    <row r="182" spans="3:29" x14ac:dyDescent="0.25">
      <c r="C182" s="27" t="str">
        <f t="shared" si="58"/>
        <v/>
      </c>
      <c r="D182" s="30" t="str">
        <f t="shared" si="59"/>
        <v/>
      </c>
      <c r="E182" s="20" t="str">
        <f t="shared" si="46"/>
        <v/>
      </c>
      <c r="F182" s="20" t="str">
        <f t="shared" si="47"/>
        <v/>
      </c>
      <c r="G182" s="24" t="str">
        <f t="shared" si="60"/>
        <v/>
      </c>
      <c r="H182" s="21" t="str">
        <f t="shared" si="48"/>
        <v/>
      </c>
      <c r="I182" s="66" t="str">
        <f t="shared" si="49"/>
        <v/>
      </c>
      <c r="J182" s="66" t="str">
        <f t="shared" si="50"/>
        <v/>
      </c>
      <c r="K182" s="11" t="str">
        <f t="shared" si="51"/>
        <v/>
      </c>
      <c r="L182" s="23" t="str">
        <f t="shared" si="65"/>
        <v/>
      </c>
      <c r="M182" s="100"/>
      <c r="N182" s="23" t="str">
        <f t="shared" si="52"/>
        <v/>
      </c>
      <c r="O182" s="23" t="str">
        <f t="shared" si="61"/>
        <v/>
      </c>
      <c r="P182" s="23" t="str">
        <f t="shared" si="62"/>
        <v/>
      </c>
      <c r="Q182" s="19" t="str">
        <f t="shared" si="53"/>
        <v/>
      </c>
      <c r="R182" s="19"/>
      <c r="T182" s="37" t="str">
        <f t="shared" si="54"/>
        <v/>
      </c>
      <c r="U182" s="37" t="str">
        <f t="shared" si="63"/>
        <v/>
      </c>
      <c r="W182" s="31" t="str">
        <f t="shared" si="66"/>
        <v/>
      </c>
      <c r="X182" s="31" t="str">
        <f t="shared" si="67"/>
        <v/>
      </c>
      <c r="Y182" s="34">
        <f t="shared" si="64"/>
        <v>1</v>
      </c>
      <c r="Z182" s="31">
        <f t="shared" si="55"/>
        <v>0</v>
      </c>
      <c r="AA182" s="66">
        <f t="shared" si="56"/>
        <v>0</v>
      </c>
      <c r="AB182" s="6" t="str">
        <f t="shared" si="57"/>
        <v/>
      </c>
      <c r="AC182" s="48">
        <f t="shared" si="68"/>
        <v>0</v>
      </c>
    </row>
    <row r="183" spans="3:29" x14ac:dyDescent="0.25">
      <c r="C183" s="27" t="str">
        <f t="shared" si="58"/>
        <v/>
      </c>
      <c r="D183" s="30" t="str">
        <f t="shared" si="59"/>
        <v/>
      </c>
      <c r="E183" s="20" t="str">
        <f t="shared" si="46"/>
        <v/>
      </c>
      <c r="F183" s="20" t="str">
        <f t="shared" si="47"/>
        <v/>
      </c>
      <c r="G183" s="24" t="str">
        <f t="shared" si="60"/>
        <v/>
      </c>
      <c r="H183" s="21" t="str">
        <f t="shared" si="48"/>
        <v/>
      </c>
      <c r="I183" s="66" t="str">
        <f t="shared" si="49"/>
        <v/>
      </c>
      <c r="J183" s="66" t="str">
        <f t="shared" si="50"/>
        <v/>
      </c>
      <c r="K183" s="11" t="str">
        <f t="shared" si="51"/>
        <v/>
      </c>
      <c r="L183" s="23" t="str">
        <f t="shared" si="65"/>
        <v/>
      </c>
      <c r="M183" s="100"/>
      <c r="N183" s="23" t="str">
        <f t="shared" si="52"/>
        <v/>
      </c>
      <c r="O183" s="23" t="str">
        <f t="shared" si="61"/>
        <v/>
      </c>
      <c r="P183" s="23" t="str">
        <f t="shared" si="62"/>
        <v/>
      </c>
      <c r="Q183" s="19" t="str">
        <f t="shared" si="53"/>
        <v/>
      </c>
      <c r="R183" s="19"/>
      <c r="T183" s="37" t="str">
        <f t="shared" si="54"/>
        <v/>
      </c>
      <c r="U183" s="37" t="str">
        <f t="shared" si="63"/>
        <v/>
      </c>
      <c r="W183" s="31" t="str">
        <f t="shared" si="66"/>
        <v/>
      </c>
      <c r="X183" s="31" t="str">
        <f t="shared" si="67"/>
        <v/>
      </c>
      <c r="Y183" s="34">
        <f t="shared" si="64"/>
        <v>1</v>
      </c>
      <c r="Z183" s="31">
        <f t="shared" si="55"/>
        <v>0</v>
      </c>
      <c r="AA183" s="66">
        <f t="shared" si="56"/>
        <v>0</v>
      </c>
      <c r="AB183" s="6" t="str">
        <f t="shared" si="57"/>
        <v/>
      </c>
      <c r="AC183" s="48">
        <f t="shared" si="68"/>
        <v>0</v>
      </c>
    </row>
    <row r="184" spans="3:29" x14ac:dyDescent="0.25">
      <c r="C184" s="27" t="str">
        <f t="shared" si="58"/>
        <v/>
      </c>
      <c r="D184" s="30" t="str">
        <f t="shared" si="59"/>
        <v/>
      </c>
      <c r="E184" s="20" t="str">
        <f t="shared" si="46"/>
        <v/>
      </c>
      <c r="F184" s="20" t="str">
        <f t="shared" si="47"/>
        <v/>
      </c>
      <c r="G184" s="24" t="str">
        <f t="shared" si="60"/>
        <v/>
      </c>
      <c r="H184" s="21" t="str">
        <f t="shared" si="48"/>
        <v/>
      </c>
      <c r="I184" s="66" t="str">
        <f t="shared" si="49"/>
        <v/>
      </c>
      <c r="J184" s="66" t="str">
        <f t="shared" si="50"/>
        <v/>
      </c>
      <c r="K184" s="11" t="str">
        <f t="shared" si="51"/>
        <v/>
      </c>
      <c r="L184" s="23" t="str">
        <f t="shared" si="65"/>
        <v/>
      </c>
      <c r="M184" s="100"/>
      <c r="N184" s="23" t="str">
        <f t="shared" si="52"/>
        <v/>
      </c>
      <c r="O184" s="23" t="str">
        <f t="shared" si="61"/>
        <v/>
      </c>
      <c r="P184" s="23" t="str">
        <f t="shared" si="62"/>
        <v/>
      </c>
      <c r="Q184" s="19" t="str">
        <f t="shared" si="53"/>
        <v/>
      </c>
      <c r="R184" s="19"/>
      <c r="T184" s="37" t="str">
        <f t="shared" si="54"/>
        <v/>
      </c>
      <c r="U184" s="37" t="str">
        <f t="shared" si="63"/>
        <v/>
      </c>
      <c r="W184" s="31" t="str">
        <f t="shared" si="66"/>
        <v/>
      </c>
      <c r="X184" s="31" t="str">
        <f t="shared" si="67"/>
        <v/>
      </c>
      <c r="Y184" s="34">
        <f t="shared" si="64"/>
        <v>1</v>
      </c>
      <c r="Z184" s="31">
        <f t="shared" si="55"/>
        <v>0</v>
      </c>
      <c r="AA184" s="66">
        <f t="shared" si="56"/>
        <v>0</v>
      </c>
      <c r="AB184" s="6" t="str">
        <f t="shared" si="57"/>
        <v/>
      </c>
      <c r="AC184" s="48">
        <f t="shared" si="68"/>
        <v>0</v>
      </c>
    </row>
    <row r="185" spans="3:29" x14ac:dyDescent="0.25">
      <c r="C185" s="27" t="str">
        <f t="shared" si="58"/>
        <v/>
      </c>
      <c r="D185" s="30" t="str">
        <f t="shared" si="59"/>
        <v/>
      </c>
      <c r="E185" s="20" t="str">
        <f t="shared" si="46"/>
        <v/>
      </c>
      <c r="F185" s="20" t="str">
        <f t="shared" si="47"/>
        <v/>
      </c>
      <c r="G185" s="24" t="str">
        <f t="shared" si="60"/>
        <v/>
      </c>
      <c r="H185" s="21" t="str">
        <f t="shared" si="48"/>
        <v/>
      </c>
      <c r="I185" s="66" t="str">
        <f t="shared" si="49"/>
        <v/>
      </c>
      <c r="J185" s="66" t="str">
        <f t="shared" si="50"/>
        <v/>
      </c>
      <c r="K185" s="11" t="str">
        <f t="shared" si="51"/>
        <v/>
      </c>
      <c r="L185" s="23" t="str">
        <f t="shared" si="65"/>
        <v/>
      </c>
      <c r="M185" s="100"/>
      <c r="N185" s="23" t="str">
        <f t="shared" si="52"/>
        <v/>
      </c>
      <c r="O185" s="23" t="str">
        <f t="shared" si="61"/>
        <v/>
      </c>
      <c r="P185" s="23" t="str">
        <f t="shared" si="62"/>
        <v/>
      </c>
      <c r="Q185" s="19" t="str">
        <f t="shared" si="53"/>
        <v/>
      </c>
      <c r="R185" s="19"/>
      <c r="T185" s="37" t="str">
        <f t="shared" si="54"/>
        <v/>
      </c>
      <c r="U185" s="37" t="str">
        <f t="shared" si="63"/>
        <v/>
      </c>
      <c r="W185" s="31" t="str">
        <f t="shared" si="66"/>
        <v/>
      </c>
      <c r="X185" s="31" t="str">
        <f t="shared" si="67"/>
        <v/>
      </c>
      <c r="Y185" s="34">
        <f t="shared" si="64"/>
        <v>1</v>
      </c>
      <c r="Z185" s="31">
        <f t="shared" si="55"/>
        <v>0</v>
      </c>
      <c r="AA185" s="66">
        <f t="shared" si="56"/>
        <v>0</v>
      </c>
      <c r="AB185" s="6" t="str">
        <f t="shared" si="57"/>
        <v/>
      </c>
      <c r="AC185" s="48">
        <f t="shared" si="68"/>
        <v>0</v>
      </c>
    </row>
    <row r="186" spans="3:29" x14ac:dyDescent="0.25">
      <c r="C186" s="27" t="str">
        <f t="shared" si="58"/>
        <v/>
      </c>
      <c r="D186" s="30" t="str">
        <f t="shared" si="59"/>
        <v/>
      </c>
      <c r="E186" s="20" t="str">
        <f t="shared" si="46"/>
        <v/>
      </c>
      <c r="F186" s="20" t="str">
        <f t="shared" si="47"/>
        <v/>
      </c>
      <c r="G186" s="24" t="str">
        <f t="shared" si="60"/>
        <v/>
      </c>
      <c r="H186" s="21" t="str">
        <f t="shared" si="48"/>
        <v/>
      </c>
      <c r="I186" s="66" t="str">
        <f t="shared" si="49"/>
        <v/>
      </c>
      <c r="J186" s="66" t="str">
        <f t="shared" si="50"/>
        <v/>
      </c>
      <c r="K186" s="11" t="str">
        <f t="shared" si="51"/>
        <v/>
      </c>
      <c r="L186" s="23" t="str">
        <f t="shared" si="65"/>
        <v/>
      </c>
      <c r="M186" s="100"/>
      <c r="N186" s="23" t="str">
        <f t="shared" si="52"/>
        <v/>
      </c>
      <c r="O186" s="23" t="str">
        <f t="shared" si="61"/>
        <v/>
      </c>
      <c r="P186" s="23" t="str">
        <f t="shared" si="62"/>
        <v/>
      </c>
      <c r="Q186" s="19" t="str">
        <f t="shared" si="53"/>
        <v/>
      </c>
      <c r="R186" s="19"/>
      <c r="T186" s="37" t="str">
        <f t="shared" si="54"/>
        <v/>
      </c>
      <c r="U186" s="37" t="str">
        <f t="shared" si="63"/>
        <v/>
      </c>
      <c r="W186" s="31" t="str">
        <f t="shared" si="66"/>
        <v/>
      </c>
      <c r="X186" s="31" t="str">
        <f t="shared" si="67"/>
        <v/>
      </c>
      <c r="Y186" s="34">
        <f t="shared" si="64"/>
        <v>1</v>
      </c>
      <c r="Z186" s="31">
        <f t="shared" si="55"/>
        <v>0</v>
      </c>
      <c r="AA186" s="66">
        <f t="shared" si="56"/>
        <v>0</v>
      </c>
      <c r="AB186" s="6" t="str">
        <f t="shared" si="57"/>
        <v/>
      </c>
      <c r="AC186" s="48">
        <f t="shared" si="68"/>
        <v>0</v>
      </c>
    </row>
    <row r="187" spans="3:29" x14ac:dyDescent="0.25">
      <c r="C187" s="27" t="str">
        <f t="shared" si="58"/>
        <v/>
      </c>
      <c r="D187" s="30" t="str">
        <f t="shared" si="59"/>
        <v/>
      </c>
      <c r="E187" s="20" t="str">
        <f t="shared" si="46"/>
        <v/>
      </c>
      <c r="F187" s="20" t="str">
        <f t="shared" si="47"/>
        <v/>
      </c>
      <c r="G187" s="24" t="str">
        <f t="shared" si="60"/>
        <v/>
      </c>
      <c r="H187" s="21" t="str">
        <f t="shared" si="48"/>
        <v/>
      </c>
      <c r="I187" s="66" t="str">
        <f t="shared" si="49"/>
        <v/>
      </c>
      <c r="J187" s="66" t="str">
        <f t="shared" si="50"/>
        <v/>
      </c>
      <c r="K187" s="11" t="str">
        <f t="shared" si="51"/>
        <v/>
      </c>
      <c r="L187" s="23" t="str">
        <f t="shared" si="65"/>
        <v/>
      </c>
      <c r="M187" s="100"/>
      <c r="N187" s="23" t="str">
        <f t="shared" si="52"/>
        <v/>
      </c>
      <c r="O187" s="23" t="str">
        <f t="shared" si="61"/>
        <v/>
      </c>
      <c r="P187" s="23" t="str">
        <f t="shared" si="62"/>
        <v/>
      </c>
      <c r="Q187" s="19" t="str">
        <f t="shared" si="53"/>
        <v/>
      </c>
      <c r="R187" s="19"/>
      <c r="T187" s="37" t="str">
        <f t="shared" si="54"/>
        <v/>
      </c>
      <c r="U187" s="37" t="str">
        <f t="shared" si="63"/>
        <v/>
      </c>
      <c r="W187" s="31" t="str">
        <f t="shared" si="66"/>
        <v/>
      </c>
      <c r="X187" s="31" t="str">
        <f t="shared" si="67"/>
        <v/>
      </c>
      <c r="Y187" s="34">
        <f t="shared" si="64"/>
        <v>1</v>
      </c>
      <c r="Z187" s="31">
        <f t="shared" si="55"/>
        <v>0</v>
      </c>
      <c r="AA187" s="66">
        <f t="shared" si="56"/>
        <v>0</v>
      </c>
      <c r="AB187" s="6" t="str">
        <f t="shared" si="57"/>
        <v/>
      </c>
      <c r="AC187" s="48">
        <f t="shared" si="68"/>
        <v>0</v>
      </c>
    </row>
    <row r="188" spans="3:29" x14ac:dyDescent="0.25">
      <c r="C188" s="27" t="str">
        <f t="shared" si="58"/>
        <v/>
      </c>
      <c r="D188" s="30" t="str">
        <f t="shared" si="59"/>
        <v/>
      </c>
      <c r="E188" s="20" t="str">
        <f t="shared" si="46"/>
        <v/>
      </c>
      <c r="F188" s="20" t="str">
        <f t="shared" si="47"/>
        <v/>
      </c>
      <c r="G188" s="24" t="str">
        <f t="shared" si="60"/>
        <v/>
      </c>
      <c r="H188" s="21" t="str">
        <f t="shared" si="48"/>
        <v/>
      </c>
      <c r="I188" s="66" t="str">
        <f t="shared" si="49"/>
        <v/>
      </c>
      <c r="J188" s="66" t="str">
        <f t="shared" si="50"/>
        <v/>
      </c>
      <c r="K188" s="11" t="str">
        <f t="shared" si="51"/>
        <v/>
      </c>
      <c r="L188" s="23" t="str">
        <f t="shared" si="65"/>
        <v/>
      </c>
      <c r="M188" s="100"/>
      <c r="N188" s="23" t="str">
        <f t="shared" si="52"/>
        <v/>
      </c>
      <c r="O188" s="23" t="str">
        <f t="shared" si="61"/>
        <v/>
      </c>
      <c r="P188" s="23" t="str">
        <f t="shared" si="62"/>
        <v/>
      </c>
      <c r="Q188" s="19" t="str">
        <f t="shared" si="53"/>
        <v/>
      </c>
      <c r="R188" s="19"/>
      <c r="T188" s="37" t="str">
        <f t="shared" si="54"/>
        <v/>
      </c>
      <c r="U188" s="37" t="str">
        <f t="shared" si="63"/>
        <v/>
      </c>
      <c r="W188" s="31" t="str">
        <f t="shared" si="66"/>
        <v/>
      </c>
      <c r="X188" s="31" t="str">
        <f t="shared" si="67"/>
        <v/>
      </c>
      <c r="Y188" s="34">
        <f t="shared" si="64"/>
        <v>1</v>
      </c>
      <c r="Z188" s="31">
        <f t="shared" si="55"/>
        <v>0</v>
      </c>
      <c r="AA188" s="66">
        <f t="shared" si="56"/>
        <v>0</v>
      </c>
      <c r="AB188" s="6" t="str">
        <f t="shared" si="57"/>
        <v/>
      </c>
      <c r="AC188" s="48">
        <f t="shared" si="68"/>
        <v>0</v>
      </c>
    </row>
    <row r="189" spans="3:29" x14ac:dyDescent="0.25">
      <c r="C189" s="27" t="str">
        <f t="shared" si="58"/>
        <v/>
      </c>
      <c r="D189" s="30" t="str">
        <f t="shared" si="59"/>
        <v/>
      </c>
      <c r="E189" s="20" t="str">
        <f t="shared" si="46"/>
        <v/>
      </c>
      <c r="F189" s="20" t="str">
        <f t="shared" si="47"/>
        <v/>
      </c>
      <c r="G189" s="24" t="str">
        <f t="shared" si="60"/>
        <v/>
      </c>
      <c r="H189" s="21" t="str">
        <f t="shared" si="48"/>
        <v/>
      </c>
      <c r="I189" s="66" t="str">
        <f t="shared" si="49"/>
        <v/>
      </c>
      <c r="J189" s="66" t="str">
        <f t="shared" si="50"/>
        <v/>
      </c>
      <c r="K189" s="11" t="str">
        <f t="shared" si="51"/>
        <v/>
      </c>
      <c r="L189" s="23" t="str">
        <f t="shared" si="65"/>
        <v/>
      </c>
      <c r="M189" s="100"/>
      <c r="N189" s="23" t="str">
        <f t="shared" si="52"/>
        <v/>
      </c>
      <c r="O189" s="23" t="str">
        <f t="shared" si="61"/>
        <v/>
      </c>
      <c r="P189" s="23" t="str">
        <f t="shared" si="62"/>
        <v/>
      </c>
      <c r="Q189" s="19" t="str">
        <f t="shared" si="53"/>
        <v/>
      </c>
      <c r="R189" s="19"/>
      <c r="T189" s="37" t="str">
        <f t="shared" si="54"/>
        <v/>
      </c>
      <c r="U189" s="37" t="str">
        <f t="shared" si="63"/>
        <v/>
      </c>
      <c r="W189" s="31" t="str">
        <f t="shared" si="66"/>
        <v/>
      </c>
      <c r="X189" s="31" t="str">
        <f t="shared" si="67"/>
        <v/>
      </c>
      <c r="Y189" s="34">
        <f t="shared" si="64"/>
        <v>1</v>
      </c>
      <c r="Z189" s="31">
        <f t="shared" si="55"/>
        <v>0</v>
      </c>
      <c r="AA189" s="66">
        <f t="shared" si="56"/>
        <v>0</v>
      </c>
      <c r="AB189" s="6" t="str">
        <f t="shared" si="57"/>
        <v/>
      </c>
      <c r="AC189" s="48">
        <f>AC188+$M$17</f>
        <v>0</v>
      </c>
    </row>
    <row r="190" spans="3:29" x14ac:dyDescent="0.25">
      <c r="C190" s="27" t="str">
        <f t="shared" si="58"/>
        <v/>
      </c>
      <c r="D190" s="30" t="str">
        <f t="shared" si="59"/>
        <v/>
      </c>
      <c r="E190" s="20" t="str">
        <f t="shared" si="46"/>
        <v/>
      </c>
      <c r="F190" s="20" t="str">
        <f t="shared" si="47"/>
        <v/>
      </c>
      <c r="G190" s="24" t="str">
        <f t="shared" si="60"/>
        <v/>
      </c>
      <c r="H190" s="21" t="str">
        <f t="shared" si="48"/>
        <v/>
      </c>
      <c r="I190" s="66" t="str">
        <f t="shared" si="49"/>
        <v/>
      </c>
      <c r="J190" s="66" t="str">
        <f t="shared" si="50"/>
        <v/>
      </c>
      <c r="K190" s="11" t="str">
        <f t="shared" si="51"/>
        <v/>
      </c>
      <c r="L190" s="23" t="str">
        <f t="shared" si="65"/>
        <v/>
      </c>
      <c r="M190" s="100"/>
      <c r="N190" s="23" t="str">
        <f t="shared" si="52"/>
        <v/>
      </c>
      <c r="O190" s="23" t="str">
        <f t="shared" si="61"/>
        <v/>
      </c>
      <c r="P190" s="23" t="str">
        <f t="shared" si="62"/>
        <v/>
      </c>
      <c r="Q190" s="19" t="str">
        <f t="shared" si="53"/>
        <v/>
      </c>
      <c r="R190" s="19"/>
      <c r="T190" s="37" t="str">
        <f t="shared" si="54"/>
        <v/>
      </c>
      <c r="U190" s="37" t="str">
        <f t="shared" si="63"/>
        <v/>
      </c>
      <c r="W190" s="31" t="str">
        <f t="shared" si="66"/>
        <v/>
      </c>
      <c r="X190" s="31" t="str">
        <f t="shared" si="67"/>
        <v/>
      </c>
      <c r="Y190" s="34">
        <f t="shared" si="64"/>
        <v>1</v>
      </c>
      <c r="Z190" s="31">
        <f t="shared" si="55"/>
        <v>0</v>
      </c>
      <c r="AA190" s="66">
        <f t="shared" si="56"/>
        <v>0</v>
      </c>
      <c r="AB190" s="6" t="str">
        <f t="shared" si="57"/>
        <v/>
      </c>
      <c r="AC190" s="48">
        <f t="shared" si="68"/>
        <v>0</v>
      </c>
    </row>
    <row r="191" spans="3:29" x14ac:dyDescent="0.25">
      <c r="C191" s="27" t="str">
        <f t="shared" si="58"/>
        <v/>
      </c>
      <c r="D191" s="30" t="str">
        <f t="shared" si="59"/>
        <v/>
      </c>
      <c r="E191" s="20" t="str">
        <f t="shared" si="46"/>
        <v/>
      </c>
      <c r="F191" s="20" t="str">
        <f t="shared" si="47"/>
        <v/>
      </c>
      <c r="G191" s="24" t="str">
        <f t="shared" si="60"/>
        <v/>
      </c>
      <c r="H191" s="21" t="str">
        <f t="shared" si="48"/>
        <v/>
      </c>
      <c r="I191" s="66" t="str">
        <f t="shared" si="49"/>
        <v/>
      </c>
      <c r="J191" s="66" t="str">
        <f t="shared" si="50"/>
        <v/>
      </c>
      <c r="K191" s="11" t="str">
        <f t="shared" si="51"/>
        <v/>
      </c>
      <c r="L191" s="23" t="str">
        <f t="shared" si="65"/>
        <v/>
      </c>
      <c r="M191" s="100"/>
      <c r="N191" s="23" t="str">
        <f t="shared" si="52"/>
        <v/>
      </c>
      <c r="O191" s="23" t="str">
        <f t="shared" si="61"/>
        <v/>
      </c>
      <c r="P191" s="23" t="str">
        <f t="shared" si="62"/>
        <v/>
      </c>
      <c r="Q191" s="19" t="str">
        <f t="shared" si="53"/>
        <v/>
      </c>
      <c r="R191" s="19"/>
      <c r="T191" s="37" t="str">
        <f t="shared" si="54"/>
        <v/>
      </c>
      <c r="U191" s="37" t="str">
        <f t="shared" si="63"/>
        <v/>
      </c>
      <c r="W191" s="31" t="str">
        <f t="shared" si="66"/>
        <v/>
      </c>
      <c r="X191" s="31" t="str">
        <f t="shared" si="67"/>
        <v/>
      </c>
      <c r="Y191" s="34">
        <f t="shared" si="64"/>
        <v>1</v>
      </c>
      <c r="Z191" s="31">
        <f t="shared" si="55"/>
        <v>0</v>
      </c>
      <c r="AA191" s="66">
        <f t="shared" si="56"/>
        <v>0</v>
      </c>
      <c r="AB191" s="6" t="str">
        <f t="shared" si="57"/>
        <v/>
      </c>
      <c r="AC191" s="48">
        <f t="shared" si="68"/>
        <v>0</v>
      </c>
    </row>
    <row r="192" spans="3:29" x14ac:dyDescent="0.25">
      <c r="C192" s="27" t="str">
        <f t="shared" si="58"/>
        <v/>
      </c>
      <c r="D192" s="30" t="str">
        <f t="shared" si="59"/>
        <v/>
      </c>
      <c r="E192" s="20" t="str">
        <f t="shared" si="46"/>
        <v/>
      </c>
      <c r="F192" s="20" t="str">
        <f t="shared" si="47"/>
        <v/>
      </c>
      <c r="G192" s="24" t="str">
        <f t="shared" si="60"/>
        <v/>
      </c>
      <c r="H192" s="21" t="str">
        <f t="shared" si="48"/>
        <v/>
      </c>
      <c r="I192" s="66" t="str">
        <f t="shared" si="49"/>
        <v/>
      </c>
      <c r="J192" s="66" t="str">
        <f t="shared" si="50"/>
        <v/>
      </c>
      <c r="K192" s="11" t="str">
        <f t="shared" si="51"/>
        <v/>
      </c>
      <c r="L192" s="23" t="str">
        <f t="shared" si="65"/>
        <v/>
      </c>
      <c r="M192" s="100"/>
      <c r="N192" s="23" t="str">
        <f t="shared" si="52"/>
        <v/>
      </c>
      <c r="O192" s="23" t="str">
        <f t="shared" si="61"/>
        <v/>
      </c>
      <c r="P192" s="23" t="str">
        <f t="shared" si="62"/>
        <v/>
      </c>
      <c r="Q192" s="19" t="str">
        <f t="shared" si="53"/>
        <v/>
      </c>
      <c r="R192" s="19"/>
      <c r="T192" s="37" t="str">
        <f t="shared" si="54"/>
        <v/>
      </c>
      <c r="U192" s="37" t="str">
        <f t="shared" si="63"/>
        <v/>
      </c>
      <c r="W192" s="31" t="str">
        <f t="shared" si="66"/>
        <v/>
      </c>
      <c r="X192" s="31" t="str">
        <f t="shared" si="67"/>
        <v/>
      </c>
      <c r="Y192" s="34">
        <f t="shared" si="64"/>
        <v>1</v>
      </c>
      <c r="Z192" s="31">
        <f t="shared" si="55"/>
        <v>0</v>
      </c>
      <c r="AA192" s="66">
        <f t="shared" si="56"/>
        <v>0</v>
      </c>
      <c r="AB192" s="6" t="str">
        <f t="shared" si="57"/>
        <v/>
      </c>
      <c r="AC192" s="48">
        <f t="shared" si="68"/>
        <v>0</v>
      </c>
    </row>
    <row r="193" spans="3:29" x14ac:dyDescent="0.25">
      <c r="C193" s="27" t="str">
        <f t="shared" si="58"/>
        <v/>
      </c>
      <c r="D193" s="30" t="str">
        <f t="shared" si="59"/>
        <v/>
      </c>
      <c r="E193" s="20" t="str">
        <f t="shared" si="46"/>
        <v/>
      </c>
      <c r="F193" s="20" t="str">
        <f t="shared" si="47"/>
        <v/>
      </c>
      <c r="G193" s="24" t="str">
        <f t="shared" si="60"/>
        <v/>
      </c>
      <c r="H193" s="21" t="str">
        <f t="shared" si="48"/>
        <v/>
      </c>
      <c r="I193" s="66" t="str">
        <f t="shared" si="49"/>
        <v/>
      </c>
      <c r="J193" s="66" t="str">
        <f t="shared" si="50"/>
        <v/>
      </c>
      <c r="K193" s="11" t="str">
        <f t="shared" si="51"/>
        <v/>
      </c>
      <c r="L193" s="23" t="str">
        <f t="shared" si="65"/>
        <v/>
      </c>
      <c r="M193" s="100"/>
      <c r="N193" s="23" t="str">
        <f t="shared" si="52"/>
        <v/>
      </c>
      <c r="O193" s="23" t="str">
        <f t="shared" si="61"/>
        <v/>
      </c>
      <c r="P193" s="23" t="str">
        <f t="shared" si="62"/>
        <v/>
      </c>
      <c r="Q193" s="19" t="str">
        <f t="shared" si="53"/>
        <v/>
      </c>
      <c r="R193" s="19"/>
      <c r="T193" s="37" t="str">
        <f t="shared" si="54"/>
        <v/>
      </c>
      <c r="U193" s="37" t="str">
        <f t="shared" si="63"/>
        <v/>
      </c>
      <c r="W193" s="31" t="str">
        <f t="shared" si="66"/>
        <v/>
      </c>
      <c r="X193" s="31" t="str">
        <f t="shared" si="67"/>
        <v/>
      </c>
      <c r="Y193" s="34">
        <f t="shared" si="64"/>
        <v>1</v>
      </c>
      <c r="Z193" s="31">
        <f t="shared" si="55"/>
        <v>0</v>
      </c>
      <c r="AA193" s="66">
        <f t="shared" si="56"/>
        <v>0</v>
      </c>
      <c r="AB193" s="6" t="str">
        <f t="shared" si="57"/>
        <v/>
      </c>
      <c r="AC193" s="48">
        <f t="shared" si="68"/>
        <v>0</v>
      </c>
    </row>
    <row r="194" spans="3:29" x14ac:dyDescent="0.25">
      <c r="C194" s="27" t="str">
        <f t="shared" si="58"/>
        <v/>
      </c>
      <c r="D194" s="30" t="str">
        <f t="shared" si="59"/>
        <v/>
      </c>
      <c r="E194" s="20" t="str">
        <f t="shared" si="46"/>
        <v/>
      </c>
      <c r="F194" s="20" t="str">
        <f t="shared" si="47"/>
        <v/>
      </c>
      <c r="G194" s="24" t="str">
        <f t="shared" si="60"/>
        <v/>
      </c>
      <c r="H194" s="21" t="str">
        <f t="shared" si="48"/>
        <v/>
      </c>
      <c r="I194" s="66" t="str">
        <f t="shared" si="49"/>
        <v/>
      </c>
      <c r="J194" s="66" t="str">
        <f t="shared" si="50"/>
        <v/>
      </c>
      <c r="K194" s="11" t="str">
        <f t="shared" si="51"/>
        <v/>
      </c>
      <c r="L194" s="23" t="str">
        <f t="shared" si="65"/>
        <v/>
      </c>
      <c r="M194" s="100"/>
      <c r="N194" s="23" t="str">
        <f t="shared" si="52"/>
        <v/>
      </c>
      <c r="O194" s="23" t="str">
        <f t="shared" si="61"/>
        <v/>
      </c>
      <c r="P194" s="23" t="str">
        <f t="shared" si="62"/>
        <v/>
      </c>
      <c r="Q194" s="19" t="str">
        <f t="shared" si="53"/>
        <v/>
      </c>
      <c r="R194" s="19"/>
      <c r="T194" s="37" t="str">
        <f t="shared" si="54"/>
        <v/>
      </c>
      <c r="U194" s="37" t="str">
        <f t="shared" si="63"/>
        <v/>
      </c>
      <c r="W194" s="31" t="str">
        <f t="shared" si="66"/>
        <v/>
      </c>
      <c r="X194" s="31" t="str">
        <f t="shared" si="67"/>
        <v/>
      </c>
      <c r="Y194" s="34">
        <f t="shared" si="64"/>
        <v>1</v>
      </c>
      <c r="Z194" s="31">
        <f t="shared" si="55"/>
        <v>0</v>
      </c>
      <c r="AA194" s="66">
        <f t="shared" si="56"/>
        <v>0</v>
      </c>
      <c r="AB194" s="6" t="str">
        <f t="shared" si="57"/>
        <v/>
      </c>
      <c r="AC194" s="48">
        <f t="shared" si="68"/>
        <v>0</v>
      </c>
    </row>
    <row r="195" spans="3:29" x14ac:dyDescent="0.25">
      <c r="C195" s="27" t="str">
        <f t="shared" si="58"/>
        <v/>
      </c>
      <c r="D195" s="30" t="str">
        <f t="shared" si="59"/>
        <v/>
      </c>
      <c r="E195" s="20" t="str">
        <f t="shared" si="46"/>
        <v/>
      </c>
      <c r="F195" s="20" t="str">
        <f t="shared" si="47"/>
        <v/>
      </c>
      <c r="G195" s="24" t="str">
        <f t="shared" si="60"/>
        <v/>
      </c>
      <c r="H195" s="21" t="str">
        <f t="shared" si="48"/>
        <v/>
      </c>
      <c r="I195" s="66" t="str">
        <f t="shared" si="49"/>
        <v/>
      </c>
      <c r="J195" s="66" t="str">
        <f t="shared" si="50"/>
        <v/>
      </c>
      <c r="K195" s="11" t="str">
        <f t="shared" si="51"/>
        <v/>
      </c>
      <c r="L195" s="23" t="str">
        <f t="shared" si="65"/>
        <v/>
      </c>
      <c r="M195" s="100"/>
      <c r="N195" s="23" t="str">
        <f t="shared" si="52"/>
        <v/>
      </c>
      <c r="O195" s="23" t="str">
        <f t="shared" si="61"/>
        <v/>
      </c>
      <c r="P195" s="23" t="str">
        <f t="shared" si="62"/>
        <v/>
      </c>
      <c r="Q195" s="19" t="str">
        <f t="shared" si="53"/>
        <v/>
      </c>
      <c r="R195" s="19"/>
      <c r="T195" s="37" t="str">
        <f t="shared" si="54"/>
        <v/>
      </c>
      <c r="U195" s="37" t="str">
        <f t="shared" si="63"/>
        <v/>
      </c>
      <c r="W195" s="31" t="str">
        <f t="shared" si="66"/>
        <v/>
      </c>
      <c r="X195" s="31" t="str">
        <f t="shared" si="67"/>
        <v/>
      </c>
      <c r="Y195" s="34">
        <f t="shared" si="64"/>
        <v>1</v>
      </c>
      <c r="Z195" s="31">
        <f t="shared" si="55"/>
        <v>0</v>
      </c>
      <c r="AA195" s="66">
        <f t="shared" si="56"/>
        <v>0</v>
      </c>
      <c r="AB195" s="6" t="str">
        <f t="shared" si="57"/>
        <v/>
      </c>
      <c r="AC195" s="48">
        <f t="shared" si="68"/>
        <v>0</v>
      </c>
    </row>
    <row r="196" spans="3:29" x14ac:dyDescent="0.25">
      <c r="C196" s="27" t="str">
        <f t="shared" si="58"/>
        <v/>
      </c>
      <c r="D196" s="30" t="str">
        <f t="shared" si="59"/>
        <v/>
      </c>
      <c r="E196" s="20" t="str">
        <f t="shared" si="46"/>
        <v/>
      </c>
      <c r="F196" s="20" t="str">
        <f t="shared" si="47"/>
        <v/>
      </c>
      <c r="G196" s="24" t="str">
        <f t="shared" si="60"/>
        <v/>
      </c>
      <c r="H196" s="21" t="str">
        <f t="shared" si="48"/>
        <v/>
      </c>
      <c r="I196" s="66" t="str">
        <f t="shared" si="49"/>
        <v/>
      </c>
      <c r="J196" s="66" t="str">
        <f t="shared" si="50"/>
        <v/>
      </c>
      <c r="K196" s="11" t="str">
        <f t="shared" si="51"/>
        <v/>
      </c>
      <c r="L196" s="23" t="str">
        <f t="shared" si="65"/>
        <v/>
      </c>
      <c r="M196" s="100"/>
      <c r="N196" s="23" t="str">
        <f t="shared" si="52"/>
        <v/>
      </c>
      <c r="O196" s="23" t="str">
        <f t="shared" si="61"/>
        <v/>
      </c>
      <c r="P196" s="23" t="str">
        <f t="shared" si="62"/>
        <v/>
      </c>
      <c r="Q196" s="19" t="str">
        <f t="shared" si="53"/>
        <v/>
      </c>
      <c r="R196" s="19"/>
      <c r="T196" s="37" t="str">
        <f t="shared" si="54"/>
        <v/>
      </c>
      <c r="U196" s="37" t="str">
        <f t="shared" si="63"/>
        <v/>
      </c>
      <c r="W196" s="31" t="str">
        <f t="shared" si="66"/>
        <v/>
      </c>
      <c r="X196" s="31" t="str">
        <f t="shared" si="67"/>
        <v/>
      </c>
      <c r="Y196" s="34">
        <f t="shared" si="64"/>
        <v>1</v>
      </c>
      <c r="Z196" s="31">
        <f t="shared" si="55"/>
        <v>0</v>
      </c>
      <c r="AA196" s="66">
        <f t="shared" si="56"/>
        <v>0</v>
      </c>
      <c r="AB196" s="6" t="str">
        <f t="shared" si="57"/>
        <v/>
      </c>
      <c r="AC196" s="48">
        <f t="shared" si="68"/>
        <v>0</v>
      </c>
    </row>
    <row r="197" spans="3:29" x14ac:dyDescent="0.25">
      <c r="C197" s="27" t="str">
        <f t="shared" si="58"/>
        <v/>
      </c>
      <c r="D197" s="30" t="str">
        <f t="shared" si="59"/>
        <v/>
      </c>
      <c r="E197" s="20" t="str">
        <f t="shared" si="46"/>
        <v/>
      </c>
      <c r="F197" s="20" t="str">
        <f t="shared" si="47"/>
        <v/>
      </c>
      <c r="G197" s="24" t="str">
        <f t="shared" si="60"/>
        <v/>
      </c>
      <c r="H197" s="21" t="str">
        <f t="shared" si="48"/>
        <v/>
      </c>
      <c r="I197" s="66" t="str">
        <f t="shared" si="49"/>
        <v/>
      </c>
      <c r="J197" s="66" t="str">
        <f t="shared" si="50"/>
        <v/>
      </c>
      <c r="K197" s="11" t="str">
        <f t="shared" si="51"/>
        <v/>
      </c>
      <c r="L197" s="23" t="str">
        <f t="shared" si="65"/>
        <v/>
      </c>
      <c r="M197" s="100"/>
      <c r="N197" s="23" t="str">
        <f t="shared" si="52"/>
        <v/>
      </c>
      <c r="O197" s="23" t="str">
        <f t="shared" si="61"/>
        <v/>
      </c>
      <c r="P197" s="23" t="str">
        <f t="shared" si="62"/>
        <v/>
      </c>
      <c r="Q197" s="19" t="str">
        <f t="shared" si="53"/>
        <v/>
      </c>
      <c r="R197" s="19"/>
      <c r="T197" s="37" t="str">
        <f t="shared" si="54"/>
        <v/>
      </c>
      <c r="U197" s="37" t="str">
        <f t="shared" si="63"/>
        <v/>
      </c>
      <c r="W197" s="31" t="str">
        <f t="shared" si="66"/>
        <v/>
      </c>
      <c r="X197" s="31" t="str">
        <f t="shared" si="67"/>
        <v/>
      </c>
      <c r="Y197" s="34">
        <f t="shared" si="64"/>
        <v>1</v>
      </c>
      <c r="Z197" s="31">
        <f t="shared" si="55"/>
        <v>0</v>
      </c>
      <c r="AA197" s="66">
        <f t="shared" si="56"/>
        <v>0</v>
      </c>
      <c r="AB197" s="6" t="str">
        <f t="shared" si="57"/>
        <v/>
      </c>
      <c r="AC197" s="48">
        <f t="shared" si="68"/>
        <v>0</v>
      </c>
    </row>
    <row r="198" spans="3:29" x14ac:dyDescent="0.25">
      <c r="C198" s="27" t="str">
        <f t="shared" si="58"/>
        <v/>
      </c>
      <c r="D198" s="30" t="str">
        <f t="shared" si="59"/>
        <v/>
      </c>
      <c r="E198" s="20" t="str">
        <f t="shared" si="46"/>
        <v/>
      </c>
      <c r="F198" s="20" t="str">
        <f t="shared" si="47"/>
        <v/>
      </c>
      <c r="G198" s="24" t="str">
        <f t="shared" si="60"/>
        <v/>
      </c>
      <c r="H198" s="21" t="str">
        <f t="shared" si="48"/>
        <v/>
      </c>
      <c r="I198" s="66" t="str">
        <f t="shared" si="49"/>
        <v/>
      </c>
      <c r="J198" s="66" t="str">
        <f t="shared" si="50"/>
        <v/>
      </c>
      <c r="K198" s="11" t="str">
        <f t="shared" si="51"/>
        <v/>
      </c>
      <c r="L198" s="23" t="str">
        <f t="shared" si="65"/>
        <v/>
      </c>
      <c r="M198" s="100"/>
      <c r="N198" s="23" t="str">
        <f t="shared" si="52"/>
        <v/>
      </c>
      <c r="O198" s="23" t="str">
        <f t="shared" si="61"/>
        <v/>
      </c>
      <c r="P198" s="23" t="str">
        <f t="shared" si="62"/>
        <v/>
      </c>
      <c r="Q198" s="19" t="str">
        <f t="shared" si="53"/>
        <v/>
      </c>
      <c r="R198" s="19"/>
      <c r="T198" s="37" t="str">
        <f t="shared" si="54"/>
        <v/>
      </c>
      <c r="U198" s="37" t="str">
        <f t="shared" si="63"/>
        <v/>
      </c>
      <c r="W198" s="31" t="str">
        <f t="shared" si="66"/>
        <v/>
      </c>
      <c r="X198" s="31" t="str">
        <f t="shared" si="67"/>
        <v/>
      </c>
      <c r="Y198" s="34">
        <f t="shared" si="64"/>
        <v>1</v>
      </c>
      <c r="Z198" s="31">
        <f t="shared" si="55"/>
        <v>0</v>
      </c>
      <c r="AA198" s="66">
        <f t="shared" si="56"/>
        <v>0</v>
      </c>
      <c r="AB198" s="6" t="str">
        <f t="shared" si="57"/>
        <v/>
      </c>
      <c r="AC198" s="48">
        <f t="shared" si="68"/>
        <v>0</v>
      </c>
    </row>
    <row r="199" spans="3:29" x14ac:dyDescent="0.25">
      <c r="C199" s="27" t="str">
        <f t="shared" si="58"/>
        <v/>
      </c>
      <c r="D199" s="30" t="str">
        <f t="shared" si="59"/>
        <v/>
      </c>
      <c r="E199" s="20" t="str">
        <f t="shared" si="46"/>
        <v/>
      </c>
      <c r="F199" s="20" t="str">
        <f t="shared" si="47"/>
        <v/>
      </c>
      <c r="G199" s="24" t="str">
        <f t="shared" si="60"/>
        <v/>
      </c>
      <c r="H199" s="21" t="str">
        <f t="shared" si="48"/>
        <v/>
      </c>
      <c r="I199" s="66" t="str">
        <f t="shared" si="49"/>
        <v/>
      </c>
      <c r="J199" s="66" t="str">
        <f t="shared" si="50"/>
        <v/>
      </c>
      <c r="K199" s="11" t="str">
        <f t="shared" si="51"/>
        <v/>
      </c>
      <c r="L199" s="23" t="str">
        <f t="shared" si="65"/>
        <v/>
      </c>
      <c r="M199" s="100"/>
      <c r="N199" s="23" t="str">
        <f t="shared" si="52"/>
        <v/>
      </c>
      <c r="O199" s="23" t="str">
        <f t="shared" si="61"/>
        <v/>
      </c>
      <c r="P199" s="23" t="str">
        <f t="shared" si="62"/>
        <v/>
      </c>
      <c r="Q199" s="19" t="str">
        <f t="shared" si="53"/>
        <v/>
      </c>
      <c r="R199" s="19"/>
      <c r="T199" s="37" t="str">
        <f t="shared" si="54"/>
        <v/>
      </c>
      <c r="U199" s="37" t="str">
        <f t="shared" si="63"/>
        <v/>
      </c>
      <c r="W199" s="31" t="str">
        <f t="shared" si="66"/>
        <v/>
      </c>
      <c r="X199" s="31" t="str">
        <f t="shared" si="67"/>
        <v/>
      </c>
      <c r="Y199" s="34">
        <f t="shared" si="64"/>
        <v>1</v>
      </c>
      <c r="Z199" s="31">
        <f t="shared" si="55"/>
        <v>0</v>
      </c>
      <c r="AA199" s="66">
        <f t="shared" si="56"/>
        <v>0</v>
      </c>
      <c r="AB199" s="6" t="str">
        <f t="shared" si="57"/>
        <v/>
      </c>
      <c r="AC199" s="48">
        <f t="shared" si="68"/>
        <v>0</v>
      </c>
    </row>
    <row r="200" spans="3:29" x14ac:dyDescent="0.25">
      <c r="C200" s="27" t="str">
        <f t="shared" si="58"/>
        <v/>
      </c>
      <c r="D200" s="30" t="str">
        <f t="shared" si="59"/>
        <v/>
      </c>
      <c r="E200" s="20" t="str">
        <f t="shared" si="46"/>
        <v/>
      </c>
      <c r="F200" s="20" t="str">
        <f t="shared" si="47"/>
        <v/>
      </c>
      <c r="G200" s="24" t="str">
        <f t="shared" si="60"/>
        <v/>
      </c>
      <c r="H200" s="21" t="str">
        <f t="shared" si="48"/>
        <v/>
      </c>
      <c r="I200" s="66" t="str">
        <f t="shared" si="49"/>
        <v/>
      </c>
      <c r="J200" s="66" t="str">
        <f t="shared" si="50"/>
        <v/>
      </c>
      <c r="K200" s="11" t="str">
        <f t="shared" si="51"/>
        <v/>
      </c>
      <c r="L200" s="23" t="str">
        <f t="shared" si="65"/>
        <v/>
      </c>
      <c r="M200" s="100"/>
      <c r="N200" s="23" t="str">
        <f t="shared" si="52"/>
        <v/>
      </c>
      <c r="O200" s="23" t="str">
        <f t="shared" si="61"/>
        <v/>
      </c>
      <c r="P200" s="23" t="str">
        <f t="shared" si="62"/>
        <v/>
      </c>
      <c r="Q200" s="19" t="str">
        <f t="shared" si="53"/>
        <v/>
      </c>
      <c r="R200" s="19"/>
      <c r="T200" s="37" t="str">
        <f t="shared" si="54"/>
        <v/>
      </c>
      <c r="U200" s="37" t="str">
        <f t="shared" si="63"/>
        <v/>
      </c>
      <c r="W200" s="31" t="str">
        <f t="shared" si="66"/>
        <v/>
      </c>
      <c r="X200" s="31" t="str">
        <f t="shared" si="67"/>
        <v/>
      </c>
      <c r="Y200" s="34">
        <f t="shared" si="64"/>
        <v>1</v>
      </c>
      <c r="Z200" s="31">
        <f t="shared" si="55"/>
        <v>0</v>
      </c>
      <c r="AA200" s="66">
        <f t="shared" si="56"/>
        <v>0</v>
      </c>
      <c r="AB200" s="6" t="str">
        <f t="shared" si="57"/>
        <v/>
      </c>
      <c r="AC200" s="48">
        <f t="shared" si="68"/>
        <v>0</v>
      </c>
    </row>
    <row r="201" spans="3:29" x14ac:dyDescent="0.25">
      <c r="C201" s="27"/>
      <c r="D201" s="30"/>
      <c r="E201" s="20"/>
      <c r="F201" s="20"/>
      <c r="G201" s="24"/>
      <c r="H201" s="21"/>
      <c r="J201" s="66"/>
      <c r="K201" s="11"/>
      <c r="L201" s="23"/>
      <c r="M201" s="17"/>
      <c r="N201" s="23"/>
      <c r="O201" s="23"/>
      <c r="P201" s="23"/>
      <c r="Q201" s="19"/>
      <c r="R201" s="19"/>
      <c r="T201" s="37"/>
      <c r="U201" s="37"/>
      <c r="W201" s="31"/>
      <c r="X201" s="31"/>
      <c r="Y201" s="34"/>
      <c r="Z201" s="31"/>
      <c r="AA201" s="66"/>
      <c r="AC201" s="48"/>
    </row>
    <row r="202" spans="3:29" x14ac:dyDescent="0.25">
      <c r="C202" s="25" t="s">
        <v>270</v>
      </c>
      <c r="D202" s="25"/>
      <c r="E202" s="196" t="e">
        <f t="shared" ref="E202:K202" si="69">SUM(E21:E201)</f>
        <v>#N/A</v>
      </c>
      <c r="F202" s="196" t="e">
        <f t="shared" si="69"/>
        <v>#N/A</v>
      </c>
      <c r="G202" s="196" t="e">
        <f t="shared" si="69"/>
        <v>#N/A</v>
      </c>
      <c r="H202" s="196" t="e">
        <f t="shared" si="69"/>
        <v>#N/A</v>
      </c>
      <c r="I202" s="26" t="e">
        <f t="shared" si="69"/>
        <v>#N/A</v>
      </c>
      <c r="J202" s="196">
        <f t="shared" si="69"/>
        <v>0</v>
      </c>
      <c r="K202" s="26">
        <f t="shared" si="69"/>
        <v>0</v>
      </c>
      <c r="L202" s="196"/>
      <c r="M202" s="196">
        <f>SUM(M21:M201)</f>
        <v>0</v>
      </c>
      <c r="N202" s="196">
        <f>SUM(N21:N201)</f>
        <v>0</v>
      </c>
      <c r="O202" s="196" t="e">
        <f>SUM(O21:O201)</f>
        <v>#N/A</v>
      </c>
      <c r="P202" s="196" t="e">
        <f>SUM(P21:P201)</f>
        <v>#N/A</v>
      </c>
      <c r="Q202" s="197"/>
      <c r="R202" s="89"/>
      <c r="T202" s="29">
        <f>SUM(T21:T201)</f>
        <v>1</v>
      </c>
      <c r="U202" s="90"/>
    </row>
    <row r="203" spans="3:29" x14ac:dyDescent="0.25">
      <c r="J203" s="6"/>
      <c r="K203" s="6"/>
    </row>
    <row r="204" spans="3:29" hidden="1" x14ac:dyDescent="0.25">
      <c r="J204" s="6"/>
      <c r="K204" s="6"/>
    </row>
    <row r="205" spans="3:29" hidden="1" x14ac:dyDescent="0.25">
      <c r="J205" s="6"/>
      <c r="K205" s="6"/>
    </row>
    <row r="206" spans="3:29" hidden="1" x14ac:dyDescent="0.25">
      <c r="J206" s="6"/>
      <c r="K206" s="6"/>
      <c r="R206" s="41"/>
    </row>
    <row r="207" spans="3:29" hidden="1" x14ac:dyDescent="0.25">
      <c r="G207" s="41"/>
      <c r="J207" s="6"/>
      <c r="K207" s="6"/>
    </row>
    <row r="208" spans="3:29" hidden="1" x14ac:dyDescent="0.25">
      <c r="J208" s="6"/>
      <c r="K208" s="6"/>
      <c r="R208" s="41"/>
    </row>
    <row r="209" spans="10:11" hidden="1" x14ac:dyDescent="0.25">
      <c r="J209" s="6"/>
      <c r="K209" s="6"/>
    </row>
    <row r="210" spans="10:11" hidden="1" x14ac:dyDescent="0.25">
      <c r="J210" s="6"/>
      <c r="K210" s="6"/>
    </row>
    <row r="211" spans="10:11" hidden="1" x14ac:dyDescent="0.25">
      <c r="J211" s="6"/>
      <c r="K211" s="6"/>
    </row>
    <row r="212" spans="10:11" hidden="1" x14ac:dyDescent="0.25">
      <c r="J212" s="6"/>
      <c r="K212" s="6"/>
    </row>
    <row r="213" spans="10:11" hidden="1" x14ac:dyDescent="0.25">
      <c r="J213" s="6"/>
      <c r="K213" s="6"/>
    </row>
    <row r="214" spans="10:11" hidden="1" x14ac:dyDescent="0.25">
      <c r="J214" s="6"/>
      <c r="K214" s="6"/>
    </row>
    <row r="215" spans="10:11" hidden="1" x14ac:dyDescent="0.25">
      <c r="J215" s="6"/>
      <c r="K215" s="6"/>
    </row>
    <row r="216" spans="10:11" hidden="1" x14ac:dyDescent="0.25">
      <c r="J216" s="6"/>
      <c r="K216" s="6"/>
    </row>
    <row r="217" spans="10:11" hidden="1" x14ac:dyDescent="0.25">
      <c r="J217" s="6"/>
      <c r="K217" s="6"/>
    </row>
    <row r="218" spans="10:11" hidden="1" x14ac:dyDescent="0.25">
      <c r="J218" s="6"/>
      <c r="K218" s="6"/>
    </row>
    <row r="219" spans="10:11" hidden="1" x14ac:dyDescent="0.25">
      <c r="J219" s="6"/>
      <c r="K219" s="6"/>
    </row>
    <row r="220" spans="10:11" hidden="1" x14ac:dyDescent="0.25">
      <c r="J220" s="6"/>
      <c r="K220" s="6"/>
    </row>
    <row r="221" spans="10:11" hidden="1" x14ac:dyDescent="0.25">
      <c r="J221" s="6"/>
      <c r="K221" s="6"/>
    </row>
    <row r="222" spans="10:11" hidden="1" x14ac:dyDescent="0.25">
      <c r="J222" s="6"/>
      <c r="K222" s="6"/>
    </row>
    <row r="223" spans="10:11" hidden="1" x14ac:dyDescent="0.25">
      <c r="J223" s="6"/>
      <c r="K223" s="6"/>
    </row>
    <row r="224" spans="10:11" hidden="1" x14ac:dyDescent="0.25">
      <c r="J224" s="6"/>
      <c r="K224" s="6"/>
    </row>
    <row r="225" spans="10:11" hidden="1" x14ac:dyDescent="0.25">
      <c r="J225" s="6"/>
      <c r="K225" s="6"/>
    </row>
    <row r="226" spans="10:11" hidden="1" x14ac:dyDescent="0.25">
      <c r="J226" s="6"/>
      <c r="K226" s="6"/>
    </row>
    <row r="227" spans="10:11" hidden="1" x14ac:dyDescent="0.25">
      <c r="J227" s="6"/>
      <c r="K227" s="6"/>
    </row>
    <row r="228" spans="10:11" hidden="1" x14ac:dyDescent="0.25">
      <c r="J228" s="6"/>
      <c r="K228" s="6"/>
    </row>
    <row r="229" spans="10:11" hidden="1" x14ac:dyDescent="0.25">
      <c r="J229" s="6"/>
      <c r="K229" s="6"/>
    </row>
    <row r="230" spans="10:11" hidden="1" x14ac:dyDescent="0.25">
      <c r="J230" s="6"/>
      <c r="K230" s="6"/>
    </row>
    <row r="231" spans="10:11" hidden="1" x14ac:dyDescent="0.25">
      <c r="J231" s="6"/>
      <c r="K231" s="6"/>
    </row>
    <row r="232" spans="10:11" hidden="1" x14ac:dyDescent="0.25">
      <c r="J232" s="6"/>
      <c r="K232" s="6"/>
    </row>
    <row r="233" spans="10:11" hidden="1" x14ac:dyDescent="0.25">
      <c r="J233" s="6"/>
      <c r="K233" s="6"/>
    </row>
    <row r="234" spans="10:11" hidden="1" x14ac:dyDescent="0.25">
      <c r="J234" s="6"/>
      <c r="K234" s="6"/>
    </row>
    <row r="235" spans="10:11" hidden="1" x14ac:dyDescent="0.25">
      <c r="J235" s="6"/>
      <c r="K235" s="6"/>
    </row>
    <row r="236" spans="10:11" hidden="1" x14ac:dyDescent="0.25">
      <c r="J236" s="6"/>
      <c r="K236" s="6"/>
    </row>
    <row r="237" spans="10:11" hidden="1" x14ac:dyDescent="0.25">
      <c r="J237" s="6"/>
      <c r="K237" s="6"/>
    </row>
    <row r="238" spans="10:11" hidden="1" x14ac:dyDescent="0.25">
      <c r="J238" s="6"/>
      <c r="K238" s="6"/>
    </row>
    <row r="239" spans="10:11" hidden="1" x14ac:dyDescent="0.25">
      <c r="J239" s="6"/>
      <c r="K239" s="6"/>
    </row>
    <row r="240" spans="10:11" hidden="1" x14ac:dyDescent="0.25">
      <c r="J240" s="6"/>
      <c r="K240" s="6"/>
    </row>
    <row r="241" spans="10:11" hidden="1" x14ac:dyDescent="0.25">
      <c r="J241" s="6"/>
      <c r="K241" s="6"/>
    </row>
    <row r="242" spans="10:11" hidden="1" x14ac:dyDescent="0.25">
      <c r="J242" s="6"/>
      <c r="K242" s="6"/>
    </row>
    <row r="243" spans="10:11" hidden="1" x14ac:dyDescent="0.25">
      <c r="J243" s="6"/>
      <c r="K243" s="6"/>
    </row>
    <row r="244" spans="10:11" hidden="1" x14ac:dyDescent="0.25">
      <c r="J244" s="6"/>
      <c r="K244" s="6"/>
    </row>
    <row r="245" spans="10:11" hidden="1" x14ac:dyDescent="0.25">
      <c r="J245" s="6"/>
      <c r="K245" s="6"/>
    </row>
    <row r="246" spans="10:11" hidden="1" x14ac:dyDescent="0.25">
      <c r="J246" s="6"/>
      <c r="K246" s="6"/>
    </row>
    <row r="247" spans="10:11" hidden="1" x14ac:dyDescent="0.25">
      <c r="J247" s="6"/>
      <c r="K247" s="6"/>
    </row>
    <row r="248" spans="10:11" hidden="1" x14ac:dyDescent="0.25">
      <c r="J248" s="6"/>
      <c r="K248" s="6"/>
    </row>
    <row r="249" spans="10:11" hidden="1" x14ac:dyDescent="0.25">
      <c r="J249" s="6"/>
      <c r="K249" s="6"/>
    </row>
    <row r="250" spans="10:11" hidden="1" x14ac:dyDescent="0.25">
      <c r="J250" s="6"/>
      <c r="K250" s="6"/>
    </row>
    <row r="251" spans="10:11" hidden="1" x14ac:dyDescent="0.25">
      <c r="J251" s="6"/>
      <c r="K251" s="6"/>
    </row>
    <row r="252" spans="10:11" hidden="1" x14ac:dyDescent="0.25">
      <c r="J252" s="6"/>
      <c r="K252" s="6"/>
    </row>
    <row r="253" spans="10:11" hidden="1" x14ac:dyDescent="0.25">
      <c r="J253" s="6"/>
      <c r="K253" s="6"/>
    </row>
    <row r="254" spans="10:11" hidden="1" x14ac:dyDescent="0.25">
      <c r="J254" s="6"/>
      <c r="K254" s="6"/>
    </row>
    <row r="255" spans="10:11" hidden="1" x14ac:dyDescent="0.25">
      <c r="J255" s="6"/>
      <c r="K255" s="6"/>
    </row>
    <row r="256" spans="10:11" hidden="1" x14ac:dyDescent="0.25">
      <c r="J256" s="6"/>
      <c r="K256" s="6"/>
    </row>
    <row r="257" spans="10:11" hidden="1" x14ac:dyDescent="0.25">
      <c r="J257" s="6"/>
      <c r="K257" s="6"/>
    </row>
    <row r="258" spans="10:11" hidden="1" x14ac:dyDescent="0.25">
      <c r="J258" s="6"/>
      <c r="K258" s="6"/>
    </row>
    <row r="259" spans="10:11" hidden="1" x14ac:dyDescent="0.25">
      <c r="J259" s="6"/>
      <c r="K259" s="6"/>
    </row>
    <row r="260" spans="10:11" hidden="1" x14ac:dyDescent="0.25">
      <c r="J260" s="6"/>
      <c r="K260" s="6"/>
    </row>
    <row r="261" spans="10:11" hidden="1" x14ac:dyDescent="0.25">
      <c r="J261" s="6"/>
      <c r="K261" s="6"/>
    </row>
    <row r="262" spans="10:11" hidden="1" x14ac:dyDescent="0.25">
      <c r="J262" s="6"/>
      <c r="K262" s="6"/>
    </row>
    <row r="263" spans="10:11" hidden="1" x14ac:dyDescent="0.25">
      <c r="J263" s="6"/>
      <c r="K263" s="6"/>
    </row>
    <row r="264" spans="10:11" hidden="1" x14ac:dyDescent="0.25">
      <c r="J264" s="6"/>
      <c r="K264" s="6"/>
    </row>
    <row r="265" spans="10:11" hidden="1" x14ac:dyDescent="0.25">
      <c r="J265" s="6"/>
      <c r="K265" s="6"/>
    </row>
    <row r="266" spans="10:11" hidden="1" x14ac:dyDescent="0.25">
      <c r="J266" s="6"/>
      <c r="K266" s="6"/>
    </row>
    <row r="267" spans="10:11" hidden="1" x14ac:dyDescent="0.25">
      <c r="J267" s="6"/>
      <c r="K267" s="6"/>
    </row>
    <row r="268" spans="10:11" hidden="1" x14ac:dyDescent="0.25">
      <c r="J268" s="6"/>
      <c r="K268" s="6"/>
    </row>
    <row r="269" spans="10:11" hidden="1" x14ac:dyDescent="0.25">
      <c r="J269" s="6"/>
      <c r="K269" s="6"/>
    </row>
    <row r="270" spans="10:11" hidden="1" x14ac:dyDescent="0.25">
      <c r="J270" s="6"/>
      <c r="K270" s="6"/>
    </row>
    <row r="271" spans="10:11" hidden="1" x14ac:dyDescent="0.25">
      <c r="J271" s="6"/>
      <c r="K271" s="6"/>
    </row>
    <row r="272" spans="10:11" hidden="1" x14ac:dyDescent="0.25">
      <c r="J272" s="6"/>
      <c r="K272" s="6"/>
    </row>
    <row r="273" spans="10:11" hidden="1" x14ac:dyDescent="0.25">
      <c r="J273" s="6"/>
      <c r="K273" s="6"/>
    </row>
    <row r="274" spans="10:11" hidden="1" x14ac:dyDescent="0.25">
      <c r="J274" s="6"/>
      <c r="K274" s="6"/>
    </row>
    <row r="275" spans="10:11" hidden="1" x14ac:dyDescent="0.25">
      <c r="J275" s="6"/>
      <c r="K275" s="6"/>
    </row>
    <row r="276" spans="10:11" hidden="1" x14ac:dyDescent="0.25">
      <c r="J276" s="6"/>
      <c r="K276" s="6"/>
    </row>
    <row r="277" spans="10:11" hidden="1" x14ac:dyDescent="0.25">
      <c r="J277" s="6"/>
      <c r="K277" s="6"/>
    </row>
    <row r="278" spans="10:11" hidden="1" x14ac:dyDescent="0.25">
      <c r="J278" s="6"/>
      <c r="K278" s="6"/>
    </row>
    <row r="279" spans="10:11" hidden="1" x14ac:dyDescent="0.25">
      <c r="J279" s="6"/>
      <c r="K279" s="6"/>
    </row>
    <row r="280" spans="10:11" hidden="1" x14ac:dyDescent="0.25">
      <c r="J280" s="6"/>
      <c r="K280" s="6"/>
    </row>
    <row r="281" spans="10:11" hidden="1" x14ac:dyDescent="0.25">
      <c r="J281" s="6"/>
      <c r="K281" s="6"/>
    </row>
    <row r="282" spans="10:11" hidden="1" x14ac:dyDescent="0.25">
      <c r="J282" s="6"/>
      <c r="K282" s="6"/>
    </row>
    <row r="283" spans="10:11" hidden="1" x14ac:dyDescent="0.25">
      <c r="J283" s="6"/>
      <c r="K283" s="6"/>
    </row>
    <row r="284" spans="10:11" hidden="1" x14ac:dyDescent="0.25">
      <c r="J284" s="6"/>
      <c r="K284" s="6"/>
    </row>
    <row r="285" spans="10:11" hidden="1" x14ac:dyDescent="0.25">
      <c r="J285" s="6"/>
      <c r="K285" s="6"/>
    </row>
    <row r="286" spans="10:11" hidden="1" x14ac:dyDescent="0.25">
      <c r="J286" s="6"/>
      <c r="K286" s="6"/>
    </row>
    <row r="287" spans="10:11" hidden="1" x14ac:dyDescent="0.25">
      <c r="J287" s="6"/>
      <c r="K287" s="6"/>
    </row>
    <row r="288" spans="10:11" hidden="1" x14ac:dyDescent="0.25">
      <c r="J288" s="6"/>
      <c r="K288" s="6"/>
    </row>
    <row r="289" spans="10:11" hidden="1" x14ac:dyDescent="0.25">
      <c r="J289" s="6"/>
      <c r="K289" s="6"/>
    </row>
    <row r="290" spans="10:11" hidden="1" x14ac:dyDescent="0.25">
      <c r="J290" s="6"/>
      <c r="K290" s="6"/>
    </row>
    <row r="291" spans="10:11" hidden="1" x14ac:dyDescent="0.25">
      <c r="J291" s="6"/>
      <c r="K291" s="6"/>
    </row>
    <row r="292" spans="10:11" hidden="1" x14ac:dyDescent="0.25">
      <c r="J292" s="6"/>
      <c r="K292" s="6"/>
    </row>
    <row r="293" spans="10:11" hidden="1" x14ac:dyDescent="0.25">
      <c r="J293" s="6"/>
      <c r="K293" s="6"/>
    </row>
    <row r="294" spans="10:11" hidden="1" x14ac:dyDescent="0.25">
      <c r="J294" s="6"/>
      <c r="K294" s="6"/>
    </row>
    <row r="295" spans="10:11" hidden="1" x14ac:dyDescent="0.25">
      <c r="J295" s="6"/>
      <c r="K295" s="6"/>
    </row>
    <row r="296" spans="10:11" hidden="1" x14ac:dyDescent="0.25">
      <c r="J296" s="6"/>
      <c r="K296" s="6"/>
    </row>
    <row r="297" spans="10:11" hidden="1" x14ac:dyDescent="0.25">
      <c r="J297" s="6"/>
      <c r="K297" s="6"/>
    </row>
    <row r="298" spans="10:11" hidden="1" x14ac:dyDescent="0.25">
      <c r="J298" s="6"/>
      <c r="K298" s="6"/>
    </row>
    <row r="299" spans="10:11" hidden="1" x14ac:dyDescent="0.25">
      <c r="J299" s="6"/>
      <c r="K299" s="6"/>
    </row>
    <row r="300" spans="10:11" hidden="1" x14ac:dyDescent="0.25">
      <c r="J300" s="6"/>
      <c r="K300" s="6"/>
    </row>
    <row r="301" spans="10:11" hidden="1" x14ac:dyDescent="0.25">
      <c r="J301" s="6"/>
      <c r="K301" s="6"/>
    </row>
    <row r="302" spans="10:11" hidden="1" x14ac:dyDescent="0.25">
      <c r="J302" s="6"/>
      <c r="K302" s="6"/>
    </row>
    <row r="303" spans="10:11" hidden="1" x14ac:dyDescent="0.25">
      <c r="J303" s="6"/>
      <c r="K303" s="6"/>
    </row>
    <row r="304" spans="10:11" hidden="1" x14ac:dyDescent="0.25">
      <c r="J304" s="6"/>
      <c r="K304" s="6"/>
    </row>
    <row r="305" spans="10:11" hidden="1" x14ac:dyDescent="0.25">
      <c r="J305" s="6"/>
      <c r="K305" s="6"/>
    </row>
    <row r="306" spans="10:11" hidden="1" x14ac:dyDescent="0.25">
      <c r="J306" s="6"/>
      <c r="K306" s="6"/>
    </row>
    <row r="307" spans="10:11" hidden="1" x14ac:dyDescent="0.25">
      <c r="J307" s="6"/>
      <c r="K307" s="6"/>
    </row>
    <row r="308" spans="10:11" hidden="1" x14ac:dyDescent="0.25">
      <c r="J308" s="6"/>
      <c r="K308" s="6"/>
    </row>
    <row r="309" spans="10:11" hidden="1" x14ac:dyDescent="0.25">
      <c r="J309" s="6"/>
      <c r="K309" s="6"/>
    </row>
    <row r="310" spans="10:11" hidden="1" x14ac:dyDescent="0.25">
      <c r="J310" s="6"/>
      <c r="K310" s="6"/>
    </row>
    <row r="311" spans="10:11" hidden="1" x14ac:dyDescent="0.25">
      <c r="J311" s="6"/>
      <c r="K311" s="6"/>
    </row>
    <row r="312" spans="10:11" hidden="1" x14ac:dyDescent="0.25">
      <c r="J312" s="6"/>
      <c r="K312" s="6"/>
    </row>
    <row r="313" spans="10:11" hidden="1" x14ac:dyDescent="0.25">
      <c r="J313" s="6"/>
      <c r="K313" s="6"/>
    </row>
    <row r="314" spans="10:11" hidden="1" x14ac:dyDescent="0.25">
      <c r="J314" s="6"/>
      <c r="K314" s="6"/>
    </row>
    <row r="315" spans="10:11" hidden="1" x14ac:dyDescent="0.25">
      <c r="J315" s="6"/>
      <c r="K315" s="6"/>
    </row>
    <row r="316" spans="10:11" hidden="1" x14ac:dyDescent="0.25">
      <c r="J316" s="6"/>
      <c r="K316" s="6"/>
    </row>
    <row r="317" spans="10:11" hidden="1" x14ac:dyDescent="0.25">
      <c r="J317" s="6"/>
      <c r="K317" s="6"/>
    </row>
    <row r="318" spans="10:11" hidden="1" x14ac:dyDescent="0.25">
      <c r="J318" s="6"/>
      <c r="K318" s="6"/>
    </row>
    <row r="319" spans="10:11" hidden="1" x14ac:dyDescent="0.25">
      <c r="J319" s="6"/>
      <c r="K319" s="6"/>
    </row>
    <row r="320" spans="10:11" hidden="1" x14ac:dyDescent="0.25">
      <c r="J320" s="6"/>
      <c r="K320" s="6"/>
    </row>
    <row r="321" spans="10:11" hidden="1" x14ac:dyDescent="0.25">
      <c r="J321" s="6"/>
      <c r="K321" s="6"/>
    </row>
    <row r="322" spans="10:11" hidden="1" x14ac:dyDescent="0.25">
      <c r="J322" s="6"/>
      <c r="K322" s="6"/>
    </row>
    <row r="323" spans="10:11" hidden="1" x14ac:dyDescent="0.25">
      <c r="J323" s="6"/>
      <c r="K323" s="6"/>
    </row>
    <row r="324" spans="10:11" hidden="1" x14ac:dyDescent="0.25">
      <c r="J324" s="6"/>
      <c r="K324" s="6"/>
    </row>
    <row r="325" spans="10:11" hidden="1" x14ac:dyDescent="0.25">
      <c r="J325" s="6"/>
      <c r="K325" s="6"/>
    </row>
    <row r="326" spans="10:11" hidden="1" x14ac:dyDescent="0.25">
      <c r="J326" s="6"/>
      <c r="K326" s="6"/>
    </row>
    <row r="327" spans="10:11" hidden="1" x14ac:dyDescent="0.25">
      <c r="J327" s="6"/>
      <c r="K327" s="6"/>
    </row>
    <row r="328" spans="10:11" hidden="1" x14ac:dyDescent="0.25">
      <c r="J328" s="6"/>
      <c r="K328" s="6"/>
    </row>
    <row r="329" spans="10:11" hidden="1" x14ac:dyDescent="0.25">
      <c r="J329" s="6"/>
      <c r="K329" s="6"/>
    </row>
    <row r="330" spans="10:11" hidden="1" x14ac:dyDescent="0.25">
      <c r="J330" s="6"/>
      <c r="K330" s="6"/>
    </row>
    <row r="331" spans="10:11" hidden="1" x14ac:dyDescent="0.25">
      <c r="J331" s="6"/>
      <c r="K331" s="6"/>
    </row>
    <row r="332" spans="10:11" hidden="1" x14ac:dyDescent="0.25">
      <c r="J332" s="6"/>
      <c r="K332" s="6"/>
    </row>
    <row r="333" spans="10:11" hidden="1" x14ac:dyDescent="0.25">
      <c r="J333" s="6"/>
      <c r="K333" s="6"/>
    </row>
    <row r="334" spans="10:11" hidden="1" x14ac:dyDescent="0.25">
      <c r="J334" s="6"/>
      <c r="K334" s="6"/>
    </row>
    <row r="335" spans="10:11" hidden="1" x14ac:dyDescent="0.25">
      <c r="J335" s="6"/>
      <c r="K335" s="6"/>
    </row>
    <row r="336" spans="10:11" hidden="1" x14ac:dyDescent="0.25">
      <c r="J336" s="6"/>
      <c r="K336" s="6"/>
    </row>
    <row r="337" spans="10:11" hidden="1" x14ac:dyDescent="0.25">
      <c r="J337" s="6"/>
      <c r="K337" s="6"/>
    </row>
    <row r="338" spans="10:11" hidden="1" x14ac:dyDescent="0.25">
      <c r="J338" s="6"/>
      <c r="K338" s="6"/>
    </row>
    <row r="339" spans="10:11" hidden="1" x14ac:dyDescent="0.25">
      <c r="J339" s="6"/>
      <c r="K339" s="6"/>
    </row>
    <row r="340" spans="10:11" hidden="1" x14ac:dyDescent="0.25">
      <c r="J340" s="6"/>
      <c r="K340" s="6"/>
    </row>
    <row r="341" spans="10:11" hidden="1" x14ac:dyDescent="0.25">
      <c r="J341" s="6"/>
      <c r="K341" s="6"/>
    </row>
    <row r="342" spans="10:11" hidden="1" x14ac:dyDescent="0.25">
      <c r="J342" s="6"/>
      <c r="K342" s="6"/>
    </row>
    <row r="343" spans="10:11" hidden="1" x14ac:dyDescent="0.25">
      <c r="J343" s="6"/>
      <c r="K343" s="6"/>
    </row>
    <row r="344" spans="10:11" hidden="1" x14ac:dyDescent="0.25">
      <c r="J344" s="6"/>
      <c r="K344" s="6"/>
    </row>
    <row r="345" spans="10:11" hidden="1" x14ac:dyDescent="0.25">
      <c r="J345" s="6"/>
      <c r="K345" s="6"/>
    </row>
    <row r="346" spans="10:11" hidden="1" x14ac:dyDescent="0.25">
      <c r="J346" s="6"/>
      <c r="K346" s="6"/>
    </row>
    <row r="347" spans="10:11" hidden="1" x14ac:dyDescent="0.25">
      <c r="J347" s="6"/>
      <c r="K347" s="6"/>
    </row>
    <row r="348" spans="10:11" x14ac:dyDescent="0.25"/>
  </sheetData>
  <sheetProtection algorithmName="SHA-512" hashValue="gQnvXumN0Bb9e79G47tX5Yn8ZqBfQaz1XVKBg0iXaV0D6IgVFcLoBp5BLYHXxxl8zU5/0jp+OuMZrEeGyZAqZA==" saltValue="TZAvnAPrhz/DGhFbiexkrA==" spinCount="100000" sheet="1" formatColumns="0" formatRows="0"/>
  <mergeCells count="1">
    <mergeCell ref="I3:L3"/>
  </mergeCells>
  <conditionalFormatting sqref="Y21:Y201">
    <cfRule type="expression" dxfId="10" priority="11">
      <formula>OR($U$16&lt;&gt;$U$18,$E$11&lt;&gt;$U$11)</formula>
    </cfRule>
  </conditionalFormatting>
  <conditionalFormatting sqref="L17">
    <cfRule type="expression" dxfId="9" priority="10">
      <formula>$E$14="Pago Bajo Puntual"</formula>
    </cfRule>
  </conditionalFormatting>
  <conditionalFormatting sqref="M17">
    <cfRule type="expression" dxfId="8" priority="9">
      <formula>$E$14="Pago Bajo Puntual"</formula>
    </cfRule>
  </conditionalFormatting>
  <conditionalFormatting sqref="P15">
    <cfRule type="expression" dxfId="7" priority="8">
      <formula>P14&lt;&gt;""</formula>
    </cfRule>
  </conditionalFormatting>
  <conditionalFormatting sqref="P10">
    <cfRule type="expression" dxfId="6" priority="7">
      <formula>P9&lt;&gt;""</formula>
    </cfRule>
  </conditionalFormatting>
  <conditionalFormatting sqref="H202">
    <cfRule type="expression" dxfId="5" priority="6">
      <formula>$H$202=0</formula>
    </cfRule>
  </conditionalFormatting>
  <conditionalFormatting sqref="I202">
    <cfRule type="expression" dxfId="4" priority="5">
      <formula>$I$202=0</formula>
    </cfRule>
  </conditionalFormatting>
  <conditionalFormatting sqref="M202">
    <cfRule type="expression" dxfId="3" priority="4">
      <formula>$M$202=0</formula>
    </cfRule>
  </conditionalFormatting>
  <conditionalFormatting sqref="N202">
    <cfRule type="expression" dxfId="2" priority="3">
      <formula>$N$202=0</formula>
    </cfRule>
  </conditionalFormatting>
  <conditionalFormatting sqref="O202">
    <cfRule type="expression" dxfId="1" priority="2">
      <formula>$O$202=0</formula>
    </cfRule>
  </conditionalFormatting>
  <conditionalFormatting sqref="P202">
    <cfRule type="expression" dxfId="0" priority="1">
      <formula>$P$202=0</formula>
    </cfRule>
  </conditionalFormatting>
  <dataValidations disablePrompts="1" count="4">
    <dataValidation type="whole" allowBlank="1" showInputMessage="1" showErrorMessage="1" errorTitle="Monto Mayor al Permitido" error="El monto de la línea redisponible no puede ser mayor a $1,000,000 de pesos" promptTitle="Monto Solicitado de Liquidez" prompt="Ingresa el monto solicitado por el cliente del crédito de Liquidez de la línea Redisponible, recuerda que no puede ser mayor a la línea autorizada por Riesgos " sqref="J9" xr:uid="{A0CE8A7A-878D-4D4C-B1FC-6274B1BD3ED3}">
      <formula1>0</formula1>
      <formula2>1000000</formula2>
    </dataValidation>
    <dataValidation type="list" allowBlank="1" showInputMessage="1" showErrorMessage="1" sqref="E16" xr:uid="{E7E215E8-AC5A-474E-B907-E2480BD64F13}">
      <formula1>"Mensualidad,Plazo"</formula1>
    </dataValidation>
    <dataValidation type="list" allowBlank="1" showInputMessage="1" showErrorMessage="1" sqref="D17" xr:uid="{FC2FE12F-A7F2-45F6-B8EE-1B8739193700}">
      <formula1>"SI,NO"</formula1>
    </dataValidation>
    <dataValidation type="list" allowBlank="1" showInputMessage="1" showErrorMessage="1" sqref="E17" xr:uid="{D012F0C4-93AA-44B8-99A3-C407B29C11CC}">
      <formula1>"No Aplica,1 mes,2 meses,3 meses"</formula1>
    </dataValidation>
  </dataValidations>
  <printOptions horizontalCentered="1"/>
  <pageMargins left="0.23622047244094491" right="0.23622047244094491" top="0.74803149606299213" bottom="0.74803149606299213" header="0.31496062992125984" footer="0.31496062992125984"/>
  <pageSetup scale="32" orientation="landscape" r:id="rId1"/>
  <headerFooter>
    <oddFooter>&amp;C&amp;1#&amp;"Calibri"&amp;10&amp;K000000PUBLIC</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890089-7E7F-4975-9C52-74F888BE5E0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36</vt:i4>
      </vt:variant>
    </vt:vector>
  </HeadingPairs>
  <TitlesOfParts>
    <vt:vector size="37" baseType="lpstr">
      <vt:lpstr>Formulario</vt:lpstr>
      <vt:lpstr>Caratula!Área_de_impresión</vt:lpstr>
      <vt:lpstr>Caratula_Patrimonial!Área_de_impresión</vt:lpstr>
      <vt:lpstr>Simul_ConstruRemo!Área_de_impresión</vt:lpstr>
      <vt:lpstr>Tabla_Amor_Redispon_Construcció!Área_de_impresión</vt:lpstr>
      <vt:lpstr>Tabla_Amor_Redispon_Patrimonial!Área_de_impresión</vt:lpstr>
      <vt:lpstr>Tabla_Amortización_Redisponible!Área_de_impresión</vt:lpstr>
      <vt:lpstr>Caratula_Patrimonial!Pago_Bajo_Puntual</vt:lpstr>
      <vt:lpstr>Condicione_Financieras_Patrimon!Pago_Bajo_Puntual</vt:lpstr>
      <vt:lpstr>Simul_ConstruRemo!Pago_Bajo_Puntual</vt:lpstr>
      <vt:lpstr>Tabla_Amor_Redispon_Construcció!Pago_Bajo_Puntual</vt:lpstr>
      <vt:lpstr>Tabla_Amor_Redispon_Patrimonial!Pago_Bajo_Puntual</vt:lpstr>
      <vt:lpstr>Tabla_Amort_PatrimonialPeorEsce!Pago_Bajo_Puntual</vt:lpstr>
      <vt:lpstr>'Tabla_ConstruRemo_Peor Escenari'!Pago_Bajo_Puntual</vt:lpstr>
      <vt:lpstr>Pago_Bajo_Puntual</vt:lpstr>
      <vt:lpstr>Caratula_Patrimonial!Pago_Fijo</vt:lpstr>
      <vt:lpstr>Condicione_Financieras_Patrimon!Pago_Fijo</vt:lpstr>
      <vt:lpstr>Simul_ConstruRemo!Pago_Fijo</vt:lpstr>
      <vt:lpstr>Tabla_Amor_Redispon_Construcció!Pago_Fijo</vt:lpstr>
      <vt:lpstr>Tabla_Amor_Redispon_Patrimonial!Pago_Fijo</vt:lpstr>
      <vt:lpstr>Tabla_Amort_PatrimonialPeorEsce!Pago_Fijo</vt:lpstr>
      <vt:lpstr>'Tabla_ConstruRemo_Peor Escenari'!Pago_Fijo</vt:lpstr>
      <vt:lpstr>Pago_Fijo</vt:lpstr>
      <vt:lpstr>Caratula_Patrimonial!Pago_Fijo_Puntual</vt:lpstr>
      <vt:lpstr>Condicione_Financieras_Patrimon!Pago_Fijo_Puntual</vt:lpstr>
      <vt:lpstr>Simul_ConstruRemo!Pago_Fijo_Puntual</vt:lpstr>
      <vt:lpstr>Tabla_Amor_Redispon_Construcció!Pago_Fijo_Puntual</vt:lpstr>
      <vt:lpstr>Tabla_Amor_Redispon_Patrimonial!Pago_Fijo_Puntual</vt:lpstr>
      <vt:lpstr>Tabla_Amort_PatrimonialPeorEsce!Pago_Fijo_Puntual</vt:lpstr>
      <vt:lpstr>'Tabla_ConstruRemo_Peor Escenari'!Pago_Fijo_Puntual</vt:lpstr>
      <vt:lpstr>Pago_Fijo_Puntual</vt:lpstr>
      <vt:lpstr>Caratula!Títulos_a_imprimir</vt:lpstr>
      <vt:lpstr>Caratula_Patrimonial!Títulos_a_imprimir</vt:lpstr>
      <vt:lpstr>Simul_ConstruRemo!Títulos_a_imprimir</vt:lpstr>
      <vt:lpstr>Tabla_Amor_Redispon_Construcció!Títulos_a_imprimir</vt:lpstr>
      <vt:lpstr>Tabla_Amor_Redispon_Patrimonial!Títulos_a_imprimir</vt:lpstr>
      <vt:lpstr>Tabla_Amortización_Redisponible!Títulos_a_imprimir</vt:lpstr>
    </vt:vector>
  </TitlesOfParts>
  <Company>HSBC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Nelson SILVA</dc:creator>
  <cp:lastModifiedBy>Salvador Peña Esparza</cp:lastModifiedBy>
  <cp:lastPrinted>2025-09-15T16:20:59Z</cp:lastPrinted>
  <dcterms:created xsi:type="dcterms:W3CDTF">2024-02-10T20:42:33Z</dcterms:created>
  <dcterms:modified xsi:type="dcterms:W3CDTF">2026-04-14T16:11:33Z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486a02c-2dfb-4efe-823f-aa2d1f0e6ab7_Enabled">
    <vt:lpwstr>true</vt:lpwstr>
  </property>
  <property fmtid="{D5CDD505-2E9C-101B-9397-08002B2CF9AE}" pid="3" name="MSIP_Label_3486a02c-2dfb-4efe-823f-aa2d1f0e6ab7_SetDate">
    <vt:lpwstr>2024-09-28T00:32:32Z</vt:lpwstr>
  </property>
  <property fmtid="{D5CDD505-2E9C-101B-9397-08002B2CF9AE}" pid="4" name="MSIP_Label_3486a02c-2dfb-4efe-823f-aa2d1f0e6ab7_Method">
    <vt:lpwstr>Privileged</vt:lpwstr>
  </property>
  <property fmtid="{D5CDD505-2E9C-101B-9397-08002B2CF9AE}" pid="5" name="MSIP_Label_3486a02c-2dfb-4efe-823f-aa2d1f0e6ab7_Name">
    <vt:lpwstr>CLAPUBLIC</vt:lpwstr>
  </property>
  <property fmtid="{D5CDD505-2E9C-101B-9397-08002B2CF9AE}" pid="6" name="MSIP_Label_3486a02c-2dfb-4efe-823f-aa2d1f0e6ab7_SiteId">
    <vt:lpwstr>e0fd434d-ba64-497b-90d2-859c472e1a92</vt:lpwstr>
  </property>
  <property fmtid="{D5CDD505-2E9C-101B-9397-08002B2CF9AE}" pid="7" name="MSIP_Label_3486a02c-2dfb-4efe-823f-aa2d1f0e6ab7_ActionId">
    <vt:lpwstr>9103c98d-f1fe-46aa-8735-e1139e3a710b</vt:lpwstr>
  </property>
  <property fmtid="{D5CDD505-2E9C-101B-9397-08002B2CF9AE}" pid="8" name="MSIP_Label_3486a02c-2dfb-4efe-823f-aa2d1f0e6ab7_ContentBits">
    <vt:lpwstr>2</vt:lpwstr>
  </property>
  <property fmtid="{D5CDD505-2E9C-101B-9397-08002B2CF9AE}" pid="9" name="Classification">
    <vt:lpwstr>PUBLIC</vt:lpwstr>
  </property>
</Properties>
</file>